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ats" sheetId="1" state="visible" r:id="rId1"/>
    <sheet name="Deal Map" sheetId="2" state="visible" r:id="rId2"/>
    <sheet name="Collat Tape" sheetId="3" state="visible" r:id="rId3"/>
    <sheet name="RECOP Tape" sheetId="4" state="visible" r:id="rId4"/>
    <sheet name="Mappings" sheetId="5" state="visible" r:id="rId5"/>
  </sheets>
  <definedNames>
    <definedName name="rcEntity">'RECOP Tape'!$C$11:$C$129</definedName>
    <definedName name="rcIssuer">'RECOP Tape'!$D$11:$D$129</definedName>
    <definedName name="rcBook">'RECOP Tape'!$M$11:$M$129</definedName>
    <definedName name="rcFV">'RECOP Tape'!$N$11:$N$129</definedName>
    <definedName name="mapPTCode">Mappings!$B$7:$B$16</definedName>
    <definedName name="mapPTGroup">Mappings!$C$7:$C$16</definedName>
    <definedName name="mapRegion">Mappings!$E$7:$E$16</definedName>
    <definedName name="lstDeal">Mappings!$G$7:$G$34</definedName>
    <definedName name="lstEntity">Mappings!$G$37:$G$40</definedName>
    <definedName name="lstPType">Mappings!$G$43:$G$52</definedName>
    <definedName name="lstDefeased">Mappings!$G$55:$G$56</definedName>
    <definedName name="stList">Mappings!$I$7:$I$60</definedName>
    <definedName name="stKey">Mappings!$K$7:$K$60</definedName>
    <definedName name="mMatWindow">Mappings!$N$7</definedName>
    <definedName name="mTieBreak">Mappings!$N$8</definedName>
    <definedName name="dmID">'Deal Map'!$B$8:$B$34</definedName>
    <definedName name="dmName">'Deal Map'!$C$8:$C$34</definedName>
    <definedName name="dmEntity">'Deal Map'!$E$8:$E$34</definedName>
    <definedName name="dmVintage">'Deal Map'!$F$8:$F$34</definedName>
    <definedName name="dmInclude">'Deal Map'!$G$8:$G$34</definedName>
    <definedName name="dmBook">'Deal Map'!$I$8:$I$34</definedName>
    <definedName name="dmFV">'Deal Map'!$J$8:$J$34</definedName>
    <definedName name="dmInFilter">'Deal Map'!$Q$8:$Q$34</definedName>
    <definedName name="dmFiltUPB">'Deal Map'!$S$8:$S$34</definedName>
    <definedName name="tDealID">'Collat Tape'!$C$8:$C$1600</definedName>
    <definedName name="tName">'Collat Tape'!$E$8:$E$1600</definedName>
    <definedName name="tUID">'Collat Tape'!$F$8:$F$1600</definedName>
    <definedName name="tOrigBal">'Collat Tape'!$H$8:$H$1600</definedName>
    <definedName name="tUPB">'Collat Tape'!$I$8:$I$1600</definedName>
    <definedName name="tAge">'Collat Tape'!$Q$8:$Q$1600</definedName>
    <definedName name="tMatDate">'Collat Tape'!$CQ$8:$CQ$1600</definedName>
    <definedName name="tARA">'Collat Tape'!$BH$8:$BH$1600</definedName>
    <definedName name="tAdv">'Collat Tape'!$BI$8:$BI$1600</definedName>
    <definedName name="tRptDate">'Collat Tape'!$BS$8:$BS$1600</definedName>
    <definedName name="tDeal">'Collat Tape'!$BU$8:$BU$1600</definedName>
    <definedName name="tEntity">'Collat Tape'!$BV$8:$BV$1600</definedName>
    <definedName name="tVint">'Collat Tape'!$BW$8:$BW$1600</definedName>
    <definedName name="tActive">'Collat Tape'!$BY$8:$BY$1600</definedName>
    <definedName name="tPType">'Collat Tape'!$BZ$8:$BZ$1600</definedName>
    <definedName name="tState">'Collat Tape'!$CA$8:$CA$1600</definedName>
    <definedName name="tRegion">'Collat Tape'!$CB$8:$CB$1600</definedName>
    <definedName name="tPay">'Collat Tape'!$CC$8:$CC$1600</definedName>
    <definedName name="tDQ">'Collat Tape'!$CD$8:$CD$1600</definedName>
    <definedName name="tSS">'Collat Tape'!$CE$8:$CE$1600</definedName>
    <definedName name="tSSF">'Collat Tape'!$CF$8:$CF$1600</definedName>
    <definedName name="tWL">'Collat Tape'!$CG$8:$CG$1600</definedName>
    <definedName name="tWLF">'Collat Tape'!$CH$8:$CH$1600</definedName>
    <definedName name="tDef">'Collat Tape'!$CI$8:$CI$1600</definedName>
    <definedName name="tDefF">'Collat Tape'!$CJ$8:$CJ$1600</definedName>
    <definedName name="tAmort">'Collat Tape'!$CK$8:$CK$1600</definedName>
    <definedName name="tFIO">'Collat Tape'!$CL$8:$CL$1600</definedName>
    <definedName name="tPIO">'Collat Tape'!$CM$8:$CM$1600</definedName>
    <definedName name="tPari">'Collat Tape'!$CN$8:$CN$1600</definedName>
    <definedName name="tPP">'Collat Tape'!$CO$8:$CO$1600</definedName>
    <definedName name="tOrigYr">'Collat Tape'!$CP$8:$CP$1600</definedName>
    <definedName name="tMatYr">'Collat Tape'!$CR$8:$CR$1600</definedName>
    <definedName name="tRem">'Collat Tape'!$CS$8:$CS$1600</definedName>
    <definedName name="tMat12">'Collat Tape'!$CT$8:$CT$1600</definedName>
    <definedName name="tCpn">'Collat Tape'!$CU$8:$CU$1600</definedName>
    <definedName name="tUWDSCR">'Collat Tape'!$CV$8:$CV$1600</definedName>
    <definedName name="tCurDSCR">'Collat Tape'!$CW$8:$CW$1600</definedName>
    <definedName name="tUWLTV">'Collat Tape'!$CX$8:$CX$1600</definedName>
    <definedName name="tCurLTV">'Collat Tape'!$CY$8:$CY$1600</definedName>
    <definedName name="tMatLTV">'Collat Tape'!$CZ$8:$CZ$1600</definedName>
    <definedName name="tUWDY">'Collat Tape'!$DA$8:$DA$1600</definedName>
    <definedName name="tCurDY">'Collat Tape'!$DB$8:$DB$1600</definedName>
    <definedName name="tOcc">'Collat Tape'!$DC$8:$DC$1600</definedName>
    <definedName name="tYB">'Collat Tape'!$DD$8:$DD$1600</definedName>
    <definedName name="tFlag">'Collat Tape'!$DE$8:$DE$1600</definedName>
    <definedName name="tUPBf">'Collat Tape'!$DF$8:$DF$1600</definedName>
    <definedName name="tFirst">'Collat Tape'!$DG$8:$DG$1600</definedName>
    <definedName name="tGrpUPB">'Collat Tape'!$DH$8:$DH$1600</definedName>
    <definedName name="tGrpDeals">'Collat Tape'!$DI$8:$DI$1600</definedName>
    <definedName name="tGrpKey">'Collat Tape'!$DJ$8:$DJ$1600</definedName>
    <definedName name="fDeal">Strats!$C$6</definedName>
    <definedName name="fEntity">Strats!$C$7</definedName>
    <definedName name="fPType">Strats!$C$8</definedName>
    <definedName name="fDefeased">Strats!$C$9</definedName>
    <definedName name="sLoans">Strats!$C$11</definedName>
    <definedName name="sUPB">Strats!$C$13</definedName>
    <definedName name="_xlnm.Print_Area" localSheetId="0">'Strats'!$B$2:$U$359</definedName>
    <definedName name="_xlnm._FilterDatabase" localSheetId="2" hidden="1">'Collat Tape'!$B$7:$DJ$1350</definedName>
  </definedNames>
  <calcPr calcId="124519" fullCalcOnLoad="1"/>
</workbook>
</file>

<file path=xl/styles.xml><?xml version="1.0" encoding="utf-8"?>
<styleSheet xmlns="http://schemas.openxmlformats.org/spreadsheetml/2006/main">
  <numFmts count="15">
    <numFmt numFmtId="164" formatCode="\$#,##0;&quot;($&quot;#,##0\);\-"/>
    <numFmt numFmtId="165" formatCode="#,##0;\(#,##0\);\-"/>
    <numFmt numFmtId="166" formatCode="0.0%;\(0.0%\);\-"/>
    <numFmt numFmtId="167" formatCode="0&quot; bps&quot;"/>
    <numFmt numFmtId="168" formatCode="yyyy-mm-dd h:mm:ss"/>
    <numFmt numFmtId="169" formatCode="mm/dd/yyyy"/>
    <numFmt numFmtId="170" formatCode="$#,##0;($#,##0);-"/>
    <numFmt numFmtId="171" formatCode="#,##0.000000"/>
    <numFmt numFmtId="172" formatCode="#,##0;(#,##0);&quot;-&quot;"/>
    <numFmt numFmtId="173" formatCode="0.0%;(0.0%);-"/>
    <numFmt numFmtId="174" formatCode="0.000"/>
    <numFmt numFmtId="175" formatCode="0.0"/>
    <numFmt numFmtId="176" formatCode="0.00%;(0.00%);-"/>
    <numFmt numFmtId="177" formatCode="0.00&quot;x&quot;;(0.00&quot;x&quot;);-"/>
    <numFmt numFmtId="178" formatCode="0.0;(0.0);-"/>
  </numFmts>
  <fonts count="15">
    <font>
      <name val="Calibri"/>
      <family val="2"/>
      <color theme="1"/>
      <sz val="11"/>
      <scheme val="minor"/>
    </font>
    <font>
      <name val="Calibri"/>
      <charset val="1"/>
      <b val="1"/>
      <color rgb="FFFFFFFF"/>
      <sz val="12"/>
    </font>
    <font>
      <name val="Calibri"/>
      <charset val="1"/>
      <i val="1"/>
      <sz val="10"/>
    </font>
    <font>
      <name val="Calibri"/>
      <charset val="1"/>
      <b val="1"/>
      <color rgb="FFFFFFFF"/>
      <sz val="10"/>
    </font>
    <font>
      <name val="Calibri"/>
      <charset val="1"/>
      <sz val="10"/>
    </font>
    <font>
      <name val="Calibri"/>
      <charset val="1"/>
      <color rgb="FF0000FF"/>
      <sz val="10"/>
    </font>
    <font>
      <name val="Calibri"/>
      <charset val="1"/>
      <i val="1"/>
      <color rgb="FF808080"/>
      <sz val="8"/>
    </font>
    <font>
      <name val="Calibri"/>
      <b val="1"/>
      <color rgb="FFFFFFFF"/>
      <sz val="14"/>
    </font>
    <font>
      <name val="Calibri"/>
      <i val="1"/>
      <color rgb="FF808080"/>
      <sz val="10"/>
    </font>
    <font>
      <name val="Calibri"/>
      <b val="1"/>
      <color rgb="FF0F2F51"/>
      <sz val="10"/>
    </font>
    <font>
      <name val="Calibri"/>
      <b val="1"/>
      <color rgb="FFFFFFFF"/>
      <sz val="10"/>
    </font>
    <font>
      <name val="Calibri"/>
      <color rgb="FF0000FF"/>
      <sz val="10"/>
    </font>
    <font>
      <name val="Calibri"/>
      <color rgb="FF008000"/>
      <sz val="10"/>
    </font>
    <font>
      <name val="Calibri"/>
      <color rgb="FF000000"/>
      <sz val="10"/>
    </font>
    <font>
      <name val="Calibri"/>
      <b val="1"/>
      <color rgb="FF000000"/>
      <sz val="10"/>
    </font>
  </fonts>
  <fills count="8">
    <fill>
      <patternFill/>
    </fill>
    <fill>
      <patternFill patternType="gray125"/>
    </fill>
    <fill>
      <patternFill patternType="solid">
        <fgColor rgb="FF0F2F51"/>
        <bgColor rgb="FF333333"/>
      </patternFill>
    </fill>
    <fill>
      <patternFill patternType="solid">
        <fgColor rgb="FFD9E1F2"/>
        <bgColor rgb="FFF2F2F2"/>
      </patternFill>
    </fill>
    <fill>
      <patternFill patternType="solid">
        <fgColor rgb="FFF2F2F2"/>
        <bgColor rgb="FFFFFFFF"/>
      </patternFill>
    </fill>
    <fill>
      <patternFill patternType="solid">
        <fgColor rgb="FF0F2F51"/>
      </patternFill>
    </fill>
    <fill>
      <patternFill patternType="solid">
        <fgColor rgb="FFF2F2F2"/>
      </patternFill>
    </fill>
    <fill>
      <patternFill patternType="solid">
        <fgColor rgb="FFD9E1F2"/>
      </patternFill>
    </fill>
  </fills>
  <borders count="5">
    <border>
      <left/>
      <right/>
      <top/>
      <bottom/>
      <diagonal/>
    </border>
    <border>
      <left/>
      <right/>
      <top style="thin">
        <color auto="1"/>
      </top>
      <bottom/>
      <diagonal/>
    </border>
    <border>
      <bottom style="medium">
        <color rgb="FF0F2F51"/>
      </bottom>
    </border>
    <border>
      <left style="dotted">
        <color rgb="FF808080"/>
      </left>
      <right style="dotted">
        <color rgb="FF808080"/>
      </right>
      <top style="dotted">
        <color rgb="FF808080"/>
      </top>
      <bottom style="dotted">
        <color rgb="FF808080"/>
      </bottom>
    </border>
    <border>
      <top style="thin">
        <color rgb="FF000000"/>
      </top>
      <bottom style="thin">
        <color rgb="FF000000"/>
      </bottom>
    </border>
  </borders>
  <cellStyleXfs count="1">
    <xf numFmtId="0" fontId="0" fillId="0" borderId="0"/>
  </cellStyleXfs>
  <cellXfs count="121">
    <xf numFmtId="0" fontId="0" fillId="0" borderId="0" pivotButton="0" quotePrefix="0" xfId="0"/>
    <xf numFmtId="0" fontId="7" fillId="5" borderId="0" applyAlignment="1" pivotButton="0" quotePrefix="0" xfId="0">
      <alignment horizontal="centerContinuous" vertical="center"/>
    </xf>
    <xf numFmtId="0" fontId="9" fillId="0" borderId="2" applyAlignment="1" pivotButton="0" quotePrefix="0" xfId="0">
      <alignment horizontal="left" vertical="center"/>
    </xf>
    <xf numFmtId="0" fontId="0" fillId="0" borderId="2" pivotButton="0" quotePrefix="0" xfId="0"/>
    <xf numFmtId="0" fontId="14" fillId="6" borderId="0" applyAlignment="1" pivotButton="0" quotePrefix="0" xfId="0">
      <alignment horizontal="left" vertical="center"/>
    </xf>
    <xf numFmtId="169" fontId="13" fillId="0" borderId="0" applyAlignment="1" pivotButton="0" quotePrefix="0" xfId="0">
      <alignment horizontal="right" vertical="center"/>
    </xf>
    <xf numFmtId="0" fontId="0" fillId="6" borderId="0" pivotButton="0" quotePrefix="0" xfId="0"/>
    <xf numFmtId="176" fontId="13" fillId="0" borderId="0" applyAlignment="1" pivotButton="0" quotePrefix="0" xfId="0">
      <alignment horizontal="right" vertical="center"/>
    </xf>
    <xf numFmtId="173" fontId="13" fillId="0" borderId="0" applyAlignment="1" pivotButton="0" quotePrefix="0" xfId="0">
      <alignment horizontal="right" vertical="center"/>
    </xf>
    <xf numFmtId="0" fontId="11" fillId="7" borderId="3" applyAlignment="1" pivotButton="0" quotePrefix="0" xfId="0">
      <alignment horizontal="right" vertical="center"/>
    </xf>
    <xf numFmtId="177" fontId="13" fillId="0" borderId="0" applyAlignment="1" pivotButton="0" quotePrefix="0" xfId="0">
      <alignment horizontal="right" vertical="center"/>
    </xf>
    <xf numFmtId="172" fontId="13" fillId="0" borderId="0" applyAlignment="1" pivotButton="0" quotePrefix="0" xfId="0">
      <alignment horizontal="right" vertical="center"/>
    </xf>
    <xf numFmtId="170" fontId="13" fillId="0" borderId="0" applyAlignment="1" pivotButton="0" quotePrefix="0" xfId="0">
      <alignment horizontal="right" vertical="center"/>
    </xf>
    <xf numFmtId="178" fontId="13" fillId="0" borderId="0" applyAlignment="1" pivotButton="0" quotePrefix="0" xfId="0">
      <alignment horizontal="right" vertical="center"/>
    </xf>
    <xf numFmtId="0" fontId="8" fillId="0" borderId="0" applyAlignment="1" pivotButton="0" quotePrefix="0" xfId="0">
      <alignment horizontal="left" vertical="center"/>
    </xf>
    <xf numFmtId="0" fontId="10" fillId="5" borderId="0" applyAlignment="1" pivotButton="0" quotePrefix="0" xfId="0">
      <alignment horizontal="left" vertical="center" wrapText="1"/>
    </xf>
    <xf numFmtId="0" fontId="10" fillId="5" borderId="0" applyAlignment="1" pivotButton="0" quotePrefix="0" xfId="0">
      <alignment horizontal="center" vertical="center" wrapText="1"/>
    </xf>
    <xf numFmtId="0" fontId="10" fillId="5" borderId="0" applyAlignment="1" pivotButton="0" quotePrefix="0" xfId="0">
      <alignment horizontal="center" vertical="center"/>
    </xf>
    <xf numFmtId="0" fontId="13" fillId="0" borderId="0" applyAlignment="1" pivotButton="0" quotePrefix="0" xfId="0">
      <alignment horizontal="left" vertical="center"/>
    </xf>
    <xf numFmtId="172" fontId="13" fillId="0" borderId="0" applyAlignment="1" pivotButton="0" quotePrefix="0" xfId="0">
      <alignment horizontal="center" vertical="center"/>
    </xf>
    <xf numFmtId="0" fontId="13" fillId="0" borderId="0" applyAlignment="1" pivotButton="0" quotePrefix="0" xfId="0">
      <alignment horizontal="center" vertical="center"/>
    </xf>
    <xf numFmtId="170" fontId="13" fillId="0" borderId="0" applyAlignment="1" pivotButton="0" quotePrefix="0" xfId="0">
      <alignment horizontal="center" vertical="center"/>
    </xf>
    <xf numFmtId="173" fontId="13" fillId="0" borderId="0" applyAlignment="1" pivotButton="0" quotePrefix="0" xfId="0">
      <alignment horizontal="center" vertical="center"/>
    </xf>
    <xf numFmtId="176" fontId="13" fillId="0" borderId="0" applyAlignment="1" pivotButton="0" quotePrefix="0" xfId="0">
      <alignment horizontal="center" vertical="center"/>
    </xf>
    <xf numFmtId="177" fontId="13" fillId="0" borderId="0" applyAlignment="1" pivotButton="0" quotePrefix="0" xfId="0">
      <alignment horizontal="center" vertical="center"/>
    </xf>
    <xf numFmtId="169" fontId="13" fillId="0" borderId="0" applyAlignment="1" pivotButton="0" quotePrefix="0" xfId="0">
      <alignment horizontal="center" vertical="center"/>
    </xf>
    <xf numFmtId="0" fontId="13" fillId="0" borderId="0" applyAlignment="1" pivotButton="0" quotePrefix="0" xfId="0">
      <alignment horizontal="center" vertical="center" shrinkToFit="1"/>
    </xf>
    <xf numFmtId="0" fontId="13" fillId="6" borderId="0" applyAlignment="1" pivotButton="0" quotePrefix="0" xfId="0">
      <alignment horizontal="left" vertical="center"/>
    </xf>
    <xf numFmtId="172" fontId="13" fillId="6" borderId="0" applyAlignment="1" pivotButton="0" quotePrefix="0" xfId="0">
      <alignment horizontal="center" vertical="center"/>
    </xf>
    <xf numFmtId="0" fontId="13" fillId="6" borderId="0" applyAlignment="1" pivotButton="0" quotePrefix="0" xfId="0">
      <alignment horizontal="center" vertical="center"/>
    </xf>
    <xf numFmtId="170" fontId="13" fillId="6" borderId="0" applyAlignment="1" pivotButton="0" quotePrefix="0" xfId="0">
      <alignment horizontal="center" vertical="center"/>
    </xf>
    <xf numFmtId="173" fontId="13" fillId="6" borderId="0" applyAlignment="1" pivotButton="0" quotePrefix="0" xfId="0">
      <alignment horizontal="center" vertical="center"/>
    </xf>
    <xf numFmtId="176" fontId="13" fillId="6" borderId="0" applyAlignment="1" pivotButton="0" quotePrefix="0" xfId="0">
      <alignment horizontal="center" vertical="center"/>
    </xf>
    <xf numFmtId="177" fontId="13" fillId="6" borderId="0" applyAlignment="1" pivotButton="0" quotePrefix="0" xfId="0">
      <alignment horizontal="center" vertical="center"/>
    </xf>
    <xf numFmtId="169" fontId="13" fillId="6" borderId="0" applyAlignment="1" pivotButton="0" quotePrefix="0" xfId="0">
      <alignment horizontal="center" vertical="center"/>
    </xf>
    <xf numFmtId="0" fontId="13" fillId="6" borderId="0" applyAlignment="1" pivotButton="0" quotePrefix="0" xfId="0">
      <alignment horizontal="center" vertical="center" shrinkToFit="1"/>
    </xf>
    <xf numFmtId="0" fontId="14" fillId="0" borderId="4" applyAlignment="1" pivotButton="0" quotePrefix="0" xfId="0">
      <alignment horizontal="left" vertical="center"/>
    </xf>
    <xf numFmtId="172" fontId="14" fillId="0" borderId="4" applyAlignment="1" pivotButton="0" quotePrefix="0" xfId="0">
      <alignment horizontal="center" vertical="center"/>
    </xf>
    <xf numFmtId="0" fontId="14" fillId="0" borderId="4" applyAlignment="1" pivotButton="0" quotePrefix="0" xfId="0">
      <alignment horizontal="center" vertical="center"/>
    </xf>
    <xf numFmtId="170" fontId="14" fillId="0" borderId="4" applyAlignment="1" pivotButton="0" quotePrefix="0" xfId="0">
      <alignment horizontal="center" vertical="center"/>
    </xf>
    <xf numFmtId="173" fontId="14" fillId="0" borderId="4" applyAlignment="1" pivotButton="0" quotePrefix="0" xfId="0">
      <alignment horizontal="center" vertical="center"/>
    </xf>
    <xf numFmtId="176" fontId="14" fillId="0" borderId="4" applyAlignment="1" pivotButton="0" quotePrefix="0" xfId="0">
      <alignment horizontal="center" vertical="center"/>
    </xf>
    <xf numFmtId="177" fontId="14" fillId="0" borderId="4" applyAlignment="1" pivotButton="0" quotePrefix="0" xfId="0">
      <alignment horizontal="center" vertical="center"/>
    </xf>
    <xf numFmtId="178" fontId="14" fillId="0" borderId="4" applyAlignment="1" pivotButton="0" quotePrefix="0" xfId="0">
      <alignment horizontal="center" vertical="center"/>
    </xf>
    <xf numFmtId="0" fontId="10" fillId="5" borderId="0" applyAlignment="1" pivotButton="0" quotePrefix="0" xfId="0">
      <alignment horizontal="left" vertical="center"/>
    </xf>
    <xf numFmtId="178" fontId="13" fillId="0" borderId="0" applyAlignment="1" pivotButton="0" quotePrefix="0" xfId="0">
      <alignment horizontal="center" vertical="center"/>
    </xf>
    <xf numFmtId="0" fontId="12" fillId="0" borderId="0" applyAlignment="1" pivotButton="0" quotePrefix="0" xfId="0">
      <alignment horizontal="left" vertical="center"/>
    </xf>
    <xf numFmtId="178" fontId="13" fillId="6" borderId="0" applyAlignment="1" pivotButton="0" quotePrefix="0" xfId="0">
      <alignment horizontal="center" vertical="center"/>
    </xf>
    <xf numFmtId="0" fontId="11" fillId="0" borderId="3" applyAlignment="1" pivotButton="0" quotePrefix="0" xfId="0">
      <alignment horizontal="left" vertical="center"/>
    </xf>
    <xf numFmtId="1" fontId="11" fillId="0" borderId="3" applyAlignment="1" pivotButton="0" quotePrefix="0" xfId="0">
      <alignment horizontal="left" vertical="center"/>
    </xf>
    <xf numFmtId="170" fontId="11" fillId="0" borderId="3" applyAlignment="1" pivotButton="0" quotePrefix="0" xfId="0">
      <alignment horizontal="center" vertical="center"/>
    </xf>
    <xf numFmtId="176" fontId="11" fillId="0" borderId="3" applyAlignment="1" pivotButton="0" quotePrefix="0" xfId="0">
      <alignment horizontal="center" vertical="center"/>
    </xf>
    <xf numFmtId="177" fontId="11" fillId="0" borderId="3" applyAlignment="1" pivotButton="0" quotePrefix="0" xfId="0">
      <alignment horizontal="center" vertical="center"/>
    </xf>
    <xf numFmtId="173" fontId="11" fillId="0" borderId="3" applyAlignment="1" pivotButton="0" quotePrefix="0" xfId="0">
      <alignment horizontal="center" vertical="center"/>
    </xf>
    <xf numFmtId="172" fontId="11" fillId="0" borderId="3" applyAlignment="1" pivotButton="0" quotePrefix="0" xfId="0">
      <alignment horizontal="center" vertical="center"/>
    </xf>
    <xf numFmtId="1" fontId="11" fillId="0" borderId="3" applyAlignment="1" pivotButton="0" quotePrefix="0" xfId="0">
      <alignment horizontal="center" vertical="center"/>
    </xf>
    <xf numFmtId="0" fontId="14" fillId="0" borderId="0" applyAlignment="1" pivotButton="0" quotePrefix="0" xfId="0">
      <alignment horizontal="center" vertical="center"/>
    </xf>
    <xf numFmtId="0" fontId="14" fillId="6" borderId="0" applyAlignment="1" pivotButton="0" quotePrefix="0" xfId="0">
      <alignment horizontal="center" vertical="center"/>
    </xf>
    <xf numFmtId="0" fontId="14" fillId="0" borderId="0" applyAlignment="1" pivotButton="0" quotePrefix="0" xfId="0">
      <alignment horizontal="left" vertical="center"/>
    </xf>
    <xf numFmtId="0" fontId="11" fillId="0" borderId="0" applyAlignment="1" pivotButton="0" quotePrefix="0" xfId="0">
      <alignment horizontal="left" vertical="center"/>
    </xf>
    <xf numFmtId="1" fontId="11" fillId="0" borderId="0" applyAlignment="1" pivotButton="0" quotePrefix="0" xfId="0">
      <alignment horizontal="center" vertical="center"/>
    </xf>
    <xf numFmtId="0" fontId="11" fillId="6" borderId="0" applyAlignment="1" pivotButton="0" quotePrefix="0" xfId="0">
      <alignment horizontal="left" vertical="center"/>
    </xf>
    <xf numFmtId="0" fontId="12" fillId="6" borderId="0" applyAlignment="1" pivotButton="0" quotePrefix="0" xfId="0">
      <alignment horizontal="left" vertical="center"/>
    </xf>
    <xf numFmtId="1" fontId="11" fillId="6" borderId="0" applyAlignment="1" pivotButton="0" quotePrefix="0" xfId="0">
      <alignment horizontal="center" vertical="center"/>
    </xf>
    <xf numFmtId="172" fontId="11" fillId="6" borderId="3" applyAlignment="1" pivotButton="0" quotePrefix="0" xfId="0">
      <alignment horizontal="center" vertical="center"/>
    </xf>
    <xf numFmtId="172" fontId="12" fillId="0" borderId="0" applyAlignment="1" pivotButton="0" quotePrefix="0" xfId="0">
      <alignment horizontal="center" vertical="center"/>
    </xf>
    <xf numFmtId="170" fontId="12" fillId="0" borderId="0" applyAlignment="1" pivotButton="0" quotePrefix="0" xfId="0">
      <alignment horizontal="center" vertical="center"/>
    </xf>
    <xf numFmtId="0" fontId="9" fillId="0" borderId="0" applyAlignment="1" pivotButton="0" quotePrefix="0" xfId="0">
      <alignment horizontal="left" vertical="center"/>
    </xf>
    <xf numFmtId="172" fontId="11" fillId="0" borderId="0" pivotButton="0" quotePrefix="0" xfId="0"/>
    <xf numFmtId="0" fontId="11" fillId="0" borderId="0" pivotButton="0" quotePrefix="0" xfId="0"/>
    <xf numFmtId="1" fontId="11" fillId="0" borderId="0" pivotButton="0" quotePrefix="0" xfId="0"/>
    <xf numFmtId="170" fontId="11" fillId="0" borderId="0" pivotButton="0" quotePrefix="0" xfId="0"/>
    <xf numFmtId="174" fontId="11" fillId="0" borderId="0" pivotButton="0" quotePrefix="0" xfId="0"/>
    <xf numFmtId="169" fontId="11" fillId="0" borderId="0" pivotButton="0" quotePrefix="0" xfId="0"/>
    <xf numFmtId="2" fontId="11" fillId="0" borderId="0" pivotButton="0" quotePrefix="0" xfId="0"/>
    <xf numFmtId="175" fontId="11" fillId="0" borderId="0" pivotButton="0" quotePrefix="0" xfId="0"/>
    <xf numFmtId="0" fontId="13" fillId="0" borderId="0" pivotButton="0" quotePrefix="0" xfId="0"/>
    <xf numFmtId="1" fontId="13" fillId="0" borderId="0" pivotButton="0" quotePrefix="0" xfId="0"/>
    <xf numFmtId="172" fontId="13" fillId="0" borderId="0" pivotButton="0" quotePrefix="0" xfId="0"/>
    <xf numFmtId="169" fontId="13" fillId="0" borderId="0" pivotButton="0" quotePrefix="0" xfId="0"/>
    <xf numFmtId="176" fontId="13" fillId="0" borderId="0" pivotButton="0" quotePrefix="0" xfId="0"/>
    <xf numFmtId="177" fontId="13" fillId="0" borderId="0" pivotButton="0" quotePrefix="0" xfId="0"/>
    <xf numFmtId="173" fontId="13" fillId="0" borderId="0" pivotButton="0" quotePrefix="0" xfId="0"/>
    <xf numFmtId="170" fontId="13" fillId="0" borderId="0" pivotButton="0" quotePrefix="0" xfId="0"/>
    <xf numFmtId="171" fontId="13" fillId="0" borderId="0" pivotButton="0" quotePrefix="0" xfId="0"/>
    <xf numFmtId="0" fontId="1" fillId="2" borderId="0" applyAlignment="1" pivotButton="0" quotePrefix="0" xfId="0">
      <alignment horizontal="centerContinuous" vertical="center"/>
    </xf>
    <xf numFmtId="0" fontId="2" fillId="3" borderId="0" applyAlignment="1" pivotButton="0" quotePrefix="0" xfId="0">
      <alignment vertical="center"/>
    </xf>
    <xf numFmtId="0" fontId="3" fillId="2" borderId="0" applyAlignment="1" pivotButton="0" quotePrefix="0" xfId="0">
      <alignment horizontal="center" vertical="center" wrapText="1"/>
    </xf>
    <xf numFmtId="164" fontId="4" fillId="0" borderId="0" applyAlignment="1" pivotButton="0" quotePrefix="0" xfId="0">
      <alignment horizontal="left"/>
    </xf>
    <xf numFmtId="165" fontId="4" fillId="0" borderId="0" applyAlignment="1" pivotButton="0" quotePrefix="0" xfId="0">
      <alignment horizontal="center"/>
    </xf>
    <xf numFmtId="164" fontId="4" fillId="0" borderId="0" applyAlignment="1" pivotButton="0" quotePrefix="0" xfId="0">
      <alignment horizontal="center"/>
    </xf>
    <xf numFmtId="166" fontId="4" fillId="0" borderId="0" applyAlignment="1" pivotButton="0" quotePrefix="0" xfId="0">
      <alignment horizontal="center"/>
    </xf>
    <xf numFmtId="164" fontId="5" fillId="0" borderId="0" applyAlignment="1" pivotButton="0" quotePrefix="0" xfId="0">
      <alignment horizontal="center"/>
    </xf>
    <xf numFmtId="164" fontId="3" fillId="2" borderId="0" applyAlignment="1" pivotButton="0" quotePrefix="0" xfId="0">
      <alignment horizontal="left"/>
    </xf>
    <xf numFmtId="165" fontId="3" fillId="2" borderId="0" applyAlignment="1" pivotButton="0" quotePrefix="0" xfId="0">
      <alignment horizontal="center"/>
    </xf>
    <xf numFmtId="164" fontId="3" fillId="2" borderId="0" applyAlignment="1" pivotButton="0" quotePrefix="0" xfId="0">
      <alignment horizontal="center"/>
    </xf>
    <xf numFmtId="166" fontId="3" fillId="2"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center"/>
    </xf>
    <xf numFmtId="167" fontId="5" fillId="0" borderId="0" applyAlignment="1" pivotButton="0" quotePrefix="0" xfId="0">
      <alignment horizontal="center"/>
    </xf>
    <xf numFmtId="169" fontId="5" fillId="0" borderId="0" applyAlignment="1" pivotButton="0" quotePrefix="0" xfId="0">
      <alignment horizontal="center"/>
    </xf>
    <xf numFmtId="165" fontId="5" fillId="0" borderId="0" applyAlignment="1" pivotButton="0" quotePrefix="0" xfId="0">
      <alignment horizontal="center"/>
    </xf>
    <xf numFmtId="0" fontId="4" fillId="4" borderId="0" applyAlignment="1" pivotButton="0" quotePrefix="0" xfId="0">
      <alignment horizontal="center"/>
    </xf>
    <xf numFmtId="0" fontId="5" fillId="4" borderId="0" applyAlignment="1" pivotButton="0" quotePrefix="0" xfId="0">
      <alignment horizontal="left"/>
    </xf>
    <xf numFmtId="0" fontId="5" fillId="4" borderId="0" applyAlignment="1" pivotButton="0" quotePrefix="0" xfId="0">
      <alignment horizontal="center"/>
    </xf>
    <xf numFmtId="167" fontId="5" fillId="4" borderId="0" applyAlignment="1" pivotButton="0" quotePrefix="0" xfId="0">
      <alignment horizontal="center"/>
    </xf>
    <xf numFmtId="169" fontId="5" fillId="4" borderId="0" applyAlignment="1" pivotButton="0" quotePrefix="0" xfId="0">
      <alignment horizontal="center"/>
    </xf>
    <xf numFmtId="165" fontId="5" fillId="4" borderId="0" applyAlignment="1" pivotButton="0" quotePrefix="0" xfId="0">
      <alignment horizontal="center"/>
    </xf>
    <xf numFmtId="164" fontId="5" fillId="4" borderId="0" applyAlignment="1" pivotButton="0" quotePrefix="0" xfId="0">
      <alignment horizontal="center"/>
    </xf>
    <xf numFmtId="166" fontId="4" fillId="4" borderId="0" applyAlignment="1" pivotButton="0" quotePrefix="0" xfId="0">
      <alignment horizontal="center"/>
    </xf>
    <xf numFmtId="164" fontId="4" fillId="4" borderId="0" applyAlignment="1" pivotButton="0" quotePrefix="0" xfId="0">
      <alignment horizontal="center"/>
    </xf>
    <xf numFmtId="0" fontId="3" fillId="2" borderId="1" applyAlignment="1" pivotButton="0" quotePrefix="0" xfId="0">
      <alignment horizontal="center"/>
    </xf>
    <xf numFmtId="0" fontId="3" fillId="2" borderId="1" applyAlignment="1" pivotButton="0" quotePrefix="0" xfId="0">
      <alignment horizontal="left"/>
    </xf>
    <xf numFmtId="167" fontId="3" fillId="2" borderId="1" applyAlignment="1" pivotButton="0" quotePrefix="0" xfId="0">
      <alignment horizontal="center"/>
    </xf>
    <xf numFmtId="165" fontId="3" fillId="2" borderId="1" applyAlignment="1" pivotButton="0" quotePrefix="0" xfId="0">
      <alignment horizontal="center"/>
    </xf>
    <xf numFmtId="164" fontId="3" fillId="2" borderId="1" applyAlignment="1" pivotButton="0" quotePrefix="0" xfId="0">
      <alignment horizontal="center"/>
    </xf>
    <xf numFmtId="166" fontId="3" fillId="2" borderId="1" applyAlignment="1" pivotButton="0" quotePrefix="0" xfId="0">
      <alignment horizontal="center"/>
    </xf>
    <xf numFmtId="0" fontId="6" fillId="0" borderId="0" pivotButton="0" quotePrefix="0" xfId="0"/>
    <xf numFmtId="0" fontId="11" fillId="0" borderId="0" applyAlignment="1" pivotButton="0" quotePrefix="0" xfId="0">
      <alignment horizontal="center" vertical="center"/>
    </xf>
    <xf numFmtId="171" fontId="13" fillId="0" borderId="0" applyAlignment="1" pivotButton="0" quotePrefix="0" xfId="0">
      <alignment horizontal="center" vertical="center"/>
    </xf>
  </cellXfs>
  <cellStyles count="1">
    <cellStyle name="Normal" xfId="0" builtinId="0" hidden="0"/>
  </cellStyles>
  <dxfs count="2">
    <dxf>
      <fill>
        <patternFill patternType="solid">
          <fgColor rgb="FFE2EFDA"/>
        </patternFill>
      </fill>
    </dxf>
    <dxf>
      <fill>
        <patternFill patternType="solid">
          <fgColor rgb="FFF2DCD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2F51"/>
    <outlinePr summaryBelow="1" summaryRight="1"/>
    <pageSetUpPr fitToPage="1"/>
  </sheetPr>
  <dimension ref="B2:X359"/>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8"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13.5" customWidth="1" min="14" max="14"/>
    <col width="13.5" customWidth="1" min="15" max="15"/>
    <col width="13.5" customWidth="1" min="16" max="16"/>
    <col width="13.5" customWidth="1" min="17" max="17"/>
    <col width="13.5" customWidth="1" min="18" max="18"/>
    <col width="13.5" customWidth="1" min="19" max="19"/>
    <col width="13.5" customWidth="1" min="20" max="20"/>
    <col width="13.5" customWidth="1" min="21" max="21"/>
    <col width="2.8" customWidth="1" min="22" max="22"/>
    <col width="30" customWidth="1" min="23" max="23"/>
    <col width="16" customWidth="1" min="24" max="24"/>
  </cols>
  <sheetData>
    <row r="2" ht="18.5" customHeight="1">
      <c r="B2" s="1" t="inlineStr">
        <is>
          <t>KKR TRANSACTION (RECOP I CMBS B-PIECES): COLLATERAL POOL STRATIFICATIONS</t>
        </is>
      </c>
      <c r="C2" s="1" t="n"/>
      <c r="D2" s="1" t="n"/>
      <c r="E2" s="1" t="n"/>
      <c r="F2" s="1" t="n"/>
      <c r="G2" s="1" t="n"/>
      <c r="H2" s="1" t="n"/>
      <c r="I2" s="1" t="n"/>
      <c r="J2" s="1" t="n"/>
      <c r="K2" s="1" t="n"/>
      <c r="L2" s="1" t="n"/>
      <c r="M2" s="1" t="n"/>
      <c r="N2" s="1" t="n"/>
      <c r="O2" s="1" t="n"/>
      <c r="P2" s="1" t="n"/>
      <c r="Q2" s="1" t="n"/>
      <c r="R2" s="1" t="n"/>
      <c r="S2" s="1" t="n"/>
      <c r="T2" s="1" t="n"/>
      <c r="U2" s="1" t="n"/>
    </row>
    <row r="4" ht="15" customHeight="1">
      <c r="B4" s="2" t="inlineStr">
        <is>
          <t>POOL OVERVIEW</t>
        </is>
      </c>
      <c r="C4" s="3" t="n"/>
      <c r="D4" s="3" t="n"/>
      <c r="E4" s="3" t="n"/>
      <c r="F4" s="3" t="n"/>
      <c r="G4" s="3" t="n"/>
      <c r="H4" s="3" t="n"/>
      <c r="I4" s="3" t="n"/>
      <c r="J4" s="3" t="n"/>
      <c r="K4" s="3" t="n"/>
      <c r="L4" s="3" t="n"/>
      <c r="M4" s="3" t="n"/>
      <c r="N4" s="3" t="n"/>
      <c r="O4" s="3" t="n"/>
      <c r="P4" s="3" t="n"/>
      <c r="Q4" s="3" t="n"/>
      <c r="R4" s="3" t="n"/>
      <c r="S4" s="3" t="n"/>
      <c r="T4" s="3" t="n"/>
      <c r="U4" s="3" t="n"/>
    </row>
    <row r="5">
      <c r="B5" s="4" t="inlineStr">
        <is>
          <t>Data As Of (Intex Remit)</t>
        </is>
      </c>
      <c r="C5" s="5">
        <f>MAX(tRptDate)</f>
        <v/>
      </c>
      <c r="E5" s="4" t="inlineStr">
        <is>
          <t>Wtd. Avg. Gross Coupon</t>
        </is>
      </c>
      <c r="F5" s="6" t="n"/>
      <c r="G5" s="6" t="n"/>
      <c r="H5" s="6" t="n"/>
      <c r="I5" s="7">
        <f>IFERROR(SUMPRODUCT(tFlag*(1),tUPBf,tCpn)/SUMPRODUCT(tFlag*(1)*ISNUMBER(tCpn),tUPBf),0)</f>
        <v/>
      </c>
      <c r="K5" s="4" t="inlineStr">
        <is>
          <t>% Full IO</t>
        </is>
      </c>
      <c r="L5" s="6" t="n"/>
      <c r="M5" s="6" t="n"/>
      <c r="N5" s="6" t="n"/>
      <c r="O5" s="6" t="n"/>
      <c r="P5" s="8">
        <f>IFERROR(SUMPRODUCT(tFlag*(1),tUPBf,tFIO)/SUMPRODUCT(tFlag*(1),tUPBf),0)</f>
        <v/>
      </c>
    </row>
    <row r="6">
      <c r="B6" s="4" t="inlineStr">
        <is>
          <t>Deal Filter</t>
        </is>
      </c>
      <c r="C6" s="9" t="inlineStr">
        <is>
          <t>All Deals</t>
        </is>
      </c>
      <c r="E6" s="4" t="inlineStr">
        <is>
          <t>Wtd. Avg. UW NCF DSCR</t>
        </is>
      </c>
      <c r="F6" s="6" t="n"/>
      <c r="G6" s="6" t="n"/>
      <c r="H6" s="6" t="n"/>
      <c r="I6" s="10">
        <f>IFERROR(SUMPRODUCT(tFlag*(1),tUPBf,tUWDSCR)/SUMPRODUCT(tFlag*(1)*ISNUMBER(tUWDSCR),tUPBf),0)</f>
        <v/>
      </c>
      <c r="K6" s="4" t="inlineStr">
        <is>
          <t>% Partial IO</t>
        </is>
      </c>
      <c r="L6" s="6" t="n"/>
      <c r="M6" s="6" t="n"/>
      <c r="N6" s="6" t="n"/>
      <c r="O6" s="6" t="n"/>
      <c r="P6" s="8">
        <f>IFERROR(SUMPRODUCT(tFlag*(1),tUPBf,tPIO)/SUMPRODUCT(tFlag*(1),tUPBf),0)</f>
        <v/>
      </c>
    </row>
    <row r="7">
      <c r="B7" s="4" t="inlineStr">
        <is>
          <t>Holding Entity Filter</t>
        </is>
      </c>
      <c r="C7" s="9" t="inlineStr">
        <is>
          <t>All Entities</t>
        </is>
      </c>
      <c r="E7" s="4" t="inlineStr">
        <is>
          <t>Wtd. Avg. Current NCF DSCR</t>
        </is>
      </c>
      <c r="F7" s="6" t="n"/>
      <c r="G7" s="6" t="n"/>
      <c r="H7" s="6" t="n"/>
      <c r="I7" s="10">
        <f>IFERROR(SUMPRODUCT(tFlag*(1),tUPBf,tCurDSCR)/SUMPRODUCT(tFlag*(1)*ISNUMBER(tCurDSCR),tUPBf),0)</f>
        <v/>
      </c>
      <c r="K7" s="4" t="inlineStr">
        <is>
          <t>% Fully Defeased</t>
        </is>
      </c>
      <c r="L7" s="6" t="n"/>
      <c r="M7" s="6" t="n"/>
      <c r="N7" s="6" t="n"/>
      <c r="O7" s="6" t="n"/>
      <c r="P7" s="8">
        <f>IFERROR(SUMPRODUCT(tFlag*(1),tUPBf,tDefF)/SUMPRODUCT(tFlag*(1),tUPBf),0)</f>
        <v/>
      </c>
    </row>
    <row r="8">
      <c r="B8" s="4" t="inlineStr">
        <is>
          <t>Property Type Filter</t>
        </is>
      </c>
      <c r="C8" s="9" t="inlineStr">
        <is>
          <t>All Property Types</t>
        </is>
      </c>
      <c r="E8" s="4" t="inlineStr">
        <is>
          <t>Wtd. Avg. UW (Cut-Off) LTV</t>
        </is>
      </c>
      <c r="F8" s="6" t="n"/>
      <c r="G8" s="6" t="n"/>
      <c r="H8" s="6" t="n"/>
      <c r="I8" s="8">
        <f>IFERROR(SUMPRODUCT(tFlag*(1),tUPBf,tUWLTV)/SUMPRODUCT(tFlag*(1)*ISNUMBER(tUWLTV),tUPBf),0)</f>
        <v/>
      </c>
      <c r="K8" s="4" t="inlineStr">
        <is>
          <t>% Currently Specially Serviced</t>
        </is>
      </c>
      <c r="L8" s="6" t="n"/>
      <c r="M8" s="6" t="n"/>
      <c r="N8" s="6" t="n"/>
      <c r="O8" s="6" t="n"/>
      <c r="P8" s="8">
        <f>IFERROR(SUMPRODUCT(tFlag*(1),tUPBf,tSSF)/SUMPRODUCT(tFlag*(1),tUPBf),0)</f>
        <v/>
      </c>
    </row>
    <row r="9">
      <c r="B9" s="4" t="inlineStr">
        <is>
          <t>Defeased Loans</t>
        </is>
      </c>
      <c r="C9" s="9" t="inlineStr">
        <is>
          <t>Include</t>
        </is>
      </c>
      <c r="E9" s="4" t="inlineStr">
        <is>
          <t>Wtd. Avg. Current LTV (Latest Appraisal)</t>
        </is>
      </c>
      <c r="F9" s="6" t="n"/>
      <c r="G9" s="6" t="n"/>
      <c r="H9" s="6" t="n"/>
      <c r="I9" s="8">
        <f>IFERROR(SUMPRODUCT(tFlag*(1),tUPBf,tCurLTV)/SUMPRODUCT(tFlag*(1)*ISNUMBER(tCurLTV),tUPBf),0)</f>
        <v/>
      </c>
      <c r="K9" s="4" t="inlineStr">
        <is>
          <t>% 30+ Delinq. / FC / REO / NP Matured</t>
        </is>
      </c>
      <c r="L9" s="6" t="n"/>
      <c r="M9" s="6" t="n"/>
      <c r="N9" s="6" t="n"/>
      <c r="O9" s="6" t="n"/>
      <c r="P9" s="8">
        <f>IFERROR(SUMPRODUCT(tFlag*(1),tUPBf,tDQ)/SUMPRODUCT(tFlag*(1),tUPBf),0)</f>
        <v/>
      </c>
    </row>
    <row r="10">
      <c r="B10" s="4" t="inlineStr">
        <is>
          <t>Number of Deals</t>
        </is>
      </c>
      <c r="C10" s="11">
        <f>SUMPRODUCT((dmFiltUPB&gt;0)*1)</f>
        <v/>
      </c>
      <c r="E10" s="4" t="inlineStr">
        <is>
          <t>Wtd. Avg. UW LTV at Maturity</t>
        </is>
      </c>
      <c r="F10" s="6" t="n"/>
      <c r="G10" s="6" t="n"/>
      <c r="H10" s="6" t="n"/>
      <c r="I10" s="8">
        <f>IFERROR(SUMPRODUCT(tFlag*(1),tUPBf,tMatLTV)/SUMPRODUCT(tFlag*(1)*ISNUMBER(tMatLTV),tUPBf),0)</f>
        <v/>
      </c>
      <c r="K10" s="4" t="inlineStr">
        <is>
          <t>% REO</t>
        </is>
      </c>
      <c r="L10" s="6" t="n"/>
      <c r="M10" s="6" t="n"/>
      <c r="N10" s="6" t="n"/>
      <c r="O10" s="6" t="n"/>
      <c r="P10" s="8">
        <f>IFERROR(SUMPRODUCT(tFlag*(tPay="REO"),tUPBf)/sUPB,0)</f>
        <v/>
      </c>
    </row>
    <row r="11">
      <c r="B11" s="4" t="inlineStr">
        <is>
          <t>Number of Loans (Trust Notes)</t>
        </is>
      </c>
      <c r="C11" s="11">
        <f>SUM(tFlag)</f>
        <v/>
      </c>
      <c r="E11" s="4" t="inlineStr">
        <is>
          <t>Wtd. Avg. UW NCF Debt Yield</t>
        </is>
      </c>
      <c r="F11" s="6" t="n"/>
      <c r="G11" s="6" t="n"/>
      <c r="H11" s="6" t="n"/>
      <c r="I11" s="8">
        <f>IFERROR(SUMPRODUCT(tFlag*(1),tUPBf,tUWDY)/SUMPRODUCT(tFlag*(1)*ISNUMBER(tUWDY),tUPBf),0)</f>
        <v/>
      </c>
      <c r="K11" s="4" t="inlineStr">
        <is>
          <t>% On Watchlist</t>
        </is>
      </c>
      <c r="L11" s="6" t="n"/>
      <c r="M11" s="6" t="n"/>
      <c r="N11" s="6" t="n"/>
      <c r="O11" s="6" t="n"/>
      <c r="P11" s="8">
        <f>IFERROR(SUMPRODUCT(tFlag*(1),tUPBf,tWLF)/SUMPRODUCT(tFlag*(1),tUPBf),0)</f>
        <v/>
      </c>
    </row>
    <row r="12">
      <c r="B12" s="4" t="inlineStr">
        <is>
          <t>Unique Loans (Pari Passu Consolidated)</t>
        </is>
      </c>
      <c r="C12" s="11">
        <f>SUM(tFirst)</f>
        <v/>
      </c>
      <c r="E12" s="4" t="inlineStr">
        <is>
          <t>Wtd. Avg. Current NCF Debt Yield</t>
        </is>
      </c>
      <c r="F12" s="6" t="n"/>
      <c r="G12" s="6" t="n"/>
      <c r="H12" s="6" t="n"/>
      <c r="I12" s="8">
        <f>IFERROR(SUMPRODUCT(tFlag*(1),tUPBf,tCurDY)/SUMPRODUCT(tFlag*(1)*ISNUMBER(tCurDY),tUPBf),0)</f>
        <v/>
      </c>
      <c r="K12" s="4" t="inlineStr">
        <is>
          <t>% Pari Passu Split Loans</t>
        </is>
      </c>
      <c r="L12" s="6" t="n"/>
      <c r="M12" s="6" t="n"/>
      <c r="N12" s="6" t="n"/>
      <c r="O12" s="6" t="n"/>
      <c r="P12" s="8">
        <f>IFERROR(SUMPRODUCT(tFlag*(1),tUPBf,tPP)/SUMPRODUCT(tFlag*(1),tUPBf),0)</f>
        <v/>
      </c>
    </row>
    <row r="13">
      <c r="B13" s="4" t="inlineStr">
        <is>
          <t>Current UPB</t>
        </is>
      </c>
      <c r="C13" s="12">
        <f>SUM(tUPBf)</f>
        <v/>
      </c>
      <c r="E13" s="4" t="inlineStr">
        <is>
          <t>Wtd. Avg. Current Occupancy</t>
        </is>
      </c>
      <c r="F13" s="6" t="n"/>
      <c r="G13" s="6" t="n"/>
      <c r="H13" s="6" t="n"/>
      <c r="I13" s="8">
        <f>IFERROR(SUMPRODUCT(tFlag*(1),tUPBf,tOcc)/SUMPRODUCT(tFlag*(1)*ISNUMBER(tOcc),tUPBf),0)</f>
        <v/>
      </c>
      <c r="K13" s="4">
        <f>"% Maturing Within "&amp;mMatWindow&amp;" Months"</f>
        <v/>
      </c>
      <c r="L13" s="6" t="n"/>
      <c r="M13" s="6" t="n"/>
      <c r="N13" s="6" t="n"/>
      <c r="O13" s="6" t="n"/>
      <c r="P13" s="8">
        <f>IFERROR(SUMPRODUCT(tFlag*(1),tUPBf,tMat12)/SUMPRODUCT(tFlag*(1),tUPBf),0)</f>
        <v/>
      </c>
    </row>
    <row r="14">
      <c r="B14" s="4" t="inlineStr">
        <is>
          <t>Original Balance (Same Loans)</t>
        </is>
      </c>
      <c r="C14" s="12">
        <f>SUMPRODUCT(tFlag,tOrigBal)</f>
        <v/>
      </c>
      <c r="E14" s="4" t="inlineStr">
        <is>
          <t>Wtd. Avg. Rem. Term to Maturity (Mo.)</t>
        </is>
      </c>
      <c r="F14" s="6" t="n"/>
      <c r="G14" s="6" t="n"/>
      <c r="H14" s="6" t="n"/>
      <c r="I14" s="13">
        <f>IFERROR(SUMPRODUCT(tFlag*(1),tUPBf,tRem)/SUMPRODUCT(tFlag*(1)*ISNUMBER(tRem),tUPBf),0)</f>
        <v/>
      </c>
      <c r="K14" s="4" t="inlineStr">
        <is>
          <t>% Top 10 Loan Exposures</t>
        </is>
      </c>
      <c r="L14" s="6" t="n"/>
      <c r="M14" s="6" t="n"/>
      <c r="N14" s="6" t="n"/>
      <c r="O14" s="6" t="n"/>
      <c r="P14" s="8">
        <f>IFERROR(SUM($F$27:$F$36)/sUPB,0)</f>
        <v/>
      </c>
    </row>
    <row r="15">
      <c r="B15" s="4" t="inlineStr">
        <is>
          <t>Average Loan Size</t>
        </is>
      </c>
      <c r="C15" s="12">
        <f>IFERROR(C13/C11,0)</f>
        <v/>
      </c>
      <c r="E15" s="4" t="inlineStr">
        <is>
          <t>Wtd. Avg. Seasoning (Mo.)</t>
        </is>
      </c>
      <c r="F15" s="6" t="n"/>
      <c r="G15" s="6" t="n"/>
      <c r="H15" s="6" t="n"/>
      <c r="I15" s="13">
        <f>IFERROR(SUMPRODUCT(tFlag*(1),tUPBf,tAge)/SUMPRODUCT(tFlag*(1)*ISNUMBER(tAge),tUPBf),0)</f>
        <v/>
      </c>
      <c r="K15" s="4" t="inlineStr">
        <is>
          <t>Active Appraisal Reductions</t>
        </is>
      </c>
      <c r="L15" s="6" t="n"/>
      <c r="M15" s="6" t="n"/>
      <c r="N15" s="6" t="n"/>
      <c r="O15" s="6" t="n"/>
      <c r="P15" s="12">
        <f>SUMPRODUCT(tFlag,tARA)</f>
        <v/>
      </c>
    </row>
    <row r="16">
      <c r="B16" s="4" t="inlineStr">
        <is>
          <t>Largest Loan Exposure</t>
        </is>
      </c>
      <c r="C16" s="12">
        <f>MAX(tGrpUPB)</f>
        <v/>
      </c>
      <c r="E16" s="4" t="inlineStr">
        <is>
          <t>Pool Factor (Current / Original)</t>
        </is>
      </c>
      <c r="F16" s="6" t="n"/>
      <c r="G16" s="6" t="n"/>
      <c r="H16" s="6" t="n"/>
      <c r="I16" s="8">
        <f>IFERROR(C13/C14,0)</f>
        <v/>
      </c>
      <c r="K16" s="4" t="inlineStr">
        <is>
          <t>Outstanding P&amp;I Advances</t>
        </is>
      </c>
      <c r="L16" s="6" t="n"/>
      <c r="M16" s="6" t="n"/>
      <c r="N16" s="6" t="n"/>
      <c r="O16" s="6" t="n"/>
      <c r="P16" s="12">
        <f>SUMPRODUCT(tFlag,tAdv)</f>
        <v/>
      </c>
    </row>
    <row r="17">
      <c r="B17" s="4" t="inlineStr">
        <is>
          <t>RECOP Book Value (Deals in Filter)</t>
        </is>
      </c>
      <c r="C17" s="12">
        <f>SUMPRODUCT(dmInFilter,dmBook)</f>
        <v/>
      </c>
    </row>
    <row r="18">
      <c r="B18" s="4" t="inlineStr">
        <is>
          <t>RECOP Fair Value (Deals in Filter)</t>
        </is>
      </c>
      <c r="C18" s="12">
        <f>SUMPRODUCT(dmInFilter,dmFV)</f>
        <v/>
      </c>
    </row>
    <row r="20">
      <c r="B20" s="14">
        <f>"(1) Source: KKR Transaction Intex Collateral Export (Collat Tape tab), remit data as of "&amp;TEXT(C5,"mm/dd/yyyy")&amp;"; RECOP I book and fair values per the Q2 2026 Combined Schedule of Investments (RECOP Tape tab)."</f>
        <v/>
      </c>
    </row>
    <row r="21">
      <c r="B21" s="14" t="inlineStr">
        <is>
          <t>(2) Strats cover active loans only (Current Balance above zero) in deals flagged Include in Pool on the Deal Map tab, after the four toggles above. Use the dropdowns in C6:C9 to filter by deal, RECOP holding entity, property type or defeasance.</t>
        </is>
      </c>
    </row>
    <row r="22">
      <c r="B22" s="14" t="inlineStr">
        <is>
          <t>(3) Loan counts are trust notes; a pari passu loan held by several trusts counts once per trust. Unique Loans and the Top 10 table consolidate notes by Intex Unique ID. All weighted averages are weighted by Current UPB and exclude loans missing the metric.</t>
        </is>
      </c>
    </row>
    <row r="23">
      <c r="B23" s="14" t="inlineStr">
        <is>
          <t>(4) UW metrics are at securitization (Intex Underwritten / Cut-Off fields). Current DSCR and Debt Yield use the most recent reported NCF; Current LTV uses the latest appraisal value in Intex. Delinquency uses Intex Delinq (Consolidated), then CREFC payment status.</t>
        </is>
      </c>
    </row>
    <row r="25" ht="15" customHeight="1">
      <c r="B25" s="2" t="inlineStr">
        <is>
          <t>TEN LARGEST LOAN EXPOSURES (NOTES CONSOLIDATED ACROSS DEALS)</t>
        </is>
      </c>
      <c r="C25" s="3" t="n"/>
      <c r="D25" s="3" t="n"/>
      <c r="E25" s="3" t="n"/>
      <c r="F25" s="3" t="n"/>
      <c r="G25" s="3" t="n"/>
      <c r="H25" s="3" t="n"/>
      <c r="I25" s="3" t="n"/>
      <c r="J25" s="3" t="n"/>
      <c r="K25" s="3" t="n"/>
      <c r="L25" s="3" t="n"/>
      <c r="M25" s="3" t="n"/>
      <c r="N25" s="3" t="n"/>
      <c r="O25" s="3" t="n"/>
      <c r="P25" s="3" t="n"/>
      <c r="Q25" s="3" t="n"/>
      <c r="R25" s="3" t="n"/>
      <c r="S25" s="3" t="n"/>
      <c r="T25" s="3" t="n"/>
      <c r="U25" s="3" t="n"/>
    </row>
    <row r="26" ht="39.75" customHeight="1">
      <c r="B26" s="15" t="inlineStr">
        <is>
          <t>Loan / Property Name</t>
        </is>
      </c>
      <c r="C26" s="16" t="inlineStr">
        <is>
          <t>Notes in Filter (#)</t>
        </is>
      </c>
      <c r="D26" s="16" t="inlineStr">
        <is>
          <t>Property Type</t>
        </is>
      </c>
      <c r="E26" s="16" t="inlineStr">
        <is>
          <t>State</t>
        </is>
      </c>
      <c r="F26" s="16" t="inlineStr">
        <is>
          <t>Current UPB (All Notes)</t>
        </is>
      </c>
      <c r="G26" s="16" t="inlineStr">
        <is>
          <t>% of UPB</t>
        </is>
      </c>
      <c r="H26" s="16" t="inlineStr">
        <is>
          <t>Gross Coupon</t>
        </is>
      </c>
      <c r="I26" s="16" t="inlineStr">
        <is>
          <t>UW NCF DSCR</t>
        </is>
      </c>
      <c r="J26" s="16" t="inlineStr">
        <is>
          <t>Current NCF DSCR</t>
        </is>
      </c>
      <c r="K26" s="16" t="inlineStr">
        <is>
          <t>UW LTV</t>
        </is>
      </c>
      <c r="L26" s="16" t="inlineStr">
        <is>
          <t>Current LTV</t>
        </is>
      </c>
      <c r="M26" s="16" t="inlineStr">
        <is>
          <t>UW NCF Debt Yield</t>
        </is>
      </c>
      <c r="N26" s="16" t="inlineStr">
        <is>
          <t>Current NCF Debt Yield</t>
        </is>
      </c>
      <c r="O26" s="16" t="inlineStr">
        <is>
          <t>Current Occupancy</t>
        </is>
      </c>
      <c r="P26" s="16" t="inlineStr">
        <is>
          <t>Rem. Term (Mo.)</t>
        </is>
      </c>
      <c r="Q26" s="16" t="inlineStr">
        <is>
          <t>Maturity (ARD if Any)</t>
        </is>
      </c>
      <c r="R26" s="16" t="inlineStr">
        <is>
          <t>Payment Status</t>
        </is>
      </c>
      <c r="S26" s="16" t="inlineStr">
        <is>
          <t>Servicing Status</t>
        </is>
      </c>
      <c r="T26" s="16" t="inlineStr">
        <is>
          <t>Watchlist Status</t>
        </is>
      </c>
      <c r="U26" s="17" t="inlineStr">
        <is>
          <t>Defeased</t>
        </is>
      </c>
      <c r="W26" s="17" t="inlineStr">
        <is>
          <t>Tape Row Index</t>
        </is>
      </c>
    </row>
    <row r="27">
      <c r="B27" s="18">
        <f>IF($W27="","",INDEX(tName,$W27))</f>
        <v/>
      </c>
      <c r="C27" s="19">
        <f>IF($W27="","",INDEX(tGrpDeals,$W27))</f>
        <v/>
      </c>
      <c r="D27" s="20">
        <f>IF($W27="","",INDEX(tPType,$W27))</f>
        <v/>
      </c>
      <c r="E27" s="20">
        <f>IF($W27="","",INDEX(tState,$W27))</f>
        <v/>
      </c>
      <c r="F27" s="21">
        <f>IF($W27="","",INDEX(tGrpUPB,$W27))</f>
        <v/>
      </c>
      <c r="G27" s="22">
        <f>IFERROR(F27/sUPB,0)</f>
        <v/>
      </c>
      <c r="H27" s="23">
        <f>IF($W27="","",INDEX(tCpn,$W27))</f>
        <v/>
      </c>
      <c r="I27" s="24">
        <f>IF($W27="","",INDEX(tUWDSCR,$W27))</f>
        <v/>
      </c>
      <c r="J27" s="24">
        <f>IF($W27="","",INDEX(tCurDSCR,$W27))</f>
        <v/>
      </c>
      <c r="K27" s="22">
        <f>IF($W27="","",INDEX(tUWLTV,$W27))</f>
        <v/>
      </c>
      <c r="L27" s="22">
        <f>IF($W27="","",INDEX(tCurLTV,$W27))</f>
        <v/>
      </c>
      <c r="M27" s="22">
        <f>IF($W27="","",INDEX(tUWDY,$W27))</f>
        <v/>
      </c>
      <c r="N27" s="22">
        <f>IF($W27="","",INDEX(tCurDY,$W27))</f>
        <v/>
      </c>
      <c r="O27" s="22">
        <f>IF($W27="","",INDEX(tOcc,$W27))</f>
        <v/>
      </c>
      <c r="P27" s="19">
        <f>IF($W27="","",INDEX(tRem,$W27))</f>
        <v/>
      </c>
      <c r="Q27" s="25">
        <f>IF($W27="","",INDEX(tMatDate,$W27))</f>
        <v/>
      </c>
      <c r="R27" s="26">
        <f>IF($W27="","",INDEX(tPay,$W27))</f>
        <v/>
      </c>
      <c r="S27" s="20">
        <f>IF($W27="","",IF(INDEX(tSSF,$W27)=1,"Current SS",IF(INDEX(tSS,$W27)="Previously Specially Serviced","Prior SS","Never SS")))</f>
        <v/>
      </c>
      <c r="T27" s="20">
        <f>IF($W27="","",IF(INDEX(tWLF,$W27)=1,"Current",IF(INDEX(tWL,$W27)="Previously on Watchlist","Prior","Never")))</f>
        <v/>
      </c>
      <c r="U27" s="20">
        <f>IF($W27="","",IF(INDEX(tDefF,$W27)=1,"Defeased",""))</f>
        <v/>
      </c>
      <c r="W27" s="19">
        <f>IF(LARGE(tGrpKey,1)=0,"",MATCH(LARGE(tGrpKey,1),tGrpKey,0))</f>
        <v/>
      </c>
    </row>
    <row r="28">
      <c r="B28" s="27">
        <f>IF($W28="","",INDEX(tName,$W28))</f>
        <v/>
      </c>
      <c r="C28" s="28">
        <f>IF($W28="","",INDEX(tGrpDeals,$W28))</f>
        <v/>
      </c>
      <c r="D28" s="29">
        <f>IF($W28="","",INDEX(tPType,$W28))</f>
        <v/>
      </c>
      <c r="E28" s="29">
        <f>IF($W28="","",INDEX(tState,$W28))</f>
        <v/>
      </c>
      <c r="F28" s="30">
        <f>IF($W28="","",INDEX(tGrpUPB,$W28))</f>
        <v/>
      </c>
      <c r="G28" s="31">
        <f>IFERROR(F28/sUPB,0)</f>
        <v/>
      </c>
      <c r="H28" s="32">
        <f>IF($W28="","",INDEX(tCpn,$W28))</f>
        <v/>
      </c>
      <c r="I28" s="33">
        <f>IF($W28="","",INDEX(tUWDSCR,$W28))</f>
        <v/>
      </c>
      <c r="J28" s="33">
        <f>IF($W28="","",INDEX(tCurDSCR,$W28))</f>
        <v/>
      </c>
      <c r="K28" s="31">
        <f>IF($W28="","",INDEX(tUWLTV,$W28))</f>
        <v/>
      </c>
      <c r="L28" s="31">
        <f>IF($W28="","",INDEX(tCurLTV,$W28))</f>
        <v/>
      </c>
      <c r="M28" s="31">
        <f>IF($W28="","",INDEX(tUWDY,$W28))</f>
        <v/>
      </c>
      <c r="N28" s="31">
        <f>IF($W28="","",INDEX(tCurDY,$W28))</f>
        <v/>
      </c>
      <c r="O28" s="31">
        <f>IF($W28="","",INDEX(tOcc,$W28))</f>
        <v/>
      </c>
      <c r="P28" s="28">
        <f>IF($W28="","",INDEX(tRem,$W28))</f>
        <v/>
      </c>
      <c r="Q28" s="34">
        <f>IF($W28="","",INDEX(tMatDate,$W28))</f>
        <v/>
      </c>
      <c r="R28" s="35">
        <f>IF($W28="","",INDEX(tPay,$W28))</f>
        <v/>
      </c>
      <c r="S28" s="29">
        <f>IF($W28="","",IF(INDEX(tSSF,$W28)=1,"Current SS",IF(INDEX(tSS,$W28)="Previously Specially Serviced","Prior SS","Never SS")))</f>
        <v/>
      </c>
      <c r="T28" s="29">
        <f>IF($W28="","",IF(INDEX(tWLF,$W28)=1,"Current",IF(INDEX(tWL,$W28)="Previously on Watchlist","Prior","Never")))</f>
        <v/>
      </c>
      <c r="U28" s="29">
        <f>IF($W28="","",IF(INDEX(tDefF,$W28)=1,"Defeased",""))</f>
        <v/>
      </c>
      <c r="W28" s="19">
        <f>IF(LARGE(tGrpKey,2)=0,"",MATCH(LARGE(tGrpKey,2),tGrpKey,0))</f>
        <v/>
      </c>
    </row>
    <row r="29">
      <c r="B29" s="18">
        <f>IF($W29="","",INDEX(tName,$W29))</f>
        <v/>
      </c>
      <c r="C29" s="19">
        <f>IF($W29="","",INDEX(tGrpDeals,$W29))</f>
        <v/>
      </c>
      <c r="D29" s="20">
        <f>IF($W29="","",INDEX(tPType,$W29))</f>
        <v/>
      </c>
      <c r="E29" s="20">
        <f>IF($W29="","",INDEX(tState,$W29))</f>
        <v/>
      </c>
      <c r="F29" s="21">
        <f>IF($W29="","",INDEX(tGrpUPB,$W29))</f>
        <v/>
      </c>
      <c r="G29" s="22">
        <f>IFERROR(F29/sUPB,0)</f>
        <v/>
      </c>
      <c r="H29" s="23">
        <f>IF($W29="","",INDEX(tCpn,$W29))</f>
        <v/>
      </c>
      <c r="I29" s="24">
        <f>IF($W29="","",INDEX(tUWDSCR,$W29))</f>
        <v/>
      </c>
      <c r="J29" s="24">
        <f>IF($W29="","",INDEX(tCurDSCR,$W29))</f>
        <v/>
      </c>
      <c r="K29" s="22">
        <f>IF($W29="","",INDEX(tUWLTV,$W29))</f>
        <v/>
      </c>
      <c r="L29" s="22">
        <f>IF($W29="","",INDEX(tCurLTV,$W29))</f>
        <v/>
      </c>
      <c r="M29" s="22">
        <f>IF($W29="","",INDEX(tUWDY,$W29))</f>
        <v/>
      </c>
      <c r="N29" s="22">
        <f>IF($W29="","",INDEX(tCurDY,$W29))</f>
        <v/>
      </c>
      <c r="O29" s="22">
        <f>IF($W29="","",INDEX(tOcc,$W29))</f>
        <v/>
      </c>
      <c r="P29" s="19">
        <f>IF($W29="","",INDEX(tRem,$W29))</f>
        <v/>
      </c>
      <c r="Q29" s="25">
        <f>IF($W29="","",INDEX(tMatDate,$W29))</f>
        <v/>
      </c>
      <c r="R29" s="26">
        <f>IF($W29="","",INDEX(tPay,$W29))</f>
        <v/>
      </c>
      <c r="S29" s="20">
        <f>IF($W29="","",IF(INDEX(tSSF,$W29)=1,"Current SS",IF(INDEX(tSS,$W29)="Previously Specially Serviced","Prior SS","Never SS")))</f>
        <v/>
      </c>
      <c r="T29" s="20">
        <f>IF($W29="","",IF(INDEX(tWLF,$W29)=1,"Current",IF(INDEX(tWL,$W29)="Previously on Watchlist","Prior","Never")))</f>
        <v/>
      </c>
      <c r="U29" s="20">
        <f>IF($W29="","",IF(INDEX(tDefF,$W29)=1,"Defeased",""))</f>
        <v/>
      </c>
      <c r="W29" s="19">
        <f>IF(LARGE(tGrpKey,3)=0,"",MATCH(LARGE(tGrpKey,3),tGrpKey,0))</f>
        <v/>
      </c>
    </row>
    <row r="30">
      <c r="B30" s="27">
        <f>IF($W30="","",INDEX(tName,$W30))</f>
        <v/>
      </c>
      <c r="C30" s="28">
        <f>IF($W30="","",INDEX(tGrpDeals,$W30))</f>
        <v/>
      </c>
      <c r="D30" s="29">
        <f>IF($W30="","",INDEX(tPType,$W30))</f>
        <v/>
      </c>
      <c r="E30" s="29">
        <f>IF($W30="","",INDEX(tState,$W30))</f>
        <v/>
      </c>
      <c r="F30" s="30">
        <f>IF($W30="","",INDEX(tGrpUPB,$W30))</f>
        <v/>
      </c>
      <c r="G30" s="31">
        <f>IFERROR(F30/sUPB,0)</f>
        <v/>
      </c>
      <c r="H30" s="32">
        <f>IF($W30="","",INDEX(tCpn,$W30))</f>
        <v/>
      </c>
      <c r="I30" s="33">
        <f>IF($W30="","",INDEX(tUWDSCR,$W30))</f>
        <v/>
      </c>
      <c r="J30" s="33">
        <f>IF($W30="","",INDEX(tCurDSCR,$W30))</f>
        <v/>
      </c>
      <c r="K30" s="31">
        <f>IF($W30="","",INDEX(tUWLTV,$W30))</f>
        <v/>
      </c>
      <c r="L30" s="31">
        <f>IF($W30="","",INDEX(tCurLTV,$W30))</f>
        <v/>
      </c>
      <c r="M30" s="31">
        <f>IF($W30="","",INDEX(tUWDY,$W30))</f>
        <v/>
      </c>
      <c r="N30" s="31">
        <f>IF($W30="","",INDEX(tCurDY,$W30))</f>
        <v/>
      </c>
      <c r="O30" s="31">
        <f>IF($W30="","",INDEX(tOcc,$W30))</f>
        <v/>
      </c>
      <c r="P30" s="28">
        <f>IF($W30="","",INDEX(tRem,$W30))</f>
        <v/>
      </c>
      <c r="Q30" s="34">
        <f>IF($W30="","",INDEX(tMatDate,$W30))</f>
        <v/>
      </c>
      <c r="R30" s="35">
        <f>IF($W30="","",INDEX(tPay,$W30))</f>
        <v/>
      </c>
      <c r="S30" s="29">
        <f>IF($W30="","",IF(INDEX(tSSF,$W30)=1,"Current SS",IF(INDEX(tSS,$W30)="Previously Specially Serviced","Prior SS","Never SS")))</f>
        <v/>
      </c>
      <c r="T30" s="29">
        <f>IF($W30="","",IF(INDEX(tWLF,$W30)=1,"Current",IF(INDEX(tWL,$W30)="Previously on Watchlist","Prior","Never")))</f>
        <v/>
      </c>
      <c r="U30" s="29">
        <f>IF($W30="","",IF(INDEX(tDefF,$W30)=1,"Defeased",""))</f>
        <v/>
      </c>
      <c r="W30" s="19">
        <f>IF(LARGE(tGrpKey,4)=0,"",MATCH(LARGE(tGrpKey,4),tGrpKey,0))</f>
        <v/>
      </c>
    </row>
    <row r="31">
      <c r="B31" s="18">
        <f>IF($W31="","",INDEX(tName,$W31))</f>
        <v/>
      </c>
      <c r="C31" s="19">
        <f>IF($W31="","",INDEX(tGrpDeals,$W31))</f>
        <v/>
      </c>
      <c r="D31" s="20">
        <f>IF($W31="","",INDEX(tPType,$W31))</f>
        <v/>
      </c>
      <c r="E31" s="20">
        <f>IF($W31="","",INDEX(tState,$W31))</f>
        <v/>
      </c>
      <c r="F31" s="21">
        <f>IF($W31="","",INDEX(tGrpUPB,$W31))</f>
        <v/>
      </c>
      <c r="G31" s="22">
        <f>IFERROR(F31/sUPB,0)</f>
        <v/>
      </c>
      <c r="H31" s="23">
        <f>IF($W31="","",INDEX(tCpn,$W31))</f>
        <v/>
      </c>
      <c r="I31" s="24">
        <f>IF($W31="","",INDEX(tUWDSCR,$W31))</f>
        <v/>
      </c>
      <c r="J31" s="24">
        <f>IF($W31="","",INDEX(tCurDSCR,$W31))</f>
        <v/>
      </c>
      <c r="K31" s="22">
        <f>IF($W31="","",INDEX(tUWLTV,$W31))</f>
        <v/>
      </c>
      <c r="L31" s="22">
        <f>IF($W31="","",INDEX(tCurLTV,$W31))</f>
        <v/>
      </c>
      <c r="M31" s="22">
        <f>IF($W31="","",INDEX(tUWDY,$W31))</f>
        <v/>
      </c>
      <c r="N31" s="22">
        <f>IF($W31="","",INDEX(tCurDY,$W31))</f>
        <v/>
      </c>
      <c r="O31" s="22">
        <f>IF($W31="","",INDEX(tOcc,$W31))</f>
        <v/>
      </c>
      <c r="P31" s="19">
        <f>IF($W31="","",INDEX(tRem,$W31))</f>
        <v/>
      </c>
      <c r="Q31" s="25">
        <f>IF($W31="","",INDEX(tMatDate,$W31))</f>
        <v/>
      </c>
      <c r="R31" s="26">
        <f>IF($W31="","",INDEX(tPay,$W31))</f>
        <v/>
      </c>
      <c r="S31" s="20">
        <f>IF($W31="","",IF(INDEX(tSSF,$W31)=1,"Current SS",IF(INDEX(tSS,$W31)="Previously Specially Serviced","Prior SS","Never SS")))</f>
        <v/>
      </c>
      <c r="T31" s="20">
        <f>IF($W31="","",IF(INDEX(tWLF,$W31)=1,"Current",IF(INDEX(tWL,$W31)="Previously on Watchlist","Prior","Never")))</f>
        <v/>
      </c>
      <c r="U31" s="20">
        <f>IF($W31="","",IF(INDEX(tDefF,$W31)=1,"Defeased",""))</f>
        <v/>
      </c>
      <c r="W31" s="19">
        <f>IF(LARGE(tGrpKey,5)=0,"",MATCH(LARGE(tGrpKey,5),tGrpKey,0))</f>
        <v/>
      </c>
    </row>
    <row r="32">
      <c r="B32" s="27">
        <f>IF($W32="","",INDEX(tName,$W32))</f>
        <v/>
      </c>
      <c r="C32" s="28">
        <f>IF($W32="","",INDEX(tGrpDeals,$W32))</f>
        <v/>
      </c>
      <c r="D32" s="29">
        <f>IF($W32="","",INDEX(tPType,$W32))</f>
        <v/>
      </c>
      <c r="E32" s="29">
        <f>IF($W32="","",INDEX(tState,$W32))</f>
        <v/>
      </c>
      <c r="F32" s="30">
        <f>IF($W32="","",INDEX(tGrpUPB,$W32))</f>
        <v/>
      </c>
      <c r="G32" s="31">
        <f>IFERROR(F32/sUPB,0)</f>
        <v/>
      </c>
      <c r="H32" s="32">
        <f>IF($W32="","",INDEX(tCpn,$W32))</f>
        <v/>
      </c>
      <c r="I32" s="33">
        <f>IF($W32="","",INDEX(tUWDSCR,$W32))</f>
        <v/>
      </c>
      <c r="J32" s="33">
        <f>IF($W32="","",INDEX(tCurDSCR,$W32))</f>
        <v/>
      </c>
      <c r="K32" s="31">
        <f>IF($W32="","",INDEX(tUWLTV,$W32))</f>
        <v/>
      </c>
      <c r="L32" s="31">
        <f>IF($W32="","",INDEX(tCurLTV,$W32))</f>
        <v/>
      </c>
      <c r="M32" s="31">
        <f>IF($W32="","",INDEX(tUWDY,$W32))</f>
        <v/>
      </c>
      <c r="N32" s="31">
        <f>IF($W32="","",INDEX(tCurDY,$W32))</f>
        <v/>
      </c>
      <c r="O32" s="31">
        <f>IF($W32="","",INDEX(tOcc,$W32))</f>
        <v/>
      </c>
      <c r="P32" s="28">
        <f>IF($W32="","",INDEX(tRem,$W32))</f>
        <v/>
      </c>
      <c r="Q32" s="34">
        <f>IF($W32="","",INDEX(tMatDate,$W32))</f>
        <v/>
      </c>
      <c r="R32" s="35">
        <f>IF($W32="","",INDEX(tPay,$W32))</f>
        <v/>
      </c>
      <c r="S32" s="29">
        <f>IF($W32="","",IF(INDEX(tSSF,$W32)=1,"Current SS",IF(INDEX(tSS,$W32)="Previously Specially Serviced","Prior SS","Never SS")))</f>
        <v/>
      </c>
      <c r="T32" s="29">
        <f>IF($W32="","",IF(INDEX(tWLF,$W32)=1,"Current",IF(INDEX(tWL,$W32)="Previously on Watchlist","Prior","Never")))</f>
        <v/>
      </c>
      <c r="U32" s="29">
        <f>IF($W32="","",IF(INDEX(tDefF,$W32)=1,"Defeased",""))</f>
        <v/>
      </c>
      <c r="W32" s="19">
        <f>IF(LARGE(tGrpKey,6)=0,"",MATCH(LARGE(tGrpKey,6),tGrpKey,0))</f>
        <v/>
      </c>
    </row>
    <row r="33">
      <c r="B33" s="18">
        <f>IF($W33="","",INDEX(tName,$W33))</f>
        <v/>
      </c>
      <c r="C33" s="19">
        <f>IF($W33="","",INDEX(tGrpDeals,$W33))</f>
        <v/>
      </c>
      <c r="D33" s="20">
        <f>IF($W33="","",INDEX(tPType,$W33))</f>
        <v/>
      </c>
      <c r="E33" s="20">
        <f>IF($W33="","",INDEX(tState,$W33))</f>
        <v/>
      </c>
      <c r="F33" s="21">
        <f>IF($W33="","",INDEX(tGrpUPB,$W33))</f>
        <v/>
      </c>
      <c r="G33" s="22">
        <f>IFERROR(F33/sUPB,0)</f>
        <v/>
      </c>
      <c r="H33" s="23">
        <f>IF($W33="","",INDEX(tCpn,$W33))</f>
        <v/>
      </c>
      <c r="I33" s="24">
        <f>IF($W33="","",INDEX(tUWDSCR,$W33))</f>
        <v/>
      </c>
      <c r="J33" s="24">
        <f>IF($W33="","",INDEX(tCurDSCR,$W33))</f>
        <v/>
      </c>
      <c r="K33" s="22">
        <f>IF($W33="","",INDEX(tUWLTV,$W33))</f>
        <v/>
      </c>
      <c r="L33" s="22">
        <f>IF($W33="","",INDEX(tCurLTV,$W33))</f>
        <v/>
      </c>
      <c r="M33" s="22">
        <f>IF($W33="","",INDEX(tUWDY,$W33))</f>
        <v/>
      </c>
      <c r="N33" s="22">
        <f>IF($W33="","",INDEX(tCurDY,$W33))</f>
        <v/>
      </c>
      <c r="O33" s="22">
        <f>IF($W33="","",INDEX(tOcc,$W33))</f>
        <v/>
      </c>
      <c r="P33" s="19">
        <f>IF($W33="","",INDEX(tRem,$W33))</f>
        <v/>
      </c>
      <c r="Q33" s="25">
        <f>IF($W33="","",INDEX(tMatDate,$W33))</f>
        <v/>
      </c>
      <c r="R33" s="26">
        <f>IF($W33="","",INDEX(tPay,$W33))</f>
        <v/>
      </c>
      <c r="S33" s="20">
        <f>IF($W33="","",IF(INDEX(tSSF,$W33)=1,"Current SS",IF(INDEX(tSS,$W33)="Previously Specially Serviced","Prior SS","Never SS")))</f>
        <v/>
      </c>
      <c r="T33" s="20">
        <f>IF($W33="","",IF(INDEX(tWLF,$W33)=1,"Current",IF(INDEX(tWL,$W33)="Previously on Watchlist","Prior","Never")))</f>
        <v/>
      </c>
      <c r="U33" s="20">
        <f>IF($W33="","",IF(INDEX(tDefF,$W33)=1,"Defeased",""))</f>
        <v/>
      </c>
      <c r="W33" s="19">
        <f>IF(LARGE(tGrpKey,7)=0,"",MATCH(LARGE(tGrpKey,7),tGrpKey,0))</f>
        <v/>
      </c>
    </row>
    <row r="34">
      <c r="B34" s="27">
        <f>IF($W34="","",INDEX(tName,$W34))</f>
        <v/>
      </c>
      <c r="C34" s="28">
        <f>IF($W34="","",INDEX(tGrpDeals,$W34))</f>
        <v/>
      </c>
      <c r="D34" s="29">
        <f>IF($W34="","",INDEX(tPType,$W34))</f>
        <v/>
      </c>
      <c r="E34" s="29">
        <f>IF($W34="","",INDEX(tState,$W34))</f>
        <v/>
      </c>
      <c r="F34" s="30">
        <f>IF($W34="","",INDEX(tGrpUPB,$W34))</f>
        <v/>
      </c>
      <c r="G34" s="31">
        <f>IFERROR(F34/sUPB,0)</f>
        <v/>
      </c>
      <c r="H34" s="32">
        <f>IF($W34="","",INDEX(tCpn,$W34))</f>
        <v/>
      </c>
      <c r="I34" s="33">
        <f>IF($W34="","",INDEX(tUWDSCR,$W34))</f>
        <v/>
      </c>
      <c r="J34" s="33">
        <f>IF($W34="","",INDEX(tCurDSCR,$W34))</f>
        <v/>
      </c>
      <c r="K34" s="31">
        <f>IF($W34="","",INDEX(tUWLTV,$W34))</f>
        <v/>
      </c>
      <c r="L34" s="31">
        <f>IF($W34="","",INDEX(tCurLTV,$W34))</f>
        <v/>
      </c>
      <c r="M34" s="31">
        <f>IF($W34="","",INDEX(tUWDY,$W34))</f>
        <v/>
      </c>
      <c r="N34" s="31">
        <f>IF($W34="","",INDEX(tCurDY,$W34))</f>
        <v/>
      </c>
      <c r="O34" s="31">
        <f>IF($W34="","",INDEX(tOcc,$W34))</f>
        <v/>
      </c>
      <c r="P34" s="28">
        <f>IF($W34="","",INDEX(tRem,$W34))</f>
        <v/>
      </c>
      <c r="Q34" s="34">
        <f>IF($W34="","",INDEX(tMatDate,$W34))</f>
        <v/>
      </c>
      <c r="R34" s="35">
        <f>IF($W34="","",INDEX(tPay,$W34))</f>
        <v/>
      </c>
      <c r="S34" s="29">
        <f>IF($W34="","",IF(INDEX(tSSF,$W34)=1,"Current SS",IF(INDEX(tSS,$W34)="Previously Specially Serviced","Prior SS","Never SS")))</f>
        <v/>
      </c>
      <c r="T34" s="29">
        <f>IF($W34="","",IF(INDEX(tWLF,$W34)=1,"Current",IF(INDEX(tWL,$W34)="Previously on Watchlist","Prior","Never")))</f>
        <v/>
      </c>
      <c r="U34" s="29">
        <f>IF($W34="","",IF(INDEX(tDefF,$W34)=1,"Defeased",""))</f>
        <v/>
      </c>
      <c r="W34" s="19">
        <f>IF(LARGE(tGrpKey,8)=0,"",MATCH(LARGE(tGrpKey,8),tGrpKey,0))</f>
        <v/>
      </c>
    </row>
    <row r="35">
      <c r="B35" s="18">
        <f>IF($W35="","",INDEX(tName,$W35))</f>
        <v/>
      </c>
      <c r="C35" s="19">
        <f>IF($W35="","",INDEX(tGrpDeals,$W35))</f>
        <v/>
      </c>
      <c r="D35" s="20">
        <f>IF($W35="","",INDEX(tPType,$W35))</f>
        <v/>
      </c>
      <c r="E35" s="20">
        <f>IF($W35="","",INDEX(tState,$W35))</f>
        <v/>
      </c>
      <c r="F35" s="21">
        <f>IF($W35="","",INDEX(tGrpUPB,$W35))</f>
        <v/>
      </c>
      <c r="G35" s="22">
        <f>IFERROR(F35/sUPB,0)</f>
        <v/>
      </c>
      <c r="H35" s="23">
        <f>IF($W35="","",INDEX(tCpn,$W35))</f>
        <v/>
      </c>
      <c r="I35" s="24">
        <f>IF($W35="","",INDEX(tUWDSCR,$W35))</f>
        <v/>
      </c>
      <c r="J35" s="24">
        <f>IF($W35="","",INDEX(tCurDSCR,$W35))</f>
        <v/>
      </c>
      <c r="K35" s="22">
        <f>IF($W35="","",INDEX(tUWLTV,$W35))</f>
        <v/>
      </c>
      <c r="L35" s="22">
        <f>IF($W35="","",INDEX(tCurLTV,$W35))</f>
        <v/>
      </c>
      <c r="M35" s="22">
        <f>IF($W35="","",INDEX(tUWDY,$W35))</f>
        <v/>
      </c>
      <c r="N35" s="22">
        <f>IF($W35="","",INDEX(tCurDY,$W35))</f>
        <v/>
      </c>
      <c r="O35" s="22">
        <f>IF($W35="","",INDEX(tOcc,$W35))</f>
        <v/>
      </c>
      <c r="P35" s="19">
        <f>IF($W35="","",INDEX(tRem,$W35))</f>
        <v/>
      </c>
      <c r="Q35" s="25">
        <f>IF($W35="","",INDEX(tMatDate,$W35))</f>
        <v/>
      </c>
      <c r="R35" s="26">
        <f>IF($W35="","",INDEX(tPay,$W35))</f>
        <v/>
      </c>
      <c r="S35" s="20">
        <f>IF($W35="","",IF(INDEX(tSSF,$W35)=1,"Current SS",IF(INDEX(tSS,$W35)="Previously Specially Serviced","Prior SS","Never SS")))</f>
        <v/>
      </c>
      <c r="T35" s="20">
        <f>IF($W35="","",IF(INDEX(tWLF,$W35)=1,"Current",IF(INDEX(tWL,$W35)="Previously on Watchlist","Prior","Never")))</f>
        <v/>
      </c>
      <c r="U35" s="20">
        <f>IF($W35="","",IF(INDEX(tDefF,$W35)=1,"Defeased",""))</f>
        <v/>
      </c>
      <c r="W35" s="19">
        <f>IF(LARGE(tGrpKey,9)=0,"",MATCH(LARGE(tGrpKey,9),tGrpKey,0))</f>
        <v/>
      </c>
    </row>
    <row r="36">
      <c r="B36" s="27">
        <f>IF($W36="","",INDEX(tName,$W36))</f>
        <v/>
      </c>
      <c r="C36" s="28">
        <f>IF($W36="","",INDEX(tGrpDeals,$W36))</f>
        <v/>
      </c>
      <c r="D36" s="29">
        <f>IF($W36="","",INDEX(tPType,$W36))</f>
        <v/>
      </c>
      <c r="E36" s="29">
        <f>IF($W36="","",INDEX(tState,$W36))</f>
        <v/>
      </c>
      <c r="F36" s="30">
        <f>IF($W36="","",INDEX(tGrpUPB,$W36))</f>
        <v/>
      </c>
      <c r="G36" s="31">
        <f>IFERROR(F36/sUPB,0)</f>
        <v/>
      </c>
      <c r="H36" s="32">
        <f>IF($W36="","",INDEX(tCpn,$W36))</f>
        <v/>
      </c>
      <c r="I36" s="33">
        <f>IF($W36="","",INDEX(tUWDSCR,$W36))</f>
        <v/>
      </c>
      <c r="J36" s="33">
        <f>IF($W36="","",INDEX(tCurDSCR,$W36))</f>
        <v/>
      </c>
      <c r="K36" s="31">
        <f>IF($W36="","",INDEX(tUWLTV,$W36))</f>
        <v/>
      </c>
      <c r="L36" s="31">
        <f>IF($W36="","",INDEX(tCurLTV,$W36))</f>
        <v/>
      </c>
      <c r="M36" s="31">
        <f>IF($W36="","",INDEX(tUWDY,$W36))</f>
        <v/>
      </c>
      <c r="N36" s="31">
        <f>IF($W36="","",INDEX(tCurDY,$W36))</f>
        <v/>
      </c>
      <c r="O36" s="31">
        <f>IF($W36="","",INDEX(tOcc,$W36))</f>
        <v/>
      </c>
      <c r="P36" s="28">
        <f>IF($W36="","",INDEX(tRem,$W36))</f>
        <v/>
      </c>
      <c r="Q36" s="34">
        <f>IF($W36="","",INDEX(tMatDate,$W36))</f>
        <v/>
      </c>
      <c r="R36" s="35">
        <f>IF($W36="","",INDEX(tPay,$W36))</f>
        <v/>
      </c>
      <c r="S36" s="29">
        <f>IF($W36="","",IF(INDEX(tSSF,$W36)=1,"Current SS",IF(INDEX(tSS,$W36)="Previously Specially Serviced","Prior SS","Never SS")))</f>
        <v/>
      </c>
      <c r="T36" s="29">
        <f>IF($W36="","",IF(INDEX(tWLF,$W36)=1,"Current",IF(INDEX(tWL,$W36)="Previously on Watchlist","Prior","Never")))</f>
        <v/>
      </c>
      <c r="U36" s="29">
        <f>IF($W36="","",IF(INDEX(tDefF,$W36)=1,"Defeased",""))</f>
        <v/>
      </c>
      <c r="W36" s="19">
        <f>IF(LARGE(tGrpKey,10)=0,"",MATCH(LARGE(tGrpKey,10),tGrpKey,0))</f>
        <v/>
      </c>
    </row>
    <row r="37">
      <c r="B37" s="36" t="inlineStr">
        <is>
          <t>Top 10 Total / Wtd. Avg.</t>
        </is>
      </c>
      <c r="C37" s="37">
        <f>SUM(C27:C36)</f>
        <v/>
      </c>
      <c r="D37" s="38" t="n"/>
      <c r="E37" s="38" t="n"/>
      <c r="F37" s="39">
        <f>SUM(F27:F36)</f>
        <v/>
      </c>
      <c r="G37" s="40">
        <f>SUM(G27:G36)</f>
        <v/>
      </c>
      <c r="H37" s="41">
        <f>IFERROR(SUMPRODUCT($F$27:$F$36,H27:H36)/SUMPRODUCT($F$27:$F$36*ISNUMBER(H27:H36)),0)</f>
        <v/>
      </c>
      <c r="I37" s="42">
        <f>IFERROR(SUMPRODUCT($F$27:$F$36,I27:I36)/SUMPRODUCT($F$27:$F$36*ISNUMBER(I27:I36)),0)</f>
        <v/>
      </c>
      <c r="J37" s="42">
        <f>IFERROR(SUMPRODUCT($F$27:$F$36,J27:J36)/SUMPRODUCT($F$27:$F$36*ISNUMBER(J27:J36)),0)</f>
        <v/>
      </c>
      <c r="K37" s="40">
        <f>IFERROR(SUMPRODUCT($F$27:$F$36,K27:K36)/SUMPRODUCT($F$27:$F$36*ISNUMBER(K27:K36)),0)</f>
        <v/>
      </c>
      <c r="L37" s="40">
        <f>IFERROR(SUMPRODUCT($F$27:$F$36,L27:L36)/SUMPRODUCT($F$27:$F$36*ISNUMBER(L27:L36)),0)</f>
        <v/>
      </c>
      <c r="M37" s="40">
        <f>IFERROR(SUMPRODUCT($F$27:$F$36,M27:M36)/SUMPRODUCT($F$27:$F$36*ISNUMBER(M27:M36)),0)</f>
        <v/>
      </c>
      <c r="N37" s="40">
        <f>IFERROR(SUMPRODUCT($F$27:$F$36,N27:N36)/SUMPRODUCT($F$27:$F$36*ISNUMBER(N27:N36)),0)</f>
        <v/>
      </c>
      <c r="O37" s="40">
        <f>IFERROR(SUMPRODUCT($F$27:$F$36,O27:O36)/SUMPRODUCT($F$27:$F$36*ISNUMBER(O27:O36)),0)</f>
        <v/>
      </c>
      <c r="P37" s="43">
        <f>IFERROR(SUMPRODUCT($F$27:$F$36,P27:P36)/SUMPRODUCT($F$27:$F$36*ISNUMBER(P27:P36)),0)</f>
        <v/>
      </c>
      <c r="Q37" s="38" t="n"/>
      <c r="R37" s="38" t="n"/>
      <c r="S37" s="38" t="n"/>
      <c r="T37" s="38" t="n"/>
      <c r="U37" s="38" t="n"/>
    </row>
    <row r="38">
      <c r="B38" s="14" t="inlineStr">
        <is>
          <t>Ranked by combined Current UPB of all notes of the loan inside the active filter. Loan metrics are loan level and identical across pari passu notes. Tape Row Index helper sits in column W.</t>
        </is>
      </c>
    </row>
    <row r="40" ht="15" customHeight="1">
      <c r="B40" s="2" t="inlineStr">
        <is>
          <t>CMBS TRUST (DEAL)</t>
        </is>
      </c>
      <c r="C40" s="3" t="n"/>
      <c r="D40" s="3" t="n"/>
      <c r="E40" s="3" t="n"/>
      <c r="F40" s="3" t="n"/>
      <c r="G40" s="3" t="n"/>
      <c r="H40" s="3" t="n"/>
      <c r="I40" s="3" t="n"/>
      <c r="J40" s="3" t="n"/>
      <c r="K40" s="3" t="n"/>
      <c r="L40" s="3" t="n"/>
      <c r="M40" s="3" t="n"/>
      <c r="N40" s="3" t="n"/>
      <c r="O40" s="3" t="n"/>
      <c r="P40" s="3" t="n"/>
      <c r="Q40" s="3" t="n"/>
      <c r="R40" s="3" t="n"/>
      <c r="S40" s="3" t="n"/>
      <c r="T40" s="3" t="n"/>
      <c r="U40" s="3" t="n"/>
    </row>
    <row r="41" ht="39.75" customHeight="1">
      <c r="B41" s="15" t="inlineStr">
        <is>
          <t>Category</t>
        </is>
      </c>
      <c r="C41" s="16" t="inlineStr">
        <is>
          <t>Number of Loans</t>
        </is>
      </c>
      <c r="D41" s="16" t="inlineStr">
        <is>
          <t>% of Loans</t>
        </is>
      </c>
      <c r="E41" s="16" t="inlineStr">
        <is>
          <t>Current UPB</t>
        </is>
      </c>
      <c r="F41" s="16" t="inlineStr">
        <is>
          <t>% of UPB</t>
        </is>
      </c>
      <c r="G41" s="16" t="inlineStr">
        <is>
          <t>Average Loan Size</t>
        </is>
      </c>
      <c r="H41" s="16" t="inlineStr">
        <is>
          <t>Wtd. Avg. Gross Coupon</t>
        </is>
      </c>
      <c r="I41" s="16" t="inlineStr">
        <is>
          <t>Wtd. Avg. UW NCF DSCR</t>
        </is>
      </c>
      <c r="J41" s="16" t="inlineStr">
        <is>
          <t>Wtd. Avg. Current NCF DSCR</t>
        </is>
      </c>
      <c r="K41" s="16" t="inlineStr">
        <is>
          <t>Wtd. Avg. UW LTV</t>
        </is>
      </c>
      <c r="L41" s="16" t="inlineStr">
        <is>
          <t>Wtd. Avg. Current LTV</t>
        </is>
      </c>
      <c r="M41" s="16" t="inlineStr">
        <is>
          <t>Wtd. Avg. UW NCF Debt Yield</t>
        </is>
      </c>
      <c r="N41" s="16" t="inlineStr">
        <is>
          <t>Wtd. Avg. Current NCF Debt Yield</t>
        </is>
      </c>
      <c r="O41" s="16" t="inlineStr">
        <is>
          <t>Wtd. Avg. Current Occupancy</t>
        </is>
      </c>
      <c r="P41" s="16" t="inlineStr">
        <is>
          <t>Wtd. Avg. Rem. Term (Mo.)</t>
        </is>
      </c>
      <c r="Q41" s="16" t="inlineStr">
        <is>
          <t>% Full IO</t>
        </is>
      </c>
      <c r="R41" s="16" t="inlineStr">
        <is>
          <t>% Defeased</t>
        </is>
      </c>
      <c r="S41" s="16" t="inlineStr">
        <is>
          <t>% Currently Specially Serviced</t>
        </is>
      </c>
      <c r="T41" s="16" t="inlineStr">
        <is>
          <t>% 30+ Delinq. / FC / REO</t>
        </is>
      </c>
      <c r="U41" s="16" t="inlineStr">
        <is>
          <t>% On Watchlist</t>
        </is>
      </c>
      <c r="W41" s="44" t="inlineStr">
        <is>
          <t>Category Label</t>
        </is>
      </c>
    </row>
    <row r="42">
      <c r="B42" s="18">
        <f>IF(W42="","",W42&amp;"")</f>
        <v/>
      </c>
      <c r="C42" s="19">
        <f>SUMPRODUCT(tFlag*(tDeal=$W42))</f>
        <v/>
      </c>
      <c r="D42" s="22">
        <f>IFERROR(C42/sLoans,0)</f>
        <v/>
      </c>
      <c r="E42" s="21">
        <f>SUMPRODUCT(tFlag*(tDeal=$W42),tUPBf)</f>
        <v/>
      </c>
      <c r="F42" s="22">
        <f>IFERROR(E42/sUPB,0)</f>
        <v/>
      </c>
      <c r="G42" s="21">
        <f>IFERROR(E42/C42,0)</f>
        <v/>
      </c>
      <c r="H42" s="23">
        <f>IFERROR(SUMPRODUCT(tFlag*(tDeal=$W42),tUPBf,tCpn)/SUMPRODUCT(tFlag*(tDeal=$W42)*ISNUMBER(tCpn),tUPBf),0)</f>
        <v/>
      </c>
      <c r="I42" s="24">
        <f>IFERROR(SUMPRODUCT(tFlag*(tDeal=$W42),tUPBf,tUWDSCR)/SUMPRODUCT(tFlag*(tDeal=$W42)*ISNUMBER(tUWDSCR),tUPBf),0)</f>
        <v/>
      </c>
      <c r="J42" s="24">
        <f>IFERROR(SUMPRODUCT(tFlag*(tDeal=$W42),tUPBf,tCurDSCR)/SUMPRODUCT(tFlag*(tDeal=$W42)*ISNUMBER(tCurDSCR),tUPBf),0)</f>
        <v/>
      </c>
      <c r="K42" s="22">
        <f>IFERROR(SUMPRODUCT(tFlag*(tDeal=$W42),tUPBf,tUWLTV)/SUMPRODUCT(tFlag*(tDeal=$W42)*ISNUMBER(tUWLTV),tUPBf),0)</f>
        <v/>
      </c>
      <c r="L42" s="22">
        <f>IFERROR(SUMPRODUCT(tFlag*(tDeal=$W42),tUPBf,tCurLTV)/SUMPRODUCT(tFlag*(tDeal=$W42)*ISNUMBER(tCurLTV),tUPBf),0)</f>
        <v/>
      </c>
      <c r="M42" s="22">
        <f>IFERROR(SUMPRODUCT(tFlag*(tDeal=$W42),tUPBf,tUWDY)/SUMPRODUCT(tFlag*(tDeal=$W42)*ISNUMBER(tUWDY),tUPBf),0)</f>
        <v/>
      </c>
      <c r="N42" s="22">
        <f>IFERROR(SUMPRODUCT(tFlag*(tDeal=$W42),tUPBf,tCurDY)/SUMPRODUCT(tFlag*(tDeal=$W42)*ISNUMBER(tCurDY),tUPBf),0)</f>
        <v/>
      </c>
      <c r="O42" s="22">
        <f>IFERROR(SUMPRODUCT(tFlag*(tDeal=$W42),tUPBf,tOcc)/SUMPRODUCT(tFlag*(tDeal=$W42)*ISNUMBER(tOcc),tUPBf),0)</f>
        <v/>
      </c>
      <c r="P42" s="45">
        <f>IFERROR(SUMPRODUCT(tFlag*(tDeal=$W42),tUPBf,tRem)/SUMPRODUCT(tFlag*(tDeal=$W42)*ISNUMBER(tRem),tUPBf),0)</f>
        <v/>
      </c>
      <c r="Q42" s="22">
        <f>IFERROR(SUMPRODUCT(tFlag*(tDeal=$W42),tUPBf,tFIO)/$E42,0)</f>
        <v/>
      </c>
      <c r="R42" s="22">
        <f>IFERROR(SUMPRODUCT(tFlag*(tDeal=$W42),tUPBf,tDefF)/$E42,0)</f>
        <v/>
      </c>
      <c r="S42" s="22">
        <f>IFERROR(SUMPRODUCT(tFlag*(tDeal=$W42),tUPBf,tSSF)/$E42,0)</f>
        <v/>
      </c>
      <c r="T42" s="22">
        <f>IFERROR(SUMPRODUCT(tFlag*(tDeal=$W42),tUPBf,tDQ)/$E42,0)</f>
        <v/>
      </c>
      <c r="U42" s="22">
        <f>IFERROR(SUMPRODUCT(tFlag*(tDeal=$W42),tUPBf,tWLF)/$E42,0)</f>
        <v/>
      </c>
      <c r="W42" s="46">
        <f>'Deal Map'!C8</f>
        <v/>
      </c>
    </row>
    <row r="43">
      <c r="B43" s="27">
        <f>IF(W43="","",W43&amp;"")</f>
        <v/>
      </c>
      <c r="C43" s="28">
        <f>SUMPRODUCT(tFlag*(tDeal=$W43))</f>
        <v/>
      </c>
      <c r="D43" s="31">
        <f>IFERROR(C43/sLoans,0)</f>
        <v/>
      </c>
      <c r="E43" s="30">
        <f>SUMPRODUCT(tFlag*(tDeal=$W43),tUPBf)</f>
        <v/>
      </c>
      <c r="F43" s="31">
        <f>IFERROR(E43/sUPB,0)</f>
        <v/>
      </c>
      <c r="G43" s="30">
        <f>IFERROR(E43/C43,0)</f>
        <v/>
      </c>
      <c r="H43" s="32">
        <f>IFERROR(SUMPRODUCT(tFlag*(tDeal=$W43),tUPBf,tCpn)/SUMPRODUCT(tFlag*(tDeal=$W43)*ISNUMBER(tCpn),tUPBf),0)</f>
        <v/>
      </c>
      <c r="I43" s="33">
        <f>IFERROR(SUMPRODUCT(tFlag*(tDeal=$W43),tUPBf,tUWDSCR)/SUMPRODUCT(tFlag*(tDeal=$W43)*ISNUMBER(tUWDSCR),tUPBf),0)</f>
        <v/>
      </c>
      <c r="J43" s="33">
        <f>IFERROR(SUMPRODUCT(tFlag*(tDeal=$W43),tUPBf,tCurDSCR)/SUMPRODUCT(tFlag*(tDeal=$W43)*ISNUMBER(tCurDSCR),tUPBf),0)</f>
        <v/>
      </c>
      <c r="K43" s="31">
        <f>IFERROR(SUMPRODUCT(tFlag*(tDeal=$W43),tUPBf,tUWLTV)/SUMPRODUCT(tFlag*(tDeal=$W43)*ISNUMBER(tUWLTV),tUPBf),0)</f>
        <v/>
      </c>
      <c r="L43" s="31">
        <f>IFERROR(SUMPRODUCT(tFlag*(tDeal=$W43),tUPBf,tCurLTV)/SUMPRODUCT(tFlag*(tDeal=$W43)*ISNUMBER(tCurLTV),tUPBf),0)</f>
        <v/>
      </c>
      <c r="M43" s="31">
        <f>IFERROR(SUMPRODUCT(tFlag*(tDeal=$W43),tUPBf,tUWDY)/SUMPRODUCT(tFlag*(tDeal=$W43)*ISNUMBER(tUWDY),tUPBf),0)</f>
        <v/>
      </c>
      <c r="N43" s="31">
        <f>IFERROR(SUMPRODUCT(tFlag*(tDeal=$W43),tUPBf,tCurDY)/SUMPRODUCT(tFlag*(tDeal=$W43)*ISNUMBER(tCurDY),tUPBf),0)</f>
        <v/>
      </c>
      <c r="O43" s="31">
        <f>IFERROR(SUMPRODUCT(tFlag*(tDeal=$W43),tUPBf,tOcc)/SUMPRODUCT(tFlag*(tDeal=$W43)*ISNUMBER(tOcc),tUPBf),0)</f>
        <v/>
      </c>
      <c r="P43" s="47">
        <f>IFERROR(SUMPRODUCT(tFlag*(tDeal=$W43),tUPBf,tRem)/SUMPRODUCT(tFlag*(tDeal=$W43)*ISNUMBER(tRem),tUPBf),0)</f>
        <v/>
      </c>
      <c r="Q43" s="31">
        <f>IFERROR(SUMPRODUCT(tFlag*(tDeal=$W43),tUPBf,tFIO)/$E43,0)</f>
        <v/>
      </c>
      <c r="R43" s="31">
        <f>IFERROR(SUMPRODUCT(tFlag*(tDeal=$W43),tUPBf,tDefF)/$E43,0)</f>
        <v/>
      </c>
      <c r="S43" s="31">
        <f>IFERROR(SUMPRODUCT(tFlag*(tDeal=$W43),tUPBf,tSSF)/$E43,0)</f>
        <v/>
      </c>
      <c r="T43" s="31">
        <f>IFERROR(SUMPRODUCT(tFlag*(tDeal=$W43),tUPBf,tDQ)/$E43,0)</f>
        <v/>
      </c>
      <c r="U43" s="31">
        <f>IFERROR(SUMPRODUCT(tFlag*(tDeal=$W43),tUPBf,tWLF)/$E43,0)</f>
        <v/>
      </c>
      <c r="W43" s="46">
        <f>'Deal Map'!C9</f>
        <v/>
      </c>
    </row>
    <row r="44">
      <c r="B44" s="18">
        <f>IF(W44="","",W44&amp;"")</f>
        <v/>
      </c>
      <c r="C44" s="19">
        <f>SUMPRODUCT(tFlag*(tDeal=$W44))</f>
        <v/>
      </c>
      <c r="D44" s="22">
        <f>IFERROR(C44/sLoans,0)</f>
        <v/>
      </c>
      <c r="E44" s="21">
        <f>SUMPRODUCT(tFlag*(tDeal=$W44),tUPBf)</f>
        <v/>
      </c>
      <c r="F44" s="22">
        <f>IFERROR(E44/sUPB,0)</f>
        <v/>
      </c>
      <c r="G44" s="21">
        <f>IFERROR(E44/C44,0)</f>
        <v/>
      </c>
      <c r="H44" s="23">
        <f>IFERROR(SUMPRODUCT(tFlag*(tDeal=$W44),tUPBf,tCpn)/SUMPRODUCT(tFlag*(tDeal=$W44)*ISNUMBER(tCpn),tUPBf),0)</f>
        <v/>
      </c>
      <c r="I44" s="24">
        <f>IFERROR(SUMPRODUCT(tFlag*(tDeal=$W44),tUPBf,tUWDSCR)/SUMPRODUCT(tFlag*(tDeal=$W44)*ISNUMBER(tUWDSCR),tUPBf),0)</f>
        <v/>
      </c>
      <c r="J44" s="24">
        <f>IFERROR(SUMPRODUCT(tFlag*(tDeal=$W44),tUPBf,tCurDSCR)/SUMPRODUCT(tFlag*(tDeal=$W44)*ISNUMBER(tCurDSCR),tUPBf),0)</f>
        <v/>
      </c>
      <c r="K44" s="22">
        <f>IFERROR(SUMPRODUCT(tFlag*(tDeal=$W44),tUPBf,tUWLTV)/SUMPRODUCT(tFlag*(tDeal=$W44)*ISNUMBER(tUWLTV),tUPBf),0)</f>
        <v/>
      </c>
      <c r="L44" s="22">
        <f>IFERROR(SUMPRODUCT(tFlag*(tDeal=$W44),tUPBf,tCurLTV)/SUMPRODUCT(tFlag*(tDeal=$W44)*ISNUMBER(tCurLTV),tUPBf),0)</f>
        <v/>
      </c>
      <c r="M44" s="22">
        <f>IFERROR(SUMPRODUCT(tFlag*(tDeal=$W44),tUPBf,tUWDY)/SUMPRODUCT(tFlag*(tDeal=$W44)*ISNUMBER(tUWDY),tUPBf),0)</f>
        <v/>
      </c>
      <c r="N44" s="22">
        <f>IFERROR(SUMPRODUCT(tFlag*(tDeal=$W44),tUPBf,tCurDY)/SUMPRODUCT(tFlag*(tDeal=$W44)*ISNUMBER(tCurDY),tUPBf),0)</f>
        <v/>
      </c>
      <c r="O44" s="22">
        <f>IFERROR(SUMPRODUCT(tFlag*(tDeal=$W44),tUPBf,tOcc)/SUMPRODUCT(tFlag*(tDeal=$W44)*ISNUMBER(tOcc),tUPBf),0)</f>
        <v/>
      </c>
      <c r="P44" s="45">
        <f>IFERROR(SUMPRODUCT(tFlag*(tDeal=$W44),tUPBf,tRem)/SUMPRODUCT(tFlag*(tDeal=$W44)*ISNUMBER(tRem),tUPBf),0)</f>
        <v/>
      </c>
      <c r="Q44" s="22">
        <f>IFERROR(SUMPRODUCT(tFlag*(tDeal=$W44),tUPBf,tFIO)/$E44,0)</f>
        <v/>
      </c>
      <c r="R44" s="22">
        <f>IFERROR(SUMPRODUCT(tFlag*(tDeal=$W44),tUPBf,tDefF)/$E44,0)</f>
        <v/>
      </c>
      <c r="S44" s="22">
        <f>IFERROR(SUMPRODUCT(tFlag*(tDeal=$W44),tUPBf,tSSF)/$E44,0)</f>
        <v/>
      </c>
      <c r="T44" s="22">
        <f>IFERROR(SUMPRODUCT(tFlag*(tDeal=$W44),tUPBf,tDQ)/$E44,0)</f>
        <v/>
      </c>
      <c r="U44" s="22">
        <f>IFERROR(SUMPRODUCT(tFlag*(tDeal=$W44),tUPBf,tWLF)/$E44,0)</f>
        <v/>
      </c>
      <c r="W44" s="46">
        <f>'Deal Map'!C10</f>
        <v/>
      </c>
    </row>
    <row r="45">
      <c r="B45" s="27">
        <f>IF(W45="","",W45&amp;"")</f>
        <v/>
      </c>
      <c r="C45" s="28">
        <f>SUMPRODUCT(tFlag*(tDeal=$W45))</f>
        <v/>
      </c>
      <c r="D45" s="31">
        <f>IFERROR(C45/sLoans,0)</f>
        <v/>
      </c>
      <c r="E45" s="30">
        <f>SUMPRODUCT(tFlag*(tDeal=$W45),tUPBf)</f>
        <v/>
      </c>
      <c r="F45" s="31">
        <f>IFERROR(E45/sUPB,0)</f>
        <v/>
      </c>
      <c r="G45" s="30">
        <f>IFERROR(E45/C45,0)</f>
        <v/>
      </c>
      <c r="H45" s="32">
        <f>IFERROR(SUMPRODUCT(tFlag*(tDeal=$W45),tUPBf,tCpn)/SUMPRODUCT(tFlag*(tDeal=$W45)*ISNUMBER(tCpn),tUPBf),0)</f>
        <v/>
      </c>
      <c r="I45" s="33">
        <f>IFERROR(SUMPRODUCT(tFlag*(tDeal=$W45),tUPBf,tUWDSCR)/SUMPRODUCT(tFlag*(tDeal=$W45)*ISNUMBER(tUWDSCR),tUPBf),0)</f>
        <v/>
      </c>
      <c r="J45" s="33">
        <f>IFERROR(SUMPRODUCT(tFlag*(tDeal=$W45),tUPBf,tCurDSCR)/SUMPRODUCT(tFlag*(tDeal=$W45)*ISNUMBER(tCurDSCR),tUPBf),0)</f>
        <v/>
      </c>
      <c r="K45" s="31">
        <f>IFERROR(SUMPRODUCT(tFlag*(tDeal=$W45),tUPBf,tUWLTV)/SUMPRODUCT(tFlag*(tDeal=$W45)*ISNUMBER(tUWLTV),tUPBf),0)</f>
        <v/>
      </c>
      <c r="L45" s="31">
        <f>IFERROR(SUMPRODUCT(tFlag*(tDeal=$W45),tUPBf,tCurLTV)/SUMPRODUCT(tFlag*(tDeal=$W45)*ISNUMBER(tCurLTV),tUPBf),0)</f>
        <v/>
      </c>
      <c r="M45" s="31">
        <f>IFERROR(SUMPRODUCT(tFlag*(tDeal=$W45),tUPBf,tUWDY)/SUMPRODUCT(tFlag*(tDeal=$W45)*ISNUMBER(tUWDY),tUPBf),0)</f>
        <v/>
      </c>
      <c r="N45" s="31">
        <f>IFERROR(SUMPRODUCT(tFlag*(tDeal=$W45),tUPBf,tCurDY)/SUMPRODUCT(tFlag*(tDeal=$W45)*ISNUMBER(tCurDY),tUPBf),0)</f>
        <v/>
      </c>
      <c r="O45" s="31">
        <f>IFERROR(SUMPRODUCT(tFlag*(tDeal=$W45),tUPBf,tOcc)/SUMPRODUCT(tFlag*(tDeal=$W45)*ISNUMBER(tOcc),tUPBf),0)</f>
        <v/>
      </c>
      <c r="P45" s="47">
        <f>IFERROR(SUMPRODUCT(tFlag*(tDeal=$W45),tUPBf,tRem)/SUMPRODUCT(tFlag*(tDeal=$W45)*ISNUMBER(tRem),tUPBf),0)</f>
        <v/>
      </c>
      <c r="Q45" s="31">
        <f>IFERROR(SUMPRODUCT(tFlag*(tDeal=$W45),tUPBf,tFIO)/$E45,0)</f>
        <v/>
      </c>
      <c r="R45" s="31">
        <f>IFERROR(SUMPRODUCT(tFlag*(tDeal=$W45),tUPBf,tDefF)/$E45,0)</f>
        <v/>
      </c>
      <c r="S45" s="31">
        <f>IFERROR(SUMPRODUCT(tFlag*(tDeal=$W45),tUPBf,tSSF)/$E45,0)</f>
        <v/>
      </c>
      <c r="T45" s="31">
        <f>IFERROR(SUMPRODUCT(tFlag*(tDeal=$W45),tUPBf,tDQ)/$E45,0)</f>
        <v/>
      </c>
      <c r="U45" s="31">
        <f>IFERROR(SUMPRODUCT(tFlag*(tDeal=$W45),tUPBf,tWLF)/$E45,0)</f>
        <v/>
      </c>
      <c r="W45" s="46">
        <f>'Deal Map'!C11</f>
        <v/>
      </c>
    </row>
    <row r="46">
      <c r="B46" s="18">
        <f>IF(W46="","",W46&amp;"")</f>
        <v/>
      </c>
      <c r="C46" s="19">
        <f>SUMPRODUCT(tFlag*(tDeal=$W46))</f>
        <v/>
      </c>
      <c r="D46" s="22">
        <f>IFERROR(C46/sLoans,0)</f>
        <v/>
      </c>
      <c r="E46" s="21">
        <f>SUMPRODUCT(tFlag*(tDeal=$W46),tUPBf)</f>
        <v/>
      </c>
      <c r="F46" s="22">
        <f>IFERROR(E46/sUPB,0)</f>
        <v/>
      </c>
      <c r="G46" s="21">
        <f>IFERROR(E46/C46,0)</f>
        <v/>
      </c>
      <c r="H46" s="23">
        <f>IFERROR(SUMPRODUCT(tFlag*(tDeal=$W46),tUPBf,tCpn)/SUMPRODUCT(tFlag*(tDeal=$W46)*ISNUMBER(tCpn),tUPBf),0)</f>
        <v/>
      </c>
      <c r="I46" s="24">
        <f>IFERROR(SUMPRODUCT(tFlag*(tDeal=$W46),tUPBf,tUWDSCR)/SUMPRODUCT(tFlag*(tDeal=$W46)*ISNUMBER(tUWDSCR),tUPBf),0)</f>
        <v/>
      </c>
      <c r="J46" s="24">
        <f>IFERROR(SUMPRODUCT(tFlag*(tDeal=$W46),tUPBf,tCurDSCR)/SUMPRODUCT(tFlag*(tDeal=$W46)*ISNUMBER(tCurDSCR),tUPBf),0)</f>
        <v/>
      </c>
      <c r="K46" s="22">
        <f>IFERROR(SUMPRODUCT(tFlag*(tDeal=$W46),tUPBf,tUWLTV)/SUMPRODUCT(tFlag*(tDeal=$W46)*ISNUMBER(tUWLTV),tUPBf),0)</f>
        <v/>
      </c>
      <c r="L46" s="22">
        <f>IFERROR(SUMPRODUCT(tFlag*(tDeal=$W46),tUPBf,tCurLTV)/SUMPRODUCT(tFlag*(tDeal=$W46)*ISNUMBER(tCurLTV),tUPBf),0)</f>
        <v/>
      </c>
      <c r="M46" s="22">
        <f>IFERROR(SUMPRODUCT(tFlag*(tDeal=$W46),tUPBf,tUWDY)/SUMPRODUCT(tFlag*(tDeal=$W46)*ISNUMBER(tUWDY),tUPBf),0)</f>
        <v/>
      </c>
      <c r="N46" s="22">
        <f>IFERROR(SUMPRODUCT(tFlag*(tDeal=$W46),tUPBf,tCurDY)/SUMPRODUCT(tFlag*(tDeal=$W46)*ISNUMBER(tCurDY),tUPBf),0)</f>
        <v/>
      </c>
      <c r="O46" s="22">
        <f>IFERROR(SUMPRODUCT(tFlag*(tDeal=$W46),tUPBf,tOcc)/SUMPRODUCT(tFlag*(tDeal=$W46)*ISNUMBER(tOcc),tUPBf),0)</f>
        <v/>
      </c>
      <c r="P46" s="45">
        <f>IFERROR(SUMPRODUCT(tFlag*(tDeal=$W46),tUPBf,tRem)/SUMPRODUCT(tFlag*(tDeal=$W46)*ISNUMBER(tRem),tUPBf),0)</f>
        <v/>
      </c>
      <c r="Q46" s="22">
        <f>IFERROR(SUMPRODUCT(tFlag*(tDeal=$W46),tUPBf,tFIO)/$E46,0)</f>
        <v/>
      </c>
      <c r="R46" s="22">
        <f>IFERROR(SUMPRODUCT(tFlag*(tDeal=$W46),tUPBf,tDefF)/$E46,0)</f>
        <v/>
      </c>
      <c r="S46" s="22">
        <f>IFERROR(SUMPRODUCT(tFlag*(tDeal=$W46),tUPBf,tSSF)/$E46,0)</f>
        <v/>
      </c>
      <c r="T46" s="22">
        <f>IFERROR(SUMPRODUCT(tFlag*(tDeal=$W46),tUPBf,tDQ)/$E46,0)</f>
        <v/>
      </c>
      <c r="U46" s="22">
        <f>IFERROR(SUMPRODUCT(tFlag*(tDeal=$W46),tUPBf,tWLF)/$E46,0)</f>
        <v/>
      </c>
      <c r="W46" s="46">
        <f>'Deal Map'!C12</f>
        <v/>
      </c>
    </row>
    <row r="47">
      <c r="B47" s="27">
        <f>IF(W47="","",W47&amp;"")</f>
        <v/>
      </c>
      <c r="C47" s="28">
        <f>SUMPRODUCT(tFlag*(tDeal=$W47))</f>
        <v/>
      </c>
      <c r="D47" s="31">
        <f>IFERROR(C47/sLoans,0)</f>
        <v/>
      </c>
      <c r="E47" s="30">
        <f>SUMPRODUCT(tFlag*(tDeal=$W47),tUPBf)</f>
        <v/>
      </c>
      <c r="F47" s="31">
        <f>IFERROR(E47/sUPB,0)</f>
        <v/>
      </c>
      <c r="G47" s="30">
        <f>IFERROR(E47/C47,0)</f>
        <v/>
      </c>
      <c r="H47" s="32">
        <f>IFERROR(SUMPRODUCT(tFlag*(tDeal=$W47),tUPBf,tCpn)/SUMPRODUCT(tFlag*(tDeal=$W47)*ISNUMBER(tCpn),tUPBf),0)</f>
        <v/>
      </c>
      <c r="I47" s="33">
        <f>IFERROR(SUMPRODUCT(tFlag*(tDeal=$W47),tUPBf,tUWDSCR)/SUMPRODUCT(tFlag*(tDeal=$W47)*ISNUMBER(tUWDSCR),tUPBf),0)</f>
        <v/>
      </c>
      <c r="J47" s="33">
        <f>IFERROR(SUMPRODUCT(tFlag*(tDeal=$W47),tUPBf,tCurDSCR)/SUMPRODUCT(tFlag*(tDeal=$W47)*ISNUMBER(tCurDSCR),tUPBf),0)</f>
        <v/>
      </c>
      <c r="K47" s="31">
        <f>IFERROR(SUMPRODUCT(tFlag*(tDeal=$W47),tUPBf,tUWLTV)/SUMPRODUCT(tFlag*(tDeal=$W47)*ISNUMBER(tUWLTV),tUPBf),0)</f>
        <v/>
      </c>
      <c r="L47" s="31">
        <f>IFERROR(SUMPRODUCT(tFlag*(tDeal=$W47),tUPBf,tCurLTV)/SUMPRODUCT(tFlag*(tDeal=$W47)*ISNUMBER(tCurLTV),tUPBf),0)</f>
        <v/>
      </c>
      <c r="M47" s="31">
        <f>IFERROR(SUMPRODUCT(tFlag*(tDeal=$W47),tUPBf,tUWDY)/SUMPRODUCT(tFlag*(tDeal=$W47)*ISNUMBER(tUWDY),tUPBf),0)</f>
        <v/>
      </c>
      <c r="N47" s="31">
        <f>IFERROR(SUMPRODUCT(tFlag*(tDeal=$W47),tUPBf,tCurDY)/SUMPRODUCT(tFlag*(tDeal=$W47)*ISNUMBER(tCurDY),tUPBf),0)</f>
        <v/>
      </c>
      <c r="O47" s="31">
        <f>IFERROR(SUMPRODUCT(tFlag*(tDeal=$W47),tUPBf,tOcc)/SUMPRODUCT(tFlag*(tDeal=$W47)*ISNUMBER(tOcc),tUPBf),0)</f>
        <v/>
      </c>
      <c r="P47" s="47">
        <f>IFERROR(SUMPRODUCT(tFlag*(tDeal=$W47),tUPBf,tRem)/SUMPRODUCT(tFlag*(tDeal=$W47)*ISNUMBER(tRem),tUPBf),0)</f>
        <v/>
      </c>
      <c r="Q47" s="31">
        <f>IFERROR(SUMPRODUCT(tFlag*(tDeal=$W47),tUPBf,tFIO)/$E47,0)</f>
        <v/>
      </c>
      <c r="R47" s="31">
        <f>IFERROR(SUMPRODUCT(tFlag*(tDeal=$W47),tUPBf,tDefF)/$E47,0)</f>
        <v/>
      </c>
      <c r="S47" s="31">
        <f>IFERROR(SUMPRODUCT(tFlag*(tDeal=$W47),tUPBf,tSSF)/$E47,0)</f>
        <v/>
      </c>
      <c r="T47" s="31">
        <f>IFERROR(SUMPRODUCT(tFlag*(tDeal=$W47),tUPBf,tDQ)/$E47,0)</f>
        <v/>
      </c>
      <c r="U47" s="31">
        <f>IFERROR(SUMPRODUCT(tFlag*(tDeal=$W47),tUPBf,tWLF)/$E47,0)</f>
        <v/>
      </c>
      <c r="W47" s="46">
        <f>'Deal Map'!C13</f>
        <v/>
      </c>
    </row>
    <row r="48">
      <c r="B48" s="18">
        <f>IF(W48="","",W48&amp;"")</f>
        <v/>
      </c>
      <c r="C48" s="19">
        <f>SUMPRODUCT(tFlag*(tDeal=$W48))</f>
        <v/>
      </c>
      <c r="D48" s="22">
        <f>IFERROR(C48/sLoans,0)</f>
        <v/>
      </c>
      <c r="E48" s="21">
        <f>SUMPRODUCT(tFlag*(tDeal=$W48),tUPBf)</f>
        <v/>
      </c>
      <c r="F48" s="22">
        <f>IFERROR(E48/sUPB,0)</f>
        <v/>
      </c>
      <c r="G48" s="21">
        <f>IFERROR(E48/C48,0)</f>
        <v/>
      </c>
      <c r="H48" s="23">
        <f>IFERROR(SUMPRODUCT(tFlag*(tDeal=$W48),tUPBf,tCpn)/SUMPRODUCT(tFlag*(tDeal=$W48)*ISNUMBER(tCpn),tUPBf),0)</f>
        <v/>
      </c>
      <c r="I48" s="24">
        <f>IFERROR(SUMPRODUCT(tFlag*(tDeal=$W48),tUPBf,tUWDSCR)/SUMPRODUCT(tFlag*(tDeal=$W48)*ISNUMBER(tUWDSCR),tUPBf),0)</f>
        <v/>
      </c>
      <c r="J48" s="24">
        <f>IFERROR(SUMPRODUCT(tFlag*(tDeal=$W48),tUPBf,tCurDSCR)/SUMPRODUCT(tFlag*(tDeal=$W48)*ISNUMBER(tCurDSCR),tUPBf),0)</f>
        <v/>
      </c>
      <c r="K48" s="22">
        <f>IFERROR(SUMPRODUCT(tFlag*(tDeal=$W48),tUPBf,tUWLTV)/SUMPRODUCT(tFlag*(tDeal=$W48)*ISNUMBER(tUWLTV),tUPBf),0)</f>
        <v/>
      </c>
      <c r="L48" s="22">
        <f>IFERROR(SUMPRODUCT(tFlag*(tDeal=$W48),tUPBf,tCurLTV)/SUMPRODUCT(tFlag*(tDeal=$W48)*ISNUMBER(tCurLTV),tUPBf),0)</f>
        <v/>
      </c>
      <c r="M48" s="22">
        <f>IFERROR(SUMPRODUCT(tFlag*(tDeal=$W48),tUPBf,tUWDY)/SUMPRODUCT(tFlag*(tDeal=$W48)*ISNUMBER(tUWDY),tUPBf),0)</f>
        <v/>
      </c>
      <c r="N48" s="22">
        <f>IFERROR(SUMPRODUCT(tFlag*(tDeal=$W48),tUPBf,tCurDY)/SUMPRODUCT(tFlag*(tDeal=$W48)*ISNUMBER(tCurDY),tUPBf),0)</f>
        <v/>
      </c>
      <c r="O48" s="22">
        <f>IFERROR(SUMPRODUCT(tFlag*(tDeal=$W48),tUPBf,tOcc)/SUMPRODUCT(tFlag*(tDeal=$W48)*ISNUMBER(tOcc),tUPBf),0)</f>
        <v/>
      </c>
      <c r="P48" s="45">
        <f>IFERROR(SUMPRODUCT(tFlag*(tDeal=$W48),tUPBf,tRem)/SUMPRODUCT(tFlag*(tDeal=$W48)*ISNUMBER(tRem),tUPBf),0)</f>
        <v/>
      </c>
      <c r="Q48" s="22">
        <f>IFERROR(SUMPRODUCT(tFlag*(tDeal=$W48),tUPBf,tFIO)/$E48,0)</f>
        <v/>
      </c>
      <c r="R48" s="22">
        <f>IFERROR(SUMPRODUCT(tFlag*(tDeal=$W48),tUPBf,tDefF)/$E48,0)</f>
        <v/>
      </c>
      <c r="S48" s="22">
        <f>IFERROR(SUMPRODUCT(tFlag*(tDeal=$W48),tUPBf,tSSF)/$E48,0)</f>
        <v/>
      </c>
      <c r="T48" s="22">
        <f>IFERROR(SUMPRODUCT(tFlag*(tDeal=$W48),tUPBf,tDQ)/$E48,0)</f>
        <v/>
      </c>
      <c r="U48" s="22">
        <f>IFERROR(SUMPRODUCT(tFlag*(tDeal=$W48),tUPBf,tWLF)/$E48,0)</f>
        <v/>
      </c>
      <c r="W48" s="46">
        <f>'Deal Map'!C14</f>
        <v/>
      </c>
    </row>
    <row r="49">
      <c r="B49" s="27">
        <f>IF(W49="","",W49&amp;"")</f>
        <v/>
      </c>
      <c r="C49" s="28">
        <f>SUMPRODUCT(tFlag*(tDeal=$W49))</f>
        <v/>
      </c>
      <c r="D49" s="31">
        <f>IFERROR(C49/sLoans,0)</f>
        <v/>
      </c>
      <c r="E49" s="30">
        <f>SUMPRODUCT(tFlag*(tDeal=$W49),tUPBf)</f>
        <v/>
      </c>
      <c r="F49" s="31">
        <f>IFERROR(E49/sUPB,0)</f>
        <v/>
      </c>
      <c r="G49" s="30">
        <f>IFERROR(E49/C49,0)</f>
        <v/>
      </c>
      <c r="H49" s="32">
        <f>IFERROR(SUMPRODUCT(tFlag*(tDeal=$W49),tUPBf,tCpn)/SUMPRODUCT(tFlag*(tDeal=$W49)*ISNUMBER(tCpn),tUPBf),0)</f>
        <v/>
      </c>
      <c r="I49" s="33">
        <f>IFERROR(SUMPRODUCT(tFlag*(tDeal=$W49),tUPBf,tUWDSCR)/SUMPRODUCT(tFlag*(tDeal=$W49)*ISNUMBER(tUWDSCR),tUPBf),0)</f>
        <v/>
      </c>
      <c r="J49" s="33">
        <f>IFERROR(SUMPRODUCT(tFlag*(tDeal=$W49),tUPBf,tCurDSCR)/SUMPRODUCT(tFlag*(tDeal=$W49)*ISNUMBER(tCurDSCR),tUPBf),0)</f>
        <v/>
      </c>
      <c r="K49" s="31">
        <f>IFERROR(SUMPRODUCT(tFlag*(tDeal=$W49),tUPBf,tUWLTV)/SUMPRODUCT(tFlag*(tDeal=$W49)*ISNUMBER(tUWLTV),tUPBf),0)</f>
        <v/>
      </c>
      <c r="L49" s="31">
        <f>IFERROR(SUMPRODUCT(tFlag*(tDeal=$W49),tUPBf,tCurLTV)/SUMPRODUCT(tFlag*(tDeal=$W49)*ISNUMBER(tCurLTV),tUPBf),0)</f>
        <v/>
      </c>
      <c r="M49" s="31">
        <f>IFERROR(SUMPRODUCT(tFlag*(tDeal=$W49),tUPBf,tUWDY)/SUMPRODUCT(tFlag*(tDeal=$W49)*ISNUMBER(tUWDY),tUPBf),0)</f>
        <v/>
      </c>
      <c r="N49" s="31">
        <f>IFERROR(SUMPRODUCT(tFlag*(tDeal=$W49),tUPBf,tCurDY)/SUMPRODUCT(tFlag*(tDeal=$W49)*ISNUMBER(tCurDY),tUPBf),0)</f>
        <v/>
      </c>
      <c r="O49" s="31">
        <f>IFERROR(SUMPRODUCT(tFlag*(tDeal=$W49),tUPBf,tOcc)/SUMPRODUCT(tFlag*(tDeal=$W49)*ISNUMBER(tOcc),tUPBf),0)</f>
        <v/>
      </c>
      <c r="P49" s="47">
        <f>IFERROR(SUMPRODUCT(tFlag*(tDeal=$W49),tUPBf,tRem)/SUMPRODUCT(tFlag*(tDeal=$W49)*ISNUMBER(tRem),tUPBf),0)</f>
        <v/>
      </c>
      <c r="Q49" s="31">
        <f>IFERROR(SUMPRODUCT(tFlag*(tDeal=$W49),tUPBf,tFIO)/$E49,0)</f>
        <v/>
      </c>
      <c r="R49" s="31">
        <f>IFERROR(SUMPRODUCT(tFlag*(tDeal=$W49),tUPBf,tDefF)/$E49,0)</f>
        <v/>
      </c>
      <c r="S49" s="31">
        <f>IFERROR(SUMPRODUCT(tFlag*(tDeal=$W49),tUPBf,tSSF)/$E49,0)</f>
        <v/>
      </c>
      <c r="T49" s="31">
        <f>IFERROR(SUMPRODUCT(tFlag*(tDeal=$W49),tUPBf,tDQ)/$E49,0)</f>
        <v/>
      </c>
      <c r="U49" s="31">
        <f>IFERROR(SUMPRODUCT(tFlag*(tDeal=$W49),tUPBf,tWLF)/$E49,0)</f>
        <v/>
      </c>
      <c r="W49" s="46">
        <f>'Deal Map'!C15</f>
        <v/>
      </c>
    </row>
    <row r="50">
      <c r="B50" s="18">
        <f>IF(W50="","",W50&amp;"")</f>
        <v/>
      </c>
      <c r="C50" s="19">
        <f>SUMPRODUCT(tFlag*(tDeal=$W50))</f>
        <v/>
      </c>
      <c r="D50" s="22">
        <f>IFERROR(C50/sLoans,0)</f>
        <v/>
      </c>
      <c r="E50" s="21">
        <f>SUMPRODUCT(tFlag*(tDeal=$W50),tUPBf)</f>
        <v/>
      </c>
      <c r="F50" s="22">
        <f>IFERROR(E50/sUPB,0)</f>
        <v/>
      </c>
      <c r="G50" s="21">
        <f>IFERROR(E50/C50,0)</f>
        <v/>
      </c>
      <c r="H50" s="23">
        <f>IFERROR(SUMPRODUCT(tFlag*(tDeal=$W50),tUPBf,tCpn)/SUMPRODUCT(tFlag*(tDeal=$W50)*ISNUMBER(tCpn),tUPBf),0)</f>
        <v/>
      </c>
      <c r="I50" s="24">
        <f>IFERROR(SUMPRODUCT(tFlag*(tDeal=$W50),tUPBf,tUWDSCR)/SUMPRODUCT(tFlag*(tDeal=$W50)*ISNUMBER(tUWDSCR),tUPBf),0)</f>
        <v/>
      </c>
      <c r="J50" s="24">
        <f>IFERROR(SUMPRODUCT(tFlag*(tDeal=$W50),tUPBf,tCurDSCR)/SUMPRODUCT(tFlag*(tDeal=$W50)*ISNUMBER(tCurDSCR),tUPBf),0)</f>
        <v/>
      </c>
      <c r="K50" s="22">
        <f>IFERROR(SUMPRODUCT(tFlag*(tDeal=$W50),tUPBf,tUWLTV)/SUMPRODUCT(tFlag*(tDeal=$W50)*ISNUMBER(tUWLTV),tUPBf),0)</f>
        <v/>
      </c>
      <c r="L50" s="22">
        <f>IFERROR(SUMPRODUCT(tFlag*(tDeal=$W50),tUPBf,tCurLTV)/SUMPRODUCT(tFlag*(tDeal=$W50)*ISNUMBER(tCurLTV),tUPBf),0)</f>
        <v/>
      </c>
      <c r="M50" s="22">
        <f>IFERROR(SUMPRODUCT(tFlag*(tDeal=$W50),tUPBf,tUWDY)/SUMPRODUCT(tFlag*(tDeal=$W50)*ISNUMBER(tUWDY),tUPBf),0)</f>
        <v/>
      </c>
      <c r="N50" s="22">
        <f>IFERROR(SUMPRODUCT(tFlag*(tDeal=$W50),tUPBf,tCurDY)/SUMPRODUCT(tFlag*(tDeal=$W50)*ISNUMBER(tCurDY),tUPBf),0)</f>
        <v/>
      </c>
      <c r="O50" s="22">
        <f>IFERROR(SUMPRODUCT(tFlag*(tDeal=$W50),tUPBf,tOcc)/SUMPRODUCT(tFlag*(tDeal=$W50)*ISNUMBER(tOcc),tUPBf),0)</f>
        <v/>
      </c>
      <c r="P50" s="45">
        <f>IFERROR(SUMPRODUCT(tFlag*(tDeal=$W50),tUPBf,tRem)/SUMPRODUCT(tFlag*(tDeal=$W50)*ISNUMBER(tRem),tUPBf),0)</f>
        <v/>
      </c>
      <c r="Q50" s="22">
        <f>IFERROR(SUMPRODUCT(tFlag*(tDeal=$W50),tUPBf,tFIO)/$E50,0)</f>
        <v/>
      </c>
      <c r="R50" s="22">
        <f>IFERROR(SUMPRODUCT(tFlag*(tDeal=$W50),tUPBf,tDefF)/$E50,0)</f>
        <v/>
      </c>
      <c r="S50" s="22">
        <f>IFERROR(SUMPRODUCT(tFlag*(tDeal=$W50),tUPBf,tSSF)/$E50,0)</f>
        <v/>
      </c>
      <c r="T50" s="22">
        <f>IFERROR(SUMPRODUCT(tFlag*(tDeal=$W50),tUPBf,tDQ)/$E50,0)</f>
        <v/>
      </c>
      <c r="U50" s="22">
        <f>IFERROR(SUMPRODUCT(tFlag*(tDeal=$W50),tUPBf,tWLF)/$E50,0)</f>
        <v/>
      </c>
      <c r="W50" s="46">
        <f>'Deal Map'!C16</f>
        <v/>
      </c>
    </row>
    <row r="51">
      <c r="B51" s="27">
        <f>IF(W51="","",W51&amp;"")</f>
        <v/>
      </c>
      <c r="C51" s="28">
        <f>SUMPRODUCT(tFlag*(tDeal=$W51))</f>
        <v/>
      </c>
      <c r="D51" s="31">
        <f>IFERROR(C51/sLoans,0)</f>
        <v/>
      </c>
      <c r="E51" s="30">
        <f>SUMPRODUCT(tFlag*(tDeal=$W51),tUPBf)</f>
        <v/>
      </c>
      <c r="F51" s="31">
        <f>IFERROR(E51/sUPB,0)</f>
        <v/>
      </c>
      <c r="G51" s="30">
        <f>IFERROR(E51/C51,0)</f>
        <v/>
      </c>
      <c r="H51" s="32">
        <f>IFERROR(SUMPRODUCT(tFlag*(tDeal=$W51),tUPBf,tCpn)/SUMPRODUCT(tFlag*(tDeal=$W51)*ISNUMBER(tCpn),tUPBf),0)</f>
        <v/>
      </c>
      <c r="I51" s="33">
        <f>IFERROR(SUMPRODUCT(tFlag*(tDeal=$W51),tUPBf,tUWDSCR)/SUMPRODUCT(tFlag*(tDeal=$W51)*ISNUMBER(tUWDSCR),tUPBf),0)</f>
        <v/>
      </c>
      <c r="J51" s="33">
        <f>IFERROR(SUMPRODUCT(tFlag*(tDeal=$W51),tUPBf,tCurDSCR)/SUMPRODUCT(tFlag*(tDeal=$W51)*ISNUMBER(tCurDSCR),tUPBf),0)</f>
        <v/>
      </c>
      <c r="K51" s="31">
        <f>IFERROR(SUMPRODUCT(tFlag*(tDeal=$W51),tUPBf,tUWLTV)/SUMPRODUCT(tFlag*(tDeal=$W51)*ISNUMBER(tUWLTV),tUPBf),0)</f>
        <v/>
      </c>
      <c r="L51" s="31">
        <f>IFERROR(SUMPRODUCT(tFlag*(tDeal=$W51),tUPBf,tCurLTV)/SUMPRODUCT(tFlag*(tDeal=$W51)*ISNUMBER(tCurLTV),tUPBf),0)</f>
        <v/>
      </c>
      <c r="M51" s="31">
        <f>IFERROR(SUMPRODUCT(tFlag*(tDeal=$W51),tUPBf,tUWDY)/SUMPRODUCT(tFlag*(tDeal=$W51)*ISNUMBER(tUWDY),tUPBf),0)</f>
        <v/>
      </c>
      <c r="N51" s="31">
        <f>IFERROR(SUMPRODUCT(tFlag*(tDeal=$W51),tUPBf,tCurDY)/SUMPRODUCT(tFlag*(tDeal=$W51)*ISNUMBER(tCurDY),tUPBf),0)</f>
        <v/>
      </c>
      <c r="O51" s="31">
        <f>IFERROR(SUMPRODUCT(tFlag*(tDeal=$W51),tUPBf,tOcc)/SUMPRODUCT(tFlag*(tDeal=$W51)*ISNUMBER(tOcc),tUPBf),0)</f>
        <v/>
      </c>
      <c r="P51" s="47">
        <f>IFERROR(SUMPRODUCT(tFlag*(tDeal=$W51),tUPBf,tRem)/SUMPRODUCT(tFlag*(tDeal=$W51)*ISNUMBER(tRem),tUPBf),0)</f>
        <v/>
      </c>
      <c r="Q51" s="31">
        <f>IFERROR(SUMPRODUCT(tFlag*(tDeal=$W51),tUPBf,tFIO)/$E51,0)</f>
        <v/>
      </c>
      <c r="R51" s="31">
        <f>IFERROR(SUMPRODUCT(tFlag*(tDeal=$W51),tUPBf,tDefF)/$E51,0)</f>
        <v/>
      </c>
      <c r="S51" s="31">
        <f>IFERROR(SUMPRODUCT(tFlag*(tDeal=$W51),tUPBf,tSSF)/$E51,0)</f>
        <v/>
      </c>
      <c r="T51" s="31">
        <f>IFERROR(SUMPRODUCT(tFlag*(tDeal=$W51),tUPBf,tDQ)/$E51,0)</f>
        <v/>
      </c>
      <c r="U51" s="31">
        <f>IFERROR(SUMPRODUCT(tFlag*(tDeal=$W51),tUPBf,tWLF)/$E51,0)</f>
        <v/>
      </c>
      <c r="W51" s="46">
        <f>'Deal Map'!C17</f>
        <v/>
      </c>
    </row>
    <row r="52">
      <c r="B52" s="18">
        <f>IF(W52="","",W52&amp;"")</f>
        <v/>
      </c>
      <c r="C52" s="19">
        <f>SUMPRODUCT(tFlag*(tDeal=$W52))</f>
        <v/>
      </c>
      <c r="D52" s="22">
        <f>IFERROR(C52/sLoans,0)</f>
        <v/>
      </c>
      <c r="E52" s="21">
        <f>SUMPRODUCT(tFlag*(tDeal=$W52),tUPBf)</f>
        <v/>
      </c>
      <c r="F52" s="22">
        <f>IFERROR(E52/sUPB,0)</f>
        <v/>
      </c>
      <c r="G52" s="21">
        <f>IFERROR(E52/C52,0)</f>
        <v/>
      </c>
      <c r="H52" s="23">
        <f>IFERROR(SUMPRODUCT(tFlag*(tDeal=$W52),tUPBf,tCpn)/SUMPRODUCT(tFlag*(tDeal=$W52)*ISNUMBER(tCpn),tUPBf),0)</f>
        <v/>
      </c>
      <c r="I52" s="24">
        <f>IFERROR(SUMPRODUCT(tFlag*(tDeal=$W52),tUPBf,tUWDSCR)/SUMPRODUCT(tFlag*(tDeal=$W52)*ISNUMBER(tUWDSCR),tUPBf),0)</f>
        <v/>
      </c>
      <c r="J52" s="24">
        <f>IFERROR(SUMPRODUCT(tFlag*(tDeal=$W52),tUPBf,tCurDSCR)/SUMPRODUCT(tFlag*(tDeal=$W52)*ISNUMBER(tCurDSCR),tUPBf),0)</f>
        <v/>
      </c>
      <c r="K52" s="22">
        <f>IFERROR(SUMPRODUCT(tFlag*(tDeal=$W52),tUPBf,tUWLTV)/SUMPRODUCT(tFlag*(tDeal=$W52)*ISNUMBER(tUWLTV),tUPBf),0)</f>
        <v/>
      </c>
      <c r="L52" s="22">
        <f>IFERROR(SUMPRODUCT(tFlag*(tDeal=$W52),tUPBf,tCurLTV)/SUMPRODUCT(tFlag*(tDeal=$W52)*ISNUMBER(tCurLTV),tUPBf),0)</f>
        <v/>
      </c>
      <c r="M52" s="22">
        <f>IFERROR(SUMPRODUCT(tFlag*(tDeal=$W52),tUPBf,tUWDY)/SUMPRODUCT(tFlag*(tDeal=$W52)*ISNUMBER(tUWDY),tUPBf),0)</f>
        <v/>
      </c>
      <c r="N52" s="22">
        <f>IFERROR(SUMPRODUCT(tFlag*(tDeal=$W52),tUPBf,tCurDY)/SUMPRODUCT(tFlag*(tDeal=$W52)*ISNUMBER(tCurDY),tUPBf),0)</f>
        <v/>
      </c>
      <c r="O52" s="22">
        <f>IFERROR(SUMPRODUCT(tFlag*(tDeal=$W52),tUPBf,tOcc)/SUMPRODUCT(tFlag*(tDeal=$W52)*ISNUMBER(tOcc),tUPBf),0)</f>
        <v/>
      </c>
      <c r="P52" s="45">
        <f>IFERROR(SUMPRODUCT(tFlag*(tDeal=$W52),tUPBf,tRem)/SUMPRODUCT(tFlag*(tDeal=$W52)*ISNUMBER(tRem),tUPBf),0)</f>
        <v/>
      </c>
      <c r="Q52" s="22">
        <f>IFERROR(SUMPRODUCT(tFlag*(tDeal=$W52),tUPBf,tFIO)/$E52,0)</f>
        <v/>
      </c>
      <c r="R52" s="22">
        <f>IFERROR(SUMPRODUCT(tFlag*(tDeal=$W52),tUPBf,tDefF)/$E52,0)</f>
        <v/>
      </c>
      <c r="S52" s="22">
        <f>IFERROR(SUMPRODUCT(tFlag*(tDeal=$W52),tUPBf,tSSF)/$E52,0)</f>
        <v/>
      </c>
      <c r="T52" s="22">
        <f>IFERROR(SUMPRODUCT(tFlag*(tDeal=$W52),tUPBf,tDQ)/$E52,0)</f>
        <v/>
      </c>
      <c r="U52" s="22">
        <f>IFERROR(SUMPRODUCT(tFlag*(tDeal=$W52),tUPBf,tWLF)/$E52,0)</f>
        <v/>
      </c>
      <c r="W52" s="46">
        <f>'Deal Map'!C18</f>
        <v/>
      </c>
    </row>
    <row r="53">
      <c r="B53" s="27">
        <f>IF(W53="","",W53&amp;"")</f>
        <v/>
      </c>
      <c r="C53" s="28">
        <f>SUMPRODUCT(tFlag*(tDeal=$W53))</f>
        <v/>
      </c>
      <c r="D53" s="31">
        <f>IFERROR(C53/sLoans,0)</f>
        <v/>
      </c>
      <c r="E53" s="30">
        <f>SUMPRODUCT(tFlag*(tDeal=$W53),tUPBf)</f>
        <v/>
      </c>
      <c r="F53" s="31">
        <f>IFERROR(E53/sUPB,0)</f>
        <v/>
      </c>
      <c r="G53" s="30">
        <f>IFERROR(E53/C53,0)</f>
        <v/>
      </c>
      <c r="H53" s="32">
        <f>IFERROR(SUMPRODUCT(tFlag*(tDeal=$W53),tUPBf,tCpn)/SUMPRODUCT(tFlag*(tDeal=$W53)*ISNUMBER(tCpn),tUPBf),0)</f>
        <v/>
      </c>
      <c r="I53" s="33">
        <f>IFERROR(SUMPRODUCT(tFlag*(tDeal=$W53),tUPBf,tUWDSCR)/SUMPRODUCT(tFlag*(tDeal=$W53)*ISNUMBER(tUWDSCR),tUPBf),0)</f>
        <v/>
      </c>
      <c r="J53" s="33">
        <f>IFERROR(SUMPRODUCT(tFlag*(tDeal=$W53),tUPBf,tCurDSCR)/SUMPRODUCT(tFlag*(tDeal=$W53)*ISNUMBER(tCurDSCR),tUPBf),0)</f>
        <v/>
      </c>
      <c r="K53" s="31">
        <f>IFERROR(SUMPRODUCT(tFlag*(tDeal=$W53),tUPBf,tUWLTV)/SUMPRODUCT(tFlag*(tDeal=$W53)*ISNUMBER(tUWLTV),tUPBf),0)</f>
        <v/>
      </c>
      <c r="L53" s="31">
        <f>IFERROR(SUMPRODUCT(tFlag*(tDeal=$W53),tUPBf,tCurLTV)/SUMPRODUCT(tFlag*(tDeal=$W53)*ISNUMBER(tCurLTV),tUPBf),0)</f>
        <v/>
      </c>
      <c r="M53" s="31">
        <f>IFERROR(SUMPRODUCT(tFlag*(tDeal=$W53),tUPBf,tUWDY)/SUMPRODUCT(tFlag*(tDeal=$W53)*ISNUMBER(tUWDY),tUPBf),0)</f>
        <v/>
      </c>
      <c r="N53" s="31">
        <f>IFERROR(SUMPRODUCT(tFlag*(tDeal=$W53),tUPBf,tCurDY)/SUMPRODUCT(tFlag*(tDeal=$W53)*ISNUMBER(tCurDY),tUPBf),0)</f>
        <v/>
      </c>
      <c r="O53" s="31">
        <f>IFERROR(SUMPRODUCT(tFlag*(tDeal=$W53),tUPBf,tOcc)/SUMPRODUCT(tFlag*(tDeal=$W53)*ISNUMBER(tOcc),tUPBf),0)</f>
        <v/>
      </c>
      <c r="P53" s="47">
        <f>IFERROR(SUMPRODUCT(tFlag*(tDeal=$W53),tUPBf,tRem)/SUMPRODUCT(tFlag*(tDeal=$W53)*ISNUMBER(tRem),tUPBf),0)</f>
        <v/>
      </c>
      <c r="Q53" s="31">
        <f>IFERROR(SUMPRODUCT(tFlag*(tDeal=$W53),tUPBf,tFIO)/$E53,0)</f>
        <v/>
      </c>
      <c r="R53" s="31">
        <f>IFERROR(SUMPRODUCT(tFlag*(tDeal=$W53),tUPBf,tDefF)/$E53,0)</f>
        <v/>
      </c>
      <c r="S53" s="31">
        <f>IFERROR(SUMPRODUCT(tFlag*(tDeal=$W53),tUPBf,tSSF)/$E53,0)</f>
        <v/>
      </c>
      <c r="T53" s="31">
        <f>IFERROR(SUMPRODUCT(tFlag*(tDeal=$W53),tUPBf,tDQ)/$E53,0)</f>
        <v/>
      </c>
      <c r="U53" s="31">
        <f>IFERROR(SUMPRODUCT(tFlag*(tDeal=$W53),tUPBf,tWLF)/$E53,0)</f>
        <v/>
      </c>
      <c r="W53" s="46">
        <f>'Deal Map'!C19</f>
        <v/>
      </c>
    </row>
    <row r="54">
      <c r="B54" s="18">
        <f>IF(W54="","",W54&amp;"")</f>
        <v/>
      </c>
      <c r="C54" s="19">
        <f>SUMPRODUCT(tFlag*(tDeal=$W54))</f>
        <v/>
      </c>
      <c r="D54" s="22">
        <f>IFERROR(C54/sLoans,0)</f>
        <v/>
      </c>
      <c r="E54" s="21">
        <f>SUMPRODUCT(tFlag*(tDeal=$W54),tUPBf)</f>
        <v/>
      </c>
      <c r="F54" s="22">
        <f>IFERROR(E54/sUPB,0)</f>
        <v/>
      </c>
      <c r="G54" s="21">
        <f>IFERROR(E54/C54,0)</f>
        <v/>
      </c>
      <c r="H54" s="23">
        <f>IFERROR(SUMPRODUCT(tFlag*(tDeal=$W54),tUPBf,tCpn)/SUMPRODUCT(tFlag*(tDeal=$W54)*ISNUMBER(tCpn),tUPBf),0)</f>
        <v/>
      </c>
      <c r="I54" s="24">
        <f>IFERROR(SUMPRODUCT(tFlag*(tDeal=$W54),tUPBf,tUWDSCR)/SUMPRODUCT(tFlag*(tDeal=$W54)*ISNUMBER(tUWDSCR),tUPBf),0)</f>
        <v/>
      </c>
      <c r="J54" s="24">
        <f>IFERROR(SUMPRODUCT(tFlag*(tDeal=$W54),tUPBf,tCurDSCR)/SUMPRODUCT(tFlag*(tDeal=$W54)*ISNUMBER(tCurDSCR),tUPBf),0)</f>
        <v/>
      </c>
      <c r="K54" s="22">
        <f>IFERROR(SUMPRODUCT(tFlag*(tDeal=$W54),tUPBf,tUWLTV)/SUMPRODUCT(tFlag*(tDeal=$W54)*ISNUMBER(tUWLTV),tUPBf),0)</f>
        <v/>
      </c>
      <c r="L54" s="22">
        <f>IFERROR(SUMPRODUCT(tFlag*(tDeal=$W54),tUPBf,tCurLTV)/SUMPRODUCT(tFlag*(tDeal=$W54)*ISNUMBER(tCurLTV),tUPBf),0)</f>
        <v/>
      </c>
      <c r="M54" s="22">
        <f>IFERROR(SUMPRODUCT(tFlag*(tDeal=$W54),tUPBf,tUWDY)/SUMPRODUCT(tFlag*(tDeal=$W54)*ISNUMBER(tUWDY),tUPBf),0)</f>
        <v/>
      </c>
      <c r="N54" s="22">
        <f>IFERROR(SUMPRODUCT(tFlag*(tDeal=$W54),tUPBf,tCurDY)/SUMPRODUCT(tFlag*(tDeal=$W54)*ISNUMBER(tCurDY),tUPBf),0)</f>
        <v/>
      </c>
      <c r="O54" s="22">
        <f>IFERROR(SUMPRODUCT(tFlag*(tDeal=$W54),tUPBf,tOcc)/SUMPRODUCT(tFlag*(tDeal=$W54)*ISNUMBER(tOcc),tUPBf),0)</f>
        <v/>
      </c>
      <c r="P54" s="45">
        <f>IFERROR(SUMPRODUCT(tFlag*(tDeal=$W54),tUPBf,tRem)/SUMPRODUCT(tFlag*(tDeal=$W54)*ISNUMBER(tRem),tUPBf),0)</f>
        <v/>
      </c>
      <c r="Q54" s="22">
        <f>IFERROR(SUMPRODUCT(tFlag*(tDeal=$W54),tUPBf,tFIO)/$E54,0)</f>
        <v/>
      </c>
      <c r="R54" s="22">
        <f>IFERROR(SUMPRODUCT(tFlag*(tDeal=$W54),tUPBf,tDefF)/$E54,0)</f>
        <v/>
      </c>
      <c r="S54" s="22">
        <f>IFERROR(SUMPRODUCT(tFlag*(tDeal=$W54),tUPBf,tSSF)/$E54,0)</f>
        <v/>
      </c>
      <c r="T54" s="22">
        <f>IFERROR(SUMPRODUCT(tFlag*(tDeal=$W54),tUPBf,tDQ)/$E54,0)</f>
        <v/>
      </c>
      <c r="U54" s="22">
        <f>IFERROR(SUMPRODUCT(tFlag*(tDeal=$W54),tUPBf,tWLF)/$E54,0)</f>
        <v/>
      </c>
      <c r="W54" s="46">
        <f>'Deal Map'!C20</f>
        <v/>
      </c>
    </row>
    <row r="55">
      <c r="B55" s="27">
        <f>IF(W55="","",W55&amp;"")</f>
        <v/>
      </c>
      <c r="C55" s="28">
        <f>SUMPRODUCT(tFlag*(tDeal=$W55))</f>
        <v/>
      </c>
      <c r="D55" s="31">
        <f>IFERROR(C55/sLoans,0)</f>
        <v/>
      </c>
      <c r="E55" s="30">
        <f>SUMPRODUCT(tFlag*(tDeal=$W55),tUPBf)</f>
        <v/>
      </c>
      <c r="F55" s="31">
        <f>IFERROR(E55/sUPB,0)</f>
        <v/>
      </c>
      <c r="G55" s="30">
        <f>IFERROR(E55/C55,0)</f>
        <v/>
      </c>
      <c r="H55" s="32">
        <f>IFERROR(SUMPRODUCT(tFlag*(tDeal=$W55),tUPBf,tCpn)/SUMPRODUCT(tFlag*(tDeal=$W55)*ISNUMBER(tCpn),tUPBf),0)</f>
        <v/>
      </c>
      <c r="I55" s="33">
        <f>IFERROR(SUMPRODUCT(tFlag*(tDeal=$W55),tUPBf,tUWDSCR)/SUMPRODUCT(tFlag*(tDeal=$W55)*ISNUMBER(tUWDSCR),tUPBf),0)</f>
        <v/>
      </c>
      <c r="J55" s="33">
        <f>IFERROR(SUMPRODUCT(tFlag*(tDeal=$W55),tUPBf,tCurDSCR)/SUMPRODUCT(tFlag*(tDeal=$W55)*ISNUMBER(tCurDSCR),tUPBf),0)</f>
        <v/>
      </c>
      <c r="K55" s="31">
        <f>IFERROR(SUMPRODUCT(tFlag*(tDeal=$W55),tUPBf,tUWLTV)/SUMPRODUCT(tFlag*(tDeal=$W55)*ISNUMBER(tUWLTV),tUPBf),0)</f>
        <v/>
      </c>
      <c r="L55" s="31">
        <f>IFERROR(SUMPRODUCT(tFlag*(tDeal=$W55),tUPBf,tCurLTV)/SUMPRODUCT(tFlag*(tDeal=$W55)*ISNUMBER(tCurLTV),tUPBf),0)</f>
        <v/>
      </c>
      <c r="M55" s="31">
        <f>IFERROR(SUMPRODUCT(tFlag*(tDeal=$W55),tUPBf,tUWDY)/SUMPRODUCT(tFlag*(tDeal=$W55)*ISNUMBER(tUWDY),tUPBf),0)</f>
        <v/>
      </c>
      <c r="N55" s="31">
        <f>IFERROR(SUMPRODUCT(tFlag*(tDeal=$W55),tUPBf,tCurDY)/SUMPRODUCT(tFlag*(tDeal=$W55)*ISNUMBER(tCurDY),tUPBf),0)</f>
        <v/>
      </c>
      <c r="O55" s="31">
        <f>IFERROR(SUMPRODUCT(tFlag*(tDeal=$W55),tUPBf,tOcc)/SUMPRODUCT(tFlag*(tDeal=$W55)*ISNUMBER(tOcc),tUPBf),0)</f>
        <v/>
      </c>
      <c r="P55" s="47">
        <f>IFERROR(SUMPRODUCT(tFlag*(tDeal=$W55),tUPBf,tRem)/SUMPRODUCT(tFlag*(tDeal=$W55)*ISNUMBER(tRem),tUPBf),0)</f>
        <v/>
      </c>
      <c r="Q55" s="31">
        <f>IFERROR(SUMPRODUCT(tFlag*(tDeal=$W55),tUPBf,tFIO)/$E55,0)</f>
        <v/>
      </c>
      <c r="R55" s="31">
        <f>IFERROR(SUMPRODUCT(tFlag*(tDeal=$W55),tUPBf,tDefF)/$E55,0)</f>
        <v/>
      </c>
      <c r="S55" s="31">
        <f>IFERROR(SUMPRODUCT(tFlag*(tDeal=$W55),tUPBf,tSSF)/$E55,0)</f>
        <v/>
      </c>
      <c r="T55" s="31">
        <f>IFERROR(SUMPRODUCT(tFlag*(tDeal=$W55),tUPBf,tDQ)/$E55,0)</f>
        <v/>
      </c>
      <c r="U55" s="31">
        <f>IFERROR(SUMPRODUCT(tFlag*(tDeal=$W55),tUPBf,tWLF)/$E55,0)</f>
        <v/>
      </c>
      <c r="W55" s="46">
        <f>'Deal Map'!C21</f>
        <v/>
      </c>
    </row>
    <row r="56">
      <c r="B56" s="18">
        <f>IF(W56="","",W56&amp;"")</f>
        <v/>
      </c>
      <c r="C56" s="19">
        <f>SUMPRODUCT(tFlag*(tDeal=$W56))</f>
        <v/>
      </c>
      <c r="D56" s="22">
        <f>IFERROR(C56/sLoans,0)</f>
        <v/>
      </c>
      <c r="E56" s="21">
        <f>SUMPRODUCT(tFlag*(tDeal=$W56),tUPBf)</f>
        <v/>
      </c>
      <c r="F56" s="22">
        <f>IFERROR(E56/sUPB,0)</f>
        <v/>
      </c>
      <c r="G56" s="21">
        <f>IFERROR(E56/C56,0)</f>
        <v/>
      </c>
      <c r="H56" s="23">
        <f>IFERROR(SUMPRODUCT(tFlag*(tDeal=$W56),tUPBf,tCpn)/SUMPRODUCT(tFlag*(tDeal=$W56)*ISNUMBER(tCpn),tUPBf),0)</f>
        <v/>
      </c>
      <c r="I56" s="24">
        <f>IFERROR(SUMPRODUCT(tFlag*(tDeal=$W56),tUPBf,tUWDSCR)/SUMPRODUCT(tFlag*(tDeal=$W56)*ISNUMBER(tUWDSCR),tUPBf),0)</f>
        <v/>
      </c>
      <c r="J56" s="24">
        <f>IFERROR(SUMPRODUCT(tFlag*(tDeal=$W56),tUPBf,tCurDSCR)/SUMPRODUCT(tFlag*(tDeal=$W56)*ISNUMBER(tCurDSCR),tUPBf),0)</f>
        <v/>
      </c>
      <c r="K56" s="22">
        <f>IFERROR(SUMPRODUCT(tFlag*(tDeal=$W56),tUPBf,tUWLTV)/SUMPRODUCT(tFlag*(tDeal=$W56)*ISNUMBER(tUWLTV),tUPBf),0)</f>
        <v/>
      </c>
      <c r="L56" s="22">
        <f>IFERROR(SUMPRODUCT(tFlag*(tDeal=$W56),tUPBf,tCurLTV)/SUMPRODUCT(tFlag*(tDeal=$W56)*ISNUMBER(tCurLTV),tUPBf),0)</f>
        <v/>
      </c>
      <c r="M56" s="22">
        <f>IFERROR(SUMPRODUCT(tFlag*(tDeal=$W56),tUPBf,tUWDY)/SUMPRODUCT(tFlag*(tDeal=$W56)*ISNUMBER(tUWDY),tUPBf),0)</f>
        <v/>
      </c>
      <c r="N56" s="22">
        <f>IFERROR(SUMPRODUCT(tFlag*(tDeal=$W56),tUPBf,tCurDY)/SUMPRODUCT(tFlag*(tDeal=$W56)*ISNUMBER(tCurDY),tUPBf),0)</f>
        <v/>
      </c>
      <c r="O56" s="22">
        <f>IFERROR(SUMPRODUCT(tFlag*(tDeal=$W56),tUPBf,tOcc)/SUMPRODUCT(tFlag*(tDeal=$W56)*ISNUMBER(tOcc),tUPBf),0)</f>
        <v/>
      </c>
      <c r="P56" s="45">
        <f>IFERROR(SUMPRODUCT(tFlag*(tDeal=$W56),tUPBf,tRem)/SUMPRODUCT(tFlag*(tDeal=$W56)*ISNUMBER(tRem),tUPBf),0)</f>
        <v/>
      </c>
      <c r="Q56" s="22">
        <f>IFERROR(SUMPRODUCT(tFlag*(tDeal=$W56),tUPBf,tFIO)/$E56,0)</f>
        <v/>
      </c>
      <c r="R56" s="22">
        <f>IFERROR(SUMPRODUCT(tFlag*(tDeal=$W56),tUPBf,tDefF)/$E56,0)</f>
        <v/>
      </c>
      <c r="S56" s="22">
        <f>IFERROR(SUMPRODUCT(tFlag*(tDeal=$W56),tUPBf,tSSF)/$E56,0)</f>
        <v/>
      </c>
      <c r="T56" s="22">
        <f>IFERROR(SUMPRODUCT(tFlag*(tDeal=$W56),tUPBf,tDQ)/$E56,0)</f>
        <v/>
      </c>
      <c r="U56" s="22">
        <f>IFERROR(SUMPRODUCT(tFlag*(tDeal=$W56),tUPBf,tWLF)/$E56,0)</f>
        <v/>
      </c>
      <c r="W56" s="46">
        <f>'Deal Map'!C22</f>
        <v/>
      </c>
    </row>
    <row r="57">
      <c r="B57" s="27">
        <f>IF(W57="","",W57&amp;"")</f>
        <v/>
      </c>
      <c r="C57" s="28">
        <f>SUMPRODUCT(tFlag*(tDeal=$W57))</f>
        <v/>
      </c>
      <c r="D57" s="31">
        <f>IFERROR(C57/sLoans,0)</f>
        <v/>
      </c>
      <c r="E57" s="30">
        <f>SUMPRODUCT(tFlag*(tDeal=$W57),tUPBf)</f>
        <v/>
      </c>
      <c r="F57" s="31">
        <f>IFERROR(E57/sUPB,0)</f>
        <v/>
      </c>
      <c r="G57" s="30">
        <f>IFERROR(E57/C57,0)</f>
        <v/>
      </c>
      <c r="H57" s="32">
        <f>IFERROR(SUMPRODUCT(tFlag*(tDeal=$W57),tUPBf,tCpn)/SUMPRODUCT(tFlag*(tDeal=$W57)*ISNUMBER(tCpn),tUPBf),0)</f>
        <v/>
      </c>
      <c r="I57" s="33">
        <f>IFERROR(SUMPRODUCT(tFlag*(tDeal=$W57),tUPBf,tUWDSCR)/SUMPRODUCT(tFlag*(tDeal=$W57)*ISNUMBER(tUWDSCR),tUPBf),0)</f>
        <v/>
      </c>
      <c r="J57" s="33">
        <f>IFERROR(SUMPRODUCT(tFlag*(tDeal=$W57),tUPBf,tCurDSCR)/SUMPRODUCT(tFlag*(tDeal=$W57)*ISNUMBER(tCurDSCR),tUPBf),0)</f>
        <v/>
      </c>
      <c r="K57" s="31">
        <f>IFERROR(SUMPRODUCT(tFlag*(tDeal=$W57),tUPBf,tUWLTV)/SUMPRODUCT(tFlag*(tDeal=$W57)*ISNUMBER(tUWLTV),tUPBf),0)</f>
        <v/>
      </c>
      <c r="L57" s="31">
        <f>IFERROR(SUMPRODUCT(tFlag*(tDeal=$W57),tUPBf,tCurLTV)/SUMPRODUCT(tFlag*(tDeal=$W57)*ISNUMBER(tCurLTV),tUPBf),0)</f>
        <v/>
      </c>
      <c r="M57" s="31">
        <f>IFERROR(SUMPRODUCT(tFlag*(tDeal=$W57),tUPBf,tUWDY)/SUMPRODUCT(tFlag*(tDeal=$W57)*ISNUMBER(tUWDY),tUPBf),0)</f>
        <v/>
      </c>
      <c r="N57" s="31">
        <f>IFERROR(SUMPRODUCT(tFlag*(tDeal=$W57),tUPBf,tCurDY)/SUMPRODUCT(tFlag*(tDeal=$W57)*ISNUMBER(tCurDY),tUPBf),0)</f>
        <v/>
      </c>
      <c r="O57" s="31">
        <f>IFERROR(SUMPRODUCT(tFlag*(tDeal=$W57),tUPBf,tOcc)/SUMPRODUCT(tFlag*(tDeal=$W57)*ISNUMBER(tOcc),tUPBf),0)</f>
        <v/>
      </c>
      <c r="P57" s="47">
        <f>IFERROR(SUMPRODUCT(tFlag*(tDeal=$W57),tUPBf,tRem)/SUMPRODUCT(tFlag*(tDeal=$W57)*ISNUMBER(tRem),tUPBf),0)</f>
        <v/>
      </c>
      <c r="Q57" s="31">
        <f>IFERROR(SUMPRODUCT(tFlag*(tDeal=$W57),tUPBf,tFIO)/$E57,0)</f>
        <v/>
      </c>
      <c r="R57" s="31">
        <f>IFERROR(SUMPRODUCT(tFlag*(tDeal=$W57),tUPBf,tDefF)/$E57,0)</f>
        <v/>
      </c>
      <c r="S57" s="31">
        <f>IFERROR(SUMPRODUCT(tFlag*(tDeal=$W57),tUPBf,tSSF)/$E57,0)</f>
        <v/>
      </c>
      <c r="T57" s="31">
        <f>IFERROR(SUMPRODUCT(tFlag*(tDeal=$W57),tUPBf,tDQ)/$E57,0)</f>
        <v/>
      </c>
      <c r="U57" s="31">
        <f>IFERROR(SUMPRODUCT(tFlag*(tDeal=$W57),tUPBf,tWLF)/$E57,0)</f>
        <v/>
      </c>
      <c r="W57" s="46">
        <f>'Deal Map'!C23</f>
        <v/>
      </c>
    </row>
    <row r="58">
      <c r="B58" s="18">
        <f>IF(W58="","",W58&amp;"")</f>
        <v/>
      </c>
      <c r="C58" s="19">
        <f>SUMPRODUCT(tFlag*(tDeal=$W58))</f>
        <v/>
      </c>
      <c r="D58" s="22">
        <f>IFERROR(C58/sLoans,0)</f>
        <v/>
      </c>
      <c r="E58" s="21">
        <f>SUMPRODUCT(tFlag*(tDeal=$W58),tUPBf)</f>
        <v/>
      </c>
      <c r="F58" s="22">
        <f>IFERROR(E58/sUPB,0)</f>
        <v/>
      </c>
      <c r="G58" s="21">
        <f>IFERROR(E58/C58,0)</f>
        <v/>
      </c>
      <c r="H58" s="23">
        <f>IFERROR(SUMPRODUCT(tFlag*(tDeal=$W58),tUPBf,tCpn)/SUMPRODUCT(tFlag*(tDeal=$W58)*ISNUMBER(tCpn),tUPBf),0)</f>
        <v/>
      </c>
      <c r="I58" s="24">
        <f>IFERROR(SUMPRODUCT(tFlag*(tDeal=$W58),tUPBf,tUWDSCR)/SUMPRODUCT(tFlag*(tDeal=$W58)*ISNUMBER(tUWDSCR),tUPBf),0)</f>
        <v/>
      </c>
      <c r="J58" s="24">
        <f>IFERROR(SUMPRODUCT(tFlag*(tDeal=$W58),tUPBf,tCurDSCR)/SUMPRODUCT(tFlag*(tDeal=$W58)*ISNUMBER(tCurDSCR),tUPBf),0)</f>
        <v/>
      </c>
      <c r="K58" s="22">
        <f>IFERROR(SUMPRODUCT(tFlag*(tDeal=$W58),tUPBf,tUWLTV)/SUMPRODUCT(tFlag*(tDeal=$W58)*ISNUMBER(tUWLTV),tUPBf),0)</f>
        <v/>
      </c>
      <c r="L58" s="22">
        <f>IFERROR(SUMPRODUCT(tFlag*(tDeal=$W58),tUPBf,tCurLTV)/SUMPRODUCT(tFlag*(tDeal=$W58)*ISNUMBER(tCurLTV),tUPBf),0)</f>
        <v/>
      </c>
      <c r="M58" s="22">
        <f>IFERROR(SUMPRODUCT(tFlag*(tDeal=$W58),tUPBf,tUWDY)/SUMPRODUCT(tFlag*(tDeal=$W58)*ISNUMBER(tUWDY),tUPBf),0)</f>
        <v/>
      </c>
      <c r="N58" s="22">
        <f>IFERROR(SUMPRODUCT(tFlag*(tDeal=$W58),tUPBf,tCurDY)/SUMPRODUCT(tFlag*(tDeal=$W58)*ISNUMBER(tCurDY),tUPBf),0)</f>
        <v/>
      </c>
      <c r="O58" s="22">
        <f>IFERROR(SUMPRODUCT(tFlag*(tDeal=$W58),tUPBf,tOcc)/SUMPRODUCT(tFlag*(tDeal=$W58)*ISNUMBER(tOcc),tUPBf),0)</f>
        <v/>
      </c>
      <c r="P58" s="45">
        <f>IFERROR(SUMPRODUCT(tFlag*(tDeal=$W58),tUPBf,tRem)/SUMPRODUCT(tFlag*(tDeal=$W58)*ISNUMBER(tRem),tUPBf),0)</f>
        <v/>
      </c>
      <c r="Q58" s="22">
        <f>IFERROR(SUMPRODUCT(tFlag*(tDeal=$W58),tUPBf,tFIO)/$E58,0)</f>
        <v/>
      </c>
      <c r="R58" s="22">
        <f>IFERROR(SUMPRODUCT(tFlag*(tDeal=$W58),tUPBf,tDefF)/$E58,0)</f>
        <v/>
      </c>
      <c r="S58" s="22">
        <f>IFERROR(SUMPRODUCT(tFlag*(tDeal=$W58),tUPBf,tSSF)/$E58,0)</f>
        <v/>
      </c>
      <c r="T58" s="22">
        <f>IFERROR(SUMPRODUCT(tFlag*(tDeal=$W58),tUPBf,tDQ)/$E58,0)</f>
        <v/>
      </c>
      <c r="U58" s="22">
        <f>IFERROR(SUMPRODUCT(tFlag*(tDeal=$W58),tUPBf,tWLF)/$E58,0)</f>
        <v/>
      </c>
      <c r="W58" s="46">
        <f>'Deal Map'!C24</f>
        <v/>
      </c>
    </row>
    <row r="59">
      <c r="B59" s="27">
        <f>IF(W59="","",W59&amp;"")</f>
        <v/>
      </c>
      <c r="C59" s="28">
        <f>SUMPRODUCT(tFlag*(tDeal=$W59))</f>
        <v/>
      </c>
      <c r="D59" s="31">
        <f>IFERROR(C59/sLoans,0)</f>
        <v/>
      </c>
      <c r="E59" s="30">
        <f>SUMPRODUCT(tFlag*(tDeal=$W59),tUPBf)</f>
        <v/>
      </c>
      <c r="F59" s="31">
        <f>IFERROR(E59/sUPB,0)</f>
        <v/>
      </c>
      <c r="G59" s="30">
        <f>IFERROR(E59/C59,0)</f>
        <v/>
      </c>
      <c r="H59" s="32">
        <f>IFERROR(SUMPRODUCT(tFlag*(tDeal=$W59),tUPBf,tCpn)/SUMPRODUCT(tFlag*(tDeal=$W59)*ISNUMBER(tCpn),tUPBf),0)</f>
        <v/>
      </c>
      <c r="I59" s="33">
        <f>IFERROR(SUMPRODUCT(tFlag*(tDeal=$W59),tUPBf,tUWDSCR)/SUMPRODUCT(tFlag*(tDeal=$W59)*ISNUMBER(tUWDSCR),tUPBf),0)</f>
        <v/>
      </c>
      <c r="J59" s="33">
        <f>IFERROR(SUMPRODUCT(tFlag*(tDeal=$W59),tUPBf,tCurDSCR)/SUMPRODUCT(tFlag*(tDeal=$W59)*ISNUMBER(tCurDSCR),tUPBf),0)</f>
        <v/>
      </c>
      <c r="K59" s="31">
        <f>IFERROR(SUMPRODUCT(tFlag*(tDeal=$W59),tUPBf,tUWLTV)/SUMPRODUCT(tFlag*(tDeal=$W59)*ISNUMBER(tUWLTV),tUPBf),0)</f>
        <v/>
      </c>
      <c r="L59" s="31">
        <f>IFERROR(SUMPRODUCT(tFlag*(tDeal=$W59),tUPBf,tCurLTV)/SUMPRODUCT(tFlag*(tDeal=$W59)*ISNUMBER(tCurLTV),tUPBf),0)</f>
        <v/>
      </c>
      <c r="M59" s="31">
        <f>IFERROR(SUMPRODUCT(tFlag*(tDeal=$W59),tUPBf,tUWDY)/SUMPRODUCT(tFlag*(tDeal=$W59)*ISNUMBER(tUWDY),tUPBf),0)</f>
        <v/>
      </c>
      <c r="N59" s="31">
        <f>IFERROR(SUMPRODUCT(tFlag*(tDeal=$W59),tUPBf,tCurDY)/SUMPRODUCT(tFlag*(tDeal=$W59)*ISNUMBER(tCurDY),tUPBf),0)</f>
        <v/>
      </c>
      <c r="O59" s="31">
        <f>IFERROR(SUMPRODUCT(tFlag*(tDeal=$W59),tUPBf,tOcc)/SUMPRODUCT(tFlag*(tDeal=$W59)*ISNUMBER(tOcc),tUPBf),0)</f>
        <v/>
      </c>
      <c r="P59" s="47">
        <f>IFERROR(SUMPRODUCT(tFlag*(tDeal=$W59),tUPBf,tRem)/SUMPRODUCT(tFlag*(tDeal=$W59)*ISNUMBER(tRem),tUPBf),0)</f>
        <v/>
      </c>
      <c r="Q59" s="31">
        <f>IFERROR(SUMPRODUCT(tFlag*(tDeal=$W59),tUPBf,tFIO)/$E59,0)</f>
        <v/>
      </c>
      <c r="R59" s="31">
        <f>IFERROR(SUMPRODUCT(tFlag*(tDeal=$W59),tUPBf,tDefF)/$E59,0)</f>
        <v/>
      </c>
      <c r="S59" s="31">
        <f>IFERROR(SUMPRODUCT(tFlag*(tDeal=$W59),tUPBf,tSSF)/$E59,0)</f>
        <v/>
      </c>
      <c r="T59" s="31">
        <f>IFERROR(SUMPRODUCT(tFlag*(tDeal=$W59),tUPBf,tDQ)/$E59,0)</f>
        <v/>
      </c>
      <c r="U59" s="31">
        <f>IFERROR(SUMPRODUCT(tFlag*(tDeal=$W59),tUPBf,tWLF)/$E59,0)</f>
        <v/>
      </c>
      <c r="W59" s="46">
        <f>'Deal Map'!C25</f>
        <v/>
      </c>
    </row>
    <row r="60">
      <c r="B60" s="18">
        <f>IF(W60="","",W60&amp;"")</f>
        <v/>
      </c>
      <c r="C60" s="19">
        <f>SUMPRODUCT(tFlag*(tDeal=$W60))</f>
        <v/>
      </c>
      <c r="D60" s="22">
        <f>IFERROR(C60/sLoans,0)</f>
        <v/>
      </c>
      <c r="E60" s="21">
        <f>SUMPRODUCT(tFlag*(tDeal=$W60),tUPBf)</f>
        <v/>
      </c>
      <c r="F60" s="22">
        <f>IFERROR(E60/sUPB,0)</f>
        <v/>
      </c>
      <c r="G60" s="21">
        <f>IFERROR(E60/C60,0)</f>
        <v/>
      </c>
      <c r="H60" s="23">
        <f>IFERROR(SUMPRODUCT(tFlag*(tDeal=$W60),tUPBf,tCpn)/SUMPRODUCT(tFlag*(tDeal=$W60)*ISNUMBER(tCpn),tUPBf),0)</f>
        <v/>
      </c>
      <c r="I60" s="24">
        <f>IFERROR(SUMPRODUCT(tFlag*(tDeal=$W60),tUPBf,tUWDSCR)/SUMPRODUCT(tFlag*(tDeal=$W60)*ISNUMBER(tUWDSCR),tUPBf),0)</f>
        <v/>
      </c>
      <c r="J60" s="24">
        <f>IFERROR(SUMPRODUCT(tFlag*(tDeal=$W60),tUPBf,tCurDSCR)/SUMPRODUCT(tFlag*(tDeal=$W60)*ISNUMBER(tCurDSCR),tUPBf),0)</f>
        <v/>
      </c>
      <c r="K60" s="22">
        <f>IFERROR(SUMPRODUCT(tFlag*(tDeal=$W60),tUPBf,tUWLTV)/SUMPRODUCT(tFlag*(tDeal=$W60)*ISNUMBER(tUWLTV),tUPBf),0)</f>
        <v/>
      </c>
      <c r="L60" s="22">
        <f>IFERROR(SUMPRODUCT(tFlag*(tDeal=$W60),tUPBf,tCurLTV)/SUMPRODUCT(tFlag*(tDeal=$W60)*ISNUMBER(tCurLTV),tUPBf),0)</f>
        <v/>
      </c>
      <c r="M60" s="22">
        <f>IFERROR(SUMPRODUCT(tFlag*(tDeal=$W60),tUPBf,tUWDY)/SUMPRODUCT(tFlag*(tDeal=$W60)*ISNUMBER(tUWDY),tUPBf),0)</f>
        <v/>
      </c>
      <c r="N60" s="22">
        <f>IFERROR(SUMPRODUCT(tFlag*(tDeal=$W60),tUPBf,tCurDY)/SUMPRODUCT(tFlag*(tDeal=$W60)*ISNUMBER(tCurDY),tUPBf),0)</f>
        <v/>
      </c>
      <c r="O60" s="22">
        <f>IFERROR(SUMPRODUCT(tFlag*(tDeal=$W60),tUPBf,tOcc)/SUMPRODUCT(tFlag*(tDeal=$W60)*ISNUMBER(tOcc),tUPBf),0)</f>
        <v/>
      </c>
      <c r="P60" s="45">
        <f>IFERROR(SUMPRODUCT(tFlag*(tDeal=$W60),tUPBf,tRem)/SUMPRODUCT(tFlag*(tDeal=$W60)*ISNUMBER(tRem),tUPBf),0)</f>
        <v/>
      </c>
      <c r="Q60" s="22">
        <f>IFERROR(SUMPRODUCT(tFlag*(tDeal=$W60),tUPBf,tFIO)/$E60,0)</f>
        <v/>
      </c>
      <c r="R60" s="22">
        <f>IFERROR(SUMPRODUCT(tFlag*(tDeal=$W60),tUPBf,tDefF)/$E60,0)</f>
        <v/>
      </c>
      <c r="S60" s="22">
        <f>IFERROR(SUMPRODUCT(tFlag*(tDeal=$W60),tUPBf,tSSF)/$E60,0)</f>
        <v/>
      </c>
      <c r="T60" s="22">
        <f>IFERROR(SUMPRODUCT(tFlag*(tDeal=$W60),tUPBf,tDQ)/$E60,0)</f>
        <v/>
      </c>
      <c r="U60" s="22">
        <f>IFERROR(SUMPRODUCT(tFlag*(tDeal=$W60),tUPBf,tWLF)/$E60,0)</f>
        <v/>
      </c>
      <c r="W60" s="46">
        <f>'Deal Map'!C26</f>
        <v/>
      </c>
    </row>
    <row r="61">
      <c r="B61" s="27">
        <f>IF(W61="","",W61&amp;"")</f>
        <v/>
      </c>
      <c r="C61" s="28">
        <f>SUMPRODUCT(tFlag*(tDeal=$W61))</f>
        <v/>
      </c>
      <c r="D61" s="31">
        <f>IFERROR(C61/sLoans,0)</f>
        <v/>
      </c>
      <c r="E61" s="30">
        <f>SUMPRODUCT(tFlag*(tDeal=$W61),tUPBf)</f>
        <v/>
      </c>
      <c r="F61" s="31">
        <f>IFERROR(E61/sUPB,0)</f>
        <v/>
      </c>
      <c r="G61" s="30">
        <f>IFERROR(E61/C61,0)</f>
        <v/>
      </c>
      <c r="H61" s="32">
        <f>IFERROR(SUMPRODUCT(tFlag*(tDeal=$W61),tUPBf,tCpn)/SUMPRODUCT(tFlag*(tDeal=$W61)*ISNUMBER(tCpn),tUPBf),0)</f>
        <v/>
      </c>
      <c r="I61" s="33">
        <f>IFERROR(SUMPRODUCT(tFlag*(tDeal=$W61),tUPBf,tUWDSCR)/SUMPRODUCT(tFlag*(tDeal=$W61)*ISNUMBER(tUWDSCR),tUPBf),0)</f>
        <v/>
      </c>
      <c r="J61" s="33">
        <f>IFERROR(SUMPRODUCT(tFlag*(tDeal=$W61),tUPBf,tCurDSCR)/SUMPRODUCT(tFlag*(tDeal=$W61)*ISNUMBER(tCurDSCR),tUPBf),0)</f>
        <v/>
      </c>
      <c r="K61" s="31">
        <f>IFERROR(SUMPRODUCT(tFlag*(tDeal=$W61),tUPBf,tUWLTV)/SUMPRODUCT(tFlag*(tDeal=$W61)*ISNUMBER(tUWLTV),tUPBf),0)</f>
        <v/>
      </c>
      <c r="L61" s="31">
        <f>IFERROR(SUMPRODUCT(tFlag*(tDeal=$W61),tUPBf,tCurLTV)/SUMPRODUCT(tFlag*(tDeal=$W61)*ISNUMBER(tCurLTV),tUPBf),0)</f>
        <v/>
      </c>
      <c r="M61" s="31">
        <f>IFERROR(SUMPRODUCT(tFlag*(tDeal=$W61),tUPBf,tUWDY)/SUMPRODUCT(tFlag*(tDeal=$W61)*ISNUMBER(tUWDY),tUPBf),0)</f>
        <v/>
      </c>
      <c r="N61" s="31">
        <f>IFERROR(SUMPRODUCT(tFlag*(tDeal=$W61),tUPBf,tCurDY)/SUMPRODUCT(tFlag*(tDeal=$W61)*ISNUMBER(tCurDY),tUPBf),0)</f>
        <v/>
      </c>
      <c r="O61" s="31">
        <f>IFERROR(SUMPRODUCT(tFlag*(tDeal=$W61),tUPBf,tOcc)/SUMPRODUCT(tFlag*(tDeal=$W61)*ISNUMBER(tOcc),tUPBf),0)</f>
        <v/>
      </c>
      <c r="P61" s="47">
        <f>IFERROR(SUMPRODUCT(tFlag*(tDeal=$W61),tUPBf,tRem)/SUMPRODUCT(tFlag*(tDeal=$W61)*ISNUMBER(tRem),tUPBf),0)</f>
        <v/>
      </c>
      <c r="Q61" s="31">
        <f>IFERROR(SUMPRODUCT(tFlag*(tDeal=$W61),tUPBf,tFIO)/$E61,0)</f>
        <v/>
      </c>
      <c r="R61" s="31">
        <f>IFERROR(SUMPRODUCT(tFlag*(tDeal=$W61),tUPBf,tDefF)/$E61,0)</f>
        <v/>
      </c>
      <c r="S61" s="31">
        <f>IFERROR(SUMPRODUCT(tFlag*(tDeal=$W61),tUPBf,tSSF)/$E61,0)</f>
        <v/>
      </c>
      <c r="T61" s="31">
        <f>IFERROR(SUMPRODUCT(tFlag*(tDeal=$W61),tUPBf,tDQ)/$E61,0)</f>
        <v/>
      </c>
      <c r="U61" s="31">
        <f>IFERROR(SUMPRODUCT(tFlag*(tDeal=$W61),tUPBf,tWLF)/$E61,0)</f>
        <v/>
      </c>
      <c r="W61" s="46">
        <f>'Deal Map'!C27</f>
        <v/>
      </c>
    </row>
    <row r="62">
      <c r="B62" s="18">
        <f>IF(W62="","",W62&amp;"")</f>
        <v/>
      </c>
      <c r="C62" s="19">
        <f>SUMPRODUCT(tFlag*(tDeal=$W62))</f>
        <v/>
      </c>
      <c r="D62" s="22">
        <f>IFERROR(C62/sLoans,0)</f>
        <v/>
      </c>
      <c r="E62" s="21">
        <f>SUMPRODUCT(tFlag*(tDeal=$W62),tUPBf)</f>
        <v/>
      </c>
      <c r="F62" s="22">
        <f>IFERROR(E62/sUPB,0)</f>
        <v/>
      </c>
      <c r="G62" s="21">
        <f>IFERROR(E62/C62,0)</f>
        <v/>
      </c>
      <c r="H62" s="23">
        <f>IFERROR(SUMPRODUCT(tFlag*(tDeal=$W62),tUPBf,tCpn)/SUMPRODUCT(tFlag*(tDeal=$W62)*ISNUMBER(tCpn),tUPBf),0)</f>
        <v/>
      </c>
      <c r="I62" s="24">
        <f>IFERROR(SUMPRODUCT(tFlag*(tDeal=$W62),tUPBf,tUWDSCR)/SUMPRODUCT(tFlag*(tDeal=$W62)*ISNUMBER(tUWDSCR),tUPBf),0)</f>
        <v/>
      </c>
      <c r="J62" s="24">
        <f>IFERROR(SUMPRODUCT(tFlag*(tDeal=$W62),tUPBf,tCurDSCR)/SUMPRODUCT(tFlag*(tDeal=$W62)*ISNUMBER(tCurDSCR),tUPBf),0)</f>
        <v/>
      </c>
      <c r="K62" s="22">
        <f>IFERROR(SUMPRODUCT(tFlag*(tDeal=$W62),tUPBf,tUWLTV)/SUMPRODUCT(tFlag*(tDeal=$W62)*ISNUMBER(tUWLTV),tUPBf),0)</f>
        <v/>
      </c>
      <c r="L62" s="22">
        <f>IFERROR(SUMPRODUCT(tFlag*(tDeal=$W62),tUPBf,tCurLTV)/SUMPRODUCT(tFlag*(tDeal=$W62)*ISNUMBER(tCurLTV),tUPBf),0)</f>
        <v/>
      </c>
      <c r="M62" s="22">
        <f>IFERROR(SUMPRODUCT(tFlag*(tDeal=$W62),tUPBf,tUWDY)/SUMPRODUCT(tFlag*(tDeal=$W62)*ISNUMBER(tUWDY),tUPBf),0)</f>
        <v/>
      </c>
      <c r="N62" s="22">
        <f>IFERROR(SUMPRODUCT(tFlag*(tDeal=$W62),tUPBf,tCurDY)/SUMPRODUCT(tFlag*(tDeal=$W62)*ISNUMBER(tCurDY),tUPBf),0)</f>
        <v/>
      </c>
      <c r="O62" s="22">
        <f>IFERROR(SUMPRODUCT(tFlag*(tDeal=$W62),tUPBf,tOcc)/SUMPRODUCT(tFlag*(tDeal=$W62)*ISNUMBER(tOcc),tUPBf),0)</f>
        <v/>
      </c>
      <c r="P62" s="45">
        <f>IFERROR(SUMPRODUCT(tFlag*(tDeal=$W62),tUPBf,tRem)/SUMPRODUCT(tFlag*(tDeal=$W62)*ISNUMBER(tRem),tUPBf),0)</f>
        <v/>
      </c>
      <c r="Q62" s="22">
        <f>IFERROR(SUMPRODUCT(tFlag*(tDeal=$W62),tUPBf,tFIO)/$E62,0)</f>
        <v/>
      </c>
      <c r="R62" s="22">
        <f>IFERROR(SUMPRODUCT(tFlag*(tDeal=$W62),tUPBf,tDefF)/$E62,0)</f>
        <v/>
      </c>
      <c r="S62" s="22">
        <f>IFERROR(SUMPRODUCT(tFlag*(tDeal=$W62),tUPBf,tSSF)/$E62,0)</f>
        <v/>
      </c>
      <c r="T62" s="22">
        <f>IFERROR(SUMPRODUCT(tFlag*(tDeal=$W62),tUPBf,tDQ)/$E62,0)</f>
        <v/>
      </c>
      <c r="U62" s="22">
        <f>IFERROR(SUMPRODUCT(tFlag*(tDeal=$W62),tUPBf,tWLF)/$E62,0)</f>
        <v/>
      </c>
      <c r="W62" s="46">
        <f>'Deal Map'!C28</f>
        <v/>
      </c>
    </row>
    <row r="63">
      <c r="B63" s="27">
        <f>IF(W63="","",W63&amp;"")</f>
        <v/>
      </c>
      <c r="C63" s="28">
        <f>SUMPRODUCT(tFlag*(tDeal=$W63))</f>
        <v/>
      </c>
      <c r="D63" s="31">
        <f>IFERROR(C63/sLoans,0)</f>
        <v/>
      </c>
      <c r="E63" s="30">
        <f>SUMPRODUCT(tFlag*(tDeal=$W63),tUPBf)</f>
        <v/>
      </c>
      <c r="F63" s="31">
        <f>IFERROR(E63/sUPB,0)</f>
        <v/>
      </c>
      <c r="G63" s="30">
        <f>IFERROR(E63/C63,0)</f>
        <v/>
      </c>
      <c r="H63" s="32">
        <f>IFERROR(SUMPRODUCT(tFlag*(tDeal=$W63),tUPBf,tCpn)/SUMPRODUCT(tFlag*(tDeal=$W63)*ISNUMBER(tCpn),tUPBf),0)</f>
        <v/>
      </c>
      <c r="I63" s="33">
        <f>IFERROR(SUMPRODUCT(tFlag*(tDeal=$W63),tUPBf,tUWDSCR)/SUMPRODUCT(tFlag*(tDeal=$W63)*ISNUMBER(tUWDSCR),tUPBf),0)</f>
        <v/>
      </c>
      <c r="J63" s="33">
        <f>IFERROR(SUMPRODUCT(tFlag*(tDeal=$W63),tUPBf,tCurDSCR)/SUMPRODUCT(tFlag*(tDeal=$W63)*ISNUMBER(tCurDSCR),tUPBf),0)</f>
        <v/>
      </c>
      <c r="K63" s="31">
        <f>IFERROR(SUMPRODUCT(tFlag*(tDeal=$W63),tUPBf,tUWLTV)/SUMPRODUCT(tFlag*(tDeal=$W63)*ISNUMBER(tUWLTV),tUPBf),0)</f>
        <v/>
      </c>
      <c r="L63" s="31">
        <f>IFERROR(SUMPRODUCT(tFlag*(tDeal=$W63),tUPBf,tCurLTV)/SUMPRODUCT(tFlag*(tDeal=$W63)*ISNUMBER(tCurLTV),tUPBf),0)</f>
        <v/>
      </c>
      <c r="M63" s="31">
        <f>IFERROR(SUMPRODUCT(tFlag*(tDeal=$W63),tUPBf,tUWDY)/SUMPRODUCT(tFlag*(tDeal=$W63)*ISNUMBER(tUWDY),tUPBf),0)</f>
        <v/>
      </c>
      <c r="N63" s="31">
        <f>IFERROR(SUMPRODUCT(tFlag*(tDeal=$W63),tUPBf,tCurDY)/SUMPRODUCT(tFlag*(tDeal=$W63)*ISNUMBER(tCurDY),tUPBf),0)</f>
        <v/>
      </c>
      <c r="O63" s="31">
        <f>IFERROR(SUMPRODUCT(tFlag*(tDeal=$W63),tUPBf,tOcc)/SUMPRODUCT(tFlag*(tDeal=$W63)*ISNUMBER(tOcc),tUPBf),0)</f>
        <v/>
      </c>
      <c r="P63" s="47">
        <f>IFERROR(SUMPRODUCT(tFlag*(tDeal=$W63),tUPBf,tRem)/SUMPRODUCT(tFlag*(tDeal=$W63)*ISNUMBER(tRem),tUPBf),0)</f>
        <v/>
      </c>
      <c r="Q63" s="31">
        <f>IFERROR(SUMPRODUCT(tFlag*(tDeal=$W63),tUPBf,tFIO)/$E63,0)</f>
        <v/>
      </c>
      <c r="R63" s="31">
        <f>IFERROR(SUMPRODUCT(tFlag*(tDeal=$W63),tUPBf,tDefF)/$E63,0)</f>
        <v/>
      </c>
      <c r="S63" s="31">
        <f>IFERROR(SUMPRODUCT(tFlag*(tDeal=$W63),tUPBf,tSSF)/$E63,0)</f>
        <v/>
      </c>
      <c r="T63" s="31">
        <f>IFERROR(SUMPRODUCT(tFlag*(tDeal=$W63),tUPBf,tDQ)/$E63,0)</f>
        <v/>
      </c>
      <c r="U63" s="31">
        <f>IFERROR(SUMPRODUCT(tFlag*(tDeal=$W63),tUPBf,tWLF)/$E63,0)</f>
        <v/>
      </c>
      <c r="W63" s="46">
        <f>'Deal Map'!C29</f>
        <v/>
      </c>
    </row>
    <row r="64">
      <c r="B64" s="18">
        <f>IF(W64="","",W64&amp;"")</f>
        <v/>
      </c>
      <c r="C64" s="19">
        <f>SUMPRODUCT(tFlag*(tDeal=$W64))</f>
        <v/>
      </c>
      <c r="D64" s="22">
        <f>IFERROR(C64/sLoans,0)</f>
        <v/>
      </c>
      <c r="E64" s="21">
        <f>SUMPRODUCT(tFlag*(tDeal=$W64),tUPBf)</f>
        <v/>
      </c>
      <c r="F64" s="22">
        <f>IFERROR(E64/sUPB,0)</f>
        <v/>
      </c>
      <c r="G64" s="21">
        <f>IFERROR(E64/C64,0)</f>
        <v/>
      </c>
      <c r="H64" s="23">
        <f>IFERROR(SUMPRODUCT(tFlag*(tDeal=$W64),tUPBf,tCpn)/SUMPRODUCT(tFlag*(tDeal=$W64)*ISNUMBER(tCpn),tUPBf),0)</f>
        <v/>
      </c>
      <c r="I64" s="24">
        <f>IFERROR(SUMPRODUCT(tFlag*(tDeal=$W64),tUPBf,tUWDSCR)/SUMPRODUCT(tFlag*(tDeal=$W64)*ISNUMBER(tUWDSCR),tUPBf),0)</f>
        <v/>
      </c>
      <c r="J64" s="24">
        <f>IFERROR(SUMPRODUCT(tFlag*(tDeal=$W64),tUPBf,tCurDSCR)/SUMPRODUCT(tFlag*(tDeal=$W64)*ISNUMBER(tCurDSCR),tUPBf),0)</f>
        <v/>
      </c>
      <c r="K64" s="22">
        <f>IFERROR(SUMPRODUCT(tFlag*(tDeal=$W64),tUPBf,tUWLTV)/SUMPRODUCT(tFlag*(tDeal=$W64)*ISNUMBER(tUWLTV),tUPBf),0)</f>
        <v/>
      </c>
      <c r="L64" s="22">
        <f>IFERROR(SUMPRODUCT(tFlag*(tDeal=$W64),tUPBf,tCurLTV)/SUMPRODUCT(tFlag*(tDeal=$W64)*ISNUMBER(tCurLTV),tUPBf),0)</f>
        <v/>
      </c>
      <c r="M64" s="22">
        <f>IFERROR(SUMPRODUCT(tFlag*(tDeal=$W64),tUPBf,tUWDY)/SUMPRODUCT(tFlag*(tDeal=$W64)*ISNUMBER(tUWDY),tUPBf),0)</f>
        <v/>
      </c>
      <c r="N64" s="22">
        <f>IFERROR(SUMPRODUCT(tFlag*(tDeal=$W64),tUPBf,tCurDY)/SUMPRODUCT(tFlag*(tDeal=$W64)*ISNUMBER(tCurDY),tUPBf),0)</f>
        <v/>
      </c>
      <c r="O64" s="22">
        <f>IFERROR(SUMPRODUCT(tFlag*(tDeal=$W64),tUPBf,tOcc)/SUMPRODUCT(tFlag*(tDeal=$W64)*ISNUMBER(tOcc),tUPBf),0)</f>
        <v/>
      </c>
      <c r="P64" s="45">
        <f>IFERROR(SUMPRODUCT(tFlag*(tDeal=$W64),tUPBf,tRem)/SUMPRODUCT(tFlag*(tDeal=$W64)*ISNUMBER(tRem),tUPBf),0)</f>
        <v/>
      </c>
      <c r="Q64" s="22">
        <f>IFERROR(SUMPRODUCT(tFlag*(tDeal=$W64),tUPBf,tFIO)/$E64,0)</f>
        <v/>
      </c>
      <c r="R64" s="22">
        <f>IFERROR(SUMPRODUCT(tFlag*(tDeal=$W64),tUPBf,tDefF)/$E64,0)</f>
        <v/>
      </c>
      <c r="S64" s="22">
        <f>IFERROR(SUMPRODUCT(tFlag*(tDeal=$W64),tUPBf,tSSF)/$E64,0)</f>
        <v/>
      </c>
      <c r="T64" s="22">
        <f>IFERROR(SUMPRODUCT(tFlag*(tDeal=$W64),tUPBf,tDQ)/$E64,0)</f>
        <v/>
      </c>
      <c r="U64" s="22">
        <f>IFERROR(SUMPRODUCT(tFlag*(tDeal=$W64),tUPBf,tWLF)/$E64,0)</f>
        <v/>
      </c>
      <c r="W64" s="46">
        <f>'Deal Map'!C30</f>
        <v/>
      </c>
    </row>
    <row r="65">
      <c r="B65" s="27">
        <f>IF(W65="","",W65&amp;"")</f>
        <v/>
      </c>
      <c r="C65" s="28">
        <f>SUMPRODUCT(tFlag*(tDeal=$W65))</f>
        <v/>
      </c>
      <c r="D65" s="31">
        <f>IFERROR(C65/sLoans,0)</f>
        <v/>
      </c>
      <c r="E65" s="30">
        <f>SUMPRODUCT(tFlag*(tDeal=$W65),tUPBf)</f>
        <v/>
      </c>
      <c r="F65" s="31">
        <f>IFERROR(E65/sUPB,0)</f>
        <v/>
      </c>
      <c r="G65" s="30">
        <f>IFERROR(E65/C65,0)</f>
        <v/>
      </c>
      <c r="H65" s="32">
        <f>IFERROR(SUMPRODUCT(tFlag*(tDeal=$W65),tUPBf,tCpn)/SUMPRODUCT(tFlag*(tDeal=$W65)*ISNUMBER(tCpn),tUPBf),0)</f>
        <v/>
      </c>
      <c r="I65" s="33">
        <f>IFERROR(SUMPRODUCT(tFlag*(tDeal=$W65),tUPBf,tUWDSCR)/SUMPRODUCT(tFlag*(tDeal=$W65)*ISNUMBER(tUWDSCR),tUPBf),0)</f>
        <v/>
      </c>
      <c r="J65" s="33">
        <f>IFERROR(SUMPRODUCT(tFlag*(tDeal=$W65),tUPBf,tCurDSCR)/SUMPRODUCT(tFlag*(tDeal=$W65)*ISNUMBER(tCurDSCR),tUPBf),0)</f>
        <v/>
      </c>
      <c r="K65" s="31">
        <f>IFERROR(SUMPRODUCT(tFlag*(tDeal=$W65),tUPBf,tUWLTV)/SUMPRODUCT(tFlag*(tDeal=$W65)*ISNUMBER(tUWLTV),tUPBf),0)</f>
        <v/>
      </c>
      <c r="L65" s="31">
        <f>IFERROR(SUMPRODUCT(tFlag*(tDeal=$W65),tUPBf,tCurLTV)/SUMPRODUCT(tFlag*(tDeal=$W65)*ISNUMBER(tCurLTV),tUPBf),0)</f>
        <v/>
      </c>
      <c r="M65" s="31">
        <f>IFERROR(SUMPRODUCT(tFlag*(tDeal=$W65),tUPBf,tUWDY)/SUMPRODUCT(tFlag*(tDeal=$W65)*ISNUMBER(tUWDY),tUPBf),0)</f>
        <v/>
      </c>
      <c r="N65" s="31">
        <f>IFERROR(SUMPRODUCT(tFlag*(tDeal=$W65),tUPBf,tCurDY)/SUMPRODUCT(tFlag*(tDeal=$W65)*ISNUMBER(tCurDY),tUPBf),0)</f>
        <v/>
      </c>
      <c r="O65" s="31">
        <f>IFERROR(SUMPRODUCT(tFlag*(tDeal=$W65),tUPBf,tOcc)/SUMPRODUCT(tFlag*(tDeal=$W65)*ISNUMBER(tOcc),tUPBf),0)</f>
        <v/>
      </c>
      <c r="P65" s="47">
        <f>IFERROR(SUMPRODUCT(tFlag*(tDeal=$W65),tUPBf,tRem)/SUMPRODUCT(tFlag*(tDeal=$W65)*ISNUMBER(tRem),tUPBf),0)</f>
        <v/>
      </c>
      <c r="Q65" s="31">
        <f>IFERROR(SUMPRODUCT(tFlag*(tDeal=$W65),tUPBf,tFIO)/$E65,0)</f>
        <v/>
      </c>
      <c r="R65" s="31">
        <f>IFERROR(SUMPRODUCT(tFlag*(tDeal=$W65),tUPBf,tDefF)/$E65,0)</f>
        <v/>
      </c>
      <c r="S65" s="31">
        <f>IFERROR(SUMPRODUCT(tFlag*(tDeal=$W65),tUPBf,tSSF)/$E65,0)</f>
        <v/>
      </c>
      <c r="T65" s="31">
        <f>IFERROR(SUMPRODUCT(tFlag*(tDeal=$W65),tUPBf,tDQ)/$E65,0)</f>
        <v/>
      </c>
      <c r="U65" s="31">
        <f>IFERROR(SUMPRODUCT(tFlag*(tDeal=$W65),tUPBf,tWLF)/$E65,0)</f>
        <v/>
      </c>
      <c r="W65" s="46">
        <f>'Deal Map'!C31</f>
        <v/>
      </c>
    </row>
    <row r="66">
      <c r="B66" s="18">
        <f>IF(W66="","",W66&amp;"")</f>
        <v/>
      </c>
      <c r="C66" s="19">
        <f>SUMPRODUCT(tFlag*(tDeal=$W66))</f>
        <v/>
      </c>
      <c r="D66" s="22">
        <f>IFERROR(C66/sLoans,0)</f>
        <v/>
      </c>
      <c r="E66" s="21">
        <f>SUMPRODUCT(tFlag*(tDeal=$W66),tUPBf)</f>
        <v/>
      </c>
      <c r="F66" s="22">
        <f>IFERROR(E66/sUPB,0)</f>
        <v/>
      </c>
      <c r="G66" s="21">
        <f>IFERROR(E66/C66,0)</f>
        <v/>
      </c>
      <c r="H66" s="23">
        <f>IFERROR(SUMPRODUCT(tFlag*(tDeal=$W66),tUPBf,tCpn)/SUMPRODUCT(tFlag*(tDeal=$W66)*ISNUMBER(tCpn),tUPBf),0)</f>
        <v/>
      </c>
      <c r="I66" s="24">
        <f>IFERROR(SUMPRODUCT(tFlag*(tDeal=$W66),tUPBf,tUWDSCR)/SUMPRODUCT(tFlag*(tDeal=$W66)*ISNUMBER(tUWDSCR),tUPBf),0)</f>
        <v/>
      </c>
      <c r="J66" s="24">
        <f>IFERROR(SUMPRODUCT(tFlag*(tDeal=$W66),tUPBf,tCurDSCR)/SUMPRODUCT(tFlag*(tDeal=$W66)*ISNUMBER(tCurDSCR),tUPBf),0)</f>
        <v/>
      </c>
      <c r="K66" s="22">
        <f>IFERROR(SUMPRODUCT(tFlag*(tDeal=$W66),tUPBf,tUWLTV)/SUMPRODUCT(tFlag*(tDeal=$W66)*ISNUMBER(tUWLTV),tUPBf),0)</f>
        <v/>
      </c>
      <c r="L66" s="22">
        <f>IFERROR(SUMPRODUCT(tFlag*(tDeal=$W66),tUPBf,tCurLTV)/SUMPRODUCT(tFlag*(tDeal=$W66)*ISNUMBER(tCurLTV),tUPBf),0)</f>
        <v/>
      </c>
      <c r="M66" s="22">
        <f>IFERROR(SUMPRODUCT(tFlag*(tDeal=$W66),tUPBf,tUWDY)/SUMPRODUCT(tFlag*(tDeal=$W66)*ISNUMBER(tUWDY),tUPBf),0)</f>
        <v/>
      </c>
      <c r="N66" s="22">
        <f>IFERROR(SUMPRODUCT(tFlag*(tDeal=$W66),tUPBf,tCurDY)/SUMPRODUCT(tFlag*(tDeal=$W66)*ISNUMBER(tCurDY),tUPBf),0)</f>
        <v/>
      </c>
      <c r="O66" s="22">
        <f>IFERROR(SUMPRODUCT(tFlag*(tDeal=$W66),tUPBf,tOcc)/SUMPRODUCT(tFlag*(tDeal=$W66)*ISNUMBER(tOcc),tUPBf),0)</f>
        <v/>
      </c>
      <c r="P66" s="45">
        <f>IFERROR(SUMPRODUCT(tFlag*(tDeal=$W66),tUPBf,tRem)/SUMPRODUCT(tFlag*(tDeal=$W66)*ISNUMBER(tRem),tUPBf),0)</f>
        <v/>
      </c>
      <c r="Q66" s="22">
        <f>IFERROR(SUMPRODUCT(tFlag*(tDeal=$W66),tUPBf,tFIO)/$E66,0)</f>
        <v/>
      </c>
      <c r="R66" s="22">
        <f>IFERROR(SUMPRODUCT(tFlag*(tDeal=$W66),tUPBf,tDefF)/$E66,0)</f>
        <v/>
      </c>
      <c r="S66" s="22">
        <f>IFERROR(SUMPRODUCT(tFlag*(tDeal=$W66),tUPBf,tSSF)/$E66,0)</f>
        <v/>
      </c>
      <c r="T66" s="22">
        <f>IFERROR(SUMPRODUCT(tFlag*(tDeal=$W66),tUPBf,tDQ)/$E66,0)</f>
        <v/>
      </c>
      <c r="U66" s="22">
        <f>IFERROR(SUMPRODUCT(tFlag*(tDeal=$W66),tUPBf,tWLF)/$E66,0)</f>
        <v/>
      </c>
      <c r="W66" s="46">
        <f>'Deal Map'!C32</f>
        <v/>
      </c>
    </row>
    <row r="67">
      <c r="B67" s="27">
        <f>IF(W67="","",W67&amp;"")</f>
        <v/>
      </c>
      <c r="C67" s="28">
        <f>SUMPRODUCT(tFlag*(tDeal=$W67))</f>
        <v/>
      </c>
      <c r="D67" s="31">
        <f>IFERROR(C67/sLoans,0)</f>
        <v/>
      </c>
      <c r="E67" s="30">
        <f>SUMPRODUCT(tFlag*(tDeal=$W67),tUPBf)</f>
        <v/>
      </c>
      <c r="F67" s="31">
        <f>IFERROR(E67/sUPB,0)</f>
        <v/>
      </c>
      <c r="G67" s="30">
        <f>IFERROR(E67/C67,0)</f>
        <v/>
      </c>
      <c r="H67" s="32">
        <f>IFERROR(SUMPRODUCT(tFlag*(tDeal=$W67),tUPBf,tCpn)/SUMPRODUCT(tFlag*(tDeal=$W67)*ISNUMBER(tCpn),tUPBf),0)</f>
        <v/>
      </c>
      <c r="I67" s="33">
        <f>IFERROR(SUMPRODUCT(tFlag*(tDeal=$W67),tUPBf,tUWDSCR)/SUMPRODUCT(tFlag*(tDeal=$W67)*ISNUMBER(tUWDSCR),tUPBf),0)</f>
        <v/>
      </c>
      <c r="J67" s="33">
        <f>IFERROR(SUMPRODUCT(tFlag*(tDeal=$W67),tUPBf,tCurDSCR)/SUMPRODUCT(tFlag*(tDeal=$W67)*ISNUMBER(tCurDSCR),tUPBf),0)</f>
        <v/>
      </c>
      <c r="K67" s="31">
        <f>IFERROR(SUMPRODUCT(tFlag*(tDeal=$W67),tUPBf,tUWLTV)/SUMPRODUCT(tFlag*(tDeal=$W67)*ISNUMBER(tUWLTV),tUPBf),0)</f>
        <v/>
      </c>
      <c r="L67" s="31">
        <f>IFERROR(SUMPRODUCT(tFlag*(tDeal=$W67),tUPBf,tCurLTV)/SUMPRODUCT(tFlag*(tDeal=$W67)*ISNUMBER(tCurLTV),tUPBf),0)</f>
        <v/>
      </c>
      <c r="M67" s="31">
        <f>IFERROR(SUMPRODUCT(tFlag*(tDeal=$W67),tUPBf,tUWDY)/SUMPRODUCT(tFlag*(tDeal=$W67)*ISNUMBER(tUWDY),tUPBf),0)</f>
        <v/>
      </c>
      <c r="N67" s="31">
        <f>IFERROR(SUMPRODUCT(tFlag*(tDeal=$W67),tUPBf,tCurDY)/SUMPRODUCT(tFlag*(tDeal=$W67)*ISNUMBER(tCurDY),tUPBf),0)</f>
        <v/>
      </c>
      <c r="O67" s="31">
        <f>IFERROR(SUMPRODUCT(tFlag*(tDeal=$W67),tUPBf,tOcc)/SUMPRODUCT(tFlag*(tDeal=$W67)*ISNUMBER(tOcc),tUPBf),0)</f>
        <v/>
      </c>
      <c r="P67" s="47">
        <f>IFERROR(SUMPRODUCT(tFlag*(tDeal=$W67),tUPBf,tRem)/SUMPRODUCT(tFlag*(tDeal=$W67)*ISNUMBER(tRem),tUPBf),0)</f>
        <v/>
      </c>
      <c r="Q67" s="31">
        <f>IFERROR(SUMPRODUCT(tFlag*(tDeal=$W67),tUPBf,tFIO)/$E67,0)</f>
        <v/>
      </c>
      <c r="R67" s="31">
        <f>IFERROR(SUMPRODUCT(tFlag*(tDeal=$W67),tUPBf,tDefF)/$E67,0)</f>
        <v/>
      </c>
      <c r="S67" s="31">
        <f>IFERROR(SUMPRODUCT(tFlag*(tDeal=$W67),tUPBf,tSSF)/$E67,0)</f>
        <v/>
      </c>
      <c r="T67" s="31">
        <f>IFERROR(SUMPRODUCT(tFlag*(tDeal=$W67),tUPBf,tDQ)/$E67,0)</f>
        <v/>
      </c>
      <c r="U67" s="31">
        <f>IFERROR(SUMPRODUCT(tFlag*(tDeal=$W67),tUPBf,tWLF)/$E67,0)</f>
        <v/>
      </c>
      <c r="W67" s="46">
        <f>'Deal Map'!C33</f>
        <v/>
      </c>
    </row>
    <row r="68">
      <c r="B68" s="18">
        <f>IF(W68="","",W68&amp;"")</f>
        <v/>
      </c>
      <c r="C68" s="19">
        <f>SUMPRODUCT(tFlag*(tDeal=$W68))</f>
        <v/>
      </c>
      <c r="D68" s="22">
        <f>IFERROR(C68/sLoans,0)</f>
        <v/>
      </c>
      <c r="E68" s="21">
        <f>SUMPRODUCT(tFlag*(tDeal=$W68),tUPBf)</f>
        <v/>
      </c>
      <c r="F68" s="22">
        <f>IFERROR(E68/sUPB,0)</f>
        <v/>
      </c>
      <c r="G68" s="21">
        <f>IFERROR(E68/C68,0)</f>
        <v/>
      </c>
      <c r="H68" s="23">
        <f>IFERROR(SUMPRODUCT(tFlag*(tDeal=$W68),tUPBf,tCpn)/SUMPRODUCT(tFlag*(tDeal=$W68)*ISNUMBER(tCpn),tUPBf),0)</f>
        <v/>
      </c>
      <c r="I68" s="24">
        <f>IFERROR(SUMPRODUCT(tFlag*(tDeal=$W68),tUPBf,tUWDSCR)/SUMPRODUCT(tFlag*(tDeal=$W68)*ISNUMBER(tUWDSCR),tUPBf),0)</f>
        <v/>
      </c>
      <c r="J68" s="24">
        <f>IFERROR(SUMPRODUCT(tFlag*(tDeal=$W68),tUPBf,tCurDSCR)/SUMPRODUCT(tFlag*(tDeal=$W68)*ISNUMBER(tCurDSCR),tUPBf),0)</f>
        <v/>
      </c>
      <c r="K68" s="22">
        <f>IFERROR(SUMPRODUCT(tFlag*(tDeal=$W68),tUPBf,tUWLTV)/SUMPRODUCT(tFlag*(tDeal=$W68)*ISNUMBER(tUWLTV),tUPBf),0)</f>
        <v/>
      </c>
      <c r="L68" s="22">
        <f>IFERROR(SUMPRODUCT(tFlag*(tDeal=$W68),tUPBf,tCurLTV)/SUMPRODUCT(tFlag*(tDeal=$W68)*ISNUMBER(tCurLTV),tUPBf),0)</f>
        <v/>
      </c>
      <c r="M68" s="22">
        <f>IFERROR(SUMPRODUCT(tFlag*(tDeal=$W68),tUPBf,tUWDY)/SUMPRODUCT(tFlag*(tDeal=$W68)*ISNUMBER(tUWDY),tUPBf),0)</f>
        <v/>
      </c>
      <c r="N68" s="22">
        <f>IFERROR(SUMPRODUCT(tFlag*(tDeal=$W68),tUPBf,tCurDY)/SUMPRODUCT(tFlag*(tDeal=$W68)*ISNUMBER(tCurDY),tUPBf),0)</f>
        <v/>
      </c>
      <c r="O68" s="22">
        <f>IFERROR(SUMPRODUCT(tFlag*(tDeal=$W68),tUPBf,tOcc)/SUMPRODUCT(tFlag*(tDeal=$W68)*ISNUMBER(tOcc),tUPBf),0)</f>
        <v/>
      </c>
      <c r="P68" s="45">
        <f>IFERROR(SUMPRODUCT(tFlag*(tDeal=$W68),tUPBf,tRem)/SUMPRODUCT(tFlag*(tDeal=$W68)*ISNUMBER(tRem),tUPBf),0)</f>
        <v/>
      </c>
      <c r="Q68" s="22">
        <f>IFERROR(SUMPRODUCT(tFlag*(tDeal=$W68),tUPBf,tFIO)/$E68,0)</f>
        <v/>
      </c>
      <c r="R68" s="22">
        <f>IFERROR(SUMPRODUCT(tFlag*(tDeal=$W68),tUPBf,tDefF)/$E68,0)</f>
        <v/>
      </c>
      <c r="S68" s="22">
        <f>IFERROR(SUMPRODUCT(tFlag*(tDeal=$W68),tUPBf,tSSF)/$E68,0)</f>
        <v/>
      </c>
      <c r="T68" s="22">
        <f>IFERROR(SUMPRODUCT(tFlag*(tDeal=$W68),tUPBf,tDQ)/$E68,0)</f>
        <v/>
      </c>
      <c r="U68" s="22">
        <f>IFERROR(SUMPRODUCT(tFlag*(tDeal=$W68),tUPBf,tWLF)/$E68,0)</f>
        <v/>
      </c>
      <c r="W68" s="46">
        <f>'Deal Map'!C34</f>
        <v/>
      </c>
    </row>
    <row r="69">
      <c r="B69" s="36" t="inlineStr">
        <is>
          <t>Total / Wtd. Avg.</t>
        </is>
      </c>
      <c r="C69" s="37">
        <f>SUMPRODUCT(tFlag*(1))</f>
        <v/>
      </c>
      <c r="D69" s="40">
        <f>IFERROR(C69/sLoans,0)</f>
        <v/>
      </c>
      <c r="E69" s="39">
        <f>SUMPRODUCT(tFlag*(1),tUPBf)</f>
        <v/>
      </c>
      <c r="F69" s="40">
        <f>IFERROR(E69/sUPB,0)</f>
        <v/>
      </c>
      <c r="G69" s="39">
        <f>IFERROR(E69/C69,0)</f>
        <v/>
      </c>
      <c r="H69" s="41">
        <f>IFERROR(SUMPRODUCT(tFlag*(1),tUPBf,tCpn)/SUMPRODUCT(tFlag*(1)*ISNUMBER(tCpn),tUPBf),0)</f>
        <v/>
      </c>
      <c r="I69" s="42">
        <f>IFERROR(SUMPRODUCT(tFlag*(1),tUPBf,tUWDSCR)/SUMPRODUCT(tFlag*(1)*ISNUMBER(tUWDSCR),tUPBf),0)</f>
        <v/>
      </c>
      <c r="J69" s="42">
        <f>IFERROR(SUMPRODUCT(tFlag*(1),tUPBf,tCurDSCR)/SUMPRODUCT(tFlag*(1)*ISNUMBER(tCurDSCR),tUPBf),0)</f>
        <v/>
      </c>
      <c r="K69" s="40">
        <f>IFERROR(SUMPRODUCT(tFlag*(1),tUPBf,tUWLTV)/SUMPRODUCT(tFlag*(1)*ISNUMBER(tUWLTV),tUPBf),0)</f>
        <v/>
      </c>
      <c r="L69" s="40">
        <f>IFERROR(SUMPRODUCT(tFlag*(1),tUPBf,tCurLTV)/SUMPRODUCT(tFlag*(1)*ISNUMBER(tCurLTV),tUPBf),0)</f>
        <v/>
      </c>
      <c r="M69" s="40">
        <f>IFERROR(SUMPRODUCT(tFlag*(1),tUPBf,tUWDY)/SUMPRODUCT(tFlag*(1)*ISNUMBER(tUWDY),tUPBf),0)</f>
        <v/>
      </c>
      <c r="N69" s="40">
        <f>IFERROR(SUMPRODUCT(tFlag*(1),tUPBf,tCurDY)/SUMPRODUCT(tFlag*(1)*ISNUMBER(tCurDY),tUPBf),0)</f>
        <v/>
      </c>
      <c r="O69" s="40">
        <f>IFERROR(SUMPRODUCT(tFlag*(1),tUPBf,tOcc)/SUMPRODUCT(tFlag*(1)*ISNUMBER(tOcc),tUPBf),0)</f>
        <v/>
      </c>
      <c r="P69" s="43">
        <f>IFERROR(SUMPRODUCT(tFlag*(1),tUPBf,tRem)/SUMPRODUCT(tFlag*(1)*ISNUMBER(tRem),tUPBf),0)</f>
        <v/>
      </c>
      <c r="Q69" s="40">
        <f>IFERROR(SUMPRODUCT(tFlag*(1),tUPBf,tFIO)/$E69,0)</f>
        <v/>
      </c>
      <c r="R69" s="40">
        <f>IFERROR(SUMPRODUCT(tFlag*(1),tUPBf,tDefF)/$E69,0)</f>
        <v/>
      </c>
      <c r="S69" s="40">
        <f>IFERROR(SUMPRODUCT(tFlag*(1),tUPBf,tSSF)/$E69,0)</f>
        <v/>
      </c>
      <c r="T69" s="40">
        <f>IFERROR(SUMPRODUCT(tFlag*(1),tUPBf,tDQ)/$E69,0)</f>
        <v/>
      </c>
      <c r="U69" s="40">
        <f>IFERROR(SUMPRODUCT(tFlag*(1),tUPBf,tWLF)/$E69,0)</f>
        <v/>
      </c>
    </row>
    <row r="70">
      <c r="B70" s="14" t="inlineStr">
        <is>
          <t>Deal list links to the Deal Map tab; RECOP book and fair value by deal sit on the Deal Map tab.</t>
        </is>
      </c>
    </row>
    <row r="72" ht="15" customHeight="1">
      <c r="B72" s="2" t="inlineStr">
        <is>
          <t>RECOP HOLDING ENTITY</t>
        </is>
      </c>
      <c r="C72" s="3" t="n"/>
      <c r="D72" s="3" t="n"/>
      <c r="E72" s="3" t="n"/>
      <c r="F72" s="3" t="n"/>
      <c r="G72" s="3" t="n"/>
      <c r="H72" s="3" t="n"/>
      <c r="I72" s="3" t="n"/>
      <c r="J72" s="3" t="n"/>
      <c r="K72" s="3" t="n"/>
      <c r="L72" s="3" t="n"/>
      <c r="M72" s="3" t="n"/>
      <c r="N72" s="3" t="n"/>
      <c r="O72" s="3" t="n"/>
      <c r="P72" s="3" t="n"/>
      <c r="Q72" s="3" t="n"/>
      <c r="R72" s="3" t="n"/>
      <c r="S72" s="3" t="n"/>
      <c r="T72" s="3" t="n"/>
      <c r="U72" s="3" t="n"/>
    </row>
    <row r="73" ht="39.75" customHeight="1">
      <c r="B73" s="15" t="inlineStr">
        <is>
          <t>Category</t>
        </is>
      </c>
      <c r="C73" s="16" t="inlineStr">
        <is>
          <t>Number of Loans</t>
        </is>
      </c>
      <c r="D73" s="16" t="inlineStr">
        <is>
          <t>% of Loans</t>
        </is>
      </c>
      <c r="E73" s="16" t="inlineStr">
        <is>
          <t>Current UPB</t>
        </is>
      </c>
      <c r="F73" s="16" t="inlineStr">
        <is>
          <t>% of UPB</t>
        </is>
      </c>
      <c r="G73" s="16" t="inlineStr">
        <is>
          <t>Average Loan Size</t>
        </is>
      </c>
      <c r="H73" s="16" t="inlineStr">
        <is>
          <t>Wtd. Avg. Gross Coupon</t>
        </is>
      </c>
      <c r="I73" s="16" t="inlineStr">
        <is>
          <t>Wtd. Avg. UW NCF DSCR</t>
        </is>
      </c>
      <c r="J73" s="16" t="inlineStr">
        <is>
          <t>Wtd. Avg. Current NCF DSCR</t>
        </is>
      </c>
      <c r="K73" s="16" t="inlineStr">
        <is>
          <t>Wtd. Avg. UW LTV</t>
        </is>
      </c>
      <c r="L73" s="16" t="inlineStr">
        <is>
          <t>Wtd. Avg. Current LTV</t>
        </is>
      </c>
      <c r="M73" s="16" t="inlineStr">
        <is>
          <t>Wtd. Avg. UW NCF Debt Yield</t>
        </is>
      </c>
      <c r="N73" s="16" t="inlineStr">
        <is>
          <t>Wtd. Avg. Current NCF Debt Yield</t>
        </is>
      </c>
      <c r="O73" s="16" t="inlineStr">
        <is>
          <t>Wtd. Avg. Current Occupancy</t>
        </is>
      </c>
      <c r="P73" s="16" t="inlineStr">
        <is>
          <t>Wtd. Avg. Rem. Term (Mo.)</t>
        </is>
      </c>
      <c r="Q73" s="16" t="inlineStr">
        <is>
          <t>% Full IO</t>
        </is>
      </c>
      <c r="R73" s="16" t="inlineStr">
        <is>
          <t>% Defeased</t>
        </is>
      </c>
      <c r="S73" s="16" t="inlineStr">
        <is>
          <t>% Currently Specially Serviced</t>
        </is>
      </c>
      <c r="T73" s="16" t="inlineStr">
        <is>
          <t>% 30+ Delinq. / FC / REO</t>
        </is>
      </c>
      <c r="U73" s="16" t="inlineStr">
        <is>
          <t>% On Watchlist</t>
        </is>
      </c>
      <c r="W73" s="44" t="inlineStr">
        <is>
          <t>Category Label</t>
        </is>
      </c>
    </row>
    <row r="74">
      <c r="B74" s="18">
        <f>IF(W74="","",W74&amp;"")</f>
        <v/>
      </c>
      <c r="C74" s="19">
        <f>SUMPRODUCT(tFlag*(tEntity=$W74))</f>
        <v/>
      </c>
      <c r="D74" s="22">
        <f>IFERROR(C74/sLoans,0)</f>
        <v/>
      </c>
      <c r="E74" s="21">
        <f>SUMPRODUCT(tFlag*(tEntity=$W74),tUPBf)</f>
        <v/>
      </c>
      <c r="F74" s="22">
        <f>IFERROR(E74/sUPB,0)</f>
        <v/>
      </c>
      <c r="G74" s="21">
        <f>IFERROR(E74/C74,0)</f>
        <v/>
      </c>
      <c r="H74" s="23">
        <f>IFERROR(SUMPRODUCT(tFlag*(tEntity=$W74),tUPBf,tCpn)/SUMPRODUCT(tFlag*(tEntity=$W74)*ISNUMBER(tCpn),tUPBf),0)</f>
        <v/>
      </c>
      <c r="I74" s="24">
        <f>IFERROR(SUMPRODUCT(tFlag*(tEntity=$W74),tUPBf,tUWDSCR)/SUMPRODUCT(tFlag*(tEntity=$W74)*ISNUMBER(tUWDSCR),tUPBf),0)</f>
        <v/>
      </c>
      <c r="J74" s="24">
        <f>IFERROR(SUMPRODUCT(tFlag*(tEntity=$W74),tUPBf,tCurDSCR)/SUMPRODUCT(tFlag*(tEntity=$W74)*ISNUMBER(tCurDSCR),tUPBf),0)</f>
        <v/>
      </c>
      <c r="K74" s="22">
        <f>IFERROR(SUMPRODUCT(tFlag*(tEntity=$W74),tUPBf,tUWLTV)/SUMPRODUCT(tFlag*(tEntity=$W74)*ISNUMBER(tUWLTV),tUPBf),0)</f>
        <v/>
      </c>
      <c r="L74" s="22">
        <f>IFERROR(SUMPRODUCT(tFlag*(tEntity=$W74),tUPBf,tCurLTV)/SUMPRODUCT(tFlag*(tEntity=$W74)*ISNUMBER(tCurLTV),tUPBf),0)</f>
        <v/>
      </c>
      <c r="M74" s="22">
        <f>IFERROR(SUMPRODUCT(tFlag*(tEntity=$W74),tUPBf,tUWDY)/SUMPRODUCT(tFlag*(tEntity=$W74)*ISNUMBER(tUWDY),tUPBf),0)</f>
        <v/>
      </c>
      <c r="N74" s="22">
        <f>IFERROR(SUMPRODUCT(tFlag*(tEntity=$W74),tUPBf,tCurDY)/SUMPRODUCT(tFlag*(tEntity=$W74)*ISNUMBER(tCurDY),tUPBf),0)</f>
        <v/>
      </c>
      <c r="O74" s="22">
        <f>IFERROR(SUMPRODUCT(tFlag*(tEntity=$W74),tUPBf,tOcc)/SUMPRODUCT(tFlag*(tEntity=$W74)*ISNUMBER(tOcc),tUPBf),0)</f>
        <v/>
      </c>
      <c r="P74" s="45">
        <f>IFERROR(SUMPRODUCT(tFlag*(tEntity=$W74),tUPBf,tRem)/SUMPRODUCT(tFlag*(tEntity=$W74)*ISNUMBER(tRem),tUPBf),0)</f>
        <v/>
      </c>
      <c r="Q74" s="22">
        <f>IFERROR(SUMPRODUCT(tFlag*(tEntity=$W74),tUPBf,tFIO)/$E74,0)</f>
        <v/>
      </c>
      <c r="R74" s="22">
        <f>IFERROR(SUMPRODUCT(tFlag*(tEntity=$W74),tUPBf,tDefF)/$E74,0)</f>
        <v/>
      </c>
      <c r="S74" s="22">
        <f>IFERROR(SUMPRODUCT(tFlag*(tEntity=$W74),tUPBf,tSSF)/$E74,0)</f>
        <v/>
      </c>
      <c r="T74" s="22">
        <f>IFERROR(SUMPRODUCT(tFlag*(tEntity=$W74),tUPBf,tDQ)/$E74,0)</f>
        <v/>
      </c>
      <c r="U74" s="22">
        <f>IFERROR(SUMPRODUCT(tFlag*(tEntity=$W74),tUPBf,tWLF)/$E74,0)</f>
        <v/>
      </c>
      <c r="W74" s="48" t="inlineStr">
        <is>
          <t>Aggregator I L.P.</t>
        </is>
      </c>
    </row>
    <row r="75">
      <c r="B75" s="27">
        <f>IF(W75="","",W75&amp;"")</f>
        <v/>
      </c>
      <c r="C75" s="28">
        <f>SUMPRODUCT(tFlag*(tEntity=$W75))</f>
        <v/>
      </c>
      <c r="D75" s="31">
        <f>IFERROR(C75/sLoans,0)</f>
        <v/>
      </c>
      <c r="E75" s="30">
        <f>SUMPRODUCT(tFlag*(tEntity=$W75),tUPBf)</f>
        <v/>
      </c>
      <c r="F75" s="31">
        <f>IFERROR(E75/sUPB,0)</f>
        <v/>
      </c>
      <c r="G75" s="30">
        <f>IFERROR(E75/C75,0)</f>
        <v/>
      </c>
      <c r="H75" s="32">
        <f>IFERROR(SUMPRODUCT(tFlag*(tEntity=$W75),tUPBf,tCpn)/SUMPRODUCT(tFlag*(tEntity=$W75)*ISNUMBER(tCpn),tUPBf),0)</f>
        <v/>
      </c>
      <c r="I75" s="33">
        <f>IFERROR(SUMPRODUCT(tFlag*(tEntity=$W75),tUPBf,tUWDSCR)/SUMPRODUCT(tFlag*(tEntity=$W75)*ISNUMBER(tUWDSCR),tUPBf),0)</f>
        <v/>
      </c>
      <c r="J75" s="33">
        <f>IFERROR(SUMPRODUCT(tFlag*(tEntity=$W75),tUPBf,tCurDSCR)/SUMPRODUCT(tFlag*(tEntity=$W75)*ISNUMBER(tCurDSCR),tUPBf),0)</f>
        <v/>
      </c>
      <c r="K75" s="31">
        <f>IFERROR(SUMPRODUCT(tFlag*(tEntity=$W75),tUPBf,tUWLTV)/SUMPRODUCT(tFlag*(tEntity=$W75)*ISNUMBER(tUWLTV),tUPBf),0)</f>
        <v/>
      </c>
      <c r="L75" s="31">
        <f>IFERROR(SUMPRODUCT(tFlag*(tEntity=$W75),tUPBf,tCurLTV)/SUMPRODUCT(tFlag*(tEntity=$W75)*ISNUMBER(tCurLTV),tUPBf),0)</f>
        <v/>
      </c>
      <c r="M75" s="31">
        <f>IFERROR(SUMPRODUCT(tFlag*(tEntity=$W75),tUPBf,tUWDY)/SUMPRODUCT(tFlag*(tEntity=$W75)*ISNUMBER(tUWDY),tUPBf),0)</f>
        <v/>
      </c>
      <c r="N75" s="31">
        <f>IFERROR(SUMPRODUCT(tFlag*(tEntity=$W75),tUPBf,tCurDY)/SUMPRODUCT(tFlag*(tEntity=$W75)*ISNUMBER(tCurDY),tUPBf),0)</f>
        <v/>
      </c>
      <c r="O75" s="31">
        <f>IFERROR(SUMPRODUCT(tFlag*(tEntity=$W75),tUPBf,tOcc)/SUMPRODUCT(tFlag*(tEntity=$W75)*ISNUMBER(tOcc),tUPBf),0)</f>
        <v/>
      </c>
      <c r="P75" s="47">
        <f>IFERROR(SUMPRODUCT(tFlag*(tEntity=$W75),tUPBf,tRem)/SUMPRODUCT(tFlag*(tEntity=$W75)*ISNUMBER(tRem),tUPBf),0)</f>
        <v/>
      </c>
      <c r="Q75" s="31">
        <f>IFERROR(SUMPRODUCT(tFlag*(tEntity=$W75),tUPBf,tFIO)/$E75,0)</f>
        <v/>
      </c>
      <c r="R75" s="31">
        <f>IFERROR(SUMPRODUCT(tFlag*(tEntity=$W75),tUPBf,tDefF)/$E75,0)</f>
        <v/>
      </c>
      <c r="S75" s="31">
        <f>IFERROR(SUMPRODUCT(tFlag*(tEntity=$W75),tUPBf,tSSF)/$E75,0)</f>
        <v/>
      </c>
      <c r="T75" s="31">
        <f>IFERROR(SUMPRODUCT(tFlag*(tEntity=$W75),tUPBf,tDQ)/$E75,0)</f>
        <v/>
      </c>
      <c r="U75" s="31">
        <f>IFERROR(SUMPRODUCT(tFlag*(tEntity=$W75),tUPBf,tWLF)/$E75,0)</f>
        <v/>
      </c>
      <c r="W75" s="48" t="inlineStr">
        <is>
          <t>(AIV) Aggregator I L.P.</t>
        </is>
      </c>
    </row>
    <row r="76">
      <c r="B76" s="18">
        <f>IF(W76="","",W76&amp;"")</f>
        <v/>
      </c>
      <c r="C76" s="19">
        <f>SUMPRODUCT(tFlag*(tEntity=$W76))</f>
        <v/>
      </c>
      <c r="D76" s="22">
        <f>IFERROR(C76/sLoans,0)</f>
        <v/>
      </c>
      <c r="E76" s="21">
        <f>SUMPRODUCT(tFlag*(tEntity=$W76),tUPBf)</f>
        <v/>
      </c>
      <c r="F76" s="22">
        <f>IFERROR(E76/sUPB,0)</f>
        <v/>
      </c>
      <c r="G76" s="21">
        <f>IFERROR(E76/C76,0)</f>
        <v/>
      </c>
      <c r="H76" s="23">
        <f>IFERROR(SUMPRODUCT(tFlag*(tEntity=$W76),tUPBf,tCpn)/SUMPRODUCT(tFlag*(tEntity=$W76)*ISNUMBER(tCpn),tUPBf),0)</f>
        <v/>
      </c>
      <c r="I76" s="24">
        <f>IFERROR(SUMPRODUCT(tFlag*(tEntity=$W76),tUPBf,tUWDSCR)/SUMPRODUCT(tFlag*(tEntity=$W76)*ISNUMBER(tUWDSCR),tUPBf),0)</f>
        <v/>
      </c>
      <c r="J76" s="24">
        <f>IFERROR(SUMPRODUCT(tFlag*(tEntity=$W76),tUPBf,tCurDSCR)/SUMPRODUCT(tFlag*(tEntity=$W76)*ISNUMBER(tCurDSCR),tUPBf),0)</f>
        <v/>
      </c>
      <c r="K76" s="22">
        <f>IFERROR(SUMPRODUCT(tFlag*(tEntity=$W76),tUPBf,tUWLTV)/SUMPRODUCT(tFlag*(tEntity=$W76)*ISNUMBER(tUWLTV),tUPBf),0)</f>
        <v/>
      </c>
      <c r="L76" s="22">
        <f>IFERROR(SUMPRODUCT(tFlag*(tEntity=$W76),tUPBf,tCurLTV)/SUMPRODUCT(tFlag*(tEntity=$W76)*ISNUMBER(tCurLTV),tUPBf),0)</f>
        <v/>
      </c>
      <c r="M76" s="22">
        <f>IFERROR(SUMPRODUCT(tFlag*(tEntity=$W76),tUPBf,tUWDY)/SUMPRODUCT(tFlag*(tEntity=$W76)*ISNUMBER(tUWDY),tUPBf),0)</f>
        <v/>
      </c>
      <c r="N76" s="22">
        <f>IFERROR(SUMPRODUCT(tFlag*(tEntity=$W76),tUPBf,tCurDY)/SUMPRODUCT(tFlag*(tEntity=$W76)*ISNUMBER(tCurDY),tUPBf),0)</f>
        <v/>
      </c>
      <c r="O76" s="22">
        <f>IFERROR(SUMPRODUCT(tFlag*(tEntity=$W76),tUPBf,tOcc)/SUMPRODUCT(tFlag*(tEntity=$W76)*ISNUMBER(tOcc),tUPBf),0)</f>
        <v/>
      </c>
      <c r="P76" s="45">
        <f>IFERROR(SUMPRODUCT(tFlag*(tEntity=$W76),tUPBf,tRem)/SUMPRODUCT(tFlag*(tEntity=$W76)*ISNUMBER(tRem),tUPBf),0)</f>
        <v/>
      </c>
      <c r="Q76" s="22">
        <f>IFERROR(SUMPRODUCT(tFlag*(tEntity=$W76),tUPBf,tFIO)/$E76,0)</f>
        <v/>
      </c>
      <c r="R76" s="22">
        <f>IFERROR(SUMPRODUCT(tFlag*(tEntity=$W76),tUPBf,tDefF)/$E76,0)</f>
        <v/>
      </c>
      <c r="S76" s="22">
        <f>IFERROR(SUMPRODUCT(tFlag*(tEntity=$W76),tUPBf,tSSF)/$E76,0)</f>
        <v/>
      </c>
      <c r="T76" s="22">
        <f>IFERROR(SUMPRODUCT(tFlag*(tEntity=$W76),tUPBf,tDQ)/$E76,0)</f>
        <v/>
      </c>
      <c r="U76" s="22">
        <f>IFERROR(SUMPRODUCT(tFlag*(tEntity=$W76),tUPBf,tWLF)/$E76,0)</f>
        <v/>
      </c>
      <c r="W76" s="48" t="inlineStr">
        <is>
          <t>Not on RECOP Tape</t>
        </is>
      </c>
    </row>
    <row r="77">
      <c r="B77" s="36" t="inlineStr">
        <is>
          <t>Total / Wtd. Avg.</t>
        </is>
      </c>
      <c r="C77" s="37">
        <f>SUMPRODUCT(tFlag*(1))</f>
        <v/>
      </c>
      <c r="D77" s="40">
        <f>IFERROR(C77/sLoans,0)</f>
        <v/>
      </c>
      <c r="E77" s="39">
        <f>SUMPRODUCT(tFlag*(1),tUPBf)</f>
        <v/>
      </c>
      <c r="F77" s="40">
        <f>IFERROR(E77/sUPB,0)</f>
        <v/>
      </c>
      <c r="G77" s="39">
        <f>IFERROR(E77/C77,0)</f>
        <v/>
      </c>
      <c r="H77" s="41">
        <f>IFERROR(SUMPRODUCT(tFlag*(1),tUPBf,tCpn)/SUMPRODUCT(tFlag*(1)*ISNUMBER(tCpn),tUPBf),0)</f>
        <v/>
      </c>
      <c r="I77" s="42">
        <f>IFERROR(SUMPRODUCT(tFlag*(1),tUPBf,tUWDSCR)/SUMPRODUCT(tFlag*(1)*ISNUMBER(tUWDSCR),tUPBf),0)</f>
        <v/>
      </c>
      <c r="J77" s="42">
        <f>IFERROR(SUMPRODUCT(tFlag*(1),tUPBf,tCurDSCR)/SUMPRODUCT(tFlag*(1)*ISNUMBER(tCurDSCR),tUPBf),0)</f>
        <v/>
      </c>
      <c r="K77" s="40">
        <f>IFERROR(SUMPRODUCT(tFlag*(1),tUPBf,tUWLTV)/SUMPRODUCT(tFlag*(1)*ISNUMBER(tUWLTV),tUPBf),0)</f>
        <v/>
      </c>
      <c r="L77" s="40">
        <f>IFERROR(SUMPRODUCT(tFlag*(1),tUPBf,tCurLTV)/SUMPRODUCT(tFlag*(1)*ISNUMBER(tCurLTV),tUPBf),0)</f>
        <v/>
      </c>
      <c r="M77" s="40">
        <f>IFERROR(SUMPRODUCT(tFlag*(1),tUPBf,tUWDY)/SUMPRODUCT(tFlag*(1)*ISNUMBER(tUWDY),tUPBf),0)</f>
        <v/>
      </c>
      <c r="N77" s="40">
        <f>IFERROR(SUMPRODUCT(tFlag*(1),tUPBf,tCurDY)/SUMPRODUCT(tFlag*(1)*ISNUMBER(tCurDY),tUPBf),0)</f>
        <v/>
      </c>
      <c r="O77" s="40">
        <f>IFERROR(SUMPRODUCT(tFlag*(1),tUPBf,tOcc)/SUMPRODUCT(tFlag*(1)*ISNUMBER(tOcc),tUPBf),0)</f>
        <v/>
      </c>
      <c r="P77" s="43">
        <f>IFERROR(SUMPRODUCT(tFlag*(1),tUPBf,tRem)/SUMPRODUCT(tFlag*(1)*ISNUMBER(tRem),tUPBf),0)</f>
        <v/>
      </c>
      <c r="Q77" s="40">
        <f>IFERROR(SUMPRODUCT(tFlag*(1),tUPBf,tFIO)/$E77,0)</f>
        <v/>
      </c>
      <c r="R77" s="40">
        <f>IFERROR(SUMPRODUCT(tFlag*(1),tUPBf,tDefF)/$E77,0)</f>
        <v/>
      </c>
      <c r="S77" s="40">
        <f>IFERROR(SUMPRODUCT(tFlag*(1),tUPBf,tSSF)/$E77,0)</f>
        <v/>
      </c>
      <c r="T77" s="40">
        <f>IFERROR(SUMPRODUCT(tFlag*(1),tUPBf,tDQ)/$E77,0)</f>
        <v/>
      </c>
      <c r="U77" s="40">
        <f>IFERROR(SUMPRODUCT(tFlag*(1),tUPBf,tWLF)/$E77,0)</f>
        <v/>
      </c>
    </row>
    <row r="79" ht="15" customHeight="1">
      <c r="B79" s="2" t="inlineStr">
        <is>
          <t>DEAL VINTAGE (SECURITIZATION YEAR)</t>
        </is>
      </c>
      <c r="C79" s="3" t="n"/>
      <c r="D79" s="3" t="n"/>
      <c r="E79" s="3" t="n"/>
      <c r="F79" s="3" t="n"/>
      <c r="G79" s="3" t="n"/>
      <c r="H79" s="3" t="n"/>
      <c r="I79" s="3" t="n"/>
      <c r="J79" s="3" t="n"/>
      <c r="K79" s="3" t="n"/>
      <c r="L79" s="3" t="n"/>
      <c r="M79" s="3" t="n"/>
      <c r="N79" s="3" t="n"/>
      <c r="O79" s="3" t="n"/>
      <c r="P79" s="3" t="n"/>
      <c r="Q79" s="3" t="n"/>
      <c r="R79" s="3" t="n"/>
      <c r="S79" s="3" t="n"/>
      <c r="T79" s="3" t="n"/>
      <c r="U79" s="3" t="n"/>
    </row>
    <row r="80" ht="39.75" customHeight="1">
      <c r="B80" s="15" t="inlineStr">
        <is>
          <t>Category</t>
        </is>
      </c>
      <c r="C80" s="16" t="inlineStr">
        <is>
          <t>Number of Loans</t>
        </is>
      </c>
      <c r="D80" s="16" t="inlineStr">
        <is>
          <t>% of Loans</t>
        </is>
      </c>
      <c r="E80" s="16" t="inlineStr">
        <is>
          <t>Current UPB</t>
        </is>
      </c>
      <c r="F80" s="16" t="inlineStr">
        <is>
          <t>% of UPB</t>
        </is>
      </c>
      <c r="G80" s="16" t="inlineStr">
        <is>
          <t>Average Loan Size</t>
        </is>
      </c>
      <c r="H80" s="16" t="inlineStr">
        <is>
          <t>Wtd. Avg. Gross Coupon</t>
        </is>
      </c>
      <c r="I80" s="16" t="inlineStr">
        <is>
          <t>Wtd. Avg. UW NCF DSCR</t>
        </is>
      </c>
      <c r="J80" s="16" t="inlineStr">
        <is>
          <t>Wtd. Avg. Current NCF DSCR</t>
        </is>
      </c>
      <c r="K80" s="16" t="inlineStr">
        <is>
          <t>Wtd. Avg. UW LTV</t>
        </is>
      </c>
      <c r="L80" s="16" t="inlineStr">
        <is>
          <t>Wtd. Avg. Current LTV</t>
        </is>
      </c>
      <c r="M80" s="16" t="inlineStr">
        <is>
          <t>Wtd. Avg. UW NCF Debt Yield</t>
        </is>
      </c>
      <c r="N80" s="16" t="inlineStr">
        <is>
          <t>Wtd. Avg. Current NCF Debt Yield</t>
        </is>
      </c>
      <c r="O80" s="16" t="inlineStr">
        <is>
          <t>Wtd. Avg. Current Occupancy</t>
        </is>
      </c>
      <c r="P80" s="16" t="inlineStr">
        <is>
          <t>Wtd. Avg. Rem. Term (Mo.)</t>
        </is>
      </c>
      <c r="Q80" s="16" t="inlineStr">
        <is>
          <t>% Full IO</t>
        </is>
      </c>
      <c r="R80" s="16" t="inlineStr">
        <is>
          <t>% Defeased</t>
        </is>
      </c>
      <c r="S80" s="16" t="inlineStr">
        <is>
          <t>% Currently Specially Serviced</t>
        </is>
      </c>
      <c r="T80" s="16" t="inlineStr">
        <is>
          <t>% 30+ Delinq. / FC / REO</t>
        </is>
      </c>
      <c r="U80" s="16" t="inlineStr">
        <is>
          <t>% On Watchlist</t>
        </is>
      </c>
      <c r="W80" s="44" t="inlineStr">
        <is>
          <t>Category Label</t>
        </is>
      </c>
    </row>
    <row r="81">
      <c r="B81" s="18">
        <f>IF(W81="","",W81&amp;"")</f>
        <v/>
      </c>
      <c r="C81" s="19">
        <f>SUMPRODUCT(tFlag*(tVint=$W81))</f>
        <v/>
      </c>
      <c r="D81" s="22">
        <f>IFERROR(C81/sLoans,0)</f>
        <v/>
      </c>
      <c r="E81" s="21">
        <f>SUMPRODUCT(tFlag*(tVint=$W81),tUPBf)</f>
        <v/>
      </c>
      <c r="F81" s="22">
        <f>IFERROR(E81/sUPB,0)</f>
        <v/>
      </c>
      <c r="G81" s="21">
        <f>IFERROR(E81/C81,0)</f>
        <v/>
      </c>
      <c r="H81" s="23">
        <f>IFERROR(SUMPRODUCT(tFlag*(tVint=$W81),tUPBf,tCpn)/SUMPRODUCT(tFlag*(tVint=$W81)*ISNUMBER(tCpn),tUPBf),0)</f>
        <v/>
      </c>
      <c r="I81" s="24">
        <f>IFERROR(SUMPRODUCT(tFlag*(tVint=$W81),tUPBf,tUWDSCR)/SUMPRODUCT(tFlag*(tVint=$W81)*ISNUMBER(tUWDSCR),tUPBf),0)</f>
        <v/>
      </c>
      <c r="J81" s="24">
        <f>IFERROR(SUMPRODUCT(tFlag*(tVint=$W81),tUPBf,tCurDSCR)/SUMPRODUCT(tFlag*(tVint=$W81)*ISNUMBER(tCurDSCR),tUPBf),0)</f>
        <v/>
      </c>
      <c r="K81" s="22">
        <f>IFERROR(SUMPRODUCT(tFlag*(tVint=$W81),tUPBf,tUWLTV)/SUMPRODUCT(tFlag*(tVint=$W81)*ISNUMBER(tUWLTV),tUPBf),0)</f>
        <v/>
      </c>
      <c r="L81" s="22">
        <f>IFERROR(SUMPRODUCT(tFlag*(tVint=$W81),tUPBf,tCurLTV)/SUMPRODUCT(tFlag*(tVint=$W81)*ISNUMBER(tCurLTV),tUPBf),0)</f>
        <v/>
      </c>
      <c r="M81" s="22">
        <f>IFERROR(SUMPRODUCT(tFlag*(tVint=$W81),tUPBf,tUWDY)/SUMPRODUCT(tFlag*(tVint=$W81)*ISNUMBER(tUWDY),tUPBf),0)</f>
        <v/>
      </c>
      <c r="N81" s="22">
        <f>IFERROR(SUMPRODUCT(tFlag*(tVint=$W81),tUPBf,tCurDY)/SUMPRODUCT(tFlag*(tVint=$W81)*ISNUMBER(tCurDY),tUPBf),0)</f>
        <v/>
      </c>
      <c r="O81" s="22">
        <f>IFERROR(SUMPRODUCT(tFlag*(tVint=$W81),tUPBf,tOcc)/SUMPRODUCT(tFlag*(tVint=$W81)*ISNUMBER(tOcc),tUPBf),0)</f>
        <v/>
      </c>
      <c r="P81" s="45">
        <f>IFERROR(SUMPRODUCT(tFlag*(tVint=$W81),tUPBf,tRem)/SUMPRODUCT(tFlag*(tVint=$W81)*ISNUMBER(tRem),tUPBf),0)</f>
        <v/>
      </c>
      <c r="Q81" s="22">
        <f>IFERROR(SUMPRODUCT(tFlag*(tVint=$W81),tUPBf,tFIO)/$E81,0)</f>
        <v/>
      </c>
      <c r="R81" s="22">
        <f>IFERROR(SUMPRODUCT(tFlag*(tVint=$W81),tUPBf,tDefF)/$E81,0)</f>
        <v/>
      </c>
      <c r="S81" s="22">
        <f>IFERROR(SUMPRODUCT(tFlag*(tVint=$W81),tUPBf,tSSF)/$E81,0)</f>
        <v/>
      </c>
      <c r="T81" s="22">
        <f>IFERROR(SUMPRODUCT(tFlag*(tVint=$W81),tUPBf,tDQ)/$E81,0)</f>
        <v/>
      </c>
      <c r="U81" s="22">
        <f>IFERROR(SUMPRODUCT(tFlag*(tVint=$W81),tUPBf,tWLF)/$E81,0)</f>
        <v/>
      </c>
      <c r="W81" s="49" t="n">
        <v>2017</v>
      </c>
    </row>
    <row r="82">
      <c r="B82" s="27">
        <f>IF(W82="","",W82&amp;"")</f>
        <v/>
      </c>
      <c r="C82" s="28">
        <f>SUMPRODUCT(tFlag*(tVint=$W82))</f>
        <v/>
      </c>
      <c r="D82" s="31">
        <f>IFERROR(C82/sLoans,0)</f>
        <v/>
      </c>
      <c r="E82" s="30">
        <f>SUMPRODUCT(tFlag*(tVint=$W82),tUPBf)</f>
        <v/>
      </c>
      <c r="F82" s="31">
        <f>IFERROR(E82/sUPB,0)</f>
        <v/>
      </c>
      <c r="G82" s="30">
        <f>IFERROR(E82/C82,0)</f>
        <v/>
      </c>
      <c r="H82" s="32">
        <f>IFERROR(SUMPRODUCT(tFlag*(tVint=$W82),tUPBf,tCpn)/SUMPRODUCT(tFlag*(tVint=$W82)*ISNUMBER(tCpn),tUPBf),0)</f>
        <v/>
      </c>
      <c r="I82" s="33">
        <f>IFERROR(SUMPRODUCT(tFlag*(tVint=$W82),tUPBf,tUWDSCR)/SUMPRODUCT(tFlag*(tVint=$W82)*ISNUMBER(tUWDSCR),tUPBf),0)</f>
        <v/>
      </c>
      <c r="J82" s="33">
        <f>IFERROR(SUMPRODUCT(tFlag*(tVint=$W82),tUPBf,tCurDSCR)/SUMPRODUCT(tFlag*(tVint=$W82)*ISNUMBER(tCurDSCR),tUPBf),0)</f>
        <v/>
      </c>
      <c r="K82" s="31">
        <f>IFERROR(SUMPRODUCT(tFlag*(tVint=$W82),tUPBf,tUWLTV)/SUMPRODUCT(tFlag*(tVint=$W82)*ISNUMBER(tUWLTV),tUPBf),0)</f>
        <v/>
      </c>
      <c r="L82" s="31">
        <f>IFERROR(SUMPRODUCT(tFlag*(tVint=$W82),tUPBf,tCurLTV)/SUMPRODUCT(tFlag*(tVint=$W82)*ISNUMBER(tCurLTV),tUPBf),0)</f>
        <v/>
      </c>
      <c r="M82" s="31">
        <f>IFERROR(SUMPRODUCT(tFlag*(tVint=$W82),tUPBf,tUWDY)/SUMPRODUCT(tFlag*(tVint=$W82)*ISNUMBER(tUWDY),tUPBf),0)</f>
        <v/>
      </c>
      <c r="N82" s="31">
        <f>IFERROR(SUMPRODUCT(tFlag*(tVint=$W82),tUPBf,tCurDY)/SUMPRODUCT(tFlag*(tVint=$W82)*ISNUMBER(tCurDY),tUPBf),0)</f>
        <v/>
      </c>
      <c r="O82" s="31">
        <f>IFERROR(SUMPRODUCT(tFlag*(tVint=$W82),tUPBf,tOcc)/SUMPRODUCT(tFlag*(tVint=$W82)*ISNUMBER(tOcc),tUPBf),0)</f>
        <v/>
      </c>
      <c r="P82" s="47">
        <f>IFERROR(SUMPRODUCT(tFlag*(tVint=$W82),tUPBf,tRem)/SUMPRODUCT(tFlag*(tVint=$W82)*ISNUMBER(tRem),tUPBf),0)</f>
        <v/>
      </c>
      <c r="Q82" s="31">
        <f>IFERROR(SUMPRODUCT(tFlag*(tVint=$W82),tUPBf,tFIO)/$E82,0)</f>
        <v/>
      </c>
      <c r="R82" s="31">
        <f>IFERROR(SUMPRODUCT(tFlag*(tVint=$W82),tUPBf,tDefF)/$E82,0)</f>
        <v/>
      </c>
      <c r="S82" s="31">
        <f>IFERROR(SUMPRODUCT(tFlag*(tVint=$W82),tUPBf,tSSF)/$E82,0)</f>
        <v/>
      </c>
      <c r="T82" s="31">
        <f>IFERROR(SUMPRODUCT(tFlag*(tVint=$W82),tUPBf,tDQ)/$E82,0)</f>
        <v/>
      </c>
      <c r="U82" s="31">
        <f>IFERROR(SUMPRODUCT(tFlag*(tVint=$W82),tUPBf,tWLF)/$E82,0)</f>
        <v/>
      </c>
      <c r="W82" s="49" t="n">
        <v>2018</v>
      </c>
    </row>
    <row r="83">
      <c r="B83" s="18">
        <f>IF(W83="","",W83&amp;"")</f>
        <v/>
      </c>
      <c r="C83" s="19">
        <f>SUMPRODUCT(tFlag*(tVint=$W83))</f>
        <v/>
      </c>
      <c r="D83" s="22">
        <f>IFERROR(C83/sLoans,0)</f>
        <v/>
      </c>
      <c r="E83" s="21">
        <f>SUMPRODUCT(tFlag*(tVint=$W83),tUPBf)</f>
        <v/>
      </c>
      <c r="F83" s="22">
        <f>IFERROR(E83/sUPB,0)</f>
        <v/>
      </c>
      <c r="G83" s="21">
        <f>IFERROR(E83/C83,0)</f>
        <v/>
      </c>
      <c r="H83" s="23">
        <f>IFERROR(SUMPRODUCT(tFlag*(tVint=$W83),tUPBf,tCpn)/SUMPRODUCT(tFlag*(tVint=$W83)*ISNUMBER(tCpn),tUPBf),0)</f>
        <v/>
      </c>
      <c r="I83" s="24">
        <f>IFERROR(SUMPRODUCT(tFlag*(tVint=$W83),tUPBf,tUWDSCR)/SUMPRODUCT(tFlag*(tVint=$W83)*ISNUMBER(tUWDSCR),tUPBf),0)</f>
        <v/>
      </c>
      <c r="J83" s="24">
        <f>IFERROR(SUMPRODUCT(tFlag*(tVint=$W83),tUPBf,tCurDSCR)/SUMPRODUCT(tFlag*(tVint=$W83)*ISNUMBER(tCurDSCR),tUPBf),0)</f>
        <v/>
      </c>
      <c r="K83" s="22">
        <f>IFERROR(SUMPRODUCT(tFlag*(tVint=$W83),tUPBf,tUWLTV)/SUMPRODUCT(tFlag*(tVint=$W83)*ISNUMBER(tUWLTV),tUPBf),0)</f>
        <v/>
      </c>
      <c r="L83" s="22">
        <f>IFERROR(SUMPRODUCT(tFlag*(tVint=$W83),tUPBf,tCurLTV)/SUMPRODUCT(tFlag*(tVint=$W83)*ISNUMBER(tCurLTV),tUPBf),0)</f>
        <v/>
      </c>
      <c r="M83" s="22">
        <f>IFERROR(SUMPRODUCT(tFlag*(tVint=$W83),tUPBf,tUWDY)/SUMPRODUCT(tFlag*(tVint=$W83)*ISNUMBER(tUWDY),tUPBf),0)</f>
        <v/>
      </c>
      <c r="N83" s="22">
        <f>IFERROR(SUMPRODUCT(tFlag*(tVint=$W83),tUPBf,tCurDY)/SUMPRODUCT(tFlag*(tVint=$W83)*ISNUMBER(tCurDY),tUPBf),0)</f>
        <v/>
      </c>
      <c r="O83" s="22">
        <f>IFERROR(SUMPRODUCT(tFlag*(tVint=$W83),tUPBf,tOcc)/SUMPRODUCT(tFlag*(tVint=$W83)*ISNUMBER(tOcc),tUPBf),0)</f>
        <v/>
      </c>
      <c r="P83" s="45">
        <f>IFERROR(SUMPRODUCT(tFlag*(tVint=$W83),tUPBf,tRem)/SUMPRODUCT(tFlag*(tVint=$W83)*ISNUMBER(tRem),tUPBf),0)</f>
        <v/>
      </c>
      <c r="Q83" s="22">
        <f>IFERROR(SUMPRODUCT(tFlag*(tVint=$W83),tUPBf,tFIO)/$E83,0)</f>
        <v/>
      </c>
      <c r="R83" s="22">
        <f>IFERROR(SUMPRODUCT(tFlag*(tVint=$W83),tUPBf,tDefF)/$E83,0)</f>
        <v/>
      </c>
      <c r="S83" s="22">
        <f>IFERROR(SUMPRODUCT(tFlag*(tVint=$W83),tUPBf,tSSF)/$E83,0)</f>
        <v/>
      </c>
      <c r="T83" s="22">
        <f>IFERROR(SUMPRODUCT(tFlag*(tVint=$W83),tUPBf,tDQ)/$E83,0)</f>
        <v/>
      </c>
      <c r="U83" s="22">
        <f>IFERROR(SUMPRODUCT(tFlag*(tVint=$W83),tUPBf,tWLF)/$E83,0)</f>
        <v/>
      </c>
      <c r="W83" s="49" t="n">
        <v>2019</v>
      </c>
    </row>
    <row r="84">
      <c r="B84" s="36" t="inlineStr">
        <is>
          <t>Total / Wtd. Avg.</t>
        </is>
      </c>
      <c r="C84" s="37">
        <f>SUMPRODUCT(tFlag*(1))</f>
        <v/>
      </c>
      <c r="D84" s="40">
        <f>IFERROR(C84/sLoans,0)</f>
        <v/>
      </c>
      <c r="E84" s="39">
        <f>SUMPRODUCT(tFlag*(1),tUPBf)</f>
        <v/>
      </c>
      <c r="F84" s="40">
        <f>IFERROR(E84/sUPB,0)</f>
        <v/>
      </c>
      <c r="G84" s="39">
        <f>IFERROR(E84/C84,0)</f>
        <v/>
      </c>
      <c r="H84" s="41">
        <f>IFERROR(SUMPRODUCT(tFlag*(1),tUPBf,tCpn)/SUMPRODUCT(tFlag*(1)*ISNUMBER(tCpn),tUPBf),0)</f>
        <v/>
      </c>
      <c r="I84" s="42">
        <f>IFERROR(SUMPRODUCT(tFlag*(1),tUPBf,tUWDSCR)/SUMPRODUCT(tFlag*(1)*ISNUMBER(tUWDSCR),tUPBf),0)</f>
        <v/>
      </c>
      <c r="J84" s="42">
        <f>IFERROR(SUMPRODUCT(tFlag*(1),tUPBf,tCurDSCR)/SUMPRODUCT(tFlag*(1)*ISNUMBER(tCurDSCR),tUPBf),0)</f>
        <v/>
      </c>
      <c r="K84" s="40">
        <f>IFERROR(SUMPRODUCT(tFlag*(1),tUPBf,tUWLTV)/SUMPRODUCT(tFlag*(1)*ISNUMBER(tUWLTV),tUPBf),0)</f>
        <v/>
      </c>
      <c r="L84" s="40">
        <f>IFERROR(SUMPRODUCT(tFlag*(1),tUPBf,tCurLTV)/SUMPRODUCT(tFlag*(1)*ISNUMBER(tCurLTV),tUPBf),0)</f>
        <v/>
      </c>
      <c r="M84" s="40">
        <f>IFERROR(SUMPRODUCT(tFlag*(1),tUPBf,tUWDY)/SUMPRODUCT(tFlag*(1)*ISNUMBER(tUWDY),tUPBf),0)</f>
        <v/>
      </c>
      <c r="N84" s="40">
        <f>IFERROR(SUMPRODUCT(tFlag*(1),tUPBf,tCurDY)/SUMPRODUCT(tFlag*(1)*ISNUMBER(tCurDY),tUPBf),0)</f>
        <v/>
      </c>
      <c r="O84" s="40">
        <f>IFERROR(SUMPRODUCT(tFlag*(1),tUPBf,tOcc)/SUMPRODUCT(tFlag*(1)*ISNUMBER(tOcc),tUPBf),0)</f>
        <v/>
      </c>
      <c r="P84" s="43">
        <f>IFERROR(SUMPRODUCT(tFlag*(1),tUPBf,tRem)/SUMPRODUCT(tFlag*(1)*ISNUMBER(tRem),tUPBf),0)</f>
        <v/>
      </c>
      <c r="Q84" s="40">
        <f>IFERROR(SUMPRODUCT(tFlag*(1),tUPBf,tFIO)/$E84,0)</f>
        <v/>
      </c>
      <c r="R84" s="40">
        <f>IFERROR(SUMPRODUCT(tFlag*(1),tUPBf,tDefF)/$E84,0)</f>
        <v/>
      </c>
      <c r="S84" s="40">
        <f>IFERROR(SUMPRODUCT(tFlag*(1),tUPBf,tSSF)/$E84,0)</f>
        <v/>
      </c>
      <c r="T84" s="40">
        <f>IFERROR(SUMPRODUCT(tFlag*(1),tUPBf,tDQ)/$E84,0)</f>
        <v/>
      </c>
      <c r="U84" s="40">
        <f>IFERROR(SUMPRODUCT(tFlag*(1),tUPBf,tWLF)/$E84,0)</f>
        <v/>
      </c>
    </row>
    <row r="86" ht="15" customHeight="1">
      <c r="B86" s="2" t="inlineStr">
        <is>
          <t>PROPERTY TYPE</t>
        </is>
      </c>
      <c r="C86" s="3" t="n"/>
      <c r="D86" s="3" t="n"/>
      <c r="E86" s="3" t="n"/>
      <c r="F86" s="3" t="n"/>
      <c r="G86" s="3" t="n"/>
      <c r="H86" s="3" t="n"/>
      <c r="I86" s="3" t="n"/>
      <c r="J86" s="3" t="n"/>
      <c r="K86" s="3" t="n"/>
      <c r="L86" s="3" t="n"/>
      <c r="M86" s="3" t="n"/>
      <c r="N86" s="3" t="n"/>
      <c r="O86" s="3" t="n"/>
      <c r="P86" s="3" t="n"/>
      <c r="Q86" s="3" t="n"/>
      <c r="R86" s="3" t="n"/>
      <c r="S86" s="3" t="n"/>
      <c r="T86" s="3" t="n"/>
      <c r="U86" s="3" t="n"/>
    </row>
    <row r="87" ht="39.75" customHeight="1">
      <c r="B87" s="15" t="inlineStr">
        <is>
          <t>Category</t>
        </is>
      </c>
      <c r="C87" s="16" t="inlineStr">
        <is>
          <t>Number of Loans</t>
        </is>
      </c>
      <c r="D87" s="16" t="inlineStr">
        <is>
          <t>% of Loans</t>
        </is>
      </c>
      <c r="E87" s="16" t="inlineStr">
        <is>
          <t>Current UPB</t>
        </is>
      </c>
      <c r="F87" s="16" t="inlineStr">
        <is>
          <t>% of UPB</t>
        </is>
      </c>
      <c r="G87" s="16" t="inlineStr">
        <is>
          <t>Average Loan Size</t>
        </is>
      </c>
      <c r="H87" s="16" t="inlineStr">
        <is>
          <t>Wtd. Avg. Gross Coupon</t>
        </is>
      </c>
      <c r="I87" s="16" t="inlineStr">
        <is>
          <t>Wtd. Avg. UW NCF DSCR</t>
        </is>
      </c>
      <c r="J87" s="16" t="inlineStr">
        <is>
          <t>Wtd. Avg. Current NCF DSCR</t>
        </is>
      </c>
      <c r="K87" s="16" t="inlineStr">
        <is>
          <t>Wtd. Avg. UW LTV</t>
        </is>
      </c>
      <c r="L87" s="16" t="inlineStr">
        <is>
          <t>Wtd. Avg. Current LTV</t>
        </is>
      </c>
      <c r="M87" s="16" t="inlineStr">
        <is>
          <t>Wtd. Avg. UW NCF Debt Yield</t>
        </is>
      </c>
      <c r="N87" s="16" t="inlineStr">
        <is>
          <t>Wtd. Avg. Current NCF Debt Yield</t>
        </is>
      </c>
      <c r="O87" s="16" t="inlineStr">
        <is>
          <t>Wtd. Avg. Current Occupancy</t>
        </is>
      </c>
      <c r="P87" s="16" t="inlineStr">
        <is>
          <t>Wtd. Avg. Rem. Term (Mo.)</t>
        </is>
      </c>
      <c r="Q87" s="16" t="inlineStr">
        <is>
          <t>% Full IO</t>
        </is>
      </c>
      <c r="R87" s="16" t="inlineStr">
        <is>
          <t>% Defeased</t>
        </is>
      </c>
      <c r="S87" s="16" t="inlineStr">
        <is>
          <t>% Currently Specially Serviced</t>
        </is>
      </c>
      <c r="T87" s="16" t="inlineStr">
        <is>
          <t>% 30+ Delinq. / FC / REO</t>
        </is>
      </c>
      <c r="U87" s="16" t="inlineStr">
        <is>
          <t>% On Watchlist</t>
        </is>
      </c>
      <c r="W87" s="44" t="inlineStr">
        <is>
          <t>Category Label</t>
        </is>
      </c>
    </row>
    <row r="88">
      <c r="B88" s="18">
        <f>IF(W88="","",W88&amp;"")</f>
        <v/>
      </c>
      <c r="C88" s="19">
        <f>SUMPRODUCT(tFlag*(tPType=$W88))</f>
        <v/>
      </c>
      <c r="D88" s="22">
        <f>IFERROR(C88/sLoans,0)</f>
        <v/>
      </c>
      <c r="E88" s="21">
        <f>SUMPRODUCT(tFlag*(tPType=$W88),tUPBf)</f>
        <v/>
      </c>
      <c r="F88" s="22">
        <f>IFERROR(E88/sUPB,0)</f>
        <v/>
      </c>
      <c r="G88" s="21">
        <f>IFERROR(E88/C88,0)</f>
        <v/>
      </c>
      <c r="H88" s="23">
        <f>IFERROR(SUMPRODUCT(tFlag*(tPType=$W88),tUPBf,tCpn)/SUMPRODUCT(tFlag*(tPType=$W88)*ISNUMBER(tCpn),tUPBf),0)</f>
        <v/>
      </c>
      <c r="I88" s="24">
        <f>IFERROR(SUMPRODUCT(tFlag*(tPType=$W88),tUPBf,tUWDSCR)/SUMPRODUCT(tFlag*(tPType=$W88)*ISNUMBER(tUWDSCR),tUPBf),0)</f>
        <v/>
      </c>
      <c r="J88" s="24">
        <f>IFERROR(SUMPRODUCT(tFlag*(tPType=$W88),tUPBf,tCurDSCR)/SUMPRODUCT(tFlag*(tPType=$W88)*ISNUMBER(tCurDSCR),tUPBf),0)</f>
        <v/>
      </c>
      <c r="K88" s="22">
        <f>IFERROR(SUMPRODUCT(tFlag*(tPType=$W88),tUPBf,tUWLTV)/SUMPRODUCT(tFlag*(tPType=$W88)*ISNUMBER(tUWLTV),tUPBf),0)</f>
        <v/>
      </c>
      <c r="L88" s="22">
        <f>IFERROR(SUMPRODUCT(tFlag*(tPType=$W88),tUPBf,tCurLTV)/SUMPRODUCT(tFlag*(tPType=$W88)*ISNUMBER(tCurLTV),tUPBf),0)</f>
        <v/>
      </c>
      <c r="M88" s="22">
        <f>IFERROR(SUMPRODUCT(tFlag*(tPType=$W88),tUPBf,tUWDY)/SUMPRODUCT(tFlag*(tPType=$W88)*ISNUMBER(tUWDY),tUPBf),0)</f>
        <v/>
      </c>
      <c r="N88" s="22">
        <f>IFERROR(SUMPRODUCT(tFlag*(tPType=$W88),tUPBf,tCurDY)/SUMPRODUCT(tFlag*(tPType=$W88)*ISNUMBER(tCurDY),tUPBf),0)</f>
        <v/>
      </c>
      <c r="O88" s="22">
        <f>IFERROR(SUMPRODUCT(tFlag*(tPType=$W88),tUPBf,tOcc)/SUMPRODUCT(tFlag*(tPType=$W88)*ISNUMBER(tOcc),tUPBf),0)</f>
        <v/>
      </c>
      <c r="P88" s="45">
        <f>IFERROR(SUMPRODUCT(tFlag*(tPType=$W88),tUPBf,tRem)/SUMPRODUCT(tFlag*(tPType=$W88)*ISNUMBER(tRem),tUPBf),0)</f>
        <v/>
      </c>
      <c r="Q88" s="22">
        <f>IFERROR(SUMPRODUCT(tFlag*(tPType=$W88),tUPBf,tFIO)/$E88,0)</f>
        <v/>
      </c>
      <c r="R88" s="22">
        <f>IFERROR(SUMPRODUCT(tFlag*(tPType=$W88),tUPBf,tDefF)/$E88,0)</f>
        <v/>
      </c>
      <c r="S88" s="22">
        <f>IFERROR(SUMPRODUCT(tFlag*(tPType=$W88),tUPBf,tSSF)/$E88,0)</f>
        <v/>
      </c>
      <c r="T88" s="22">
        <f>IFERROR(SUMPRODUCT(tFlag*(tPType=$W88),tUPBf,tDQ)/$E88,0)</f>
        <v/>
      </c>
      <c r="U88" s="22">
        <f>IFERROR(SUMPRODUCT(tFlag*(tPType=$W88),tUPBf,tWLF)/$E88,0)</f>
        <v/>
      </c>
      <c r="W88" s="48" t="inlineStr">
        <is>
          <t>Retail</t>
        </is>
      </c>
    </row>
    <row r="89">
      <c r="B89" s="27">
        <f>IF(W89="","",W89&amp;"")</f>
        <v/>
      </c>
      <c r="C89" s="28">
        <f>SUMPRODUCT(tFlag*(tPType=$W89))</f>
        <v/>
      </c>
      <c r="D89" s="31">
        <f>IFERROR(C89/sLoans,0)</f>
        <v/>
      </c>
      <c r="E89" s="30">
        <f>SUMPRODUCT(tFlag*(tPType=$W89),tUPBf)</f>
        <v/>
      </c>
      <c r="F89" s="31">
        <f>IFERROR(E89/sUPB,0)</f>
        <v/>
      </c>
      <c r="G89" s="30">
        <f>IFERROR(E89/C89,0)</f>
        <v/>
      </c>
      <c r="H89" s="32">
        <f>IFERROR(SUMPRODUCT(tFlag*(tPType=$W89),tUPBf,tCpn)/SUMPRODUCT(tFlag*(tPType=$W89)*ISNUMBER(tCpn),tUPBf),0)</f>
        <v/>
      </c>
      <c r="I89" s="33">
        <f>IFERROR(SUMPRODUCT(tFlag*(tPType=$W89),tUPBf,tUWDSCR)/SUMPRODUCT(tFlag*(tPType=$W89)*ISNUMBER(tUWDSCR),tUPBf),0)</f>
        <v/>
      </c>
      <c r="J89" s="33">
        <f>IFERROR(SUMPRODUCT(tFlag*(tPType=$W89),tUPBf,tCurDSCR)/SUMPRODUCT(tFlag*(tPType=$W89)*ISNUMBER(tCurDSCR),tUPBf),0)</f>
        <v/>
      </c>
      <c r="K89" s="31">
        <f>IFERROR(SUMPRODUCT(tFlag*(tPType=$W89),tUPBf,tUWLTV)/SUMPRODUCT(tFlag*(tPType=$W89)*ISNUMBER(tUWLTV),tUPBf),0)</f>
        <v/>
      </c>
      <c r="L89" s="31">
        <f>IFERROR(SUMPRODUCT(tFlag*(tPType=$W89),tUPBf,tCurLTV)/SUMPRODUCT(tFlag*(tPType=$W89)*ISNUMBER(tCurLTV),tUPBf),0)</f>
        <v/>
      </c>
      <c r="M89" s="31">
        <f>IFERROR(SUMPRODUCT(tFlag*(tPType=$W89),tUPBf,tUWDY)/SUMPRODUCT(tFlag*(tPType=$W89)*ISNUMBER(tUWDY),tUPBf),0)</f>
        <v/>
      </c>
      <c r="N89" s="31">
        <f>IFERROR(SUMPRODUCT(tFlag*(tPType=$W89),tUPBf,tCurDY)/SUMPRODUCT(tFlag*(tPType=$W89)*ISNUMBER(tCurDY),tUPBf),0)</f>
        <v/>
      </c>
      <c r="O89" s="31">
        <f>IFERROR(SUMPRODUCT(tFlag*(tPType=$W89),tUPBf,tOcc)/SUMPRODUCT(tFlag*(tPType=$W89)*ISNUMBER(tOcc),tUPBf),0)</f>
        <v/>
      </c>
      <c r="P89" s="47">
        <f>IFERROR(SUMPRODUCT(tFlag*(tPType=$W89),tUPBf,tRem)/SUMPRODUCT(tFlag*(tPType=$W89)*ISNUMBER(tRem),tUPBf),0)</f>
        <v/>
      </c>
      <c r="Q89" s="31">
        <f>IFERROR(SUMPRODUCT(tFlag*(tPType=$W89),tUPBf,tFIO)/$E89,0)</f>
        <v/>
      </c>
      <c r="R89" s="31">
        <f>IFERROR(SUMPRODUCT(tFlag*(tPType=$W89),tUPBf,tDefF)/$E89,0)</f>
        <v/>
      </c>
      <c r="S89" s="31">
        <f>IFERROR(SUMPRODUCT(tFlag*(tPType=$W89),tUPBf,tSSF)/$E89,0)</f>
        <v/>
      </c>
      <c r="T89" s="31">
        <f>IFERROR(SUMPRODUCT(tFlag*(tPType=$W89),tUPBf,tDQ)/$E89,0)</f>
        <v/>
      </c>
      <c r="U89" s="31">
        <f>IFERROR(SUMPRODUCT(tFlag*(tPType=$W89),tUPBf,tWLF)/$E89,0)</f>
        <v/>
      </c>
      <c r="W89" s="48" t="inlineStr">
        <is>
          <t>Office</t>
        </is>
      </c>
    </row>
    <row r="90">
      <c r="B90" s="18">
        <f>IF(W90="","",W90&amp;"")</f>
        <v/>
      </c>
      <c r="C90" s="19">
        <f>SUMPRODUCT(tFlag*(tPType=$W90))</f>
        <v/>
      </c>
      <c r="D90" s="22">
        <f>IFERROR(C90/sLoans,0)</f>
        <v/>
      </c>
      <c r="E90" s="21">
        <f>SUMPRODUCT(tFlag*(tPType=$W90),tUPBf)</f>
        <v/>
      </c>
      <c r="F90" s="22">
        <f>IFERROR(E90/sUPB,0)</f>
        <v/>
      </c>
      <c r="G90" s="21">
        <f>IFERROR(E90/C90,0)</f>
        <v/>
      </c>
      <c r="H90" s="23">
        <f>IFERROR(SUMPRODUCT(tFlag*(tPType=$W90),tUPBf,tCpn)/SUMPRODUCT(tFlag*(tPType=$W90)*ISNUMBER(tCpn),tUPBf),0)</f>
        <v/>
      </c>
      <c r="I90" s="24">
        <f>IFERROR(SUMPRODUCT(tFlag*(tPType=$W90),tUPBf,tUWDSCR)/SUMPRODUCT(tFlag*(tPType=$W90)*ISNUMBER(tUWDSCR),tUPBf),0)</f>
        <v/>
      </c>
      <c r="J90" s="24">
        <f>IFERROR(SUMPRODUCT(tFlag*(tPType=$W90),tUPBf,tCurDSCR)/SUMPRODUCT(tFlag*(tPType=$W90)*ISNUMBER(tCurDSCR),tUPBf),0)</f>
        <v/>
      </c>
      <c r="K90" s="22">
        <f>IFERROR(SUMPRODUCT(tFlag*(tPType=$W90),tUPBf,tUWLTV)/SUMPRODUCT(tFlag*(tPType=$W90)*ISNUMBER(tUWLTV),tUPBf),0)</f>
        <v/>
      </c>
      <c r="L90" s="22">
        <f>IFERROR(SUMPRODUCT(tFlag*(tPType=$W90),tUPBf,tCurLTV)/SUMPRODUCT(tFlag*(tPType=$W90)*ISNUMBER(tCurLTV),tUPBf),0)</f>
        <v/>
      </c>
      <c r="M90" s="22">
        <f>IFERROR(SUMPRODUCT(tFlag*(tPType=$W90),tUPBf,tUWDY)/SUMPRODUCT(tFlag*(tPType=$W90)*ISNUMBER(tUWDY),tUPBf),0)</f>
        <v/>
      </c>
      <c r="N90" s="22">
        <f>IFERROR(SUMPRODUCT(tFlag*(tPType=$W90),tUPBf,tCurDY)/SUMPRODUCT(tFlag*(tPType=$W90)*ISNUMBER(tCurDY),tUPBf),0)</f>
        <v/>
      </c>
      <c r="O90" s="22">
        <f>IFERROR(SUMPRODUCT(tFlag*(tPType=$W90),tUPBf,tOcc)/SUMPRODUCT(tFlag*(tPType=$W90)*ISNUMBER(tOcc),tUPBf),0)</f>
        <v/>
      </c>
      <c r="P90" s="45">
        <f>IFERROR(SUMPRODUCT(tFlag*(tPType=$W90),tUPBf,tRem)/SUMPRODUCT(tFlag*(tPType=$W90)*ISNUMBER(tRem),tUPBf),0)</f>
        <v/>
      </c>
      <c r="Q90" s="22">
        <f>IFERROR(SUMPRODUCT(tFlag*(tPType=$W90),tUPBf,tFIO)/$E90,0)</f>
        <v/>
      </c>
      <c r="R90" s="22">
        <f>IFERROR(SUMPRODUCT(tFlag*(tPType=$W90),tUPBf,tDefF)/$E90,0)</f>
        <v/>
      </c>
      <c r="S90" s="22">
        <f>IFERROR(SUMPRODUCT(tFlag*(tPType=$W90),tUPBf,tSSF)/$E90,0)</f>
        <v/>
      </c>
      <c r="T90" s="22">
        <f>IFERROR(SUMPRODUCT(tFlag*(tPType=$W90),tUPBf,tDQ)/$E90,0)</f>
        <v/>
      </c>
      <c r="U90" s="22">
        <f>IFERROR(SUMPRODUCT(tFlag*(tPType=$W90),tUPBf,tWLF)/$E90,0)</f>
        <v/>
      </c>
      <c r="W90" s="48" t="inlineStr">
        <is>
          <t>Hospitality</t>
        </is>
      </c>
    </row>
    <row r="91">
      <c r="B91" s="27">
        <f>IF(W91="","",W91&amp;"")</f>
        <v/>
      </c>
      <c r="C91" s="28">
        <f>SUMPRODUCT(tFlag*(tPType=$W91))</f>
        <v/>
      </c>
      <c r="D91" s="31">
        <f>IFERROR(C91/sLoans,0)</f>
        <v/>
      </c>
      <c r="E91" s="30">
        <f>SUMPRODUCT(tFlag*(tPType=$W91),tUPBf)</f>
        <v/>
      </c>
      <c r="F91" s="31">
        <f>IFERROR(E91/sUPB,0)</f>
        <v/>
      </c>
      <c r="G91" s="30">
        <f>IFERROR(E91/C91,0)</f>
        <v/>
      </c>
      <c r="H91" s="32">
        <f>IFERROR(SUMPRODUCT(tFlag*(tPType=$W91),tUPBf,tCpn)/SUMPRODUCT(tFlag*(tPType=$W91)*ISNUMBER(tCpn),tUPBf),0)</f>
        <v/>
      </c>
      <c r="I91" s="33">
        <f>IFERROR(SUMPRODUCT(tFlag*(tPType=$W91),tUPBf,tUWDSCR)/SUMPRODUCT(tFlag*(tPType=$W91)*ISNUMBER(tUWDSCR),tUPBf),0)</f>
        <v/>
      </c>
      <c r="J91" s="33">
        <f>IFERROR(SUMPRODUCT(tFlag*(tPType=$W91),tUPBf,tCurDSCR)/SUMPRODUCT(tFlag*(tPType=$W91)*ISNUMBER(tCurDSCR),tUPBf),0)</f>
        <v/>
      </c>
      <c r="K91" s="31">
        <f>IFERROR(SUMPRODUCT(tFlag*(tPType=$W91),tUPBf,tUWLTV)/SUMPRODUCT(tFlag*(tPType=$W91)*ISNUMBER(tUWLTV),tUPBf),0)</f>
        <v/>
      </c>
      <c r="L91" s="31">
        <f>IFERROR(SUMPRODUCT(tFlag*(tPType=$W91),tUPBf,tCurLTV)/SUMPRODUCT(tFlag*(tPType=$W91)*ISNUMBER(tCurLTV),tUPBf),0)</f>
        <v/>
      </c>
      <c r="M91" s="31">
        <f>IFERROR(SUMPRODUCT(tFlag*(tPType=$W91),tUPBf,tUWDY)/SUMPRODUCT(tFlag*(tPType=$W91)*ISNUMBER(tUWDY),tUPBf),0)</f>
        <v/>
      </c>
      <c r="N91" s="31">
        <f>IFERROR(SUMPRODUCT(tFlag*(tPType=$W91),tUPBf,tCurDY)/SUMPRODUCT(tFlag*(tPType=$W91)*ISNUMBER(tCurDY),tUPBf),0)</f>
        <v/>
      </c>
      <c r="O91" s="31">
        <f>IFERROR(SUMPRODUCT(tFlag*(tPType=$W91),tUPBf,tOcc)/SUMPRODUCT(tFlag*(tPType=$W91)*ISNUMBER(tOcc),tUPBf),0)</f>
        <v/>
      </c>
      <c r="P91" s="47">
        <f>IFERROR(SUMPRODUCT(tFlag*(tPType=$W91),tUPBf,tRem)/SUMPRODUCT(tFlag*(tPType=$W91)*ISNUMBER(tRem),tUPBf),0)</f>
        <v/>
      </c>
      <c r="Q91" s="31">
        <f>IFERROR(SUMPRODUCT(tFlag*(tPType=$W91),tUPBf,tFIO)/$E91,0)</f>
        <v/>
      </c>
      <c r="R91" s="31">
        <f>IFERROR(SUMPRODUCT(tFlag*(tPType=$W91),tUPBf,tDefF)/$E91,0)</f>
        <v/>
      </c>
      <c r="S91" s="31">
        <f>IFERROR(SUMPRODUCT(tFlag*(tPType=$W91),tUPBf,tSSF)/$E91,0)</f>
        <v/>
      </c>
      <c r="T91" s="31">
        <f>IFERROR(SUMPRODUCT(tFlag*(tPType=$W91),tUPBf,tDQ)/$E91,0)</f>
        <v/>
      </c>
      <c r="U91" s="31">
        <f>IFERROR(SUMPRODUCT(tFlag*(tPType=$W91),tUPBf,tWLF)/$E91,0)</f>
        <v/>
      </c>
      <c r="W91" s="48" t="inlineStr">
        <is>
          <t>Multifamily</t>
        </is>
      </c>
    </row>
    <row r="92">
      <c r="B92" s="18">
        <f>IF(W92="","",W92&amp;"")</f>
        <v/>
      </c>
      <c r="C92" s="19">
        <f>SUMPRODUCT(tFlag*(tPType=$W92))</f>
        <v/>
      </c>
      <c r="D92" s="22">
        <f>IFERROR(C92/sLoans,0)</f>
        <v/>
      </c>
      <c r="E92" s="21">
        <f>SUMPRODUCT(tFlag*(tPType=$W92),tUPBf)</f>
        <v/>
      </c>
      <c r="F92" s="22">
        <f>IFERROR(E92/sUPB,0)</f>
        <v/>
      </c>
      <c r="G92" s="21">
        <f>IFERROR(E92/C92,0)</f>
        <v/>
      </c>
      <c r="H92" s="23">
        <f>IFERROR(SUMPRODUCT(tFlag*(tPType=$W92),tUPBf,tCpn)/SUMPRODUCT(tFlag*(tPType=$W92)*ISNUMBER(tCpn),tUPBf),0)</f>
        <v/>
      </c>
      <c r="I92" s="24">
        <f>IFERROR(SUMPRODUCT(tFlag*(tPType=$W92),tUPBf,tUWDSCR)/SUMPRODUCT(tFlag*(tPType=$W92)*ISNUMBER(tUWDSCR),tUPBf),0)</f>
        <v/>
      </c>
      <c r="J92" s="24">
        <f>IFERROR(SUMPRODUCT(tFlag*(tPType=$W92),tUPBf,tCurDSCR)/SUMPRODUCT(tFlag*(tPType=$W92)*ISNUMBER(tCurDSCR),tUPBf),0)</f>
        <v/>
      </c>
      <c r="K92" s="22">
        <f>IFERROR(SUMPRODUCT(tFlag*(tPType=$W92),tUPBf,tUWLTV)/SUMPRODUCT(tFlag*(tPType=$W92)*ISNUMBER(tUWLTV),tUPBf),0)</f>
        <v/>
      </c>
      <c r="L92" s="22">
        <f>IFERROR(SUMPRODUCT(tFlag*(tPType=$W92),tUPBf,tCurLTV)/SUMPRODUCT(tFlag*(tPType=$W92)*ISNUMBER(tCurLTV),tUPBf),0)</f>
        <v/>
      </c>
      <c r="M92" s="22">
        <f>IFERROR(SUMPRODUCT(tFlag*(tPType=$W92),tUPBf,tUWDY)/SUMPRODUCT(tFlag*(tPType=$W92)*ISNUMBER(tUWDY),tUPBf),0)</f>
        <v/>
      </c>
      <c r="N92" s="22">
        <f>IFERROR(SUMPRODUCT(tFlag*(tPType=$W92),tUPBf,tCurDY)/SUMPRODUCT(tFlag*(tPType=$W92)*ISNUMBER(tCurDY),tUPBf),0)</f>
        <v/>
      </c>
      <c r="O92" s="22">
        <f>IFERROR(SUMPRODUCT(tFlag*(tPType=$W92),tUPBf,tOcc)/SUMPRODUCT(tFlag*(tPType=$W92)*ISNUMBER(tOcc),tUPBf),0)</f>
        <v/>
      </c>
      <c r="P92" s="45">
        <f>IFERROR(SUMPRODUCT(tFlag*(tPType=$W92),tUPBf,tRem)/SUMPRODUCT(tFlag*(tPType=$W92)*ISNUMBER(tRem),tUPBf),0)</f>
        <v/>
      </c>
      <c r="Q92" s="22">
        <f>IFERROR(SUMPRODUCT(tFlag*(tPType=$W92),tUPBf,tFIO)/$E92,0)</f>
        <v/>
      </c>
      <c r="R92" s="22">
        <f>IFERROR(SUMPRODUCT(tFlag*(tPType=$W92),tUPBf,tDefF)/$E92,0)</f>
        <v/>
      </c>
      <c r="S92" s="22">
        <f>IFERROR(SUMPRODUCT(tFlag*(tPType=$W92),tUPBf,tSSF)/$E92,0)</f>
        <v/>
      </c>
      <c r="T92" s="22">
        <f>IFERROR(SUMPRODUCT(tFlag*(tPType=$W92),tUPBf,tDQ)/$E92,0)</f>
        <v/>
      </c>
      <c r="U92" s="22">
        <f>IFERROR(SUMPRODUCT(tFlag*(tPType=$W92),tUPBf,tWLF)/$E92,0)</f>
        <v/>
      </c>
      <c r="W92" s="48" t="inlineStr">
        <is>
          <t>Industrial</t>
        </is>
      </c>
    </row>
    <row r="93">
      <c r="B93" s="27">
        <f>IF(W93="","",W93&amp;"")</f>
        <v/>
      </c>
      <c r="C93" s="28">
        <f>SUMPRODUCT(tFlag*(tPType=$W93))</f>
        <v/>
      </c>
      <c r="D93" s="31">
        <f>IFERROR(C93/sLoans,0)</f>
        <v/>
      </c>
      <c r="E93" s="30">
        <f>SUMPRODUCT(tFlag*(tPType=$W93),tUPBf)</f>
        <v/>
      </c>
      <c r="F93" s="31">
        <f>IFERROR(E93/sUPB,0)</f>
        <v/>
      </c>
      <c r="G93" s="30">
        <f>IFERROR(E93/C93,0)</f>
        <v/>
      </c>
      <c r="H93" s="32">
        <f>IFERROR(SUMPRODUCT(tFlag*(tPType=$W93),tUPBf,tCpn)/SUMPRODUCT(tFlag*(tPType=$W93)*ISNUMBER(tCpn),tUPBf),0)</f>
        <v/>
      </c>
      <c r="I93" s="33">
        <f>IFERROR(SUMPRODUCT(tFlag*(tPType=$W93),tUPBf,tUWDSCR)/SUMPRODUCT(tFlag*(tPType=$W93)*ISNUMBER(tUWDSCR),tUPBf),0)</f>
        <v/>
      </c>
      <c r="J93" s="33">
        <f>IFERROR(SUMPRODUCT(tFlag*(tPType=$W93),tUPBf,tCurDSCR)/SUMPRODUCT(tFlag*(tPType=$W93)*ISNUMBER(tCurDSCR),tUPBf),0)</f>
        <v/>
      </c>
      <c r="K93" s="31">
        <f>IFERROR(SUMPRODUCT(tFlag*(tPType=$W93),tUPBf,tUWLTV)/SUMPRODUCT(tFlag*(tPType=$W93)*ISNUMBER(tUWLTV),tUPBf),0)</f>
        <v/>
      </c>
      <c r="L93" s="31">
        <f>IFERROR(SUMPRODUCT(tFlag*(tPType=$W93),tUPBf,tCurLTV)/SUMPRODUCT(tFlag*(tPType=$W93)*ISNUMBER(tCurLTV),tUPBf),0)</f>
        <v/>
      </c>
      <c r="M93" s="31">
        <f>IFERROR(SUMPRODUCT(tFlag*(tPType=$W93),tUPBf,tUWDY)/SUMPRODUCT(tFlag*(tPType=$W93)*ISNUMBER(tUWDY),tUPBf),0)</f>
        <v/>
      </c>
      <c r="N93" s="31">
        <f>IFERROR(SUMPRODUCT(tFlag*(tPType=$W93),tUPBf,tCurDY)/SUMPRODUCT(tFlag*(tPType=$W93)*ISNUMBER(tCurDY),tUPBf),0)</f>
        <v/>
      </c>
      <c r="O93" s="31">
        <f>IFERROR(SUMPRODUCT(tFlag*(tPType=$W93),tUPBf,tOcc)/SUMPRODUCT(tFlag*(tPType=$W93)*ISNUMBER(tOcc),tUPBf),0)</f>
        <v/>
      </c>
      <c r="P93" s="47">
        <f>IFERROR(SUMPRODUCT(tFlag*(tPType=$W93),tUPBf,tRem)/SUMPRODUCT(tFlag*(tPType=$W93)*ISNUMBER(tRem),tUPBf),0)</f>
        <v/>
      </c>
      <c r="Q93" s="31">
        <f>IFERROR(SUMPRODUCT(tFlag*(tPType=$W93),tUPBf,tFIO)/$E93,0)</f>
        <v/>
      </c>
      <c r="R93" s="31">
        <f>IFERROR(SUMPRODUCT(tFlag*(tPType=$W93),tUPBf,tDefF)/$E93,0)</f>
        <v/>
      </c>
      <c r="S93" s="31">
        <f>IFERROR(SUMPRODUCT(tFlag*(tPType=$W93),tUPBf,tSSF)/$E93,0)</f>
        <v/>
      </c>
      <c r="T93" s="31">
        <f>IFERROR(SUMPRODUCT(tFlag*(tPType=$W93),tUPBf,tDQ)/$E93,0)</f>
        <v/>
      </c>
      <c r="U93" s="31">
        <f>IFERROR(SUMPRODUCT(tFlag*(tPType=$W93),tUPBf,tWLF)/$E93,0)</f>
        <v/>
      </c>
      <c r="W93" s="48" t="inlineStr">
        <is>
          <t>Mixed Use</t>
        </is>
      </c>
    </row>
    <row r="94">
      <c r="B94" s="18">
        <f>IF(W94="","",W94&amp;"")</f>
        <v/>
      </c>
      <c r="C94" s="19">
        <f>SUMPRODUCT(tFlag*(tPType=$W94))</f>
        <v/>
      </c>
      <c r="D94" s="22">
        <f>IFERROR(C94/sLoans,0)</f>
        <v/>
      </c>
      <c r="E94" s="21">
        <f>SUMPRODUCT(tFlag*(tPType=$W94),tUPBf)</f>
        <v/>
      </c>
      <c r="F94" s="22">
        <f>IFERROR(E94/sUPB,0)</f>
        <v/>
      </c>
      <c r="G94" s="21">
        <f>IFERROR(E94/C94,0)</f>
        <v/>
      </c>
      <c r="H94" s="23">
        <f>IFERROR(SUMPRODUCT(tFlag*(tPType=$W94),tUPBf,tCpn)/SUMPRODUCT(tFlag*(tPType=$W94)*ISNUMBER(tCpn),tUPBf),0)</f>
        <v/>
      </c>
      <c r="I94" s="24">
        <f>IFERROR(SUMPRODUCT(tFlag*(tPType=$W94),tUPBf,tUWDSCR)/SUMPRODUCT(tFlag*(tPType=$W94)*ISNUMBER(tUWDSCR),tUPBf),0)</f>
        <v/>
      </c>
      <c r="J94" s="24">
        <f>IFERROR(SUMPRODUCT(tFlag*(tPType=$W94),tUPBf,tCurDSCR)/SUMPRODUCT(tFlag*(tPType=$W94)*ISNUMBER(tCurDSCR),tUPBf),0)</f>
        <v/>
      </c>
      <c r="K94" s="22">
        <f>IFERROR(SUMPRODUCT(tFlag*(tPType=$W94),tUPBf,tUWLTV)/SUMPRODUCT(tFlag*(tPType=$W94)*ISNUMBER(tUWLTV),tUPBf),0)</f>
        <v/>
      </c>
      <c r="L94" s="22">
        <f>IFERROR(SUMPRODUCT(tFlag*(tPType=$W94),tUPBf,tCurLTV)/SUMPRODUCT(tFlag*(tPType=$W94)*ISNUMBER(tCurLTV),tUPBf),0)</f>
        <v/>
      </c>
      <c r="M94" s="22">
        <f>IFERROR(SUMPRODUCT(tFlag*(tPType=$W94),tUPBf,tUWDY)/SUMPRODUCT(tFlag*(tPType=$W94)*ISNUMBER(tUWDY),tUPBf),0)</f>
        <v/>
      </c>
      <c r="N94" s="22">
        <f>IFERROR(SUMPRODUCT(tFlag*(tPType=$W94),tUPBf,tCurDY)/SUMPRODUCT(tFlag*(tPType=$W94)*ISNUMBER(tCurDY),tUPBf),0)</f>
        <v/>
      </c>
      <c r="O94" s="22">
        <f>IFERROR(SUMPRODUCT(tFlag*(tPType=$W94),tUPBf,tOcc)/SUMPRODUCT(tFlag*(tPType=$W94)*ISNUMBER(tOcc),tUPBf),0)</f>
        <v/>
      </c>
      <c r="P94" s="45">
        <f>IFERROR(SUMPRODUCT(tFlag*(tPType=$W94),tUPBf,tRem)/SUMPRODUCT(tFlag*(tPType=$W94)*ISNUMBER(tRem),tUPBf),0)</f>
        <v/>
      </c>
      <c r="Q94" s="22">
        <f>IFERROR(SUMPRODUCT(tFlag*(tPType=$W94),tUPBf,tFIO)/$E94,0)</f>
        <v/>
      </c>
      <c r="R94" s="22">
        <f>IFERROR(SUMPRODUCT(tFlag*(tPType=$W94),tUPBf,tDefF)/$E94,0)</f>
        <v/>
      </c>
      <c r="S94" s="22">
        <f>IFERROR(SUMPRODUCT(tFlag*(tPType=$W94),tUPBf,tSSF)/$E94,0)</f>
        <v/>
      </c>
      <c r="T94" s="22">
        <f>IFERROR(SUMPRODUCT(tFlag*(tPType=$W94),tUPBf,tDQ)/$E94,0)</f>
        <v/>
      </c>
      <c r="U94" s="22">
        <f>IFERROR(SUMPRODUCT(tFlag*(tPType=$W94),tUPBf,tWLF)/$E94,0)</f>
        <v/>
      </c>
      <c r="W94" s="48" t="inlineStr">
        <is>
          <t>Self Storage</t>
        </is>
      </c>
    </row>
    <row r="95">
      <c r="B95" s="27">
        <f>IF(W95="","",W95&amp;"")</f>
        <v/>
      </c>
      <c r="C95" s="28">
        <f>SUMPRODUCT(tFlag*(tPType=$W95))</f>
        <v/>
      </c>
      <c r="D95" s="31">
        <f>IFERROR(C95/sLoans,0)</f>
        <v/>
      </c>
      <c r="E95" s="30">
        <f>SUMPRODUCT(tFlag*(tPType=$W95),tUPBf)</f>
        <v/>
      </c>
      <c r="F95" s="31">
        <f>IFERROR(E95/sUPB,0)</f>
        <v/>
      </c>
      <c r="G95" s="30">
        <f>IFERROR(E95/C95,0)</f>
        <v/>
      </c>
      <c r="H95" s="32">
        <f>IFERROR(SUMPRODUCT(tFlag*(tPType=$W95),tUPBf,tCpn)/SUMPRODUCT(tFlag*(tPType=$W95)*ISNUMBER(tCpn),tUPBf),0)</f>
        <v/>
      </c>
      <c r="I95" s="33">
        <f>IFERROR(SUMPRODUCT(tFlag*(tPType=$W95),tUPBf,tUWDSCR)/SUMPRODUCT(tFlag*(tPType=$W95)*ISNUMBER(tUWDSCR),tUPBf),0)</f>
        <v/>
      </c>
      <c r="J95" s="33">
        <f>IFERROR(SUMPRODUCT(tFlag*(tPType=$W95),tUPBf,tCurDSCR)/SUMPRODUCT(tFlag*(tPType=$W95)*ISNUMBER(tCurDSCR),tUPBf),0)</f>
        <v/>
      </c>
      <c r="K95" s="31">
        <f>IFERROR(SUMPRODUCT(tFlag*(tPType=$W95),tUPBf,tUWLTV)/SUMPRODUCT(tFlag*(tPType=$W95)*ISNUMBER(tUWLTV),tUPBf),0)</f>
        <v/>
      </c>
      <c r="L95" s="31">
        <f>IFERROR(SUMPRODUCT(tFlag*(tPType=$W95),tUPBf,tCurLTV)/SUMPRODUCT(tFlag*(tPType=$W95)*ISNUMBER(tCurLTV),tUPBf),0)</f>
        <v/>
      </c>
      <c r="M95" s="31">
        <f>IFERROR(SUMPRODUCT(tFlag*(tPType=$W95),tUPBf,tUWDY)/SUMPRODUCT(tFlag*(tPType=$W95)*ISNUMBER(tUWDY),tUPBf),0)</f>
        <v/>
      </c>
      <c r="N95" s="31">
        <f>IFERROR(SUMPRODUCT(tFlag*(tPType=$W95),tUPBf,tCurDY)/SUMPRODUCT(tFlag*(tPType=$W95)*ISNUMBER(tCurDY),tUPBf),0)</f>
        <v/>
      </c>
      <c r="O95" s="31">
        <f>IFERROR(SUMPRODUCT(tFlag*(tPType=$W95),tUPBf,tOcc)/SUMPRODUCT(tFlag*(tPType=$W95)*ISNUMBER(tOcc),tUPBf),0)</f>
        <v/>
      </c>
      <c r="P95" s="47">
        <f>IFERROR(SUMPRODUCT(tFlag*(tPType=$W95),tUPBf,tRem)/SUMPRODUCT(tFlag*(tPType=$W95)*ISNUMBER(tRem),tUPBf),0)</f>
        <v/>
      </c>
      <c r="Q95" s="31">
        <f>IFERROR(SUMPRODUCT(tFlag*(tPType=$W95),tUPBf,tFIO)/$E95,0)</f>
        <v/>
      </c>
      <c r="R95" s="31">
        <f>IFERROR(SUMPRODUCT(tFlag*(tPType=$W95),tUPBf,tDefF)/$E95,0)</f>
        <v/>
      </c>
      <c r="S95" s="31">
        <f>IFERROR(SUMPRODUCT(tFlag*(tPType=$W95),tUPBf,tSSF)/$E95,0)</f>
        <v/>
      </c>
      <c r="T95" s="31">
        <f>IFERROR(SUMPRODUCT(tFlag*(tPType=$W95),tUPBf,tDQ)/$E95,0)</f>
        <v/>
      </c>
      <c r="U95" s="31">
        <f>IFERROR(SUMPRODUCT(tFlag*(tPType=$W95),tUPBf,tWLF)/$E95,0)</f>
        <v/>
      </c>
      <c r="W95" s="48" t="inlineStr">
        <is>
          <t>Manufactured Housing</t>
        </is>
      </c>
    </row>
    <row r="96">
      <c r="B96" s="18">
        <f>IF(W96="","",W96&amp;"")</f>
        <v/>
      </c>
      <c r="C96" s="19">
        <f>SUMPRODUCT(tFlag*(tPType=$W96))</f>
        <v/>
      </c>
      <c r="D96" s="22">
        <f>IFERROR(C96/sLoans,0)</f>
        <v/>
      </c>
      <c r="E96" s="21">
        <f>SUMPRODUCT(tFlag*(tPType=$W96),tUPBf)</f>
        <v/>
      </c>
      <c r="F96" s="22">
        <f>IFERROR(E96/sUPB,0)</f>
        <v/>
      </c>
      <c r="G96" s="21">
        <f>IFERROR(E96/C96,0)</f>
        <v/>
      </c>
      <c r="H96" s="23">
        <f>IFERROR(SUMPRODUCT(tFlag*(tPType=$W96),tUPBf,tCpn)/SUMPRODUCT(tFlag*(tPType=$W96)*ISNUMBER(tCpn),tUPBf),0)</f>
        <v/>
      </c>
      <c r="I96" s="24">
        <f>IFERROR(SUMPRODUCT(tFlag*(tPType=$W96),tUPBf,tUWDSCR)/SUMPRODUCT(tFlag*(tPType=$W96)*ISNUMBER(tUWDSCR),tUPBf),0)</f>
        <v/>
      </c>
      <c r="J96" s="24">
        <f>IFERROR(SUMPRODUCT(tFlag*(tPType=$W96),tUPBf,tCurDSCR)/SUMPRODUCT(tFlag*(tPType=$W96)*ISNUMBER(tCurDSCR),tUPBf),0)</f>
        <v/>
      </c>
      <c r="K96" s="22">
        <f>IFERROR(SUMPRODUCT(tFlag*(tPType=$W96),tUPBf,tUWLTV)/SUMPRODUCT(tFlag*(tPType=$W96)*ISNUMBER(tUWLTV),tUPBf),0)</f>
        <v/>
      </c>
      <c r="L96" s="22">
        <f>IFERROR(SUMPRODUCT(tFlag*(tPType=$W96),tUPBf,tCurLTV)/SUMPRODUCT(tFlag*(tPType=$W96)*ISNUMBER(tCurLTV),tUPBf),0)</f>
        <v/>
      </c>
      <c r="M96" s="22">
        <f>IFERROR(SUMPRODUCT(tFlag*(tPType=$W96),tUPBf,tUWDY)/SUMPRODUCT(tFlag*(tPType=$W96)*ISNUMBER(tUWDY),tUPBf),0)</f>
        <v/>
      </c>
      <c r="N96" s="22">
        <f>IFERROR(SUMPRODUCT(tFlag*(tPType=$W96),tUPBf,tCurDY)/SUMPRODUCT(tFlag*(tPType=$W96)*ISNUMBER(tCurDY),tUPBf),0)</f>
        <v/>
      </c>
      <c r="O96" s="22">
        <f>IFERROR(SUMPRODUCT(tFlag*(tPType=$W96),tUPBf,tOcc)/SUMPRODUCT(tFlag*(tPType=$W96)*ISNUMBER(tOcc),tUPBf),0)</f>
        <v/>
      </c>
      <c r="P96" s="45">
        <f>IFERROR(SUMPRODUCT(tFlag*(tPType=$W96),tUPBf,tRem)/SUMPRODUCT(tFlag*(tPType=$W96)*ISNUMBER(tRem),tUPBf),0)</f>
        <v/>
      </c>
      <c r="Q96" s="22">
        <f>IFERROR(SUMPRODUCT(tFlag*(tPType=$W96),tUPBf,tFIO)/$E96,0)</f>
        <v/>
      </c>
      <c r="R96" s="22">
        <f>IFERROR(SUMPRODUCT(tFlag*(tPType=$W96),tUPBf,tDefF)/$E96,0)</f>
        <v/>
      </c>
      <c r="S96" s="22">
        <f>IFERROR(SUMPRODUCT(tFlag*(tPType=$W96),tUPBf,tSSF)/$E96,0)</f>
        <v/>
      </c>
      <c r="T96" s="22">
        <f>IFERROR(SUMPRODUCT(tFlag*(tPType=$W96),tUPBf,tDQ)/$E96,0)</f>
        <v/>
      </c>
      <c r="U96" s="22">
        <f>IFERROR(SUMPRODUCT(tFlag*(tPType=$W96),tUPBf,tWLF)/$E96,0)</f>
        <v/>
      </c>
      <c r="W96" s="48" t="inlineStr">
        <is>
          <t>Other / Leased Fee</t>
        </is>
      </c>
    </row>
    <row r="97">
      <c r="B97" s="36" t="inlineStr">
        <is>
          <t>Total / Wtd. Avg.</t>
        </is>
      </c>
      <c r="C97" s="37">
        <f>SUMPRODUCT(tFlag*(1))</f>
        <v/>
      </c>
      <c r="D97" s="40">
        <f>IFERROR(C97/sLoans,0)</f>
        <v/>
      </c>
      <c r="E97" s="39">
        <f>SUMPRODUCT(tFlag*(1),tUPBf)</f>
        <v/>
      </c>
      <c r="F97" s="40">
        <f>IFERROR(E97/sUPB,0)</f>
        <v/>
      </c>
      <c r="G97" s="39">
        <f>IFERROR(E97/C97,0)</f>
        <v/>
      </c>
      <c r="H97" s="41">
        <f>IFERROR(SUMPRODUCT(tFlag*(1),tUPBf,tCpn)/SUMPRODUCT(tFlag*(1)*ISNUMBER(tCpn),tUPBf),0)</f>
        <v/>
      </c>
      <c r="I97" s="42">
        <f>IFERROR(SUMPRODUCT(tFlag*(1),tUPBf,tUWDSCR)/SUMPRODUCT(tFlag*(1)*ISNUMBER(tUWDSCR),tUPBf),0)</f>
        <v/>
      </c>
      <c r="J97" s="42">
        <f>IFERROR(SUMPRODUCT(tFlag*(1),tUPBf,tCurDSCR)/SUMPRODUCT(tFlag*(1)*ISNUMBER(tCurDSCR),tUPBf),0)</f>
        <v/>
      </c>
      <c r="K97" s="40">
        <f>IFERROR(SUMPRODUCT(tFlag*(1),tUPBf,tUWLTV)/SUMPRODUCT(tFlag*(1)*ISNUMBER(tUWLTV),tUPBf),0)</f>
        <v/>
      </c>
      <c r="L97" s="40">
        <f>IFERROR(SUMPRODUCT(tFlag*(1),tUPBf,tCurLTV)/SUMPRODUCT(tFlag*(1)*ISNUMBER(tCurLTV),tUPBf),0)</f>
        <v/>
      </c>
      <c r="M97" s="40">
        <f>IFERROR(SUMPRODUCT(tFlag*(1),tUPBf,tUWDY)/SUMPRODUCT(tFlag*(1)*ISNUMBER(tUWDY),tUPBf),0)</f>
        <v/>
      </c>
      <c r="N97" s="40">
        <f>IFERROR(SUMPRODUCT(tFlag*(1),tUPBf,tCurDY)/SUMPRODUCT(tFlag*(1)*ISNUMBER(tCurDY),tUPBf),0)</f>
        <v/>
      </c>
      <c r="O97" s="40">
        <f>IFERROR(SUMPRODUCT(tFlag*(1),tUPBf,tOcc)/SUMPRODUCT(tFlag*(1)*ISNUMBER(tOcc),tUPBf),0)</f>
        <v/>
      </c>
      <c r="P97" s="43">
        <f>IFERROR(SUMPRODUCT(tFlag*(1),tUPBf,tRem)/SUMPRODUCT(tFlag*(1)*ISNUMBER(tRem),tUPBf),0)</f>
        <v/>
      </c>
      <c r="Q97" s="40">
        <f>IFERROR(SUMPRODUCT(tFlag*(1),tUPBf,tFIO)/$E97,0)</f>
        <v/>
      </c>
      <c r="R97" s="40">
        <f>IFERROR(SUMPRODUCT(tFlag*(1),tUPBf,tDefF)/$E97,0)</f>
        <v/>
      </c>
      <c r="S97" s="40">
        <f>IFERROR(SUMPRODUCT(tFlag*(1),tUPBf,tSSF)/$E97,0)</f>
        <v/>
      </c>
      <c r="T97" s="40">
        <f>IFERROR(SUMPRODUCT(tFlag*(1),tUPBf,tDQ)/$E97,0)</f>
        <v/>
      </c>
      <c r="U97" s="40">
        <f>IFERROR(SUMPRODUCT(tFlag*(1),tUPBf,tWLF)/$E97,0)</f>
        <v/>
      </c>
    </row>
    <row r="98">
      <c r="B98" s="14" t="inlineStr">
        <is>
          <t>Multi-type portfolios are grouped on the dominant Intex property type; leased fee and parking assets sit in Other / Leased Fee.</t>
        </is>
      </c>
    </row>
    <row r="100" ht="15" customHeight="1">
      <c r="B100" s="2" t="inlineStr">
        <is>
          <t>GEOGRAPHIC DISTRIBUTION (PRIMARY STATE, TOP 15 BY UPB)</t>
        </is>
      </c>
      <c r="C100" s="3" t="n"/>
      <c r="D100" s="3" t="n"/>
      <c r="E100" s="3" t="n"/>
      <c r="F100" s="3" t="n"/>
      <c r="G100" s="3" t="n"/>
      <c r="H100" s="3" t="n"/>
      <c r="I100" s="3" t="n"/>
      <c r="J100" s="3" t="n"/>
      <c r="K100" s="3" t="n"/>
      <c r="L100" s="3" t="n"/>
      <c r="M100" s="3" t="n"/>
      <c r="N100" s="3" t="n"/>
      <c r="O100" s="3" t="n"/>
      <c r="P100" s="3" t="n"/>
      <c r="Q100" s="3" t="n"/>
      <c r="R100" s="3" t="n"/>
      <c r="S100" s="3" t="n"/>
      <c r="T100" s="3" t="n"/>
      <c r="U100" s="3" t="n"/>
    </row>
    <row r="101" ht="39.75" customHeight="1">
      <c r="B101" s="15" t="inlineStr">
        <is>
          <t>Category</t>
        </is>
      </c>
      <c r="C101" s="16" t="inlineStr">
        <is>
          <t>Number of Loans</t>
        </is>
      </c>
      <c r="D101" s="16" t="inlineStr">
        <is>
          <t>% of Loans</t>
        </is>
      </c>
      <c r="E101" s="16" t="inlineStr">
        <is>
          <t>Current UPB</t>
        </is>
      </c>
      <c r="F101" s="16" t="inlineStr">
        <is>
          <t>% of UPB</t>
        </is>
      </c>
      <c r="G101" s="16" t="inlineStr">
        <is>
          <t>Average Loan Size</t>
        </is>
      </c>
      <c r="H101" s="16" t="inlineStr">
        <is>
          <t>Wtd. Avg. Gross Coupon</t>
        </is>
      </c>
      <c r="I101" s="16" t="inlineStr">
        <is>
          <t>Wtd. Avg. UW NCF DSCR</t>
        </is>
      </c>
      <c r="J101" s="16" t="inlineStr">
        <is>
          <t>Wtd. Avg. Current NCF DSCR</t>
        </is>
      </c>
      <c r="K101" s="16" t="inlineStr">
        <is>
          <t>Wtd. Avg. UW LTV</t>
        </is>
      </c>
      <c r="L101" s="16" t="inlineStr">
        <is>
          <t>Wtd. Avg. Current LTV</t>
        </is>
      </c>
      <c r="M101" s="16" t="inlineStr">
        <is>
          <t>Wtd. Avg. UW NCF Debt Yield</t>
        </is>
      </c>
      <c r="N101" s="16" t="inlineStr">
        <is>
          <t>Wtd. Avg. Current NCF Debt Yield</t>
        </is>
      </c>
      <c r="O101" s="16" t="inlineStr">
        <is>
          <t>Wtd. Avg. Current Occupancy</t>
        </is>
      </c>
      <c r="P101" s="16" t="inlineStr">
        <is>
          <t>Wtd. Avg. Rem. Term (Mo.)</t>
        </is>
      </c>
      <c r="Q101" s="16" t="inlineStr">
        <is>
          <t>% Full IO</t>
        </is>
      </c>
      <c r="R101" s="16" t="inlineStr">
        <is>
          <t>% Defeased</t>
        </is>
      </c>
      <c r="S101" s="16" t="inlineStr">
        <is>
          <t>% Currently Specially Serviced</t>
        </is>
      </c>
      <c r="T101" s="16" t="inlineStr">
        <is>
          <t>% 30+ Delinq. / FC / REO</t>
        </is>
      </c>
      <c r="U101" s="16" t="inlineStr">
        <is>
          <t>% On Watchlist</t>
        </is>
      </c>
      <c r="W101" s="44" t="inlineStr">
        <is>
          <t>Category Label</t>
        </is>
      </c>
    </row>
    <row r="102">
      <c r="B102" s="18">
        <f>IF(W102="","",W102&amp;"")</f>
        <v/>
      </c>
      <c r="C102" s="19">
        <f>SUMPRODUCT(tFlag*(tState=$W102))</f>
        <v/>
      </c>
      <c r="D102" s="22">
        <f>IFERROR(C102/sLoans,0)</f>
        <v/>
      </c>
      <c r="E102" s="21">
        <f>SUMPRODUCT(tFlag*(tState=$W102),tUPBf)</f>
        <v/>
      </c>
      <c r="F102" s="22">
        <f>IFERROR(E102/sUPB,0)</f>
        <v/>
      </c>
      <c r="G102" s="21">
        <f>IFERROR(E102/C102,0)</f>
        <v/>
      </c>
      <c r="H102" s="23">
        <f>IFERROR(SUMPRODUCT(tFlag*(tState=$W102),tUPBf,tCpn)/SUMPRODUCT(tFlag*(tState=$W102)*ISNUMBER(tCpn),tUPBf),0)</f>
        <v/>
      </c>
      <c r="I102" s="24">
        <f>IFERROR(SUMPRODUCT(tFlag*(tState=$W102),tUPBf,tUWDSCR)/SUMPRODUCT(tFlag*(tState=$W102)*ISNUMBER(tUWDSCR),tUPBf),0)</f>
        <v/>
      </c>
      <c r="J102" s="24">
        <f>IFERROR(SUMPRODUCT(tFlag*(tState=$W102),tUPBf,tCurDSCR)/SUMPRODUCT(tFlag*(tState=$W102)*ISNUMBER(tCurDSCR),tUPBf),0)</f>
        <v/>
      </c>
      <c r="K102" s="22">
        <f>IFERROR(SUMPRODUCT(tFlag*(tState=$W102),tUPBf,tUWLTV)/SUMPRODUCT(tFlag*(tState=$W102)*ISNUMBER(tUWLTV),tUPBf),0)</f>
        <v/>
      </c>
      <c r="L102" s="22">
        <f>IFERROR(SUMPRODUCT(tFlag*(tState=$W102),tUPBf,tCurLTV)/SUMPRODUCT(tFlag*(tState=$W102)*ISNUMBER(tCurLTV),tUPBf),0)</f>
        <v/>
      </c>
      <c r="M102" s="22">
        <f>IFERROR(SUMPRODUCT(tFlag*(tState=$W102),tUPBf,tUWDY)/SUMPRODUCT(tFlag*(tState=$W102)*ISNUMBER(tUWDY),tUPBf),0)</f>
        <v/>
      </c>
      <c r="N102" s="22">
        <f>IFERROR(SUMPRODUCT(tFlag*(tState=$W102),tUPBf,tCurDY)/SUMPRODUCT(tFlag*(tState=$W102)*ISNUMBER(tCurDY),tUPBf),0)</f>
        <v/>
      </c>
      <c r="O102" s="22">
        <f>IFERROR(SUMPRODUCT(tFlag*(tState=$W102),tUPBf,tOcc)/SUMPRODUCT(tFlag*(tState=$W102)*ISNUMBER(tOcc),tUPBf),0)</f>
        <v/>
      </c>
      <c r="P102" s="45">
        <f>IFERROR(SUMPRODUCT(tFlag*(tState=$W102),tUPBf,tRem)/SUMPRODUCT(tFlag*(tState=$W102)*ISNUMBER(tRem),tUPBf),0)</f>
        <v/>
      </c>
      <c r="Q102" s="22">
        <f>IFERROR(SUMPRODUCT(tFlag*(tState=$W102),tUPBf,tFIO)/$E102,0)</f>
        <v/>
      </c>
      <c r="R102" s="22">
        <f>IFERROR(SUMPRODUCT(tFlag*(tState=$W102),tUPBf,tDefF)/$E102,0)</f>
        <v/>
      </c>
      <c r="S102" s="22">
        <f>IFERROR(SUMPRODUCT(tFlag*(tState=$W102),tUPBf,tSSF)/$E102,0)</f>
        <v/>
      </c>
      <c r="T102" s="22">
        <f>IFERROR(SUMPRODUCT(tFlag*(tState=$W102),tUPBf,tDQ)/$E102,0)</f>
        <v/>
      </c>
      <c r="U102" s="22">
        <f>IFERROR(SUMPRODUCT(tFlag*(tState=$W102),tUPBf,tWLF)/$E102,0)</f>
        <v/>
      </c>
      <c r="W102" s="18">
        <f>IF(LARGE(stKey,1)=0,"",INDEX(stList,MATCH(LARGE(stKey,1),stKey,0)))</f>
        <v/>
      </c>
    </row>
    <row r="103">
      <c r="B103" s="27">
        <f>IF(W103="","",W103&amp;"")</f>
        <v/>
      </c>
      <c r="C103" s="28">
        <f>SUMPRODUCT(tFlag*(tState=$W103))</f>
        <v/>
      </c>
      <c r="D103" s="31">
        <f>IFERROR(C103/sLoans,0)</f>
        <v/>
      </c>
      <c r="E103" s="30">
        <f>SUMPRODUCT(tFlag*(tState=$W103),tUPBf)</f>
        <v/>
      </c>
      <c r="F103" s="31">
        <f>IFERROR(E103/sUPB,0)</f>
        <v/>
      </c>
      <c r="G103" s="30">
        <f>IFERROR(E103/C103,0)</f>
        <v/>
      </c>
      <c r="H103" s="32">
        <f>IFERROR(SUMPRODUCT(tFlag*(tState=$W103),tUPBf,tCpn)/SUMPRODUCT(tFlag*(tState=$W103)*ISNUMBER(tCpn),tUPBf),0)</f>
        <v/>
      </c>
      <c r="I103" s="33">
        <f>IFERROR(SUMPRODUCT(tFlag*(tState=$W103),tUPBf,tUWDSCR)/SUMPRODUCT(tFlag*(tState=$W103)*ISNUMBER(tUWDSCR),tUPBf),0)</f>
        <v/>
      </c>
      <c r="J103" s="33">
        <f>IFERROR(SUMPRODUCT(tFlag*(tState=$W103),tUPBf,tCurDSCR)/SUMPRODUCT(tFlag*(tState=$W103)*ISNUMBER(tCurDSCR),tUPBf),0)</f>
        <v/>
      </c>
      <c r="K103" s="31">
        <f>IFERROR(SUMPRODUCT(tFlag*(tState=$W103),tUPBf,tUWLTV)/SUMPRODUCT(tFlag*(tState=$W103)*ISNUMBER(tUWLTV),tUPBf),0)</f>
        <v/>
      </c>
      <c r="L103" s="31">
        <f>IFERROR(SUMPRODUCT(tFlag*(tState=$W103),tUPBf,tCurLTV)/SUMPRODUCT(tFlag*(tState=$W103)*ISNUMBER(tCurLTV),tUPBf),0)</f>
        <v/>
      </c>
      <c r="M103" s="31">
        <f>IFERROR(SUMPRODUCT(tFlag*(tState=$W103),tUPBf,tUWDY)/SUMPRODUCT(tFlag*(tState=$W103)*ISNUMBER(tUWDY),tUPBf),0)</f>
        <v/>
      </c>
      <c r="N103" s="31">
        <f>IFERROR(SUMPRODUCT(tFlag*(tState=$W103),tUPBf,tCurDY)/SUMPRODUCT(tFlag*(tState=$W103)*ISNUMBER(tCurDY),tUPBf),0)</f>
        <v/>
      </c>
      <c r="O103" s="31">
        <f>IFERROR(SUMPRODUCT(tFlag*(tState=$W103),tUPBf,tOcc)/SUMPRODUCT(tFlag*(tState=$W103)*ISNUMBER(tOcc),tUPBf),0)</f>
        <v/>
      </c>
      <c r="P103" s="47">
        <f>IFERROR(SUMPRODUCT(tFlag*(tState=$W103),tUPBf,tRem)/SUMPRODUCT(tFlag*(tState=$W103)*ISNUMBER(tRem),tUPBf),0)</f>
        <v/>
      </c>
      <c r="Q103" s="31">
        <f>IFERROR(SUMPRODUCT(tFlag*(tState=$W103),tUPBf,tFIO)/$E103,0)</f>
        <v/>
      </c>
      <c r="R103" s="31">
        <f>IFERROR(SUMPRODUCT(tFlag*(tState=$W103),tUPBf,tDefF)/$E103,0)</f>
        <v/>
      </c>
      <c r="S103" s="31">
        <f>IFERROR(SUMPRODUCT(tFlag*(tState=$W103),tUPBf,tSSF)/$E103,0)</f>
        <v/>
      </c>
      <c r="T103" s="31">
        <f>IFERROR(SUMPRODUCT(tFlag*(tState=$W103),tUPBf,tDQ)/$E103,0)</f>
        <v/>
      </c>
      <c r="U103" s="31">
        <f>IFERROR(SUMPRODUCT(tFlag*(tState=$W103),tUPBf,tWLF)/$E103,0)</f>
        <v/>
      </c>
      <c r="W103" s="18">
        <f>IF(LARGE(stKey,2)=0,"",INDEX(stList,MATCH(LARGE(stKey,2),stKey,0)))</f>
        <v/>
      </c>
    </row>
    <row r="104">
      <c r="B104" s="18">
        <f>IF(W104="","",W104&amp;"")</f>
        <v/>
      </c>
      <c r="C104" s="19">
        <f>SUMPRODUCT(tFlag*(tState=$W104))</f>
        <v/>
      </c>
      <c r="D104" s="22">
        <f>IFERROR(C104/sLoans,0)</f>
        <v/>
      </c>
      <c r="E104" s="21">
        <f>SUMPRODUCT(tFlag*(tState=$W104),tUPBf)</f>
        <v/>
      </c>
      <c r="F104" s="22">
        <f>IFERROR(E104/sUPB,0)</f>
        <v/>
      </c>
      <c r="G104" s="21">
        <f>IFERROR(E104/C104,0)</f>
        <v/>
      </c>
      <c r="H104" s="23">
        <f>IFERROR(SUMPRODUCT(tFlag*(tState=$W104),tUPBf,tCpn)/SUMPRODUCT(tFlag*(tState=$W104)*ISNUMBER(tCpn),tUPBf),0)</f>
        <v/>
      </c>
      <c r="I104" s="24">
        <f>IFERROR(SUMPRODUCT(tFlag*(tState=$W104),tUPBf,tUWDSCR)/SUMPRODUCT(tFlag*(tState=$W104)*ISNUMBER(tUWDSCR),tUPBf),0)</f>
        <v/>
      </c>
      <c r="J104" s="24">
        <f>IFERROR(SUMPRODUCT(tFlag*(tState=$W104),tUPBf,tCurDSCR)/SUMPRODUCT(tFlag*(tState=$W104)*ISNUMBER(tCurDSCR),tUPBf),0)</f>
        <v/>
      </c>
      <c r="K104" s="22">
        <f>IFERROR(SUMPRODUCT(tFlag*(tState=$W104),tUPBf,tUWLTV)/SUMPRODUCT(tFlag*(tState=$W104)*ISNUMBER(tUWLTV),tUPBf),0)</f>
        <v/>
      </c>
      <c r="L104" s="22">
        <f>IFERROR(SUMPRODUCT(tFlag*(tState=$W104),tUPBf,tCurLTV)/SUMPRODUCT(tFlag*(tState=$W104)*ISNUMBER(tCurLTV),tUPBf),0)</f>
        <v/>
      </c>
      <c r="M104" s="22">
        <f>IFERROR(SUMPRODUCT(tFlag*(tState=$W104),tUPBf,tUWDY)/SUMPRODUCT(tFlag*(tState=$W104)*ISNUMBER(tUWDY),tUPBf),0)</f>
        <v/>
      </c>
      <c r="N104" s="22">
        <f>IFERROR(SUMPRODUCT(tFlag*(tState=$W104),tUPBf,tCurDY)/SUMPRODUCT(tFlag*(tState=$W104)*ISNUMBER(tCurDY),tUPBf),0)</f>
        <v/>
      </c>
      <c r="O104" s="22">
        <f>IFERROR(SUMPRODUCT(tFlag*(tState=$W104),tUPBf,tOcc)/SUMPRODUCT(tFlag*(tState=$W104)*ISNUMBER(tOcc),tUPBf),0)</f>
        <v/>
      </c>
      <c r="P104" s="45">
        <f>IFERROR(SUMPRODUCT(tFlag*(tState=$W104),tUPBf,tRem)/SUMPRODUCT(tFlag*(tState=$W104)*ISNUMBER(tRem),tUPBf),0)</f>
        <v/>
      </c>
      <c r="Q104" s="22">
        <f>IFERROR(SUMPRODUCT(tFlag*(tState=$W104),tUPBf,tFIO)/$E104,0)</f>
        <v/>
      </c>
      <c r="R104" s="22">
        <f>IFERROR(SUMPRODUCT(tFlag*(tState=$W104),tUPBf,tDefF)/$E104,0)</f>
        <v/>
      </c>
      <c r="S104" s="22">
        <f>IFERROR(SUMPRODUCT(tFlag*(tState=$W104),tUPBf,tSSF)/$E104,0)</f>
        <v/>
      </c>
      <c r="T104" s="22">
        <f>IFERROR(SUMPRODUCT(tFlag*(tState=$W104),tUPBf,tDQ)/$E104,0)</f>
        <v/>
      </c>
      <c r="U104" s="22">
        <f>IFERROR(SUMPRODUCT(tFlag*(tState=$W104),tUPBf,tWLF)/$E104,0)</f>
        <v/>
      </c>
      <c r="W104" s="18">
        <f>IF(LARGE(stKey,3)=0,"",INDEX(stList,MATCH(LARGE(stKey,3),stKey,0)))</f>
        <v/>
      </c>
    </row>
    <row r="105">
      <c r="B105" s="27">
        <f>IF(W105="","",W105&amp;"")</f>
        <v/>
      </c>
      <c r="C105" s="28">
        <f>SUMPRODUCT(tFlag*(tState=$W105))</f>
        <v/>
      </c>
      <c r="D105" s="31">
        <f>IFERROR(C105/sLoans,0)</f>
        <v/>
      </c>
      <c r="E105" s="30">
        <f>SUMPRODUCT(tFlag*(tState=$W105),tUPBf)</f>
        <v/>
      </c>
      <c r="F105" s="31">
        <f>IFERROR(E105/sUPB,0)</f>
        <v/>
      </c>
      <c r="G105" s="30">
        <f>IFERROR(E105/C105,0)</f>
        <v/>
      </c>
      <c r="H105" s="32">
        <f>IFERROR(SUMPRODUCT(tFlag*(tState=$W105),tUPBf,tCpn)/SUMPRODUCT(tFlag*(tState=$W105)*ISNUMBER(tCpn),tUPBf),0)</f>
        <v/>
      </c>
      <c r="I105" s="33">
        <f>IFERROR(SUMPRODUCT(tFlag*(tState=$W105),tUPBf,tUWDSCR)/SUMPRODUCT(tFlag*(tState=$W105)*ISNUMBER(tUWDSCR),tUPBf),0)</f>
        <v/>
      </c>
      <c r="J105" s="33">
        <f>IFERROR(SUMPRODUCT(tFlag*(tState=$W105),tUPBf,tCurDSCR)/SUMPRODUCT(tFlag*(tState=$W105)*ISNUMBER(tCurDSCR),tUPBf),0)</f>
        <v/>
      </c>
      <c r="K105" s="31">
        <f>IFERROR(SUMPRODUCT(tFlag*(tState=$W105),tUPBf,tUWLTV)/SUMPRODUCT(tFlag*(tState=$W105)*ISNUMBER(tUWLTV),tUPBf),0)</f>
        <v/>
      </c>
      <c r="L105" s="31">
        <f>IFERROR(SUMPRODUCT(tFlag*(tState=$W105),tUPBf,tCurLTV)/SUMPRODUCT(tFlag*(tState=$W105)*ISNUMBER(tCurLTV),tUPBf),0)</f>
        <v/>
      </c>
      <c r="M105" s="31">
        <f>IFERROR(SUMPRODUCT(tFlag*(tState=$W105),tUPBf,tUWDY)/SUMPRODUCT(tFlag*(tState=$W105)*ISNUMBER(tUWDY),tUPBf),0)</f>
        <v/>
      </c>
      <c r="N105" s="31">
        <f>IFERROR(SUMPRODUCT(tFlag*(tState=$W105),tUPBf,tCurDY)/SUMPRODUCT(tFlag*(tState=$W105)*ISNUMBER(tCurDY),tUPBf),0)</f>
        <v/>
      </c>
      <c r="O105" s="31">
        <f>IFERROR(SUMPRODUCT(tFlag*(tState=$W105),tUPBf,tOcc)/SUMPRODUCT(tFlag*(tState=$W105)*ISNUMBER(tOcc),tUPBf),0)</f>
        <v/>
      </c>
      <c r="P105" s="47">
        <f>IFERROR(SUMPRODUCT(tFlag*(tState=$W105),tUPBf,tRem)/SUMPRODUCT(tFlag*(tState=$W105)*ISNUMBER(tRem),tUPBf),0)</f>
        <v/>
      </c>
      <c r="Q105" s="31">
        <f>IFERROR(SUMPRODUCT(tFlag*(tState=$W105),tUPBf,tFIO)/$E105,0)</f>
        <v/>
      </c>
      <c r="R105" s="31">
        <f>IFERROR(SUMPRODUCT(tFlag*(tState=$W105),tUPBf,tDefF)/$E105,0)</f>
        <v/>
      </c>
      <c r="S105" s="31">
        <f>IFERROR(SUMPRODUCT(tFlag*(tState=$W105),tUPBf,tSSF)/$E105,0)</f>
        <v/>
      </c>
      <c r="T105" s="31">
        <f>IFERROR(SUMPRODUCT(tFlag*(tState=$W105),tUPBf,tDQ)/$E105,0)</f>
        <v/>
      </c>
      <c r="U105" s="31">
        <f>IFERROR(SUMPRODUCT(tFlag*(tState=$W105),tUPBf,tWLF)/$E105,0)</f>
        <v/>
      </c>
      <c r="W105" s="18">
        <f>IF(LARGE(stKey,4)=0,"",INDEX(stList,MATCH(LARGE(stKey,4),stKey,0)))</f>
        <v/>
      </c>
    </row>
    <row r="106">
      <c r="B106" s="18">
        <f>IF(W106="","",W106&amp;"")</f>
        <v/>
      </c>
      <c r="C106" s="19">
        <f>SUMPRODUCT(tFlag*(tState=$W106))</f>
        <v/>
      </c>
      <c r="D106" s="22">
        <f>IFERROR(C106/sLoans,0)</f>
        <v/>
      </c>
      <c r="E106" s="21">
        <f>SUMPRODUCT(tFlag*(tState=$W106),tUPBf)</f>
        <v/>
      </c>
      <c r="F106" s="22">
        <f>IFERROR(E106/sUPB,0)</f>
        <v/>
      </c>
      <c r="G106" s="21">
        <f>IFERROR(E106/C106,0)</f>
        <v/>
      </c>
      <c r="H106" s="23">
        <f>IFERROR(SUMPRODUCT(tFlag*(tState=$W106),tUPBf,tCpn)/SUMPRODUCT(tFlag*(tState=$W106)*ISNUMBER(tCpn),tUPBf),0)</f>
        <v/>
      </c>
      <c r="I106" s="24">
        <f>IFERROR(SUMPRODUCT(tFlag*(tState=$W106),tUPBf,tUWDSCR)/SUMPRODUCT(tFlag*(tState=$W106)*ISNUMBER(tUWDSCR),tUPBf),0)</f>
        <v/>
      </c>
      <c r="J106" s="24">
        <f>IFERROR(SUMPRODUCT(tFlag*(tState=$W106),tUPBf,tCurDSCR)/SUMPRODUCT(tFlag*(tState=$W106)*ISNUMBER(tCurDSCR),tUPBf),0)</f>
        <v/>
      </c>
      <c r="K106" s="22">
        <f>IFERROR(SUMPRODUCT(tFlag*(tState=$W106),tUPBf,tUWLTV)/SUMPRODUCT(tFlag*(tState=$W106)*ISNUMBER(tUWLTV),tUPBf),0)</f>
        <v/>
      </c>
      <c r="L106" s="22">
        <f>IFERROR(SUMPRODUCT(tFlag*(tState=$W106),tUPBf,tCurLTV)/SUMPRODUCT(tFlag*(tState=$W106)*ISNUMBER(tCurLTV),tUPBf),0)</f>
        <v/>
      </c>
      <c r="M106" s="22">
        <f>IFERROR(SUMPRODUCT(tFlag*(tState=$W106),tUPBf,tUWDY)/SUMPRODUCT(tFlag*(tState=$W106)*ISNUMBER(tUWDY),tUPBf),0)</f>
        <v/>
      </c>
      <c r="N106" s="22">
        <f>IFERROR(SUMPRODUCT(tFlag*(tState=$W106),tUPBf,tCurDY)/SUMPRODUCT(tFlag*(tState=$W106)*ISNUMBER(tCurDY),tUPBf),0)</f>
        <v/>
      </c>
      <c r="O106" s="22">
        <f>IFERROR(SUMPRODUCT(tFlag*(tState=$W106),tUPBf,tOcc)/SUMPRODUCT(tFlag*(tState=$W106)*ISNUMBER(tOcc),tUPBf),0)</f>
        <v/>
      </c>
      <c r="P106" s="45">
        <f>IFERROR(SUMPRODUCT(tFlag*(tState=$W106),tUPBf,tRem)/SUMPRODUCT(tFlag*(tState=$W106)*ISNUMBER(tRem),tUPBf),0)</f>
        <v/>
      </c>
      <c r="Q106" s="22">
        <f>IFERROR(SUMPRODUCT(tFlag*(tState=$W106),tUPBf,tFIO)/$E106,0)</f>
        <v/>
      </c>
      <c r="R106" s="22">
        <f>IFERROR(SUMPRODUCT(tFlag*(tState=$W106),tUPBf,tDefF)/$E106,0)</f>
        <v/>
      </c>
      <c r="S106" s="22">
        <f>IFERROR(SUMPRODUCT(tFlag*(tState=$W106),tUPBf,tSSF)/$E106,0)</f>
        <v/>
      </c>
      <c r="T106" s="22">
        <f>IFERROR(SUMPRODUCT(tFlag*(tState=$W106),tUPBf,tDQ)/$E106,0)</f>
        <v/>
      </c>
      <c r="U106" s="22">
        <f>IFERROR(SUMPRODUCT(tFlag*(tState=$W106),tUPBf,tWLF)/$E106,0)</f>
        <v/>
      </c>
      <c r="W106" s="18">
        <f>IF(LARGE(stKey,5)=0,"",INDEX(stList,MATCH(LARGE(stKey,5),stKey,0)))</f>
        <v/>
      </c>
    </row>
    <row r="107">
      <c r="B107" s="27">
        <f>IF(W107="","",W107&amp;"")</f>
        <v/>
      </c>
      <c r="C107" s="28">
        <f>SUMPRODUCT(tFlag*(tState=$W107))</f>
        <v/>
      </c>
      <c r="D107" s="31">
        <f>IFERROR(C107/sLoans,0)</f>
        <v/>
      </c>
      <c r="E107" s="30">
        <f>SUMPRODUCT(tFlag*(tState=$W107),tUPBf)</f>
        <v/>
      </c>
      <c r="F107" s="31">
        <f>IFERROR(E107/sUPB,0)</f>
        <v/>
      </c>
      <c r="G107" s="30">
        <f>IFERROR(E107/C107,0)</f>
        <v/>
      </c>
      <c r="H107" s="32">
        <f>IFERROR(SUMPRODUCT(tFlag*(tState=$W107),tUPBf,tCpn)/SUMPRODUCT(tFlag*(tState=$W107)*ISNUMBER(tCpn),tUPBf),0)</f>
        <v/>
      </c>
      <c r="I107" s="33">
        <f>IFERROR(SUMPRODUCT(tFlag*(tState=$W107),tUPBf,tUWDSCR)/SUMPRODUCT(tFlag*(tState=$W107)*ISNUMBER(tUWDSCR),tUPBf),0)</f>
        <v/>
      </c>
      <c r="J107" s="33">
        <f>IFERROR(SUMPRODUCT(tFlag*(tState=$W107),tUPBf,tCurDSCR)/SUMPRODUCT(tFlag*(tState=$W107)*ISNUMBER(tCurDSCR),tUPBf),0)</f>
        <v/>
      </c>
      <c r="K107" s="31">
        <f>IFERROR(SUMPRODUCT(tFlag*(tState=$W107),tUPBf,tUWLTV)/SUMPRODUCT(tFlag*(tState=$W107)*ISNUMBER(tUWLTV),tUPBf),0)</f>
        <v/>
      </c>
      <c r="L107" s="31">
        <f>IFERROR(SUMPRODUCT(tFlag*(tState=$W107),tUPBf,tCurLTV)/SUMPRODUCT(tFlag*(tState=$W107)*ISNUMBER(tCurLTV),tUPBf),0)</f>
        <v/>
      </c>
      <c r="M107" s="31">
        <f>IFERROR(SUMPRODUCT(tFlag*(tState=$W107),tUPBf,tUWDY)/SUMPRODUCT(tFlag*(tState=$W107)*ISNUMBER(tUWDY),tUPBf),0)</f>
        <v/>
      </c>
      <c r="N107" s="31">
        <f>IFERROR(SUMPRODUCT(tFlag*(tState=$W107),tUPBf,tCurDY)/SUMPRODUCT(tFlag*(tState=$W107)*ISNUMBER(tCurDY),tUPBf),0)</f>
        <v/>
      </c>
      <c r="O107" s="31">
        <f>IFERROR(SUMPRODUCT(tFlag*(tState=$W107),tUPBf,tOcc)/SUMPRODUCT(tFlag*(tState=$W107)*ISNUMBER(tOcc),tUPBf),0)</f>
        <v/>
      </c>
      <c r="P107" s="47">
        <f>IFERROR(SUMPRODUCT(tFlag*(tState=$W107),tUPBf,tRem)/SUMPRODUCT(tFlag*(tState=$W107)*ISNUMBER(tRem),tUPBf),0)</f>
        <v/>
      </c>
      <c r="Q107" s="31">
        <f>IFERROR(SUMPRODUCT(tFlag*(tState=$W107),tUPBf,tFIO)/$E107,0)</f>
        <v/>
      </c>
      <c r="R107" s="31">
        <f>IFERROR(SUMPRODUCT(tFlag*(tState=$W107),tUPBf,tDefF)/$E107,0)</f>
        <v/>
      </c>
      <c r="S107" s="31">
        <f>IFERROR(SUMPRODUCT(tFlag*(tState=$W107),tUPBf,tSSF)/$E107,0)</f>
        <v/>
      </c>
      <c r="T107" s="31">
        <f>IFERROR(SUMPRODUCT(tFlag*(tState=$W107),tUPBf,tDQ)/$E107,0)</f>
        <v/>
      </c>
      <c r="U107" s="31">
        <f>IFERROR(SUMPRODUCT(tFlag*(tState=$W107),tUPBf,tWLF)/$E107,0)</f>
        <v/>
      </c>
      <c r="W107" s="18">
        <f>IF(LARGE(stKey,6)=0,"",INDEX(stList,MATCH(LARGE(stKey,6),stKey,0)))</f>
        <v/>
      </c>
    </row>
    <row r="108">
      <c r="B108" s="18">
        <f>IF(W108="","",W108&amp;"")</f>
        <v/>
      </c>
      <c r="C108" s="19">
        <f>SUMPRODUCT(tFlag*(tState=$W108))</f>
        <v/>
      </c>
      <c r="D108" s="22">
        <f>IFERROR(C108/sLoans,0)</f>
        <v/>
      </c>
      <c r="E108" s="21">
        <f>SUMPRODUCT(tFlag*(tState=$W108),tUPBf)</f>
        <v/>
      </c>
      <c r="F108" s="22">
        <f>IFERROR(E108/sUPB,0)</f>
        <v/>
      </c>
      <c r="G108" s="21">
        <f>IFERROR(E108/C108,0)</f>
        <v/>
      </c>
      <c r="H108" s="23">
        <f>IFERROR(SUMPRODUCT(tFlag*(tState=$W108),tUPBf,tCpn)/SUMPRODUCT(tFlag*(tState=$W108)*ISNUMBER(tCpn),tUPBf),0)</f>
        <v/>
      </c>
      <c r="I108" s="24">
        <f>IFERROR(SUMPRODUCT(tFlag*(tState=$W108),tUPBf,tUWDSCR)/SUMPRODUCT(tFlag*(tState=$W108)*ISNUMBER(tUWDSCR),tUPBf),0)</f>
        <v/>
      </c>
      <c r="J108" s="24">
        <f>IFERROR(SUMPRODUCT(tFlag*(tState=$W108),tUPBf,tCurDSCR)/SUMPRODUCT(tFlag*(tState=$W108)*ISNUMBER(tCurDSCR),tUPBf),0)</f>
        <v/>
      </c>
      <c r="K108" s="22">
        <f>IFERROR(SUMPRODUCT(tFlag*(tState=$W108),tUPBf,tUWLTV)/SUMPRODUCT(tFlag*(tState=$W108)*ISNUMBER(tUWLTV),tUPBf),0)</f>
        <v/>
      </c>
      <c r="L108" s="22">
        <f>IFERROR(SUMPRODUCT(tFlag*(tState=$W108),tUPBf,tCurLTV)/SUMPRODUCT(tFlag*(tState=$W108)*ISNUMBER(tCurLTV),tUPBf),0)</f>
        <v/>
      </c>
      <c r="M108" s="22">
        <f>IFERROR(SUMPRODUCT(tFlag*(tState=$W108),tUPBf,tUWDY)/SUMPRODUCT(tFlag*(tState=$W108)*ISNUMBER(tUWDY),tUPBf),0)</f>
        <v/>
      </c>
      <c r="N108" s="22">
        <f>IFERROR(SUMPRODUCT(tFlag*(tState=$W108),tUPBf,tCurDY)/SUMPRODUCT(tFlag*(tState=$W108)*ISNUMBER(tCurDY),tUPBf),0)</f>
        <v/>
      </c>
      <c r="O108" s="22">
        <f>IFERROR(SUMPRODUCT(tFlag*(tState=$W108),tUPBf,tOcc)/SUMPRODUCT(tFlag*(tState=$W108)*ISNUMBER(tOcc),tUPBf),0)</f>
        <v/>
      </c>
      <c r="P108" s="45">
        <f>IFERROR(SUMPRODUCT(tFlag*(tState=$W108),tUPBf,tRem)/SUMPRODUCT(tFlag*(tState=$W108)*ISNUMBER(tRem),tUPBf),0)</f>
        <v/>
      </c>
      <c r="Q108" s="22">
        <f>IFERROR(SUMPRODUCT(tFlag*(tState=$W108),tUPBf,tFIO)/$E108,0)</f>
        <v/>
      </c>
      <c r="R108" s="22">
        <f>IFERROR(SUMPRODUCT(tFlag*(tState=$W108),tUPBf,tDefF)/$E108,0)</f>
        <v/>
      </c>
      <c r="S108" s="22">
        <f>IFERROR(SUMPRODUCT(tFlag*(tState=$W108),tUPBf,tSSF)/$E108,0)</f>
        <v/>
      </c>
      <c r="T108" s="22">
        <f>IFERROR(SUMPRODUCT(tFlag*(tState=$W108),tUPBf,tDQ)/$E108,0)</f>
        <v/>
      </c>
      <c r="U108" s="22">
        <f>IFERROR(SUMPRODUCT(tFlag*(tState=$W108),tUPBf,tWLF)/$E108,0)</f>
        <v/>
      </c>
      <c r="W108" s="18">
        <f>IF(LARGE(stKey,7)=0,"",INDEX(stList,MATCH(LARGE(stKey,7),stKey,0)))</f>
        <v/>
      </c>
    </row>
    <row r="109">
      <c r="B109" s="27">
        <f>IF(W109="","",W109&amp;"")</f>
        <v/>
      </c>
      <c r="C109" s="28">
        <f>SUMPRODUCT(tFlag*(tState=$W109))</f>
        <v/>
      </c>
      <c r="D109" s="31">
        <f>IFERROR(C109/sLoans,0)</f>
        <v/>
      </c>
      <c r="E109" s="30">
        <f>SUMPRODUCT(tFlag*(tState=$W109),tUPBf)</f>
        <v/>
      </c>
      <c r="F109" s="31">
        <f>IFERROR(E109/sUPB,0)</f>
        <v/>
      </c>
      <c r="G109" s="30">
        <f>IFERROR(E109/C109,0)</f>
        <v/>
      </c>
      <c r="H109" s="32">
        <f>IFERROR(SUMPRODUCT(tFlag*(tState=$W109),tUPBf,tCpn)/SUMPRODUCT(tFlag*(tState=$W109)*ISNUMBER(tCpn),tUPBf),0)</f>
        <v/>
      </c>
      <c r="I109" s="33">
        <f>IFERROR(SUMPRODUCT(tFlag*(tState=$W109),tUPBf,tUWDSCR)/SUMPRODUCT(tFlag*(tState=$W109)*ISNUMBER(tUWDSCR),tUPBf),0)</f>
        <v/>
      </c>
      <c r="J109" s="33">
        <f>IFERROR(SUMPRODUCT(tFlag*(tState=$W109),tUPBf,tCurDSCR)/SUMPRODUCT(tFlag*(tState=$W109)*ISNUMBER(tCurDSCR),tUPBf),0)</f>
        <v/>
      </c>
      <c r="K109" s="31">
        <f>IFERROR(SUMPRODUCT(tFlag*(tState=$W109),tUPBf,tUWLTV)/SUMPRODUCT(tFlag*(tState=$W109)*ISNUMBER(tUWLTV),tUPBf),0)</f>
        <v/>
      </c>
      <c r="L109" s="31">
        <f>IFERROR(SUMPRODUCT(tFlag*(tState=$W109),tUPBf,tCurLTV)/SUMPRODUCT(tFlag*(tState=$W109)*ISNUMBER(tCurLTV),tUPBf),0)</f>
        <v/>
      </c>
      <c r="M109" s="31">
        <f>IFERROR(SUMPRODUCT(tFlag*(tState=$W109),tUPBf,tUWDY)/SUMPRODUCT(tFlag*(tState=$W109)*ISNUMBER(tUWDY),tUPBf),0)</f>
        <v/>
      </c>
      <c r="N109" s="31">
        <f>IFERROR(SUMPRODUCT(tFlag*(tState=$W109),tUPBf,tCurDY)/SUMPRODUCT(tFlag*(tState=$W109)*ISNUMBER(tCurDY),tUPBf),0)</f>
        <v/>
      </c>
      <c r="O109" s="31">
        <f>IFERROR(SUMPRODUCT(tFlag*(tState=$W109),tUPBf,tOcc)/SUMPRODUCT(tFlag*(tState=$W109)*ISNUMBER(tOcc),tUPBf),0)</f>
        <v/>
      </c>
      <c r="P109" s="47">
        <f>IFERROR(SUMPRODUCT(tFlag*(tState=$W109),tUPBf,tRem)/SUMPRODUCT(tFlag*(tState=$W109)*ISNUMBER(tRem),tUPBf),0)</f>
        <v/>
      </c>
      <c r="Q109" s="31">
        <f>IFERROR(SUMPRODUCT(tFlag*(tState=$W109),tUPBf,tFIO)/$E109,0)</f>
        <v/>
      </c>
      <c r="R109" s="31">
        <f>IFERROR(SUMPRODUCT(tFlag*(tState=$W109),tUPBf,tDefF)/$E109,0)</f>
        <v/>
      </c>
      <c r="S109" s="31">
        <f>IFERROR(SUMPRODUCT(tFlag*(tState=$W109),tUPBf,tSSF)/$E109,0)</f>
        <v/>
      </c>
      <c r="T109" s="31">
        <f>IFERROR(SUMPRODUCT(tFlag*(tState=$W109),tUPBf,tDQ)/$E109,0)</f>
        <v/>
      </c>
      <c r="U109" s="31">
        <f>IFERROR(SUMPRODUCT(tFlag*(tState=$W109),tUPBf,tWLF)/$E109,0)</f>
        <v/>
      </c>
      <c r="W109" s="18">
        <f>IF(LARGE(stKey,8)=0,"",INDEX(stList,MATCH(LARGE(stKey,8),stKey,0)))</f>
        <v/>
      </c>
    </row>
    <row r="110">
      <c r="B110" s="18">
        <f>IF(W110="","",W110&amp;"")</f>
        <v/>
      </c>
      <c r="C110" s="19">
        <f>SUMPRODUCT(tFlag*(tState=$W110))</f>
        <v/>
      </c>
      <c r="D110" s="22">
        <f>IFERROR(C110/sLoans,0)</f>
        <v/>
      </c>
      <c r="E110" s="21">
        <f>SUMPRODUCT(tFlag*(tState=$W110),tUPBf)</f>
        <v/>
      </c>
      <c r="F110" s="22">
        <f>IFERROR(E110/sUPB,0)</f>
        <v/>
      </c>
      <c r="G110" s="21">
        <f>IFERROR(E110/C110,0)</f>
        <v/>
      </c>
      <c r="H110" s="23">
        <f>IFERROR(SUMPRODUCT(tFlag*(tState=$W110),tUPBf,tCpn)/SUMPRODUCT(tFlag*(tState=$W110)*ISNUMBER(tCpn),tUPBf),0)</f>
        <v/>
      </c>
      <c r="I110" s="24">
        <f>IFERROR(SUMPRODUCT(tFlag*(tState=$W110),tUPBf,tUWDSCR)/SUMPRODUCT(tFlag*(tState=$W110)*ISNUMBER(tUWDSCR),tUPBf),0)</f>
        <v/>
      </c>
      <c r="J110" s="24">
        <f>IFERROR(SUMPRODUCT(tFlag*(tState=$W110),tUPBf,tCurDSCR)/SUMPRODUCT(tFlag*(tState=$W110)*ISNUMBER(tCurDSCR),tUPBf),0)</f>
        <v/>
      </c>
      <c r="K110" s="22">
        <f>IFERROR(SUMPRODUCT(tFlag*(tState=$W110),tUPBf,tUWLTV)/SUMPRODUCT(tFlag*(tState=$W110)*ISNUMBER(tUWLTV),tUPBf),0)</f>
        <v/>
      </c>
      <c r="L110" s="22">
        <f>IFERROR(SUMPRODUCT(tFlag*(tState=$W110),tUPBf,tCurLTV)/SUMPRODUCT(tFlag*(tState=$W110)*ISNUMBER(tCurLTV),tUPBf),0)</f>
        <v/>
      </c>
      <c r="M110" s="22">
        <f>IFERROR(SUMPRODUCT(tFlag*(tState=$W110),tUPBf,tUWDY)/SUMPRODUCT(tFlag*(tState=$W110)*ISNUMBER(tUWDY),tUPBf),0)</f>
        <v/>
      </c>
      <c r="N110" s="22">
        <f>IFERROR(SUMPRODUCT(tFlag*(tState=$W110),tUPBf,tCurDY)/SUMPRODUCT(tFlag*(tState=$W110)*ISNUMBER(tCurDY),tUPBf),0)</f>
        <v/>
      </c>
      <c r="O110" s="22">
        <f>IFERROR(SUMPRODUCT(tFlag*(tState=$W110),tUPBf,tOcc)/SUMPRODUCT(tFlag*(tState=$W110)*ISNUMBER(tOcc),tUPBf),0)</f>
        <v/>
      </c>
      <c r="P110" s="45">
        <f>IFERROR(SUMPRODUCT(tFlag*(tState=$W110),tUPBf,tRem)/SUMPRODUCT(tFlag*(tState=$W110)*ISNUMBER(tRem),tUPBf),0)</f>
        <v/>
      </c>
      <c r="Q110" s="22">
        <f>IFERROR(SUMPRODUCT(tFlag*(tState=$W110),tUPBf,tFIO)/$E110,0)</f>
        <v/>
      </c>
      <c r="R110" s="22">
        <f>IFERROR(SUMPRODUCT(tFlag*(tState=$W110),tUPBf,tDefF)/$E110,0)</f>
        <v/>
      </c>
      <c r="S110" s="22">
        <f>IFERROR(SUMPRODUCT(tFlag*(tState=$W110),tUPBf,tSSF)/$E110,0)</f>
        <v/>
      </c>
      <c r="T110" s="22">
        <f>IFERROR(SUMPRODUCT(tFlag*(tState=$W110),tUPBf,tDQ)/$E110,0)</f>
        <v/>
      </c>
      <c r="U110" s="22">
        <f>IFERROR(SUMPRODUCT(tFlag*(tState=$W110),tUPBf,tWLF)/$E110,0)</f>
        <v/>
      </c>
      <c r="W110" s="18">
        <f>IF(LARGE(stKey,9)=0,"",INDEX(stList,MATCH(LARGE(stKey,9),stKey,0)))</f>
        <v/>
      </c>
    </row>
    <row r="111">
      <c r="B111" s="27">
        <f>IF(W111="","",W111&amp;"")</f>
        <v/>
      </c>
      <c r="C111" s="28">
        <f>SUMPRODUCT(tFlag*(tState=$W111))</f>
        <v/>
      </c>
      <c r="D111" s="31">
        <f>IFERROR(C111/sLoans,0)</f>
        <v/>
      </c>
      <c r="E111" s="30">
        <f>SUMPRODUCT(tFlag*(tState=$W111),tUPBf)</f>
        <v/>
      </c>
      <c r="F111" s="31">
        <f>IFERROR(E111/sUPB,0)</f>
        <v/>
      </c>
      <c r="G111" s="30">
        <f>IFERROR(E111/C111,0)</f>
        <v/>
      </c>
      <c r="H111" s="32">
        <f>IFERROR(SUMPRODUCT(tFlag*(tState=$W111),tUPBf,tCpn)/SUMPRODUCT(tFlag*(tState=$W111)*ISNUMBER(tCpn),tUPBf),0)</f>
        <v/>
      </c>
      <c r="I111" s="33">
        <f>IFERROR(SUMPRODUCT(tFlag*(tState=$W111),tUPBf,tUWDSCR)/SUMPRODUCT(tFlag*(tState=$W111)*ISNUMBER(tUWDSCR),tUPBf),0)</f>
        <v/>
      </c>
      <c r="J111" s="33">
        <f>IFERROR(SUMPRODUCT(tFlag*(tState=$W111),tUPBf,tCurDSCR)/SUMPRODUCT(tFlag*(tState=$W111)*ISNUMBER(tCurDSCR),tUPBf),0)</f>
        <v/>
      </c>
      <c r="K111" s="31">
        <f>IFERROR(SUMPRODUCT(tFlag*(tState=$W111),tUPBf,tUWLTV)/SUMPRODUCT(tFlag*(tState=$W111)*ISNUMBER(tUWLTV),tUPBf),0)</f>
        <v/>
      </c>
      <c r="L111" s="31">
        <f>IFERROR(SUMPRODUCT(tFlag*(tState=$W111),tUPBf,tCurLTV)/SUMPRODUCT(tFlag*(tState=$W111)*ISNUMBER(tCurLTV),tUPBf),0)</f>
        <v/>
      </c>
      <c r="M111" s="31">
        <f>IFERROR(SUMPRODUCT(tFlag*(tState=$W111),tUPBf,tUWDY)/SUMPRODUCT(tFlag*(tState=$W111)*ISNUMBER(tUWDY),tUPBf),0)</f>
        <v/>
      </c>
      <c r="N111" s="31">
        <f>IFERROR(SUMPRODUCT(tFlag*(tState=$W111),tUPBf,tCurDY)/SUMPRODUCT(tFlag*(tState=$W111)*ISNUMBER(tCurDY),tUPBf),0)</f>
        <v/>
      </c>
      <c r="O111" s="31">
        <f>IFERROR(SUMPRODUCT(tFlag*(tState=$W111),tUPBf,tOcc)/SUMPRODUCT(tFlag*(tState=$W111)*ISNUMBER(tOcc),tUPBf),0)</f>
        <v/>
      </c>
      <c r="P111" s="47">
        <f>IFERROR(SUMPRODUCT(tFlag*(tState=$W111),tUPBf,tRem)/SUMPRODUCT(tFlag*(tState=$W111)*ISNUMBER(tRem),tUPBf),0)</f>
        <v/>
      </c>
      <c r="Q111" s="31">
        <f>IFERROR(SUMPRODUCT(tFlag*(tState=$W111),tUPBf,tFIO)/$E111,0)</f>
        <v/>
      </c>
      <c r="R111" s="31">
        <f>IFERROR(SUMPRODUCT(tFlag*(tState=$W111),tUPBf,tDefF)/$E111,0)</f>
        <v/>
      </c>
      <c r="S111" s="31">
        <f>IFERROR(SUMPRODUCT(tFlag*(tState=$W111),tUPBf,tSSF)/$E111,0)</f>
        <v/>
      </c>
      <c r="T111" s="31">
        <f>IFERROR(SUMPRODUCT(tFlag*(tState=$W111),tUPBf,tDQ)/$E111,0)</f>
        <v/>
      </c>
      <c r="U111" s="31">
        <f>IFERROR(SUMPRODUCT(tFlag*(tState=$W111),tUPBf,tWLF)/$E111,0)</f>
        <v/>
      </c>
      <c r="W111" s="18">
        <f>IF(LARGE(stKey,10)=0,"",INDEX(stList,MATCH(LARGE(stKey,10),stKey,0)))</f>
        <v/>
      </c>
    </row>
    <row r="112">
      <c r="B112" s="18">
        <f>IF(W112="","",W112&amp;"")</f>
        <v/>
      </c>
      <c r="C112" s="19">
        <f>SUMPRODUCT(tFlag*(tState=$W112))</f>
        <v/>
      </c>
      <c r="D112" s="22">
        <f>IFERROR(C112/sLoans,0)</f>
        <v/>
      </c>
      <c r="E112" s="21">
        <f>SUMPRODUCT(tFlag*(tState=$W112),tUPBf)</f>
        <v/>
      </c>
      <c r="F112" s="22">
        <f>IFERROR(E112/sUPB,0)</f>
        <v/>
      </c>
      <c r="G112" s="21">
        <f>IFERROR(E112/C112,0)</f>
        <v/>
      </c>
      <c r="H112" s="23">
        <f>IFERROR(SUMPRODUCT(tFlag*(tState=$W112),tUPBf,tCpn)/SUMPRODUCT(tFlag*(tState=$W112)*ISNUMBER(tCpn),tUPBf),0)</f>
        <v/>
      </c>
      <c r="I112" s="24">
        <f>IFERROR(SUMPRODUCT(tFlag*(tState=$W112),tUPBf,tUWDSCR)/SUMPRODUCT(tFlag*(tState=$W112)*ISNUMBER(tUWDSCR),tUPBf),0)</f>
        <v/>
      </c>
      <c r="J112" s="24">
        <f>IFERROR(SUMPRODUCT(tFlag*(tState=$W112),tUPBf,tCurDSCR)/SUMPRODUCT(tFlag*(tState=$W112)*ISNUMBER(tCurDSCR),tUPBf),0)</f>
        <v/>
      </c>
      <c r="K112" s="22">
        <f>IFERROR(SUMPRODUCT(tFlag*(tState=$W112),tUPBf,tUWLTV)/SUMPRODUCT(tFlag*(tState=$W112)*ISNUMBER(tUWLTV),tUPBf),0)</f>
        <v/>
      </c>
      <c r="L112" s="22">
        <f>IFERROR(SUMPRODUCT(tFlag*(tState=$W112),tUPBf,tCurLTV)/SUMPRODUCT(tFlag*(tState=$W112)*ISNUMBER(tCurLTV),tUPBf),0)</f>
        <v/>
      </c>
      <c r="M112" s="22">
        <f>IFERROR(SUMPRODUCT(tFlag*(tState=$W112),tUPBf,tUWDY)/SUMPRODUCT(tFlag*(tState=$W112)*ISNUMBER(tUWDY),tUPBf),0)</f>
        <v/>
      </c>
      <c r="N112" s="22">
        <f>IFERROR(SUMPRODUCT(tFlag*(tState=$W112),tUPBf,tCurDY)/SUMPRODUCT(tFlag*(tState=$W112)*ISNUMBER(tCurDY),tUPBf),0)</f>
        <v/>
      </c>
      <c r="O112" s="22">
        <f>IFERROR(SUMPRODUCT(tFlag*(tState=$W112),tUPBf,tOcc)/SUMPRODUCT(tFlag*(tState=$W112)*ISNUMBER(tOcc),tUPBf),0)</f>
        <v/>
      </c>
      <c r="P112" s="45">
        <f>IFERROR(SUMPRODUCT(tFlag*(tState=$W112),tUPBf,tRem)/SUMPRODUCT(tFlag*(tState=$W112)*ISNUMBER(tRem),tUPBf),0)</f>
        <v/>
      </c>
      <c r="Q112" s="22">
        <f>IFERROR(SUMPRODUCT(tFlag*(tState=$W112),tUPBf,tFIO)/$E112,0)</f>
        <v/>
      </c>
      <c r="R112" s="22">
        <f>IFERROR(SUMPRODUCT(tFlag*(tState=$W112),tUPBf,tDefF)/$E112,0)</f>
        <v/>
      </c>
      <c r="S112" s="22">
        <f>IFERROR(SUMPRODUCT(tFlag*(tState=$W112),tUPBf,tSSF)/$E112,0)</f>
        <v/>
      </c>
      <c r="T112" s="22">
        <f>IFERROR(SUMPRODUCT(tFlag*(tState=$W112),tUPBf,tDQ)/$E112,0)</f>
        <v/>
      </c>
      <c r="U112" s="22">
        <f>IFERROR(SUMPRODUCT(tFlag*(tState=$W112),tUPBf,tWLF)/$E112,0)</f>
        <v/>
      </c>
      <c r="W112" s="18">
        <f>IF(LARGE(stKey,11)=0,"",INDEX(stList,MATCH(LARGE(stKey,11),stKey,0)))</f>
        <v/>
      </c>
    </row>
    <row r="113">
      <c r="B113" s="27">
        <f>IF(W113="","",W113&amp;"")</f>
        <v/>
      </c>
      <c r="C113" s="28">
        <f>SUMPRODUCT(tFlag*(tState=$W113))</f>
        <v/>
      </c>
      <c r="D113" s="31">
        <f>IFERROR(C113/sLoans,0)</f>
        <v/>
      </c>
      <c r="E113" s="30">
        <f>SUMPRODUCT(tFlag*(tState=$W113),tUPBf)</f>
        <v/>
      </c>
      <c r="F113" s="31">
        <f>IFERROR(E113/sUPB,0)</f>
        <v/>
      </c>
      <c r="G113" s="30">
        <f>IFERROR(E113/C113,0)</f>
        <v/>
      </c>
      <c r="H113" s="32">
        <f>IFERROR(SUMPRODUCT(tFlag*(tState=$W113),tUPBf,tCpn)/SUMPRODUCT(tFlag*(tState=$W113)*ISNUMBER(tCpn),tUPBf),0)</f>
        <v/>
      </c>
      <c r="I113" s="33">
        <f>IFERROR(SUMPRODUCT(tFlag*(tState=$W113),tUPBf,tUWDSCR)/SUMPRODUCT(tFlag*(tState=$W113)*ISNUMBER(tUWDSCR),tUPBf),0)</f>
        <v/>
      </c>
      <c r="J113" s="33">
        <f>IFERROR(SUMPRODUCT(tFlag*(tState=$W113),tUPBf,tCurDSCR)/SUMPRODUCT(tFlag*(tState=$W113)*ISNUMBER(tCurDSCR),tUPBf),0)</f>
        <v/>
      </c>
      <c r="K113" s="31">
        <f>IFERROR(SUMPRODUCT(tFlag*(tState=$W113),tUPBf,tUWLTV)/SUMPRODUCT(tFlag*(tState=$W113)*ISNUMBER(tUWLTV),tUPBf),0)</f>
        <v/>
      </c>
      <c r="L113" s="31">
        <f>IFERROR(SUMPRODUCT(tFlag*(tState=$W113),tUPBf,tCurLTV)/SUMPRODUCT(tFlag*(tState=$W113)*ISNUMBER(tCurLTV),tUPBf),0)</f>
        <v/>
      </c>
      <c r="M113" s="31">
        <f>IFERROR(SUMPRODUCT(tFlag*(tState=$W113),tUPBf,tUWDY)/SUMPRODUCT(tFlag*(tState=$W113)*ISNUMBER(tUWDY),tUPBf),0)</f>
        <v/>
      </c>
      <c r="N113" s="31">
        <f>IFERROR(SUMPRODUCT(tFlag*(tState=$W113),tUPBf,tCurDY)/SUMPRODUCT(tFlag*(tState=$W113)*ISNUMBER(tCurDY),tUPBf),0)</f>
        <v/>
      </c>
      <c r="O113" s="31">
        <f>IFERROR(SUMPRODUCT(tFlag*(tState=$W113),tUPBf,tOcc)/SUMPRODUCT(tFlag*(tState=$W113)*ISNUMBER(tOcc),tUPBf),0)</f>
        <v/>
      </c>
      <c r="P113" s="47">
        <f>IFERROR(SUMPRODUCT(tFlag*(tState=$W113),tUPBf,tRem)/SUMPRODUCT(tFlag*(tState=$W113)*ISNUMBER(tRem),tUPBf),0)</f>
        <v/>
      </c>
      <c r="Q113" s="31">
        <f>IFERROR(SUMPRODUCT(tFlag*(tState=$W113),tUPBf,tFIO)/$E113,0)</f>
        <v/>
      </c>
      <c r="R113" s="31">
        <f>IFERROR(SUMPRODUCT(tFlag*(tState=$W113),tUPBf,tDefF)/$E113,0)</f>
        <v/>
      </c>
      <c r="S113" s="31">
        <f>IFERROR(SUMPRODUCT(tFlag*(tState=$W113),tUPBf,tSSF)/$E113,0)</f>
        <v/>
      </c>
      <c r="T113" s="31">
        <f>IFERROR(SUMPRODUCT(tFlag*(tState=$W113),tUPBf,tDQ)/$E113,0)</f>
        <v/>
      </c>
      <c r="U113" s="31">
        <f>IFERROR(SUMPRODUCT(tFlag*(tState=$W113),tUPBf,tWLF)/$E113,0)</f>
        <v/>
      </c>
      <c r="W113" s="18">
        <f>IF(LARGE(stKey,12)=0,"",INDEX(stList,MATCH(LARGE(stKey,12),stKey,0)))</f>
        <v/>
      </c>
    </row>
    <row r="114">
      <c r="B114" s="18">
        <f>IF(W114="","",W114&amp;"")</f>
        <v/>
      </c>
      <c r="C114" s="19">
        <f>SUMPRODUCT(tFlag*(tState=$W114))</f>
        <v/>
      </c>
      <c r="D114" s="22">
        <f>IFERROR(C114/sLoans,0)</f>
        <v/>
      </c>
      <c r="E114" s="21">
        <f>SUMPRODUCT(tFlag*(tState=$W114),tUPBf)</f>
        <v/>
      </c>
      <c r="F114" s="22">
        <f>IFERROR(E114/sUPB,0)</f>
        <v/>
      </c>
      <c r="G114" s="21">
        <f>IFERROR(E114/C114,0)</f>
        <v/>
      </c>
      <c r="H114" s="23">
        <f>IFERROR(SUMPRODUCT(tFlag*(tState=$W114),tUPBf,tCpn)/SUMPRODUCT(tFlag*(tState=$W114)*ISNUMBER(tCpn),tUPBf),0)</f>
        <v/>
      </c>
      <c r="I114" s="24">
        <f>IFERROR(SUMPRODUCT(tFlag*(tState=$W114),tUPBf,tUWDSCR)/SUMPRODUCT(tFlag*(tState=$W114)*ISNUMBER(tUWDSCR),tUPBf),0)</f>
        <v/>
      </c>
      <c r="J114" s="24">
        <f>IFERROR(SUMPRODUCT(tFlag*(tState=$W114),tUPBf,tCurDSCR)/SUMPRODUCT(tFlag*(tState=$W114)*ISNUMBER(tCurDSCR),tUPBf),0)</f>
        <v/>
      </c>
      <c r="K114" s="22">
        <f>IFERROR(SUMPRODUCT(tFlag*(tState=$W114),tUPBf,tUWLTV)/SUMPRODUCT(tFlag*(tState=$W114)*ISNUMBER(tUWLTV),tUPBf),0)</f>
        <v/>
      </c>
      <c r="L114" s="22">
        <f>IFERROR(SUMPRODUCT(tFlag*(tState=$W114),tUPBf,tCurLTV)/SUMPRODUCT(tFlag*(tState=$W114)*ISNUMBER(tCurLTV),tUPBf),0)</f>
        <v/>
      </c>
      <c r="M114" s="22">
        <f>IFERROR(SUMPRODUCT(tFlag*(tState=$W114),tUPBf,tUWDY)/SUMPRODUCT(tFlag*(tState=$W114)*ISNUMBER(tUWDY),tUPBf),0)</f>
        <v/>
      </c>
      <c r="N114" s="22">
        <f>IFERROR(SUMPRODUCT(tFlag*(tState=$W114),tUPBf,tCurDY)/SUMPRODUCT(tFlag*(tState=$W114)*ISNUMBER(tCurDY),tUPBf),0)</f>
        <v/>
      </c>
      <c r="O114" s="22">
        <f>IFERROR(SUMPRODUCT(tFlag*(tState=$W114),tUPBf,tOcc)/SUMPRODUCT(tFlag*(tState=$W114)*ISNUMBER(tOcc),tUPBf),0)</f>
        <v/>
      </c>
      <c r="P114" s="45">
        <f>IFERROR(SUMPRODUCT(tFlag*(tState=$W114),tUPBf,tRem)/SUMPRODUCT(tFlag*(tState=$W114)*ISNUMBER(tRem),tUPBf),0)</f>
        <v/>
      </c>
      <c r="Q114" s="22">
        <f>IFERROR(SUMPRODUCT(tFlag*(tState=$W114),tUPBf,tFIO)/$E114,0)</f>
        <v/>
      </c>
      <c r="R114" s="22">
        <f>IFERROR(SUMPRODUCT(tFlag*(tState=$W114),tUPBf,tDefF)/$E114,0)</f>
        <v/>
      </c>
      <c r="S114" s="22">
        <f>IFERROR(SUMPRODUCT(tFlag*(tState=$W114),tUPBf,tSSF)/$E114,0)</f>
        <v/>
      </c>
      <c r="T114" s="22">
        <f>IFERROR(SUMPRODUCT(tFlag*(tState=$W114),tUPBf,tDQ)/$E114,0)</f>
        <v/>
      </c>
      <c r="U114" s="22">
        <f>IFERROR(SUMPRODUCT(tFlag*(tState=$W114),tUPBf,tWLF)/$E114,0)</f>
        <v/>
      </c>
      <c r="W114" s="18">
        <f>IF(LARGE(stKey,13)=0,"",INDEX(stList,MATCH(LARGE(stKey,13),stKey,0)))</f>
        <v/>
      </c>
    </row>
    <row r="115">
      <c r="B115" s="27">
        <f>IF(W115="","",W115&amp;"")</f>
        <v/>
      </c>
      <c r="C115" s="28">
        <f>SUMPRODUCT(tFlag*(tState=$W115))</f>
        <v/>
      </c>
      <c r="D115" s="31">
        <f>IFERROR(C115/sLoans,0)</f>
        <v/>
      </c>
      <c r="E115" s="30">
        <f>SUMPRODUCT(tFlag*(tState=$W115),tUPBf)</f>
        <v/>
      </c>
      <c r="F115" s="31">
        <f>IFERROR(E115/sUPB,0)</f>
        <v/>
      </c>
      <c r="G115" s="30">
        <f>IFERROR(E115/C115,0)</f>
        <v/>
      </c>
      <c r="H115" s="32">
        <f>IFERROR(SUMPRODUCT(tFlag*(tState=$W115),tUPBf,tCpn)/SUMPRODUCT(tFlag*(tState=$W115)*ISNUMBER(tCpn),tUPBf),0)</f>
        <v/>
      </c>
      <c r="I115" s="33">
        <f>IFERROR(SUMPRODUCT(tFlag*(tState=$W115),tUPBf,tUWDSCR)/SUMPRODUCT(tFlag*(tState=$W115)*ISNUMBER(tUWDSCR),tUPBf),0)</f>
        <v/>
      </c>
      <c r="J115" s="33">
        <f>IFERROR(SUMPRODUCT(tFlag*(tState=$W115),tUPBf,tCurDSCR)/SUMPRODUCT(tFlag*(tState=$W115)*ISNUMBER(tCurDSCR),tUPBf),0)</f>
        <v/>
      </c>
      <c r="K115" s="31">
        <f>IFERROR(SUMPRODUCT(tFlag*(tState=$W115),tUPBf,tUWLTV)/SUMPRODUCT(tFlag*(tState=$W115)*ISNUMBER(tUWLTV),tUPBf),0)</f>
        <v/>
      </c>
      <c r="L115" s="31">
        <f>IFERROR(SUMPRODUCT(tFlag*(tState=$W115),tUPBf,tCurLTV)/SUMPRODUCT(tFlag*(tState=$W115)*ISNUMBER(tCurLTV),tUPBf),0)</f>
        <v/>
      </c>
      <c r="M115" s="31">
        <f>IFERROR(SUMPRODUCT(tFlag*(tState=$W115),tUPBf,tUWDY)/SUMPRODUCT(tFlag*(tState=$W115)*ISNUMBER(tUWDY),tUPBf),0)</f>
        <v/>
      </c>
      <c r="N115" s="31">
        <f>IFERROR(SUMPRODUCT(tFlag*(tState=$W115),tUPBf,tCurDY)/SUMPRODUCT(tFlag*(tState=$W115)*ISNUMBER(tCurDY),tUPBf),0)</f>
        <v/>
      </c>
      <c r="O115" s="31">
        <f>IFERROR(SUMPRODUCT(tFlag*(tState=$W115),tUPBf,tOcc)/SUMPRODUCT(tFlag*(tState=$W115)*ISNUMBER(tOcc),tUPBf),0)</f>
        <v/>
      </c>
      <c r="P115" s="47">
        <f>IFERROR(SUMPRODUCT(tFlag*(tState=$W115),tUPBf,tRem)/SUMPRODUCT(tFlag*(tState=$W115)*ISNUMBER(tRem),tUPBf),0)</f>
        <v/>
      </c>
      <c r="Q115" s="31">
        <f>IFERROR(SUMPRODUCT(tFlag*(tState=$W115),tUPBf,tFIO)/$E115,0)</f>
        <v/>
      </c>
      <c r="R115" s="31">
        <f>IFERROR(SUMPRODUCT(tFlag*(tState=$W115),tUPBf,tDefF)/$E115,0)</f>
        <v/>
      </c>
      <c r="S115" s="31">
        <f>IFERROR(SUMPRODUCT(tFlag*(tState=$W115),tUPBf,tSSF)/$E115,0)</f>
        <v/>
      </c>
      <c r="T115" s="31">
        <f>IFERROR(SUMPRODUCT(tFlag*(tState=$W115),tUPBf,tDQ)/$E115,0)</f>
        <v/>
      </c>
      <c r="U115" s="31">
        <f>IFERROR(SUMPRODUCT(tFlag*(tState=$W115),tUPBf,tWLF)/$E115,0)</f>
        <v/>
      </c>
      <c r="W115" s="18">
        <f>IF(LARGE(stKey,14)=0,"",INDEX(stList,MATCH(LARGE(stKey,14),stKey,0)))</f>
        <v/>
      </c>
    </row>
    <row r="116">
      <c r="B116" s="18">
        <f>IF(W116="","",W116&amp;"")</f>
        <v/>
      </c>
      <c r="C116" s="19">
        <f>SUMPRODUCT(tFlag*(tState=$W116))</f>
        <v/>
      </c>
      <c r="D116" s="22">
        <f>IFERROR(C116/sLoans,0)</f>
        <v/>
      </c>
      <c r="E116" s="21">
        <f>SUMPRODUCT(tFlag*(tState=$W116),tUPBf)</f>
        <v/>
      </c>
      <c r="F116" s="22">
        <f>IFERROR(E116/sUPB,0)</f>
        <v/>
      </c>
      <c r="G116" s="21">
        <f>IFERROR(E116/C116,0)</f>
        <v/>
      </c>
      <c r="H116" s="23">
        <f>IFERROR(SUMPRODUCT(tFlag*(tState=$W116),tUPBf,tCpn)/SUMPRODUCT(tFlag*(tState=$W116)*ISNUMBER(tCpn),tUPBf),0)</f>
        <v/>
      </c>
      <c r="I116" s="24">
        <f>IFERROR(SUMPRODUCT(tFlag*(tState=$W116),tUPBf,tUWDSCR)/SUMPRODUCT(tFlag*(tState=$W116)*ISNUMBER(tUWDSCR),tUPBf),0)</f>
        <v/>
      </c>
      <c r="J116" s="24">
        <f>IFERROR(SUMPRODUCT(tFlag*(tState=$W116),tUPBf,tCurDSCR)/SUMPRODUCT(tFlag*(tState=$W116)*ISNUMBER(tCurDSCR),tUPBf),0)</f>
        <v/>
      </c>
      <c r="K116" s="22">
        <f>IFERROR(SUMPRODUCT(tFlag*(tState=$W116),tUPBf,tUWLTV)/SUMPRODUCT(tFlag*(tState=$W116)*ISNUMBER(tUWLTV),tUPBf),0)</f>
        <v/>
      </c>
      <c r="L116" s="22">
        <f>IFERROR(SUMPRODUCT(tFlag*(tState=$W116),tUPBf,tCurLTV)/SUMPRODUCT(tFlag*(tState=$W116)*ISNUMBER(tCurLTV),tUPBf),0)</f>
        <v/>
      </c>
      <c r="M116" s="22">
        <f>IFERROR(SUMPRODUCT(tFlag*(tState=$W116),tUPBf,tUWDY)/SUMPRODUCT(tFlag*(tState=$W116)*ISNUMBER(tUWDY),tUPBf),0)</f>
        <v/>
      </c>
      <c r="N116" s="22">
        <f>IFERROR(SUMPRODUCT(tFlag*(tState=$W116),tUPBf,tCurDY)/SUMPRODUCT(tFlag*(tState=$W116)*ISNUMBER(tCurDY),tUPBf),0)</f>
        <v/>
      </c>
      <c r="O116" s="22">
        <f>IFERROR(SUMPRODUCT(tFlag*(tState=$W116),tUPBf,tOcc)/SUMPRODUCT(tFlag*(tState=$W116)*ISNUMBER(tOcc),tUPBf),0)</f>
        <v/>
      </c>
      <c r="P116" s="45">
        <f>IFERROR(SUMPRODUCT(tFlag*(tState=$W116),tUPBf,tRem)/SUMPRODUCT(tFlag*(tState=$W116)*ISNUMBER(tRem),tUPBf),0)</f>
        <v/>
      </c>
      <c r="Q116" s="22">
        <f>IFERROR(SUMPRODUCT(tFlag*(tState=$W116),tUPBf,tFIO)/$E116,0)</f>
        <v/>
      </c>
      <c r="R116" s="22">
        <f>IFERROR(SUMPRODUCT(tFlag*(tState=$W116),tUPBf,tDefF)/$E116,0)</f>
        <v/>
      </c>
      <c r="S116" s="22">
        <f>IFERROR(SUMPRODUCT(tFlag*(tState=$W116),tUPBf,tSSF)/$E116,0)</f>
        <v/>
      </c>
      <c r="T116" s="22">
        <f>IFERROR(SUMPRODUCT(tFlag*(tState=$W116),tUPBf,tDQ)/$E116,0)</f>
        <v/>
      </c>
      <c r="U116" s="22">
        <f>IFERROR(SUMPRODUCT(tFlag*(tState=$W116),tUPBf,tWLF)/$E116,0)</f>
        <v/>
      </c>
      <c r="W116" s="18">
        <f>IF(LARGE(stKey,15)=0,"",INDEX(stList,MATCH(LARGE(stKey,15),stKey,0)))</f>
        <v/>
      </c>
    </row>
    <row r="117">
      <c r="B117" s="27" t="inlineStr">
        <is>
          <t>All Other States</t>
        </is>
      </c>
      <c r="C117" s="28">
        <f>SUMPRODUCT(tFlag*(ISNA(MATCH(tState,$W$102:$W$116,0))))</f>
        <v/>
      </c>
      <c r="D117" s="31">
        <f>IFERROR(C117/sLoans,0)</f>
        <v/>
      </c>
      <c r="E117" s="30">
        <f>SUMPRODUCT(tFlag*(ISNA(MATCH(tState,$W$102:$W$116,0))),tUPBf)</f>
        <v/>
      </c>
      <c r="F117" s="31">
        <f>IFERROR(E117/sUPB,0)</f>
        <v/>
      </c>
      <c r="G117" s="30">
        <f>IFERROR(E117/C117,0)</f>
        <v/>
      </c>
      <c r="H117" s="32">
        <f>IFERROR(SUMPRODUCT(tFlag*(ISNA(MATCH(tState,$W$102:$W$116,0))),tUPBf,tCpn)/SUMPRODUCT(tFlag*(ISNA(MATCH(tState,$W$102:$W$116,0)))*ISNUMBER(tCpn),tUPBf),0)</f>
        <v/>
      </c>
      <c r="I117" s="33">
        <f>IFERROR(SUMPRODUCT(tFlag*(ISNA(MATCH(tState,$W$102:$W$116,0))),tUPBf,tUWDSCR)/SUMPRODUCT(tFlag*(ISNA(MATCH(tState,$W$102:$W$116,0)))*ISNUMBER(tUWDSCR),tUPBf),0)</f>
        <v/>
      </c>
      <c r="J117" s="33">
        <f>IFERROR(SUMPRODUCT(tFlag*(ISNA(MATCH(tState,$W$102:$W$116,0))),tUPBf,tCurDSCR)/SUMPRODUCT(tFlag*(ISNA(MATCH(tState,$W$102:$W$116,0)))*ISNUMBER(tCurDSCR),tUPBf),0)</f>
        <v/>
      </c>
      <c r="K117" s="31">
        <f>IFERROR(SUMPRODUCT(tFlag*(ISNA(MATCH(tState,$W$102:$W$116,0))),tUPBf,tUWLTV)/SUMPRODUCT(tFlag*(ISNA(MATCH(tState,$W$102:$W$116,0)))*ISNUMBER(tUWLTV),tUPBf),0)</f>
        <v/>
      </c>
      <c r="L117" s="31">
        <f>IFERROR(SUMPRODUCT(tFlag*(ISNA(MATCH(tState,$W$102:$W$116,0))),tUPBf,tCurLTV)/SUMPRODUCT(tFlag*(ISNA(MATCH(tState,$W$102:$W$116,0)))*ISNUMBER(tCurLTV),tUPBf),0)</f>
        <v/>
      </c>
      <c r="M117" s="31">
        <f>IFERROR(SUMPRODUCT(tFlag*(ISNA(MATCH(tState,$W$102:$W$116,0))),tUPBf,tUWDY)/SUMPRODUCT(tFlag*(ISNA(MATCH(tState,$W$102:$W$116,0)))*ISNUMBER(tUWDY),tUPBf),0)</f>
        <v/>
      </c>
      <c r="N117" s="31">
        <f>IFERROR(SUMPRODUCT(tFlag*(ISNA(MATCH(tState,$W$102:$W$116,0))),tUPBf,tCurDY)/SUMPRODUCT(tFlag*(ISNA(MATCH(tState,$W$102:$W$116,0)))*ISNUMBER(tCurDY),tUPBf),0)</f>
        <v/>
      </c>
      <c r="O117" s="31">
        <f>IFERROR(SUMPRODUCT(tFlag*(ISNA(MATCH(tState,$W$102:$W$116,0))),tUPBf,tOcc)/SUMPRODUCT(tFlag*(ISNA(MATCH(tState,$W$102:$W$116,0)))*ISNUMBER(tOcc),tUPBf),0)</f>
        <v/>
      </c>
      <c r="P117" s="47">
        <f>IFERROR(SUMPRODUCT(tFlag*(ISNA(MATCH(tState,$W$102:$W$116,0))),tUPBf,tRem)/SUMPRODUCT(tFlag*(ISNA(MATCH(tState,$W$102:$W$116,0)))*ISNUMBER(tRem),tUPBf),0)</f>
        <v/>
      </c>
      <c r="Q117" s="31">
        <f>IFERROR(SUMPRODUCT(tFlag*(ISNA(MATCH(tState,$W$102:$W$116,0))),tUPBf,tFIO)/$E117,0)</f>
        <v/>
      </c>
      <c r="R117" s="31">
        <f>IFERROR(SUMPRODUCT(tFlag*(ISNA(MATCH(tState,$W$102:$W$116,0))),tUPBf,tDefF)/$E117,0)</f>
        <v/>
      </c>
      <c r="S117" s="31">
        <f>IFERROR(SUMPRODUCT(tFlag*(ISNA(MATCH(tState,$W$102:$W$116,0))),tUPBf,tSSF)/$E117,0)</f>
        <v/>
      </c>
      <c r="T117" s="31">
        <f>IFERROR(SUMPRODUCT(tFlag*(ISNA(MATCH(tState,$W$102:$W$116,0))),tUPBf,tDQ)/$E117,0)</f>
        <v/>
      </c>
      <c r="U117" s="31">
        <f>IFERROR(SUMPRODUCT(tFlag*(ISNA(MATCH(tState,$W$102:$W$116,0))),tUPBf,tWLF)/$E117,0)</f>
        <v/>
      </c>
    </row>
    <row r="118">
      <c r="B118" s="36" t="inlineStr">
        <is>
          <t>Total / Wtd. Avg.</t>
        </is>
      </c>
      <c r="C118" s="37">
        <f>SUMPRODUCT(tFlag*(1))</f>
        <v/>
      </c>
      <c r="D118" s="40">
        <f>IFERROR(C118/sLoans,0)</f>
        <v/>
      </c>
      <c r="E118" s="39">
        <f>SUMPRODUCT(tFlag*(1),tUPBf)</f>
        <v/>
      </c>
      <c r="F118" s="40">
        <f>IFERROR(E118/sUPB,0)</f>
        <v/>
      </c>
      <c r="G118" s="39">
        <f>IFERROR(E118/C118,0)</f>
        <v/>
      </c>
      <c r="H118" s="41">
        <f>IFERROR(SUMPRODUCT(tFlag*(1),tUPBf,tCpn)/SUMPRODUCT(tFlag*(1)*ISNUMBER(tCpn),tUPBf),0)</f>
        <v/>
      </c>
      <c r="I118" s="42">
        <f>IFERROR(SUMPRODUCT(tFlag*(1),tUPBf,tUWDSCR)/SUMPRODUCT(tFlag*(1)*ISNUMBER(tUWDSCR),tUPBf),0)</f>
        <v/>
      </c>
      <c r="J118" s="42">
        <f>IFERROR(SUMPRODUCT(tFlag*(1),tUPBf,tCurDSCR)/SUMPRODUCT(tFlag*(1)*ISNUMBER(tCurDSCR),tUPBf),0)</f>
        <v/>
      </c>
      <c r="K118" s="40">
        <f>IFERROR(SUMPRODUCT(tFlag*(1),tUPBf,tUWLTV)/SUMPRODUCT(tFlag*(1)*ISNUMBER(tUWLTV),tUPBf),0)</f>
        <v/>
      </c>
      <c r="L118" s="40">
        <f>IFERROR(SUMPRODUCT(tFlag*(1),tUPBf,tCurLTV)/SUMPRODUCT(tFlag*(1)*ISNUMBER(tCurLTV),tUPBf),0)</f>
        <v/>
      </c>
      <c r="M118" s="40">
        <f>IFERROR(SUMPRODUCT(tFlag*(1),tUPBf,tUWDY)/SUMPRODUCT(tFlag*(1)*ISNUMBER(tUWDY),tUPBf),0)</f>
        <v/>
      </c>
      <c r="N118" s="40">
        <f>IFERROR(SUMPRODUCT(tFlag*(1),tUPBf,tCurDY)/SUMPRODUCT(tFlag*(1)*ISNUMBER(tCurDY),tUPBf),0)</f>
        <v/>
      </c>
      <c r="O118" s="40">
        <f>IFERROR(SUMPRODUCT(tFlag*(1),tUPBf,tOcc)/SUMPRODUCT(tFlag*(1)*ISNUMBER(tOcc),tUPBf),0)</f>
        <v/>
      </c>
      <c r="P118" s="43">
        <f>IFERROR(SUMPRODUCT(tFlag*(1),tUPBf,tRem)/SUMPRODUCT(tFlag*(1)*ISNUMBER(tRem),tUPBf),0)</f>
        <v/>
      </c>
      <c r="Q118" s="40">
        <f>IFERROR(SUMPRODUCT(tFlag*(1),tUPBf,tFIO)/$E118,0)</f>
        <v/>
      </c>
      <c r="R118" s="40">
        <f>IFERROR(SUMPRODUCT(tFlag*(1),tUPBf,tDefF)/$E118,0)</f>
        <v/>
      </c>
      <c r="S118" s="40">
        <f>IFERROR(SUMPRODUCT(tFlag*(1),tUPBf,tSSF)/$E118,0)</f>
        <v/>
      </c>
      <c r="T118" s="40">
        <f>IFERROR(SUMPRODUCT(tFlag*(1),tUPBf,tDQ)/$E118,0)</f>
        <v/>
      </c>
      <c r="U118" s="40">
        <f>IFERROR(SUMPRODUCT(tFlag*(1),tUPBf,tWLF)/$E118,0)</f>
        <v/>
      </c>
    </row>
    <row r="119">
      <c r="B119" s="14" t="inlineStr">
        <is>
          <t>States re-rank automatically with the filters. Multi-state portfolios are assigned to the first (largest) state listed in Intex.</t>
        </is>
      </c>
    </row>
    <row r="121" ht="15" customHeight="1">
      <c r="B121" s="2" t="inlineStr">
        <is>
          <t>GEOGRAPHIC DISTRIBUTION (REGION)</t>
        </is>
      </c>
      <c r="C121" s="3" t="n"/>
      <c r="D121" s="3" t="n"/>
      <c r="E121" s="3" t="n"/>
      <c r="F121" s="3" t="n"/>
      <c r="G121" s="3" t="n"/>
      <c r="H121" s="3" t="n"/>
      <c r="I121" s="3" t="n"/>
      <c r="J121" s="3" t="n"/>
      <c r="K121" s="3" t="n"/>
      <c r="L121" s="3" t="n"/>
      <c r="M121" s="3" t="n"/>
      <c r="N121" s="3" t="n"/>
      <c r="O121" s="3" t="n"/>
      <c r="P121" s="3" t="n"/>
      <c r="Q121" s="3" t="n"/>
      <c r="R121" s="3" t="n"/>
      <c r="S121" s="3" t="n"/>
      <c r="T121" s="3" t="n"/>
      <c r="U121" s="3" t="n"/>
    </row>
    <row r="122" ht="39.75" customHeight="1">
      <c r="B122" s="15" t="inlineStr">
        <is>
          <t>Category</t>
        </is>
      </c>
      <c r="C122" s="16" t="inlineStr">
        <is>
          <t>Number of Loans</t>
        </is>
      </c>
      <c r="D122" s="16" t="inlineStr">
        <is>
          <t>% of Loans</t>
        </is>
      </c>
      <c r="E122" s="16" t="inlineStr">
        <is>
          <t>Current UPB</t>
        </is>
      </c>
      <c r="F122" s="16" t="inlineStr">
        <is>
          <t>% of UPB</t>
        </is>
      </c>
      <c r="G122" s="16" t="inlineStr">
        <is>
          <t>Average Loan Size</t>
        </is>
      </c>
      <c r="H122" s="16" t="inlineStr">
        <is>
          <t>Wtd. Avg. Gross Coupon</t>
        </is>
      </c>
      <c r="I122" s="16" t="inlineStr">
        <is>
          <t>Wtd. Avg. UW NCF DSCR</t>
        </is>
      </c>
      <c r="J122" s="16" t="inlineStr">
        <is>
          <t>Wtd. Avg. Current NCF DSCR</t>
        </is>
      </c>
      <c r="K122" s="16" t="inlineStr">
        <is>
          <t>Wtd. Avg. UW LTV</t>
        </is>
      </c>
      <c r="L122" s="16" t="inlineStr">
        <is>
          <t>Wtd. Avg. Current LTV</t>
        </is>
      </c>
      <c r="M122" s="16" t="inlineStr">
        <is>
          <t>Wtd. Avg. UW NCF Debt Yield</t>
        </is>
      </c>
      <c r="N122" s="16" t="inlineStr">
        <is>
          <t>Wtd. Avg. Current NCF Debt Yield</t>
        </is>
      </c>
      <c r="O122" s="16" t="inlineStr">
        <is>
          <t>Wtd. Avg. Current Occupancy</t>
        </is>
      </c>
      <c r="P122" s="16" t="inlineStr">
        <is>
          <t>Wtd. Avg. Rem. Term (Mo.)</t>
        </is>
      </c>
      <c r="Q122" s="16" t="inlineStr">
        <is>
          <t>% Full IO</t>
        </is>
      </c>
      <c r="R122" s="16" t="inlineStr">
        <is>
          <t>% Defeased</t>
        </is>
      </c>
      <c r="S122" s="16" t="inlineStr">
        <is>
          <t>% Currently Specially Serviced</t>
        </is>
      </c>
      <c r="T122" s="16" t="inlineStr">
        <is>
          <t>% 30+ Delinq. / FC / REO</t>
        </is>
      </c>
      <c r="U122" s="16" t="inlineStr">
        <is>
          <t>% On Watchlist</t>
        </is>
      </c>
      <c r="W122" s="44" t="inlineStr">
        <is>
          <t>Category Label</t>
        </is>
      </c>
    </row>
    <row r="123">
      <c r="B123" s="18">
        <f>IF(W123="","",W123&amp;"")</f>
        <v/>
      </c>
      <c r="C123" s="19">
        <f>SUMPRODUCT(tFlag*(tRegion=$W123))</f>
        <v/>
      </c>
      <c r="D123" s="22">
        <f>IFERROR(C123/sLoans,0)</f>
        <v/>
      </c>
      <c r="E123" s="21">
        <f>SUMPRODUCT(tFlag*(tRegion=$W123),tUPBf)</f>
        <v/>
      </c>
      <c r="F123" s="22">
        <f>IFERROR(E123/sUPB,0)</f>
        <v/>
      </c>
      <c r="G123" s="21">
        <f>IFERROR(E123/C123,0)</f>
        <v/>
      </c>
      <c r="H123" s="23">
        <f>IFERROR(SUMPRODUCT(tFlag*(tRegion=$W123),tUPBf,tCpn)/SUMPRODUCT(tFlag*(tRegion=$W123)*ISNUMBER(tCpn),tUPBf),0)</f>
        <v/>
      </c>
      <c r="I123" s="24">
        <f>IFERROR(SUMPRODUCT(tFlag*(tRegion=$W123),tUPBf,tUWDSCR)/SUMPRODUCT(tFlag*(tRegion=$W123)*ISNUMBER(tUWDSCR),tUPBf),0)</f>
        <v/>
      </c>
      <c r="J123" s="24">
        <f>IFERROR(SUMPRODUCT(tFlag*(tRegion=$W123),tUPBf,tCurDSCR)/SUMPRODUCT(tFlag*(tRegion=$W123)*ISNUMBER(tCurDSCR),tUPBf),0)</f>
        <v/>
      </c>
      <c r="K123" s="22">
        <f>IFERROR(SUMPRODUCT(tFlag*(tRegion=$W123),tUPBf,tUWLTV)/SUMPRODUCT(tFlag*(tRegion=$W123)*ISNUMBER(tUWLTV),tUPBf),0)</f>
        <v/>
      </c>
      <c r="L123" s="22">
        <f>IFERROR(SUMPRODUCT(tFlag*(tRegion=$W123),tUPBf,tCurLTV)/SUMPRODUCT(tFlag*(tRegion=$W123)*ISNUMBER(tCurLTV),tUPBf),0)</f>
        <v/>
      </c>
      <c r="M123" s="22">
        <f>IFERROR(SUMPRODUCT(tFlag*(tRegion=$W123),tUPBf,tUWDY)/SUMPRODUCT(tFlag*(tRegion=$W123)*ISNUMBER(tUWDY),tUPBf),0)</f>
        <v/>
      </c>
      <c r="N123" s="22">
        <f>IFERROR(SUMPRODUCT(tFlag*(tRegion=$W123),tUPBf,tCurDY)/SUMPRODUCT(tFlag*(tRegion=$W123)*ISNUMBER(tCurDY),tUPBf),0)</f>
        <v/>
      </c>
      <c r="O123" s="22">
        <f>IFERROR(SUMPRODUCT(tFlag*(tRegion=$W123),tUPBf,tOcc)/SUMPRODUCT(tFlag*(tRegion=$W123)*ISNUMBER(tOcc),tUPBf),0)</f>
        <v/>
      </c>
      <c r="P123" s="45">
        <f>IFERROR(SUMPRODUCT(tFlag*(tRegion=$W123),tUPBf,tRem)/SUMPRODUCT(tFlag*(tRegion=$W123)*ISNUMBER(tRem),tUPBf),0)</f>
        <v/>
      </c>
      <c r="Q123" s="22">
        <f>IFERROR(SUMPRODUCT(tFlag*(tRegion=$W123),tUPBf,tFIO)/$E123,0)</f>
        <v/>
      </c>
      <c r="R123" s="22">
        <f>IFERROR(SUMPRODUCT(tFlag*(tRegion=$W123),tUPBf,tDefF)/$E123,0)</f>
        <v/>
      </c>
      <c r="S123" s="22">
        <f>IFERROR(SUMPRODUCT(tFlag*(tRegion=$W123),tUPBf,tSSF)/$E123,0)</f>
        <v/>
      </c>
      <c r="T123" s="22">
        <f>IFERROR(SUMPRODUCT(tFlag*(tRegion=$W123),tUPBf,tDQ)/$E123,0)</f>
        <v/>
      </c>
      <c r="U123" s="22">
        <f>IFERROR(SUMPRODUCT(tFlag*(tRegion=$W123),tUPBf,tWLF)/$E123,0)</f>
        <v/>
      </c>
      <c r="W123" s="48" t="inlineStr">
        <is>
          <t>Northeast / Mid-Atlantic</t>
        </is>
      </c>
    </row>
    <row r="124">
      <c r="B124" s="27">
        <f>IF(W124="","",W124&amp;"")</f>
        <v/>
      </c>
      <c r="C124" s="28">
        <f>SUMPRODUCT(tFlag*(tRegion=$W124))</f>
        <v/>
      </c>
      <c r="D124" s="31">
        <f>IFERROR(C124/sLoans,0)</f>
        <v/>
      </c>
      <c r="E124" s="30">
        <f>SUMPRODUCT(tFlag*(tRegion=$W124),tUPBf)</f>
        <v/>
      </c>
      <c r="F124" s="31">
        <f>IFERROR(E124/sUPB,0)</f>
        <v/>
      </c>
      <c r="G124" s="30">
        <f>IFERROR(E124/C124,0)</f>
        <v/>
      </c>
      <c r="H124" s="32">
        <f>IFERROR(SUMPRODUCT(tFlag*(tRegion=$W124),tUPBf,tCpn)/SUMPRODUCT(tFlag*(tRegion=$W124)*ISNUMBER(tCpn),tUPBf),0)</f>
        <v/>
      </c>
      <c r="I124" s="33">
        <f>IFERROR(SUMPRODUCT(tFlag*(tRegion=$W124),tUPBf,tUWDSCR)/SUMPRODUCT(tFlag*(tRegion=$W124)*ISNUMBER(tUWDSCR),tUPBf),0)</f>
        <v/>
      </c>
      <c r="J124" s="33">
        <f>IFERROR(SUMPRODUCT(tFlag*(tRegion=$W124),tUPBf,tCurDSCR)/SUMPRODUCT(tFlag*(tRegion=$W124)*ISNUMBER(tCurDSCR),tUPBf),0)</f>
        <v/>
      </c>
      <c r="K124" s="31">
        <f>IFERROR(SUMPRODUCT(tFlag*(tRegion=$W124),tUPBf,tUWLTV)/SUMPRODUCT(tFlag*(tRegion=$W124)*ISNUMBER(tUWLTV),tUPBf),0)</f>
        <v/>
      </c>
      <c r="L124" s="31">
        <f>IFERROR(SUMPRODUCT(tFlag*(tRegion=$W124),tUPBf,tCurLTV)/SUMPRODUCT(tFlag*(tRegion=$W124)*ISNUMBER(tCurLTV),tUPBf),0)</f>
        <v/>
      </c>
      <c r="M124" s="31">
        <f>IFERROR(SUMPRODUCT(tFlag*(tRegion=$W124),tUPBf,tUWDY)/SUMPRODUCT(tFlag*(tRegion=$W124)*ISNUMBER(tUWDY),tUPBf),0)</f>
        <v/>
      </c>
      <c r="N124" s="31">
        <f>IFERROR(SUMPRODUCT(tFlag*(tRegion=$W124),tUPBf,tCurDY)/SUMPRODUCT(tFlag*(tRegion=$W124)*ISNUMBER(tCurDY),tUPBf),0)</f>
        <v/>
      </c>
      <c r="O124" s="31">
        <f>IFERROR(SUMPRODUCT(tFlag*(tRegion=$W124),tUPBf,tOcc)/SUMPRODUCT(tFlag*(tRegion=$W124)*ISNUMBER(tOcc),tUPBf),0)</f>
        <v/>
      </c>
      <c r="P124" s="47">
        <f>IFERROR(SUMPRODUCT(tFlag*(tRegion=$W124),tUPBf,tRem)/SUMPRODUCT(tFlag*(tRegion=$W124)*ISNUMBER(tRem),tUPBf),0)</f>
        <v/>
      </c>
      <c r="Q124" s="31">
        <f>IFERROR(SUMPRODUCT(tFlag*(tRegion=$W124),tUPBf,tFIO)/$E124,0)</f>
        <v/>
      </c>
      <c r="R124" s="31">
        <f>IFERROR(SUMPRODUCT(tFlag*(tRegion=$W124),tUPBf,tDefF)/$E124,0)</f>
        <v/>
      </c>
      <c r="S124" s="31">
        <f>IFERROR(SUMPRODUCT(tFlag*(tRegion=$W124),tUPBf,tSSF)/$E124,0)</f>
        <v/>
      </c>
      <c r="T124" s="31">
        <f>IFERROR(SUMPRODUCT(tFlag*(tRegion=$W124),tUPBf,tDQ)/$E124,0)</f>
        <v/>
      </c>
      <c r="U124" s="31">
        <f>IFERROR(SUMPRODUCT(tFlag*(tRegion=$W124),tUPBf,tWLF)/$E124,0)</f>
        <v/>
      </c>
      <c r="W124" s="48" t="inlineStr">
        <is>
          <t>Northeast / New England</t>
        </is>
      </c>
    </row>
    <row r="125">
      <c r="B125" s="18">
        <f>IF(W125="","",W125&amp;"")</f>
        <v/>
      </c>
      <c r="C125" s="19">
        <f>SUMPRODUCT(tFlag*(tRegion=$W125))</f>
        <v/>
      </c>
      <c r="D125" s="22">
        <f>IFERROR(C125/sLoans,0)</f>
        <v/>
      </c>
      <c r="E125" s="21">
        <f>SUMPRODUCT(tFlag*(tRegion=$W125),tUPBf)</f>
        <v/>
      </c>
      <c r="F125" s="22">
        <f>IFERROR(E125/sUPB,0)</f>
        <v/>
      </c>
      <c r="G125" s="21">
        <f>IFERROR(E125/C125,0)</f>
        <v/>
      </c>
      <c r="H125" s="23">
        <f>IFERROR(SUMPRODUCT(tFlag*(tRegion=$W125),tUPBf,tCpn)/SUMPRODUCT(tFlag*(tRegion=$W125)*ISNUMBER(tCpn),tUPBf),0)</f>
        <v/>
      </c>
      <c r="I125" s="24">
        <f>IFERROR(SUMPRODUCT(tFlag*(tRegion=$W125),tUPBf,tUWDSCR)/SUMPRODUCT(tFlag*(tRegion=$W125)*ISNUMBER(tUWDSCR),tUPBf),0)</f>
        <v/>
      </c>
      <c r="J125" s="24">
        <f>IFERROR(SUMPRODUCT(tFlag*(tRegion=$W125),tUPBf,tCurDSCR)/SUMPRODUCT(tFlag*(tRegion=$W125)*ISNUMBER(tCurDSCR),tUPBf),0)</f>
        <v/>
      </c>
      <c r="K125" s="22">
        <f>IFERROR(SUMPRODUCT(tFlag*(tRegion=$W125),tUPBf,tUWLTV)/SUMPRODUCT(tFlag*(tRegion=$W125)*ISNUMBER(tUWLTV),tUPBf),0)</f>
        <v/>
      </c>
      <c r="L125" s="22">
        <f>IFERROR(SUMPRODUCT(tFlag*(tRegion=$W125),tUPBf,tCurLTV)/SUMPRODUCT(tFlag*(tRegion=$W125)*ISNUMBER(tCurLTV),tUPBf),0)</f>
        <v/>
      </c>
      <c r="M125" s="22">
        <f>IFERROR(SUMPRODUCT(tFlag*(tRegion=$W125),tUPBf,tUWDY)/SUMPRODUCT(tFlag*(tRegion=$W125)*ISNUMBER(tUWDY),tUPBf),0)</f>
        <v/>
      </c>
      <c r="N125" s="22">
        <f>IFERROR(SUMPRODUCT(tFlag*(tRegion=$W125),tUPBf,tCurDY)/SUMPRODUCT(tFlag*(tRegion=$W125)*ISNUMBER(tCurDY),tUPBf),0)</f>
        <v/>
      </c>
      <c r="O125" s="22">
        <f>IFERROR(SUMPRODUCT(tFlag*(tRegion=$W125),tUPBf,tOcc)/SUMPRODUCT(tFlag*(tRegion=$W125)*ISNUMBER(tOcc),tUPBf),0)</f>
        <v/>
      </c>
      <c r="P125" s="45">
        <f>IFERROR(SUMPRODUCT(tFlag*(tRegion=$W125),tUPBf,tRem)/SUMPRODUCT(tFlag*(tRegion=$W125)*ISNUMBER(tRem),tUPBf),0)</f>
        <v/>
      </c>
      <c r="Q125" s="22">
        <f>IFERROR(SUMPRODUCT(tFlag*(tRegion=$W125),tUPBf,tFIO)/$E125,0)</f>
        <v/>
      </c>
      <c r="R125" s="22">
        <f>IFERROR(SUMPRODUCT(tFlag*(tRegion=$W125),tUPBf,tDefF)/$E125,0)</f>
        <v/>
      </c>
      <c r="S125" s="22">
        <f>IFERROR(SUMPRODUCT(tFlag*(tRegion=$W125),tUPBf,tSSF)/$E125,0)</f>
        <v/>
      </c>
      <c r="T125" s="22">
        <f>IFERROR(SUMPRODUCT(tFlag*(tRegion=$W125),tUPBf,tDQ)/$E125,0)</f>
        <v/>
      </c>
      <c r="U125" s="22">
        <f>IFERROR(SUMPRODUCT(tFlag*(tRegion=$W125),tUPBf,tWLF)/$E125,0)</f>
        <v/>
      </c>
      <c r="W125" s="48" t="inlineStr">
        <is>
          <t>South / Atlantic</t>
        </is>
      </c>
    </row>
    <row r="126">
      <c r="B126" s="27">
        <f>IF(W126="","",W126&amp;"")</f>
        <v/>
      </c>
      <c r="C126" s="28">
        <f>SUMPRODUCT(tFlag*(tRegion=$W126))</f>
        <v/>
      </c>
      <c r="D126" s="31">
        <f>IFERROR(C126/sLoans,0)</f>
        <v/>
      </c>
      <c r="E126" s="30">
        <f>SUMPRODUCT(tFlag*(tRegion=$W126),tUPBf)</f>
        <v/>
      </c>
      <c r="F126" s="31">
        <f>IFERROR(E126/sUPB,0)</f>
        <v/>
      </c>
      <c r="G126" s="30">
        <f>IFERROR(E126/C126,0)</f>
        <v/>
      </c>
      <c r="H126" s="32">
        <f>IFERROR(SUMPRODUCT(tFlag*(tRegion=$W126),tUPBf,tCpn)/SUMPRODUCT(tFlag*(tRegion=$W126)*ISNUMBER(tCpn),tUPBf),0)</f>
        <v/>
      </c>
      <c r="I126" s="33">
        <f>IFERROR(SUMPRODUCT(tFlag*(tRegion=$W126),tUPBf,tUWDSCR)/SUMPRODUCT(tFlag*(tRegion=$W126)*ISNUMBER(tUWDSCR),tUPBf),0)</f>
        <v/>
      </c>
      <c r="J126" s="33">
        <f>IFERROR(SUMPRODUCT(tFlag*(tRegion=$W126),tUPBf,tCurDSCR)/SUMPRODUCT(tFlag*(tRegion=$W126)*ISNUMBER(tCurDSCR),tUPBf),0)</f>
        <v/>
      </c>
      <c r="K126" s="31">
        <f>IFERROR(SUMPRODUCT(tFlag*(tRegion=$W126),tUPBf,tUWLTV)/SUMPRODUCT(tFlag*(tRegion=$W126)*ISNUMBER(tUWLTV),tUPBf),0)</f>
        <v/>
      </c>
      <c r="L126" s="31">
        <f>IFERROR(SUMPRODUCT(tFlag*(tRegion=$W126),tUPBf,tCurLTV)/SUMPRODUCT(tFlag*(tRegion=$W126)*ISNUMBER(tCurLTV),tUPBf),0)</f>
        <v/>
      </c>
      <c r="M126" s="31">
        <f>IFERROR(SUMPRODUCT(tFlag*(tRegion=$W126),tUPBf,tUWDY)/SUMPRODUCT(tFlag*(tRegion=$W126)*ISNUMBER(tUWDY),tUPBf),0)</f>
        <v/>
      </c>
      <c r="N126" s="31">
        <f>IFERROR(SUMPRODUCT(tFlag*(tRegion=$W126),tUPBf,tCurDY)/SUMPRODUCT(tFlag*(tRegion=$W126)*ISNUMBER(tCurDY),tUPBf),0)</f>
        <v/>
      </c>
      <c r="O126" s="31">
        <f>IFERROR(SUMPRODUCT(tFlag*(tRegion=$W126),tUPBf,tOcc)/SUMPRODUCT(tFlag*(tRegion=$W126)*ISNUMBER(tOcc),tUPBf),0)</f>
        <v/>
      </c>
      <c r="P126" s="47">
        <f>IFERROR(SUMPRODUCT(tFlag*(tRegion=$W126),tUPBf,tRem)/SUMPRODUCT(tFlag*(tRegion=$W126)*ISNUMBER(tRem),tUPBf),0)</f>
        <v/>
      </c>
      <c r="Q126" s="31">
        <f>IFERROR(SUMPRODUCT(tFlag*(tRegion=$W126),tUPBf,tFIO)/$E126,0)</f>
        <v/>
      </c>
      <c r="R126" s="31">
        <f>IFERROR(SUMPRODUCT(tFlag*(tRegion=$W126),tUPBf,tDefF)/$E126,0)</f>
        <v/>
      </c>
      <c r="S126" s="31">
        <f>IFERROR(SUMPRODUCT(tFlag*(tRegion=$W126),tUPBf,tSSF)/$E126,0)</f>
        <v/>
      </c>
      <c r="T126" s="31">
        <f>IFERROR(SUMPRODUCT(tFlag*(tRegion=$W126),tUPBf,tDQ)/$E126,0)</f>
        <v/>
      </c>
      <c r="U126" s="31">
        <f>IFERROR(SUMPRODUCT(tFlag*(tRegion=$W126),tUPBf,tWLF)/$E126,0)</f>
        <v/>
      </c>
      <c r="W126" s="48" t="inlineStr">
        <is>
          <t>South / Central East</t>
        </is>
      </c>
    </row>
    <row r="127">
      <c r="B127" s="18">
        <f>IF(W127="","",W127&amp;"")</f>
        <v/>
      </c>
      <c r="C127" s="19">
        <f>SUMPRODUCT(tFlag*(tRegion=$W127))</f>
        <v/>
      </c>
      <c r="D127" s="22">
        <f>IFERROR(C127/sLoans,0)</f>
        <v/>
      </c>
      <c r="E127" s="21">
        <f>SUMPRODUCT(tFlag*(tRegion=$W127),tUPBf)</f>
        <v/>
      </c>
      <c r="F127" s="22">
        <f>IFERROR(E127/sUPB,0)</f>
        <v/>
      </c>
      <c r="G127" s="21">
        <f>IFERROR(E127/C127,0)</f>
        <v/>
      </c>
      <c r="H127" s="23">
        <f>IFERROR(SUMPRODUCT(tFlag*(tRegion=$W127),tUPBf,tCpn)/SUMPRODUCT(tFlag*(tRegion=$W127)*ISNUMBER(tCpn),tUPBf),0)</f>
        <v/>
      </c>
      <c r="I127" s="24">
        <f>IFERROR(SUMPRODUCT(tFlag*(tRegion=$W127),tUPBf,tUWDSCR)/SUMPRODUCT(tFlag*(tRegion=$W127)*ISNUMBER(tUWDSCR),tUPBf),0)</f>
        <v/>
      </c>
      <c r="J127" s="24">
        <f>IFERROR(SUMPRODUCT(tFlag*(tRegion=$W127),tUPBf,tCurDSCR)/SUMPRODUCT(tFlag*(tRegion=$W127)*ISNUMBER(tCurDSCR),tUPBf),0)</f>
        <v/>
      </c>
      <c r="K127" s="22">
        <f>IFERROR(SUMPRODUCT(tFlag*(tRegion=$W127),tUPBf,tUWLTV)/SUMPRODUCT(tFlag*(tRegion=$W127)*ISNUMBER(tUWLTV),tUPBf),0)</f>
        <v/>
      </c>
      <c r="L127" s="22">
        <f>IFERROR(SUMPRODUCT(tFlag*(tRegion=$W127),tUPBf,tCurLTV)/SUMPRODUCT(tFlag*(tRegion=$W127)*ISNUMBER(tCurLTV),tUPBf),0)</f>
        <v/>
      </c>
      <c r="M127" s="22">
        <f>IFERROR(SUMPRODUCT(tFlag*(tRegion=$W127),tUPBf,tUWDY)/SUMPRODUCT(tFlag*(tRegion=$W127)*ISNUMBER(tUWDY),tUPBf),0)</f>
        <v/>
      </c>
      <c r="N127" s="22">
        <f>IFERROR(SUMPRODUCT(tFlag*(tRegion=$W127),tUPBf,tCurDY)/SUMPRODUCT(tFlag*(tRegion=$W127)*ISNUMBER(tCurDY),tUPBf),0)</f>
        <v/>
      </c>
      <c r="O127" s="22">
        <f>IFERROR(SUMPRODUCT(tFlag*(tRegion=$W127),tUPBf,tOcc)/SUMPRODUCT(tFlag*(tRegion=$W127)*ISNUMBER(tOcc),tUPBf),0)</f>
        <v/>
      </c>
      <c r="P127" s="45">
        <f>IFERROR(SUMPRODUCT(tFlag*(tRegion=$W127),tUPBf,tRem)/SUMPRODUCT(tFlag*(tRegion=$W127)*ISNUMBER(tRem),tUPBf),0)</f>
        <v/>
      </c>
      <c r="Q127" s="22">
        <f>IFERROR(SUMPRODUCT(tFlag*(tRegion=$W127),tUPBf,tFIO)/$E127,0)</f>
        <v/>
      </c>
      <c r="R127" s="22">
        <f>IFERROR(SUMPRODUCT(tFlag*(tRegion=$W127),tUPBf,tDefF)/$E127,0)</f>
        <v/>
      </c>
      <c r="S127" s="22">
        <f>IFERROR(SUMPRODUCT(tFlag*(tRegion=$W127),tUPBf,tSSF)/$E127,0)</f>
        <v/>
      </c>
      <c r="T127" s="22">
        <f>IFERROR(SUMPRODUCT(tFlag*(tRegion=$W127),tUPBf,tDQ)/$E127,0)</f>
        <v/>
      </c>
      <c r="U127" s="22">
        <f>IFERROR(SUMPRODUCT(tFlag*(tRegion=$W127),tUPBf,tWLF)/$E127,0)</f>
        <v/>
      </c>
      <c r="W127" s="48" t="inlineStr">
        <is>
          <t>South / Central West</t>
        </is>
      </c>
    </row>
    <row r="128">
      <c r="B128" s="27">
        <f>IF(W128="","",W128&amp;"")</f>
        <v/>
      </c>
      <c r="C128" s="28">
        <f>SUMPRODUCT(tFlag*(tRegion=$W128))</f>
        <v/>
      </c>
      <c r="D128" s="31">
        <f>IFERROR(C128/sLoans,0)</f>
        <v/>
      </c>
      <c r="E128" s="30">
        <f>SUMPRODUCT(tFlag*(tRegion=$W128),tUPBf)</f>
        <v/>
      </c>
      <c r="F128" s="31">
        <f>IFERROR(E128/sUPB,0)</f>
        <v/>
      </c>
      <c r="G128" s="30">
        <f>IFERROR(E128/C128,0)</f>
        <v/>
      </c>
      <c r="H128" s="32">
        <f>IFERROR(SUMPRODUCT(tFlag*(tRegion=$W128),tUPBf,tCpn)/SUMPRODUCT(tFlag*(tRegion=$W128)*ISNUMBER(tCpn),tUPBf),0)</f>
        <v/>
      </c>
      <c r="I128" s="33">
        <f>IFERROR(SUMPRODUCT(tFlag*(tRegion=$W128),tUPBf,tUWDSCR)/SUMPRODUCT(tFlag*(tRegion=$W128)*ISNUMBER(tUWDSCR),tUPBf),0)</f>
        <v/>
      </c>
      <c r="J128" s="33">
        <f>IFERROR(SUMPRODUCT(tFlag*(tRegion=$W128),tUPBf,tCurDSCR)/SUMPRODUCT(tFlag*(tRegion=$W128)*ISNUMBER(tCurDSCR),tUPBf),0)</f>
        <v/>
      </c>
      <c r="K128" s="31">
        <f>IFERROR(SUMPRODUCT(tFlag*(tRegion=$W128),tUPBf,tUWLTV)/SUMPRODUCT(tFlag*(tRegion=$W128)*ISNUMBER(tUWLTV),tUPBf),0)</f>
        <v/>
      </c>
      <c r="L128" s="31">
        <f>IFERROR(SUMPRODUCT(tFlag*(tRegion=$W128),tUPBf,tCurLTV)/SUMPRODUCT(tFlag*(tRegion=$W128)*ISNUMBER(tCurLTV),tUPBf),0)</f>
        <v/>
      </c>
      <c r="M128" s="31">
        <f>IFERROR(SUMPRODUCT(tFlag*(tRegion=$W128),tUPBf,tUWDY)/SUMPRODUCT(tFlag*(tRegion=$W128)*ISNUMBER(tUWDY),tUPBf),0)</f>
        <v/>
      </c>
      <c r="N128" s="31">
        <f>IFERROR(SUMPRODUCT(tFlag*(tRegion=$W128),tUPBf,tCurDY)/SUMPRODUCT(tFlag*(tRegion=$W128)*ISNUMBER(tCurDY),tUPBf),0)</f>
        <v/>
      </c>
      <c r="O128" s="31">
        <f>IFERROR(SUMPRODUCT(tFlag*(tRegion=$W128),tUPBf,tOcc)/SUMPRODUCT(tFlag*(tRegion=$W128)*ISNUMBER(tOcc),tUPBf),0)</f>
        <v/>
      </c>
      <c r="P128" s="47">
        <f>IFERROR(SUMPRODUCT(tFlag*(tRegion=$W128),tUPBf,tRem)/SUMPRODUCT(tFlag*(tRegion=$W128)*ISNUMBER(tRem),tUPBf),0)</f>
        <v/>
      </c>
      <c r="Q128" s="31">
        <f>IFERROR(SUMPRODUCT(tFlag*(tRegion=$W128),tUPBf,tFIO)/$E128,0)</f>
        <v/>
      </c>
      <c r="R128" s="31">
        <f>IFERROR(SUMPRODUCT(tFlag*(tRegion=$W128),tUPBf,tDefF)/$E128,0)</f>
        <v/>
      </c>
      <c r="S128" s="31">
        <f>IFERROR(SUMPRODUCT(tFlag*(tRegion=$W128),tUPBf,tSSF)/$E128,0)</f>
        <v/>
      </c>
      <c r="T128" s="31">
        <f>IFERROR(SUMPRODUCT(tFlag*(tRegion=$W128),tUPBf,tDQ)/$E128,0)</f>
        <v/>
      </c>
      <c r="U128" s="31">
        <f>IFERROR(SUMPRODUCT(tFlag*(tRegion=$W128),tUPBf,tWLF)/$E128,0)</f>
        <v/>
      </c>
      <c r="W128" s="48" t="inlineStr">
        <is>
          <t>Midwest / Central East</t>
        </is>
      </c>
    </row>
    <row r="129">
      <c r="B129" s="18">
        <f>IF(W129="","",W129&amp;"")</f>
        <v/>
      </c>
      <c r="C129" s="19">
        <f>SUMPRODUCT(tFlag*(tRegion=$W129))</f>
        <v/>
      </c>
      <c r="D129" s="22">
        <f>IFERROR(C129/sLoans,0)</f>
        <v/>
      </c>
      <c r="E129" s="21">
        <f>SUMPRODUCT(tFlag*(tRegion=$W129),tUPBf)</f>
        <v/>
      </c>
      <c r="F129" s="22">
        <f>IFERROR(E129/sUPB,0)</f>
        <v/>
      </c>
      <c r="G129" s="21">
        <f>IFERROR(E129/C129,0)</f>
        <v/>
      </c>
      <c r="H129" s="23">
        <f>IFERROR(SUMPRODUCT(tFlag*(tRegion=$W129),tUPBf,tCpn)/SUMPRODUCT(tFlag*(tRegion=$W129)*ISNUMBER(tCpn),tUPBf),0)</f>
        <v/>
      </c>
      <c r="I129" s="24">
        <f>IFERROR(SUMPRODUCT(tFlag*(tRegion=$W129),tUPBf,tUWDSCR)/SUMPRODUCT(tFlag*(tRegion=$W129)*ISNUMBER(tUWDSCR),tUPBf),0)</f>
        <v/>
      </c>
      <c r="J129" s="24">
        <f>IFERROR(SUMPRODUCT(tFlag*(tRegion=$W129),tUPBf,tCurDSCR)/SUMPRODUCT(tFlag*(tRegion=$W129)*ISNUMBER(tCurDSCR),tUPBf),0)</f>
        <v/>
      </c>
      <c r="K129" s="22">
        <f>IFERROR(SUMPRODUCT(tFlag*(tRegion=$W129),tUPBf,tUWLTV)/SUMPRODUCT(tFlag*(tRegion=$W129)*ISNUMBER(tUWLTV),tUPBf),0)</f>
        <v/>
      </c>
      <c r="L129" s="22">
        <f>IFERROR(SUMPRODUCT(tFlag*(tRegion=$W129),tUPBf,tCurLTV)/SUMPRODUCT(tFlag*(tRegion=$W129)*ISNUMBER(tCurLTV),tUPBf),0)</f>
        <v/>
      </c>
      <c r="M129" s="22">
        <f>IFERROR(SUMPRODUCT(tFlag*(tRegion=$W129),tUPBf,tUWDY)/SUMPRODUCT(tFlag*(tRegion=$W129)*ISNUMBER(tUWDY),tUPBf),0)</f>
        <v/>
      </c>
      <c r="N129" s="22">
        <f>IFERROR(SUMPRODUCT(tFlag*(tRegion=$W129),tUPBf,tCurDY)/SUMPRODUCT(tFlag*(tRegion=$W129)*ISNUMBER(tCurDY),tUPBf),0)</f>
        <v/>
      </c>
      <c r="O129" s="22">
        <f>IFERROR(SUMPRODUCT(tFlag*(tRegion=$W129),tUPBf,tOcc)/SUMPRODUCT(tFlag*(tRegion=$W129)*ISNUMBER(tOcc),tUPBf),0)</f>
        <v/>
      </c>
      <c r="P129" s="45">
        <f>IFERROR(SUMPRODUCT(tFlag*(tRegion=$W129),tUPBf,tRem)/SUMPRODUCT(tFlag*(tRegion=$W129)*ISNUMBER(tRem),tUPBf),0)</f>
        <v/>
      </c>
      <c r="Q129" s="22">
        <f>IFERROR(SUMPRODUCT(tFlag*(tRegion=$W129),tUPBf,tFIO)/$E129,0)</f>
        <v/>
      </c>
      <c r="R129" s="22">
        <f>IFERROR(SUMPRODUCT(tFlag*(tRegion=$W129),tUPBf,tDefF)/$E129,0)</f>
        <v/>
      </c>
      <c r="S129" s="22">
        <f>IFERROR(SUMPRODUCT(tFlag*(tRegion=$W129),tUPBf,tSSF)/$E129,0)</f>
        <v/>
      </c>
      <c r="T129" s="22">
        <f>IFERROR(SUMPRODUCT(tFlag*(tRegion=$W129),tUPBf,tDQ)/$E129,0)</f>
        <v/>
      </c>
      <c r="U129" s="22">
        <f>IFERROR(SUMPRODUCT(tFlag*(tRegion=$W129),tUPBf,tWLF)/$E129,0)</f>
        <v/>
      </c>
      <c r="W129" s="48" t="inlineStr">
        <is>
          <t>Midwest / Central West</t>
        </is>
      </c>
    </row>
    <row r="130">
      <c r="B130" s="27">
        <f>IF(W130="","",W130&amp;"")</f>
        <v/>
      </c>
      <c r="C130" s="28">
        <f>SUMPRODUCT(tFlag*(tRegion=$W130))</f>
        <v/>
      </c>
      <c r="D130" s="31">
        <f>IFERROR(C130/sLoans,0)</f>
        <v/>
      </c>
      <c r="E130" s="30">
        <f>SUMPRODUCT(tFlag*(tRegion=$W130),tUPBf)</f>
        <v/>
      </c>
      <c r="F130" s="31">
        <f>IFERROR(E130/sUPB,0)</f>
        <v/>
      </c>
      <c r="G130" s="30">
        <f>IFERROR(E130/C130,0)</f>
        <v/>
      </c>
      <c r="H130" s="32">
        <f>IFERROR(SUMPRODUCT(tFlag*(tRegion=$W130),tUPBf,tCpn)/SUMPRODUCT(tFlag*(tRegion=$W130)*ISNUMBER(tCpn),tUPBf),0)</f>
        <v/>
      </c>
      <c r="I130" s="33">
        <f>IFERROR(SUMPRODUCT(tFlag*(tRegion=$W130),tUPBf,tUWDSCR)/SUMPRODUCT(tFlag*(tRegion=$W130)*ISNUMBER(tUWDSCR),tUPBf),0)</f>
        <v/>
      </c>
      <c r="J130" s="33">
        <f>IFERROR(SUMPRODUCT(tFlag*(tRegion=$W130),tUPBf,tCurDSCR)/SUMPRODUCT(tFlag*(tRegion=$W130)*ISNUMBER(tCurDSCR),tUPBf),0)</f>
        <v/>
      </c>
      <c r="K130" s="31">
        <f>IFERROR(SUMPRODUCT(tFlag*(tRegion=$W130),tUPBf,tUWLTV)/SUMPRODUCT(tFlag*(tRegion=$W130)*ISNUMBER(tUWLTV),tUPBf),0)</f>
        <v/>
      </c>
      <c r="L130" s="31">
        <f>IFERROR(SUMPRODUCT(tFlag*(tRegion=$W130),tUPBf,tCurLTV)/SUMPRODUCT(tFlag*(tRegion=$W130)*ISNUMBER(tCurLTV),tUPBf),0)</f>
        <v/>
      </c>
      <c r="M130" s="31">
        <f>IFERROR(SUMPRODUCT(tFlag*(tRegion=$W130),tUPBf,tUWDY)/SUMPRODUCT(tFlag*(tRegion=$W130)*ISNUMBER(tUWDY),tUPBf),0)</f>
        <v/>
      </c>
      <c r="N130" s="31">
        <f>IFERROR(SUMPRODUCT(tFlag*(tRegion=$W130),tUPBf,tCurDY)/SUMPRODUCT(tFlag*(tRegion=$W130)*ISNUMBER(tCurDY),tUPBf),0)</f>
        <v/>
      </c>
      <c r="O130" s="31">
        <f>IFERROR(SUMPRODUCT(tFlag*(tRegion=$W130),tUPBf,tOcc)/SUMPRODUCT(tFlag*(tRegion=$W130)*ISNUMBER(tOcc),tUPBf),0)</f>
        <v/>
      </c>
      <c r="P130" s="47">
        <f>IFERROR(SUMPRODUCT(tFlag*(tRegion=$W130),tUPBf,tRem)/SUMPRODUCT(tFlag*(tRegion=$W130)*ISNUMBER(tRem),tUPBf),0)</f>
        <v/>
      </c>
      <c r="Q130" s="31">
        <f>IFERROR(SUMPRODUCT(tFlag*(tRegion=$W130),tUPBf,tFIO)/$E130,0)</f>
        <v/>
      </c>
      <c r="R130" s="31">
        <f>IFERROR(SUMPRODUCT(tFlag*(tRegion=$W130),tUPBf,tDefF)/$E130,0)</f>
        <v/>
      </c>
      <c r="S130" s="31">
        <f>IFERROR(SUMPRODUCT(tFlag*(tRegion=$W130),tUPBf,tSSF)/$E130,0)</f>
        <v/>
      </c>
      <c r="T130" s="31">
        <f>IFERROR(SUMPRODUCT(tFlag*(tRegion=$W130),tUPBf,tDQ)/$E130,0)</f>
        <v/>
      </c>
      <c r="U130" s="31">
        <f>IFERROR(SUMPRODUCT(tFlag*(tRegion=$W130),tUPBf,tWLF)/$E130,0)</f>
        <v/>
      </c>
      <c r="W130" s="48" t="inlineStr">
        <is>
          <t>West / Mountain</t>
        </is>
      </c>
    </row>
    <row r="131">
      <c r="B131" s="18">
        <f>IF(W131="","",W131&amp;"")</f>
        <v/>
      </c>
      <c r="C131" s="19">
        <f>SUMPRODUCT(tFlag*(tRegion=$W131))</f>
        <v/>
      </c>
      <c r="D131" s="22">
        <f>IFERROR(C131/sLoans,0)</f>
        <v/>
      </c>
      <c r="E131" s="21">
        <f>SUMPRODUCT(tFlag*(tRegion=$W131),tUPBf)</f>
        <v/>
      </c>
      <c r="F131" s="22">
        <f>IFERROR(E131/sUPB,0)</f>
        <v/>
      </c>
      <c r="G131" s="21">
        <f>IFERROR(E131/C131,0)</f>
        <v/>
      </c>
      <c r="H131" s="23">
        <f>IFERROR(SUMPRODUCT(tFlag*(tRegion=$W131),tUPBf,tCpn)/SUMPRODUCT(tFlag*(tRegion=$W131)*ISNUMBER(tCpn),tUPBf),0)</f>
        <v/>
      </c>
      <c r="I131" s="24">
        <f>IFERROR(SUMPRODUCT(tFlag*(tRegion=$W131),tUPBf,tUWDSCR)/SUMPRODUCT(tFlag*(tRegion=$W131)*ISNUMBER(tUWDSCR),tUPBf),0)</f>
        <v/>
      </c>
      <c r="J131" s="24">
        <f>IFERROR(SUMPRODUCT(tFlag*(tRegion=$W131),tUPBf,tCurDSCR)/SUMPRODUCT(tFlag*(tRegion=$W131)*ISNUMBER(tCurDSCR),tUPBf),0)</f>
        <v/>
      </c>
      <c r="K131" s="22">
        <f>IFERROR(SUMPRODUCT(tFlag*(tRegion=$W131),tUPBf,tUWLTV)/SUMPRODUCT(tFlag*(tRegion=$W131)*ISNUMBER(tUWLTV),tUPBf),0)</f>
        <v/>
      </c>
      <c r="L131" s="22">
        <f>IFERROR(SUMPRODUCT(tFlag*(tRegion=$W131),tUPBf,tCurLTV)/SUMPRODUCT(tFlag*(tRegion=$W131)*ISNUMBER(tCurLTV),tUPBf),0)</f>
        <v/>
      </c>
      <c r="M131" s="22">
        <f>IFERROR(SUMPRODUCT(tFlag*(tRegion=$W131),tUPBf,tUWDY)/SUMPRODUCT(tFlag*(tRegion=$W131)*ISNUMBER(tUWDY),tUPBf),0)</f>
        <v/>
      </c>
      <c r="N131" s="22">
        <f>IFERROR(SUMPRODUCT(tFlag*(tRegion=$W131),tUPBf,tCurDY)/SUMPRODUCT(tFlag*(tRegion=$W131)*ISNUMBER(tCurDY),tUPBf),0)</f>
        <v/>
      </c>
      <c r="O131" s="22">
        <f>IFERROR(SUMPRODUCT(tFlag*(tRegion=$W131),tUPBf,tOcc)/SUMPRODUCT(tFlag*(tRegion=$W131)*ISNUMBER(tOcc),tUPBf),0)</f>
        <v/>
      </c>
      <c r="P131" s="45">
        <f>IFERROR(SUMPRODUCT(tFlag*(tRegion=$W131),tUPBf,tRem)/SUMPRODUCT(tFlag*(tRegion=$W131)*ISNUMBER(tRem),tUPBf),0)</f>
        <v/>
      </c>
      <c r="Q131" s="22">
        <f>IFERROR(SUMPRODUCT(tFlag*(tRegion=$W131),tUPBf,tFIO)/$E131,0)</f>
        <v/>
      </c>
      <c r="R131" s="22">
        <f>IFERROR(SUMPRODUCT(tFlag*(tRegion=$W131),tUPBf,tDefF)/$E131,0)</f>
        <v/>
      </c>
      <c r="S131" s="22">
        <f>IFERROR(SUMPRODUCT(tFlag*(tRegion=$W131),tUPBf,tSSF)/$E131,0)</f>
        <v/>
      </c>
      <c r="T131" s="22">
        <f>IFERROR(SUMPRODUCT(tFlag*(tRegion=$W131),tUPBf,tDQ)/$E131,0)</f>
        <v/>
      </c>
      <c r="U131" s="22">
        <f>IFERROR(SUMPRODUCT(tFlag*(tRegion=$W131),tUPBf,tWLF)/$E131,0)</f>
        <v/>
      </c>
      <c r="W131" s="48" t="inlineStr">
        <is>
          <t>West / Pacific North</t>
        </is>
      </c>
    </row>
    <row r="132">
      <c r="B132" s="27">
        <f>IF(W132="","",W132&amp;"")</f>
        <v/>
      </c>
      <c r="C132" s="28">
        <f>SUMPRODUCT(tFlag*(tRegion=$W132))</f>
        <v/>
      </c>
      <c r="D132" s="31">
        <f>IFERROR(C132/sLoans,0)</f>
        <v/>
      </c>
      <c r="E132" s="30">
        <f>SUMPRODUCT(tFlag*(tRegion=$W132),tUPBf)</f>
        <v/>
      </c>
      <c r="F132" s="31">
        <f>IFERROR(E132/sUPB,0)</f>
        <v/>
      </c>
      <c r="G132" s="30">
        <f>IFERROR(E132/C132,0)</f>
        <v/>
      </c>
      <c r="H132" s="32">
        <f>IFERROR(SUMPRODUCT(tFlag*(tRegion=$W132),tUPBf,tCpn)/SUMPRODUCT(tFlag*(tRegion=$W132)*ISNUMBER(tCpn),tUPBf),0)</f>
        <v/>
      </c>
      <c r="I132" s="33">
        <f>IFERROR(SUMPRODUCT(tFlag*(tRegion=$W132),tUPBf,tUWDSCR)/SUMPRODUCT(tFlag*(tRegion=$W132)*ISNUMBER(tUWDSCR),tUPBf),0)</f>
        <v/>
      </c>
      <c r="J132" s="33">
        <f>IFERROR(SUMPRODUCT(tFlag*(tRegion=$W132),tUPBf,tCurDSCR)/SUMPRODUCT(tFlag*(tRegion=$W132)*ISNUMBER(tCurDSCR),tUPBf),0)</f>
        <v/>
      </c>
      <c r="K132" s="31">
        <f>IFERROR(SUMPRODUCT(tFlag*(tRegion=$W132),tUPBf,tUWLTV)/SUMPRODUCT(tFlag*(tRegion=$W132)*ISNUMBER(tUWLTV),tUPBf),0)</f>
        <v/>
      </c>
      <c r="L132" s="31">
        <f>IFERROR(SUMPRODUCT(tFlag*(tRegion=$W132),tUPBf,tCurLTV)/SUMPRODUCT(tFlag*(tRegion=$W132)*ISNUMBER(tCurLTV),tUPBf),0)</f>
        <v/>
      </c>
      <c r="M132" s="31">
        <f>IFERROR(SUMPRODUCT(tFlag*(tRegion=$W132),tUPBf,tUWDY)/SUMPRODUCT(tFlag*(tRegion=$W132)*ISNUMBER(tUWDY),tUPBf),0)</f>
        <v/>
      </c>
      <c r="N132" s="31">
        <f>IFERROR(SUMPRODUCT(tFlag*(tRegion=$W132),tUPBf,tCurDY)/SUMPRODUCT(tFlag*(tRegion=$W132)*ISNUMBER(tCurDY),tUPBf),0)</f>
        <v/>
      </c>
      <c r="O132" s="31">
        <f>IFERROR(SUMPRODUCT(tFlag*(tRegion=$W132),tUPBf,tOcc)/SUMPRODUCT(tFlag*(tRegion=$W132)*ISNUMBER(tOcc),tUPBf),0)</f>
        <v/>
      </c>
      <c r="P132" s="47">
        <f>IFERROR(SUMPRODUCT(tFlag*(tRegion=$W132),tUPBf,tRem)/SUMPRODUCT(tFlag*(tRegion=$W132)*ISNUMBER(tRem),tUPBf),0)</f>
        <v/>
      </c>
      <c r="Q132" s="31">
        <f>IFERROR(SUMPRODUCT(tFlag*(tRegion=$W132),tUPBf,tFIO)/$E132,0)</f>
        <v/>
      </c>
      <c r="R132" s="31">
        <f>IFERROR(SUMPRODUCT(tFlag*(tRegion=$W132),tUPBf,tDefF)/$E132,0)</f>
        <v/>
      </c>
      <c r="S132" s="31">
        <f>IFERROR(SUMPRODUCT(tFlag*(tRegion=$W132),tUPBf,tSSF)/$E132,0)</f>
        <v/>
      </c>
      <c r="T132" s="31">
        <f>IFERROR(SUMPRODUCT(tFlag*(tRegion=$W132),tUPBf,tDQ)/$E132,0)</f>
        <v/>
      </c>
      <c r="U132" s="31">
        <f>IFERROR(SUMPRODUCT(tFlag*(tRegion=$W132),tUPBf,tWLF)/$E132,0)</f>
        <v/>
      </c>
      <c r="W132" s="48" t="inlineStr">
        <is>
          <t>West / Pacific South</t>
        </is>
      </c>
    </row>
    <row r="133">
      <c r="B133" s="18">
        <f>IF(W133="","",W133&amp;"")</f>
        <v/>
      </c>
      <c r="C133" s="19">
        <f>SUMPRODUCT(tFlag*(tRegion=$W133))</f>
        <v/>
      </c>
      <c r="D133" s="22">
        <f>IFERROR(C133/sLoans,0)</f>
        <v/>
      </c>
      <c r="E133" s="21">
        <f>SUMPRODUCT(tFlag*(tRegion=$W133),tUPBf)</f>
        <v/>
      </c>
      <c r="F133" s="22">
        <f>IFERROR(E133/sUPB,0)</f>
        <v/>
      </c>
      <c r="G133" s="21">
        <f>IFERROR(E133/C133,0)</f>
        <v/>
      </c>
      <c r="H133" s="23">
        <f>IFERROR(SUMPRODUCT(tFlag*(tRegion=$W133),tUPBf,tCpn)/SUMPRODUCT(tFlag*(tRegion=$W133)*ISNUMBER(tCpn),tUPBf),0)</f>
        <v/>
      </c>
      <c r="I133" s="24">
        <f>IFERROR(SUMPRODUCT(tFlag*(tRegion=$W133),tUPBf,tUWDSCR)/SUMPRODUCT(tFlag*(tRegion=$W133)*ISNUMBER(tUWDSCR),tUPBf),0)</f>
        <v/>
      </c>
      <c r="J133" s="24">
        <f>IFERROR(SUMPRODUCT(tFlag*(tRegion=$W133),tUPBf,tCurDSCR)/SUMPRODUCT(tFlag*(tRegion=$W133)*ISNUMBER(tCurDSCR),tUPBf),0)</f>
        <v/>
      </c>
      <c r="K133" s="22">
        <f>IFERROR(SUMPRODUCT(tFlag*(tRegion=$W133),tUPBf,tUWLTV)/SUMPRODUCT(tFlag*(tRegion=$W133)*ISNUMBER(tUWLTV),tUPBf),0)</f>
        <v/>
      </c>
      <c r="L133" s="22">
        <f>IFERROR(SUMPRODUCT(tFlag*(tRegion=$W133),tUPBf,tCurLTV)/SUMPRODUCT(tFlag*(tRegion=$W133)*ISNUMBER(tCurLTV),tUPBf),0)</f>
        <v/>
      </c>
      <c r="M133" s="22">
        <f>IFERROR(SUMPRODUCT(tFlag*(tRegion=$W133),tUPBf,tUWDY)/SUMPRODUCT(tFlag*(tRegion=$W133)*ISNUMBER(tUWDY),tUPBf),0)</f>
        <v/>
      </c>
      <c r="N133" s="22">
        <f>IFERROR(SUMPRODUCT(tFlag*(tRegion=$W133),tUPBf,tCurDY)/SUMPRODUCT(tFlag*(tRegion=$W133)*ISNUMBER(tCurDY),tUPBf),0)</f>
        <v/>
      </c>
      <c r="O133" s="22">
        <f>IFERROR(SUMPRODUCT(tFlag*(tRegion=$W133),tUPBf,tOcc)/SUMPRODUCT(tFlag*(tRegion=$W133)*ISNUMBER(tOcc),tUPBf),0)</f>
        <v/>
      </c>
      <c r="P133" s="45">
        <f>IFERROR(SUMPRODUCT(tFlag*(tRegion=$W133),tUPBf,tRem)/SUMPRODUCT(tFlag*(tRegion=$W133)*ISNUMBER(tRem),tUPBf),0)</f>
        <v/>
      </c>
      <c r="Q133" s="22">
        <f>IFERROR(SUMPRODUCT(tFlag*(tRegion=$W133),tUPBf,tFIO)/$E133,0)</f>
        <v/>
      </c>
      <c r="R133" s="22">
        <f>IFERROR(SUMPRODUCT(tFlag*(tRegion=$W133),tUPBf,tDefF)/$E133,0)</f>
        <v/>
      </c>
      <c r="S133" s="22">
        <f>IFERROR(SUMPRODUCT(tFlag*(tRegion=$W133),tUPBf,tSSF)/$E133,0)</f>
        <v/>
      </c>
      <c r="T133" s="22">
        <f>IFERROR(SUMPRODUCT(tFlag*(tRegion=$W133),tUPBf,tDQ)/$E133,0)</f>
        <v/>
      </c>
      <c r="U133" s="22">
        <f>IFERROR(SUMPRODUCT(tFlag*(tRegion=$W133),tUPBf,tWLF)/$E133,0)</f>
        <v/>
      </c>
      <c r="W133" s="48" t="inlineStr">
        <is>
          <t>Not Reported</t>
        </is>
      </c>
    </row>
    <row r="134">
      <c r="B134" s="36" t="inlineStr">
        <is>
          <t>Total / Wtd. Avg.</t>
        </is>
      </c>
      <c r="C134" s="37">
        <f>SUMPRODUCT(tFlag*(1))</f>
        <v/>
      </c>
      <c r="D134" s="40">
        <f>IFERROR(C134/sLoans,0)</f>
        <v/>
      </c>
      <c r="E134" s="39">
        <f>SUMPRODUCT(tFlag*(1),tUPBf)</f>
        <v/>
      </c>
      <c r="F134" s="40">
        <f>IFERROR(E134/sUPB,0)</f>
        <v/>
      </c>
      <c r="G134" s="39">
        <f>IFERROR(E134/C134,0)</f>
        <v/>
      </c>
      <c r="H134" s="41">
        <f>IFERROR(SUMPRODUCT(tFlag*(1),tUPBf,tCpn)/SUMPRODUCT(tFlag*(1)*ISNUMBER(tCpn),tUPBf),0)</f>
        <v/>
      </c>
      <c r="I134" s="42">
        <f>IFERROR(SUMPRODUCT(tFlag*(1),tUPBf,tUWDSCR)/SUMPRODUCT(tFlag*(1)*ISNUMBER(tUWDSCR),tUPBf),0)</f>
        <v/>
      </c>
      <c r="J134" s="42">
        <f>IFERROR(SUMPRODUCT(tFlag*(1),tUPBf,tCurDSCR)/SUMPRODUCT(tFlag*(1)*ISNUMBER(tCurDSCR),tUPBf),0)</f>
        <v/>
      </c>
      <c r="K134" s="40">
        <f>IFERROR(SUMPRODUCT(tFlag*(1),tUPBf,tUWLTV)/SUMPRODUCT(tFlag*(1)*ISNUMBER(tUWLTV),tUPBf),0)</f>
        <v/>
      </c>
      <c r="L134" s="40">
        <f>IFERROR(SUMPRODUCT(tFlag*(1),tUPBf,tCurLTV)/SUMPRODUCT(tFlag*(1)*ISNUMBER(tCurLTV),tUPBf),0)</f>
        <v/>
      </c>
      <c r="M134" s="40">
        <f>IFERROR(SUMPRODUCT(tFlag*(1),tUPBf,tUWDY)/SUMPRODUCT(tFlag*(1)*ISNUMBER(tUWDY),tUPBf),0)</f>
        <v/>
      </c>
      <c r="N134" s="40">
        <f>IFERROR(SUMPRODUCT(tFlag*(1),tUPBf,tCurDY)/SUMPRODUCT(tFlag*(1)*ISNUMBER(tCurDY),tUPBf),0)</f>
        <v/>
      </c>
      <c r="O134" s="40">
        <f>IFERROR(SUMPRODUCT(tFlag*(1),tUPBf,tOcc)/SUMPRODUCT(tFlag*(1)*ISNUMBER(tOcc),tUPBf),0)</f>
        <v/>
      </c>
      <c r="P134" s="43">
        <f>IFERROR(SUMPRODUCT(tFlag*(1),tUPBf,tRem)/SUMPRODUCT(tFlag*(1)*ISNUMBER(tRem),tUPBf),0)</f>
        <v/>
      </c>
      <c r="Q134" s="40">
        <f>IFERROR(SUMPRODUCT(tFlag*(1),tUPBf,tFIO)/$E134,0)</f>
        <v/>
      </c>
      <c r="R134" s="40">
        <f>IFERROR(SUMPRODUCT(tFlag*(1),tUPBf,tDefF)/$E134,0)</f>
        <v/>
      </c>
      <c r="S134" s="40">
        <f>IFERROR(SUMPRODUCT(tFlag*(1),tUPBf,tSSF)/$E134,0)</f>
        <v/>
      </c>
      <c r="T134" s="40">
        <f>IFERROR(SUMPRODUCT(tFlag*(1),tUPBf,tDQ)/$E134,0)</f>
        <v/>
      </c>
      <c r="U134" s="40">
        <f>IFERROR(SUMPRODUCT(tFlag*(1),tUPBf,tWLF)/$E134,0)</f>
        <v/>
      </c>
    </row>
    <row r="136" ht="15" customHeight="1">
      <c r="B136" s="2" t="inlineStr">
        <is>
          <t>PAYMENT STATUS</t>
        </is>
      </c>
      <c r="C136" s="3" t="n"/>
      <c r="D136" s="3" t="n"/>
      <c r="E136" s="3" t="n"/>
      <c r="F136" s="3" t="n"/>
      <c r="G136" s="3" t="n"/>
      <c r="H136" s="3" t="n"/>
      <c r="I136" s="3" t="n"/>
      <c r="J136" s="3" t="n"/>
      <c r="K136" s="3" t="n"/>
      <c r="L136" s="3" t="n"/>
      <c r="M136" s="3" t="n"/>
      <c r="N136" s="3" t="n"/>
      <c r="O136" s="3" t="n"/>
      <c r="P136" s="3" t="n"/>
      <c r="Q136" s="3" t="n"/>
      <c r="R136" s="3" t="n"/>
      <c r="S136" s="3" t="n"/>
      <c r="T136" s="3" t="n"/>
      <c r="U136" s="3" t="n"/>
    </row>
    <row r="137" ht="39.75" customHeight="1">
      <c r="B137" s="15" t="inlineStr">
        <is>
          <t>Category</t>
        </is>
      </c>
      <c r="C137" s="16" t="inlineStr">
        <is>
          <t>Number of Loans</t>
        </is>
      </c>
      <c r="D137" s="16" t="inlineStr">
        <is>
          <t>% of Loans</t>
        </is>
      </c>
      <c r="E137" s="16" t="inlineStr">
        <is>
          <t>Current UPB</t>
        </is>
      </c>
      <c r="F137" s="16" t="inlineStr">
        <is>
          <t>% of UPB</t>
        </is>
      </c>
      <c r="G137" s="16" t="inlineStr">
        <is>
          <t>Average Loan Size</t>
        </is>
      </c>
      <c r="H137" s="16" t="inlineStr">
        <is>
          <t>Wtd. Avg. Gross Coupon</t>
        </is>
      </c>
      <c r="I137" s="16" t="inlineStr">
        <is>
          <t>Wtd. Avg. UW NCF DSCR</t>
        </is>
      </c>
      <c r="J137" s="16" t="inlineStr">
        <is>
          <t>Wtd. Avg. Current NCF DSCR</t>
        </is>
      </c>
      <c r="K137" s="16" t="inlineStr">
        <is>
          <t>Wtd. Avg. UW LTV</t>
        </is>
      </c>
      <c r="L137" s="16" t="inlineStr">
        <is>
          <t>Wtd. Avg. Current LTV</t>
        </is>
      </c>
      <c r="M137" s="16" t="inlineStr">
        <is>
          <t>Wtd. Avg. UW NCF Debt Yield</t>
        </is>
      </c>
      <c r="N137" s="16" t="inlineStr">
        <is>
          <t>Wtd. Avg. Current NCF Debt Yield</t>
        </is>
      </c>
      <c r="O137" s="16" t="inlineStr">
        <is>
          <t>Wtd. Avg. Current Occupancy</t>
        </is>
      </c>
      <c r="P137" s="16" t="inlineStr">
        <is>
          <t>Wtd. Avg. Rem. Term (Mo.)</t>
        </is>
      </c>
      <c r="Q137" s="16" t="inlineStr">
        <is>
          <t>% Full IO</t>
        </is>
      </c>
      <c r="R137" s="16" t="inlineStr">
        <is>
          <t>% Defeased</t>
        </is>
      </c>
      <c r="S137" s="16" t="inlineStr">
        <is>
          <t>% Currently Specially Serviced</t>
        </is>
      </c>
      <c r="T137" s="16" t="inlineStr">
        <is>
          <t>% 30+ Delinq. / FC / REO</t>
        </is>
      </c>
      <c r="U137" s="16" t="inlineStr">
        <is>
          <t>% On Watchlist</t>
        </is>
      </c>
      <c r="W137" s="44" t="inlineStr">
        <is>
          <t>Category Label</t>
        </is>
      </c>
    </row>
    <row r="138">
      <c r="B138" s="18">
        <f>IF(W138="","",W138&amp;"")</f>
        <v/>
      </c>
      <c r="C138" s="19">
        <f>SUMPRODUCT(tFlag*(tPay=$W138))</f>
        <v/>
      </c>
      <c r="D138" s="22">
        <f>IFERROR(C138/sLoans,0)</f>
        <v/>
      </c>
      <c r="E138" s="21">
        <f>SUMPRODUCT(tFlag*(tPay=$W138),tUPBf)</f>
        <v/>
      </c>
      <c r="F138" s="22">
        <f>IFERROR(E138/sUPB,0)</f>
        <v/>
      </c>
      <c r="G138" s="21">
        <f>IFERROR(E138/C138,0)</f>
        <v/>
      </c>
      <c r="H138" s="23">
        <f>IFERROR(SUMPRODUCT(tFlag*(tPay=$W138),tUPBf,tCpn)/SUMPRODUCT(tFlag*(tPay=$W138)*ISNUMBER(tCpn),tUPBf),0)</f>
        <v/>
      </c>
      <c r="I138" s="24">
        <f>IFERROR(SUMPRODUCT(tFlag*(tPay=$W138),tUPBf,tUWDSCR)/SUMPRODUCT(tFlag*(tPay=$W138)*ISNUMBER(tUWDSCR),tUPBf),0)</f>
        <v/>
      </c>
      <c r="J138" s="24">
        <f>IFERROR(SUMPRODUCT(tFlag*(tPay=$W138),tUPBf,tCurDSCR)/SUMPRODUCT(tFlag*(tPay=$W138)*ISNUMBER(tCurDSCR),tUPBf),0)</f>
        <v/>
      </c>
      <c r="K138" s="22">
        <f>IFERROR(SUMPRODUCT(tFlag*(tPay=$W138),tUPBf,tUWLTV)/SUMPRODUCT(tFlag*(tPay=$W138)*ISNUMBER(tUWLTV),tUPBf),0)</f>
        <v/>
      </c>
      <c r="L138" s="22">
        <f>IFERROR(SUMPRODUCT(tFlag*(tPay=$W138),tUPBf,tCurLTV)/SUMPRODUCT(tFlag*(tPay=$W138)*ISNUMBER(tCurLTV),tUPBf),0)</f>
        <v/>
      </c>
      <c r="M138" s="22">
        <f>IFERROR(SUMPRODUCT(tFlag*(tPay=$W138),tUPBf,tUWDY)/SUMPRODUCT(tFlag*(tPay=$W138)*ISNUMBER(tUWDY),tUPBf),0)</f>
        <v/>
      </c>
      <c r="N138" s="22">
        <f>IFERROR(SUMPRODUCT(tFlag*(tPay=$W138),tUPBf,tCurDY)/SUMPRODUCT(tFlag*(tPay=$W138)*ISNUMBER(tCurDY),tUPBf),0)</f>
        <v/>
      </c>
      <c r="O138" s="22">
        <f>IFERROR(SUMPRODUCT(tFlag*(tPay=$W138),tUPBf,tOcc)/SUMPRODUCT(tFlag*(tPay=$W138)*ISNUMBER(tOcc),tUPBf),0)</f>
        <v/>
      </c>
      <c r="P138" s="45">
        <f>IFERROR(SUMPRODUCT(tFlag*(tPay=$W138),tUPBf,tRem)/SUMPRODUCT(tFlag*(tPay=$W138)*ISNUMBER(tRem),tUPBf),0)</f>
        <v/>
      </c>
      <c r="Q138" s="22">
        <f>IFERROR(SUMPRODUCT(tFlag*(tPay=$W138),tUPBf,tFIO)/$E138,0)</f>
        <v/>
      </c>
      <c r="R138" s="22">
        <f>IFERROR(SUMPRODUCT(tFlag*(tPay=$W138),tUPBf,tDefF)/$E138,0)</f>
        <v/>
      </c>
      <c r="S138" s="22">
        <f>IFERROR(SUMPRODUCT(tFlag*(tPay=$W138),tUPBf,tSSF)/$E138,0)</f>
        <v/>
      </c>
      <c r="T138" s="22">
        <f>IFERROR(SUMPRODUCT(tFlag*(tPay=$W138),tUPBf,tDQ)/$E138,0)</f>
        <v/>
      </c>
      <c r="U138" s="22">
        <f>IFERROR(SUMPRODUCT(tFlag*(tPay=$W138),tUPBf,tWLF)/$E138,0)</f>
        <v/>
      </c>
      <c r="W138" s="48" t="inlineStr">
        <is>
          <t>Current</t>
        </is>
      </c>
    </row>
    <row r="139">
      <c r="B139" s="27">
        <f>IF(W139="","",W139&amp;"")</f>
        <v/>
      </c>
      <c r="C139" s="28">
        <f>SUMPRODUCT(tFlag*(tPay=$W139))</f>
        <v/>
      </c>
      <c r="D139" s="31">
        <f>IFERROR(C139/sLoans,0)</f>
        <v/>
      </c>
      <c r="E139" s="30">
        <f>SUMPRODUCT(tFlag*(tPay=$W139),tUPBf)</f>
        <v/>
      </c>
      <c r="F139" s="31">
        <f>IFERROR(E139/sUPB,0)</f>
        <v/>
      </c>
      <c r="G139" s="30">
        <f>IFERROR(E139/C139,0)</f>
        <v/>
      </c>
      <c r="H139" s="32">
        <f>IFERROR(SUMPRODUCT(tFlag*(tPay=$W139),tUPBf,tCpn)/SUMPRODUCT(tFlag*(tPay=$W139)*ISNUMBER(tCpn),tUPBf),0)</f>
        <v/>
      </c>
      <c r="I139" s="33">
        <f>IFERROR(SUMPRODUCT(tFlag*(tPay=$W139),tUPBf,tUWDSCR)/SUMPRODUCT(tFlag*(tPay=$W139)*ISNUMBER(tUWDSCR),tUPBf),0)</f>
        <v/>
      </c>
      <c r="J139" s="33">
        <f>IFERROR(SUMPRODUCT(tFlag*(tPay=$W139),tUPBf,tCurDSCR)/SUMPRODUCT(tFlag*(tPay=$W139)*ISNUMBER(tCurDSCR),tUPBf),0)</f>
        <v/>
      </c>
      <c r="K139" s="31">
        <f>IFERROR(SUMPRODUCT(tFlag*(tPay=$W139),tUPBf,tUWLTV)/SUMPRODUCT(tFlag*(tPay=$W139)*ISNUMBER(tUWLTV),tUPBf),0)</f>
        <v/>
      </c>
      <c r="L139" s="31">
        <f>IFERROR(SUMPRODUCT(tFlag*(tPay=$W139),tUPBf,tCurLTV)/SUMPRODUCT(tFlag*(tPay=$W139)*ISNUMBER(tCurLTV),tUPBf),0)</f>
        <v/>
      </c>
      <c r="M139" s="31">
        <f>IFERROR(SUMPRODUCT(tFlag*(tPay=$W139),tUPBf,tUWDY)/SUMPRODUCT(tFlag*(tPay=$W139)*ISNUMBER(tUWDY),tUPBf),0)</f>
        <v/>
      </c>
      <c r="N139" s="31">
        <f>IFERROR(SUMPRODUCT(tFlag*(tPay=$W139),tUPBf,tCurDY)/SUMPRODUCT(tFlag*(tPay=$W139)*ISNUMBER(tCurDY),tUPBf),0)</f>
        <v/>
      </c>
      <c r="O139" s="31">
        <f>IFERROR(SUMPRODUCT(tFlag*(tPay=$W139),tUPBf,tOcc)/SUMPRODUCT(tFlag*(tPay=$W139)*ISNUMBER(tOcc),tUPBf),0)</f>
        <v/>
      </c>
      <c r="P139" s="47">
        <f>IFERROR(SUMPRODUCT(tFlag*(tPay=$W139),tUPBf,tRem)/SUMPRODUCT(tFlag*(tPay=$W139)*ISNUMBER(tRem),tUPBf),0)</f>
        <v/>
      </c>
      <c r="Q139" s="31">
        <f>IFERROR(SUMPRODUCT(tFlag*(tPay=$W139),tUPBf,tFIO)/$E139,0)</f>
        <v/>
      </c>
      <c r="R139" s="31">
        <f>IFERROR(SUMPRODUCT(tFlag*(tPay=$W139),tUPBf,tDefF)/$E139,0)</f>
        <v/>
      </c>
      <c r="S139" s="31">
        <f>IFERROR(SUMPRODUCT(tFlag*(tPay=$W139),tUPBf,tSSF)/$E139,0)</f>
        <v/>
      </c>
      <c r="T139" s="31">
        <f>IFERROR(SUMPRODUCT(tFlag*(tPay=$W139),tUPBf,tDQ)/$E139,0)</f>
        <v/>
      </c>
      <c r="U139" s="31">
        <f>IFERROR(SUMPRODUCT(tFlag*(tPay=$W139),tUPBf,tWLF)/$E139,0)</f>
        <v/>
      </c>
      <c r="W139" s="48" t="inlineStr">
        <is>
          <t>Late / In Grace (&lt;30 Days)</t>
        </is>
      </c>
    </row>
    <row r="140">
      <c r="B140" s="18">
        <f>IF(W140="","",W140&amp;"")</f>
        <v/>
      </c>
      <c r="C140" s="19">
        <f>SUMPRODUCT(tFlag*(tPay=$W140))</f>
        <v/>
      </c>
      <c r="D140" s="22">
        <f>IFERROR(C140/sLoans,0)</f>
        <v/>
      </c>
      <c r="E140" s="21">
        <f>SUMPRODUCT(tFlag*(tPay=$W140),tUPBf)</f>
        <v/>
      </c>
      <c r="F140" s="22">
        <f>IFERROR(E140/sUPB,0)</f>
        <v/>
      </c>
      <c r="G140" s="21">
        <f>IFERROR(E140/C140,0)</f>
        <v/>
      </c>
      <c r="H140" s="23">
        <f>IFERROR(SUMPRODUCT(tFlag*(tPay=$W140),tUPBf,tCpn)/SUMPRODUCT(tFlag*(tPay=$W140)*ISNUMBER(tCpn),tUPBf),0)</f>
        <v/>
      </c>
      <c r="I140" s="24">
        <f>IFERROR(SUMPRODUCT(tFlag*(tPay=$W140),tUPBf,tUWDSCR)/SUMPRODUCT(tFlag*(tPay=$W140)*ISNUMBER(tUWDSCR),tUPBf),0)</f>
        <v/>
      </c>
      <c r="J140" s="24">
        <f>IFERROR(SUMPRODUCT(tFlag*(tPay=$W140),tUPBf,tCurDSCR)/SUMPRODUCT(tFlag*(tPay=$W140)*ISNUMBER(tCurDSCR),tUPBf),0)</f>
        <v/>
      </c>
      <c r="K140" s="22">
        <f>IFERROR(SUMPRODUCT(tFlag*(tPay=$W140),tUPBf,tUWLTV)/SUMPRODUCT(tFlag*(tPay=$W140)*ISNUMBER(tUWLTV),tUPBf),0)</f>
        <v/>
      </c>
      <c r="L140" s="22">
        <f>IFERROR(SUMPRODUCT(tFlag*(tPay=$W140),tUPBf,tCurLTV)/SUMPRODUCT(tFlag*(tPay=$W140)*ISNUMBER(tCurLTV),tUPBf),0)</f>
        <v/>
      </c>
      <c r="M140" s="22">
        <f>IFERROR(SUMPRODUCT(tFlag*(tPay=$W140),tUPBf,tUWDY)/SUMPRODUCT(tFlag*(tPay=$W140)*ISNUMBER(tUWDY),tUPBf),0)</f>
        <v/>
      </c>
      <c r="N140" s="22">
        <f>IFERROR(SUMPRODUCT(tFlag*(tPay=$W140),tUPBf,tCurDY)/SUMPRODUCT(tFlag*(tPay=$W140)*ISNUMBER(tCurDY),tUPBf),0)</f>
        <v/>
      </c>
      <c r="O140" s="22">
        <f>IFERROR(SUMPRODUCT(tFlag*(tPay=$W140),tUPBf,tOcc)/SUMPRODUCT(tFlag*(tPay=$W140)*ISNUMBER(tOcc),tUPBf),0)</f>
        <v/>
      </c>
      <c r="P140" s="45">
        <f>IFERROR(SUMPRODUCT(tFlag*(tPay=$W140),tUPBf,tRem)/SUMPRODUCT(tFlag*(tPay=$W140)*ISNUMBER(tRem),tUPBf),0)</f>
        <v/>
      </c>
      <c r="Q140" s="22">
        <f>IFERROR(SUMPRODUCT(tFlag*(tPay=$W140),tUPBf,tFIO)/$E140,0)</f>
        <v/>
      </c>
      <c r="R140" s="22">
        <f>IFERROR(SUMPRODUCT(tFlag*(tPay=$W140),tUPBf,tDefF)/$E140,0)</f>
        <v/>
      </c>
      <c r="S140" s="22">
        <f>IFERROR(SUMPRODUCT(tFlag*(tPay=$W140),tUPBf,tSSF)/$E140,0)</f>
        <v/>
      </c>
      <c r="T140" s="22">
        <f>IFERROR(SUMPRODUCT(tFlag*(tPay=$W140),tUPBf,tDQ)/$E140,0)</f>
        <v/>
      </c>
      <c r="U140" s="22">
        <f>IFERROR(SUMPRODUCT(tFlag*(tPay=$W140),tUPBf,tWLF)/$E140,0)</f>
        <v/>
      </c>
      <c r="W140" s="48" t="inlineStr">
        <is>
          <t>30 Days Delinquent</t>
        </is>
      </c>
    </row>
    <row r="141">
      <c r="B141" s="27">
        <f>IF(W141="","",W141&amp;"")</f>
        <v/>
      </c>
      <c r="C141" s="28">
        <f>SUMPRODUCT(tFlag*(tPay=$W141))</f>
        <v/>
      </c>
      <c r="D141" s="31">
        <f>IFERROR(C141/sLoans,0)</f>
        <v/>
      </c>
      <c r="E141" s="30">
        <f>SUMPRODUCT(tFlag*(tPay=$W141),tUPBf)</f>
        <v/>
      </c>
      <c r="F141" s="31">
        <f>IFERROR(E141/sUPB,0)</f>
        <v/>
      </c>
      <c r="G141" s="30">
        <f>IFERROR(E141/C141,0)</f>
        <v/>
      </c>
      <c r="H141" s="32">
        <f>IFERROR(SUMPRODUCT(tFlag*(tPay=$W141),tUPBf,tCpn)/SUMPRODUCT(tFlag*(tPay=$W141)*ISNUMBER(tCpn),tUPBf),0)</f>
        <v/>
      </c>
      <c r="I141" s="33">
        <f>IFERROR(SUMPRODUCT(tFlag*(tPay=$W141),tUPBf,tUWDSCR)/SUMPRODUCT(tFlag*(tPay=$W141)*ISNUMBER(tUWDSCR),tUPBf),0)</f>
        <v/>
      </c>
      <c r="J141" s="33">
        <f>IFERROR(SUMPRODUCT(tFlag*(tPay=$W141),tUPBf,tCurDSCR)/SUMPRODUCT(tFlag*(tPay=$W141)*ISNUMBER(tCurDSCR),tUPBf),0)</f>
        <v/>
      </c>
      <c r="K141" s="31">
        <f>IFERROR(SUMPRODUCT(tFlag*(tPay=$W141),tUPBf,tUWLTV)/SUMPRODUCT(tFlag*(tPay=$W141)*ISNUMBER(tUWLTV),tUPBf),0)</f>
        <v/>
      </c>
      <c r="L141" s="31">
        <f>IFERROR(SUMPRODUCT(tFlag*(tPay=$W141),tUPBf,tCurLTV)/SUMPRODUCT(tFlag*(tPay=$W141)*ISNUMBER(tCurLTV),tUPBf),0)</f>
        <v/>
      </c>
      <c r="M141" s="31">
        <f>IFERROR(SUMPRODUCT(tFlag*(tPay=$W141),tUPBf,tUWDY)/SUMPRODUCT(tFlag*(tPay=$W141)*ISNUMBER(tUWDY),tUPBf),0)</f>
        <v/>
      </c>
      <c r="N141" s="31">
        <f>IFERROR(SUMPRODUCT(tFlag*(tPay=$W141),tUPBf,tCurDY)/SUMPRODUCT(tFlag*(tPay=$W141)*ISNUMBER(tCurDY),tUPBf),0)</f>
        <v/>
      </c>
      <c r="O141" s="31">
        <f>IFERROR(SUMPRODUCT(tFlag*(tPay=$W141),tUPBf,tOcc)/SUMPRODUCT(tFlag*(tPay=$W141)*ISNUMBER(tOcc),tUPBf),0)</f>
        <v/>
      </c>
      <c r="P141" s="47">
        <f>IFERROR(SUMPRODUCT(tFlag*(tPay=$W141),tUPBf,tRem)/SUMPRODUCT(tFlag*(tPay=$W141)*ISNUMBER(tRem),tUPBf),0)</f>
        <v/>
      </c>
      <c r="Q141" s="31">
        <f>IFERROR(SUMPRODUCT(tFlag*(tPay=$W141),tUPBf,tFIO)/$E141,0)</f>
        <v/>
      </c>
      <c r="R141" s="31">
        <f>IFERROR(SUMPRODUCT(tFlag*(tPay=$W141),tUPBf,tDefF)/$E141,0)</f>
        <v/>
      </c>
      <c r="S141" s="31">
        <f>IFERROR(SUMPRODUCT(tFlag*(tPay=$W141),tUPBf,tSSF)/$E141,0)</f>
        <v/>
      </c>
      <c r="T141" s="31">
        <f>IFERROR(SUMPRODUCT(tFlag*(tPay=$W141),tUPBf,tDQ)/$E141,0)</f>
        <v/>
      </c>
      <c r="U141" s="31">
        <f>IFERROR(SUMPRODUCT(tFlag*(tPay=$W141),tUPBf,tWLF)/$E141,0)</f>
        <v/>
      </c>
      <c r="W141" s="48" t="inlineStr">
        <is>
          <t>60 Days Delinquent</t>
        </is>
      </c>
    </row>
    <row r="142">
      <c r="B142" s="18">
        <f>IF(W142="","",W142&amp;"")</f>
        <v/>
      </c>
      <c r="C142" s="19">
        <f>SUMPRODUCT(tFlag*(tPay=$W142))</f>
        <v/>
      </c>
      <c r="D142" s="22">
        <f>IFERROR(C142/sLoans,0)</f>
        <v/>
      </c>
      <c r="E142" s="21">
        <f>SUMPRODUCT(tFlag*(tPay=$W142),tUPBf)</f>
        <v/>
      </c>
      <c r="F142" s="22">
        <f>IFERROR(E142/sUPB,0)</f>
        <v/>
      </c>
      <c r="G142" s="21">
        <f>IFERROR(E142/C142,0)</f>
        <v/>
      </c>
      <c r="H142" s="23">
        <f>IFERROR(SUMPRODUCT(tFlag*(tPay=$W142),tUPBf,tCpn)/SUMPRODUCT(tFlag*(tPay=$W142)*ISNUMBER(tCpn),tUPBf),0)</f>
        <v/>
      </c>
      <c r="I142" s="24">
        <f>IFERROR(SUMPRODUCT(tFlag*(tPay=$W142),tUPBf,tUWDSCR)/SUMPRODUCT(tFlag*(tPay=$W142)*ISNUMBER(tUWDSCR),tUPBf),0)</f>
        <v/>
      </c>
      <c r="J142" s="24">
        <f>IFERROR(SUMPRODUCT(tFlag*(tPay=$W142),tUPBf,tCurDSCR)/SUMPRODUCT(tFlag*(tPay=$W142)*ISNUMBER(tCurDSCR),tUPBf),0)</f>
        <v/>
      </c>
      <c r="K142" s="22">
        <f>IFERROR(SUMPRODUCT(tFlag*(tPay=$W142),tUPBf,tUWLTV)/SUMPRODUCT(tFlag*(tPay=$W142)*ISNUMBER(tUWLTV),tUPBf),0)</f>
        <v/>
      </c>
      <c r="L142" s="22">
        <f>IFERROR(SUMPRODUCT(tFlag*(tPay=$W142),tUPBf,tCurLTV)/SUMPRODUCT(tFlag*(tPay=$W142)*ISNUMBER(tCurLTV),tUPBf),0)</f>
        <v/>
      </c>
      <c r="M142" s="22">
        <f>IFERROR(SUMPRODUCT(tFlag*(tPay=$W142),tUPBf,tUWDY)/SUMPRODUCT(tFlag*(tPay=$W142)*ISNUMBER(tUWDY),tUPBf),0)</f>
        <v/>
      </c>
      <c r="N142" s="22">
        <f>IFERROR(SUMPRODUCT(tFlag*(tPay=$W142),tUPBf,tCurDY)/SUMPRODUCT(tFlag*(tPay=$W142)*ISNUMBER(tCurDY),tUPBf),0)</f>
        <v/>
      </c>
      <c r="O142" s="22">
        <f>IFERROR(SUMPRODUCT(tFlag*(tPay=$W142),tUPBf,tOcc)/SUMPRODUCT(tFlag*(tPay=$W142)*ISNUMBER(tOcc),tUPBf),0)</f>
        <v/>
      </c>
      <c r="P142" s="45">
        <f>IFERROR(SUMPRODUCT(tFlag*(tPay=$W142),tUPBf,tRem)/SUMPRODUCT(tFlag*(tPay=$W142)*ISNUMBER(tRem),tUPBf),0)</f>
        <v/>
      </c>
      <c r="Q142" s="22">
        <f>IFERROR(SUMPRODUCT(tFlag*(tPay=$W142),tUPBf,tFIO)/$E142,0)</f>
        <v/>
      </c>
      <c r="R142" s="22">
        <f>IFERROR(SUMPRODUCT(tFlag*(tPay=$W142),tUPBf,tDefF)/$E142,0)</f>
        <v/>
      </c>
      <c r="S142" s="22">
        <f>IFERROR(SUMPRODUCT(tFlag*(tPay=$W142),tUPBf,tSSF)/$E142,0)</f>
        <v/>
      </c>
      <c r="T142" s="22">
        <f>IFERROR(SUMPRODUCT(tFlag*(tPay=$W142),tUPBf,tDQ)/$E142,0)</f>
        <v/>
      </c>
      <c r="U142" s="22">
        <f>IFERROR(SUMPRODUCT(tFlag*(tPay=$W142),tUPBf,tWLF)/$E142,0)</f>
        <v/>
      </c>
      <c r="W142" s="48" t="inlineStr">
        <is>
          <t>90+ Days Delinquent</t>
        </is>
      </c>
    </row>
    <row r="143">
      <c r="B143" s="27">
        <f>IF(W143="","",W143&amp;"")</f>
        <v/>
      </c>
      <c r="C143" s="28">
        <f>SUMPRODUCT(tFlag*(tPay=$W143))</f>
        <v/>
      </c>
      <c r="D143" s="31">
        <f>IFERROR(C143/sLoans,0)</f>
        <v/>
      </c>
      <c r="E143" s="30">
        <f>SUMPRODUCT(tFlag*(tPay=$W143),tUPBf)</f>
        <v/>
      </c>
      <c r="F143" s="31">
        <f>IFERROR(E143/sUPB,0)</f>
        <v/>
      </c>
      <c r="G143" s="30">
        <f>IFERROR(E143/C143,0)</f>
        <v/>
      </c>
      <c r="H143" s="32">
        <f>IFERROR(SUMPRODUCT(tFlag*(tPay=$W143),tUPBf,tCpn)/SUMPRODUCT(tFlag*(tPay=$W143)*ISNUMBER(tCpn),tUPBf),0)</f>
        <v/>
      </c>
      <c r="I143" s="33">
        <f>IFERROR(SUMPRODUCT(tFlag*(tPay=$W143),tUPBf,tUWDSCR)/SUMPRODUCT(tFlag*(tPay=$W143)*ISNUMBER(tUWDSCR),tUPBf),0)</f>
        <v/>
      </c>
      <c r="J143" s="33">
        <f>IFERROR(SUMPRODUCT(tFlag*(tPay=$W143),tUPBf,tCurDSCR)/SUMPRODUCT(tFlag*(tPay=$W143)*ISNUMBER(tCurDSCR),tUPBf),0)</f>
        <v/>
      </c>
      <c r="K143" s="31">
        <f>IFERROR(SUMPRODUCT(tFlag*(tPay=$W143),tUPBf,tUWLTV)/SUMPRODUCT(tFlag*(tPay=$W143)*ISNUMBER(tUWLTV),tUPBf),0)</f>
        <v/>
      </c>
      <c r="L143" s="31">
        <f>IFERROR(SUMPRODUCT(tFlag*(tPay=$W143),tUPBf,tCurLTV)/SUMPRODUCT(tFlag*(tPay=$W143)*ISNUMBER(tCurLTV),tUPBf),0)</f>
        <v/>
      </c>
      <c r="M143" s="31">
        <f>IFERROR(SUMPRODUCT(tFlag*(tPay=$W143),tUPBf,tUWDY)/SUMPRODUCT(tFlag*(tPay=$W143)*ISNUMBER(tUWDY),tUPBf),0)</f>
        <v/>
      </c>
      <c r="N143" s="31">
        <f>IFERROR(SUMPRODUCT(tFlag*(tPay=$W143),tUPBf,tCurDY)/SUMPRODUCT(tFlag*(tPay=$W143)*ISNUMBER(tCurDY),tUPBf),0)</f>
        <v/>
      </c>
      <c r="O143" s="31">
        <f>IFERROR(SUMPRODUCT(tFlag*(tPay=$W143),tUPBf,tOcc)/SUMPRODUCT(tFlag*(tPay=$W143)*ISNUMBER(tOcc),tUPBf),0)</f>
        <v/>
      </c>
      <c r="P143" s="47">
        <f>IFERROR(SUMPRODUCT(tFlag*(tPay=$W143),tUPBf,tRem)/SUMPRODUCT(tFlag*(tPay=$W143)*ISNUMBER(tRem),tUPBf),0)</f>
        <v/>
      </c>
      <c r="Q143" s="31">
        <f>IFERROR(SUMPRODUCT(tFlag*(tPay=$W143),tUPBf,tFIO)/$E143,0)</f>
        <v/>
      </c>
      <c r="R143" s="31">
        <f>IFERROR(SUMPRODUCT(tFlag*(tPay=$W143),tUPBf,tDefF)/$E143,0)</f>
        <v/>
      </c>
      <c r="S143" s="31">
        <f>IFERROR(SUMPRODUCT(tFlag*(tPay=$W143),tUPBf,tSSF)/$E143,0)</f>
        <v/>
      </c>
      <c r="T143" s="31">
        <f>IFERROR(SUMPRODUCT(tFlag*(tPay=$W143),tUPBf,tDQ)/$E143,0)</f>
        <v/>
      </c>
      <c r="U143" s="31">
        <f>IFERROR(SUMPRODUCT(tFlag*(tPay=$W143),tUPBf,tWLF)/$E143,0)</f>
        <v/>
      </c>
      <c r="W143" s="48" t="inlineStr">
        <is>
          <t>Performing Matured Balloon</t>
        </is>
      </c>
    </row>
    <row r="144">
      <c r="B144" s="18">
        <f>IF(W144="","",W144&amp;"")</f>
        <v/>
      </c>
      <c r="C144" s="19">
        <f>SUMPRODUCT(tFlag*(tPay=$W144))</f>
        <v/>
      </c>
      <c r="D144" s="22">
        <f>IFERROR(C144/sLoans,0)</f>
        <v/>
      </c>
      <c r="E144" s="21">
        <f>SUMPRODUCT(tFlag*(tPay=$W144),tUPBf)</f>
        <v/>
      </c>
      <c r="F144" s="22">
        <f>IFERROR(E144/sUPB,0)</f>
        <v/>
      </c>
      <c r="G144" s="21">
        <f>IFERROR(E144/C144,0)</f>
        <v/>
      </c>
      <c r="H144" s="23">
        <f>IFERROR(SUMPRODUCT(tFlag*(tPay=$W144),tUPBf,tCpn)/SUMPRODUCT(tFlag*(tPay=$W144)*ISNUMBER(tCpn),tUPBf),0)</f>
        <v/>
      </c>
      <c r="I144" s="24">
        <f>IFERROR(SUMPRODUCT(tFlag*(tPay=$W144),tUPBf,tUWDSCR)/SUMPRODUCT(tFlag*(tPay=$W144)*ISNUMBER(tUWDSCR),tUPBf),0)</f>
        <v/>
      </c>
      <c r="J144" s="24">
        <f>IFERROR(SUMPRODUCT(tFlag*(tPay=$W144),tUPBf,tCurDSCR)/SUMPRODUCT(tFlag*(tPay=$W144)*ISNUMBER(tCurDSCR),tUPBf),0)</f>
        <v/>
      </c>
      <c r="K144" s="22">
        <f>IFERROR(SUMPRODUCT(tFlag*(tPay=$W144),tUPBf,tUWLTV)/SUMPRODUCT(tFlag*(tPay=$W144)*ISNUMBER(tUWLTV),tUPBf),0)</f>
        <v/>
      </c>
      <c r="L144" s="22">
        <f>IFERROR(SUMPRODUCT(tFlag*(tPay=$W144),tUPBf,tCurLTV)/SUMPRODUCT(tFlag*(tPay=$W144)*ISNUMBER(tCurLTV),tUPBf),0)</f>
        <v/>
      </c>
      <c r="M144" s="22">
        <f>IFERROR(SUMPRODUCT(tFlag*(tPay=$W144),tUPBf,tUWDY)/SUMPRODUCT(tFlag*(tPay=$W144)*ISNUMBER(tUWDY),tUPBf),0)</f>
        <v/>
      </c>
      <c r="N144" s="22">
        <f>IFERROR(SUMPRODUCT(tFlag*(tPay=$W144),tUPBf,tCurDY)/SUMPRODUCT(tFlag*(tPay=$W144)*ISNUMBER(tCurDY),tUPBf),0)</f>
        <v/>
      </c>
      <c r="O144" s="22">
        <f>IFERROR(SUMPRODUCT(tFlag*(tPay=$W144),tUPBf,tOcc)/SUMPRODUCT(tFlag*(tPay=$W144)*ISNUMBER(tOcc),tUPBf),0)</f>
        <v/>
      </c>
      <c r="P144" s="45">
        <f>IFERROR(SUMPRODUCT(tFlag*(tPay=$W144),tUPBf,tRem)/SUMPRODUCT(tFlag*(tPay=$W144)*ISNUMBER(tRem),tUPBf),0)</f>
        <v/>
      </c>
      <c r="Q144" s="22">
        <f>IFERROR(SUMPRODUCT(tFlag*(tPay=$W144),tUPBf,tFIO)/$E144,0)</f>
        <v/>
      </c>
      <c r="R144" s="22">
        <f>IFERROR(SUMPRODUCT(tFlag*(tPay=$W144),tUPBf,tDefF)/$E144,0)</f>
        <v/>
      </c>
      <c r="S144" s="22">
        <f>IFERROR(SUMPRODUCT(tFlag*(tPay=$W144),tUPBf,tSSF)/$E144,0)</f>
        <v/>
      </c>
      <c r="T144" s="22">
        <f>IFERROR(SUMPRODUCT(tFlag*(tPay=$W144),tUPBf,tDQ)/$E144,0)</f>
        <v/>
      </c>
      <c r="U144" s="22">
        <f>IFERROR(SUMPRODUCT(tFlag*(tPay=$W144),tUPBf,tWLF)/$E144,0)</f>
        <v/>
      </c>
      <c r="W144" s="48" t="inlineStr">
        <is>
          <t>Non-Performing Matured Balloon</t>
        </is>
      </c>
    </row>
    <row r="145">
      <c r="B145" s="27">
        <f>IF(W145="","",W145&amp;"")</f>
        <v/>
      </c>
      <c r="C145" s="28">
        <f>SUMPRODUCT(tFlag*(tPay=$W145))</f>
        <v/>
      </c>
      <c r="D145" s="31">
        <f>IFERROR(C145/sLoans,0)</f>
        <v/>
      </c>
      <c r="E145" s="30">
        <f>SUMPRODUCT(tFlag*(tPay=$W145),tUPBf)</f>
        <v/>
      </c>
      <c r="F145" s="31">
        <f>IFERROR(E145/sUPB,0)</f>
        <v/>
      </c>
      <c r="G145" s="30">
        <f>IFERROR(E145/C145,0)</f>
        <v/>
      </c>
      <c r="H145" s="32">
        <f>IFERROR(SUMPRODUCT(tFlag*(tPay=$W145),tUPBf,tCpn)/SUMPRODUCT(tFlag*(tPay=$W145)*ISNUMBER(tCpn),tUPBf),0)</f>
        <v/>
      </c>
      <c r="I145" s="33">
        <f>IFERROR(SUMPRODUCT(tFlag*(tPay=$W145),tUPBf,tUWDSCR)/SUMPRODUCT(tFlag*(tPay=$W145)*ISNUMBER(tUWDSCR),tUPBf),0)</f>
        <v/>
      </c>
      <c r="J145" s="33">
        <f>IFERROR(SUMPRODUCT(tFlag*(tPay=$W145),tUPBf,tCurDSCR)/SUMPRODUCT(tFlag*(tPay=$W145)*ISNUMBER(tCurDSCR),tUPBf),0)</f>
        <v/>
      </c>
      <c r="K145" s="31">
        <f>IFERROR(SUMPRODUCT(tFlag*(tPay=$W145),tUPBf,tUWLTV)/SUMPRODUCT(tFlag*(tPay=$W145)*ISNUMBER(tUWLTV),tUPBf),0)</f>
        <v/>
      </c>
      <c r="L145" s="31">
        <f>IFERROR(SUMPRODUCT(tFlag*(tPay=$W145),tUPBf,tCurLTV)/SUMPRODUCT(tFlag*(tPay=$W145)*ISNUMBER(tCurLTV),tUPBf),0)</f>
        <v/>
      </c>
      <c r="M145" s="31">
        <f>IFERROR(SUMPRODUCT(tFlag*(tPay=$W145),tUPBf,tUWDY)/SUMPRODUCT(tFlag*(tPay=$W145)*ISNUMBER(tUWDY),tUPBf),0)</f>
        <v/>
      </c>
      <c r="N145" s="31">
        <f>IFERROR(SUMPRODUCT(tFlag*(tPay=$W145),tUPBf,tCurDY)/SUMPRODUCT(tFlag*(tPay=$W145)*ISNUMBER(tCurDY),tUPBf),0)</f>
        <v/>
      </c>
      <c r="O145" s="31">
        <f>IFERROR(SUMPRODUCT(tFlag*(tPay=$W145),tUPBf,tOcc)/SUMPRODUCT(tFlag*(tPay=$W145)*ISNUMBER(tOcc),tUPBf),0)</f>
        <v/>
      </c>
      <c r="P145" s="47">
        <f>IFERROR(SUMPRODUCT(tFlag*(tPay=$W145),tUPBf,tRem)/SUMPRODUCT(tFlag*(tPay=$W145)*ISNUMBER(tRem),tUPBf),0)</f>
        <v/>
      </c>
      <c r="Q145" s="31">
        <f>IFERROR(SUMPRODUCT(tFlag*(tPay=$W145),tUPBf,tFIO)/$E145,0)</f>
        <v/>
      </c>
      <c r="R145" s="31">
        <f>IFERROR(SUMPRODUCT(tFlag*(tPay=$W145),tUPBf,tDefF)/$E145,0)</f>
        <v/>
      </c>
      <c r="S145" s="31">
        <f>IFERROR(SUMPRODUCT(tFlag*(tPay=$W145),tUPBf,tSSF)/$E145,0)</f>
        <v/>
      </c>
      <c r="T145" s="31">
        <f>IFERROR(SUMPRODUCT(tFlag*(tPay=$W145),tUPBf,tDQ)/$E145,0)</f>
        <v/>
      </c>
      <c r="U145" s="31">
        <f>IFERROR(SUMPRODUCT(tFlag*(tPay=$W145),tUPBf,tWLF)/$E145,0)</f>
        <v/>
      </c>
      <c r="W145" s="48" t="inlineStr">
        <is>
          <t>Foreclosure</t>
        </is>
      </c>
    </row>
    <row r="146">
      <c r="B146" s="18">
        <f>IF(W146="","",W146&amp;"")</f>
        <v/>
      </c>
      <c r="C146" s="19">
        <f>SUMPRODUCT(tFlag*(tPay=$W146))</f>
        <v/>
      </c>
      <c r="D146" s="22">
        <f>IFERROR(C146/sLoans,0)</f>
        <v/>
      </c>
      <c r="E146" s="21">
        <f>SUMPRODUCT(tFlag*(tPay=$W146),tUPBf)</f>
        <v/>
      </c>
      <c r="F146" s="22">
        <f>IFERROR(E146/sUPB,0)</f>
        <v/>
      </c>
      <c r="G146" s="21">
        <f>IFERROR(E146/C146,0)</f>
        <v/>
      </c>
      <c r="H146" s="23">
        <f>IFERROR(SUMPRODUCT(tFlag*(tPay=$W146),tUPBf,tCpn)/SUMPRODUCT(tFlag*(tPay=$W146)*ISNUMBER(tCpn),tUPBf),0)</f>
        <v/>
      </c>
      <c r="I146" s="24">
        <f>IFERROR(SUMPRODUCT(tFlag*(tPay=$W146),tUPBf,tUWDSCR)/SUMPRODUCT(tFlag*(tPay=$W146)*ISNUMBER(tUWDSCR),tUPBf),0)</f>
        <v/>
      </c>
      <c r="J146" s="24">
        <f>IFERROR(SUMPRODUCT(tFlag*(tPay=$W146),tUPBf,tCurDSCR)/SUMPRODUCT(tFlag*(tPay=$W146)*ISNUMBER(tCurDSCR),tUPBf),0)</f>
        <v/>
      </c>
      <c r="K146" s="22">
        <f>IFERROR(SUMPRODUCT(tFlag*(tPay=$W146),tUPBf,tUWLTV)/SUMPRODUCT(tFlag*(tPay=$W146)*ISNUMBER(tUWLTV),tUPBf),0)</f>
        <v/>
      </c>
      <c r="L146" s="22">
        <f>IFERROR(SUMPRODUCT(tFlag*(tPay=$W146),tUPBf,tCurLTV)/SUMPRODUCT(tFlag*(tPay=$W146)*ISNUMBER(tCurLTV),tUPBf),0)</f>
        <v/>
      </c>
      <c r="M146" s="22">
        <f>IFERROR(SUMPRODUCT(tFlag*(tPay=$W146),tUPBf,tUWDY)/SUMPRODUCT(tFlag*(tPay=$W146)*ISNUMBER(tUWDY),tUPBf),0)</f>
        <v/>
      </c>
      <c r="N146" s="22">
        <f>IFERROR(SUMPRODUCT(tFlag*(tPay=$W146),tUPBf,tCurDY)/SUMPRODUCT(tFlag*(tPay=$W146)*ISNUMBER(tCurDY),tUPBf),0)</f>
        <v/>
      </c>
      <c r="O146" s="22">
        <f>IFERROR(SUMPRODUCT(tFlag*(tPay=$W146),tUPBf,tOcc)/SUMPRODUCT(tFlag*(tPay=$W146)*ISNUMBER(tOcc),tUPBf),0)</f>
        <v/>
      </c>
      <c r="P146" s="45">
        <f>IFERROR(SUMPRODUCT(tFlag*(tPay=$W146),tUPBf,tRem)/SUMPRODUCT(tFlag*(tPay=$W146)*ISNUMBER(tRem),tUPBf),0)</f>
        <v/>
      </c>
      <c r="Q146" s="22">
        <f>IFERROR(SUMPRODUCT(tFlag*(tPay=$W146),tUPBf,tFIO)/$E146,0)</f>
        <v/>
      </c>
      <c r="R146" s="22">
        <f>IFERROR(SUMPRODUCT(tFlag*(tPay=$W146),tUPBf,tDefF)/$E146,0)</f>
        <v/>
      </c>
      <c r="S146" s="22">
        <f>IFERROR(SUMPRODUCT(tFlag*(tPay=$W146),tUPBf,tSSF)/$E146,0)</f>
        <v/>
      </c>
      <c r="T146" s="22">
        <f>IFERROR(SUMPRODUCT(tFlag*(tPay=$W146),tUPBf,tDQ)/$E146,0)</f>
        <v/>
      </c>
      <c r="U146" s="22">
        <f>IFERROR(SUMPRODUCT(tFlag*(tPay=$W146),tUPBf,tWLF)/$E146,0)</f>
        <v/>
      </c>
      <c r="W146" s="48" t="inlineStr">
        <is>
          <t>REO</t>
        </is>
      </c>
    </row>
    <row r="147">
      <c r="B147" s="36" t="inlineStr">
        <is>
          <t>Total / Wtd. Avg.</t>
        </is>
      </c>
      <c r="C147" s="37">
        <f>SUMPRODUCT(tFlag*(1))</f>
        <v/>
      </c>
      <c r="D147" s="40">
        <f>IFERROR(C147/sLoans,0)</f>
        <v/>
      </c>
      <c r="E147" s="39">
        <f>SUMPRODUCT(tFlag*(1),tUPBf)</f>
        <v/>
      </c>
      <c r="F147" s="40">
        <f>IFERROR(E147/sUPB,0)</f>
        <v/>
      </c>
      <c r="G147" s="39">
        <f>IFERROR(E147/C147,0)</f>
        <v/>
      </c>
      <c r="H147" s="41">
        <f>IFERROR(SUMPRODUCT(tFlag*(1),tUPBf,tCpn)/SUMPRODUCT(tFlag*(1)*ISNUMBER(tCpn),tUPBf),0)</f>
        <v/>
      </c>
      <c r="I147" s="42">
        <f>IFERROR(SUMPRODUCT(tFlag*(1),tUPBf,tUWDSCR)/SUMPRODUCT(tFlag*(1)*ISNUMBER(tUWDSCR),tUPBf),0)</f>
        <v/>
      </c>
      <c r="J147" s="42">
        <f>IFERROR(SUMPRODUCT(tFlag*(1),tUPBf,tCurDSCR)/SUMPRODUCT(tFlag*(1)*ISNUMBER(tCurDSCR),tUPBf),0)</f>
        <v/>
      </c>
      <c r="K147" s="40">
        <f>IFERROR(SUMPRODUCT(tFlag*(1),tUPBf,tUWLTV)/SUMPRODUCT(tFlag*(1)*ISNUMBER(tUWLTV),tUPBf),0)</f>
        <v/>
      </c>
      <c r="L147" s="40">
        <f>IFERROR(SUMPRODUCT(tFlag*(1),tUPBf,tCurLTV)/SUMPRODUCT(tFlag*(1)*ISNUMBER(tCurLTV),tUPBf),0)</f>
        <v/>
      </c>
      <c r="M147" s="40">
        <f>IFERROR(SUMPRODUCT(tFlag*(1),tUPBf,tUWDY)/SUMPRODUCT(tFlag*(1)*ISNUMBER(tUWDY),tUPBf),0)</f>
        <v/>
      </c>
      <c r="N147" s="40">
        <f>IFERROR(SUMPRODUCT(tFlag*(1),tUPBf,tCurDY)/SUMPRODUCT(tFlag*(1)*ISNUMBER(tCurDY),tUPBf),0)</f>
        <v/>
      </c>
      <c r="O147" s="40">
        <f>IFERROR(SUMPRODUCT(tFlag*(1),tUPBf,tOcc)/SUMPRODUCT(tFlag*(1)*ISNUMBER(tOcc),tUPBf),0)</f>
        <v/>
      </c>
      <c r="P147" s="43">
        <f>IFERROR(SUMPRODUCT(tFlag*(1),tUPBf,tRem)/SUMPRODUCT(tFlag*(1)*ISNUMBER(tRem),tUPBf),0)</f>
        <v/>
      </c>
      <c r="Q147" s="40">
        <f>IFERROR(SUMPRODUCT(tFlag*(1),tUPBf,tFIO)/$E147,0)</f>
        <v/>
      </c>
      <c r="R147" s="40">
        <f>IFERROR(SUMPRODUCT(tFlag*(1),tUPBf,tDefF)/$E147,0)</f>
        <v/>
      </c>
      <c r="S147" s="40">
        <f>IFERROR(SUMPRODUCT(tFlag*(1),tUPBf,tSSF)/$E147,0)</f>
        <v/>
      </c>
      <c r="T147" s="40">
        <f>IFERROR(SUMPRODUCT(tFlag*(1),tUPBf,tDQ)/$E147,0)</f>
        <v/>
      </c>
      <c r="U147" s="40">
        <f>IFERROR(SUMPRODUCT(tFlag*(1),tUPBf,tWLF)/$E147,0)</f>
        <v/>
      </c>
    </row>
    <row r="149" ht="15" customHeight="1">
      <c r="B149" s="2" t="inlineStr">
        <is>
          <t>SPECIAL SERVICING STATUS</t>
        </is>
      </c>
      <c r="C149" s="3" t="n"/>
      <c r="D149" s="3" t="n"/>
      <c r="E149" s="3" t="n"/>
      <c r="F149" s="3" t="n"/>
      <c r="G149" s="3" t="n"/>
      <c r="H149" s="3" t="n"/>
      <c r="I149" s="3" t="n"/>
      <c r="J149" s="3" t="n"/>
      <c r="K149" s="3" t="n"/>
      <c r="L149" s="3" t="n"/>
      <c r="M149" s="3" t="n"/>
      <c r="N149" s="3" t="n"/>
      <c r="O149" s="3" t="n"/>
      <c r="P149" s="3" t="n"/>
      <c r="Q149" s="3" t="n"/>
      <c r="R149" s="3" t="n"/>
      <c r="S149" s="3" t="n"/>
      <c r="T149" s="3" t="n"/>
      <c r="U149" s="3" t="n"/>
    </row>
    <row r="150" ht="39.75" customHeight="1">
      <c r="B150" s="15" t="inlineStr">
        <is>
          <t>Category</t>
        </is>
      </c>
      <c r="C150" s="16" t="inlineStr">
        <is>
          <t>Number of Loans</t>
        </is>
      </c>
      <c r="D150" s="16" t="inlineStr">
        <is>
          <t>% of Loans</t>
        </is>
      </c>
      <c r="E150" s="16" t="inlineStr">
        <is>
          <t>Current UPB</t>
        </is>
      </c>
      <c r="F150" s="16" t="inlineStr">
        <is>
          <t>% of UPB</t>
        </is>
      </c>
      <c r="G150" s="16" t="inlineStr">
        <is>
          <t>Average Loan Size</t>
        </is>
      </c>
      <c r="H150" s="16" t="inlineStr">
        <is>
          <t>Wtd. Avg. Gross Coupon</t>
        </is>
      </c>
      <c r="I150" s="16" t="inlineStr">
        <is>
          <t>Wtd. Avg. UW NCF DSCR</t>
        </is>
      </c>
      <c r="J150" s="16" t="inlineStr">
        <is>
          <t>Wtd. Avg. Current NCF DSCR</t>
        </is>
      </c>
      <c r="K150" s="16" t="inlineStr">
        <is>
          <t>Wtd. Avg. UW LTV</t>
        </is>
      </c>
      <c r="L150" s="16" t="inlineStr">
        <is>
          <t>Wtd. Avg. Current LTV</t>
        </is>
      </c>
      <c r="M150" s="16" t="inlineStr">
        <is>
          <t>Wtd. Avg. UW NCF Debt Yield</t>
        </is>
      </c>
      <c r="N150" s="16" t="inlineStr">
        <is>
          <t>Wtd. Avg. Current NCF Debt Yield</t>
        </is>
      </c>
      <c r="O150" s="16" t="inlineStr">
        <is>
          <t>Wtd. Avg. Current Occupancy</t>
        </is>
      </c>
      <c r="P150" s="16" t="inlineStr">
        <is>
          <t>Wtd. Avg. Rem. Term (Mo.)</t>
        </is>
      </c>
      <c r="Q150" s="16" t="inlineStr">
        <is>
          <t>% Full IO</t>
        </is>
      </c>
      <c r="R150" s="16" t="inlineStr">
        <is>
          <t>% Defeased</t>
        </is>
      </c>
      <c r="S150" s="16" t="inlineStr">
        <is>
          <t>% Currently Specially Serviced</t>
        </is>
      </c>
      <c r="T150" s="16" t="inlineStr">
        <is>
          <t>% 30+ Delinq. / FC / REO</t>
        </is>
      </c>
      <c r="U150" s="16" t="inlineStr">
        <is>
          <t>% On Watchlist</t>
        </is>
      </c>
      <c r="W150" s="44" t="inlineStr">
        <is>
          <t>Category Label</t>
        </is>
      </c>
    </row>
    <row r="151">
      <c r="B151" s="18">
        <f>IF(W151="","",W151&amp;"")</f>
        <v/>
      </c>
      <c r="C151" s="19">
        <f>SUMPRODUCT(tFlag*(tSS=$W151))</f>
        <v/>
      </c>
      <c r="D151" s="22">
        <f>IFERROR(C151/sLoans,0)</f>
        <v/>
      </c>
      <c r="E151" s="21">
        <f>SUMPRODUCT(tFlag*(tSS=$W151),tUPBf)</f>
        <v/>
      </c>
      <c r="F151" s="22">
        <f>IFERROR(E151/sUPB,0)</f>
        <v/>
      </c>
      <c r="G151" s="21">
        <f>IFERROR(E151/C151,0)</f>
        <v/>
      </c>
      <c r="H151" s="23">
        <f>IFERROR(SUMPRODUCT(tFlag*(tSS=$W151),tUPBf,tCpn)/SUMPRODUCT(tFlag*(tSS=$W151)*ISNUMBER(tCpn),tUPBf),0)</f>
        <v/>
      </c>
      <c r="I151" s="24">
        <f>IFERROR(SUMPRODUCT(tFlag*(tSS=$W151),tUPBf,tUWDSCR)/SUMPRODUCT(tFlag*(tSS=$W151)*ISNUMBER(tUWDSCR),tUPBf),0)</f>
        <v/>
      </c>
      <c r="J151" s="24">
        <f>IFERROR(SUMPRODUCT(tFlag*(tSS=$W151),tUPBf,tCurDSCR)/SUMPRODUCT(tFlag*(tSS=$W151)*ISNUMBER(tCurDSCR),tUPBf),0)</f>
        <v/>
      </c>
      <c r="K151" s="22">
        <f>IFERROR(SUMPRODUCT(tFlag*(tSS=$W151),tUPBf,tUWLTV)/SUMPRODUCT(tFlag*(tSS=$W151)*ISNUMBER(tUWLTV),tUPBf),0)</f>
        <v/>
      </c>
      <c r="L151" s="22">
        <f>IFERROR(SUMPRODUCT(tFlag*(tSS=$W151),tUPBf,tCurLTV)/SUMPRODUCT(tFlag*(tSS=$W151)*ISNUMBER(tCurLTV),tUPBf),0)</f>
        <v/>
      </c>
      <c r="M151" s="22">
        <f>IFERROR(SUMPRODUCT(tFlag*(tSS=$W151),tUPBf,tUWDY)/SUMPRODUCT(tFlag*(tSS=$W151)*ISNUMBER(tUWDY),tUPBf),0)</f>
        <v/>
      </c>
      <c r="N151" s="22">
        <f>IFERROR(SUMPRODUCT(tFlag*(tSS=$W151),tUPBf,tCurDY)/SUMPRODUCT(tFlag*(tSS=$W151)*ISNUMBER(tCurDY),tUPBf),0)</f>
        <v/>
      </c>
      <c r="O151" s="22">
        <f>IFERROR(SUMPRODUCT(tFlag*(tSS=$W151),tUPBf,tOcc)/SUMPRODUCT(tFlag*(tSS=$W151)*ISNUMBER(tOcc),tUPBf),0)</f>
        <v/>
      </c>
      <c r="P151" s="45">
        <f>IFERROR(SUMPRODUCT(tFlag*(tSS=$W151),tUPBf,tRem)/SUMPRODUCT(tFlag*(tSS=$W151)*ISNUMBER(tRem),tUPBf),0)</f>
        <v/>
      </c>
      <c r="Q151" s="22">
        <f>IFERROR(SUMPRODUCT(tFlag*(tSS=$W151),tUPBf,tFIO)/$E151,0)</f>
        <v/>
      </c>
      <c r="R151" s="22">
        <f>IFERROR(SUMPRODUCT(tFlag*(tSS=$W151),tUPBf,tDefF)/$E151,0)</f>
        <v/>
      </c>
      <c r="S151" s="22">
        <f>IFERROR(SUMPRODUCT(tFlag*(tSS=$W151),tUPBf,tSSF)/$E151,0)</f>
        <v/>
      </c>
      <c r="T151" s="22">
        <f>IFERROR(SUMPRODUCT(tFlag*(tSS=$W151),tUPBf,tDQ)/$E151,0)</f>
        <v/>
      </c>
      <c r="U151" s="22">
        <f>IFERROR(SUMPRODUCT(tFlag*(tSS=$W151),tUPBf,tWLF)/$E151,0)</f>
        <v/>
      </c>
      <c r="W151" s="48" t="inlineStr">
        <is>
          <t>Currently Specially Serviced</t>
        </is>
      </c>
    </row>
    <row r="152">
      <c r="B152" s="27">
        <f>IF(W152="","",W152&amp;"")</f>
        <v/>
      </c>
      <c r="C152" s="28">
        <f>SUMPRODUCT(tFlag*(tSS=$W152))</f>
        <v/>
      </c>
      <c r="D152" s="31">
        <f>IFERROR(C152/sLoans,0)</f>
        <v/>
      </c>
      <c r="E152" s="30">
        <f>SUMPRODUCT(tFlag*(tSS=$W152),tUPBf)</f>
        <v/>
      </c>
      <c r="F152" s="31">
        <f>IFERROR(E152/sUPB,0)</f>
        <v/>
      </c>
      <c r="G152" s="30">
        <f>IFERROR(E152/C152,0)</f>
        <v/>
      </c>
      <c r="H152" s="32">
        <f>IFERROR(SUMPRODUCT(tFlag*(tSS=$W152),tUPBf,tCpn)/SUMPRODUCT(tFlag*(tSS=$W152)*ISNUMBER(tCpn),tUPBf),0)</f>
        <v/>
      </c>
      <c r="I152" s="33">
        <f>IFERROR(SUMPRODUCT(tFlag*(tSS=$W152),tUPBf,tUWDSCR)/SUMPRODUCT(tFlag*(tSS=$W152)*ISNUMBER(tUWDSCR),tUPBf),0)</f>
        <v/>
      </c>
      <c r="J152" s="33">
        <f>IFERROR(SUMPRODUCT(tFlag*(tSS=$W152),tUPBf,tCurDSCR)/SUMPRODUCT(tFlag*(tSS=$W152)*ISNUMBER(tCurDSCR),tUPBf),0)</f>
        <v/>
      </c>
      <c r="K152" s="31">
        <f>IFERROR(SUMPRODUCT(tFlag*(tSS=$W152),tUPBf,tUWLTV)/SUMPRODUCT(tFlag*(tSS=$W152)*ISNUMBER(tUWLTV),tUPBf),0)</f>
        <v/>
      </c>
      <c r="L152" s="31">
        <f>IFERROR(SUMPRODUCT(tFlag*(tSS=$W152),tUPBf,tCurLTV)/SUMPRODUCT(tFlag*(tSS=$W152)*ISNUMBER(tCurLTV),tUPBf),0)</f>
        <v/>
      </c>
      <c r="M152" s="31">
        <f>IFERROR(SUMPRODUCT(tFlag*(tSS=$W152),tUPBf,tUWDY)/SUMPRODUCT(tFlag*(tSS=$W152)*ISNUMBER(tUWDY),tUPBf),0)</f>
        <v/>
      </c>
      <c r="N152" s="31">
        <f>IFERROR(SUMPRODUCT(tFlag*(tSS=$W152),tUPBf,tCurDY)/SUMPRODUCT(tFlag*(tSS=$W152)*ISNUMBER(tCurDY),tUPBf),0)</f>
        <v/>
      </c>
      <c r="O152" s="31">
        <f>IFERROR(SUMPRODUCT(tFlag*(tSS=$W152),tUPBf,tOcc)/SUMPRODUCT(tFlag*(tSS=$W152)*ISNUMBER(tOcc),tUPBf),0)</f>
        <v/>
      </c>
      <c r="P152" s="47">
        <f>IFERROR(SUMPRODUCT(tFlag*(tSS=$W152),tUPBf,tRem)/SUMPRODUCT(tFlag*(tSS=$W152)*ISNUMBER(tRem),tUPBf),0)</f>
        <v/>
      </c>
      <c r="Q152" s="31">
        <f>IFERROR(SUMPRODUCT(tFlag*(tSS=$W152),tUPBf,tFIO)/$E152,0)</f>
        <v/>
      </c>
      <c r="R152" s="31">
        <f>IFERROR(SUMPRODUCT(tFlag*(tSS=$W152),tUPBf,tDefF)/$E152,0)</f>
        <v/>
      </c>
      <c r="S152" s="31">
        <f>IFERROR(SUMPRODUCT(tFlag*(tSS=$W152),tUPBf,tSSF)/$E152,0)</f>
        <v/>
      </c>
      <c r="T152" s="31">
        <f>IFERROR(SUMPRODUCT(tFlag*(tSS=$W152),tUPBf,tDQ)/$E152,0)</f>
        <v/>
      </c>
      <c r="U152" s="31">
        <f>IFERROR(SUMPRODUCT(tFlag*(tSS=$W152),tUPBf,tWLF)/$E152,0)</f>
        <v/>
      </c>
      <c r="W152" s="48" t="inlineStr">
        <is>
          <t>Previously Specially Serviced</t>
        </is>
      </c>
    </row>
    <row r="153">
      <c r="B153" s="18">
        <f>IF(W153="","",W153&amp;"")</f>
        <v/>
      </c>
      <c r="C153" s="19">
        <f>SUMPRODUCT(tFlag*(tSS=$W153))</f>
        <v/>
      </c>
      <c r="D153" s="22">
        <f>IFERROR(C153/sLoans,0)</f>
        <v/>
      </c>
      <c r="E153" s="21">
        <f>SUMPRODUCT(tFlag*(tSS=$W153),tUPBf)</f>
        <v/>
      </c>
      <c r="F153" s="22">
        <f>IFERROR(E153/sUPB,0)</f>
        <v/>
      </c>
      <c r="G153" s="21">
        <f>IFERROR(E153/C153,0)</f>
        <v/>
      </c>
      <c r="H153" s="23">
        <f>IFERROR(SUMPRODUCT(tFlag*(tSS=$W153),tUPBf,tCpn)/SUMPRODUCT(tFlag*(tSS=$W153)*ISNUMBER(tCpn),tUPBf),0)</f>
        <v/>
      </c>
      <c r="I153" s="24">
        <f>IFERROR(SUMPRODUCT(tFlag*(tSS=$W153),tUPBf,tUWDSCR)/SUMPRODUCT(tFlag*(tSS=$W153)*ISNUMBER(tUWDSCR),tUPBf),0)</f>
        <v/>
      </c>
      <c r="J153" s="24">
        <f>IFERROR(SUMPRODUCT(tFlag*(tSS=$W153),tUPBf,tCurDSCR)/SUMPRODUCT(tFlag*(tSS=$W153)*ISNUMBER(tCurDSCR),tUPBf),0)</f>
        <v/>
      </c>
      <c r="K153" s="22">
        <f>IFERROR(SUMPRODUCT(tFlag*(tSS=$W153),tUPBf,tUWLTV)/SUMPRODUCT(tFlag*(tSS=$W153)*ISNUMBER(tUWLTV),tUPBf),0)</f>
        <v/>
      </c>
      <c r="L153" s="22">
        <f>IFERROR(SUMPRODUCT(tFlag*(tSS=$W153),tUPBf,tCurLTV)/SUMPRODUCT(tFlag*(tSS=$W153)*ISNUMBER(tCurLTV),tUPBf),0)</f>
        <v/>
      </c>
      <c r="M153" s="22">
        <f>IFERROR(SUMPRODUCT(tFlag*(tSS=$W153),tUPBf,tUWDY)/SUMPRODUCT(tFlag*(tSS=$W153)*ISNUMBER(tUWDY),tUPBf),0)</f>
        <v/>
      </c>
      <c r="N153" s="22">
        <f>IFERROR(SUMPRODUCT(tFlag*(tSS=$W153),tUPBf,tCurDY)/SUMPRODUCT(tFlag*(tSS=$W153)*ISNUMBER(tCurDY),tUPBf),0)</f>
        <v/>
      </c>
      <c r="O153" s="22">
        <f>IFERROR(SUMPRODUCT(tFlag*(tSS=$W153),tUPBf,tOcc)/SUMPRODUCT(tFlag*(tSS=$W153)*ISNUMBER(tOcc),tUPBf),0)</f>
        <v/>
      </c>
      <c r="P153" s="45">
        <f>IFERROR(SUMPRODUCT(tFlag*(tSS=$W153),tUPBf,tRem)/SUMPRODUCT(tFlag*(tSS=$W153)*ISNUMBER(tRem),tUPBf),0)</f>
        <v/>
      </c>
      <c r="Q153" s="22">
        <f>IFERROR(SUMPRODUCT(tFlag*(tSS=$W153),tUPBf,tFIO)/$E153,0)</f>
        <v/>
      </c>
      <c r="R153" s="22">
        <f>IFERROR(SUMPRODUCT(tFlag*(tSS=$W153),tUPBf,tDefF)/$E153,0)</f>
        <v/>
      </c>
      <c r="S153" s="22">
        <f>IFERROR(SUMPRODUCT(tFlag*(tSS=$W153),tUPBf,tSSF)/$E153,0)</f>
        <v/>
      </c>
      <c r="T153" s="22">
        <f>IFERROR(SUMPRODUCT(tFlag*(tSS=$W153),tUPBf,tDQ)/$E153,0)</f>
        <v/>
      </c>
      <c r="U153" s="22">
        <f>IFERROR(SUMPRODUCT(tFlag*(tSS=$W153),tUPBf,tWLF)/$E153,0)</f>
        <v/>
      </c>
      <c r="W153" s="48" t="inlineStr">
        <is>
          <t>Never Specially Serviced</t>
        </is>
      </c>
    </row>
    <row r="154">
      <c r="B154" s="36" t="inlineStr">
        <is>
          <t>Total / Wtd. Avg.</t>
        </is>
      </c>
      <c r="C154" s="37">
        <f>SUMPRODUCT(tFlag*(1))</f>
        <v/>
      </c>
      <c r="D154" s="40">
        <f>IFERROR(C154/sLoans,0)</f>
        <v/>
      </c>
      <c r="E154" s="39">
        <f>SUMPRODUCT(tFlag*(1),tUPBf)</f>
        <v/>
      </c>
      <c r="F154" s="40">
        <f>IFERROR(E154/sUPB,0)</f>
        <v/>
      </c>
      <c r="G154" s="39">
        <f>IFERROR(E154/C154,0)</f>
        <v/>
      </c>
      <c r="H154" s="41">
        <f>IFERROR(SUMPRODUCT(tFlag*(1),tUPBf,tCpn)/SUMPRODUCT(tFlag*(1)*ISNUMBER(tCpn),tUPBf),0)</f>
        <v/>
      </c>
      <c r="I154" s="42">
        <f>IFERROR(SUMPRODUCT(tFlag*(1),tUPBf,tUWDSCR)/SUMPRODUCT(tFlag*(1)*ISNUMBER(tUWDSCR),tUPBf),0)</f>
        <v/>
      </c>
      <c r="J154" s="42">
        <f>IFERROR(SUMPRODUCT(tFlag*(1),tUPBf,tCurDSCR)/SUMPRODUCT(tFlag*(1)*ISNUMBER(tCurDSCR),tUPBf),0)</f>
        <v/>
      </c>
      <c r="K154" s="40">
        <f>IFERROR(SUMPRODUCT(tFlag*(1),tUPBf,tUWLTV)/SUMPRODUCT(tFlag*(1)*ISNUMBER(tUWLTV),tUPBf),0)</f>
        <v/>
      </c>
      <c r="L154" s="40">
        <f>IFERROR(SUMPRODUCT(tFlag*(1),tUPBf,tCurLTV)/SUMPRODUCT(tFlag*(1)*ISNUMBER(tCurLTV),tUPBf),0)</f>
        <v/>
      </c>
      <c r="M154" s="40">
        <f>IFERROR(SUMPRODUCT(tFlag*(1),tUPBf,tUWDY)/SUMPRODUCT(tFlag*(1)*ISNUMBER(tUWDY),tUPBf),0)</f>
        <v/>
      </c>
      <c r="N154" s="40">
        <f>IFERROR(SUMPRODUCT(tFlag*(1),tUPBf,tCurDY)/SUMPRODUCT(tFlag*(1)*ISNUMBER(tCurDY),tUPBf),0)</f>
        <v/>
      </c>
      <c r="O154" s="40">
        <f>IFERROR(SUMPRODUCT(tFlag*(1),tUPBf,tOcc)/SUMPRODUCT(tFlag*(1)*ISNUMBER(tOcc),tUPBf),0)</f>
        <v/>
      </c>
      <c r="P154" s="43">
        <f>IFERROR(SUMPRODUCT(tFlag*(1),tUPBf,tRem)/SUMPRODUCT(tFlag*(1)*ISNUMBER(tRem),tUPBf),0)</f>
        <v/>
      </c>
      <c r="Q154" s="40">
        <f>IFERROR(SUMPRODUCT(tFlag*(1),tUPBf,tFIO)/$E154,0)</f>
        <v/>
      </c>
      <c r="R154" s="40">
        <f>IFERROR(SUMPRODUCT(tFlag*(1),tUPBf,tDefF)/$E154,0)</f>
        <v/>
      </c>
      <c r="S154" s="40">
        <f>IFERROR(SUMPRODUCT(tFlag*(1),tUPBf,tSSF)/$E154,0)</f>
        <v/>
      </c>
      <c r="T154" s="40">
        <f>IFERROR(SUMPRODUCT(tFlag*(1),tUPBf,tDQ)/$E154,0)</f>
        <v/>
      </c>
      <c r="U154" s="40">
        <f>IFERROR(SUMPRODUCT(tFlag*(1),tUPBf,tWLF)/$E154,0)</f>
        <v/>
      </c>
    </row>
    <row r="156" ht="15" customHeight="1">
      <c r="B156" s="2" t="inlineStr">
        <is>
          <t>WATCHLIST STATUS</t>
        </is>
      </c>
      <c r="C156" s="3" t="n"/>
      <c r="D156" s="3" t="n"/>
      <c r="E156" s="3" t="n"/>
      <c r="F156" s="3" t="n"/>
      <c r="G156" s="3" t="n"/>
      <c r="H156" s="3" t="n"/>
      <c r="I156" s="3" t="n"/>
      <c r="J156" s="3" t="n"/>
      <c r="K156" s="3" t="n"/>
      <c r="L156" s="3" t="n"/>
      <c r="M156" s="3" t="n"/>
      <c r="N156" s="3" t="n"/>
      <c r="O156" s="3" t="n"/>
      <c r="P156" s="3" t="n"/>
      <c r="Q156" s="3" t="n"/>
      <c r="R156" s="3" t="n"/>
      <c r="S156" s="3" t="n"/>
      <c r="T156" s="3" t="n"/>
      <c r="U156" s="3" t="n"/>
    </row>
    <row r="157" ht="39.75" customHeight="1">
      <c r="B157" s="15" t="inlineStr">
        <is>
          <t>Category</t>
        </is>
      </c>
      <c r="C157" s="16" t="inlineStr">
        <is>
          <t>Number of Loans</t>
        </is>
      </c>
      <c r="D157" s="16" t="inlineStr">
        <is>
          <t>% of Loans</t>
        </is>
      </c>
      <c r="E157" s="16" t="inlineStr">
        <is>
          <t>Current UPB</t>
        </is>
      </c>
      <c r="F157" s="16" t="inlineStr">
        <is>
          <t>% of UPB</t>
        </is>
      </c>
      <c r="G157" s="16" t="inlineStr">
        <is>
          <t>Average Loan Size</t>
        </is>
      </c>
      <c r="H157" s="16" t="inlineStr">
        <is>
          <t>Wtd. Avg. Gross Coupon</t>
        </is>
      </c>
      <c r="I157" s="16" t="inlineStr">
        <is>
          <t>Wtd. Avg. UW NCF DSCR</t>
        </is>
      </c>
      <c r="J157" s="16" t="inlineStr">
        <is>
          <t>Wtd. Avg. Current NCF DSCR</t>
        </is>
      </c>
      <c r="K157" s="16" t="inlineStr">
        <is>
          <t>Wtd. Avg. UW LTV</t>
        </is>
      </c>
      <c r="L157" s="16" t="inlineStr">
        <is>
          <t>Wtd. Avg. Current LTV</t>
        </is>
      </c>
      <c r="M157" s="16" t="inlineStr">
        <is>
          <t>Wtd. Avg. UW NCF Debt Yield</t>
        </is>
      </c>
      <c r="N157" s="16" t="inlineStr">
        <is>
          <t>Wtd. Avg. Current NCF Debt Yield</t>
        </is>
      </c>
      <c r="O157" s="16" t="inlineStr">
        <is>
          <t>Wtd. Avg. Current Occupancy</t>
        </is>
      </c>
      <c r="P157" s="16" t="inlineStr">
        <is>
          <t>Wtd. Avg. Rem. Term (Mo.)</t>
        </is>
      </c>
      <c r="Q157" s="16" t="inlineStr">
        <is>
          <t>% Full IO</t>
        </is>
      </c>
      <c r="R157" s="16" t="inlineStr">
        <is>
          <t>% Defeased</t>
        </is>
      </c>
      <c r="S157" s="16" t="inlineStr">
        <is>
          <t>% Currently Specially Serviced</t>
        </is>
      </c>
      <c r="T157" s="16" t="inlineStr">
        <is>
          <t>% 30+ Delinq. / FC / REO</t>
        </is>
      </c>
      <c r="U157" s="16" t="inlineStr">
        <is>
          <t>% On Watchlist</t>
        </is>
      </c>
      <c r="W157" s="44" t="inlineStr">
        <is>
          <t>Category Label</t>
        </is>
      </c>
    </row>
    <row r="158">
      <c r="B158" s="18">
        <f>IF(W158="","",W158&amp;"")</f>
        <v/>
      </c>
      <c r="C158" s="19">
        <f>SUMPRODUCT(tFlag*(tWL=$W158))</f>
        <v/>
      </c>
      <c r="D158" s="22">
        <f>IFERROR(C158/sLoans,0)</f>
        <v/>
      </c>
      <c r="E158" s="21">
        <f>SUMPRODUCT(tFlag*(tWL=$W158),tUPBf)</f>
        <v/>
      </c>
      <c r="F158" s="22">
        <f>IFERROR(E158/sUPB,0)</f>
        <v/>
      </c>
      <c r="G158" s="21">
        <f>IFERROR(E158/C158,0)</f>
        <v/>
      </c>
      <c r="H158" s="23">
        <f>IFERROR(SUMPRODUCT(tFlag*(tWL=$W158),tUPBf,tCpn)/SUMPRODUCT(tFlag*(tWL=$W158)*ISNUMBER(tCpn),tUPBf),0)</f>
        <v/>
      </c>
      <c r="I158" s="24">
        <f>IFERROR(SUMPRODUCT(tFlag*(tWL=$W158),tUPBf,tUWDSCR)/SUMPRODUCT(tFlag*(tWL=$W158)*ISNUMBER(tUWDSCR),tUPBf),0)</f>
        <v/>
      </c>
      <c r="J158" s="24">
        <f>IFERROR(SUMPRODUCT(tFlag*(tWL=$W158),tUPBf,tCurDSCR)/SUMPRODUCT(tFlag*(tWL=$W158)*ISNUMBER(tCurDSCR),tUPBf),0)</f>
        <v/>
      </c>
      <c r="K158" s="22">
        <f>IFERROR(SUMPRODUCT(tFlag*(tWL=$W158),tUPBf,tUWLTV)/SUMPRODUCT(tFlag*(tWL=$W158)*ISNUMBER(tUWLTV),tUPBf),0)</f>
        <v/>
      </c>
      <c r="L158" s="22">
        <f>IFERROR(SUMPRODUCT(tFlag*(tWL=$W158),tUPBf,tCurLTV)/SUMPRODUCT(tFlag*(tWL=$W158)*ISNUMBER(tCurLTV),tUPBf),0)</f>
        <v/>
      </c>
      <c r="M158" s="22">
        <f>IFERROR(SUMPRODUCT(tFlag*(tWL=$W158),tUPBf,tUWDY)/SUMPRODUCT(tFlag*(tWL=$W158)*ISNUMBER(tUWDY),tUPBf),0)</f>
        <v/>
      </c>
      <c r="N158" s="22">
        <f>IFERROR(SUMPRODUCT(tFlag*(tWL=$W158),tUPBf,tCurDY)/SUMPRODUCT(tFlag*(tWL=$W158)*ISNUMBER(tCurDY),tUPBf),0)</f>
        <v/>
      </c>
      <c r="O158" s="22">
        <f>IFERROR(SUMPRODUCT(tFlag*(tWL=$W158),tUPBf,tOcc)/SUMPRODUCT(tFlag*(tWL=$W158)*ISNUMBER(tOcc),tUPBf),0)</f>
        <v/>
      </c>
      <c r="P158" s="45">
        <f>IFERROR(SUMPRODUCT(tFlag*(tWL=$W158),tUPBf,tRem)/SUMPRODUCT(tFlag*(tWL=$W158)*ISNUMBER(tRem),tUPBf),0)</f>
        <v/>
      </c>
      <c r="Q158" s="22">
        <f>IFERROR(SUMPRODUCT(tFlag*(tWL=$W158),tUPBf,tFIO)/$E158,0)</f>
        <v/>
      </c>
      <c r="R158" s="22">
        <f>IFERROR(SUMPRODUCT(tFlag*(tWL=$W158),tUPBf,tDefF)/$E158,0)</f>
        <v/>
      </c>
      <c r="S158" s="22">
        <f>IFERROR(SUMPRODUCT(tFlag*(tWL=$W158),tUPBf,tSSF)/$E158,0)</f>
        <v/>
      </c>
      <c r="T158" s="22">
        <f>IFERROR(SUMPRODUCT(tFlag*(tWL=$W158),tUPBf,tDQ)/$E158,0)</f>
        <v/>
      </c>
      <c r="U158" s="22">
        <f>IFERROR(SUMPRODUCT(tFlag*(tWL=$W158),tUPBf,tWLF)/$E158,0)</f>
        <v/>
      </c>
      <c r="W158" s="48" t="inlineStr">
        <is>
          <t>Currently on Watchlist</t>
        </is>
      </c>
    </row>
    <row r="159">
      <c r="B159" s="27">
        <f>IF(W159="","",W159&amp;"")</f>
        <v/>
      </c>
      <c r="C159" s="28">
        <f>SUMPRODUCT(tFlag*(tWL=$W159))</f>
        <v/>
      </c>
      <c r="D159" s="31">
        <f>IFERROR(C159/sLoans,0)</f>
        <v/>
      </c>
      <c r="E159" s="30">
        <f>SUMPRODUCT(tFlag*(tWL=$W159),tUPBf)</f>
        <v/>
      </c>
      <c r="F159" s="31">
        <f>IFERROR(E159/sUPB,0)</f>
        <v/>
      </c>
      <c r="G159" s="30">
        <f>IFERROR(E159/C159,0)</f>
        <v/>
      </c>
      <c r="H159" s="32">
        <f>IFERROR(SUMPRODUCT(tFlag*(tWL=$W159),tUPBf,tCpn)/SUMPRODUCT(tFlag*(tWL=$W159)*ISNUMBER(tCpn),tUPBf),0)</f>
        <v/>
      </c>
      <c r="I159" s="33">
        <f>IFERROR(SUMPRODUCT(tFlag*(tWL=$W159),tUPBf,tUWDSCR)/SUMPRODUCT(tFlag*(tWL=$W159)*ISNUMBER(tUWDSCR),tUPBf),0)</f>
        <v/>
      </c>
      <c r="J159" s="33">
        <f>IFERROR(SUMPRODUCT(tFlag*(tWL=$W159),tUPBf,tCurDSCR)/SUMPRODUCT(tFlag*(tWL=$W159)*ISNUMBER(tCurDSCR),tUPBf),0)</f>
        <v/>
      </c>
      <c r="K159" s="31">
        <f>IFERROR(SUMPRODUCT(tFlag*(tWL=$W159),tUPBf,tUWLTV)/SUMPRODUCT(tFlag*(tWL=$W159)*ISNUMBER(tUWLTV),tUPBf),0)</f>
        <v/>
      </c>
      <c r="L159" s="31">
        <f>IFERROR(SUMPRODUCT(tFlag*(tWL=$W159),tUPBf,tCurLTV)/SUMPRODUCT(tFlag*(tWL=$W159)*ISNUMBER(tCurLTV),tUPBf),0)</f>
        <v/>
      </c>
      <c r="M159" s="31">
        <f>IFERROR(SUMPRODUCT(tFlag*(tWL=$W159),tUPBf,tUWDY)/SUMPRODUCT(tFlag*(tWL=$W159)*ISNUMBER(tUWDY),tUPBf),0)</f>
        <v/>
      </c>
      <c r="N159" s="31">
        <f>IFERROR(SUMPRODUCT(tFlag*(tWL=$W159),tUPBf,tCurDY)/SUMPRODUCT(tFlag*(tWL=$W159)*ISNUMBER(tCurDY),tUPBf),0)</f>
        <v/>
      </c>
      <c r="O159" s="31">
        <f>IFERROR(SUMPRODUCT(tFlag*(tWL=$W159),tUPBf,tOcc)/SUMPRODUCT(tFlag*(tWL=$W159)*ISNUMBER(tOcc),tUPBf),0)</f>
        <v/>
      </c>
      <c r="P159" s="47">
        <f>IFERROR(SUMPRODUCT(tFlag*(tWL=$W159),tUPBf,tRem)/SUMPRODUCT(tFlag*(tWL=$W159)*ISNUMBER(tRem),tUPBf),0)</f>
        <v/>
      </c>
      <c r="Q159" s="31">
        <f>IFERROR(SUMPRODUCT(tFlag*(tWL=$W159),tUPBf,tFIO)/$E159,0)</f>
        <v/>
      </c>
      <c r="R159" s="31">
        <f>IFERROR(SUMPRODUCT(tFlag*(tWL=$W159),tUPBf,tDefF)/$E159,0)</f>
        <v/>
      </c>
      <c r="S159" s="31">
        <f>IFERROR(SUMPRODUCT(tFlag*(tWL=$W159),tUPBf,tSSF)/$E159,0)</f>
        <v/>
      </c>
      <c r="T159" s="31">
        <f>IFERROR(SUMPRODUCT(tFlag*(tWL=$W159),tUPBf,tDQ)/$E159,0)</f>
        <v/>
      </c>
      <c r="U159" s="31">
        <f>IFERROR(SUMPRODUCT(tFlag*(tWL=$W159),tUPBf,tWLF)/$E159,0)</f>
        <v/>
      </c>
      <c r="W159" s="48" t="inlineStr">
        <is>
          <t>Previously on Watchlist</t>
        </is>
      </c>
    </row>
    <row r="160">
      <c r="B160" s="18">
        <f>IF(W160="","",W160&amp;"")</f>
        <v/>
      </c>
      <c r="C160" s="19">
        <f>SUMPRODUCT(tFlag*(tWL=$W160))</f>
        <v/>
      </c>
      <c r="D160" s="22">
        <f>IFERROR(C160/sLoans,0)</f>
        <v/>
      </c>
      <c r="E160" s="21">
        <f>SUMPRODUCT(tFlag*(tWL=$W160),tUPBf)</f>
        <v/>
      </c>
      <c r="F160" s="22">
        <f>IFERROR(E160/sUPB,0)</f>
        <v/>
      </c>
      <c r="G160" s="21">
        <f>IFERROR(E160/C160,0)</f>
        <v/>
      </c>
      <c r="H160" s="23">
        <f>IFERROR(SUMPRODUCT(tFlag*(tWL=$W160),tUPBf,tCpn)/SUMPRODUCT(tFlag*(tWL=$W160)*ISNUMBER(tCpn),tUPBf),0)</f>
        <v/>
      </c>
      <c r="I160" s="24">
        <f>IFERROR(SUMPRODUCT(tFlag*(tWL=$W160),tUPBf,tUWDSCR)/SUMPRODUCT(tFlag*(tWL=$W160)*ISNUMBER(tUWDSCR),tUPBf),0)</f>
        <v/>
      </c>
      <c r="J160" s="24">
        <f>IFERROR(SUMPRODUCT(tFlag*(tWL=$W160),tUPBf,tCurDSCR)/SUMPRODUCT(tFlag*(tWL=$W160)*ISNUMBER(tCurDSCR),tUPBf),0)</f>
        <v/>
      </c>
      <c r="K160" s="22">
        <f>IFERROR(SUMPRODUCT(tFlag*(tWL=$W160),tUPBf,tUWLTV)/SUMPRODUCT(tFlag*(tWL=$W160)*ISNUMBER(tUWLTV),tUPBf),0)</f>
        <v/>
      </c>
      <c r="L160" s="22">
        <f>IFERROR(SUMPRODUCT(tFlag*(tWL=$W160),tUPBf,tCurLTV)/SUMPRODUCT(tFlag*(tWL=$W160)*ISNUMBER(tCurLTV),tUPBf),0)</f>
        <v/>
      </c>
      <c r="M160" s="22">
        <f>IFERROR(SUMPRODUCT(tFlag*(tWL=$W160),tUPBf,tUWDY)/SUMPRODUCT(tFlag*(tWL=$W160)*ISNUMBER(tUWDY),tUPBf),0)</f>
        <v/>
      </c>
      <c r="N160" s="22">
        <f>IFERROR(SUMPRODUCT(tFlag*(tWL=$W160),tUPBf,tCurDY)/SUMPRODUCT(tFlag*(tWL=$W160)*ISNUMBER(tCurDY),tUPBf),0)</f>
        <v/>
      </c>
      <c r="O160" s="22">
        <f>IFERROR(SUMPRODUCT(tFlag*(tWL=$W160),tUPBf,tOcc)/SUMPRODUCT(tFlag*(tWL=$W160)*ISNUMBER(tOcc),tUPBf),0)</f>
        <v/>
      </c>
      <c r="P160" s="45">
        <f>IFERROR(SUMPRODUCT(tFlag*(tWL=$W160),tUPBf,tRem)/SUMPRODUCT(tFlag*(tWL=$W160)*ISNUMBER(tRem),tUPBf),0)</f>
        <v/>
      </c>
      <c r="Q160" s="22">
        <f>IFERROR(SUMPRODUCT(tFlag*(tWL=$W160),tUPBf,tFIO)/$E160,0)</f>
        <v/>
      </c>
      <c r="R160" s="22">
        <f>IFERROR(SUMPRODUCT(tFlag*(tWL=$W160),tUPBf,tDefF)/$E160,0)</f>
        <v/>
      </c>
      <c r="S160" s="22">
        <f>IFERROR(SUMPRODUCT(tFlag*(tWL=$W160),tUPBf,tSSF)/$E160,0)</f>
        <v/>
      </c>
      <c r="T160" s="22">
        <f>IFERROR(SUMPRODUCT(tFlag*(tWL=$W160),tUPBf,tDQ)/$E160,0)</f>
        <v/>
      </c>
      <c r="U160" s="22">
        <f>IFERROR(SUMPRODUCT(tFlag*(tWL=$W160),tUPBf,tWLF)/$E160,0)</f>
        <v/>
      </c>
      <c r="W160" s="48" t="inlineStr">
        <is>
          <t>Never on Watchlist</t>
        </is>
      </c>
    </row>
    <row r="161">
      <c r="B161" s="36" t="inlineStr">
        <is>
          <t>Total / Wtd. Avg.</t>
        </is>
      </c>
      <c r="C161" s="37">
        <f>SUMPRODUCT(tFlag*(1))</f>
        <v/>
      </c>
      <c r="D161" s="40">
        <f>IFERROR(C161/sLoans,0)</f>
        <v/>
      </c>
      <c r="E161" s="39">
        <f>SUMPRODUCT(tFlag*(1),tUPBf)</f>
        <v/>
      </c>
      <c r="F161" s="40">
        <f>IFERROR(E161/sUPB,0)</f>
        <v/>
      </c>
      <c r="G161" s="39">
        <f>IFERROR(E161/C161,0)</f>
        <v/>
      </c>
      <c r="H161" s="41">
        <f>IFERROR(SUMPRODUCT(tFlag*(1),tUPBf,tCpn)/SUMPRODUCT(tFlag*(1)*ISNUMBER(tCpn),tUPBf),0)</f>
        <v/>
      </c>
      <c r="I161" s="42">
        <f>IFERROR(SUMPRODUCT(tFlag*(1),tUPBf,tUWDSCR)/SUMPRODUCT(tFlag*(1)*ISNUMBER(tUWDSCR),tUPBf),0)</f>
        <v/>
      </c>
      <c r="J161" s="42">
        <f>IFERROR(SUMPRODUCT(tFlag*(1),tUPBf,tCurDSCR)/SUMPRODUCT(tFlag*(1)*ISNUMBER(tCurDSCR),tUPBf),0)</f>
        <v/>
      </c>
      <c r="K161" s="40">
        <f>IFERROR(SUMPRODUCT(tFlag*(1),tUPBf,tUWLTV)/SUMPRODUCT(tFlag*(1)*ISNUMBER(tUWLTV),tUPBf),0)</f>
        <v/>
      </c>
      <c r="L161" s="40">
        <f>IFERROR(SUMPRODUCT(tFlag*(1),tUPBf,tCurLTV)/SUMPRODUCT(tFlag*(1)*ISNUMBER(tCurLTV),tUPBf),0)</f>
        <v/>
      </c>
      <c r="M161" s="40">
        <f>IFERROR(SUMPRODUCT(tFlag*(1),tUPBf,tUWDY)/SUMPRODUCT(tFlag*(1)*ISNUMBER(tUWDY),tUPBf),0)</f>
        <v/>
      </c>
      <c r="N161" s="40">
        <f>IFERROR(SUMPRODUCT(tFlag*(1),tUPBf,tCurDY)/SUMPRODUCT(tFlag*(1)*ISNUMBER(tCurDY),tUPBf),0)</f>
        <v/>
      </c>
      <c r="O161" s="40">
        <f>IFERROR(SUMPRODUCT(tFlag*(1),tUPBf,tOcc)/SUMPRODUCT(tFlag*(1)*ISNUMBER(tOcc),tUPBf),0)</f>
        <v/>
      </c>
      <c r="P161" s="43">
        <f>IFERROR(SUMPRODUCT(tFlag*(1),tUPBf,tRem)/SUMPRODUCT(tFlag*(1)*ISNUMBER(tRem),tUPBf),0)</f>
        <v/>
      </c>
      <c r="Q161" s="40">
        <f>IFERROR(SUMPRODUCT(tFlag*(1),tUPBf,tFIO)/$E161,0)</f>
        <v/>
      </c>
      <c r="R161" s="40">
        <f>IFERROR(SUMPRODUCT(tFlag*(1),tUPBf,tDefF)/$E161,0)</f>
        <v/>
      </c>
      <c r="S161" s="40">
        <f>IFERROR(SUMPRODUCT(tFlag*(1),tUPBf,tSSF)/$E161,0)</f>
        <v/>
      </c>
      <c r="T161" s="40">
        <f>IFERROR(SUMPRODUCT(tFlag*(1),tUPBf,tDQ)/$E161,0)</f>
        <v/>
      </c>
      <c r="U161" s="40">
        <f>IFERROR(SUMPRODUCT(tFlag*(1),tUPBf,tWLF)/$E161,0)</f>
        <v/>
      </c>
    </row>
    <row r="163" ht="15" customHeight="1">
      <c r="B163" s="2" t="inlineStr">
        <is>
          <t>DEFEASANCE STATUS</t>
        </is>
      </c>
      <c r="C163" s="3" t="n"/>
      <c r="D163" s="3" t="n"/>
      <c r="E163" s="3" t="n"/>
      <c r="F163" s="3" t="n"/>
      <c r="G163" s="3" t="n"/>
      <c r="H163" s="3" t="n"/>
      <c r="I163" s="3" t="n"/>
      <c r="J163" s="3" t="n"/>
      <c r="K163" s="3" t="n"/>
      <c r="L163" s="3" t="n"/>
      <c r="M163" s="3" t="n"/>
      <c r="N163" s="3" t="n"/>
      <c r="O163" s="3" t="n"/>
      <c r="P163" s="3" t="n"/>
      <c r="Q163" s="3" t="n"/>
      <c r="R163" s="3" t="n"/>
      <c r="S163" s="3" t="n"/>
      <c r="T163" s="3" t="n"/>
      <c r="U163" s="3" t="n"/>
    </row>
    <row r="164" ht="39.75" customHeight="1">
      <c r="B164" s="15" t="inlineStr">
        <is>
          <t>Category</t>
        </is>
      </c>
      <c r="C164" s="16" t="inlineStr">
        <is>
          <t>Number of Loans</t>
        </is>
      </c>
      <c r="D164" s="16" t="inlineStr">
        <is>
          <t>% of Loans</t>
        </is>
      </c>
      <c r="E164" s="16" t="inlineStr">
        <is>
          <t>Current UPB</t>
        </is>
      </c>
      <c r="F164" s="16" t="inlineStr">
        <is>
          <t>% of UPB</t>
        </is>
      </c>
      <c r="G164" s="16" t="inlineStr">
        <is>
          <t>Average Loan Size</t>
        </is>
      </c>
      <c r="H164" s="16" t="inlineStr">
        <is>
          <t>Wtd. Avg. Gross Coupon</t>
        </is>
      </c>
      <c r="I164" s="16" t="inlineStr">
        <is>
          <t>Wtd. Avg. UW NCF DSCR</t>
        </is>
      </c>
      <c r="J164" s="16" t="inlineStr">
        <is>
          <t>Wtd. Avg. Current NCF DSCR</t>
        </is>
      </c>
      <c r="K164" s="16" t="inlineStr">
        <is>
          <t>Wtd. Avg. UW LTV</t>
        </is>
      </c>
      <c r="L164" s="16" t="inlineStr">
        <is>
          <t>Wtd. Avg. Current LTV</t>
        </is>
      </c>
      <c r="M164" s="16" t="inlineStr">
        <is>
          <t>Wtd. Avg. UW NCF Debt Yield</t>
        </is>
      </c>
      <c r="N164" s="16" t="inlineStr">
        <is>
          <t>Wtd. Avg. Current NCF Debt Yield</t>
        </is>
      </c>
      <c r="O164" s="16" t="inlineStr">
        <is>
          <t>Wtd. Avg. Current Occupancy</t>
        </is>
      </c>
      <c r="P164" s="16" t="inlineStr">
        <is>
          <t>Wtd. Avg. Rem. Term (Mo.)</t>
        </is>
      </c>
      <c r="Q164" s="16" t="inlineStr">
        <is>
          <t>% Full IO</t>
        </is>
      </c>
      <c r="R164" s="16" t="inlineStr">
        <is>
          <t>% Defeased</t>
        </is>
      </c>
      <c r="S164" s="16" t="inlineStr">
        <is>
          <t>% Currently Specially Serviced</t>
        </is>
      </c>
      <c r="T164" s="16" t="inlineStr">
        <is>
          <t>% 30+ Delinq. / FC / REO</t>
        </is>
      </c>
      <c r="U164" s="16" t="inlineStr">
        <is>
          <t>% On Watchlist</t>
        </is>
      </c>
      <c r="W164" s="44" t="inlineStr">
        <is>
          <t>Category Label</t>
        </is>
      </c>
    </row>
    <row r="165">
      <c r="B165" s="18">
        <f>IF(W165="","",W165&amp;"")</f>
        <v/>
      </c>
      <c r="C165" s="19">
        <f>SUMPRODUCT(tFlag*(tDef=$W165))</f>
        <v/>
      </c>
      <c r="D165" s="22">
        <f>IFERROR(C165/sLoans,0)</f>
        <v/>
      </c>
      <c r="E165" s="21">
        <f>SUMPRODUCT(tFlag*(tDef=$W165),tUPBf)</f>
        <v/>
      </c>
      <c r="F165" s="22">
        <f>IFERROR(E165/sUPB,0)</f>
        <v/>
      </c>
      <c r="G165" s="21">
        <f>IFERROR(E165/C165,0)</f>
        <v/>
      </c>
      <c r="H165" s="23">
        <f>IFERROR(SUMPRODUCT(tFlag*(tDef=$W165),tUPBf,tCpn)/SUMPRODUCT(tFlag*(tDef=$W165)*ISNUMBER(tCpn),tUPBf),0)</f>
        <v/>
      </c>
      <c r="I165" s="24">
        <f>IFERROR(SUMPRODUCT(tFlag*(tDef=$W165),tUPBf,tUWDSCR)/SUMPRODUCT(tFlag*(tDef=$W165)*ISNUMBER(tUWDSCR),tUPBf),0)</f>
        <v/>
      </c>
      <c r="J165" s="24">
        <f>IFERROR(SUMPRODUCT(tFlag*(tDef=$W165),tUPBf,tCurDSCR)/SUMPRODUCT(tFlag*(tDef=$W165)*ISNUMBER(tCurDSCR),tUPBf),0)</f>
        <v/>
      </c>
      <c r="K165" s="22">
        <f>IFERROR(SUMPRODUCT(tFlag*(tDef=$W165),tUPBf,tUWLTV)/SUMPRODUCT(tFlag*(tDef=$W165)*ISNUMBER(tUWLTV),tUPBf),0)</f>
        <v/>
      </c>
      <c r="L165" s="22">
        <f>IFERROR(SUMPRODUCT(tFlag*(tDef=$W165),tUPBf,tCurLTV)/SUMPRODUCT(tFlag*(tDef=$W165)*ISNUMBER(tCurLTV),tUPBf),0)</f>
        <v/>
      </c>
      <c r="M165" s="22">
        <f>IFERROR(SUMPRODUCT(tFlag*(tDef=$W165),tUPBf,tUWDY)/SUMPRODUCT(tFlag*(tDef=$W165)*ISNUMBER(tUWDY),tUPBf),0)</f>
        <v/>
      </c>
      <c r="N165" s="22">
        <f>IFERROR(SUMPRODUCT(tFlag*(tDef=$W165),tUPBf,tCurDY)/SUMPRODUCT(tFlag*(tDef=$W165)*ISNUMBER(tCurDY),tUPBf),0)</f>
        <v/>
      </c>
      <c r="O165" s="22">
        <f>IFERROR(SUMPRODUCT(tFlag*(tDef=$W165),tUPBf,tOcc)/SUMPRODUCT(tFlag*(tDef=$W165)*ISNUMBER(tOcc),tUPBf),0)</f>
        <v/>
      </c>
      <c r="P165" s="45">
        <f>IFERROR(SUMPRODUCT(tFlag*(tDef=$W165),tUPBf,tRem)/SUMPRODUCT(tFlag*(tDef=$W165)*ISNUMBER(tRem),tUPBf),0)</f>
        <v/>
      </c>
      <c r="Q165" s="22">
        <f>IFERROR(SUMPRODUCT(tFlag*(tDef=$W165),tUPBf,tFIO)/$E165,0)</f>
        <v/>
      </c>
      <c r="R165" s="22">
        <f>IFERROR(SUMPRODUCT(tFlag*(tDef=$W165),tUPBf,tDefF)/$E165,0)</f>
        <v/>
      </c>
      <c r="S165" s="22">
        <f>IFERROR(SUMPRODUCT(tFlag*(tDef=$W165),tUPBf,tSSF)/$E165,0)</f>
        <v/>
      </c>
      <c r="T165" s="22">
        <f>IFERROR(SUMPRODUCT(tFlag*(tDef=$W165),tUPBf,tDQ)/$E165,0)</f>
        <v/>
      </c>
      <c r="U165" s="22">
        <f>IFERROR(SUMPRODUCT(tFlag*(tDef=$W165),tUPBf,tWLF)/$E165,0)</f>
        <v/>
      </c>
      <c r="W165" s="48" t="inlineStr">
        <is>
          <t>Fully Defeased</t>
        </is>
      </c>
    </row>
    <row r="166">
      <c r="B166" s="27">
        <f>IF(W166="","",W166&amp;"")</f>
        <v/>
      </c>
      <c r="C166" s="28">
        <f>SUMPRODUCT(tFlag*(tDef=$W166))</f>
        <v/>
      </c>
      <c r="D166" s="31">
        <f>IFERROR(C166/sLoans,0)</f>
        <v/>
      </c>
      <c r="E166" s="30">
        <f>SUMPRODUCT(tFlag*(tDef=$W166),tUPBf)</f>
        <v/>
      </c>
      <c r="F166" s="31">
        <f>IFERROR(E166/sUPB,0)</f>
        <v/>
      </c>
      <c r="G166" s="30">
        <f>IFERROR(E166/C166,0)</f>
        <v/>
      </c>
      <c r="H166" s="32">
        <f>IFERROR(SUMPRODUCT(tFlag*(tDef=$W166),tUPBf,tCpn)/SUMPRODUCT(tFlag*(tDef=$W166)*ISNUMBER(tCpn),tUPBf),0)</f>
        <v/>
      </c>
      <c r="I166" s="33">
        <f>IFERROR(SUMPRODUCT(tFlag*(tDef=$W166),tUPBf,tUWDSCR)/SUMPRODUCT(tFlag*(tDef=$W166)*ISNUMBER(tUWDSCR),tUPBf),0)</f>
        <v/>
      </c>
      <c r="J166" s="33">
        <f>IFERROR(SUMPRODUCT(tFlag*(tDef=$W166),tUPBf,tCurDSCR)/SUMPRODUCT(tFlag*(tDef=$W166)*ISNUMBER(tCurDSCR),tUPBf),0)</f>
        <v/>
      </c>
      <c r="K166" s="31">
        <f>IFERROR(SUMPRODUCT(tFlag*(tDef=$W166),tUPBf,tUWLTV)/SUMPRODUCT(tFlag*(tDef=$W166)*ISNUMBER(tUWLTV),tUPBf),0)</f>
        <v/>
      </c>
      <c r="L166" s="31">
        <f>IFERROR(SUMPRODUCT(tFlag*(tDef=$W166),tUPBf,tCurLTV)/SUMPRODUCT(tFlag*(tDef=$W166)*ISNUMBER(tCurLTV),tUPBf),0)</f>
        <v/>
      </c>
      <c r="M166" s="31">
        <f>IFERROR(SUMPRODUCT(tFlag*(tDef=$W166),tUPBf,tUWDY)/SUMPRODUCT(tFlag*(tDef=$W166)*ISNUMBER(tUWDY),tUPBf),0)</f>
        <v/>
      </c>
      <c r="N166" s="31">
        <f>IFERROR(SUMPRODUCT(tFlag*(tDef=$W166),tUPBf,tCurDY)/SUMPRODUCT(tFlag*(tDef=$W166)*ISNUMBER(tCurDY),tUPBf),0)</f>
        <v/>
      </c>
      <c r="O166" s="31">
        <f>IFERROR(SUMPRODUCT(tFlag*(tDef=$W166),tUPBf,tOcc)/SUMPRODUCT(tFlag*(tDef=$W166)*ISNUMBER(tOcc),tUPBf),0)</f>
        <v/>
      </c>
      <c r="P166" s="47">
        <f>IFERROR(SUMPRODUCT(tFlag*(tDef=$W166),tUPBf,tRem)/SUMPRODUCT(tFlag*(tDef=$W166)*ISNUMBER(tRem),tUPBf),0)</f>
        <v/>
      </c>
      <c r="Q166" s="31">
        <f>IFERROR(SUMPRODUCT(tFlag*(tDef=$W166),tUPBf,tFIO)/$E166,0)</f>
        <v/>
      </c>
      <c r="R166" s="31">
        <f>IFERROR(SUMPRODUCT(tFlag*(tDef=$W166),tUPBf,tDefF)/$E166,0)</f>
        <v/>
      </c>
      <c r="S166" s="31">
        <f>IFERROR(SUMPRODUCT(tFlag*(tDef=$W166),tUPBf,tSSF)/$E166,0)</f>
        <v/>
      </c>
      <c r="T166" s="31">
        <f>IFERROR(SUMPRODUCT(tFlag*(tDef=$W166),tUPBf,tDQ)/$E166,0)</f>
        <v/>
      </c>
      <c r="U166" s="31">
        <f>IFERROR(SUMPRODUCT(tFlag*(tDef=$W166),tUPBf,tWLF)/$E166,0)</f>
        <v/>
      </c>
      <c r="W166" s="48" t="inlineStr">
        <is>
          <t>Partially Defeased</t>
        </is>
      </c>
    </row>
    <row r="167">
      <c r="B167" s="18">
        <f>IF(W167="","",W167&amp;"")</f>
        <v/>
      </c>
      <c r="C167" s="19">
        <f>SUMPRODUCT(tFlag*(tDef=$W167))</f>
        <v/>
      </c>
      <c r="D167" s="22">
        <f>IFERROR(C167/sLoans,0)</f>
        <v/>
      </c>
      <c r="E167" s="21">
        <f>SUMPRODUCT(tFlag*(tDef=$W167),tUPBf)</f>
        <v/>
      </c>
      <c r="F167" s="22">
        <f>IFERROR(E167/sUPB,0)</f>
        <v/>
      </c>
      <c r="G167" s="21">
        <f>IFERROR(E167/C167,0)</f>
        <v/>
      </c>
      <c r="H167" s="23">
        <f>IFERROR(SUMPRODUCT(tFlag*(tDef=$W167),tUPBf,tCpn)/SUMPRODUCT(tFlag*(tDef=$W167)*ISNUMBER(tCpn),tUPBf),0)</f>
        <v/>
      </c>
      <c r="I167" s="24">
        <f>IFERROR(SUMPRODUCT(tFlag*(tDef=$W167),tUPBf,tUWDSCR)/SUMPRODUCT(tFlag*(tDef=$W167)*ISNUMBER(tUWDSCR),tUPBf),0)</f>
        <v/>
      </c>
      <c r="J167" s="24">
        <f>IFERROR(SUMPRODUCT(tFlag*(tDef=$W167),tUPBf,tCurDSCR)/SUMPRODUCT(tFlag*(tDef=$W167)*ISNUMBER(tCurDSCR),tUPBf),0)</f>
        <v/>
      </c>
      <c r="K167" s="22">
        <f>IFERROR(SUMPRODUCT(tFlag*(tDef=$W167),tUPBf,tUWLTV)/SUMPRODUCT(tFlag*(tDef=$W167)*ISNUMBER(tUWLTV),tUPBf),0)</f>
        <v/>
      </c>
      <c r="L167" s="22">
        <f>IFERROR(SUMPRODUCT(tFlag*(tDef=$W167),tUPBf,tCurLTV)/SUMPRODUCT(tFlag*(tDef=$W167)*ISNUMBER(tCurLTV),tUPBf),0)</f>
        <v/>
      </c>
      <c r="M167" s="22">
        <f>IFERROR(SUMPRODUCT(tFlag*(tDef=$W167),tUPBf,tUWDY)/SUMPRODUCT(tFlag*(tDef=$W167)*ISNUMBER(tUWDY),tUPBf),0)</f>
        <v/>
      </c>
      <c r="N167" s="22">
        <f>IFERROR(SUMPRODUCT(tFlag*(tDef=$W167),tUPBf,tCurDY)/SUMPRODUCT(tFlag*(tDef=$W167)*ISNUMBER(tCurDY),tUPBf),0)</f>
        <v/>
      </c>
      <c r="O167" s="22">
        <f>IFERROR(SUMPRODUCT(tFlag*(tDef=$W167),tUPBf,tOcc)/SUMPRODUCT(tFlag*(tDef=$W167)*ISNUMBER(tOcc),tUPBf),0)</f>
        <v/>
      </c>
      <c r="P167" s="45">
        <f>IFERROR(SUMPRODUCT(tFlag*(tDef=$W167),tUPBf,tRem)/SUMPRODUCT(tFlag*(tDef=$W167)*ISNUMBER(tRem),tUPBf),0)</f>
        <v/>
      </c>
      <c r="Q167" s="22">
        <f>IFERROR(SUMPRODUCT(tFlag*(tDef=$W167),tUPBf,tFIO)/$E167,0)</f>
        <v/>
      </c>
      <c r="R167" s="22">
        <f>IFERROR(SUMPRODUCT(tFlag*(tDef=$W167),tUPBf,tDefF)/$E167,0)</f>
        <v/>
      </c>
      <c r="S167" s="22">
        <f>IFERROR(SUMPRODUCT(tFlag*(tDef=$W167),tUPBf,tSSF)/$E167,0)</f>
        <v/>
      </c>
      <c r="T167" s="22">
        <f>IFERROR(SUMPRODUCT(tFlag*(tDef=$W167),tUPBf,tDQ)/$E167,0)</f>
        <v/>
      </c>
      <c r="U167" s="22">
        <f>IFERROR(SUMPRODUCT(tFlag*(tDef=$W167),tUPBf,tWLF)/$E167,0)</f>
        <v/>
      </c>
      <c r="W167" s="48" t="inlineStr">
        <is>
          <t>Not Defeased</t>
        </is>
      </c>
    </row>
    <row r="168">
      <c r="B168" s="27">
        <f>IF(W168="","",W168&amp;"")</f>
        <v/>
      </c>
      <c r="C168" s="28">
        <f>SUMPRODUCT(tFlag*(tDef=$W168))</f>
        <v/>
      </c>
      <c r="D168" s="31">
        <f>IFERROR(C168/sLoans,0)</f>
        <v/>
      </c>
      <c r="E168" s="30">
        <f>SUMPRODUCT(tFlag*(tDef=$W168),tUPBf)</f>
        <v/>
      </c>
      <c r="F168" s="31">
        <f>IFERROR(E168/sUPB,0)</f>
        <v/>
      </c>
      <c r="G168" s="30">
        <f>IFERROR(E168/C168,0)</f>
        <v/>
      </c>
      <c r="H168" s="32">
        <f>IFERROR(SUMPRODUCT(tFlag*(tDef=$W168),tUPBf,tCpn)/SUMPRODUCT(tFlag*(tDef=$W168)*ISNUMBER(tCpn),tUPBf),0)</f>
        <v/>
      </c>
      <c r="I168" s="33">
        <f>IFERROR(SUMPRODUCT(tFlag*(tDef=$W168),tUPBf,tUWDSCR)/SUMPRODUCT(tFlag*(tDef=$W168)*ISNUMBER(tUWDSCR),tUPBf),0)</f>
        <v/>
      </c>
      <c r="J168" s="33">
        <f>IFERROR(SUMPRODUCT(tFlag*(tDef=$W168),tUPBf,tCurDSCR)/SUMPRODUCT(tFlag*(tDef=$W168)*ISNUMBER(tCurDSCR),tUPBf),0)</f>
        <v/>
      </c>
      <c r="K168" s="31">
        <f>IFERROR(SUMPRODUCT(tFlag*(tDef=$W168),tUPBf,tUWLTV)/SUMPRODUCT(tFlag*(tDef=$W168)*ISNUMBER(tUWLTV),tUPBf),0)</f>
        <v/>
      </c>
      <c r="L168" s="31">
        <f>IFERROR(SUMPRODUCT(tFlag*(tDef=$W168),tUPBf,tCurLTV)/SUMPRODUCT(tFlag*(tDef=$W168)*ISNUMBER(tCurLTV),tUPBf),0)</f>
        <v/>
      </c>
      <c r="M168" s="31">
        <f>IFERROR(SUMPRODUCT(tFlag*(tDef=$W168),tUPBf,tUWDY)/SUMPRODUCT(tFlag*(tDef=$W168)*ISNUMBER(tUWDY),tUPBf),0)</f>
        <v/>
      </c>
      <c r="N168" s="31">
        <f>IFERROR(SUMPRODUCT(tFlag*(tDef=$W168),tUPBf,tCurDY)/SUMPRODUCT(tFlag*(tDef=$W168)*ISNUMBER(tCurDY),tUPBf),0)</f>
        <v/>
      </c>
      <c r="O168" s="31">
        <f>IFERROR(SUMPRODUCT(tFlag*(tDef=$W168),tUPBf,tOcc)/SUMPRODUCT(tFlag*(tDef=$W168)*ISNUMBER(tOcc),tUPBf),0)</f>
        <v/>
      </c>
      <c r="P168" s="47">
        <f>IFERROR(SUMPRODUCT(tFlag*(tDef=$W168),tUPBf,tRem)/SUMPRODUCT(tFlag*(tDef=$W168)*ISNUMBER(tRem),tUPBf),0)</f>
        <v/>
      </c>
      <c r="Q168" s="31">
        <f>IFERROR(SUMPRODUCT(tFlag*(tDef=$W168),tUPBf,tFIO)/$E168,0)</f>
        <v/>
      </c>
      <c r="R168" s="31">
        <f>IFERROR(SUMPRODUCT(tFlag*(tDef=$W168),tUPBf,tDefF)/$E168,0)</f>
        <v/>
      </c>
      <c r="S168" s="31">
        <f>IFERROR(SUMPRODUCT(tFlag*(tDef=$W168),tUPBf,tSSF)/$E168,0)</f>
        <v/>
      </c>
      <c r="T168" s="31">
        <f>IFERROR(SUMPRODUCT(tFlag*(tDef=$W168),tUPBf,tDQ)/$E168,0)</f>
        <v/>
      </c>
      <c r="U168" s="31">
        <f>IFERROR(SUMPRODUCT(tFlag*(tDef=$W168),tUPBf,tWLF)/$E168,0)</f>
        <v/>
      </c>
      <c r="W168" s="48" t="inlineStr">
        <is>
          <t>Not Defeased (Not Permitted)</t>
        </is>
      </c>
    </row>
    <row r="169">
      <c r="B169" s="36" t="inlineStr">
        <is>
          <t>Total / Wtd. Avg.</t>
        </is>
      </c>
      <c r="C169" s="37">
        <f>SUMPRODUCT(tFlag*(1))</f>
        <v/>
      </c>
      <c r="D169" s="40">
        <f>IFERROR(C169/sLoans,0)</f>
        <v/>
      </c>
      <c r="E169" s="39">
        <f>SUMPRODUCT(tFlag*(1),tUPBf)</f>
        <v/>
      </c>
      <c r="F169" s="40">
        <f>IFERROR(E169/sUPB,0)</f>
        <v/>
      </c>
      <c r="G169" s="39">
        <f>IFERROR(E169/C169,0)</f>
        <v/>
      </c>
      <c r="H169" s="41">
        <f>IFERROR(SUMPRODUCT(tFlag*(1),tUPBf,tCpn)/SUMPRODUCT(tFlag*(1)*ISNUMBER(tCpn),tUPBf),0)</f>
        <v/>
      </c>
      <c r="I169" s="42">
        <f>IFERROR(SUMPRODUCT(tFlag*(1),tUPBf,tUWDSCR)/SUMPRODUCT(tFlag*(1)*ISNUMBER(tUWDSCR),tUPBf),0)</f>
        <v/>
      </c>
      <c r="J169" s="42">
        <f>IFERROR(SUMPRODUCT(tFlag*(1),tUPBf,tCurDSCR)/SUMPRODUCT(tFlag*(1)*ISNUMBER(tCurDSCR),tUPBf),0)</f>
        <v/>
      </c>
      <c r="K169" s="40">
        <f>IFERROR(SUMPRODUCT(tFlag*(1),tUPBf,tUWLTV)/SUMPRODUCT(tFlag*(1)*ISNUMBER(tUWLTV),tUPBf),0)</f>
        <v/>
      </c>
      <c r="L169" s="40">
        <f>IFERROR(SUMPRODUCT(tFlag*(1),tUPBf,tCurLTV)/SUMPRODUCT(tFlag*(1)*ISNUMBER(tCurLTV),tUPBf),0)</f>
        <v/>
      </c>
      <c r="M169" s="40">
        <f>IFERROR(SUMPRODUCT(tFlag*(1),tUPBf,tUWDY)/SUMPRODUCT(tFlag*(1)*ISNUMBER(tUWDY),tUPBf),0)</f>
        <v/>
      </c>
      <c r="N169" s="40">
        <f>IFERROR(SUMPRODUCT(tFlag*(1),tUPBf,tCurDY)/SUMPRODUCT(tFlag*(1)*ISNUMBER(tCurDY),tUPBf),0)</f>
        <v/>
      </c>
      <c r="O169" s="40">
        <f>IFERROR(SUMPRODUCT(tFlag*(1),tUPBf,tOcc)/SUMPRODUCT(tFlag*(1)*ISNUMBER(tOcc),tUPBf),0)</f>
        <v/>
      </c>
      <c r="P169" s="43">
        <f>IFERROR(SUMPRODUCT(tFlag*(1),tUPBf,tRem)/SUMPRODUCT(tFlag*(1)*ISNUMBER(tRem),tUPBf),0)</f>
        <v/>
      </c>
      <c r="Q169" s="40">
        <f>IFERROR(SUMPRODUCT(tFlag*(1),tUPBf,tFIO)/$E169,0)</f>
        <v/>
      </c>
      <c r="R169" s="40">
        <f>IFERROR(SUMPRODUCT(tFlag*(1),tUPBf,tDefF)/$E169,0)</f>
        <v/>
      </c>
      <c r="S169" s="40">
        <f>IFERROR(SUMPRODUCT(tFlag*(1),tUPBf,tSSF)/$E169,0)</f>
        <v/>
      </c>
      <c r="T169" s="40">
        <f>IFERROR(SUMPRODUCT(tFlag*(1),tUPBf,tDQ)/$E169,0)</f>
        <v/>
      </c>
      <c r="U169" s="40">
        <f>IFERROR(SUMPRODUCT(tFlag*(1),tUPBf,tWLF)/$E169,0)</f>
        <v/>
      </c>
    </row>
    <row r="171" ht="15" customHeight="1">
      <c r="B171" s="2" t="inlineStr">
        <is>
          <t>AMORTIZATION TYPE</t>
        </is>
      </c>
      <c r="C171" s="3" t="n"/>
      <c r="D171" s="3" t="n"/>
      <c r="E171" s="3" t="n"/>
      <c r="F171" s="3" t="n"/>
      <c r="G171" s="3" t="n"/>
      <c r="H171" s="3" t="n"/>
      <c r="I171" s="3" t="n"/>
      <c r="J171" s="3" t="n"/>
      <c r="K171" s="3" t="n"/>
      <c r="L171" s="3" t="n"/>
      <c r="M171" s="3" t="n"/>
      <c r="N171" s="3" t="n"/>
      <c r="O171" s="3" t="n"/>
      <c r="P171" s="3" t="n"/>
      <c r="Q171" s="3" t="n"/>
      <c r="R171" s="3" t="n"/>
      <c r="S171" s="3" t="n"/>
      <c r="T171" s="3" t="n"/>
      <c r="U171" s="3" t="n"/>
    </row>
    <row r="172" ht="39.75" customHeight="1">
      <c r="B172" s="15" t="inlineStr">
        <is>
          <t>Category</t>
        </is>
      </c>
      <c r="C172" s="16" t="inlineStr">
        <is>
          <t>Number of Loans</t>
        </is>
      </c>
      <c r="D172" s="16" t="inlineStr">
        <is>
          <t>% of Loans</t>
        </is>
      </c>
      <c r="E172" s="16" t="inlineStr">
        <is>
          <t>Current UPB</t>
        </is>
      </c>
      <c r="F172" s="16" t="inlineStr">
        <is>
          <t>% of UPB</t>
        </is>
      </c>
      <c r="G172" s="16" t="inlineStr">
        <is>
          <t>Average Loan Size</t>
        </is>
      </c>
      <c r="H172" s="16" t="inlineStr">
        <is>
          <t>Wtd. Avg. Gross Coupon</t>
        </is>
      </c>
      <c r="I172" s="16" t="inlineStr">
        <is>
          <t>Wtd. Avg. UW NCF DSCR</t>
        </is>
      </c>
      <c r="J172" s="16" t="inlineStr">
        <is>
          <t>Wtd. Avg. Current NCF DSCR</t>
        </is>
      </c>
      <c r="K172" s="16" t="inlineStr">
        <is>
          <t>Wtd. Avg. UW LTV</t>
        </is>
      </c>
      <c r="L172" s="16" t="inlineStr">
        <is>
          <t>Wtd. Avg. Current LTV</t>
        </is>
      </c>
      <c r="M172" s="16" t="inlineStr">
        <is>
          <t>Wtd. Avg. UW NCF Debt Yield</t>
        </is>
      </c>
      <c r="N172" s="16" t="inlineStr">
        <is>
          <t>Wtd. Avg. Current NCF Debt Yield</t>
        </is>
      </c>
      <c r="O172" s="16" t="inlineStr">
        <is>
          <t>Wtd. Avg. Current Occupancy</t>
        </is>
      </c>
      <c r="P172" s="16" t="inlineStr">
        <is>
          <t>Wtd. Avg. Rem. Term (Mo.)</t>
        </is>
      </c>
      <c r="Q172" s="16" t="inlineStr">
        <is>
          <t>% Full IO</t>
        </is>
      </c>
      <c r="R172" s="16" t="inlineStr">
        <is>
          <t>% Defeased</t>
        </is>
      </c>
      <c r="S172" s="16" t="inlineStr">
        <is>
          <t>% Currently Specially Serviced</t>
        </is>
      </c>
      <c r="T172" s="16" t="inlineStr">
        <is>
          <t>% 30+ Delinq. / FC / REO</t>
        </is>
      </c>
      <c r="U172" s="16" t="inlineStr">
        <is>
          <t>% On Watchlist</t>
        </is>
      </c>
      <c r="W172" s="44" t="inlineStr">
        <is>
          <t>Category Label</t>
        </is>
      </c>
    </row>
    <row r="173">
      <c r="B173" s="18">
        <f>IF(W173="","",W173&amp;"")</f>
        <v/>
      </c>
      <c r="C173" s="19">
        <f>SUMPRODUCT(tFlag*(tAmort=$W173))</f>
        <v/>
      </c>
      <c r="D173" s="22">
        <f>IFERROR(C173/sLoans,0)</f>
        <v/>
      </c>
      <c r="E173" s="21">
        <f>SUMPRODUCT(tFlag*(tAmort=$W173),tUPBf)</f>
        <v/>
      </c>
      <c r="F173" s="22">
        <f>IFERROR(E173/sUPB,0)</f>
        <v/>
      </c>
      <c r="G173" s="21">
        <f>IFERROR(E173/C173,0)</f>
        <v/>
      </c>
      <c r="H173" s="23">
        <f>IFERROR(SUMPRODUCT(tFlag*(tAmort=$W173),tUPBf,tCpn)/SUMPRODUCT(tFlag*(tAmort=$W173)*ISNUMBER(tCpn),tUPBf),0)</f>
        <v/>
      </c>
      <c r="I173" s="24">
        <f>IFERROR(SUMPRODUCT(tFlag*(tAmort=$W173),tUPBf,tUWDSCR)/SUMPRODUCT(tFlag*(tAmort=$W173)*ISNUMBER(tUWDSCR),tUPBf),0)</f>
        <v/>
      </c>
      <c r="J173" s="24">
        <f>IFERROR(SUMPRODUCT(tFlag*(tAmort=$W173),tUPBf,tCurDSCR)/SUMPRODUCT(tFlag*(tAmort=$W173)*ISNUMBER(tCurDSCR),tUPBf),0)</f>
        <v/>
      </c>
      <c r="K173" s="22">
        <f>IFERROR(SUMPRODUCT(tFlag*(tAmort=$W173),tUPBf,tUWLTV)/SUMPRODUCT(tFlag*(tAmort=$W173)*ISNUMBER(tUWLTV),tUPBf),0)</f>
        <v/>
      </c>
      <c r="L173" s="22">
        <f>IFERROR(SUMPRODUCT(tFlag*(tAmort=$W173),tUPBf,tCurLTV)/SUMPRODUCT(tFlag*(tAmort=$W173)*ISNUMBER(tCurLTV),tUPBf),0)</f>
        <v/>
      </c>
      <c r="M173" s="22">
        <f>IFERROR(SUMPRODUCT(tFlag*(tAmort=$W173),tUPBf,tUWDY)/SUMPRODUCT(tFlag*(tAmort=$W173)*ISNUMBER(tUWDY),tUPBf),0)</f>
        <v/>
      </c>
      <c r="N173" s="22">
        <f>IFERROR(SUMPRODUCT(tFlag*(tAmort=$W173),tUPBf,tCurDY)/SUMPRODUCT(tFlag*(tAmort=$W173)*ISNUMBER(tCurDY),tUPBf),0)</f>
        <v/>
      </c>
      <c r="O173" s="22">
        <f>IFERROR(SUMPRODUCT(tFlag*(tAmort=$W173),tUPBf,tOcc)/SUMPRODUCT(tFlag*(tAmort=$W173)*ISNUMBER(tOcc),tUPBf),0)</f>
        <v/>
      </c>
      <c r="P173" s="45">
        <f>IFERROR(SUMPRODUCT(tFlag*(tAmort=$W173),tUPBf,tRem)/SUMPRODUCT(tFlag*(tAmort=$W173)*ISNUMBER(tRem),tUPBf),0)</f>
        <v/>
      </c>
      <c r="Q173" s="22">
        <f>IFERROR(SUMPRODUCT(tFlag*(tAmort=$W173),tUPBf,tFIO)/$E173,0)</f>
        <v/>
      </c>
      <c r="R173" s="22">
        <f>IFERROR(SUMPRODUCT(tFlag*(tAmort=$W173),tUPBf,tDefF)/$E173,0)</f>
        <v/>
      </c>
      <c r="S173" s="22">
        <f>IFERROR(SUMPRODUCT(tFlag*(tAmort=$W173),tUPBf,tSSF)/$E173,0)</f>
        <v/>
      </c>
      <c r="T173" s="22">
        <f>IFERROR(SUMPRODUCT(tFlag*(tAmort=$W173),tUPBf,tDQ)/$E173,0)</f>
        <v/>
      </c>
      <c r="U173" s="22">
        <f>IFERROR(SUMPRODUCT(tFlag*(tAmort=$W173),tUPBf,tWLF)/$E173,0)</f>
        <v/>
      </c>
      <c r="W173" s="48" t="inlineStr">
        <is>
          <t>Full IO</t>
        </is>
      </c>
    </row>
    <row r="174">
      <c r="B174" s="27">
        <f>IF(W174="","",W174&amp;"")</f>
        <v/>
      </c>
      <c r="C174" s="28">
        <f>SUMPRODUCT(tFlag*(tAmort=$W174))</f>
        <v/>
      </c>
      <c r="D174" s="31">
        <f>IFERROR(C174/sLoans,0)</f>
        <v/>
      </c>
      <c r="E174" s="30">
        <f>SUMPRODUCT(tFlag*(tAmort=$W174),tUPBf)</f>
        <v/>
      </c>
      <c r="F174" s="31">
        <f>IFERROR(E174/sUPB,0)</f>
        <v/>
      </c>
      <c r="G174" s="30">
        <f>IFERROR(E174/C174,0)</f>
        <v/>
      </c>
      <c r="H174" s="32">
        <f>IFERROR(SUMPRODUCT(tFlag*(tAmort=$W174),tUPBf,tCpn)/SUMPRODUCT(tFlag*(tAmort=$W174)*ISNUMBER(tCpn),tUPBf),0)</f>
        <v/>
      </c>
      <c r="I174" s="33">
        <f>IFERROR(SUMPRODUCT(tFlag*(tAmort=$W174),tUPBf,tUWDSCR)/SUMPRODUCT(tFlag*(tAmort=$W174)*ISNUMBER(tUWDSCR),tUPBf),0)</f>
        <v/>
      </c>
      <c r="J174" s="33">
        <f>IFERROR(SUMPRODUCT(tFlag*(tAmort=$W174),tUPBf,tCurDSCR)/SUMPRODUCT(tFlag*(tAmort=$W174)*ISNUMBER(tCurDSCR),tUPBf),0)</f>
        <v/>
      </c>
      <c r="K174" s="31">
        <f>IFERROR(SUMPRODUCT(tFlag*(tAmort=$W174),tUPBf,tUWLTV)/SUMPRODUCT(tFlag*(tAmort=$W174)*ISNUMBER(tUWLTV),tUPBf),0)</f>
        <v/>
      </c>
      <c r="L174" s="31">
        <f>IFERROR(SUMPRODUCT(tFlag*(tAmort=$W174),tUPBf,tCurLTV)/SUMPRODUCT(tFlag*(tAmort=$W174)*ISNUMBER(tCurLTV),tUPBf),0)</f>
        <v/>
      </c>
      <c r="M174" s="31">
        <f>IFERROR(SUMPRODUCT(tFlag*(tAmort=$W174),tUPBf,tUWDY)/SUMPRODUCT(tFlag*(tAmort=$W174)*ISNUMBER(tUWDY),tUPBf),0)</f>
        <v/>
      </c>
      <c r="N174" s="31">
        <f>IFERROR(SUMPRODUCT(tFlag*(tAmort=$W174),tUPBf,tCurDY)/SUMPRODUCT(tFlag*(tAmort=$W174)*ISNUMBER(tCurDY),tUPBf),0)</f>
        <v/>
      </c>
      <c r="O174" s="31">
        <f>IFERROR(SUMPRODUCT(tFlag*(tAmort=$W174),tUPBf,tOcc)/SUMPRODUCT(tFlag*(tAmort=$W174)*ISNUMBER(tOcc),tUPBf),0)</f>
        <v/>
      </c>
      <c r="P174" s="47">
        <f>IFERROR(SUMPRODUCT(tFlag*(tAmort=$W174),tUPBf,tRem)/SUMPRODUCT(tFlag*(tAmort=$W174)*ISNUMBER(tRem),tUPBf),0)</f>
        <v/>
      </c>
      <c r="Q174" s="31">
        <f>IFERROR(SUMPRODUCT(tFlag*(tAmort=$W174),tUPBf,tFIO)/$E174,0)</f>
        <v/>
      </c>
      <c r="R174" s="31">
        <f>IFERROR(SUMPRODUCT(tFlag*(tAmort=$W174),tUPBf,tDefF)/$E174,0)</f>
        <v/>
      </c>
      <c r="S174" s="31">
        <f>IFERROR(SUMPRODUCT(tFlag*(tAmort=$W174),tUPBf,tSSF)/$E174,0)</f>
        <v/>
      </c>
      <c r="T174" s="31">
        <f>IFERROR(SUMPRODUCT(tFlag*(tAmort=$W174),tUPBf,tDQ)/$E174,0)</f>
        <v/>
      </c>
      <c r="U174" s="31">
        <f>IFERROR(SUMPRODUCT(tFlag*(tAmort=$W174),tUPBf,tWLF)/$E174,0)</f>
        <v/>
      </c>
      <c r="W174" s="48" t="inlineStr">
        <is>
          <t>Partial IO</t>
        </is>
      </c>
    </row>
    <row r="175">
      <c r="B175" s="18">
        <f>IF(W175="","",W175&amp;"")</f>
        <v/>
      </c>
      <c r="C175" s="19">
        <f>SUMPRODUCT(tFlag*(tAmort=$W175))</f>
        <v/>
      </c>
      <c r="D175" s="22">
        <f>IFERROR(C175/sLoans,0)</f>
        <v/>
      </c>
      <c r="E175" s="21">
        <f>SUMPRODUCT(tFlag*(tAmort=$W175),tUPBf)</f>
        <v/>
      </c>
      <c r="F175" s="22">
        <f>IFERROR(E175/sUPB,0)</f>
        <v/>
      </c>
      <c r="G175" s="21">
        <f>IFERROR(E175/C175,0)</f>
        <v/>
      </c>
      <c r="H175" s="23">
        <f>IFERROR(SUMPRODUCT(tFlag*(tAmort=$W175),tUPBf,tCpn)/SUMPRODUCT(tFlag*(tAmort=$W175)*ISNUMBER(tCpn),tUPBf),0)</f>
        <v/>
      </c>
      <c r="I175" s="24">
        <f>IFERROR(SUMPRODUCT(tFlag*(tAmort=$W175),tUPBf,tUWDSCR)/SUMPRODUCT(tFlag*(tAmort=$W175)*ISNUMBER(tUWDSCR),tUPBf),0)</f>
        <v/>
      </c>
      <c r="J175" s="24">
        <f>IFERROR(SUMPRODUCT(tFlag*(tAmort=$W175),tUPBf,tCurDSCR)/SUMPRODUCT(tFlag*(tAmort=$W175)*ISNUMBER(tCurDSCR),tUPBf),0)</f>
        <v/>
      </c>
      <c r="K175" s="22">
        <f>IFERROR(SUMPRODUCT(tFlag*(tAmort=$W175),tUPBf,tUWLTV)/SUMPRODUCT(tFlag*(tAmort=$W175)*ISNUMBER(tUWLTV),tUPBf),0)</f>
        <v/>
      </c>
      <c r="L175" s="22">
        <f>IFERROR(SUMPRODUCT(tFlag*(tAmort=$W175),tUPBf,tCurLTV)/SUMPRODUCT(tFlag*(tAmort=$W175)*ISNUMBER(tCurLTV),tUPBf),0)</f>
        <v/>
      </c>
      <c r="M175" s="22">
        <f>IFERROR(SUMPRODUCT(tFlag*(tAmort=$W175),tUPBf,tUWDY)/SUMPRODUCT(tFlag*(tAmort=$W175)*ISNUMBER(tUWDY),tUPBf),0)</f>
        <v/>
      </c>
      <c r="N175" s="22">
        <f>IFERROR(SUMPRODUCT(tFlag*(tAmort=$W175),tUPBf,tCurDY)/SUMPRODUCT(tFlag*(tAmort=$W175)*ISNUMBER(tCurDY),tUPBf),0)</f>
        <v/>
      </c>
      <c r="O175" s="22">
        <f>IFERROR(SUMPRODUCT(tFlag*(tAmort=$W175),tUPBf,tOcc)/SUMPRODUCT(tFlag*(tAmort=$W175)*ISNUMBER(tOcc),tUPBf),0)</f>
        <v/>
      </c>
      <c r="P175" s="45">
        <f>IFERROR(SUMPRODUCT(tFlag*(tAmort=$W175),tUPBf,tRem)/SUMPRODUCT(tFlag*(tAmort=$W175)*ISNUMBER(tRem),tUPBf),0)</f>
        <v/>
      </c>
      <c r="Q175" s="22">
        <f>IFERROR(SUMPRODUCT(tFlag*(tAmort=$W175),tUPBf,tFIO)/$E175,0)</f>
        <v/>
      </c>
      <c r="R175" s="22">
        <f>IFERROR(SUMPRODUCT(tFlag*(tAmort=$W175),tUPBf,tDefF)/$E175,0)</f>
        <v/>
      </c>
      <c r="S175" s="22">
        <f>IFERROR(SUMPRODUCT(tFlag*(tAmort=$W175),tUPBf,tSSF)/$E175,0)</f>
        <v/>
      </c>
      <c r="T175" s="22">
        <f>IFERROR(SUMPRODUCT(tFlag*(tAmort=$W175),tUPBf,tDQ)/$E175,0)</f>
        <v/>
      </c>
      <c r="U175" s="22">
        <f>IFERROR(SUMPRODUCT(tFlag*(tAmort=$W175),tUPBf,tWLF)/$E175,0)</f>
        <v/>
      </c>
      <c r="W175" s="48" t="inlineStr">
        <is>
          <t>Amortizing</t>
        </is>
      </c>
    </row>
    <row r="176">
      <c r="B176" s="36" t="inlineStr">
        <is>
          <t>Total / Wtd. Avg.</t>
        </is>
      </c>
      <c r="C176" s="37">
        <f>SUMPRODUCT(tFlag*(1))</f>
        <v/>
      </c>
      <c r="D176" s="40">
        <f>IFERROR(C176/sLoans,0)</f>
        <v/>
      </c>
      <c r="E176" s="39">
        <f>SUMPRODUCT(tFlag*(1),tUPBf)</f>
        <v/>
      </c>
      <c r="F176" s="40">
        <f>IFERROR(E176/sUPB,0)</f>
        <v/>
      </c>
      <c r="G176" s="39">
        <f>IFERROR(E176/C176,0)</f>
        <v/>
      </c>
      <c r="H176" s="41">
        <f>IFERROR(SUMPRODUCT(tFlag*(1),tUPBf,tCpn)/SUMPRODUCT(tFlag*(1)*ISNUMBER(tCpn),tUPBf),0)</f>
        <v/>
      </c>
      <c r="I176" s="42">
        <f>IFERROR(SUMPRODUCT(tFlag*(1),tUPBf,tUWDSCR)/SUMPRODUCT(tFlag*(1)*ISNUMBER(tUWDSCR),tUPBf),0)</f>
        <v/>
      </c>
      <c r="J176" s="42">
        <f>IFERROR(SUMPRODUCT(tFlag*(1),tUPBf,tCurDSCR)/SUMPRODUCT(tFlag*(1)*ISNUMBER(tCurDSCR),tUPBf),0)</f>
        <v/>
      </c>
      <c r="K176" s="40">
        <f>IFERROR(SUMPRODUCT(tFlag*(1),tUPBf,tUWLTV)/SUMPRODUCT(tFlag*(1)*ISNUMBER(tUWLTV),tUPBf),0)</f>
        <v/>
      </c>
      <c r="L176" s="40">
        <f>IFERROR(SUMPRODUCT(tFlag*(1),tUPBf,tCurLTV)/SUMPRODUCT(tFlag*(1)*ISNUMBER(tCurLTV),tUPBf),0)</f>
        <v/>
      </c>
      <c r="M176" s="40">
        <f>IFERROR(SUMPRODUCT(tFlag*(1),tUPBf,tUWDY)/SUMPRODUCT(tFlag*(1)*ISNUMBER(tUWDY),tUPBf),0)</f>
        <v/>
      </c>
      <c r="N176" s="40">
        <f>IFERROR(SUMPRODUCT(tFlag*(1),tUPBf,tCurDY)/SUMPRODUCT(tFlag*(1)*ISNUMBER(tCurDY),tUPBf),0)</f>
        <v/>
      </c>
      <c r="O176" s="40">
        <f>IFERROR(SUMPRODUCT(tFlag*(1),tUPBf,tOcc)/SUMPRODUCT(tFlag*(1)*ISNUMBER(tOcc),tUPBf),0)</f>
        <v/>
      </c>
      <c r="P176" s="43">
        <f>IFERROR(SUMPRODUCT(tFlag*(1),tUPBf,tRem)/SUMPRODUCT(tFlag*(1)*ISNUMBER(tRem),tUPBf),0)</f>
        <v/>
      </c>
      <c r="Q176" s="40">
        <f>IFERROR(SUMPRODUCT(tFlag*(1),tUPBf,tFIO)/$E176,0)</f>
        <v/>
      </c>
      <c r="R176" s="40">
        <f>IFERROR(SUMPRODUCT(tFlag*(1),tUPBf,tDefF)/$E176,0)</f>
        <v/>
      </c>
      <c r="S176" s="40">
        <f>IFERROR(SUMPRODUCT(tFlag*(1),tUPBf,tSSF)/$E176,0)</f>
        <v/>
      </c>
      <c r="T176" s="40">
        <f>IFERROR(SUMPRODUCT(tFlag*(1),tUPBf,tDQ)/$E176,0)</f>
        <v/>
      </c>
      <c r="U176" s="40">
        <f>IFERROR(SUMPRODUCT(tFlag*(1),tUPBf,tWLF)/$E176,0)</f>
        <v/>
      </c>
    </row>
    <row r="178" ht="15" customHeight="1">
      <c r="B178" s="2" t="inlineStr">
        <is>
          <t>PARI PASSU STATUS</t>
        </is>
      </c>
      <c r="C178" s="3" t="n"/>
      <c r="D178" s="3" t="n"/>
      <c r="E178" s="3" t="n"/>
      <c r="F178" s="3" t="n"/>
      <c r="G178" s="3" t="n"/>
      <c r="H178" s="3" t="n"/>
      <c r="I178" s="3" t="n"/>
      <c r="J178" s="3" t="n"/>
      <c r="K178" s="3" t="n"/>
      <c r="L178" s="3" t="n"/>
      <c r="M178" s="3" t="n"/>
      <c r="N178" s="3" t="n"/>
      <c r="O178" s="3" t="n"/>
      <c r="P178" s="3" t="n"/>
      <c r="Q178" s="3" t="n"/>
      <c r="R178" s="3" t="n"/>
      <c r="S178" s="3" t="n"/>
      <c r="T178" s="3" t="n"/>
      <c r="U178" s="3" t="n"/>
    </row>
    <row r="179" ht="39.75" customHeight="1">
      <c r="B179" s="15" t="inlineStr">
        <is>
          <t>Category</t>
        </is>
      </c>
      <c r="C179" s="16" t="inlineStr">
        <is>
          <t>Number of Loans</t>
        </is>
      </c>
      <c r="D179" s="16" t="inlineStr">
        <is>
          <t>% of Loans</t>
        </is>
      </c>
      <c r="E179" s="16" t="inlineStr">
        <is>
          <t>Current UPB</t>
        </is>
      </c>
      <c r="F179" s="16" t="inlineStr">
        <is>
          <t>% of UPB</t>
        </is>
      </c>
      <c r="G179" s="16" t="inlineStr">
        <is>
          <t>Average Loan Size</t>
        </is>
      </c>
      <c r="H179" s="16" t="inlineStr">
        <is>
          <t>Wtd. Avg. Gross Coupon</t>
        </is>
      </c>
      <c r="I179" s="16" t="inlineStr">
        <is>
          <t>Wtd. Avg. UW NCF DSCR</t>
        </is>
      </c>
      <c r="J179" s="16" t="inlineStr">
        <is>
          <t>Wtd. Avg. Current NCF DSCR</t>
        </is>
      </c>
      <c r="K179" s="16" t="inlineStr">
        <is>
          <t>Wtd. Avg. UW LTV</t>
        </is>
      </c>
      <c r="L179" s="16" t="inlineStr">
        <is>
          <t>Wtd. Avg. Current LTV</t>
        </is>
      </c>
      <c r="M179" s="16" t="inlineStr">
        <is>
          <t>Wtd. Avg. UW NCF Debt Yield</t>
        </is>
      </c>
      <c r="N179" s="16" t="inlineStr">
        <is>
          <t>Wtd. Avg. Current NCF Debt Yield</t>
        </is>
      </c>
      <c r="O179" s="16" t="inlineStr">
        <is>
          <t>Wtd. Avg. Current Occupancy</t>
        </is>
      </c>
      <c r="P179" s="16" t="inlineStr">
        <is>
          <t>Wtd. Avg. Rem. Term (Mo.)</t>
        </is>
      </c>
      <c r="Q179" s="16" t="inlineStr">
        <is>
          <t>% Full IO</t>
        </is>
      </c>
      <c r="R179" s="16" t="inlineStr">
        <is>
          <t>% Defeased</t>
        </is>
      </c>
      <c r="S179" s="16" t="inlineStr">
        <is>
          <t>% Currently Specially Serviced</t>
        </is>
      </c>
      <c r="T179" s="16" t="inlineStr">
        <is>
          <t>% 30+ Delinq. / FC / REO</t>
        </is>
      </c>
      <c r="U179" s="16" t="inlineStr">
        <is>
          <t>% On Watchlist</t>
        </is>
      </c>
      <c r="W179" s="44" t="inlineStr">
        <is>
          <t>Category Label</t>
        </is>
      </c>
    </row>
    <row r="180">
      <c r="B180" s="18">
        <f>IF(W180="","",W180&amp;"")</f>
        <v/>
      </c>
      <c r="C180" s="19">
        <f>SUMPRODUCT(tFlag*(tPari=$W180))</f>
        <v/>
      </c>
      <c r="D180" s="22">
        <f>IFERROR(C180/sLoans,0)</f>
        <v/>
      </c>
      <c r="E180" s="21">
        <f>SUMPRODUCT(tFlag*(tPari=$W180),tUPBf)</f>
        <v/>
      </c>
      <c r="F180" s="22">
        <f>IFERROR(E180/sUPB,0)</f>
        <v/>
      </c>
      <c r="G180" s="21">
        <f>IFERROR(E180/C180,0)</f>
        <v/>
      </c>
      <c r="H180" s="23">
        <f>IFERROR(SUMPRODUCT(tFlag*(tPari=$W180),tUPBf,tCpn)/SUMPRODUCT(tFlag*(tPari=$W180)*ISNUMBER(tCpn),tUPBf),0)</f>
        <v/>
      </c>
      <c r="I180" s="24">
        <f>IFERROR(SUMPRODUCT(tFlag*(tPari=$W180),tUPBf,tUWDSCR)/SUMPRODUCT(tFlag*(tPari=$W180)*ISNUMBER(tUWDSCR),tUPBf),0)</f>
        <v/>
      </c>
      <c r="J180" s="24">
        <f>IFERROR(SUMPRODUCT(tFlag*(tPari=$W180),tUPBf,tCurDSCR)/SUMPRODUCT(tFlag*(tPari=$W180)*ISNUMBER(tCurDSCR),tUPBf),0)</f>
        <v/>
      </c>
      <c r="K180" s="22">
        <f>IFERROR(SUMPRODUCT(tFlag*(tPari=$W180),tUPBf,tUWLTV)/SUMPRODUCT(tFlag*(tPari=$W180)*ISNUMBER(tUWLTV),tUPBf),0)</f>
        <v/>
      </c>
      <c r="L180" s="22">
        <f>IFERROR(SUMPRODUCT(tFlag*(tPari=$W180),tUPBf,tCurLTV)/SUMPRODUCT(tFlag*(tPari=$W180)*ISNUMBER(tCurLTV),tUPBf),0)</f>
        <v/>
      </c>
      <c r="M180" s="22">
        <f>IFERROR(SUMPRODUCT(tFlag*(tPari=$W180),tUPBf,tUWDY)/SUMPRODUCT(tFlag*(tPari=$W180)*ISNUMBER(tUWDY),tUPBf),0)</f>
        <v/>
      </c>
      <c r="N180" s="22">
        <f>IFERROR(SUMPRODUCT(tFlag*(tPari=$W180),tUPBf,tCurDY)/SUMPRODUCT(tFlag*(tPari=$W180)*ISNUMBER(tCurDY),tUPBf),0)</f>
        <v/>
      </c>
      <c r="O180" s="22">
        <f>IFERROR(SUMPRODUCT(tFlag*(tPari=$W180),tUPBf,tOcc)/SUMPRODUCT(tFlag*(tPari=$W180)*ISNUMBER(tOcc),tUPBf),0)</f>
        <v/>
      </c>
      <c r="P180" s="45">
        <f>IFERROR(SUMPRODUCT(tFlag*(tPari=$W180),tUPBf,tRem)/SUMPRODUCT(tFlag*(tPari=$W180)*ISNUMBER(tRem),tUPBf),0)</f>
        <v/>
      </c>
      <c r="Q180" s="22">
        <f>IFERROR(SUMPRODUCT(tFlag*(tPari=$W180),tUPBf,tFIO)/$E180,0)</f>
        <v/>
      </c>
      <c r="R180" s="22">
        <f>IFERROR(SUMPRODUCT(tFlag*(tPari=$W180),tUPBf,tDefF)/$E180,0)</f>
        <v/>
      </c>
      <c r="S180" s="22">
        <f>IFERROR(SUMPRODUCT(tFlag*(tPari=$W180),tUPBf,tSSF)/$E180,0)</f>
        <v/>
      </c>
      <c r="T180" s="22">
        <f>IFERROR(SUMPRODUCT(tFlag*(tPari=$W180),tUPBf,tDQ)/$E180,0)</f>
        <v/>
      </c>
      <c r="U180" s="22">
        <f>IFERROR(SUMPRODUCT(tFlag*(tPari=$W180),tUPBf,tWLF)/$E180,0)</f>
        <v/>
      </c>
      <c r="W180" s="48" t="inlineStr">
        <is>
          <t>Pari Passu Split</t>
        </is>
      </c>
    </row>
    <row r="181">
      <c r="B181" s="27">
        <f>IF(W181="","",W181&amp;"")</f>
        <v/>
      </c>
      <c r="C181" s="28">
        <f>SUMPRODUCT(tFlag*(tPari=$W181))</f>
        <v/>
      </c>
      <c r="D181" s="31">
        <f>IFERROR(C181/sLoans,0)</f>
        <v/>
      </c>
      <c r="E181" s="30">
        <f>SUMPRODUCT(tFlag*(tPari=$W181),tUPBf)</f>
        <v/>
      </c>
      <c r="F181" s="31">
        <f>IFERROR(E181/sUPB,0)</f>
        <v/>
      </c>
      <c r="G181" s="30">
        <f>IFERROR(E181/C181,0)</f>
        <v/>
      </c>
      <c r="H181" s="32">
        <f>IFERROR(SUMPRODUCT(tFlag*(tPari=$W181),tUPBf,tCpn)/SUMPRODUCT(tFlag*(tPari=$W181)*ISNUMBER(tCpn),tUPBf),0)</f>
        <v/>
      </c>
      <c r="I181" s="33">
        <f>IFERROR(SUMPRODUCT(tFlag*(tPari=$W181),tUPBf,tUWDSCR)/SUMPRODUCT(tFlag*(tPari=$W181)*ISNUMBER(tUWDSCR),tUPBf),0)</f>
        <v/>
      </c>
      <c r="J181" s="33">
        <f>IFERROR(SUMPRODUCT(tFlag*(tPari=$W181),tUPBf,tCurDSCR)/SUMPRODUCT(tFlag*(tPari=$W181)*ISNUMBER(tCurDSCR),tUPBf),0)</f>
        <v/>
      </c>
      <c r="K181" s="31">
        <f>IFERROR(SUMPRODUCT(tFlag*(tPari=$W181),tUPBf,tUWLTV)/SUMPRODUCT(tFlag*(tPari=$W181)*ISNUMBER(tUWLTV),tUPBf),0)</f>
        <v/>
      </c>
      <c r="L181" s="31">
        <f>IFERROR(SUMPRODUCT(tFlag*(tPari=$W181),tUPBf,tCurLTV)/SUMPRODUCT(tFlag*(tPari=$W181)*ISNUMBER(tCurLTV),tUPBf),0)</f>
        <v/>
      </c>
      <c r="M181" s="31">
        <f>IFERROR(SUMPRODUCT(tFlag*(tPari=$W181),tUPBf,tUWDY)/SUMPRODUCT(tFlag*(tPari=$W181)*ISNUMBER(tUWDY),tUPBf),0)</f>
        <v/>
      </c>
      <c r="N181" s="31">
        <f>IFERROR(SUMPRODUCT(tFlag*(tPari=$W181),tUPBf,tCurDY)/SUMPRODUCT(tFlag*(tPari=$W181)*ISNUMBER(tCurDY),tUPBf),0)</f>
        <v/>
      </c>
      <c r="O181" s="31">
        <f>IFERROR(SUMPRODUCT(tFlag*(tPari=$W181),tUPBf,tOcc)/SUMPRODUCT(tFlag*(tPari=$W181)*ISNUMBER(tOcc),tUPBf),0)</f>
        <v/>
      </c>
      <c r="P181" s="47">
        <f>IFERROR(SUMPRODUCT(tFlag*(tPari=$W181),tUPBf,tRem)/SUMPRODUCT(tFlag*(tPari=$W181)*ISNUMBER(tRem),tUPBf),0)</f>
        <v/>
      </c>
      <c r="Q181" s="31">
        <f>IFERROR(SUMPRODUCT(tFlag*(tPari=$W181),tUPBf,tFIO)/$E181,0)</f>
        <v/>
      </c>
      <c r="R181" s="31">
        <f>IFERROR(SUMPRODUCT(tFlag*(tPari=$W181),tUPBf,tDefF)/$E181,0)</f>
        <v/>
      </c>
      <c r="S181" s="31">
        <f>IFERROR(SUMPRODUCT(tFlag*(tPari=$W181),tUPBf,tSSF)/$E181,0)</f>
        <v/>
      </c>
      <c r="T181" s="31">
        <f>IFERROR(SUMPRODUCT(tFlag*(tPari=$W181),tUPBf,tDQ)/$E181,0)</f>
        <v/>
      </c>
      <c r="U181" s="31">
        <f>IFERROR(SUMPRODUCT(tFlag*(tPari=$W181),tUPBf,tWLF)/$E181,0)</f>
        <v/>
      </c>
      <c r="W181" s="48" t="inlineStr">
        <is>
          <t>Standalone</t>
        </is>
      </c>
    </row>
    <row r="182">
      <c r="B182" s="36" t="inlineStr">
        <is>
          <t>Total / Wtd. Avg.</t>
        </is>
      </c>
      <c r="C182" s="37">
        <f>SUMPRODUCT(tFlag*(1))</f>
        <v/>
      </c>
      <c r="D182" s="40">
        <f>IFERROR(C182/sLoans,0)</f>
        <v/>
      </c>
      <c r="E182" s="39">
        <f>SUMPRODUCT(tFlag*(1),tUPBf)</f>
        <v/>
      </c>
      <c r="F182" s="40">
        <f>IFERROR(E182/sUPB,0)</f>
        <v/>
      </c>
      <c r="G182" s="39">
        <f>IFERROR(E182/C182,0)</f>
        <v/>
      </c>
      <c r="H182" s="41">
        <f>IFERROR(SUMPRODUCT(tFlag*(1),tUPBf,tCpn)/SUMPRODUCT(tFlag*(1)*ISNUMBER(tCpn),tUPBf),0)</f>
        <v/>
      </c>
      <c r="I182" s="42">
        <f>IFERROR(SUMPRODUCT(tFlag*(1),tUPBf,tUWDSCR)/SUMPRODUCT(tFlag*(1)*ISNUMBER(tUWDSCR),tUPBf),0)</f>
        <v/>
      </c>
      <c r="J182" s="42">
        <f>IFERROR(SUMPRODUCT(tFlag*(1),tUPBf,tCurDSCR)/SUMPRODUCT(tFlag*(1)*ISNUMBER(tCurDSCR),tUPBf),0)</f>
        <v/>
      </c>
      <c r="K182" s="40">
        <f>IFERROR(SUMPRODUCT(tFlag*(1),tUPBf,tUWLTV)/SUMPRODUCT(tFlag*(1)*ISNUMBER(tUWLTV),tUPBf),0)</f>
        <v/>
      </c>
      <c r="L182" s="40">
        <f>IFERROR(SUMPRODUCT(tFlag*(1),tUPBf,tCurLTV)/SUMPRODUCT(tFlag*(1)*ISNUMBER(tCurLTV),tUPBf),0)</f>
        <v/>
      </c>
      <c r="M182" s="40">
        <f>IFERROR(SUMPRODUCT(tFlag*(1),tUPBf,tUWDY)/SUMPRODUCT(tFlag*(1)*ISNUMBER(tUWDY),tUPBf),0)</f>
        <v/>
      </c>
      <c r="N182" s="40">
        <f>IFERROR(SUMPRODUCT(tFlag*(1),tUPBf,tCurDY)/SUMPRODUCT(tFlag*(1)*ISNUMBER(tCurDY),tUPBf),0)</f>
        <v/>
      </c>
      <c r="O182" s="40">
        <f>IFERROR(SUMPRODUCT(tFlag*(1),tUPBf,tOcc)/SUMPRODUCT(tFlag*(1)*ISNUMBER(tOcc),tUPBf),0)</f>
        <v/>
      </c>
      <c r="P182" s="43">
        <f>IFERROR(SUMPRODUCT(tFlag*(1),tUPBf,tRem)/SUMPRODUCT(tFlag*(1)*ISNUMBER(tRem),tUPBf),0)</f>
        <v/>
      </c>
      <c r="Q182" s="40">
        <f>IFERROR(SUMPRODUCT(tFlag*(1),tUPBf,tFIO)/$E182,0)</f>
        <v/>
      </c>
      <c r="R182" s="40">
        <f>IFERROR(SUMPRODUCT(tFlag*(1),tUPBf,tDefF)/$E182,0)</f>
        <v/>
      </c>
      <c r="S182" s="40">
        <f>IFERROR(SUMPRODUCT(tFlag*(1),tUPBf,tSSF)/$E182,0)</f>
        <v/>
      </c>
      <c r="T182" s="40">
        <f>IFERROR(SUMPRODUCT(tFlag*(1),tUPBf,tDQ)/$E182,0)</f>
        <v/>
      </c>
      <c r="U182" s="40">
        <f>IFERROR(SUMPRODUCT(tFlag*(1),tUPBf,tWLF)/$E182,0)</f>
        <v/>
      </c>
    </row>
    <row r="184" ht="15" customHeight="1">
      <c r="B184" s="2" t="inlineStr">
        <is>
          <t>LOAN SIZE (CURRENT UPB)</t>
        </is>
      </c>
      <c r="C184" s="3" t="n"/>
      <c r="D184" s="3" t="n"/>
      <c r="E184" s="3" t="n"/>
      <c r="F184" s="3" t="n"/>
      <c r="G184" s="3" t="n"/>
      <c r="H184" s="3" t="n"/>
      <c r="I184" s="3" t="n"/>
      <c r="J184" s="3" t="n"/>
      <c r="K184" s="3" t="n"/>
      <c r="L184" s="3" t="n"/>
      <c r="M184" s="3" t="n"/>
      <c r="N184" s="3" t="n"/>
      <c r="O184" s="3" t="n"/>
      <c r="P184" s="3" t="n"/>
      <c r="Q184" s="3" t="n"/>
      <c r="R184" s="3" t="n"/>
      <c r="S184" s="3" t="n"/>
      <c r="T184" s="3" t="n"/>
      <c r="U184" s="3" t="n"/>
    </row>
    <row r="185" ht="39.75" customHeight="1">
      <c r="B185" s="15" t="inlineStr">
        <is>
          <t>Bucket</t>
        </is>
      </c>
      <c r="C185" s="16" t="inlineStr">
        <is>
          <t>Number of Loans</t>
        </is>
      </c>
      <c r="D185" s="16" t="inlineStr">
        <is>
          <t>% of Loans</t>
        </is>
      </c>
      <c r="E185" s="16" t="inlineStr">
        <is>
          <t>Current UPB</t>
        </is>
      </c>
      <c r="F185" s="16" t="inlineStr">
        <is>
          <t>% of UPB</t>
        </is>
      </c>
      <c r="G185" s="16" t="inlineStr">
        <is>
          <t>Average Loan Size</t>
        </is>
      </c>
      <c r="H185" s="16" t="inlineStr">
        <is>
          <t>Wtd. Avg. Gross Coupon</t>
        </is>
      </c>
      <c r="I185" s="16" t="inlineStr">
        <is>
          <t>Wtd. Avg. UW NCF DSCR</t>
        </is>
      </c>
      <c r="J185" s="16" t="inlineStr">
        <is>
          <t>Wtd. Avg. Current NCF DSCR</t>
        </is>
      </c>
      <c r="K185" s="16" t="inlineStr">
        <is>
          <t>Wtd. Avg. UW LTV</t>
        </is>
      </c>
      <c r="L185" s="16" t="inlineStr">
        <is>
          <t>Wtd. Avg. Current LTV</t>
        </is>
      </c>
      <c r="M185" s="16" t="inlineStr">
        <is>
          <t>Wtd. Avg. UW NCF Debt Yield</t>
        </is>
      </c>
      <c r="N185" s="16" t="inlineStr">
        <is>
          <t>Wtd. Avg. Current NCF Debt Yield</t>
        </is>
      </c>
      <c r="O185" s="16" t="inlineStr">
        <is>
          <t>Wtd. Avg. Current Occupancy</t>
        </is>
      </c>
      <c r="P185" s="16" t="inlineStr">
        <is>
          <t>Wtd. Avg. Rem. Term (Mo.)</t>
        </is>
      </c>
      <c r="Q185" s="16" t="inlineStr">
        <is>
          <t>% Full IO</t>
        </is>
      </c>
      <c r="R185" s="16" t="inlineStr">
        <is>
          <t>% Defeased</t>
        </is>
      </c>
      <c r="S185" s="16" t="inlineStr">
        <is>
          <t>% Currently Specially Serviced</t>
        </is>
      </c>
      <c r="T185" s="16" t="inlineStr">
        <is>
          <t>% 30+ Delinq. / FC / REO</t>
        </is>
      </c>
      <c r="U185" s="16" t="inlineStr">
        <is>
          <t>% On Watchlist</t>
        </is>
      </c>
      <c r="W185" s="17" t="inlineStr">
        <is>
          <t>Lower Bound (&gt;=)</t>
        </is>
      </c>
      <c r="X185" s="17" t="inlineStr">
        <is>
          <t>Upper Bound (&lt;)</t>
        </is>
      </c>
    </row>
    <row r="186">
      <c r="B186" s="18" t="inlineStr">
        <is>
          <t>Less than $5M</t>
        </is>
      </c>
      <c r="C186" s="19">
        <f>SUMPRODUCT(tFlag*(ISNUMBER(tUPB)*(tUPB&gt;=$W186)*(tUPB&lt;$X186)))</f>
        <v/>
      </c>
      <c r="D186" s="22">
        <f>IFERROR(C186/sLoans,0)</f>
        <v/>
      </c>
      <c r="E186" s="21">
        <f>SUMPRODUCT(tFlag*(ISNUMBER(tUPB)*(tUPB&gt;=$W186)*(tUPB&lt;$X186)),tUPBf)</f>
        <v/>
      </c>
      <c r="F186" s="22">
        <f>IFERROR(E186/sUPB,0)</f>
        <v/>
      </c>
      <c r="G186" s="21">
        <f>IFERROR(E186/C186,0)</f>
        <v/>
      </c>
      <c r="H186" s="23">
        <f>IFERROR(SUMPRODUCT(tFlag*(ISNUMBER(tUPB)*(tUPB&gt;=$W186)*(tUPB&lt;$X186)),tUPBf,tCpn)/SUMPRODUCT(tFlag*(ISNUMBER(tUPB)*(tUPB&gt;=$W186)*(tUPB&lt;$X186))*ISNUMBER(tCpn),tUPBf),0)</f>
        <v/>
      </c>
      <c r="I186" s="24">
        <f>IFERROR(SUMPRODUCT(tFlag*(ISNUMBER(tUPB)*(tUPB&gt;=$W186)*(tUPB&lt;$X186)),tUPBf,tUWDSCR)/SUMPRODUCT(tFlag*(ISNUMBER(tUPB)*(tUPB&gt;=$W186)*(tUPB&lt;$X186))*ISNUMBER(tUWDSCR),tUPBf),0)</f>
        <v/>
      </c>
      <c r="J186" s="24">
        <f>IFERROR(SUMPRODUCT(tFlag*(ISNUMBER(tUPB)*(tUPB&gt;=$W186)*(tUPB&lt;$X186)),tUPBf,tCurDSCR)/SUMPRODUCT(tFlag*(ISNUMBER(tUPB)*(tUPB&gt;=$W186)*(tUPB&lt;$X186))*ISNUMBER(tCurDSCR),tUPBf),0)</f>
        <v/>
      </c>
      <c r="K186" s="22">
        <f>IFERROR(SUMPRODUCT(tFlag*(ISNUMBER(tUPB)*(tUPB&gt;=$W186)*(tUPB&lt;$X186)),tUPBf,tUWLTV)/SUMPRODUCT(tFlag*(ISNUMBER(tUPB)*(tUPB&gt;=$W186)*(tUPB&lt;$X186))*ISNUMBER(tUWLTV),tUPBf),0)</f>
        <v/>
      </c>
      <c r="L186" s="22">
        <f>IFERROR(SUMPRODUCT(tFlag*(ISNUMBER(tUPB)*(tUPB&gt;=$W186)*(tUPB&lt;$X186)),tUPBf,tCurLTV)/SUMPRODUCT(tFlag*(ISNUMBER(tUPB)*(tUPB&gt;=$W186)*(tUPB&lt;$X186))*ISNUMBER(tCurLTV),tUPBf),0)</f>
        <v/>
      </c>
      <c r="M186" s="22">
        <f>IFERROR(SUMPRODUCT(tFlag*(ISNUMBER(tUPB)*(tUPB&gt;=$W186)*(tUPB&lt;$X186)),tUPBf,tUWDY)/SUMPRODUCT(tFlag*(ISNUMBER(tUPB)*(tUPB&gt;=$W186)*(tUPB&lt;$X186))*ISNUMBER(tUWDY),tUPBf),0)</f>
        <v/>
      </c>
      <c r="N186" s="22">
        <f>IFERROR(SUMPRODUCT(tFlag*(ISNUMBER(tUPB)*(tUPB&gt;=$W186)*(tUPB&lt;$X186)),tUPBf,tCurDY)/SUMPRODUCT(tFlag*(ISNUMBER(tUPB)*(tUPB&gt;=$W186)*(tUPB&lt;$X186))*ISNUMBER(tCurDY),tUPBf),0)</f>
        <v/>
      </c>
      <c r="O186" s="22">
        <f>IFERROR(SUMPRODUCT(tFlag*(ISNUMBER(tUPB)*(tUPB&gt;=$W186)*(tUPB&lt;$X186)),tUPBf,tOcc)/SUMPRODUCT(tFlag*(ISNUMBER(tUPB)*(tUPB&gt;=$W186)*(tUPB&lt;$X186))*ISNUMBER(tOcc),tUPBf),0)</f>
        <v/>
      </c>
      <c r="P186" s="45">
        <f>IFERROR(SUMPRODUCT(tFlag*(ISNUMBER(tUPB)*(tUPB&gt;=$W186)*(tUPB&lt;$X186)),tUPBf,tRem)/SUMPRODUCT(tFlag*(ISNUMBER(tUPB)*(tUPB&gt;=$W186)*(tUPB&lt;$X186))*ISNUMBER(tRem),tUPBf),0)</f>
        <v/>
      </c>
      <c r="Q186" s="22">
        <f>IFERROR(SUMPRODUCT(tFlag*(ISNUMBER(tUPB)*(tUPB&gt;=$W186)*(tUPB&lt;$X186)),tUPBf,tFIO)/$E186,0)</f>
        <v/>
      </c>
      <c r="R186" s="22">
        <f>IFERROR(SUMPRODUCT(tFlag*(ISNUMBER(tUPB)*(tUPB&gt;=$W186)*(tUPB&lt;$X186)),tUPBf,tDefF)/$E186,0)</f>
        <v/>
      </c>
      <c r="S186" s="22">
        <f>IFERROR(SUMPRODUCT(tFlag*(ISNUMBER(tUPB)*(tUPB&gt;=$W186)*(tUPB&lt;$X186)),tUPBf,tSSF)/$E186,0)</f>
        <v/>
      </c>
      <c r="T186" s="22">
        <f>IFERROR(SUMPRODUCT(tFlag*(ISNUMBER(tUPB)*(tUPB&gt;=$W186)*(tUPB&lt;$X186)),tUPBf,tDQ)/$E186,0)</f>
        <v/>
      </c>
      <c r="U186" s="22">
        <f>IFERROR(SUMPRODUCT(tFlag*(ISNUMBER(tUPB)*(tUPB&gt;=$W186)*(tUPB&lt;$X186)),tUPBf,tWLF)/$E186,0)</f>
        <v/>
      </c>
      <c r="W186" s="50" t="n">
        <v>-1000000000000</v>
      </c>
      <c r="X186" s="50" t="n">
        <v>5000000</v>
      </c>
    </row>
    <row r="187">
      <c r="B187" s="27" t="inlineStr">
        <is>
          <t>$5M to $10M</t>
        </is>
      </c>
      <c r="C187" s="28">
        <f>SUMPRODUCT(tFlag*(ISNUMBER(tUPB)*(tUPB&gt;=$W187)*(tUPB&lt;$X187)))</f>
        <v/>
      </c>
      <c r="D187" s="31">
        <f>IFERROR(C187/sLoans,0)</f>
        <v/>
      </c>
      <c r="E187" s="30">
        <f>SUMPRODUCT(tFlag*(ISNUMBER(tUPB)*(tUPB&gt;=$W187)*(tUPB&lt;$X187)),tUPBf)</f>
        <v/>
      </c>
      <c r="F187" s="31">
        <f>IFERROR(E187/sUPB,0)</f>
        <v/>
      </c>
      <c r="G187" s="30">
        <f>IFERROR(E187/C187,0)</f>
        <v/>
      </c>
      <c r="H187" s="32">
        <f>IFERROR(SUMPRODUCT(tFlag*(ISNUMBER(tUPB)*(tUPB&gt;=$W187)*(tUPB&lt;$X187)),tUPBf,tCpn)/SUMPRODUCT(tFlag*(ISNUMBER(tUPB)*(tUPB&gt;=$W187)*(tUPB&lt;$X187))*ISNUMBER(tCpn),tUPBf),0)</f>
        <v/>
      </c>
      <c r="I187" s="33">
        <f>IFERROR(SUMPRODUCT(tFlag*(ISNUMBER(tUPB)*(tUPB&gt;=$W187)*(tUPB&lt;$X187)),tUPBf,tUWDSCR)/SUMPRODUCT(tFlag*(ISNUMBER(tUPB)*(tUPB&gt;=$W187)*(tUPB&lt;$X187))*ISNUMBER(tUWDSCR),tUPBf),0)</f>
        <v/>
      </c>
      <c r="J187" s="33">
        <f>IFERROR(SUMPRODUCT(tFlag*(ISNUMBER(tUPB)*(tUPB&gt;=$W187)*(tUPB&lt;$X187)),tUPBf,tCurDSCR)/SUMPRODUCT(tFlag*(ISNUMBER(tUPB)*(tUPB&gt;=$W187)*(tUPB&lt;$X187))*ISNUMBER(tCurDSCR),tUPBf),0)</f>
        <v/>
      </c>
      <c r="K187" s="31">
        <f>IFERROR(SUMPRODUCT(tFlag*(ISNUMBER(tUPB)*(tUPB&gt;=$W187)*(tUPB&lt;$X187)),tUPBf,tUWLTV)/SUMPRODUCT(tFlag*(ISNUMBER(tUPB)*(tUPB&gt;=$W187)*(tUPB&lt;$X187))*ISNUMBER(tUWLTV),tUPBf),0)</f>
        <v/>
      </c>
      <c r="L187" s="31">
        <f>IFERROR(SUMPRODUCT(tFlag*(ISNUMBER(tUPB)*(tUPB&gt;=$W187)*(tUPB&lt;$X187)),tUPBf,tCurLTV)/SUMPRODUCT(tFlag*(ISNUMBER(tUPB)*(tUPB&gt;=$W187)*(tUPB&lt;$X187))*ISNUMBER(tCurLTV),tUPBf),0)</f>
        <v/>
      </c>
      <c r="M187" s="31">
        <f>IFERROR(SUMPRODUCT(tFlag*(ISNUMBER(tUPB)*(tUPB&gt;=$W187)*(tUPB&lt;$X187)),tUPBf,tUWDY)/SUMPRODUCT(tFlag*(ISNUMBER(tUPB)*(tUPB&gt;=$W187)*(tUPB&lt;$X187))*ISNUMBER(tUWDY),tUPBf),0)</f>
        <v/>
      </c>
      <c r="N187" s="31">
        <f>IFERROR(SUMPRODUCT(tFlag*(ISNUMBER(tUPB)*(tUPB&gt;=$W187)*(tUPB&lt;$X187)),tUPBf,tCurDY)/SUMPRODUCT(tFlag*(ISNUMBER(tUPB)*(tUPB&gt;=$W187)*(tUPB&lt;$X187))*ISNUMBER(tCurDY),tUPBf),0)</f>
        <v/>
      </c>
      <c r="O187" s="31">
        <f>IFERROR(SUMPRODUCT(tFlag*(ISNUMBER(tUPB)*(tUPB&gt;=$W187)*(tUPB&lt;$X187)),tUPBf,tOcc)/SUMPRODUCT(tFlag*(ISNUMBER(tUPB)*(tUPB&gt;=$W187)*(tUPB&lt;$X187))*ISNUMBER(tOcc),tUPBf),0)</f>
        <v/>
      </c>
      <c r="P187" s="47">
        <f>IFERROR(SUMPRODUCT(tFlag*(ISNUMBER(tUPB)*(tUPB&gt;=$W187)*(tUPB&lt;$X187)),tUPBf,tRem)/SUMPRODUCT(tFlag*(ISNUMBER(tUPB)*(tUPB&gt;=$W187)*(tUPB&lt;$X187))*ISNUMBER(tRem),tUPBf),0)</f>
        <v/>
      </c>
      <c r="Q187" s="31">
        <f>IFERROR(SUMPRODUCT(tFlag*(ISNUMBER(tUPB)*(tUPB&gt;=$W187)*(tUPB&lt;$X187)),tUPBf,tFIO)/$E187,0)</f>
        <v/>
      </c>
      <c r="R187" s="31">
        <f>IFERROR(SUMPRODUCT(tFlag*(ISNUMBER(tUPB)*(tUPB&gt;=$W187)*(tUPB&lt;$X187)),tUPBf,tDefF)/$E187,0)</f>
        <v/>
      </c>
      <c r="S187" s="31">
        <f>IFERROR(SUMPRODUCT(tFlag*(ISNUMBER(tUPB)*(tUPB&gt;=$W187)*(tUPB&lt;$X187)),tUPBf,tSSF)/$E187,0)</f>
        <v/>
      </c>
      <c r="T187" s="31">
        <f>IFERROR(SUMPRODUCT(tFlag*(ISNUMBER(tUPB)*(tUPB&gt;=$W187)*(tUPB&lt;$X187)),tUPBf,tDQ)/$E187,0)</f>
        <v/>
      </c>
      <c r="U187" s="31">
        <f>IFERROR(SUMPRODUCT(tFlag*(ISNUMBER(tUPB)*(tUPB&gt;=$W187)*(tUPB&lt;$X187)),tUPBf,tWLF)/$E187,0)</f>
        <v/>
      </c>
      <c r="W187" s="50" t="n">
        <v>5000000</v>
      </c>
      <c r="X187" s="50" t="n">
        <v>10000000</v>
      </c>
    </row>
    <row r="188">
      <c r="B188" s="18" t="inlineStr">
        <is>
          <t>$10M to $20M</t>
        </is>
      </c>
      <c r="C188" s="19">
        <f>SUMPRODUCT(tFlag*(ISNUMBER(tUPB)*(tUPB&gt;=$W188)*(tUPB&lt;$X188)))</f>
        <v/>
      </c>
      <c r="D188" s="22">
        <f>IFERROR(C188/sLoans,0)</f>
        <v/>
      </c>
      <c r="E188" s="21">
        <f>SUMPRODUCT(tFlag*(ISNUMBER(tUPB)*(tUPB&gt;=$W188)*(tUPB&lt;$X188)),tUPBf)</f>
        <v/>
      </c>
      <c r="F188" s="22">
        <f>IFERROR(E188/sUPB,0)</f>
        <v/>
      </c>
      <c r="G188" s="21">
        <f>IFERROR(E188/C188,0)</f>
        <v/>
      </c>
      <c r="H188" s="23">
        <f>IFERROR(SUMPRODUCT(tFlag*(ISNUMBER(tUPB)*(tUPB&gt;=$W188)*(tUPB&lt;$X188)),tUPBf,tCpn)/SUMPRODUCT(tFlag*(ISNUMBER(tUPB)*(tUPB&gt;=$W188)*(tUPB&lt;$X188))*ISNUMBER(tCpn),tUPBf),0)</f>
        <v/>
      </c>
      <c r="I188" s="24">
        <f>IFERROR(SUMPRODUCT(tFlag*(ISNUMBER(tUPB)*(tUPB&gt;=$W188)*(tUPB&lt;$X188)),tUPBf,tUWDSCR)/SUMPRODUCT(tFlag*(ISNUMBER(tUPB)*(tUPB&gt;=$W188)*(tUPB&lt;$X188))*ISNUMBER(tUWDSCR),tUPBf),0)</f>
        <v/>
      </c>
      <c r="J188" s="24">
        <f>IFERROR(SUMPRODUCT(tFlag*(ISNUMBER(tUPB)*(tUPB&gt;=$W188)*(tUPB&lt;$X188)),tUPBf,tCurDSCR)/SUMPRODUCT(tFlag*(ISNUMBER(tUPB)*(tUPB&gt;=$W188)*(tUPB&lt;$X188))*ISNUMBER(tCurDSCR),tUPBf),0)</f>
        <v/>
      </c>
      <c r="K188" s="22">
        <f>IFERROR(SUMPRODUCT(tFlag*(ISNUMBER(tUPB)*(tUPB&gt;=$W188)*(tUPB&lt;$X188)),tUPBf,tUWLTV)/SUMPRODUCT(tFlag*(ISNUMBER(tUPB)*(tUPB&gt;=$W188)*(tUPB&lt;$X188))*ISNUMBER(tUWLTV),tUPBf),0)</f>
        <v/>
      </c>
      <c r="L188" s="22">
        <f>IFERROR(SUMPRODUCT(tFlag*(ISNUMBER(tUPB)*(tUPB&gt;=$W188)*(tUPB&lt;$X188)),tUPBf,tCurLTV)/SUMPRODUCT(tFlag*(ISNUMBER(tUPB)*(tUPB&gt;=$W188)*(tUPB&lt;$X188))*ISNUMBER(tCurLTV),tUPBf),0)</f>
        <v/>
      </c>
      <c r="M188" s="22">
        <f>IFERROR(SUMPRODUCT(tFlag*(ISNUMBER(tUPB)*(tUPB&gt;=$W188)*(tUPB&lt;$X188)),tUPBf,tUWDY)/SUMPRODUCT(tFlag*(ISNUMBER(tUPB)*(tUPB&gt;=$W188)*(tUPB&lt;$X188))*ISNUMBER(tUWDY),tUPBf),0)</f>
        <v/>
      </c>
      <c r="N188" s="22">
        <f>IFERROR(SUMPRODUCT(tFlag*(ISNUMBER(tUPB)*(tUPB&gt;=$W188)*(tUPB&lt;$X188)),tUPBf,tCurDY)/SUMPRODUCT(tFlag*(ISNUMBER(tUPB)*(tUPB&gt;=$W188)*(tUPB&lt;$X188))*ISNUMBER(tCurDY),tUPBf),0)</f>
        <v/>
      </c>
      <c r="O188" s="22">
        <f>IFERROR(SUMPRODUCT(tFlag*(ISNUMBER(tUPB)*(tUPB&gt;=$W188)*(tUPB&lt;$X188)),tUPBf,tOcc)/SUMPRODUCT(tFlag*(ISNUMBER(tUPB)*(tUPB&gt;=$W188)*(tUPB&lt;$X188))*ISNUMBER(tOcc),tUPBf),0)</f>
        <v/>
      </c>
      <c r="P188" s="45">
        <f>IFERROR(SUMPRODUCT(tFlag*(ISNUMBER(tUPB)*(tUPB&gt;=$W188)*(tUPB&lt;$X188)),tUPBf,tRem)/SUMPRODUCT(tFlag*(ISNUMBER(tUPB)*(tUPB&gt;=$W188)*(tUPB&lt;$X188))*ISNUMBER(tRem),tUPBf),0)</f>
        <v/>
      </c>
      <c r="Q188" s="22">
        <f>IFERROR(SUMPRODUCT(tFlag*(ISNUMBER(tUPB)*(tUPB&gt;=$W188)*(tUPB&lt;$X188)),tUPBf,tFIO)/$E188,0)</f>
        <v/>
      </c>
      <c r="R188" s="22">
        <f>IFERROR(SUMPRODUCT(tFlag*(ISNUMBER(tUPB)*(tUPB&gt;=$W188)*(tUPB&lt;$X188)),tUPBf,tDefF)/$E188,0)</f>
        <v/>
      </c>
      <c r="S188" s="22">
        <f>IFERROR(SUMPRODUCT(tFlag*(ISNUMBER(tUPB)*(tUPB&gt;=$W188)*(tUPB&lt;$X188)),tUPBf,tSSF)/$E188,0)</f>
        <v/>
      </c>
      <c r="T188" s="22">
        <f>IFERROR(SUMPRODUCT(tFlag*(ISNUMBER(tUPB)*(tUPB&gt;=$W188)*(tUPB&lt;$X188)),tUPBf,tDQ)/$E188,0)</f>
        <v/>
      </c>
      <c r="U188" s="22">
        <f>IFERROR(SUMPRODUCT(tFlag*(ISNUMBER(tUPB)*(tUPB&gt;=$W188)*(tUPB&lt;$X188)),tUPBf,tWLF)/$E188,0)</f>
        <v/>
      </c>
      <c r="W188" s="50" t="n">
        <v>10000000</v>
      </c>
      <c r="X188" s="50" t="n">
        <v>20000000</v>
      </c>
    </row>
    <row r="189">
      <c r="B189" s="27" t="inlineStr">
        <is>
          <t>$20M to $30M</t>
        </is>
      </c>
      <c r="C189" s="28">
        <f>SUMPRODUCT(tFlag*(ISNUMBER(tUPB)*(tUPB&gt;=$W189)*(tUPB&lt;$X189)))</f>
        <v/>
      </c>
      <c r="D189" s="31">
        <f>IFERROR(C189/sLoans,0)</f>
        <v/>
      </c>
      <c r="E189" s="30">
        <f>SUMPRODUCT(tFlag*(ISNUMBER(tUPB)*(tUPB&gt;=$W189)*(tUPB&lt;$X189)),tUPBf)</f>
        <v/>
      </c>
      <c r="F189" s="31">
        <f>IFERROR(E189/sUPB,0)</f>
        <v/>
      </c>
      <c r="G189" s="30">
        <f>IFERROR(E189/C189,0)</f>
        <v/>
      </c>
      <c r="H189" s="32">
        <f>IFERROR(SUMPRODUCT(tFlag*(ISNUMBER(tUPB)*(tUPB&gt;=$W189)*(tUPB&lt;$X189)),tUPBf,tCpn)/SUMPRODUCT(tFlag*(ISNUMBER(tUPB)*(tUPB&gt;=$W189)*(tUPB&lt;$X189))*ISNUMBER(tCpn),tUPBf),0)</f>
        <v/>
      </c>
      <c r="I189" s="33">
        <f>IFERROR(SUMPRODUCT(tFlag*(ISNUMBER(tUPB)*(tUPB&gt;=$W189)*(tUPB&lt;$X189)),tUPBf,tUWDSCR)/SUMPRODUCT(tFlag*(ISNUMBER(tUPB)*(tUPB&gt;=$W189)*(tUPB&lt;$X189))*ISNUMBER(tUWDSCR),tUPBf),0)</f>
        <v/>
      </c>
      <c r="J189" s="33">
        <f>IFERROR(SUMPRODUCT(tFlag*(ISNUMBER(tUPB)*(tUPB&gt;=$W189)*(tUPB&lt;$X189)),tUPBf,tCurDSCR)/SUMPRODUCT(tFlag*(ISNUMBER(tUPB)*(tUPB&gt;=$W189)*(tUPB&lt;$X189))*ISNUMBER(tCurDSCR),tUPBf),0)</f>
        <v/>
      </c>
      <c r="K189" s="31">
        <f>IFERROR(SUMPRODUCT(tFlag*(ISNUMBER(tUPB)*(tUPB&gt;=$W189)*(tUPB&lt;$X189)),tUPBf,tUWLTV)/SUMPRODUCT(tFlag*(ISNUMBER(tUPB)*(tUPB&gt;=$W189)*(tUPB&lt;$X189))*ISNUMBER(tUWLTV),tUPBf),0)</f>
        <v/>
      </c>
      <c r="L189" s="31">
        <f>IFERROR(SUMPRODUCT(tFlag*(ISNUMBER(tUPB)*(tUPB&gt;=$W189)*(tUPB&lt;$X189)),tUPBf,tCurLTV)/SUMPRODUCT(tFlag*(ISNUMBER(tUPB)*(tUPB&gt;=$W189)*(tUPB&lt;$X189))*ISNUMBER(tCurLTV),tUPBf),0)</f>
        <v/>
      </c>
      <c r="M189" s="31">
        <f>IFERROR(SUMPRODUCT(tFlag*(ISNUMBER(tUPB)*(tUPB&gt;=$W189)*(tUPB&lt;$X189)),tUPBf,tUWDY)/SUMPRODUCT(tFlag*(ISNUMBER(tUPB)*(tUPB&gt;=$W189)*(tUPB&lt;$X189))*ISNUMBER(tUWDY),tUPBf),0)</f>
        <v/>
      </c>
      <c r="N189" s="31">
        <f>IFERROR(SUMPRODUCT(tFlag*(ISNUMBER(tUPB)*(tUPB&gt;=$W189)*(tUPB&lt;$X189)),tUPBf,tCurDY)/SUMPRODUCT(tFlag*(ISNUMBER(tUPB)*(tUPB&gt;=$W189)*(tUPB&lt;$X189))*ISNUMBER(tCurDY),tUPBf),0)</f>
        <v/>
      </c>
      <c r="O189" s="31">
        <f>IFERROR(SUMPRODUCT(tFlag*(ISNUMBER(tUPB)*(tUPB&gt;=$W189)*(tUPB&lt;$X189)),tUPBf,tOcc)/SUMPRODUCT(tFlag*(ISNUMBER(tUPB)*(tUPB&gt;=$W189)*(tUPB&lt;$X189))*ISNUMBER(tOcc),tUPBf),0)</f>
        <v/>
      </c>
      <c r="P189" s="47">
        <f>IFERROR(SUMPRODUCT(tFlag*(ISNUMBER(tUPB)*(tUPB&gt;=$W189)*(tUPB&lt;$X189)),tUPBf,tRem)/SUMPRODUCT(tFlag*(ISNUMBER(tUPB)*(tUPB&gt;=$W189)*(tUPB&lt;$X189))*ISNUMBER(tRem),tUPBf),0)</f>
        <v/>
      </c>
      <c r="Q189" s="31">
        <f>IFERROR(SUMPRODUCT(tFlag*(ISNUMBER(tUPB)*(tUPB&gt;=$W189)*(tUPB&lt;$X189)),tUPBf,tFIO)/$E189,0)</f>
        <v/>
      </c>
      <c r="R189" s="31">
        <f>IFERROR(SUMPRODUCT(tFlag*(ISNUMBER(tUPB)*(tUPB&gt;=$W189)*(tUPB&lt;$X189)),tUPBf,tDefF)/$E189,0)</f>
        <v/>
      </c>
      <c r="S189" s="31">
        <f>IFERROR(SUMPRODUCT(tFlag*(ISNUMBER(tUPB)*(tUPB&gt;=$W189)*(tUPB&lt;$X189)),tUPBf,tSSF)/$E189,0)</f>
        <v/>
      </c>
      <c r="T189" s="31">
        <f>IFERROR(SUMPRODUCT(tFlag*(ISNUMBER(tUPB)*(tUPB&gt;=$W189)*(tUPB&lt;$X189)),tUPBf,tDQ)/$E189,0)</f>
        <v/>
      </c>
      <c r="U189" s="31">
        <f>IFERROR(SUMPRODUCT(tFlag*(ISNUMBER(tUPB)*(tUPB&gt;=$W189)*(tUPB&lt;$X189)),tUPBf,tWLF)/$E189,0)</f>
        <v/>
      </c>
      <c r="W189" s="50" t="n">
        <v>20000000</v>
      </c>
      <c r="X189" s="50" t="n">
        <v>30000000</v>
      </c>
    </row>
    <row r="190">
      <c r="B190" s="18" t="inlineStr">
        <is>
          <t>$30M to $50M</t>
        </is>
      </c>
      <c r="C190" s="19">
        <f>SUMPRODUCT(tFlag*(ISNUMBER(tUPB)*(tUPB&gt;=$W190)*(tUPB&lt;$X190)))</f>
        <v/>
      </c>
      <c r="D190" s="22">
        <f>IFERROR(C190/sLoans,0)</f>
        <v/>
      </c>
      <c r="E190" s="21">
        <f>SUMPRODUCT(tFlag*(ISNUMBER(tUPB)*(tUPB&gt;=$W190)*(tUPB&lt;$X190)),tUPBf)</f>
        <v/>
      </c>
      <c r="F190" s="22">
        <f>IFERROR(E190/sUPB,0)</f>
        <v/>
      </c>
      <c r="G190" s="21">
        <f>IFERROR(E190/C190,0)</f>
        <v/>
      </c>
      <c r="H190" s="23">
        <f>IFERROR(SUMPRODUCT(tFlag*(ISNUMBER(tUPB)*(tUPB&gt;=$W190)*(tUPB&lt;$X190)),tUPBf,tCpn)/SUMPRODUCT(tFlag*(ISNUMBER(tUPB)*(tUPB&gt;=$W190)*(tUPB&lt;$X190))*ISNUMBER(tCpn),tUPBf),0)</f>
        <v/>
      </c>
      <c r="I190" s="24">
        <f>IFERROR(SUMPRODUCT(tFlag*(ISNUMBER(tUPB)*(tUPB&gt;=$W190)*(tUPB&lt;$X190)),tUPBf,tUWDSCR)/SUMPRODUCT(tFlag*(ISNUMBER(tUPB)*(tUPB&gt;=$W190)*(tUPB&lt;$X190))*ISNUMBER(tUWDSCR),tUPBf),0)</f>
        <v/>
      </c>
      <c r="J190" s="24">
        <f>IFERROR(SUMPRODUCT(tFlag*(ISNUMBER(tUPB)*(tUPB&gt;=$W190)*(tUPB&lt;$X190)),tUPBf,tCurDSCR)/SUMPRODUCT(tFlag*(ISNUMBER(tUPB)*(tUPB&gt;=$W190)*(tUPB&lt;$X190))*ISNUMBER(tCurDSCR),tUPBf),0)</f>
        <v/>
      </c>
      <c r="K190" s="22">
        <f>IFERROR(SUMPRODUCT(tFlag*(ISNUMBER(tUPB)*(tUPB&gt;=$W190)*(tUPB&lt;$X190)),tUPBf,tUWLTV)/SUMPRODUCT(tFlag*(ISNUMBER(tUPB)*(tUPB&gt;=$W190)*(tUPB&lt;$X190))*ISNUMBER(tUWLTV),tUPBf),0)</f>
        <v/>
      </c>
      <c r="L190" s="22">
        <f>IFERROR(SUMPRODUCT(tFlag*(ISNUMBER(tUPB)*(tUPB&gt;=$W190)*(tUPB&lt;$X190)),tUPBf,tCurLTV)/SUMPRODUCT(tFlag*(ISNUMBER(tUPB)*(tUPB&gt;=$W190)*(tUPB&lt;$X190))*ISNUMBER(tCurLTV),tUPBf),0)</f>
        <v/>
      </c>
      <c r="M190" s="22">
        <f>IFERROR(SUMPRODUCT(tFlag*(ISNUMBER(tUPB)*(tUPB&gt;=$W190)*(tUPB&lt;$X190)),tUPBf,tUWDY)/SUMPRODUCT(tFlag*(ISNUMBER(tUPB)*(tUPB&gt;=$W190)*(tUPB&lt;$X190))*ISNUMBER(tUWDY),tUPBf),0)</f>
        <v/>
      </c>
      <c r="N190" s="22">
        <f>IFERROR(SUMPRODUCT(tFlag*(ISNUMBER(tUPB)*(tUPB&gt;=$W190)*(tUPB&lt;$X190)),tUPBf,tCurDY)/SUMPRODUCT(tFlag*(ISNUMBER(tUPB)*(tUPB&gt;=$W190)*(tUPB&lt;$X190))*ISNUMBER(tCurDY),tUPBf),0)</f>
        <v/>
      </c>
      <c r="O190" s="22">
        <f>IFERROR(SUMPRODUCT(tFlag*(ISNUMBER(tUPB)*(tUPB&gt;=$W190)*(tUPB&lt;$X190)),tUPBf,tOcc)/SUMPRODUCT(tFlag*(ISNUMBER(tUPB)*(tUPB&gt;=$W190)*(tUPB&lt;$X190))*ISNUMBER(tOcc),tUPBf),0)</f>
        <v/>
      </c>
      <c r="P190" s="45">
        <f>IFERROR(SUMPRODUCT(tFlag*(ISNUMBER(tUPB)*(tUPB&gt;=$W190)*(tUPB&lt;$X190)),tUPBf,tRem)/SUMPRODUCT(tFlag*(ISNUMBER(tUPB)*(tUPB&gt;=$W190)*(tUPB&lt;$X190))*ISNUMBER(tRem),tUPBf),0)</f>
        <v/>
      </c>
      <c r="Q190" s="22">
        <f>IFERROR(SUMPRODUCT(tFlag*(ISNUMBER(tUPB)*(tUPB&gt;=$W190)*(tUPB&lt;$X190)),tUPBf,tFIO)/$E190,0)</f>
        <v/>
      </c>
      <c r="R190" s="22">
        <f>IFERROR(SUMPRODUCT(tFlag*(ISNUMBER(tUPB)*(tUPB&gt;=$W190)*(tUPB&lt;$X190)),tUPBf,tDefF)/$E190,0)</f>
        <v/>
      </c>
      <c r="S190" s="22">
        <f>IFERROR(SUMPRODUCT(tFlag*(ISNUMBER(tUPB)*(tUPB&gt;=$W190)*(tUPB&lt;$X190)),tUPBf,tSSF)/$E190,0)</f>
        <v/>
      </c>
      <c r="T190" s="22">
        <f>IFERROR(SUMPRODUCT(tFlag*(ISNUMBER(tUPB)*(tUPB&gt;=$W190)*(tUPB&lt;$X190)),tUPBf,tDQ)/$E190,0)</f>
        <v/>
      </c>
      <c r="U190" s="22">
        <f>IFERROR(SUMPRODUCT(tFlag*(ISNUMBER(tUPB)*(tUPB&gt;=$W190)*(tUPB&lt;$X190)),tUPBf,tWLF)/$E190,0)</f>
        <v/>
      </c>
      <c r="W190" s="50" t="n">
        <v>30000000</v>
      </c>
      <c r="X190" s="50" t="n">
        <v>50000000</v>
      </c>
    </row>
    <row r="191">
      <c r="B191" s="27" t="inlineStr">
        <is>
          <t>$50M to $75M</t>
        </is>
      </c>
      <c r="C191" s="28">
        <f>SUMPRODUCT(tFlag*(ISNUMBER(tUPB)*(tUPB&gt;=$W191)*(tUPB&lt;$X191)))</f>
        <v/>
      </c>
      <c r="D191" s="31">
        <f>IFERROR(C191/sLoans,0)</f>
        <v/>
      </c>
      <c r="E191" s="30">
        <f>SUMPRODUCT(tFlag*(ISNUMBER(tUPB)*(tUPB&gt;=$W191)*(tUPB&lt;$X191)),tUPBf)</f>
        <v/>
      </c>
      <c r="F191" s="31">
        <f>IFERROR(E191/sUPB,0)</f>
        <v/>
      </c>
      <c r="G191" s="30">
        <f>IFERROR(E191/C191,0)</f>
        <v/>
      </c>
      <c r="H191" s="32">
        <f>IFERROR(SUMPRODUCT(tFlag*(ISNUMBER(tUPB)*(tUPB&gt;=$W191)*(tUPB&lt;$X191)),tUPBf,tCpn)/SUMPRODUCT(tFlag*(ISNUMBER(tUPB)*(tUPB&gt;=$W191)*(tUPB&lt;$X191))*ISNUMBER(tCpn),tUPBf),0)</f>
        <v/>
      </c>
      <c r="I191" s="33">
        <f>IFERROR(SUMPRODUCT(tFlag*(ISNUMBER(tUPB)*(tUPB&gt;=$W191)*(tUPB&lt;$X191)),tUPBf,tUWDSCR)/SUMPRODUCT(tFlag*(ISNUMBER(tUPB)*(tUPB&gt;=$W191)*(tUPB&lt;$X191))*ISNUMBER(tUWDSCR),tUPBf),0)</f>
        <v/>
      </c>
      <c r="J191" s="33">
        <f>IFERROR(SUMPRODUCT(tFlag*(ISNUMBER(tUPB)*(tUPB&gt;=$W191)*(tUPB&lt;$X191)),tUPBf,tCurDSCR)/SUMPRODUCT(tFlag*(ISNUMBER(tUPB)*(tUPB&gt;=$W191)*(tUPB&lt;$X191))*ISNUMBER(tCurDSCR),tUPBf),0)</f>
        <v/>
      </c>
      <c r="K191" s="31">
        <f>IFERROR(SUMPRODUCT(tFlag*(ISNUMBER(tUPB)*(tUPB&gt;=$W191)*(tUPB&lt;$X191)),tUPBf,tUWLTV)/SUMPRODUCT(tFlag*(ISNUMBER(tUPB)*(tUPB&gt;=$W191)*(tUPB&lt;$X191))*ISNUMBER(tUWLTV),tUPBf),0)</f>
        <v/>
      </c>
      <c r="L191" s="31">
        <f>IFERROR(SUMPRODUCT(tFlag*(ISNUMBER(tUPB)*(tUPB&gt;=$W191)*(tUPB&lt;$X191)),tUPBf,tCurLTV)/SUMPRODUCT(tFlag*(ISNUMBER(tUPB)*(tUPB&gt;=$W191)*(tUPB&lt;$X191))*ISNUMBER(tCurLTV),tUPBf),0)</f>
        <v/>
      </c>
      <c r="M191" s="31">
        <f>IFERROR(SUMPRODUCT(tFlag*(ISNUMBER(tUPB)*(tUPB&gt;=$W191)*(tUPB&lt;$X191)),tUPBf,tUWDY)/SUMPRODUCT(tFlag*(ISNUMBER(tUPB)*(tUPB&gt;=$W191)*(tUPB&lt;$X191))*ISNUMBER(tUWDY),tUPBf),0)</f>
        <v/>
      </c>
      <c r="N191" s="31">
        <f>IFERROR(SUMPRODUCT(tFlag*(ISNUMBER(tUPB)*(tUPB&gt;=$W191)*(tUPB&lt;$X191)),tUPBf,tCurDY)/SUMPRODUCT(tFlag*(ISNUMBER(tUPB)*(tUPB&gt;=$W191)*(tUPB&lt;$X191))*ISNUMBER(tCurDY),tUPBf),0)</f>
        <v/>
      </c>
      <c r="O191" s="31">
        <f>IFERROR(SUMPRODUCT(tFlag*(ISNUMBER(tUPB)*(tUPB&gt;=$W191)*(tUPB&lt;$X191)),tUPBf,tOcc)/SUMPRODUCT(tFlag*(ISNUMBER(tUPB)*(tUPB&gt;=$W191)*(tUPB&lt;$X191))*ISNUMBER(tOcc),tUPBf),0)</f>
        <v/>
      </c>
      <c r="P191" s="47">
        <f>IFERROR(SUMPRODUCT(tFlag*(ISNUMBER(tUPB)*(tUPB&gt;=$W191)*(tUPB&lt;$X191)),tUPBf,tRem)/SUMPRODUCT(tFlag*(ISNUMBER(tUPB)*(tUPB&gt;=$W191)*(tUPB&lt;$X191))*ISNUMBER(tRem),tUPBf),0)</f>
        <v/>
      </c>
      <c r="Q191" s="31">
        <f>IFERROR(SUMPRODUCT(tFlag*(ISNUMBER(tUPB)*(tUPB&gt;=$W191)*(tUPB&lt;$X191)),tUPBf,tFIO)/$E191,0)</f>
        <v/>
      </c>
      <c r="R191" s="31">
        <f>IFERROR(SUMPRODUCT(tFlag*(ISNUMBER(tUPB)*(tUPB&gt;=$W191)*(tUPB&lt;$X191)),tUPBf,tDefF)/$E191,0)</f>
        <v/>
      </c>
      <c r="S191" s="31">
        <f>IFERROR(SUMPRODUCT(tFlag*(ISNUMBER(tUPB)*(tUPB&gt;=$W191)*(tUPB&lt;$X191)),tUPBf,tSSF)/$E191,0)</f>
        <v/>
      </c>
      <c r="T191" s="31">
        <f>IFERROR(SUMPRODUCT(tFlag*(ISNUMBER(tUPB)*(tUPB&gt;=$W191)*(tUPB&lt;$X191)),tUPBf,tDQ)/$E191,0)</f>
        <v/>
      </c>
      <c r="U191" s="31">
        <f>IFERROR(SUMPRODUCT(tFlag*(ISNUMBER(tUPB)*(tUPB&gt;=$W191)*(tUPB&lt;$X191)),tUPBf,tWLF)/$E191,0)</f>
        <v/>
      </c>
      <c r="W191" s="50" t="n">
        <v>50000000</v>
      </c>
      <c r="X191" s="50" t="n">
        <v>75000000</v>
      </c>
    </row>
    <row r="192">
      <c r="B192" s="18" t="inlineStr">
        <is>
          <t>$75M or Greater</t>
        </is>
      </c>
      <c r="C192" s="19">
        <f>SUMPRODUCT(tFlag*(ISNUMBER(tUPB)*(tUPB&gt;=$W192)*(tUPB&lt;$X192)))</f>
        <v/>
      </c>
      <c r="D192" s="22">
        <f>IFERROR(C192/sLoans,0)</f>
        <v/>
      </c>
      <c r="E192" s="21">
        <f>SUMPRODUCT(tFlag*(ISNUMBER(tUPB)*(tUPB&gt;=$W192)*(tUPB&lt;$X192)),tUPBf)</f>
        <v/>
      </c>
      <c r="F192" s="22">
        <f>IFERROR(E192/sUPB,0)</f>
        <v/>
      </c>
      <c r="G192" s="21">
        <f>IFERROR(E192/C192,0)</f>
        <v/>
      </c>
      <c r="H192" s="23">
        <f>IFERROR(SUMPRODUCT(tFlag*(ISNUMBER(tUPB)*(tUPB&gt;=$W192)*(tUPB&lt;$X192)),tUPBf,tCpn)/SUMPRODUCT(tFlag*(ISNUMBER(tUPB)*(tUPB&gt;=$W192)*(tUPB&lt;$X192))*ISNUMBER(tCpn),tUPBf),0)</f>
        <v/>
      </c>
      <c r="I192" s="24">
        <f>IFERROR(SUMPRODUCT(tFlag*(ISNUMBER(tUPB)*(tUPB&gt;=$W192)*(tUPB&lt;$X192)),tUPBf,tUWDSCR)/SUMPRODUCT(tFlag*(ISNUMBER(tUPB)*(tUPB&gt;=$W192)*(tUPB&lt;$X192))*ISNUMBER(tUWDSCR),tUPBf),0)</f>
        <v/>
      </c>
      <c r="J192" s="24">
        <f>IFERROR(SUMPRODUCT(tFlag*(ISNUMBER(tUPB)*(tUPB&gt;=$W192)*(tUPB&lt;$X192)),tUPBf,tCurDSCR)/SUMPRODUCT(tFlag*(ISNUMBER(tUPB)*(tUPB&gt;=$W192)*(tUPB&lt;$X192))*ISNUMBER(tCurDSCR),tUPBf),0)</f>
        <v/>
      </c>
      <c r="K192" s="22">
        <f>IFERROR(SUMPRODUCT(tFlag*(ISNUMBER(tUPB)*(tUPB&gt;=$W192)*(tUPB&lt;$X192)),tUPBf,tUWLTV)/SUMPRODUCT(tFlag*(ISNUMBER(tUPB)*(tUPB&gt;=$W192)*(tUPB&lt;$X192))*ISNUMBER(tUWLTV),tUPBf),0)</f>
        <v/>
      </c>
      <c r="L192" s="22">
        <f>IFERROR(SUMPRODUCT(tFlag*(ISNUMBER(tUPB)*(tUPB&gt;=$W192)*(tUPB&lt;$X192)),tUPBf,tCurLTV)/SUMPRODUCT(tFlag*(ISNUMBER(tUPB)*(tUPB&gt;=$W192)*(tUPB&lt;$X192))*ISNUMBER(tCurLTV),tUPBf),0)</f>
        <v/>
      </c>
      <c r="M192" s="22">
        <f>IFERROR(SUMPRODUCT(tFlag*(ISNUMBER(tUPB)*(tUPB&gt;=$W192)*(tUPB&lt;$X192)),tUPBf,tUWDY)/SUMPRODUCT(tFlag*(ISNUMBER(tUPB)*(tUPB&gt;=$W192)*(tUPB&lt;$X192))*ISNUMBER(tUWDY),tUPBf),0)</f>
        <v/>
      </c>
      <c r="N192" s="22">
        <f>IFERROR(SUMPRODUCT(tFlag*(ISNUMBER(tUPB)*(tUPB&gt;=$W192)*(tUPB&lt;$X192)),tUPBf,tCurDY)/SUMPRODUCT(tFlag*(ISNUMBER(tUPB)*(tUPB&gt;=$W192)*(tUPB&lt;$X192))*ISNUMBER(tCurDY),tUPBf),0)</f>
        <v/>
      </c>
      <c r="O192" s="22">
        <f>IFERROR(SUMPRODUCT(tFlag*(ISNUMBER(tUPB)*(tUPB&gt;=$W192)*(tUPB&lt;$X192)),tUPBf,tOcc)/SUMPRODUCT(tFlag*(ISNUMBER(tUPB)*(tUPB&gt;=$W192)*(tUPB&lt;$X192))*ISNUMBER(tOcc),tUPBf),0)</f>
        <v/>
      </c>
      <c r="P192" s="45">
        <f>IFERROR(SUMPRODUCT(tFlag*(ISNUMBER(tUPB)*(tUPB&gt;=$W192)*(tUPB&lt;$X192)),tUPBf,tRem)/SUMPRODUCT(tFlag*(ISNUMBER(tUPB)*(tUPB&gt;=$W192)*(tUPB&lt;$X192))*ISNUMBER(tRem),tUPBf),0)</f>
        <v/>
      </c>
      <c r="Q192" s="22">
        <f>IFERROR(SUMPRODUCT(tFlag*(ISNUMBER(tUPB)*(tUPB&gt;=$W192)*(tUPB&lt;$X192)),tUPBf,tFIO)/$E192,0)</f>
        <v/>
      </c>
      <c r="R192" s="22">
        <f>IFERROR(SUMPRODUCT(tFlag*(ISNUMBER(tUPB)*(tUPB&gt;=$W192)*(tUPB&lt;$X192)),tUPBf,tDefF)/$E192,0)</f>
        <v/>
      </c>
      <c r="S192" s="22">
        <f>IFERROR(SUMPRODUCT(tFlag*(ISNUMBER(tUPB)*(tUPB&gt;=$W192)*(tUPB&lt;$X192)),tUPBf,tSSF)/$E192,0)</f>
        <v/>
      </c>
      <c r="T192" s="22">
        <f>IFERROR(SUMPRODUCT(tFlag*(ISNUMBER(tUPB)*(tUPB&gt;=$W192)*(tUPB&lt;$X192)),tUPBf,tDQ)/$E192,0)</f>
        <v/>
      </c>
      <c r="U192" s="22">
        <f>IFERROR(SUMPRODUCT(tFlag*(ISNUMBER(tUPB)*(tUPB&gt;=$W192)*(tUPB&lt;$X192)),tUPBf,tWLF)/$E192,0)</f>
        <v/>
      </c>
      <c r="W192" s="50" t="n">
        <v>75000000</v>
      </c>
      <c r="X192" s="50" t="n">
        <v>1000000000000</v>
      </c>
    </row>
    <row r="193">
      <c r="B193" s="36" t="inlineStr">
        <is>
          <t>Total / Wtd. Avg.</t>
        </is>
      </c>
      <c r="C193" s="37">
        <f>SUMPRODUCT(tFlag*(1))</f>
        <v/>
      </c>
      <c r="D193" s="40">
        <f>IFERROR(C193/sLoans,0)</f>
        <v/>
      </c>
      <c r="E193" s="39">
        <f>SUMPRODUCT(tFlag*(1),tUPBf)</f>
        <v/>
      </c>
      <c r="F193" s="40">
        <f>IFERROR(E193/sUPB,0)</f>
        <v/>
      </c>
      <c r="G193" s="39">
        <f>IFERROR(E193/C193,0)</f>
        <v/>
      </c>
      <c r="H193" s="41">
        <f>IFERROR(SUMPRODUCT(tFlag*(1),tUPBf,tCpn)/SUMPRODUCT(tFlag*(1)*ISNUMBER(tCpn),tUPBf),0)</f>
        <v/>
      </c>
      <c r="I193" s="42">
        <f>IFERROR(SUMPRODUCT(tFlag*(1),tUPBf,tUWDSCR)/SUMPRODUCT(tFlag*(1)*ISNUMBER(tUWDSCR),tUPBf),0)</f>
        <v/>
      </c>
      <c r="J193" s="42">
        <f>IFERROR(SUMPRODUCT(tFlag*(1),tUPBf,tCurDSCR)/SUMPRODUCT(tFlag*(1)*ISNUMBER(tCurDSCR),tUPBf),0)</f>
        <v/>
      </c>
      <c r="K193" s="40">
        <f>IFERROR(SUMPRODUCT(tFlag*(1),tUPBf,tUWLTV)/SUMPRODUCT(tFlag*(1)*ISNUMBER(tUWLTV),tUPBf),0)</f>
        <v/>
      </c>
      <c r="L193" s="40">
        <f>IFERROR(SUMPRODUCT(tFlag*(1),tUPBf,tCurLTV)/SUMPRODUCT(tFlag*(1)*ISNUMBER(tCurLTV),tUPBf),0)</f>
        <v/>
      </c>
      <c r="M193" s="40">
        <f>IFERROR(SUMPRODUCT(tFlag*(1),tUPBf,tUWDY)/SUMPRODUCT(tFlag*(1)*ISNUMBER(tUWDY),tUPBf),0)</f>
        <v/>
      </c>
      <c r="N193" s="40">
        <f>IFERROR(SUMPRODUCT(tFlag*(1),tUPBf,tCurDY)/SUMPRODUCT(tFlag*(1)*ISNUMBER(tCurDY),tUPBf),0)</f>
        <v/>
      </c>
      <c r="O193" s="40">
        <f>IFERROR(SUMPRODUCT(tFlag*(1),tUPBf,tOcc)/SUMPRODUCT(tFlag*(1)*ISNUMBER(tOcc),tUPBf),0)</f>
        <v/>
      </c>
      <c r="P193" s="43">
        <f>IFERROR(SUMPRODUCT(tFlag*(1),tUPBf,tRem)/SUMPRODUCT(tFlag*(1)*ISNUMBER(tRem),tUPBf),0)</f>
        <v/>
      </c>
      <c r="Q193" s="40">
        <f>IFERROR(SUMPRODUCT(tFlag*(1),tUPBf,tFIO)/$E193,0)</f>
        <v/>
      </c>
      <c r="R193" s="40">
        <f>IFERROR(SUMPRODUCT(tFlag*(1),tUPBf,tDefF)/$E193,0)</f>
        <v/>
      </c>
      <c r="S193" s="40">
        <f>IFERROR(SUMPRODUCT(tFlag*(1),tUPBf,tSSF)/$E193,0)</f>
        <v/>
      </c>
      <c r="T193" s="40">
        <f>IFERROR(SUMPRODUCT(tFlag*(1),tUPBf,tDQ)/$E193,0)</f>
        <v/>
      </c>
      <c r="U193" s="40">
        <f>IFERROR(SUMPRODUCT(tFlag*(1),tUPBf,tWLF)/$E193,0)</f>
        <v/>
      </c>
    </row>
    <row r="195" ht="15" customHeight="1">
      <c r="B195" s="2" t="inlineStr">
        <is>
          <t>GROSS COUPON</t>
        </is>
      </c>
      <c r="C195" s="3" t="n"/>
      <c r="D195" s="3" t="n"/>
      <c r="E195" s="3" t="n"/>
      <c r="F195" s="3" t="n"/>
      <c r="G195" s="3" t="n"/>
      <c r="H195" s="3" t="n"/>
      <c r="I195" s="3" t="n"/>
      <c r="J195" s="3" t="n"/>
      <c r="K195" s="3" t="n"/>
      <c r="L195" s="3" t="n"/>
      <c r="M195" s="3" t="n"/>
      <c r="N195" s="3" t="n"/>
      <c r="O195" s="3" t="n"/>
      <c r="P195" s="3" t="n"/>
      <c r="Q195" s="3" t="n"/>
      <c r="R195" s="3" t="n"/>
      <c r="S195" s="3" t="n"/>
      <c r="T195" s="3" t="n"/>
      <c r="U195" s="3" t="n"/>
    </row>
    <row r="196" ht="39.75" customHeight="1">
      <c r="B196" s="15" t="inlineStr">
        <is>
          <t>Bucket</t>
        </is>
      </c>
      <c r="C196" s="16" t="inlineStr">
        <is>
          <t>Number of Loans</t>
        </is>
      </c>
      <c r="D196" s="16" t="inlineStr">
        <is>
          <t>% of Loans</t>
        </is>
      </c>
      <c r="E196" s="16" t="inlineStr">
        <is>
          <t>Current UPB</t>
        </is>
      </c>
      <c r="F196" s="16" t="inlineStr">
        <is>
          <t>% of UPB</t>
        </is>
      </c>
      <c r="G196" s="16" t="inlineStr">
        <is>
          <t>Average Loan Size</t>
        </is>
      </c>
      <c r="H196" s="16" t="inlineStr">
        <is>
          <t>Wtd. Avg. Gross Coupon</t>
        </is>
      </c>
      <c r="I196" s="16" t="inlineStr">
        <is>
          <t>Wtd. Avg. UW NCF DSCR</t>
        </is>
      </c>
      <c r="J196" s="16" t="inlineStr">
        <is>
          <t>Wtd. Avg. Current NCF DSCR</t>
        </is>
      </c>
      <c r="K196" s="16" t="inlineStr">
        <is>
          <t>Wtd. Avg. UW LTV</t>
        </is>
      </c>
      <c r="L196" s="16" t="inlineStr">
        <is>
          <t>Wtd. Avg. Current LTV</t>
        </is>
      </c>
      <c r="M196" s="16" t="inlineStr">
        <is>
          <t>Wtd. Avg. UW NCF Debt Yield</t>
        </is>
      </c>
      <c r="N196" s="16" t="inlineStr">
        <is>
          <t>Wtd. Avg. Current NCF Debt Yield</t>
        </is>
      </c>
      <c r="O196" s="16" t="inlineStr">
        <is>
          <t>Wtd. Avg. Current Occupancy</t>
        </is>
      </c>
      <c r="P196" s="16" t="inlineStr">
        <is>
          <t>Wtd. Avg. Rem. Term (Mo.)</t>
        </is>
      </c>
      <c r="Q196" s="16" t="inlineStr">
        <is>
          <t>% Full IO</t>
        </is>
      </c>
      <c r="R196" s="16" t="inlineStr">
        <is>
          <t>% Defeased</t>
        </is>
      </c>
      <c r="S196" s="16" t="inlineStr">
        <is>
          <t>% Currently Specially Serviced</t>
        </is>
      </c>
      <c r="T196" s="16" t="inlineStr">
        <is>
          <t>% 30+ Delinq. / FC / REO</t>
        </is>
      </c>
      <c r="U196" s="16" t="inlineStr">
        <is>
          <t>% On Watchlist</t>
        </is>
      </c>
      <c r="W196" s="17" t="inlineStr">
        <is>
          <t>Lower Bound (&gt;=)</t>
        </is>
      </c>
      <c r="X196" s="17" t="inlineStr">
        <is>
          <t>Upper Bound (&lt;)</t>
        </is>
      </c>
    </row>
    <row r="197">
      <c r="B197" s="18" t="inlineStr">
        <is>
          <t>Less than 4.00%</t>
        </is>
      </c>
      <c r="C197" s="19">
        <f>SUMPRODUCT(tFlag*(ISNUMBER(tCpn)*(tCpn&gt;=$W197)*(tCpn&lt;$X197)))</f>
        <v/>
      </c>
      <c r="D197" s="22">
        <f>IFERROR(C197/sLoans,0)</f>
        <v/>
      </c>
      <c r="E197" s="21">
        <f>SUMPRODUCT(tFlag*(ISNUMBER(tCpn)*(tCpn&gt;=$W197)*(tCpn&lt;$X197)),tUPBf)</f>
        <v/>
      </c>
      <c r="F197" s="22">
        <f>IFERROR(E197/sUPB,0)</f>
        <v/>
      </c>
      <c r="G197" s="21">
        <f>IFERROR(E197/C197,0)</f>
        <v/>
      </c>
      <c r="H197" s="23">
        <f>IFERROR(SUMPRODUCT(tFlag*(ISNUMBER(tCpn)*(tCpn&gt;=$W197)*(tCpn&lt;$X197)),tUPBf,tCpn)/SUMPRODUCT(tFlag*(ISNUMBER(tCpn)*(tCpn&gt;=$W197)*(tCpn&lt;$X197))*ISNUMBER(tCpn),tUPBf),0)</f>
        <v/>
      </c>
      <c r="I197" s="24">
        <f>IFERROR(SUMPRODUCT(tFlag*(ISNUMBER(tCpn)*(tCpn&gt;=$W197)*(tCpn&lt;$X197)),tUPBf,tUWDSCR)/SUMPRODUCT(tFlag*(ISNUMBER(tCpn)*(tCpn&gt;=$W197)*(tCpn&lt;$X197))*ISNUMBER(tUWDSCR),tUPBf),0)</f>
        <v/>
      </c>
      <c r="J197" s="24">
        <f>IFERROR(SUMPRODUCT(tFlag*(ISNUMBER(tCpn)*(tCpn&gt;=$W197)*(tCpn&lt;$X197)),tUPBf,tCurDSCR)/SUMPRODUCT(tFlag*(ISNUMBER(tCpn)*(tCpn&gt;=$W197)*(tCpn&lt;$X197))*ISNUMBER(tCurDSCR),tUPBf),0)</f>
        <v/>
      </c>
      <c r="K197" s="22">
        <f>IFERROR(SUMPRODUCT(tFlag*(ISNUMBER(tCpn)*(tCpn&gt;=$W197)*(tCpn&lt;$X197)),tUPBf,tUWLTV)/SUMPRODUCT(tFlag*(ISNUMBER(tCpn)*(tCpn&gt;=$W197)*(tCpn&lt;$X197))*ISNUMBER(tUWLTV),tUPBf),0)</f>
        <v/>
      </c>
      <c r="L197" s="22">
        <f>IFERROR(SUMPRODUCT(tFlag*(ISNUMBER(tCpn)*(tCpn&gt;=$W197)*(tCpn&lt;$X197)),tUPBf,tCurLTV)/SUMPRODUCT(tFlag*(ISNUMBER(tCpn)*(tCpn&gt;=$W197)*(tCpn&lt;$X197))*ISNUMBER(tCurLTV),tUPBf),0)</f>
        <v/>
      </c>
      <c r="M197" s="22">
        <f>IFERROR(SUMPRODUCT(tFlag*(ISNUMBER(tCpn)*(tCpn&gt;=$W197)*(tCpn&lt;$X197)),tUPBf,tUWDY)/SUMPRODUCT(tFlag*(ISNUMBER(tCpn)*(tCpn&gt;=$W197)*(tCpn&lt;$X197))*ISNUMBER(tUWDY),tUPBf),0)</f>
        <v/>
      </c>
      <c r="N197" s="22">
        <f>IFERROR(SUMPRODUCT(tFlag*(ISNUMBER(tCpn)*(tCpn&gt;=$W197)*(tCpn&lt;$X197)),tUPBf,tCurDY)/SUMPRODUCT(tFlag*(ISNUMBER(tCpn)*(tCpn&gt;=$W197)*(tCpn&lt;$X197))*ISNUMBER(tCurDY),tUPBf),0)</f>
        <v/>
      </c>
      <c r="O197" s="22">
        <f>IFERROR(SUMPRODUCT(tFlag*(ISNUMBER(tCpn)*(tCpn&gt;=$W197)*(tCpn&lt;$X197)),tUPBf,tOcc)/SUMPRODUCT(tFlag*(ISNUMBER(tCpn)*(tCpn&gt;=$W197)*(tCpn&lt;$X197))*ISNUMBER(tOcc),tUPBf),0)</f>
        <v/>
      </c>
      <c r="P197" s="45">
        <f>IFERROR(SUMPRODUCT(tFlag*(ISNUMBER(tCpn)*(tCpn&gt;=$W197)*(tCpn&lt;$X197)),tUPBf,tRem)/SUMPRODUCT(tFlag*(ISNUMBER(tCpn)*(tCpn&gt;=$W197)*(tCpn&lt;$X197))*ISNUMBER(tRem),tUPBf),0)</f>
        <v/>
      </c>
      <c r="Q197" s="22">
        <f>IFERROR(SUMPRODUCT(tFlag*(ISNUMBER(tCpn)*(tCpn&gt;=$W197)*(tCpn&lt;$X197)),tUPBf,tFIO)/$E197,0)</f>
        <v/>
      </c>
      <c r="R197" s="22">
        <f>IFERROR(SUMPRODUCT(tFlag*(ISNUMBER(tCpn)*(tCpn&gt;=$W197)*(tCpn&lt;$X197)),tUPBf,tDefF)/$E197,0)</f>
        <v/>
      </c>
      <c r="S197" s="22">
        <f>IFERROR(SUMPRODUCT(tFlag*(ISNUMBER(tCpn)*(tCpn&gt;=$W197)*(tCpn&lt;$X197)),tUPBf,tSSF)/$E197,0)</f>
        <v/>
      </c>
      <c r="T197" s="22">
        <f>IFERROR(SUMPRODUCT(tFlag*(ISNUMBER(tCpn)*(tCpn&gt;=$W197)*(tCpn&lt;$X197)),tUPBf,tDQ)/$E197,0)</f>
        <v/>
      </c>
      <c r="U197" s="22">
        <f>IFERROR(SUMPRODUCT(tFlag*(ISNUMBER(tCpn)*(tCpn&gt;=$W197)*(tCpn&lt;$X197)),tUPBf,tWLF)/$E197,0)</f>
        <v/>
      </c>
      <c r="W197" s="51" t="n">
        <v>-1000000000000</v>
      </c>
      <c r="X197" s="51" t="n">
        <v>0.04</v>
      </c>
    </row>
    <row r="198">
      <c r="B198" s="27" t="inlineStr">
        <is>
          <t>4.00% to 4.25%</t>
        </is>
      </c>
      <c r="C198" s="28">
        <f>SUMPRODUCT(tFlag*(ISNUMBER(tCpn)*(tCpn&gt;=$W198)*(tCpn&lt;$X198)))</f>
        <v/>
      </c>
      <c r="D198" s="31">
        <f>IFERROR(C198/sLoans,0)</f>
        <v/>
      </c>
      <c r="E198" s="30">
        <f>SUMPRODUCT(tFlag*(ISNUMBER(tCpn)*(tCpn&gt;=$W198)*(tCpn&lt;$X198)),tUPBf)</f>
        <v/>
      </c>
      <c r="F198" s="31">
        <f>IFERROR(E198/sUPB,0)</f>
        <v/>
      </c>
      <c r="G198" s="30">
        <f>IFERROR(E198/C198,0)</f>
        <v/>
      </c>
      <c r="H198" s="32">
        <f>IFERROR(SUMPRODUCT(tFlag*(ISNUMBER(tCpn)*(tCpn&gt;=$W198)*(tCpn&lt;$X198)),tUPBf,tCpn)/SUMPRODUCT(tFlag*(ISNUMBER(tCpn)*(tCpn&gt;=$W198)*(tCpn&lt;$X198))*ISNUMBER(tCpn),tUPBf),0)</f>
        <v/>
      </c>
      <c r="I198" s="33">
        <f>IFERROR(SUMPRODUCT(tFlag*(ISNUMBER(tCpn)*(tCpn&gt;=$W198)*(tCpn&lt;$X198)),tUPBf,tUWDSCR)/SUMPRODUCT(tFlag*(ISNUMBER(tCpn)*(tCpn&gt;=$W198)*(tCpn&lt;$X198))*ISNUMBER(tUWDSCR),tUPBf),0)</f>
        <v/>
      </c>
      <c r="J198" s="33">
        <f>IFERROR(SUMPRODUCT(tFlag*(ISNUMBER(tCpn)*(tCpn&gt;=$W198)*(tCpn&lt;$X198)),tUPBf,tCurDSCR)/SUMPRODUCT(tFlag*(ISNUMBER(tCpn)*(tCpn&gt;=$W198)*(tCpn&lt;$X198))*ISNUMBER(tCurDSCR),tUPBf),0)</f>
        <v/>
      </c>
      <c r="K198" s="31">
        <f>IFERROR(SUMPRODUCT(tFlag*(ISNUMBER(tCpn)*(tCpn&gt;=$W198)*(tCpn&lt;$X198)),tUPBf,tUWLTV)/SUMPRODUCT(tFlag*(ISNUMBER(tCpn)*(tCpn&gt;=$W198)*(tCpn&lt;$X198))*ISNUMBER(tUWLTV),tUPBf),0)</f>
        <v/>
      </c>
      <c r="L198" s="31">
        <f>IFERROR(SUMPRODUCT(tFlag*(ISNUMBER(tCpn)*(tCpn&gt;=$W198)*(tCpn&lt;$X198)),tUPBf,tCurLTV)/SUMPRODUCT(tFlag*(ISNUMBER(tCpn)*(tCpn&gt;=$W198)*(tCpn&lt;$X198))*ISNUMBER(tCurLTV),tUPBf),0)</f>
        <v/>
      </c>
      <c r="M198" s="31">
        <f>IFERROR(SUMPRODUCT(tFlag*(ISNUMBER(tCpn)*(tCpn&gt;=$W198)*(tCpn&lt;$X198)),tUPBf,tUWDY)/SUMPRODUCT(tFlag*(ISNUMBER(tCpn)*(tCpn&gt;=$W198)*(tCpn&lt;$X198))*ISNUMBER(tUWDY),tUPBf),0)</f>
        <v/>
      </c>
      <c r="N198" s="31">
        <f>IFERROR(SUMPRODUCT(tFlag*(ISNUMBER(tCpn)*(tCpn&gt;=$W198)*(tCpn&lt;$X198)),tUPBf,tCurDY)/SUMPRODUCT(tFlag*(ISNUMBER(tCpn)*(tCpn&gt;=$W198)*(tCpn&lt;$X198))*ISNUMBER(tCurDY),tUPBf),0)</f>
        <v/>
      </c>
      <c r="O198" s="31">
        <f>IFERROR(SUMPRODUCT(tFlag*(ISNUMBER(tCpn)*(tCpn&gt;=$W198)*(tCpn&lt;$X198)),tUPBf,tOcc)/SUMPRODUCT(tFlag*(ISNUMBER(tCpn)*(tCpn&gt;=$W198)*(tCpn&lt;$X198))*ISNUMBER(tOcc),tUPBf),0)</f>
        <v/>
      </c>
      <c r="P198" s="47">
        <f>IFERROR(SUMPRODUCT(tFlag*(ISNUMBER(tCpn)*(tCpn&gt;=$W198)*(tCpn&lt;$X198)),tUPBf,tRem)/SUMPRODUCT(tFlag*(ISNUMBER(tCpn)*(tCpn&gt;=$W198)*(tCpn&lt;$X198))*ISNUMBER(tRem),tUPBf),0)</f>
        <v/>
      </c>
      <c r="Q198" s="31">
        <f>IFERROR(SUMPRODUCT(tFlag*(ISNUMBER(tCpn)*(tCpn&gt;=$W198)*(tCpn&lt;$X198)),tUPBf,tFIO)/$E198,0)</f>
        <v/>
      </c>
      <c r="R198" s="31">
        <f>IFERROR(SUMPRODUCT(tFlag*(ISNUMBER(tCpn)*(tCpn&gt;=$W198)*(tCpn&lt;$X198)),tUPBf,tDefF)/$E198,0)</f>
        <v/>
      </c>
      <c r="S198" s="31">
        <f>IFERROR(SUMPRODUCT(tFlag*(ISNUMBER(tCpn)*(tCpn&gt;=$W198)*(tCpn&lt;$X198)),tUPBf,tSSF)/$E198,0)</f>
        <v/>
      </c>
      <c r="T198" s="31">
        <f>IFERROR(SUMPRODUCT(tFlag*(ISNUMBER(tCpn)*(tCpn&gt;=$W198)*(tCpn&lt;$X198)),tUPBf,tDQ)/$E198,0)</f>
        <v/>
      </c>
      <c r="U198" s="31">
        <f>IFERROR(SUMPRODUCT(tFlag*(ISNUMBER(tCpn)*(tCpn&gt;=$W198)*(tCpn&lt;$X198)),tUPBf,tWLF)/$E198,0)</f>
        <v/>
      </c>
      <c r="W198" s="51" t="n">
        <v>0.04</v>
      </c>
      <c r="X198" s="51" t="n">
        <v>0.0425</v>
      </c>
    </row>
    <row r="199">
      <c r="B199" s="18" t="inlineStr">
        <is>
          <t>4.25% to 4.50%</t>
        </is>
      </c>
      <c r="C199" s="19">
        <f>SUMPRODUCT(tFlag*(ISNUMBER(tCpn)*(tCpn&gt;=$W199)*(tCpn&lt;$X199)))</f>
        <v/>
      </c>
      <c r="D199" s="22">
        <f>IFERROR(C199/sLoans,0)</f>
        <v/>
      </c>
      <c r="E199" s="21">
        <f>SUMPRODUCT(tFlag*(ISNUMBER(tCpn)*(tCpn&gt;=$W199)*(tCpn&lt;$X199)),tUPBf)</f>
        <v/>
      </c>
      <c r="F199" s="22">
        <f>IFERROR(E199/sUPB,0)</f>
        <v/>
      </c>
      <c r="G199" s="21">
        <f>IFERROR(E199/C199,0)</f>
        <v/>
      </c>
      <c r="H199" s="23">
        <f>IFERROR(SUMPRODUCT(tFlag*(ISNUMBER(tCpn)*(tCpn&gt;=$W199)*(tCpn&lt;$X199)),tUPBf,tCpn)/SUMPRODUCT(tFlag*(ISNUMBER(tCpn)*(tCpn&gt;=$W199)*(tCpn&lt;$X199))*ISNUMBER(tCpn),tUPBf),0)</f>
        <v/>
      </c>
      <c r="I199" s="24">
        <f>IFERROR(SUMPRODUCT(tFlag*(ISNUMBER(tCpn)*(tCpn&gt;=$W199)*(tCpn&lt;$X199)),tUPBf,tUWDSCR)/SUMPRODUCT(tFlag*(ISNUMBER(tCpn)*(tCpn&gt;=$W199)*(tCpn&lt;$X199))*ISNUMBER(tUWDSCR),tUPBf),0)</f>
        <v/>
      </c>
      <c r="J199" s="24">
        <f>IFERROR(SUMPRODUCT(tFlag*(ISNUMBER(tCpn)*(tCpn&gt;=$W199)*(tCpn&lt;$X199)),tUPBf,tCurDSCR)/SUMPRODUCT(tFlag*(ISNUMBER(tCpn)*(tCpn&gt;=$W199)*(tCpn&lt;$X199))*ISNUMBER(tCurDSCR),tUPBf),0)</f>
        <v/>
      </c>
      <c r="K199" s="22">
        <f>IFERROR(SUMPRODUCT(tFlag*(ISNUMBER(tCpn)*(tCpn&gt;=$W199)*(tCpn&lt;$X199)),tUPBf,tUWLTV)/SUMPRODUCT(tFlag*(ISNUMBER(tCpn)*(tCpn&gt;=$W199)*(tCpn&lt;$X199))*ISNUMBER(tUWLTV),tUPBf),0)</f>
        <v/>
      </c>
      <c r="L199" s="22">
        <f>IFERROR(SUMPRODUCT(tFlag*(ISNUMBER(tCpn)*(tCpn&gt;=$W199)*(tCpn&lt;$X199)),tUPBf,tCurLTV)/SUMPRODUCT(tFlag*(ISNUMBER(tCpn)*(tCpn&gt;=$W199)*(tCpn&lt;$X199))*ISNUMBER(tCurLTV),tUPBf),0)</f>
        <v/>
      </c>
      <c r="M199" s="22">
        <f>IFERROR(SUMPRODUCT(tFlag*(ISNUMBER(tCpn)*(tCpn&gt;=$W199)*(tCpn&lt;$X199)),tUPBf,tUWDY)/SUMPRODUCT(tFlag*(ISNUMBER(tCpn)*(tCpn&gt;=$W199)*(tCpn&lt;$X199))*ISNUMBER(tUWDY),tUPBf),0)</f>
        <v/>
      </c>
      <c r="N199" s="22">
        <f>IFERROR(SUMPRODUCT(tFlag*(ISNUMBER(tCpn)*(tCpn&gt;=$W199)*(tCpn&lt;$X199)),tUPBf,tCurDY)/SUMPRODUCT(tFlag*(ISNUMBER(tCpn)*(tCpn&gt;=$W199)*(tCpn&lt;$X199))*ISNUMBER(tCurDY),tUPBf),0)</f>
        <v/>
      </c>
      <c r="O199" s="22">
        <f>IFERROR(SUMPRODUCT(tFlag*(ISNUMBER(tCpn)*(tCpn&gt;=$W199)*(tCpn&lt;$X199)),tUPBf,tOcc)/SUMPRODUCT(tFlag*(ISNUMBER(tCpn)*(tCpn&gt;=$W199)*(tCpn&lt;$X199))*ISNUMBER(tOcc),tUPBf),0)</f>
        <v/>
      </c>
      <c r="P199" s="45">
        <f>IFERROR(SUMPRODUCT(tFlag*(ISNUMBER(tCpn)*(tCpn&gt;=$W199)*(tCpn&lt;$X199)),tUPBf,tRem)/SUMPRODUCT(tFlag*(ISNUMBER(tCpn)*(tCpn&gt;=$W199)*(tCpn&lt;$X199))*ISNUMBER(tRem),tUPBf),0)</f>
        <v/>
      </c>
      <c r="Q199" s="22">
        <f>IFERROR(SUMPRODUCT(tFlag*(ISNUMBER(tCpn)*(tCpn&gt;=$W199)*(tCpn&lt;$X199)),tUPBf,tFIO)/$E199,0)</f>
        <v/>
      </c>
      <c r="R199" s="22">
        <f>IFERROR(SUMPRODUCT(tFlag*(ISNUMBER(tCpn)*(tCpn&gt;=$W199)*(tCpn&lt;$X199)),tUPBf,tDefF)/$E199,0)</f>
        <v/>
      </c>
      <c r="S199" s="22">
        <f>IFERROR(SUMPRODUCT(tFlag*(ISNUMBER(tCpn)*(tCpn&gt;=$W199)*(tCpn&lt;$X199)),tUPBf,tSSF)/$E199,0)</f>
        <v/>
      </c>
      <c r="T199" s="22">
        <f>IFERROR(SUMPRODUCT(tFlag*(ISNUMBER(tCpn)*(tCpn&gt;=$W199)*(tCpn&lt;$X199)),tUPBf,tDQ)/$E199,0)</f>
        <v/>
      </c>
      <c r="U199" s="22">
        <f>IFERROR(SUMPRODUCT(tFlag*(ISNUMBER(tCpn)*(tCpn&gt;=$W199)*(tCpn&lt;$X199)),tUPBf,tWLF)/$E199,0)</f>
        <v/>
      </c>
      <c r="W199" s="51" t="n">
        <v>0.0425</v>
      </c>
      <c r="X199" s="51" t="n">
        <v>0.045</v>
      </c>
    </row>
    <row r="200">
      <c r="B200" s="27" t="inlineStr">
        <is>
          <t>4.50% to 4.75%</t>
        </is>
      </c>
      <c r="C200" s="28">
        <f>SUMPRODUCT(tFlag*(ISNUMBER(tCpn)*(tCpn&gt;=$W200)*(tCpn&lt;$X200)))</f>
        <v/>
      </c>
      <c r="D200" s="31">
        <f>IFERROR(C200/sLoans,0)</f>
        <v/>
      </c>
      <c r="E200" s="30">
        <f>SUMPRODUCT(tFlag*(ISNUMBER(tCpn)*(tCpn&gt;=$W200)*(tCpn&lt;$X200)),tUPBf)</f>
        <v/>
      </c>
      <c r="F200" s="31">
        <f>IFERROR(E200/sUPB,0)</f>
        <v/>
      </c>
      <c r="G200" s="30">
        <f>IFERROR(E200/C200,0)</f>
        <v/>
      </c>
      <c r="H200" s="32">
        <f>IFERROR(SUMPRODUCT(tFlag*(ISNUMBER(tCpn)*(tCpn&gt;=$W200)*(tCpn&lt;$X200)),tUPBf,tCpn)/SUMPRODUCT(tFlag*(ISNUMBER(tCpn)*(tCpn&gt;=$W200)*(tCpn&lt;$X200))*ISNUMBER(tCpn),tUPBf),0)</f>
        <v/>
      </c>
      <c r="I200" s="33">
        <f>IFERROR(SUMPRODUCT(tFlag*(ISNUMBER(tCpn)*(tCpn&gt;=$W200)*(tCpn&lt;$X200)),tUPBf,tUWDSCR)/SUMPRODUCT(tFlag*(ISNUMBER(tCpn)*(tCpn&gt;=$W200)*(tCpn&lt;$X200))*ISNUMBER(tUWDSCR),tUPBf),0)</f>
        <v/>
      </c>
      <c r="J200" s="33">
        <f>IFERROR(SUMPRODUCT(tFlag*(ISNUMBER(tCpn)*(tCpn&gt;=$W200)*(tCpn&lt;$X200)),tUPBf,tCurDSCR)/SUMPRODUCT(tFlag*(ISNUMBER(tCpn)*(tCpn&gt;=$W200)*(tCpn&lt;$X200))*ISNUMBER(tCurDSCR),tUPBf),0)</f>
        <v/>
      </c>
      <c r="K200" s="31">
        <f>IFERROR(SUMPRODUCT(tFlag*(ISNUMBER(tCpn)*(tCpn&gt;=$W200)*(tCpn&lt;$X200)),tUPBf,tUWLTV)/SUMPRODUCT(tFlag*(ISNUMBER(tCpn)*(tCpn&gt;=$W200)*(tCpn&lt;$X200))*ISNUMBER(tUWLTV),tUPBf),0)</f>
        <v/>
      </c>
      <c r="L200" s="31">
        <f>IFERROR(SUMPRODUCT(tFlag*(ISNUMBER(tCpn)*(tCpn&gt;=$W200)*(tCpn&lt;$X200)),tUPBf,tCurLTV)/SUMPRODUCT(tFlag*(ISNUMBER(tCpn)*(tCpn&gt;=$W200)*(tCpn&lt;$X200))*ISNUMBER(tCurLTV),tUPBf),0)</f>
        <v/>
      </c>
      <c r="M200" s="31">
        <f>IFERROR(SUMPRODUCT(tFlag*(ISNUMBER(tCpn)*(tCpn&gt;=$W200)*(tCpn&lt;$X200)),tUPBf,tUWDY)/SUMPRODUCT(tFlag*(ISNUMBER(tCpn)*(tCpn&gt;=$W200)*(tCpn&lt;$X200))*ISNUMBER(tUWDY),tUPBf),0)</f>
        <v/>
      </c>
      <c r="N200" s="31">
        <f>IFERROR(SUMPRODUCT(tFlag*(ISNUMBER(tCpn)*(tCpn&gt;=$W200)*(tCpn&lt;$X200)),tUPBf,tCurDY)/SUMPRODUCT(tFlag*(ISNUMBER(tCpn)*(tCpn&gt;=$W200)*(tCpn&lt;$X200))*ISNUMBER(tCurDY),tUPBf),0)</f>
        <v/>
      </c>
      <c r="O200" s="31">
        <f>IFERROR(SUMPRODUCT(tFlag*(ISNUMBER(tCpn)*(tCpn&gt;=$W200)*(tCpn&lt;$X200)),tUPBf,tOcc)/SUMPRODUCT(tFlag*(ISNUMBER(tCpn)*(tCpn&gt;=$W200)*(tCpn&lt;$X200))*ISNUMBER(tOcc),tUPBf),0)</f>
        <v/>
      </c>
      <c r="P200" s="47">
        <f>IFERROR(SUMPRODUCT(tFlag*(ISNUMBER(tCpn)*(tCpn&gt;=$W200)*(tCpn&lt;$X200)),tUPBf,tRem)/SUMPRODUCT(tFlag*(ISNUMBER(tCpn)*(tCpn&gt;=$W200)*(tCpn&lt;$X200))*ISNUMBER(tRem),tUPBf),0)</f>
        <v/>
      </c>
      <c r="Q200" s="31">
        <f>IFERROR(SUMPRODUCT(tFlag*(ISNUMBER(tCpn)*(tCpn&gt;=$W200)*(tCpn&lt;$X200)),tUPBf,tFIO)/$E200,0)</f>
        <v/>
      </c>
      <c r="R200" s="31">
        <f>IFERROR(SUMPRODUCT(tFlag*(ISNUMBER(tCpn)*(tCpn&gt;=$W200)*(tCpn&lt;$X200)),tUPBf,tDefF)/$E200,0)</f>
        <v/>
      </c>
      <c r="S200" s="31">
        <f>IFERROR(SUMPRODUCT(tFlag*(ISNUMBER(tCpn)*(tCpn&gt;=$W200)*(tCpn&lt;$X200)),tUPBf,tSSF)/$E200,0)</f>
        <v/>
      </c>
      <c r="T200" s="31">
        <f>IFERROR(SUMPRODUCT(tFlag*(ISNUMBER(tCpn)*(tCpn&gt;=$W200)*(tCpn&lt;$X200)),tUPBf,tDQ)/$E200,0)</f>
        <v/>
      </c>
      <c r="U200" s="31">
        <f>IFERROR(SUMPRODUCT(tFlag*(ISNUMBER(tCpn)*(tCpn&gt;=$W200)*(tCpn&lt;$X200)),tUPBf,tWLF)/$E200,0)</f>
        <v/>
      </c>
      <c r="W200" s="51" t="n">
        <v>0.045</v>
      </c>
      <c r="X200" s="51" t="n">
        <v>0.0475</v>
      </c>
    </row>
    <row r="201">
      <c r="B201" s="18" t="inlineStr">
        <is>
          <t>4.75% to 5.00%</t>
        </is>
      </c>
      <c r="C201" s="19">
        <f>SUMPRODUCT(tFlag*(ISNUMBER(tCpn)*(tCpn&gt;=$W201)*(tCpn&lt;$X201)))</f>
        <v/>
      </c>
      <c r="D201" s="22">
        <f>IFERROR(C201/sLoans,0)</f>
        <v/>
      </c>
      <c r="E201" s="21">
        <f>SUMPRODUCT(tFlag*(ISNUMBER(tCpn)*(tCpn&gt;=$W201)*(tCpn&lt;$X201)),tUPBf)</f>
        <v/>
      </c>
      <c r="F201" s="22">
        <f>IFERROR(E201/sUPB,0)</f>
        <v/>
      </c>
      <c r="G201" s="21">
        <f>IFERROR(E201/C201,0)</f>
        <v/>
      </c>
      <c r="H201" s="23">
        <f>IFERROR(SUMPRODUCT(tFlag*(ISNUMBER(tCpn)*(tCpn&gt;=$W201)*(tCpn&lt;$X201)),tUPBf,tCpn)/SUMPRODUCT(tFlag*(ISNUMBER(tCpn)*(tCpn&gt;=$W201)*(tCpn&lt;$X201))*ISNUMBER(tCpn),tUPBf),0)</f>
        <v/>
      </c>
      <c r="I201" s="24">
        <f>IFERROR(SUMPRODUCT(tFlag*(ISNUMBER(tCpn)*(tCpn&gt;=$W201)*(tCpn&lt;$X201)),tUPBf,tUWDSCR)/SUMPRODUCT(tFlag*(ISNUMBER(tCpn)*(tCpn&gt;=$W201)*(tCpn&lt;$X201))*ISNUMBER(tUWDSCR),tUPBf),0)</f>
        <v/>
      </c>
      <c r="J201" s="24">
        <f>IFERROR(SUMPRODUCT(tFlag*(ISNUMBER(tCpn)*(tCpn&gt;=$W201)*(tCpn&lt;$X201)),tUPBf,tCurDSCR)/SUMPRODUCT(tFlag*(ISNUMBER(tCpn)*(tCpn&gt;=$W201)*(tCpn&lt;$X201))*ISNUMBER(tCurDSCR),tUPBf),0)</f>
        <v/>
      </c>
      <c r="K201" s="22">
        <f>IFERROR(SUMPRODUCT(tFlag*(ISNUMBER(tCpn)*(tCpn&gt;=$W201)*(tCpn&lt;$X201)),tUPBf,tUWLTV)/SUMPRODUCT(tFlag*(ISNUMBER(tCpn)*(tCpn&gt;=$W201)*(tCpn&lt;$X201))*ISNUMBER(tUWLTV),tUPBf),0)</f>
        <v/>
      </c>
      <c r="L201" s="22">
        <f>IFERROR(SUMPRODUCT(tFlag*(ISNUMBER(tCpn)*(tCpn&gt;=$W201)*(tCpn&lt;$X201)),tUPBf,tCurLTV)/SUMPRODUCT(tFlag*(ISNUMBER(tCpn)*(tCpn&gt;=$W201)*(tCpn&lt;$X201))*ISNUMBER(tCurLTV),tUPBf),0)</f>
        <v/>
      </c>
      <c r="M201" s="22">
        <f>IFERROR(SUMPRODUCT(tFlag*(ISNUMBER(tCpn)*(tCpn&gt;=$W201)*(tCpn&lt;$X201)),tUPBf,tUWDY)/SUMPRODUCT(tFlag*(ISNUMBER(tCpn)*(tCpn&gt;=$W201)*(tCpn&lt;$X201))*ISNUMBER(tUWDY),tUPBf),0)</f>
        <v/>
      </c>
      <c r="N201" s="22">
        <f>IFERROR(SUMPRODUCT(tFlag*(ISNUMBER(tCpn)*(tCpn&gt;=$W201)*(tCpn&lt;$X201)),tUPBf,tCurDY)/SUMPRODUCT(tFlag*(ISNUMBER(tCpn)*(tCpn&gt;=$W201)*(tCpn&lt;$X201))*ISNUMBER(tCurDY),tUPBf),0)</f>
        <v/>
      </c>
      <c r="O201" s="22">
        <f>IFERROR(SUMPRODUCT(tFlag*(ISNUMBER(tCpn)*(tCpn&gt;=$W201)*(tCpn&lt;$X201)),tUPBf,tOcc)/SUMPRODUCT(tFlag*(ISNUMBER(tCpn)*(tCpn&gt;=$W201)*(tCpn&lt;$X201))*ISNUMBER(tOcc),tUPBf),0)</f>
        <v/>
      </c>
      <c r="P201" s="45">
        <f>IFERROR(SUMPRODUCT(tFlag*(ISNUMBER(tCpn)*(tCpn&gt;=$W201)*(tCpn&lt;$X201)),tUPBf,tRem)/SUMPRODUCT(tFlag*(ISNUMBER(tCpn)*(tCpn&gt;=$W201)*(tCpn&lt;$X201))*ISNUMBER(tRem),tUPBf),0)</f>
        <v/>
      </c>
      <c r="Q201" s="22">
        <f>IFERROR(SUMPRODUCT(tFlag*(ISNUMBER(tCpn)*(tCpn&gt;=$W201)*(tCpn&lt;$X201)),tUPBf,tFIO)/$E201,0)</f>
        <v/>
      </c>
      <c r="R201" s="22">
        <f>IFERROR(SUMPRODUCT(tFlag*(ISNUMBER(tCpn)*(tCpn&gt;=$W201)*(tCpn&lt;$X201)),tUPBf,tDefF)/$E201,0)</f>
        <v/>
      </c>
      <c r="S201" s="22">
        <f>IFERROR(SUMPRODUCT(tFlag*(ISNUMBER(tCpn)*(tCpn&gt;=$W201)*(tCpn&lt;$X201)),tUPBf,tSSF)/$E201,0)</f>
        <v/>
      </c>
      <c r="T201" s="22">
        <f>IFERROR(SUMPRODUCT(tFlag*(ISNUMBER(tCpn)*(tCpn&gt;=$W201)*(tCpn&lt;$X201)),tUPBf,tDQ)/$E201,0)</f>
        <v/>
      </c>
      <c r="U201" s="22">
        <f>IFERROR(SUMPRODUCT(tFlag*(ISNUMBER(tCpn)*(tCpn&gt;=$W201)*(tCpn&lt;$X201)),tUPBf,tWLF)/$E201,0)</f>
        <v/>
      </c>
      <c r="W201" s="51" t="n">
        <v>0.0475</v>
      </c>
      <c r="X201" s="51" t="n">
        <v>0.05</v>
      </c>
    </row>
    <row r="202">
      <c r="B202" s="27" t="inlineStr">
        <is>
          <t>5.00% to 5.25%</t>
        </is>
      </c>
      <c r="C202" s="28">
        <f>SUMPRODUCT(tFlag*(ISNUMBER(tCpn)*(tCpn&gt;=$W202)*(tCpn&lt;$X202)))</f>
        <v/>
      </c>
      <c r="D202" s="31">
        <f>IFERROR(C202/sLoans,0)</f>
        <v/>
      </c>
      <c r="E202" s="30">
        <f>SUMPRODUCT(tFlag*(ISNUMBER(tCpn)*(tCpn&gt;=$W202)*(tCpn&lt;$X202)),tUPBf)</f>
        <v/>
      </c>
      <c r="F202" s="31">
        <f>IFERROR(E202/sUPB,0)</f>
        <v/>
      </c>
      <c r="G202" s="30">
        <f>IFERROR(E202/C202,0)</f>
        <v/>
      </c>
      <c r="H202" s="32">
        <f>IFERROR(SUMPRODUCT(tFlag*(ISNUMBER(tCpn)*(tCpn&gt;=$W202)*(tCpn&lt;$X202)),tUPBf,tCpn)/SUMPRODUCT(tFlag*(ISNUMBER(tCpn)*(tCpn&gt;=$W202)*(tCpn&lt;$X202))*ISNUMBER(tCpn),tUPBf),0)</f>
        <v/>
      </c>
      <c r="I202" s="33">
        <f>IFERROR(SUMPRODUCT(tFlag*(ISNUMBER(tCpn)*(tCpn&gt;=$W202)*(tCpn&lt;$X202)),tUPBf,tUWDSCR)/SUMPRODUCT(tFlag*(ISNUMBER(tCpn)*(tCpn&gt;=$W202)*(tCpn&lt;$X202))*ISNUMBER(tUWDSCR),tUPBf),0)</f>
        <v/>
      </c>
      <c r="J202" s="33">
        <f>IFERROR(SUMPRODUCT(tFlag*(ISNUMBER(tCpn)*(tCpn&gt;=$W202)*(tCpn&lt;$X202)),tUPBf,tCurDSCR)/SUMPRODUCT(tFlag*(ISNUMBER(tCpn)*(tCpn&gt;=$W202)*(tCpn&lt;$X202))*ISNUMBER(tCurDSCR),tUPBf),0)</f>
        <v/>
      </c>
      <c r="K202" s="31">
        <f>IFERROR(SUMPRODUCT(tFlag*(ISNUMBER(tCpn)*(tCpn&gt;=$W202)*(tCpn&lt;$X202)),tUPBf,tUWLTV)/SUMPRODUCT(tFlag*(ISNUMBER(tCpn)*(tCpn&gt;=$W202)*(tCpn&lt;$X202))*ISNUMBER(tUWLTV),tUPBf),0)</f>
        <v/>
      </c>
      <c r="L202" s="31">
        <f>IFERROR(SUMPRODUCT(tFlag*(ISNUMBER(tCpn)*(tCpn&gt;=$W202)*(tCpn&lt;$X202)),tUPBf,tCurLTV)/SUMPRODUCT(tFlag*(ISNUMBER(tCpn)*(tCpn&gt;=$W202)*(tCpn&lt;$X202))*ISNUMBER(tCurLTV),tUPBf),0)</f>
        <v/>
      </c>
      <c r="M202" s="31">
        <f>IFERROR(SUMPRODUCT(tFlag*(ISNUMBER(tCpn)*(tCpn&gt;=$W202)*(tCpn&lt;$X202)),tUPBf,tUWDY)/SUMPRODUCT(tFlag*(ISNUMBER(tCpn)*(tCpn&gt;=$W202)*(tCpn&lt;$X202))*ISNUMBER(tUWDY),tUPBf),0)</f>
        <v/>
      </c>
      <c r="N202" s="31">
        <f>IFERROR(SUMPRODUCT(tFlag*(ISNUMBER(tCpn)*(tCpn&gt;=$W202)*(tCpn&lt;$X202)),tUPBf,tCurDY)/SUMPRODUCT(tFlag*(ISNUMBER(tCpn)*(tCpn&gt;=$W202)*(tCpn&lt;$X202))*ISNUMBER(tCurDY),tUPBf),0)</f>
        <v/>
      </c>
      <c r="O202" s="31">
        <f>IFERROR(SUMPRODUCT(tFlag*(ISNUMBER(tCpn)*(tCpn&gt;=$W202)*(tCpn&lt;$X202)),tUPBf,tOcc)/SUMPRODUCT(tFlag*(ISNUMBER(tCpn)*(tCpn&gt;=$W202)*(tCpn&lt;$X202))*ISNUMBER(tOcc),tUPBf),0)</f>
        <v/>
      </c>
      <c r="P202" s="47">
        <f>IFERROR(SUMPRODUCT(tFlag*(ISNUMBER(tCpn)*(tCpn&gt;=$W202)*(tCpn&lt;$X202)),tUPBf,tRem)/SUMPRODUCT(tFlag*(ISNUMBER(tCpn)*(tCpn&gt;=$W202)*(tCpn&lt;$X202))*ISNUMBER(tRem),tUPBf),0)</f>
        <v/>
      </c>
      <c r="Q202" s="31">
        <f>IFERROR(SUMPRODUCT(tFlag*(ISNUMBER(tCpn)*(tCpn&gt;=$W202)*(tCpn&lt;$X202)),tUPBf,tFIO)/$E202,0)</f>
        <v/>
      </c>
      <c r="R202" s="31">
        <f>IFERROR(SUMPRODUCT(tFlag*(ISNUMBER(tCpn)*(tCpn&gt;=$W202)*(tCpn&lt;$X202)),tUPBf,tDefF)/$E202,0)</f>
        <v/>
      </c>
      <c r="S202" s="31">
        <f>IFERROR(SUMPRODUCT(tFlag*(ISNUMBER(tCpn)*(tCpn&gt;=$W202)*(tCpn&lt;$X202)),tUPBf,tSSF)/$E202,0)</f>
        <v/>
      </c>
      <c r="T202" s="31">
        <f>IFERROR(SUMPRODUCT(tFlag*(ISNUMBER(tCpn)*(tCpn&gt;=$W202)*(tCpn&lt;$X202)),tUPBf,tDQ)/$E202,0)</f>
        <v/>
      </c>
      <c r="U202" s="31">
        <f>IFERROR(SUMPRODUCT(tFlag*(ISNUMBER(tCpn)*(tCpn&gt;=$W202)*(tCpn&lt;$X202)),tUPBf,tWLF)/$E202,0)</f>
        <v/>
      </c>
      <c r="W202" s="51" t="n">
        <v>0.05</v>
      </c>
      <c r="X202" s="51" t="n">
        <v>0.0525</v>
      </c>
    </row>
    <row r="203">
      <c r="B203" s="18" t="inlineStr">
        <is>
          <t>5.25% to 5.50%</t>
        </is>
      </c>
      <c r="C203" s="19">
        <f>SUMPRODUCT(tFlag*(ISNUMBER(tCpn)*(tCpn&gt;=$W203)*(tCpn&lt;$X203)))</f>
        <v/>
      </c>
      <c r="D203" s="22">
        <f>IFERROR(C203/sLoans,0)</f>
        <v/>
      </c>
      <c r="E203" s="21">
        <f>SUMPRODUCT(tFlag*(ISNUMBER(tCpn)*(tCpn&gt;=$W203)*(tCpn&lt;$X203)),tUPBf)</f>
        <v/>
      </c>
      <c r="F203" s="22">
        <f>IFERROR(E203/sUPB,0)</f>
        <v/>
      </c>
      <c r="G203" s="21">
        <f>IFERROR(E203/C203,0)</f>
        <v/>
      </c>
      <c r="H203" s="23">
        <f>IFERROR(SUMPRODUCT(tFlag*(ISNUMBER(tCpn)*(tCpn&gt;=$W203)*(tCpn&lt;$X203)),tUPBf,tCpn)/SUMPRODUCT(tFlag*(ISNUMBER(tCpn)*(tCpn&gt;=$W203)*(tCpn&lt;$X203))*ISNUMBER(tCpn),tUPBf),0)</f>
        <v/>
      </c>
      <c r="I203" s="24">
        <f>IFERROR(SUMPRODUCT(tFlag*(ISNUMBER(tCpn)*(tCpn&gt;=$W203)*(tCpn&lt;$X203)),tUPBf,tUWDSCR)/SUMPRODUCT(tFlag*(ISNUMBER(tCpn)*(tCpn&gt;=$W203)*(tCpn&lt;$X203))*ISNUMBER(tUWDSCR),tUPBf),0)</f>
        <v/>
      </c>
      <c r="J203" s="24">
        <f>IFERROR(SUMPRODUCT(tFlag*(ISNUMBER(tCpn)*(tCpn&gt;=$W203)*(tCpn&lt;$X203)),tUPBf,tCurDSCR)/SUMPRODUCT(tFlag*(ISNUMBER(tCpn)*(tCpn&gt;=$W203)*(tCpn&lt;$X203))*ISNUMBER(tCurDSCR),tUPBf),0)</f>
        <v/>
      </c>
      <c r="K203" s="22">
        <f>IFERROR(SUMPRODUCT(tFlag*(ISNUMBER(tCpn)*(tCpn&gt;=$W203)*(tCpn&lt;$X203)),tUPBf,tUWLTV)/SUMPRODUCT(tFlag*(ISNUMBER(tCpn)*(tCpn&gt;=$W203)*(tCpn&lt;$X203))*ISNUMBER(tUWLTV),tUPBf),0)</f>
        <v/>
      </c>
      <c r="L203" s="22">
        <f>IFERROR(SUMPRODUCT(tFlag*(ISNUMBER(tCpn)*(tCpn&gt;=$W203)*(tCpn&lt;$X203)),tUPBf,tCurLTV)/SUMPRODUCT(tFlag*(ISNUMBER(tCpn)*(tCpn&gt;=$W203)*(tCpn&lt;$X203))*ISNUMBER(tCurLTV),tUPBf),0)</f>
        <v/>
      </c>
      <c r="M203" s="22">
        <f>IFERROR(SUMPRODUCT(tFlag*(ISNUMBER(tCpn)*(tCpn&gt;=$W203)*(tCpn&lt;$X203)),tUPBf,tUWDY)/SUMPRODUCT(tFlag*(ISNUMBER(tCpn)*(tCpn&gt;=$W203)*(tCpn&lt;$X203))*ISNUMBER(tUWDY),tUPBf),0)</f>
        <v/>
      </c>
      <c r="N203" s="22">
        <f>IFERROR(SUMPRODUCT(tFlag*(ISNUMBER(tCpn)*(tCpn&gt;=$W203)*(tCpn&lt;$X203)),tUPBf,tCurDY)/SUMPRODUCT(tFlag*(ISNUMBER(tCpn)*(tCpn&gt;=$W203)*(tCpn&lt;$X203))*ISNUMBER(tCurDY),tUPBf),0)</f>
        <v/>
      </c>
      <c r="O203" s="22">
        <f>IFERROR(SUMPRODUCT(tFlag*(ISNUMBER(tCpn)*(tCpn&gt;=$W203)*(tCpn&lt;$X203)),tUPBf,tOcc)/SUMPRODUCT(tFlag*(ISNUMBER(tCpn)*(tCpn&gt;=$W203)*(tCpn&lt;$X203))*ISNUMBER(tOcc),tUPBf),0)</f>
        <v/>
      </c>
      <c r="P203" s="45">
        <f>IFERROR(SUMPRODUCT(tFlag*(ISNUMBER(tCpn)*(tCpn&gt;=$W203)*(tCpn&lt;$X203)),tUPBf,tRem)/SUMPRODUCT(tFlag*(ISNUMBER(tCpn)*(tCpn&gt;=$W203)*(tCpn&lt;$X203))*ISNUMBER(tRem),tUPBf),0)</f>
        <v/>
      </c>
      <c r="Q203" s="22">
        <f>IFERROR(SUMPRODUCT(tFlag*(ISNUMBER(tCpn)*(tCpn&gt;=$W203)*(tCpn&lt;$X203)),tUPBf,tFIO)/$E203,0)</f>
        <v/>
      </c>
      <c r="R203" s="22">
        <f>IFERROR(SUMPRODUCT(tFlag*(ISNUMBER(tCpn)*(tCpn&gt;=$W203)*(tCpn&lt;$X203)),tUPBf,tDefF)/$E203,0)</f>
        <v/>
      </c>
      <c r="S203" s="22">
        <f>IFERROR(SUMPRODUCT(tFlag*(ISNUMBER(tCpn)*(tCpn&gt;=$W203)*(tCpn&lt;$X203)),tUPBf,tSSF)/$E203,0)</f>
        <v/>
      </c>
      <c r="T203" s="22">
        <f>IFERROR(SUMPRODUCT(tFlag*(ISNUMBER(tCpn)*(tCpn&gt;=$W203)*(tCpn&lt;$X203)),tUPBf,tDQ)/$E203,0)</f>
        <v/>
      </c>
      <c r="U203" s="22">
        <f>IFERROR(SUMPRODUCT(tFlag*(ISNUMBER(tCpn)*(tCpn&gt;=$W203)*(tCpn&lt;$X203)),tUPBf,tWLF)/$E203,0)</f>
        <v/>
      </c>
      <c r="W203" s="51" t="n">
        <v>0.0525</v>
      </c>
      <c r="X203" s="51" t="n">
        <v>0.055</v>
      </c>
    </row>
    <row r="204">
      <c r="B204" s="27" t="inlineStr">
        <is>
          <t>5.50% or Greater</t>
        </is>
      </c>
      <c r="C204" s="28">
        <f>SUMPRODUCT(tFlag*(ISNUMBER(tCpn)*(tCpn&gt;=$W204)*(tCpn&lt;$X204)))</f>
        <v/>
      </c>
      <c r="D204" s="31">
        <f>IFERROR(C204/sLoans,0)</f>
        <v/>
      </c>
      <c r="E204" s="30">
        <f>SUMPRODUCT(tFlag*(ISNUMBER(tCpn)*(tCpn&gt;=$W204)*(tCpn&lt;$X204)),tUPBf)</f>
        <v/>
      </c>
      <c r="F204" s="31">
        <f>IFERROR(E204/sUPB,0)</f>
        <v/>
      </c>
      <c r="G204" s="30">
        <f>IFERROR(E204/C204,0)</f>
        <v/>
      </c>
      <c r="H204" s="32">
        <f>IFERROR(SUMPRODUCT(tFlag*(ISNUMBER(tCpn)*(tCpn&gt;=$W204)*(tCpn&lt;$X204)),tUPBf,tCpn)/SUMPRODUCT(tFlag*(ISNUMBER(tCpn)*(tCpn&gt;=$W204)*(tCpn&lt;$X204))*ISNUMBER(tCpn),tUPBf),0)</f>
        <v/>
      </c>
      <c r="I204" s="33">
        <f>IFERROR(SUMPRODUCT(tFlag*(ISNUMBER(tCpn)*(tCpn&gt;=$W204)*(tCpn&lt;$X204)),tUPBf,tUWDSCR)/SUMPRODUCT(tFlag*(ISNUMBER(tCpn)*(tCpn&gt;=$W204)*(tCpn&lt;$X204))*ISNUMBER(tUWDSCR),tUPBf),0)</f>
        <v/>
      </c>
      <c r="J204" s="33">
        <f>IFERROR(SUMPRODUCT(tFlag*(ISNUMBER(tCpn)*(tCpn&gt;=$W204)*(tCpn&lt;$X204)),tUPBf,tCurDSCR)/SUMPRODUCT(tFlag*(ISNUMBER(tCpn)*(tCpn&gt;=$W204)*(tCpn&lt;$X204))*ISNUMBER(tCurDSCR),tUPBf),0)</f>
        <v/>
      </c>
      <c r="K204" s="31">
        <f>IFERROR(SUMPRODUCT(tFlag*(ISNUMBER(tCpn)*(tCpn&gt;=$W204)*(tCpn&lt;$X204)),tUPBf,tUWLTV)/SUMPRODUCT(tFlag*(ISNUMBER(tCpn)*(tCpn&gt;=$W204)*(tCpn&lt;$X204))*ISNUMBER(tUWLTV),tUPBf),0)</f>
        <v/>
      </c>
      <c r="L204" s="31">
        <f>IFERROR(SUMPRODUCT(tFlag*(ISNUMBER(tCpn)*(tCpn&gt;=$W204)*(tCpn&lt;$X204)),tUPBf,tCurLTV)/SUMPRODUCT(tFlag*(ISNUMBER(tCpn)*(tCpn&gt;=$W204)*(tCpn&lt;$X204))*ISNUMBER(tCurLTV),tUPBf),0)</f>
        <v/>
      </c>
      <c r="M204" s="31">
        <f>IFERROR(SUMPRODUCT(tFlag*(ISNUMBER(tCpn)*(tCpn&gt;=$W204)*(tCpn&lt;$X204)),tUPBf,tUWDY)/SUMPRODUCT(tFlag*(ISNUMBER(tCpn)*(tCpn&gt;=$W204)*(tCpn&lt;$X204))*ISNUMBER(tUWDY),tUPBf),0)</f>
        <v/>
      </c>
      <c r="N204" s="31">
        <f>IFERROR(SUMPRODUCT(tFlag*(ISNUMBER(tCpn)*(tCpn&gt;=$W204)*(tCpn&lt;$X204)),tUPBf,tCurDY)/SUMPRODUCT(tFlag*(ISNUMBER(tCpn)*(tCpn&gt;=$W204)*(tCpn&lt;$X204))*ISNUMBER(tCurDY),tUPBf),0)</f>
        <v/>
      </c>
      <c r="O204" s="31">
        <f>IFERROR(SUMPRODUCT(tFlag*(ISNUMBER(tCpn)*(tCpn&gt;=$W204)*(tCpn&lt;$X204)),tUPBf,tOcc)/SUMPRODUCT(tFlag*(ISNUMBER(tCpn)*(tCpn&gt;=$W204)*(tCpn&lt;$X204))*ISNUMBER(tOcc),tUPBf),0)</f>
        <v/>
      </c>
      <c r="P204" s="47">
        <f>IFERROR(SUMPRODUCT(tFlag*(ISNUMBER(tCpn)*(tCpn&gt;=$W204)*(tCpn&lt;$X204)),tUPBf,tRem)/SUMPRODUCT(tFlag*(ISNUMBER(tCpn)*(tCpn&gt;=$W204)*(tCpn&lt;$X204))*ISNUMBER(tRem),tUPBf),0)</f>
        <v/>
      </c>
      <c r="Q204" s="31">
        <f>IFERROR(SUMPRODUCT(tFlag*(ISNUMBER(tCpn)*(tCpn&gt;=$W204)*(tCpn&lt;$X204)),tUPBf,tFIO)/$E204,0)</f>
        <v/>
      </c>
      <c r="R204" s="31">
        <f>IFERROR(SUMPRODUCT(tFlag*(ISNUMBER(tCpn)*(tCpn&gt;=$W204)*(tCpn&lt;$X204)),tUPBf,tDefF)/$E204,0)</f>
        <v/>
      </c>
      <c r="S204" s="31">
        <f>IFERROR(SUMPRODUCT(tFlag*(ISNUMBER(tCpn)*(tCpn&gt;=$W204)*(tCpn&lt;$X204)),tUPBf,tSSF)/$E204,0)</f>
        <v/>
      </c>
      <c r="T204" s="31">
        <f>IFERROR(SUMPRODUCT(tFlag*(ISNUMBER(tCpn)*(tCpn&gt;=$W204)*(tCpn&lt;$X204)),tUPBf,tDQ)/$E204,0)</f>
        <v/>
      </c>
      <c r="U204" s="31">
        <f>IFERROR(SUMPRODUCT(tFlag*(ISNUMBER(tCpn)*(tCpn&gt;=$W204)*(tCpn&lt;$X204)),tUPBf,tWLF)/$E204,0)</f>
        <v/>
      </c>
      <c r="W204" s="51" t="n">
        <v>0.055</v>
      </c>
      <c r="X204" s="51" t="n">
        <v>1000000000000</v>
      </c>
    </row>
    <row r="205">
      <c r="B205" s="36" t="inlineStr">
        <is>
          <t>Total / Wtd. Avg.</t>
        </is>
      </c>
      <c r="C205" s="37">
        <f>SUMPRODUCT(tFlag*(1))</f>
        <v/>
      </c>
      <c r="D205" s="40">
        <f>IFERROR(C205/sLoans,0)</f>
        <v/>
      </c>
      <c r="E205" s="39">
        <f>SUMPRODUCT(tFlag*(1),tUPBf)</f>
        <v/>
      </c>
      <c r="F205" s="40">
        <f>IFERROR(E205/sUPB,0)</f>
        <v/>
      </c>
      <c r="G205" s="39">
        <f>IFERROR(E205/C205,0)</f>
        <v/>
      </c>
      <c r="H205" s="41">
        <f>IFERROR(SUMPRODUCT(tFlag*(1),tUPBf,tCpn)/SUMPRODUCT(tFlag*(1)*ISNUMBER(tCpn),tUPBf),0)</f>
        <v/>
      </c>
      <c r="I205" s="42">
        <f>IFERROR(SUMPRODUCT(tFlag*(1),tUPBf,tUWDSCR)/SUMPRODUCT(tFlag*(1)*ISNUMBER(tUWDSCR),tUPBf),0)</f>
        <v/>
      </c>
      <c r="J205" s="42">
        <f>IFERROR(SUMPRODUCT(tFlag*(1),tUPBf,tCurDSCR)/SUMPRODUCT(tFlag*(1)*ISNUMBER(tCurDSCR),tUPBf),0)</f>
        <v/>
      </c>
      <c r="K205" s="40">
        <f>IFERROR(SUMPRODUCT(tFlag*(1),tUPBf,tUWLTV)/SUMPRODUCT(tFlag*(1)*ISNUMBER(tUWLTV),tUPBf),0)</f>
        <v/>
      </c>
      <c r="L205" s="40">
        <f>IFERROR(SUMPRODUCT(tFlag*(1),tUPBf,tCurLTV)/SUMPRODUCT(tFlag*(1)*ISNUMBER(tCurLTV),tUPBf),0)</f>
        <v/>
      </c>
      <c r="M205" s="40">
        <f>IFERROR(SUMPRODUCT(tFlag*(1),tUPBf,tUWDY)/SUMPRODUCT(tFlag*(1)*ISNUMBER(tUWDY),tUPBf),0)</f>
        <v/>
      </c>
      <c r="N205" s="40">
        <f>IFERROR(SUMPRODUCT(tFlag*(1),tUPBf,tCurDY)/SUMPRODUCT(tFlag*(1)*ISNUMBER(tCurDY),tUPBf),0)</f>
        <v/>
      </c>
      <c r="O205" s="40">
        <f>IFERROR(SUMPRODUCT(tFlag*(1),tUPBf,tOcc)/SUMPRODUCT(tFlag*(1)*ISNUMBER(tOcc),tUPBf),0)</f>
        <v/>
      </c>
      <c r="P205" s="43">
        <f>IFERROR(SUMPRODUCT(tFlag*(1),tUPBf,tRem)/SUMPRODUCT(tFlag*(1)*ISNUMBER(tRem),tUPBf),0)</f>
        <v/>
      </c>
      <c r="Q205" s="40">
        <f>IFERROR(SUMPRODUCT(tFlag*(1),tUPBf,tFIO)/$E205,0)</f>
        <v/>
      </c>
      <c r="R205" s="40">
        <f>IFERROR(SUMPRODUCT(tFlag*(1),tUPBf,tDefF)/$E205,0)</f>
        <v/>
      </c>
      <c r="S205" s="40">
        <f>IFERROR(SUMPRODUCT(tFlag*(1),tUPBf,tSSF)/$E205,0)</f>
        <v/>
      </c>
      <c r="T205" s="40">
        <f>IFERROR(SUMPRODUCT(tFlag*(1),tUPBf,tDQ)/$E205,0)</f>
        <v/>
      </c>
      <c r="U205" s="40">
        <f>IFERROR(SUMPRODUCT(tFlag*(1),tUPBf,tWLF)/$E205,0)</f>
        <v/>
      </c>
    </row>
    <row r="207" ht="15" customHeight="1">
      <c r="B207" s="2" t="inlineStr">
        <is>
          <t>UW NCF DSCR</t>
        </is>
      </c>
      <c r="C207" s="3" t="n"/>
      <c r="D207" s="3" t="n"/>
      <c r="E207" s="3" t="n"/>
      <c r="F207" s="3" t="n"/>
      <c r="G207" s="3" t="n"/>
      <c r="H207" s="3" t="n"/>
      <c r="I207" s="3" t="n"/>
      <c r="J207" s="3" t="n"/>
      <c r="K207" s="3" t="n"/>
      <c r="L207" s="3" t="n"/>
      <c r="M207" s="3" t="n"/>
      <c r="N207" s="3" t="n"/>
      <c r="O207" s="3" t="n"/>
      <c r="P207" s="3" t="n"/>
      <c r="Q207" s="3" t="n"/>
      <c r="R207" s="3" t="n"/>
      <c r="S207" s="3" t="n"/>
      <c r="T207" s="3" t="n"/>
      <c r="U207" s="3" t="n"/>
    </row>
    <row r="208" ht="39.75" customHeight="1">
      <c r="B208" s="15" t="inlineStr">
        <is>
          <t>Bucket</t>
        </is>
      </c>
      <c r="C208" s="16" t="inlineStr">
        <is>
          <t>Number of Loans</t>
        </is>
      </c>
      <c r="D208" s="16" t="inlineStr">
        <is>
          <t>% of Loans</t>
        </is>
      </c>
      <c r="E208" s="16" t="inlineStr">
        <is>
          <t>Current UPB</t>
        </is>
      </c>
      <c r="F208" s="16" t="inlineStr">
        <is>
          <t>% of UPB</t>
        </is>
      </c>
      <c r="G208" s="16" t="inlineStr">
        <is>
          <t>Average Loan Size</t>
        </is>
      </c>
      <c r="H208" s="16" t="inlineStr">
        <is>
          <t>Wtd. Avg. Gross Coupon</t>
        </is>
      </c>
      <c r="I208" s="16" t="inlineStr">
        <is>
          <t>Wtd. Avg. UW NCF DSCR</t>
        </is>
      </c>
      <c r="J208" s="16" t="inlineStr">
        <is>
          <t>Wtd. Avg. Current NCF DSCR</t>
        </is>
      </c>
      <c r="K208" s="16" t="inlineStr">
        <is>
          <t>Wtd. Avg. UW LTV</t>
        </is>
      </c>
      <c r="L208" s="16" t="inlineStr">
        <is>
          <t>Wtd. Avg. Current LTV</t>
        </is>
      </c>
      <c r="M208" s="16" t="inlineStr">
        <is>
          <t>Wtd. Avg. UW NCF Debt Yield</t>
        </is>
      </c>
      <c r="N208" s="16" t="inlineStr">
        <is>
          <t>Wtd. Avg. Current NCF Debt Yield</t>
        </is>
      </c>
      <c r="O208" s="16" t="inlineStr">
        <is>
          <t>Wtd. Avg. Current Occupancy</t>
        </is>
      </c>
      <c r="P208" s="16" t="inlineStr">
        <is>
          <t>Wtd. Avg. Rem. Term (Mo.)</t>
        </is>
      </c>
      <c r="Q208" s="16" t="inlineStr">
        <is>
          <t>% Full IO</t>
        </is>
      </c>
      <c r="R208" s="16" t="inlineStr">
        <is>
          <t>% Defeased</t>
        </is>
      </c>
      <c r="S208" s="16" t="inlineStr">
        <is>
          <t>% Currently Specially Serviced</t>
        </is>
      </c>
      <c r="T208" s="16" t="inlineStr">
        <is>
          <t>% 30+ Delinq. / FC / REO</t>
        </is>
      </c>
      <c r="U208" s="16" t="inlineStr">
        <is>
          <t>% On Watchlist</t>
        </is>
      </c>
      <c r="W208" s="17" t="inlineStr">
        <is>
          <t>Lower Bound (&gt;=)</t>
        </is>
      </c>
      <c r="X208" s="17" t="inlineStr">
        <is>
          <t>Upper Bound (&lt;)</t>
        </is>
      </c>
    </row>
    <row r="209">
      <c r="B209" s="18" t="inlineStr">
        <is>
          <t>Less than 1.25x</t>
        </is>
      </c>
      <c r="C209" s="19">
        <f>SUMPRODUCT(tFlag*(ISNUMBER(tUWDSCR)*(tUWDSCR&gt;=$W209)*(tUWDSCR&lt;$X209)))</f>
        <v/>
      </c>
      <c r="D209" s="22">
        <f>IFERROR(C209/sLoans,0)</f>
        <v/>
      </c>
      <c r="E209" s="21">
        <f>SUMPRODUCT(tFlag*(ISNUMBER(tUWDSCR)*(tUWDSCR&gt;=$W209)*(tUWDSCR&lt;$X209)),tUPBf)</f>
        <v/>
      </c>
      <c r="F209" s="22">
        <f>IFERROR(E209/sUPB,0)</f>
        <v/>
      </c>
      <c r="G209" s="21">
        <f>IFERROR(E209/C209,0)</f>
        <v/>
      </c>
      <c r="H209" s="23">
        <f>IFERROR(SUMPRODUCT(tFlag*(ISNUMBER(tUWDSCR)*(tUWDSCR&gt;=$W209)*(tUWDSCR&lt;$X209)),tUPBf,tCpn)/SUMPRODUCT(tFlag*(ISNUMBER(tUWDSCR)*(tUWDSCR&gt;=$W209)*(tUWDSCR&lt;$X209))*ISNUMBER(tCpn),tUPBf),0)</f>
        <v/>
      </c>
      <c r="I209" s="24">
        <f>IFERROR(SUMPRODUCT(tFlag*(ISNUMBER(tUWDSCR)*(tUWDSCR&gt;=$W209)*(tUWDSCR&lt;$X209)),tUPBf,tUWDSCR)/SUMPRODUCT(tFlag*(ISNUMBER(tUWDSCR)*(tUWDSCR&gt;=$W209)*(tUWDSCR&lt;$X209))*ISNUMBER(tUWDSCR),tUPBf),0)</f>
        <v/>
      </c>
      <c r="J209" s="24">
        <f>IFERROR(SUMPRODUCT(tFlag*(ISNUMBER(tUWDSCR)*(tUWDSCR&gt;=$W209)*(tUWDSCR&lt;$X209)),tUPBf,tCurDSCR)/SUMPRODUCT(tFlag*(ISNUMBER(tUWDSCR)*(tUWDSCR&gt;=$W209)*(tUWDSCR&lt;$X209))*ISNUMBER(tCurDSCR),tUPBf),0)</f>
        <v/>
      </c>
      <c r="K209" s="22">
        <f>IFERROR(SUMPRODUCT(tFlag*(ISNUMBER(tUWDSCR)*(tUWDSCR&gt;=$W209)*(tUWDSCR&lt;$X209)),tUPBf,tUWLTV)/SUMPRODUCT(tFlag*(ISNUMBER(tUWDSCR)*(tUWDSCR&gt;=$W209)*(tUWDSCR&lt;$X209))*ISNUMBER(tUWLTV),tUPBf),0)</f>
        <v/>
      </c>
      <c r="L209" s="22">
        <f>IFERROR(SUMPRODUCT(tFlag*(ISNUMBER(tUWDSCR)*(tUWDSCR&gt;=$W209)*(tUWDSCR&lt;$X209)),tUPBf,tCurLTV)/SUMPRODUCT(tFlag*(ISNUMBER(tUWDSCR)*(tUWDSCR&gt;=$W209)*(tUWDSCR&lt;$X209))*ISNUMBER(tCurLTV),tUPBf),0)</f>
        <v/>
      </c>
      <c r="M209" s="22">
        <f>IFERROR(SUMPRODUCT(tFlag*(ISNUMBER(tUWDSCR)*(tUWDSCR&gt;=$W209)*(tUWDSCR&lt;$X209)),tUPBf,tUWDY)/SUMPRODUCT(tFlag*(ISNUMBER(tUWDSCR)*(tUWDSCR&gt;=$W209)*(tUWDSCR&lt;$X209))*ISNUMBER(tUWDY),tUPBf),0)</f>
        <v/>
      </c>
      <c r="N209" s="22">
        <f>IFERROR(SUMPRODUCT(tFlag*(ISNUMBER(tUWDSCR)*(tUWDSCR&gt;=$W209)*(tUWDSCR&lt;$X209)),tUPBf,tCurDY)/SUMPRODUCT(tFlag*(ISNUMBER(tUWDSCR)*(tUWDSCR&gt;=$W209)*(tUWDSCR&lt;$X209))*ISNUMBER(tCurDY),tUPBf),0)</f>
        <v/>
      </c>
      <c r="O209" s="22">
        <f>IFERROR(SUMPRODUCT(tFlag*(ISNUMBER(tUWDSCR)*(tUWDSCR&gt;=$W209)*(tUWDSCR&lt;$X209)),tUPBf,tOcc)/SUMPRODUCT(tFlag*(ISNUMBER(tUWDSCR)*(tUWDSCR&gt;=$W209)*(tUWDSCR&lt;$X209))*ISNUMBER(tOcc),tUPBf),0)</f>
        <v/>
      </c>
      <c r="P209" s="45">
        <f>IFERROR(SUMPRODUCT(tFlag*(ISNUMBER(tUWDSCR)*(tUWDSCR&gt;=$W209)*(tUWDSCR&lt;$X209)),tUPBf,tRem)/SUMPRODUCT(tFlag*(ISNUMBER(tUWDSCR)*(tUWDSCR&gt;=$W209)*(tUWDSCR&lt;$X209))*ISNUMBER(tRem),tUPBf),0)</f>
        <v/>
      </c>
      <c r="Q209" s="22">
        <f>IFERROR(SUMPRODUCT(tFlag*(ISNUMBER(tUWDSCR)*(tUWDSCR&gt;=$W209)*(tUWDSCR&lt;$X209)),tUPBf,tFIO)/$E209,0)</f>
        <v/>
      </c>
      <c r="R209" s="22">
        <f>IFERROR(SUMPRODUCT(tFlag*(ISNUMBER(tUWDSCR)*(tUWDSCR&gt;=$W209)*(tUWDSCR&lt;$X209)),tUPBf,tDefF)/$E209,0)</f>
        <v/>
      </c>
      <c r="S209" s="22">
        <f>IFERROR(SUMPRODUCT(tFlag*(ISNUMBER(tUWDSCR)*(tUWDSCR&gt;=$W209)*(tUWDSCR&lt;$X209)),tUPBf,tSSF)/$E209,0)</f>
        <v/>
      </c>
      <c r="T209" s="22">
        <f>IFERROR(SUMPRODUCT(tFlag*(ISNUMBER(tUWDSCR)*(tUWDSCR&gt;=$W209)*(tUWDSCR&lt;$X209)),tUPBf,tDQ)/$E209,0)</f>
        <v/>
      </c>
      <c r="U209" s="22">
        <f>IFERROR(SUMPRODUCT(tFlag*(ISNUMBER(tUWDSCR)*(tUWDSCR&gt;=$W209)*(tUWDSCR&lt;$X209)),tUPBf,tWLF)/$E209,0)</f>
        <v/>
      </c>
      <c r="W209" s="52" t="n">
        <v>-1000000000000</v>
      </c>
      <c r="X209" s="52" t="n">
        <v>1.25</v>
      </c>
    </row>
    <row r="210">
      <c r="B210" s="27" t="inlineStr">
        <is>
          <t>1.25x to 1.50x</t>
        </is>
      </c>
      <c r="C210" s="28">
        <f>SUMPRODUCT(tFlag*(ISNUMBER(tUWDSCR)*(tUWDSCR&gt;=$W210)*(tUWDSCR&lt;$X210)))</f>
        <v/>
      </c>
      <c r="D210" s="31">
        <f>IFERROR(C210/sLoans,0)</f>
        <v/>
      </c>
      <c r="E210" s="30">
        <f>SUMPRODUCT(tFlag*(ISNUMBER(tUWDSCR)*(tUWDSCR&gt;=$W210)*(tUWDSCR&lt;$X210)),tUPBf)</f>
        <v/>
      </c>
      <c r="F210" s="31">
        <f>IFERROR(E210/sUPB,0)</f>
        <v/>
      </c>
      <c r="G210" s="30">
        <f>IFERROR(E210/C210,0)</f>
        <v/>
      </c>
      <c r="H210" s="32">
        <f>IFERROR(SUMPRODUCT(tFlag*(ISNUMBER(tUWDSCR)*(tUWDSCR&gt;=$W210)*(tUWDSCR&lt;$X210)),tUPBf,tCpn)/SUMPRODUCT(tFlag*(ISNUMBER(tUWDSCR)*(tUWDSCR&gt;=$W210)*(tUWDSCR&lt;$X210))*ISNUMBER(tCpn),tUPBf),0)</f>
        <v/>
      </c>
      <c r="I210" s="33">
        <f>IFERROR(SUMPRODUCT(tFlag*(ISNUMBER(tUWDSCR)*(tUWDSCR&gt;=$W210)*(tUWDSCR&lt;$X210)),tUPBf,tUWDSCR)/SUMPRODUCT(tFlag*(ISNUMBER(tUWDSCR)*(tUWDSCR&gt;=$W210)*(tUWDSCR&lt;$X210))*ISNUMBER(tUWDSCR),tUPBf),0)</f>
        <v/>
      </c>
      <c r="J210" s="33">
        <f>IFERROR(SUMPRODUCT(tFlag*(ISNUMBER(tUWDSCR)*(tUWDSCR&gt;=$W210)*(tUWDSCR&lt;$X210)),tUPBf,tCurDSCR)/SUMPRODUCT(tFlag*(ISNUMBER(tUWDSCR)*(tUWDSCR&gt;=$W210)*(tUWDSCR&lt;$X210))*ISNUMBER(tCurDSCR),tUPBf),0)</f>
        <v/>
      </c>
      <c r="K210" s="31">
        <f>IFERROR(SUMPRODUCT(tFlag*(ISNUMBER(tUWDSCR)*(tUWDSCR&gt;=$W210)*(tUWDSCR&lt;$X210)),tUPBf,tUWLTV)/SUMPRODUCT(tFlag*(ISNUMBER(tUWDSCR)*(tUWDSCR&gt;=$W210)*(tUWDSCR&lt;$X210))*ISNUMBER(tUWLTV),tUPBf),0)</f>
        <v/>
      </c>
      <c r="L210" s="31">
        <f>IFERROR(SUMPRODUCT(tFlag*(ISNUMBER(tUWDSCR)*(tUWDSCR&gt;=$W210)*(tUWDSCR&lt;$X210)),tUPBf,tCurLTV)/SUMPRODUCT(tFlag*(ISNUMBER(tUWDSCR)*(tUWDSCR&gt;=$W210)*(tUWDSCR&lt;$X210))*ISNUMBER(tCurLTV),tUPBf),0)</f>
        <v/>
      </c>
      <c r="M210" s="31">
        <f>IFERROR(SUMPRODUCT(tFlag*(ISNUMBER(tUWDSCR)*(tUWDSCR&gt;=$W210)*(tUWDSCR&lt;$X210)),tUPBf,tUWDY)/SUMPRODUCT(tFlag*(ISNUMBER(tUWDSCR)*(tUWDSCR&gt;=$W210)*(tUWDSCR&lt;$X210))*ISNUMBER(tUWDY),tUPBf),0)</f>
        <v/>
      </c>
      <c r="N210" s="31">
        <f>IFERROR(SUMPRODUCT(tFlag*(ISNUMBER(tUWDSCR)*(tUWDSCR&gt;=$W210)*(tUWDSCR&lt;$X210)),tUPBf,tCurDY)/SUMPRODUCT(tFlag*(ISNUMBER(tUWDSCR)*(tUWDSCR&gt;=$W210)*(tUWDSCR&lt;$X210))*ISNUMBER(tCurDY),tUPBf),0)</f>
        <v/>
      </c>
      <c r="O210" s="31">
        <f>IFERROR(SUMPRODUCT(tFlag*(ISNUMBER(tUWDSCR)*(tUWDSCR&gt;=$W210)*(tUWDSCR&lt;$X210)),tUPBf,tOcc)/SUMPRODUCT(tFlag*(ISNUMBER(tUWDSCR)*(tUWDSCR&gt;=$W210)*(tUWDSCR&lt;$X210))*ISNUMBER(tOcc),tUPBf),0)</f>
        <v/>
      </c>
      <c r="P210" s="47">
        <f>IFERROR(SUMPRODUCT(tFlag*(ISNUMBER(tUWDSCR)*(tUWDSCR&gt;=$W210)*(tUWDSCR&lt;$X210)),tUPBf,tRem)/SUMPRODUCT(tFlag*(ISNUMBER(tUWDSCR)*(tUWDSCR&gt;=$W210)*(tUWDSCR&lt;$X210))*ISNUMBER(tRem),tUPBf),0)</f>
        <v/>
      </c>
      <c r="Q210" s="31">
        <f>IFERROR(SUMPRODUCT(tFlag*(ISNUMBER(tUWDSCR)*(tUWDSCR&gt;=$W210)*(tUWDSCR&lt;$X210)),tUPBf,tFIO)/$E210,0)</f>
        <v/>
      </c>
      <c r="R210" s="31">
        <f>IFERROR(SUMPRODUCT(tFlag*(ISNUMBER(tUWDSCR)*(tUWDSCR&gt;=$W210)*(tUWDSCR&lt;$X210)),tUPBf,tDefF)/$E210,0)</f>
        <v/>
      </c>
      <c r="S210" s="31">
        <f>IFERROR(SUMPRODUCT(tFlag*(ISNUMBER(tUWDSCR)*(tUWDSCR&gt;=$W210)*(tUWDSCR&lt;$X210)),tUPBf,tSSF)/$E210,0)</f>
        <v/>
      </c>
      <c r="T210" s="31">
        <f>IFERROR(SUMPRODUCT(tFlag*(ISNUMBER(tUWDSCR)*(tUWDSCR&gt;=$W210)*(tUWDSCR&lt;$X210)),tUPBf,tDQ)/$E210,0)</f>
        <v/>
      </c>
      <c r="U210" s="31">
        <f>IFERROR(SUMPRODUCT(tFlag*(ISNUMBER(tUWDSCR)*(tUWDSCR&gt;=$W210)*(tUWDSCR&lt;$X210)),tUPBf,tWLF)/$E210,0)</f>
        <v/>
      </c>
      <c r="W210" s="52" t="n">
        <v>1.25</v>
      </c>
      <c r="X210" s="52" t="n">
        <v>1.5</v>
      </c>
    </row>
    <row r="211">
      <c r="B211" s="18" t="inlineStr">
        <is>
          <t>1.50x to 1.75x</t>
        </is>
      </c>
      <c r="C211" s="19">
        <f>SUMPRODUCT(tFlag*(ISNUMBER(tUWDSCR)*(tUWDSCR&gt;=$W211)*(tUWDSCR&lt;$X211)))</f>
        <v/>
      </c>
      <c r="D211" s="22">
        <f>IFERROR(C211/sLoans,0)</f>
        <v/>
      </c>
      <c r="E211" s="21">
        <f>SUMPRODUCT(tFlag*(ISNUMBER(tUWDSCR)*(tUWDSCR&gt;=$W211)*(tUWDSCR&lt;$X211)),tUPBf)</f>
        <v/>
      </c>
      <c r="F211" s="22">
        <f>IFERROR(E211/sUPB,0)</f>
        <v/>
      </c>
      <c r="G211" s="21">
        <f>IFERROR(E211/C211,0)</f>
        <v/>
      </c>
      <c r="H211" s="23">
        <f>IFERROR(SUMPRODUCT(tFlag*(ISNUMBER(tUWDSCR)*(tUWDSCR&gt;=$W211)*(tUWDSCR&lt;$X211)),tUPBf,tCpn)/SUMPRODUCT(tFlag*(ISNUMBER(tUWDSCR)*(tUWDSCR&gt;=$W211)*(tUWDSCR&lt;$X211))*ISNUMBER(tCpn),tUPBf),0)</f>
        <v/>
      </c>
      <c r="I211" s="24">
        <f>IFERROR(SUMPRODUCT(tFlag*(ISNUMBER(tUWDSCR)*(tUWDSCR&gt;=$W211)*(tUWDSCR&lt;$X211)),tUPBf,tUWDSCR)/SUMPRODUCT(tFlag*(ISNUMBER(tUWDSCR)*(tUWDSCR&gt;=$W211)*(tUWDSCR&lt;$X211))*ISNUMBER(tUWDSCR),tUPBf),0)</f>
        <v/>
      </c>
      <c r="J211" s="24">
        <f>IFERROR(SUMPRODUCT(tFlag*(ISNUMBER(tUWDSCR)*(tUWDSCR&gt;=$W211)*(tUWDSCR&lt;$X211)),tUPBf,tCurDSCR)/SUMPRODUCT(tFlag*(ISNUMBER(tUWDSCR)*(tUWDSCR&gt;=$W211)*(tUWDSCR&lt;$X211))*ISNUMBER(tCurDSCR),tUPBf),0)</f>
        <v/>
      </c>
      <c r="K211" s="22">
        <f>IFERROR(SUMPRODUCT(tFlag*(ISNUMBER(tUWDSCR)*(tUWDSCR&gt;=$W211)*(tUWDSCR&lt;$X211)),tUPBf,tUWLTV)/SUMPRODUCT(tFlag*(ISNUMBER(tUWDSCR)*(tUWDSCR&gt;=$W211)*(tUWDSCR&lt;$X211))*ISNUMBER(tUWLTV),tUPBf),0)</f>
        <v/>
      </c>
      <c r="L211" s="22">
        <f>IFERROR(SUMPRODUCT(tFlag*(ISNUMBER(tUWDSCR)*(tUWDSCR&gt;=$W211)*(tUWDSCR&lt;$X211)),tUPBf,tCurLTV)/SUMPRODUCT(tFlag*(ISNUMBER(tUWDSCR)*(tUWDSCR&gt;=$W211)*(tUWDSCR&lt;$X211))*ISNUMBER(tCurLTV),tUPBf),0)</f>
        <v/>
      </c>
      <c r="M211" s="22">
        <f>IFERROR(SUMPRODUCT(tFlag*(ISNUMBER(tUWDSCR)*(tUWDSCR&gt;=$W211)*(tUWDSCR&lt;$X211)),tUPBf,tUWDY)/SUMPRODUCT(tFlag*(ISNUMBER(tUWDSCR)*(tUWDSCR&gt;=$W211)*(tUWDSCR&lt;$X211))*ISNUMBER(tUWDY),tUPBf),0)</f>
        <v/>
      </c>
      <c r="N211" s="22">
        <f>IFERROR(SUMPRODUCT(tFlag*(ISNUMBER(tUWDSCR)*(tUWDSCR&gt;=$W211)*(tUWDSCR&lt;$X211)),tUPBf,tCurDY)/SUMPRODUCT(tFlag*(ISNUMBER(tUWDSCR)*(tUWDSCR&gt;=$W211)*(tUWDSCR&lt;$X211))*ISNUMBER(tCurDY),tUPBf),0)</f>
        <v/>
      </c>
      <c r="O211" s="22">
        <f>IFERROR(SUMPRODUCT(tFlag*(ISNUMBER(tUWDSCR)*(tUWDSCR&gt;=$W211)*(tUWDSCR&lt;$X211)),tUPBf,tOcc)/SUMPRODUCT(tFlag*(ISNUMBER(tUWDSCR)*(tUWDSCR&gt;=$W211)*(tUWDSCR&lt;$X211))*ISNUMBER(tOcc),tUPBf),0)</f>
        <v/>
      </c>
      <c r="P211" s="45">
        <f>IFERROR(SUMPRODUCT(tFlag*(ISNUMBER(tUWDSCR)*(tUWDSCR&gt;=$W211)*(tUWDSCR&lt;$X211)),tUPBf,tRem)/SUMPRODUCT(tFlag*(ISNUMBER(tUWDSCR)*(tUWDSCR&gt;=$W211)*(tUWDSCR&lt;$X211))*ISNUMBER(tRem),tUPBf),0)</f>
        <v/>
      </c>
      <c r="Q211" s="22">
        <f>IFERROR(SUMPRODUCT(tFlag*(ISNUMBER(tUWDSCR)*(tUWDSCR&gt;=$W211)*(tUWDSCR&lt;$X211)),tUPBf,tFIO)/$E211,0)</f>
        <v/>
      </c>
      <c r="R211" s="22">
        <f>IFERROR(SUMPRODUCT(tFlag*(ISNUMBER(tUWDSCR)*(tUWDSCR&gt;=$W211)*(tUWDSCR&lt;$X211)),tUPBf,tDefF)/$E211,0)</f>
        <v/>
      </c>
      <c r="S211" s="22">
        <f>IFERROR(SUMPRODUCT(tFlag*(ISNUMBER(tUWDSCR)*(tUWDSCR&gt;=$W211)*(tUWDSCR&lt;$X211)),tUPBf,tSSF)/$E211,0)</f>
        <v/>
      </c>
      <c r="T211" s="22">
        <f>IFERROR(SUMPRODUCT(tFlag*(ISNUMBER(tUWDSCR)*(tUWDSCR&gt;=$W211)*(tUWDSCR&lt;$X211)),tUPBf,tDQ)/$E211,0)</f>
        <v/>
      </c>
      <c r="U211" s="22">
        <f>IFERROR(SUMPRODUCT(tFlag*(ISNUMBER(tUWDSCR)*(tUWDSCR&gt;=$W211)*(tUWDSCR&lt;$X211)),tUPBf,tWLF)/$E211,0)</f>
        <v/>
      </c>
      <c r="W211" s="52" t="n">
        <v>1.5</v>
      </c>
      <c r="X211" s="52" t="n">
        <v>1.75</v>
      </c>
    </row>
    <row r="212">
      <c r="B212" s="27" t="inlineStr">
        <is>
          <t>1.75x to 2.00x</t>
        </is>
      </c>
      <c r="C212" s="28">
        <f>SUMPRODUCT(tFlag*(ISNUMBER(tUWDSCR)*(tUWDSCR&gt;=$W212)*(tUWDSCR&lt;$X212)))</f>
        <v/>
      </c>
      <c r="D212" s="31">
        <f>IFERROR(C212/sLoans,0)</f>
        <v/>
      </c>
      <c r="E212" s="30">
        <f>SUMPRODUCT(tFlag*(ISNUMBER(tUWDSCR)*(tUWDSCR&gt;=$W212)*(tUWDSCR&lt;$X212)),tUPBf)</f>
        <v/>
      </c>
      <c r="F212" s="31">
        <f>IFERROR(E212/sUPB,0)</f>
        <v/>
      </c>
      <c r="G212" s="30">
        <f>IFERROR(E212/C212,0)</f>
        <v/>
      </c>
      <c r="H212" s="32">
        <f>IFERROR(SUMPRODUCT(tFlag*(ISNUMBER(tUWDSCR)*(tUWDSCR&gt;=$W212)*(tUWDSCR&lt;$X212)),tUPBf,tCpn)/SUMPRODUCT(tFlag*(ISNUMBER(tUWDSCR)*(tUWDSCR&gt;=$W212)*(tUWDSCR&lt;$X212))*ISNUMBER(tCpn),tUPBf),0)</f>
        <v/>
      </c>
      <c r="I212" s="33">
        <f>IFERROR(SUMPRODUCT(tFlag*(ISNUMBER(tUWDSCR)*(tUWDSCR&gt;=$W212)*(tUWDSCR&lt;$X212)),tUPBf,tUWDSCR)/SUMPRODUCT(tFlag*(ISNUMBER(tUWDSCR)*(tUWDSCR&gt;=$W212)*(tUWDSCR&lt;$X212))*ISNUMBER(tUWDSCR),tUPBf),0)</f>
        <v/>
      </c>
      <c r="J212" s="33">
        <f>IFERROR(SUMPRODUCT(tFlag*(ISNUMBER(tUWDSCR)*(tUWDSCR&gt;=$W212)*(tUWDSCR&lt;$X212)),tUPBf,tCurDSCR)/SUMPRODUCT(tFlag*(ISNUMBER(tUWDSCR)*(tUWDSCR&gt;=$W212)*(tUWDSCR&lt;$X212))*ISNUMBER(tCurDSCR),tUPBf),0)</f>
        <v/>
      </c>
      <c r="K212" s="31">
        <f>IFERROR(SUMPRODUCT(tFlag*(ISNUMBER(tUWDSCR)*(tUWDSCR&gt;=$W212)*(tUWDSCR&lt;$X212)),tUPBf,tUWLTV)/SUMPRODUCT(tFlag*(ISNUMBER(tUWDSCR)*(tUWDSCR&gt;=$W212)*(tUWDSCR&lt;$X212))*ISNUMBER(tUWLTV),tUPBf),0)</f>
        <v/>
      </c>
      <c r="L212" s="31">
        <f>IFERROR(SUMPRODUCT(tFlag*(ISNUMBER(tUWDSCR)*(tUWDSCR&gt;=$W212)*(tUWDSCR&lt;$X212)),tUPBf,tCurLTV)/SUMPRODUCT(tFlag*(ISNUMBER(tUWDSCR)*(tUWDSCR&gt;=$W212)*(tUWDSCR&lt;$X212))*ISNUMBER(tCurLTV),tUPBf),0)</f>
        <v/>
      </c>
      <c r="M212" s="31">
        <f>IFERROR(SUMPRODUCT(tFlag*(ISNUMBER(tUWDSCR)*(tUWDSCR&gt;=$W212)*(tUWDSCR&lt;$X212)),tUPBf,tUWDY)/SUMPRODUCT(tFlag*(ISNUMBER(tUWDSCR)*(tUWDSCR&gt;=$W212)*(tUWDSCR&lt;$X212))*ISNUMBER(tUWDY),tUPBf),0)</f>
        <v/>
      </c>
      <c r="N212" s="31">
        <f>IFERROR(SUMPRODUCT(tFlag*(ISNUMBER(tUWDSCR)*(tUWDSCR&gt;=$W212)*(tUWDSCR&lt;$X212)),tUPBf,tCurDY)/SUMPRODUCT(tFlag*(ISNUMBER(tUWDSCR)*(tUWDSCR&gt;=$W212)*(tUWDSCR&lt;$X212))*ISNUMBER(tCurDY),tUPBf),0)</f>
        <v/>
      </c>
      <c r="O212" s="31">
        <f>IFERROR(SUMPRODUCT(tFlag*(ISNUMBER(tUWDSCR)*(tUWDSCR&gt;=$W212)*(tUWDSCR&lt;$X212)),tUPBf,tOcc)/SUMPRODUCT(tFlag*(ISNUMBER(tUWDSCR)*(tUWDSCR&gt;=$W212)*(tUWDSCR&lt;$X212))*ISNUMBER(tOcc),tUPBf),0)</f>
        <v/>
      </c>
      <c r="P212" s="47">
        <f>IFERROR(SUMPRODUCT(tFlag*(ISNUMBER(tUWDSCR)*(tUWDSCR&gt;=$W212)*(tUWDSCR&lt;$X212)),tUPBf,tRem)/SUMPRODUCT(tFlag*(ISNUMBER(tUWDSCR)*(tUWDSCR&gt;=$W212)*(tUWDSCR&lt;$X212))*ISNUMBER(tRem),tUPBf),0)</f>
        <v/>
      </c>
      <c r="Q212" s="31">
        <f>IFERROR(SUMPRODUCT(tFlag*(ISNUMBER(tUWDSCR)*(tUWDSCR&gt;=$W212)*(tUWDSCR&lt;$X212)),tUPBf,tFIO)/$E212,0)</f>
        <v/>
      </c>
      <c r="R212" s="31">
        <f>IFERROR(SUMPRODUCT(tFlag*(ISNUMBER(tUWDSCR)*(tUWDSCR&gt;=$W212)*(tUWDSCR&lt;$X212)),tUPBf,tDefF)/$E212,0)</f>
        <v/>
      </c>
      <c r="S212" s="31">
        <f>IFERROR(SUMPRODUCT(tFlag*(ISNUMBER(tUWDSCR)*(tUWDSCR&gt;=$W212)*(tUWDSCR&lt;$X212)),tUPBf,tSSF)/$E212,0)</f>
        <v/>
      </c>
      <c r="T212" s="31">
        <f>IFERROR(SUMPRODUCT(tFlag*(ISNUMBER(tUWDSCR)*(tUWDSCR&gt;=$W212)*(tUWDSCR&lt;$X212)),tUPBf,tDQ)/$E212,0)</f>
        <v/>
      </c>
      <c r="U212" s="31">
        <f>IFERROR(SUMPRODUCT(tFlag*(ISNUMBER(tUWDSCR)*(tUWDSCR&gt;=$W212)*(tUWDSCR&lt;$X212)),tUPBf,tWLF)/$E212,0)</f>
        <v/>
      </c>
      <c r="W212" s="52" t="n">
        <v>1.75</v>
      </c>
      <c r="X212" s="52" t="n">
        <v>2</v>
      </c>
    </row>
    <row r="213">
      <c r="B213" s="18" t="inlineStr">
        <is>
          <t>2.00x to 2.50x</t>
        </is>
      </c>
      <c r="C213" s="19">
        <f>SUMPRODUCT(tFlag*(ISNUMBER(tUWDSCR)*(tUWDSCR&gt;=$W213)*(tUWDSCR&lt;$X213)))</f>
        <v/>
      </c>
      <c r="D213" s="22">
        <f>IFERROR(C213/sLoans,0)</f>
        <v/>
      </c>
      <c r="E213" s="21">
        <f>SUMPRODUCT(tFlag*(ISNUMBER(tUWDSCR)*(tUWDSCR&gt;=$W213)*(tUWDSCR&lt;$X213)),tUPBf)</f>
        <v/>
      </c>
      <c r="F213" s="22">
        <f>IFERROR(E213/sUPB,0)</f>
        <v/>
      </c>
      <c r="G213" s="21">
        <f>IFERROR(E213/C213,0)</f>
        <v/>
      </c>
      <c r="H213" s="23">
        <f>IFERROR(SUMPRODUCT(tFlag*(ISNUMBER(tUWDSCR)*(tUWDSCR&gt;=$W213)*(tUWDSCR&lt;$X213)),tUPBf,tCpn)/SUMPRODUCT(tFlag*(ISNUMBER(tUWDSCR)*(tUWDSCR&gt;=$W213)*(tUWDSCR&lt;$X213))*ISNUMBER(tCpn),tUPBf),0)</f>
        <v/>
      </c>
      <c r="I213" s="24">
        <f>IFERROR(SUMPRODUCT(tFlag*(ISNUMBER(tUWDSCR)*(tUWDSCR&gt;=$W213)*(tUWDSCR&lt;$X213)),tUPBf,tUWDSCR)/SUMPRODUCT(tFlag*(ISNUMBER(tUWDSCR)*(tUWDSCR&gt;=$W213)*(tUWDSCR&lt;$X213))*ISNUMBER(tUWDSCR),tUPBf),0)</f>
        <v/>
      </c>
      <c r="J213" s="24">
        <f>IFERROR(SUMPRODUCT(tFlag*(ISNUMBER(tUWDSCR)*(tUWDSCR&gt;=$W213)*(tUWDSCR&lt;$X213)),tUPBf,tCurDSCR)/SUMPRODUCT(tFlag*(ISNUMBER(tUWDSCR)*(tUWDSCR&gt;=$W213)*(tUWDSCR&lt;$X213))*ISNUMBER(tCurDSCR),tUPBf),0)</f>
        <v/>
      </c>
      <c r="K213" s="22">
        <f>IFERROR(SUMPRODUCT(tFlag*(ISNUMBER(tUWDSCR)*(tUWDSCR&gt;=$W213)*(tUWDSCR&lt;$X213)),tUPBf,tUWLTV)/SUMPRODUCT(tFlag*(ISNUMBER(tUWDSCR)*(tUWDSCR&gt;=$W213)*(tUWDSCR&lt;$X213))*ISNUMBER(tUWLTV),tUPBf),0)</f>
        <v/>
      </c>
      <c r="L213" s="22">
        <f>IFERROR(SUMPRODUCT(tFlag*(ISNUMBER(tUWDSCR)*(tUWDSCR&gt;=$W213)*(tUWDSCR&lt;$X213)),tUPBf,tCurLTV)/SUMPRODUCT(tFlag*(ISNUMBER(tUWDSCR)*(tUWDSCR&gt;=$W213)*(tUWDSCR&lt;$X213))*ISNUMBER(tCurLTV),tUPBf),0)</f>
        <v/>
      </c>
      <c r="M213" s="22">
        <f>IFERROR(SUMPRODUCT(tFlag*(ISNUMBER(tUWDSCR)*(tUWDSCR&gt;=$W213)*(tUWDSCR&lt;$X213)),tUPBf,tUWDY)/SUMPRODUCT(tFlag*(ISNUMBER(tUWDSCR)*(tUWDSCR&gt;=$W213)*(tUWDSCR&lt;$X213))*ISNUMBER(tUWDY),tUPBf),0)</f>
        <v/>
      </c>
      <c r="N213" s="22">
        <f>IFERROR(SUMPRODUCT(tFlag*(ISNUMBER(tUWDSCR)*(tUWDSCR&gt;=$W213)*(tUWDSCR&lt;$X213)),tUPBf,tCurDY)/SUMPRODUCT(tFlag*(ISNUMBER(tUWDSCR)*(tUWDSCR&gt;=$W213)*(tUWDSCR&lt;$X213))*ISNUMBER(tCurDY),tUPBf),0)</f>
        <v/>
      </c>
      <c r="O213" s="22">
        <f>IFERROR(SUMPRODUCT(tFlag*(ISNUMBER(tUWDSCR)*(tUWDSCR&gt;=$W213)*(tUWDSCR&lt;$X213)),tUPBf,tOcc)/SUMPRODUCT(tFlag*(ISNUMBER(tUWDSCR)*(tUWDSCR&gt;=$W213)*(tUWDSCR&lt;$X213))*ISNUMBER(tOcc),tUPBf),0)</f>
        <v/>
      </c>
      <c r="P213" s="45">
        <f>IFERROR(SUMPRODUCT(tFlag*(ISNUMBER(tUWDSCR)*(tUWDSCR&gt;=$W213)*(tUWDSCR&lt;$X213)),tUPBf,tRem)/SUMPRODUCT(tFlag*(ISNUMBER(tUWDSCR)*(tUWDSCR&gt;=$W213)*(tUWDSCR&lt;$X213))*ISNUMBER(tRem),tUPBf),0)</f>
        <v/>
      </c>
      <c r="Q213" s="22">
        <f>IFERROR(SUMPRODUCT(tFlag*(ISNUMBER(tUWDSCR)*(tUWDSCR&gt;=$W213)*(tUWDSCR&lt;$X213)),tUPBf,tFIO)/$E213,0)</f>
        <v/>
      </c>
      <c r="R213" s="22">
        <f>IFERROR(SUMPRODUCT(tFlag*(ISNUMBER(tUWDSCR)*(tUWDSCR&gt;=$W213)*(tUWDSCR&lt;$X213)),tUPBf,tDefF)/$E213,0)</f>
        <v/>
      </c>
      <c r="S213" s="22">
        <f>IFERROR(SUMPRODUCT(tFlag*(ISNUMBER(tUWDSCR)*(tUWDSCR&gt;=$W213)*(tUWDSCR&lt;$X213)),tUPBf,tSSF)/$E213,0)</f>
        <v/>
      </c>
      <c r="T213" s="22">
        <f>IFERROR(SUMPRODUCT(tFlag*(ISNUMBER(tUWDSCR)*(tUWDSCR&gt;=$W213)*(tUWDSCR&lt;$X213)),tUPBf,tDQ)/$E213,0)</f>
        <v/>
      </c>
      <c r="U213" s="22">
        <f>IFERROR(SUMPRODUCT(tFlag*(ISNUMBER(tUWDSCR)*(tUWDSCR&gt;=$W213)*(tUWDSCR&lt;$X213)),tUPBf,tWLF)/$E213,0)</f>
        <v/>
      </c>
      <c r="W213" s="52" t="n">
        <v>2</v>
      </c>
      <c r="X213" s="52" t="n">
        <v>2.5</v>
      </c>
    </row>
    <row r="214">
      <c r="B214" s="27" t="inlineStr">
        <is>
          <t>2.50x to 3.00x</t>
        </is>
      </c>
      <c r="C214" s="28">
        <f>SUMPRODUCT(tFlag*(ISNUMBER(tUWDSCR)*(tUWDSCR&gt;=$W214)*(tUWDSCR&lt;$X214)))</f>
        <v/>
      </c>
      <c r="D214" s="31">
        <f>IFERROR(C214/sLoans,0)</f>
        <v/>
      </c>
      <c r="E214" s="30">
        <f>SUMPRODUCT(tFlag*(ISNUMBER(tUWDSCR)*(tUWDSCR&gt;=$W214)*(tUWDSCR&lt;$X214)),tUPBf)</f>
        <v/>
      </c>
      <c r="F214" s="31">
        <f>IFERROR(E214/sUPB,0)</f>
        <v/>
      </c>
      <c r="G214" s="30">
        <f>IFERROR(E214/C214,0)</f>
        <v/>
      </c>
      <c r="H214" s="32">
        <f>IFERROR(SUMPRODUCT(tFlag*(ISNUMBER(tUWDSCR)*(tUWDSCR&gt;=$W214)*(tUWDSCR&lt;$X214)),tUPBf,tCpn)/SUMPRODUCT(tFlag*(ISNUMBER(tUWDSCR)*(tUWDSCR&gt;=$W214)*(tUWDSCR&lt;$X214))*ISNUMBER(tCpn),tUPBf),0)</f>
        <v/>
      </c>
      <c r="I214" s="33">
        <f>IFERROR(SUMPRODUCT(tFlag*(ISNUMBER(tUWDSCR)*(tUWDSCR&gt;=$W214)*(tUWDSCR&lt;$X214)),tUPBf,tUWDSCR)/SUMPRODUCT(tFlag*(ISNUMBER(tUWDSCR)*(tUWDSCR&gt;=$W214)*(tUWDSCR&lt;$X214))*ISNUMBER(tUWDSCR),tUPBf),0)</f>
        <v/>
      </c>
      <c r="J214" s="33">
        <f>IFERROR(SUMPRODUCT(tFlag*(ISNUMBER(tUWDSCR)*(tUWDSCR&gt;=$W214)*(tUWDSCR&lt;$X214)),tUPBf,tCurDSCR)/SUMPRODUCT(tFlag*(ISNUMBER(tUWDSCR)*(tUWDSCR&gt;=$W214)*(tUWDSCR&lt;$X214))*ISNUMBER(tCurDSCR),tUPBf),0)</f>
        <v/>
      </c>
      <c r="K214" s="31">
        <f>IFERROR(SUMPRODUCT(tFlag*(ISNUMBER(tUWDSCR)*(tUWDSCR&gt;=$W214)*(tUWDSCR&lt;$X214)),tUPBf,tUWLTV)/SUMPRODUCT(tFlag*(ISNUMBER(tUWDSCR)*(tUWDSCR&gt;=$W214)*(tUWDSCR&lt;$X214))*ISNUMBER(tUWLTV),tUPBf),0)</f>
        <v/>
      </c>
      <c r="L214" s="31">
        <f>IFERROR(SUMPRODUCT(tFlag*(ISNUMBER(tUWDSCR)*(tUWDSCR&gt;=$W214)*(tUWDSCR&lt;$X214)),tUPBf,tCurLTV)/SUMPRODUCT(tFlag*(ISNUMBER(tUWDSCR)*(tUWDSCR&gt;=$W214)*(tUWDSCR&lt;$X214))*ISNUMBER(tCurLTV),tUPBf),0)</f>
        <v/>
      </c>
      <c r="M214" s="31">
        <f>IFERROR(SUMPRODUCT(tFlag*(ISNUMBER(tUWDSCR)*(tUWDSCR&gt;=$W214)*(tUWDSCR&lt;$X214)),tUPBf,tUWDY)/SUMPRODUCT(tFlag*(ISNUMBER(tUWDSCR)*(tUWDSCR&gt;=$W214)*(tUWDSCR&lt;$X214))*ISNUMBER(tUWDY),tUPBf),0)</f>
        <v/>
      </c>
      <c r="N214" s="31">
        <f>IFERROR(SUMPRODUCT(tFlag*(ISNUMBER(tUWDSCR)*(tUWDSCR&gt;=$W214)*(tUWDSCR&lt;$X214)),tUPBf,tCurDY)/SUMPRODUCT(tFlag*(ISNUMBER(tUWDSCR)*(tUWDSCR&gt;=$W214)*(tUWDSCR&lt;$X214))*ISNUMBER(tCurDY),tUPBf),0)</f>
        <v/>
      </c>
      <c r="O214" s="31">
        <f>IFERROR(SUMPRODUCT(tFlag*(ISNUMBER(tUWDSCR)*(tUWDSCR&gt;=$W214)*(tUWDSCR&lt;$X214)),tUPBf,tOcc)/SUMPRODUCT(tFlag*(ISNUMBER(tUWDSCR)*(tUWDSCR&gt;=$W214)*(tUWDSCR&lt;$X214))*ISNUMBER(tOcc),tUPBf),0)</f>
        <v/>
      </c>
      <c r="P214" s="47">
        <f>IFERROR(SUMPRODUCT(tFlag*(ISNUMBER(tUWDSCR)*(tUWDSCR&gt;=$W214)*(tUWDSCR&lt;$X214)),tUPBf,tRem)/SUMPRODUCT(tFlag*(ISNUMBER(tUWDSCR)*(tUWDSCR&gt;=$W214)*(tUWDSCR&lt;$X214))*ISNUMBER(tRem),tUPBf),0)</f>
        <v/>
      </c>
      <c r="Q214" s="31">
        <f>IFERROR(SUMPRODUCT(tFlag*(ISNUMBER(tUWDSCR)*(tUWDSCR&gt;=$W214)*(tUWDSCR&lt;$X214)),tUPBf,tFIO)/$E214,0)</f>
        <v/>
      </c>
      <c r="R214" s="31">
        <f>IFERROR(SUMPRODUCT(tFlag*(ISNUMBER(tUWDSCR)*(tUWDSCR&gt;=$W214)*(tUWDSCR&lt;$X214)),tUPBf,tDefF)/$E214,0)</f>
        <v/>
      </c>
      <c r="S214" s="31">
        <f>IFERROR(SUMPRODUCT(tFlag*(ISNUMBER(tUWDSCR)*(tUWDSCR&gt;=$W214)*(tUWDSCR&lt;$X214)),tUPBf,tSSF)/$E214,0)</f>
        <v/>
      </c>
      <c r="T214" s="31">
        <f>IFERROR(SUMPRODUCT(tFlag*(ISNUMBER(tUWDSCR)*(tUWDSCR&gt;=$W214)*(tUWDSCR&lt;$X214)),tUPBf,tDQ)/$E214,0)</f>
        <v/>
      </c>
      <c r="U214" s="31">
        <f>IFERROR(SUMPRODUCT(tFlag*(ISNUMBER(tUWDSCR)*(tUWDSCR&gt;=$W214)*(tUWDSCR&lt;$X214)),tUPBf,tWLF)/$E214,0)</f>
        <v/>
      </c>
      <c r="W214" s="52" t="n">
        <v>2.5</v>
      </c>
      <c r="X214" s="52" t="n">
        <v>3</v>
      </c>
    </row>
    <row r="215">
      <c r="B215" s="18" t="inlineStr">
        <is>
          <t>3.00x or Greater</t>
        </is>
      </c>
      <c r="C215" s="19">
        <f>SUMPRODUCT(tFlag*(ISNUMBER(tUWDSCR)*(tUWDSCR&gt;=$W215)*(tUWDSCR&lt;$X215)))</f>
        <v/>
      </c>
      <c r="D215" s="22">
        <f>IFERROR(C215/sLoans,0)</f>
        <v/>
      </c>
      <c r="E215" s="21">
        <f>SUMPRODUCT(tFlag*(ISNUMBER(tUWDSCR)*(tUWDSCR&gt;=$W215)*(tUWDSCR&lt;$X215)),tUPBf)</f>
        <v/>
      </c>
      <c r="F215" s="22">
        <f>IFERROR(E215/sUPB,0)</f>
        <v/>
      </c>
      <c r="G215" s="21">
        <f>IFERROR(E215/C215,0)</f>
        <v/>
      </c>
      <c r="H215" s="23">
        <f>IFERROR(SUMPRODUCT(tFlag*(ISNUMBER(tUWDSCR)*(tUWDSCR&gt;=$W215)*(tUWDSCR&lt;$X215)),tUPBf,tCpn)/SUMPRODUCT(tFlag*(ISNUMBER(tUWDSCR)*(tUWDSCR&gt;=$W215)*(tUWDSCR&lt;$X215))*ISNUMBER(tCpn),tUPBf),0)</f>
        <v/>
      </c>
      <c r="I215" s="24">
        <f>IFERROR(SUMPRODUCT(tFlag*(ISNUMBER(tUWDSCR)*(tUWDSCR&gt;=$W215)*(tUWDSCR&lt;$X215)),tUPBf,tUWDSCR)/SUMPRODUCT(tFlag*(ISNUMBER(tUWDSCR)*(tUWDSCR&gt;=$W215)*(tUWDSCR&lt;$X215))*ISNUMBER(tUWDSCR),tUPBf),0)</f>
        <v/>
      </c>
      <c r="J215" s="24">
        <f>IFERROR(SUMPRODUCT(tFlag*(ISNUMBER(tUWDSCR)*(tUWDSCR&gt;=$W215)*(tUWDSCR&lt;$X215)),tUPBf,tCurDSCR)/SUMPRODUCT(tFlag*(ISNUMBER(tUWDSCR)*(tUWDSCR&gt;=$W215)*(tUWDSCR&lt;$X215))*ISNUMBER(tCurDSCR),tUPBf),0)</f>
        <v/>
      </c>
      <c r="K215" s="22">
        <f>IFERROR(SUMPRODUCT(tFlag*(ISNUMBER(tUWDSCR)*(tUWDSCR&gt;=$W215)*(tUWDSCR&lt;$X215)),tUPBf,tUWLTV)/SUMPRODUCT(tFlag*(ISNUMBER(tUWDSCR)*(tUWDSCR&gt;=$W215)*(tUWDSCR&lt;$X215))*ISNUMBER(tUWLTV),tUPBf),0)</f>
        <v/>
      </c>
      <c r="L215" s="22">
        <f>IFERROR(SUMPRODUCT(tFlag*(ISNUMBER(tUWDSCR)*(tUWDSCR&gt;=$W215)*(tUWDSCR&lt;$X215)),tUPBf,tCurLTV)/SUMPRODUCT(tFlag*(ISNUMBER(tUWDSCR)*(tUWDSCR&gt;=$W215)*(tUWDSCR&lt;$X215))*ISNUMBER(tCurLTV),tUPBf),0)</f>
        <v/>
      </c>
      <c r="M215" s="22">
        <f>IFERROR(SUMPRODUCT(tFlag*(ISNUMBER(tUWDSCR)*(tUWDSCR&gt;=$W215)*(tUWDSCR&lt;$X215)),tUPBf,tUWDY)/SUMPRODUCT(tFlag*(ISNUMBER(tUWDSCR)*(tUWDSCR&gt;=$W215)*(tUWDSCR&lt;$X215))*ISNUMBER(tUWDY),tUPBf),0)</f>
        <v/>
      </c>
      <c r="N215" s="22">
        <f>IFERROR(SUMPRODUCT(tFlag*(ISNUMBER(tUWDSCR)*(tUWDSCR&gt;=$W215)*(tUWDSCR&lt;$X215)),tUPBf,tCurDY)/SUMPRODUCT(tFlag*(ISNUMBER(tUWDSCR)*(tUWDSCR&gt;=$W215)*(tUWDSCR&lt;$X215))*ISNUMBER(tCurDY),tUPBf),0)</f>
        <v/>
      </c>
      <c r="O215" s="22">
        <f>IFERROR(SUMPRODUCT(tFlag*(ISNUMBER(tUWDSCR)*(tUWDSCR&gt;=$W215)*(tUWDSCR&lt;$X215)),tUPBf,tOcc)/SUMPRODUCT(tFlag*(ISNUMBER(tUWDSCR)*(tUWDSCR&gt;=$W215)*(tUWDSCR&lt;$X215))*ISNUMBER(tOcc),tUPBf),0)</f>
        <v/>
      </c>
      <c r="P215" s="45">
        <f>IFERROR(SUMPRODUCT(tFlag*(ISNUMBER(tUWDSCR)*(tUWDSCR&gt;=$W215)*(tUWDSCR&lt;$X215)),tUPBf,tRem)/SUMPRODUCT(tFlag*(ISNUMBER(tUWDSCR)*(tUWDSCR&gt;=$W215)*(tUWDSCR&lt;$X215))*ISNUMBER(tRem),tUPBf),0)</f>
        <v/>
      </c>
      <c r="Q215" s="22">
        <f>IFERROR(SUMPRODUCT(tFlag*(ISNUMBER(tUWDSCR)*(tUWDSCR&gt;=$W215)*(tUWDSCR&lt;$X215)),tUPBf,tFIO)/$E215,0)</f>
        <v/>
      </c>
      <c r="R215" s="22">
        <f>IFERROR(SUMPRODUCT(tFlag*(ISNUMBER(tUWDSCR)*(tUWDSCR&gt;=$W215)*(tUWDSCR&lt;$X215)),tUPBf,tDefF)/$E215,0)</f>
        <v/>
      </c>
      <c r="S215" s="22">
        <f>IFERROR(SUMPRODUCT(tFlag*(ISNUMBER(tUWDSCR)*(tUWDSCR&gt;=$W215)*(tUWDSCR&lt;$X215)),tUPBf,tSSF)/$E215,0)</f>
        <v/>
      </c>
      <c r="T215" s="22">
        <f>IFERROR(SUMPRODUCT(tFlag*(ISNUMBER(tUWDSCR)*(tUWDSCR&gt;=$W215)*(tUWDSCR&lt;$X215)),tUPBf,tDQ)/$E215,0)</f>
        <v/>
      </c>
      <c r="U215" s="22">
        <f>IFERROR(SUMPRODUCT(tFlag*(ISNUMBER(tUWDSCR)*(tUWDSCR&gt;=$W215)*(tUWDSCR&lt;$X215)),tUPBf,tWLF)/$E215,0)</f>
        <v/>
      </c>
      <c r="W215" s="52" t="n">
        <v>3</v>
      </c>
      <c r="X215" s="52" t="n">
        <v>1000000000000</v>
      </c>
    </row>
    <row r="216">
      <c r="B216" s="27" t="inlineStr">
        <is>
          <t>Not Reported</t>
        </is>
      </c>
      <c r="C216" s="28">
        <f>SUMPRODUCT(tFlag*(1-ISNUMBER(tUWDSCR)))</f>
        <v/>
      </c>
      <c r="D216" s="31">
        <f>IFERROR(C216/sLoans,0)</f>
        <v/>
      </c>
      <c r="E216" s="30">
        <f>SUMPRODUCT(tFlag*(1-ISNUMBER(tUWDSCR)),tUPBf)</f>
        <v/>
      </c>
      <c r="F216" s="31">
        <f>IFERROR(E216/sUPB,0)</f>
        <v/>
      </c>
      <c r="G216" s="30">
        <f>IFERROR(E216/C216,0)</f>
        <v/>
      </c>
      <c r="H216" s="32">
        <f>IFERROR(SUMPRODUCT(tFlag*(1-ISNUMBER(tUWDSCR)),tUPBf,tCpn)/SUMPRODUCT(tFlag*(1-ISNUMBER(tUWDSCR))*ISNUMBER(tCpn),tUPBf),0)</f>
        <v/>
      </c>
      <c r="I216" s="33">
        <f>IFERROR(SUMPRODUCT(tFlag*(1-ISNUMBER(tUWDSCR)),tUPBf,tUWDSCR)/SUMPRODUCT(tFlag*(1-ISNUMBER(tUWDSCR))*ISNUMBER(tUWDSCR),tUPBf),0)</f>
        <v/>
      </c>
      <c r="J216" s="33">
        <f>IFERROR(SUMPRODUCT(tFlag*(1-ISNUMBER(tUWDSCR)),tUPBf,tCurDSCR)/SUMPRODUCT(tFlag*(1-ISNUMBER(tUWDSCR))*ISNUMBER(tCurDSCR),tUPBf),0)</f>
        <v/>
      </c>
      <c r="K216" s="31">
        <f>IFERROR(SUMPRODUCT(tFlag*(1-ISNUMBER(tUWDSCR)),tUPBf,tUWLTV)/SUMPRODUCT(tFlag*(1-ISNUMBER(tUWDSCR))*ISNUMBER(tUWLTV),tUPBf),0)</f>
        <v/>
      </c>
      <c r="L216" s="31">
        <f>IFERROR(SUMPRODUCT(tFlag*(1-ISNUMBER(tUWDSCR)),tUPBf,tCurLTV)/SUMPRODUCT(tFlag*(1-ISNUMBER(tUWDSCR))*ISNUMBER(tCurLTV),tUPBf),0)</f>
        <v/>
      </c>
      <c r="M216" s="31">
        <f>IFERROR(SUMPRODUCT(tFlag*(1-ISNUMBER(tUWDSCR)),tUPBf,tUWDY)/SUMPRODUCT(tFlag*(1-ISNUMBER(tUWDSCR))*ISNUMBER(tUWDY),tUPBf),0)</f>
        <v/>
      </c>
      <c r="N216" s="31">
        <f>IFERROR(SUMPRODUCT(tFlag*(1-ISNUMBER(tUWDSCR)),tUPBf,tCurDY)/SUMPRODUCT(tFlag*(1-ISNUMBER(tUWDSCR))*ISNUMBER(tCurDY),tUPBf),0)</f>
        <v/>
      </c>
      <c r="O216" s="31">
        <f>IFERROR(SUMPRODUCT(tFlag*(1-ISNUMBER(tUWDSCR)),tUPBf,tOcc)/SUMPRODUCT(tFlag*(1-ISNUMBER(tUWDSCR))*ISNUMBER(tOcc),tUPBf),0)</f>
        <v/>
      </c>
      <c r="P216" s="47">
        <f>IFERROR(SUMPRODUCT(tFlag*(1-ISNUMBER(tUWDSCR)),tUPBf,tRem)/SUMPRODUCT(tFlag*(1-ISNUMBER(tUWDSCR))*ISNUMBER(tRem),tUPBf),0)</f>
        <v/>
      </c>
      <c r="Q216" s="31">
        <f>IFERROR(SUMPRODUCT(tFlag*(1-ISNUMBER(tUWDSCR)),tUPBf,tFIO)/$E216,0)</f>
        <v/>
      </c>
      <c r="R216" s="31">
        <f>IFERROR(SUMPRODUCT(tFlag*(1-ISNUMBER(tUWDSCR)),tUPBf,tDefF)/$E216,0)</f>
        <v/>
      </c>
      <c r="S216" s="31">
        <f>IFERROR(SUMPRODUCT(tFlag*(1-ISNUMBER(tUWDSCR)),tUPBf,tSSF)/$E216,0)</f>
        <v/>
      </c>
      <c r="T216" s="31">
        <f>IFERROR(SUMPRODUCT(tFlag*(1-ISNUMBER(tUWDSCR)),tUPBf,tDQ)/$E216,0)</f>
        <v/>
      </c>
      <c r="U216" s="31">
        <f>IFERROR(SUMPRODUCT(tFlag*(1-ISNUMBER(tUWDSCR)),tUPBf,tWLF)/$E216,0)</f>
        <v/>
      </c>
    </row>
    <row r="217">
      <c r="B217" s="36" t="inlineStr">
        <is>
          <t>Total / Wtd. Avg.</t>
        </is>
      </c>
      <c r="C217" s="37">
        <f>SUMPRODUCT(tFlag*(1))</f>
        <v/>
      </c>
      <c r="D217" s="40">
        <f>IFERROR(C217/sLoans,0)</f>
        <v/>
      </c>
      <c r="E217" s="39">
        <f>SUMPRODUCT(tFlag*(1),tUPBf)</f>
        <v/>
      </c>
      <c r="F217" s="40">
        <f>IFERROR(E217/sUPB,0)</f>
        <v/>
      </c>
      <c r="G217" s="39">
        <f>IFERROR(E217/C217,0)</f>
        <v/>
      </c>
      <c r="H217" s="41">
        <f>IFERROR(SUMPRODUCT(tFlag*(1),tUPBf,tCpn)/SUMPRODUCT(tFlag*(1)*ISNUMBER(tCpn),tUPBf),0)</f>
        <v/>
      </c>
      <c r="I217" s="42">
        <f>IFERROR(SUMPRODUCT(tFlag*(1),tUPBf,tUWDSCR)/SUMPRODUCT(tFlag*(1)*ISNUMBER(tUWDSCR),tUPBf),0)</f>
        <v/>
      </c>
      <c r="J217" s="42">
        <f>IFERROR(SUMPRODUCT(tFlag*(1),tUPBf,tCurDSCR)/SUMPRODUCT(tFlag*(1)*ISNUMBER(tCurDSCR),tUPBf),0)</f>
        <v/>
      </c>
      <c r="K217" s="40">
        <f>IFERROR(SUMPRODUCT(tFlag*(1),tUPBf,tUWLTV)/SUMPRODUCT(tFlag*(1)*ISNUMBER(tUWLTV),tUPBf),0)</f>
        <v/>
      </c>
      <c r="L217" s="40">
        <f>IFERROR(SUMPRODUCT(tFlag*(1),tUPBf,tCurLTV)/SUMPRODUCT(tFlag*(1)*ISNUMBER(tCurLTV),tUPBf),0)</f>
        <v/>
      </c>
      <c r="M217" s="40">
        <f>IFERROR(SUMPRODUCT(tFlag*(1),tUPBf,tUWDY)/SUMPRODUCT(tFlag*(1)*ISNUMBER(tUWDY),tUPBf),0)</f>
        <v/>
      </c>
      <c r="N217" s="40">
        <f>IFERROR(SUMPRODUCT(tFlag*(1),tUPBf,tCurDY)/SUMPRODUCT(tFlag*(1)*ISNUMBER(tCurDY),tUPBf),0)</f>
        <v/>
      </c>
      <c r="O217" s="40">
        <f>IFERROR(SUMPRODUCT(tFlag*(1),tUPBf,tOcc)/SUMPRODUCT(tFlag*(1)*ISNUMBER(tOcc),tUPBf),0)</f>
        <v/>
      </c>
      <c r="P217" s="43">
        <f>IFERROR(SUMPRODUCT(tFlag*(1),tUPBf,tRem)/SUMPRODUCT(tFlag*(1)*ISNUMBER(tRem),tUPBf),0)</f>
        <v/>
      </c>
      <c r="Q217" s="40">
        <f>IFERROR(SUMPRODUCT(tFlag*(1),tUPBf,tFIO)/$E217,0)</f>
        <v/>
      </c>
      <c r="R217" s="40">
        <f>IFERROR(SUMPRODUCT(tFlag*(1),tUPBf,tDefF)/$E217,0)</f>
        <v/>
      </c>
      <c r="S217" s="40">
        <f>IFERROR(SUMPRODUCT(tFlag*(1),tUPBf,tSSF)/$E217,0)</f>
        <v/>
      </c>
      <c r="T217" s="40">
        <f>IFERROR(SUMPRODUCT(tFlag*(1),tUPBf,tDQ)/$E217,0)</f>
        <v/>
      </c>
      <c r="U217" s="40">
        <f>IFERROR(SUMPRODUCT(tFlag*(1),tUPBf,tWLF)/$E217,0)</f>
        <v/>
      </c>
    </row>
    <row r="219" ht="15" customHeight="1">
      <c r="B219" s="2" t="inlineStr">
        <is>
          <t>CURRENT NCF DSCR (MOST RECENT)</t>
        </is>
      </c>
      <c r="C219" s="3" t="n"/>
      <c r="D219" s="3" t="n"/>
      <c r="E219" s="3" t="n"/>
      <c r="F219" s="3" t="n"/>
      <c r="G219" s="3" t="n"/>
      <c r="H219" s="3" t="n"/>
      <c r="I219" s="3" t="n"/>
      <c r="J219" s="3" t="n"/>
      <c r="K219" s="3" t="n"/>
      <c r="L219" s="3" t="n"/>
      <c r="M219" s="3" t="n"/>
      <c r="N219" s="3" t="n"/>
      <c r="O219" s="3" t="n"/>
      <c r="P219" s="3" t="n"/>
      <c r="Q219" s="3" t="n"/>
      <c r="R219" s="3" t="n"/>
      <c r="S219" s="3" t="n"/>
      <c r="T219" s="3" t="n"/>
      <c r="U219" s="3" t="n"/>
    </row>
    <row r="220" ht="39.75" customHeight="1">
      <c r="B220" s="15" t="inlineStr">
        <is>
          <t>Bucket</t>
        </is>
      </c>
      <c r="C220" s="16" t="inlineStr">
        <is>
          <t>Number of Loans</t>
        </is>
      </c>
      <c r="D220" s="16" t="inlineStr">
        <is>
          <t>% of Loans</t>
        </is>
      </c>
      <c r="E220" s="16" t="inlineStr">
        <is>
          <t>Current UPB</t>
        </is>
      </c>
      <c r="F220" s="16" t="inlineStr">
        <is>
          <t>% of UPB</t>
        </is>
      </c>
      <c r="G220" s="16" t="inlineStr">
        <is>
          <t>Average Loan Size</t>
        </is>
      </c>
      <c r="H220" s="16" t="inlineStr">
        <is>
          <t>Wtd. Avg. Gross Coupon</t>
        </is>
      </c>
      <c r="I220" s="16" t="inlineStr">
        <is>
          <t>Wtd. Avg. UW NCF DSCR</t>
        </is>
      </c>
      <c r="J220" s="16" t="inlineStr">
        <is>
          <t>Wtd. Avg. Current NCF DSCR</t>
        </is>
      </c>
      <c r="K220" s="16" t="inlineStr">
        <is>
          <t>Wtd. Avg. UW LTV</t>
        </is>
      </c>
      <c r="L220" s="16" t="inlineStr">
        <is>
          <t>Wtd. Avg. Current LTV</t>
        </is>
      </c>
      <c r="M220" s="16" t="inlineStr">
        <is>
          <t>Wtd. Avg. UW NCF Debt Yield</t>
        </is>
      </c>
      <c r="N220" s="16" t="inlineStr">
        <is>
          <t>Wtd. Avg. Current NCF Debt Yield</t>
        </is>
      </c>
      <c r="O220" s="16" t="inlineStr">
        <is>
          <t>Wtd. Avg. Current Occupancy</t>
        </is>
      </c>
      <c r="P220" s="16" t="inlineStr">
        <is>
          <t>Wtd. Avg. Rem. Term (Mo.)</t>
        </is>
      </c>
      <c r="Q220" s="16" t="inlineStr">
        <is>
          <t>% Full IO</t>
        </is>
      </c>
      <c r="R220" s="16" t="inlineStr">
        <is>
          <t>% Defeased</t>
        </is>
      </c>
      <c r="S220" s="16" t="inlineStr">
        <is>
          <t>% Currently Specially Serviced</t>
        </is>
      </c>
      <c r="T220" s="16" t="inlineStr">
        <is>
          <t>% 30+ Delinq. / FC / REO</t>
        </is>
      </c>
      <c r="U220" s="16" t="inlineStr">
        <is>
          <t>% On Watchlist</t>
        </is>
      </c>
      <c r="W220" s="17" t="inlineStr">
        <is>
          <t>Lower Bound (&gt;=)</t>
        </is>
      </c>
      <c r="X220" s="17" t="inlineStr">
        <is>
          <t>Upper Bound (&lt;)</t>
        </is>
      </c>
    </row>
    <row r="221">
      <c r="B221" s="18" t="inlineStr">
        <is>
          <t>Less than 1.00x</t>
        </is>
      </c>
      <c r="C221" s="19">
        <f>SUMPRODUCT(tFlag*(ISNUMBER(tCurDSCR)*(tCurDSCR&gt;=$W221)*(tCurDSCR&lt;$X221)))</f>
        <v/>
      </c>
      <c r="D221" s="22">
        <f>IFERROR(C221/sLoans,0)</f>
        <v/>
      </c>
      <c r="E221" s="21">
        <f>SUMPRODUCT(tFlag*(ISNUMBER(tCurDSCR)*(tCurDSCR&gt;=$W221)*(tCurDSCR&lt;$X221)),tUPBf)</f>
        <v/>
      </c>
      <c r="F221" s="22">
        <f>IFERROR(E221/sUPB,0)</f>
        <v/>
      </c>
      <c r="G221" s="21">
        <f>IFERROR(E221/C221,0)</f>
        <v/>
      </c>
      <c r="H221" s="23">
        <f>IFERROR(SUMPRODUCT(tFlag*(ISNUMBER(tCurDSCR)*(tCurDSCR&gt;=$W221)*(tCurDSCR&lt;$X221)),tUPBf,tCpn)/SUMPRODUCT(tFlag*(ISNUMBER(tCurDSCR)*(tCurDSCR&gt;=$W221)*(tCurDSCR&lt;$X221))*ISNUMBER(tCpn),tUPBf),0)</f>
        <v/>
      </c>
      <c r="I221" s="24">
        <f>IFERROR(SUMPRODUCT(tFlag*(ISNUMBER(tCurDSCR)*(tCurDSCR&gt;=$W221)*(tCurDSCR&lt;$X221)),tUPBf,tUWDSCR)/SUMPRODUCT(tFlag*(ISNUMBER(tCurDSCR)*(tCurDSCR&gt;=$W221)*(tCurDSCR&lt;$X221))*ISNUMBER(tUWDSCR),tUPBf),0)</f>
        <v/>
      </c>
      <c r="J221" s="24">
        <f>IFERROR(SUMPRODUCT(tFlag*(ISNUMBER(tCurDSCR)*(tCurDSCR&gt;=$W221)*(tCurDSCR&lt;$X221)),tUPBf,tCurDSCR)/SUMPRODUCT(tFlag*(ISNUMBER(tCurDSCR)*(tCurDSCR&gt;=$W221)*(tCurDSCR&lt;$X221))*ISNUMBER(tCurDSCR),tUPBf),0)</f>
        <v/>
      </c>
      <c r="K221" s="22">
        <f>IFERROR(SUMPRODUCT(tFlag*(ISNUMBER(tCurDSCR)*(tCurDSCR&gt;=$W221)*(tCurDSCR&lt;$X221)),tUPBf,tUWLTV)/SUMPRODUCT(tFlag*(ISNUMBER(tCurDSCR)*(tCurDSCR&gt;=$W221)*(tCurDSCR&lt;$X221))*ISNUMBER(tUWLTV),tUPBf),0)</f>
        <v/>
      </c>
      <c r="L221" s="22">
        <f>IFERROR(SUMPRODUCT(tFlag*(ISNUMBER(tCurDSCR)*(tCurDSCR&gt;=$W221)*(tCurDSCR&lt;$X221)),tUPBf,tCurLTV)/SUMPRODUCT(tFlag*(ISNUMBER(tCurDSCR)*(tCurDSCR&gt;=$W221)*(tCurDSCR&lt;$X221))*ISNUMBER(tCurLTV),tUPBf),0)</f>
        <v/>
      </c>
      <c r="M221" s="22">
        <f>IFERROR(SUMPRODUCT(tFlag*(ISNUMBER(tCurDSCR)*(tCurDSCR&gt;=$W221)*(tCurDSCR&lt;$X221)),tUPBf,tUWDY)/SUMPRODUCT(tFlag*(ISNUMBER(tCurDSCR)*(tCurDSCR&gt;=$W221)*(tCurDSCR&lt;$X221))*ISNUMBER(tUWDY),tUPBf),0)</f>
        <v/>
      </c>
      <c r="N221" s="22">
        <f>IFERROR(SUMPRODUCT(tFlag*(ISNUMBER(tCurDSCR)*(tCurDSCR&gt;=$W221)*(tCurDSCR&lt;$X221)),tUPBf,tCurDY)/SUMPRODUCT(tFlag*(ISNUMBER(tCurDSCR)*(tCurDSCR&gt;=$W221)*(tCurDSCR&lt;$X221))*ISNUMBER(tCurDY),tUPBf),0)</f>
        <v/>
      </c>
      <c r="O221" s="22">
        <f>IFERROR(SUMPRODUCT(tFlag*(ISNUMBER(tCurDSCR)*(tCurDSCR&gt;=$W221)*(tCurDSCR&lt;$X221)),tUPBf,tOcc)/SUMPRODUCT(tFlag*(ISNUMBER(tCurDSCR)*(tCurDSCR&gt;=$W221)*(tCurDSCR&lt;$X221))*ISNUMBER(tOcc),tUPBf),0)</f>
        <v/>
      </c>
      <c r="P221" s="45">
        <f>IFERROR(SUMPRODUCT(tFlag*(ISNUMBER(tCurDSCR)*(tCurDSCR&gt;=$W221)*(tCurDSCR&lt;$X221)),tUPBf,tRem)/SUMPRODUCT(tFlag*(ISNUMBER(tCurDSCR)*(tCurDSCR&gt;=$W221)*(tCurDSCR&lt;$X221))*ISNUMBER(tRem),tUPBf),0)</f>
        <v/>
      </c>
      <c r="Q221" s="22">
        <f>IFERROR(SUMPRODUCT(tFlag*(ISNUMBER(tCurDSCR)*(tCurDSCR&gt;=$W221)*(tCurDSCR&lt;$X221)),tUPBf,tFIO)/$E221,0)</f>
        <v/>
      </c>
      <c r="R221" s="22">
        <f>IFERROR(SUMPRODUCT(tFlag*(ISNUMBER(tCurDSCR)*(tCurDSCR&gt;=$W221)*(tCurDSCR&lt;$X221)),tUPBf,tDefF)/$E221,0)</f>
        <v/>
      </c>
      <c r="S221" s="22">
        <f>IFERROR(SUMPRODUCT(tFlag*(ISNUMBER(tCurDSCR)*(tCurDSCR&gt;=$W221)*(tCurDSCR&lt;$X221)),tUPBf,tSSF)/$E221,0)</f>
        <v/>
      </c>
      <c r="T221" s="22">
        <f>IFERROR(SUMPRODUCT(tFlag*(ISNUMBER(tCurDSCR)*(tCurDSCR&gt;=$W221)*(tCurDSCR&lt;$X221)),tUPBf,tDQ)/$E221,0)</f>
        <v/>
      </c>
      <c r="U221" s="22">
        <f>IFERROR(SUMPRODUCT(tFlag*(ISNUMBER(tCurDSCR)*(tCurDSCR&gt;=$W221)*(tCurDSCR&lt;$X221)),tUPBf,tWLF)/$E221,0)</f>
        <v/>
      </c>
      <c r="W221" s="52" t="n">
        <v>-1000000000000</v>
      </c>
      <c r="X221" s="52" t="n">
        <v>1</v>
      </c>
    </row>
    <row r="222">
      <c r="B222" s="27" t="inlineStr">
        <is>
          <t>1.00x to 1.25x</t>
        </is>
      </c>
      <c r="C222" s="28">
        <f>SUMPRODUCT(tFlag*(ISNUMBER(tCurDSCR)*(tCurDSCR&gt;=$W222)*(tCurDSCR&lt;$X222)))</f>
        <v/>
      </c>
      <c r="D222" s="31">
        <f>IFERROR(C222/sLoans,0)</f>
        <v/>
      </c>
      <c r="E222" s="30">
        <f>SUMPRODUCT(tFlag*(ISNUMBER(tCurDSCR)*(tCurDSCR&gt;=$W222)*(tCurDSCR&lt;$X222)),tUPBf)</f>
        <v/>
      </c>
      <c r="F222" s="31">
        <f>IFERROR(E222/sUPB,0)</f>
        <v/>
      </c>
      <c r="G222" s="30">
        <f>IFERROR(E222/C222,0)</f>
        <v/>
      </c>
      <c r="H222" s="32">
        <f>IFERROR(SUMPRODUCT(tFlag*(ISNUMBER(tCurDSCR)*(tCurDSCR&gt;=$W222)*(tCurDSCR&lt;$X222)),tUPBf,tCpn)/SUMPRODUCT(tFlag*(ISNUMBER(tCurDSCR)*(tCurDSCR&gt;=$W222)*(tCurDSCR&lt;$X222))*ISNUMBER(tCpn),tUPBf),0)</f>
        <v/>
      </c>
      <c r="I222" s="33">
        <f>IFERROR(SUMPRODUCT(tFlag*(ISNUMBER(tCurDSCR)*(tCurDSCR&gt;=$W222)*(tCurDSCR&lt;$X222)),tUPBf,tUWDSCR)/SUMPRODUCT(tFlag*(ISNUMBER(tCurDSCR)*(tCurDSCR&gt;=$W222)*(tCurDSCR&lt;$X222))*ISNUMBER(tUWDSCR),tUPBf),0)</f>
        <v/>
      </c>
      <c r="J222" s="33">
        <f>IFERROR(SUMPRODUCT(tFlag*(ISNUMBER(tCurDSCR)*(tCurDSCR&gt;=$W222)*(tCurDSCR&lt;$X222)),tUPBf,tCurDSCR)/SUMPRODUCT(tFlag*(ISNUMBER(tCurDSCR)*(tCurDSCR&gt;=$W222)*(tCurDSCR&lt;$X222))*ISNUMBER(tCurDSCR),tUPBf),0)</f>
        <v/>
      </c>
      <c r="K222" s="31">
        <f>IFERROR(SUMPRODUCT(tFlag*(ISNUMBER(tCurDSCR)*(tCurDSCR&gt;=$W222)*(tCurDSCR&lt;$X222)),tUPBf,tUWLTV)/SUMPRODUCT(tFlag*(ISNUMBER(tCurDSCR)*(tCurDSCR&gt;=$W222)*(tCurDSCR&lt;$X222))*ISNUMBER(tUWLTV),tUPBf),0)</f>
        <v/>
      </c>
      <c r="L222" s="31">
        <f>IFERROR(SUMPRODUCT(tFlag*(ISNUMBER(tCurDSCR)*(tCurDSCR&gt;=$W222)*(tCurDSCR&lt;$X222)),tUPBf,tCurLTV)/SUMPRODUCT(tFlag*(ISNUMBER(tCurDSCR)*(tCurDSCR&gt;=$W222)*(tCurDSCR&lt;$X222))*ISNUMBER(tCurLTV),tUPBf),0)</f>
        <v/>
      </c>
      <c r="M222" s="31">
        <f>IFERROR(SUMPRODUCT(tFlag*(ISNUMBER(tCurDSCR)*(tCurDSCR&gt;=$W222)*(tCurDSCR&lt;$X222)),tUPBf,tUWDY)/SUMPRODUCT(tFlag*(ISNUMBER(tCurDSCR)*(tCurDSCR&gt;=$W222)*(tCurDSCR&lt;$X222))*ISNUMBER(tUWDY),tUPBf),0)</f>
        <v/>
      </c>
      <c r="N222" s="31">
        <f>IFERROR(SUMPRODUCT(tFlag*(ISNUMBER(tCurDSCR)*(tCurDSCR&gt;=$W222)*(tCurDSCR&lt;$X222)),tUPBf,tCurDY)/SUMPRODUCT(tFlag*(ISNUMBER(tCurDSCR)*(tCurDSCR&gt;=$W222)*(tCurDSCR&lt;$X222))*ISNUMBER(tCurDY),tUPBf),0)</f>
        <v/>
      </c>
      <c r="O222" s="31">
        <f>IFERROR(SUMPRODUCT(tFlag*(ISNUMBER(tCurDSCR)*(tCurDSCR&gt;=$W222)*(tCurDSCR&lt;$X222)),tUPBf,tOcc)/SUMPRODUCT(tFlag*(ISNUMBER(tCurDSCR)*(tCurDSCR&gt;=$W222)*(tCurDSCR&lt;$X222))*ISNUMBER(tOcc),tUPBf),0)</f>
        <v/>
      </c>
      <c r="P222" s="47">
        <f>IFERROR(SUMPRODUCT(tFlag*(ISNUMBER(tCurDSCR)*(tCurDSCR&gt;=$W222)*(tCurDSCR&lt;$X222)),tUPBf,tRem)/SUMPRODUCT(tFlag*(ISNUMBER(tCurDSCR)*(tCurDSCR&gt;=$W222)*(tCurDSCR&lt;$X222))*ISNUMBER(tRem),tUPBf),0)</f>
        <v/>
      </c>
      <c r="Q222" s="31">
        <f>IFERROR(SUMPRODUCT(tFlag*(ISNUMBER(tCurDSCR)*(tCurDSCR&gt;=$W222)*(tCurDSCR&lt;$X222)),tUPBf,tFIO)/$E222,0)</f>
        <v/>
      </c>
      <c r="R222" s="31">
        <f>IFERROR(SUMPRODUCT(tFlag*(ISNUMBER(tCurDSCR)*(tCurDSCR&gt;=$W222)*(tCurDSCR&lt;$X222)),tUPBf,tDefF)/$E222,0)</f>
        <v/>
      </c>
      <c r="S222" s="31">
        <f>IFERROR(SUMPRODUCT(tFlag*(ISNUMBER(tCurDSCR)*(tCurDSCR&gt;=$W222)*(tCurDSCR&lt;$X222)),tUPBf,tSSF)/$E222,0)</f>
        <v/>
      </c>
      <c r="T222" s="31">
        <f>IFERROR(SUMPRODUCT(tFlag*(ISNUMBER(tCurDSCR)*(tCurDSCR&gt;=$W222)*(tCurDSCR&lt;$X222)),tUPBf,tDQ)/$E222,0)</f>
        <v/>
      </c>
      <c r="U222" s="31">
        <f>IFERROR(SUMPRODUCT(tFlag*(ISNUMBER(tCurDSCR)*(tCurDSCR&gt;=$W222)*(tCurDSCR&lt;$X222)),tUPBf,tWLF)/$E222,0)</f>
        <v/>
      </c>
      <c r="W222" s="52" t="n">
        <v>1</v>
      </c>
      <c r="X222" s="52" t="n">
        <v>1.25</v>
      </c>
    </row>
    <row r="223">
      <c r="B223" s="18" t="inlineStr">
        <is>
          <t>1.25x to 1.50x</t>
        </is>
      </c>
      <c r="C223" s="19">
        <f>SUMPRODUCT(tFlag*(ISNUMBER(tCurDSCR)*(tCurDSCR&gt;=$W223)*(tCurDSCR&lt;$X223)))</f>
        <v/>
      </c>
      <c r="D223" s="22">
        <f>IFERROR(C223/sLoans,0)</f>
        <v/>
      </c>
      <c r="E223" s="21">
        <f>SUMPRODUCT(tFlag*(ISNUMBER(tCurDSCR)*(tCurDSCR&gt;=$W223)*(tCurDSCR&lt;$X223)),tUPBf)</f>
        <v/>
      </c>
      <c r="F223" s="22">
        <f>IFERROR(E223/sUPB,0)</f>
        <v/>
      </c>
      <c r="G223" s="21">
        <f>IFERROR(E223/C223,0)</f>
        <v/>
      </c>
      <c r="H223" s="23">
        <f>IFERROR(SUMPRODUCT(tFlag*(ISNUMBER(tCurDSCR)*(tCurDSCR&gt;=$W223)*(tCurDSCR&lt;$X223)),tUPBf,tCpn)/SUMPRODUCT(tFlag*(ISNUMBER(tCurDSCR)*(tCurDSCR&gt;=$W223)*(tCurDSCR&lt;$X223))*ISNUMBER(tCpn),tUPBf),0)</f>
        <v/>
      </c>
      <c r="I223" s="24">
        <f>IFERROR(SUMPRODUCT(tFlag*(ISNUMBER(tCurDSCR)*(tCurDSCR&gt;=$W223)*(tCurDSCR&lt;$X223)),tUPBf,tUWDSCR)/SUMPRODUCT(tFlag*(ISNUMBER(tCurDSCR)*(tCurDSCR&gt;=$W223)*(tCurDSCR&lt;$X223))*ISNUMBER(tUWDSCR),tUPBf),0)</f>
        <v/>
      </c>
      <c r="J223" s="24">
        <f>IFERROR(SUMPRODUCT(tFlag*(ISNUMBER(tCurDSCR)*(tCurDSCR&gt;=$W223)*(tCurDSCR&lt;$X223)),tUPBf,tCurDSCR)/SUMPRODUCT(tFlag*(ISNUMBER(tCurDSCR)*(tCurDSCR&gt;=$W223)*(tCurDSCR&lt;$X223))*ISNUMBER(tCurDSCR),tUPBf),0)</f>
        <v/>
      </c>
      <c r="K223" s="22">
        <f>IFERROR(SUMPRODUCT(tFlag*(ISNUMBER(tCurDSCR)*(tCurDSCR&gt;=$W223)*(tCurDSCR&lt;$X223)),tUPBf,tUWLTV)/SUMPRODUCT(tFlag*(ISNUMBER(tCurDSCR)*(tCurDSCR&gt;=$W223)*(tCurDSCR&lt;$X223))*ISNUMBER(tUWLTV),tUPBf),0)</f>
        <v/>
      </c>
      <c r="L223" s="22">
        <f>IFERROR(SUMPRODUCT(tFlag*(ISNUMBER(tCurDSCR)*(tCurDSCR&gt;=$W223)*(tCurDSCR&lt;$X223)),tUPBf,tCurLTV)/SUMPRODUCT(tFlag*(ISNUMBER(tCurDSCR)*(tCurDSCR&gt;=$W223)*(tCurDSCR&lt;$X223))*ISNUMBER(tCurLTV),tUPBf),0)</f>
        <v/>
      </c>
      <c r="M223" s="22">
        <f>IFERROR(SUMPRODUCT(tFlag*(ISNUMBER(tCurDSCR)*(tCurDSCR&gt;=$W223)*(tCurDSCR&lt;$X223)),tUPBf,tUWDY)/SUMPRODUCT(tFlag*(ISNUMBER(tCurDSCR)*(tCurDSCR&gt;=$W223)*(tCurDSCR&lt;$X223))*ISNUMBER(tUWDY),tUPBf),0)</f>
        <v/>
      </c>
      <c r="N223" s="22">
        <f>IFERROR(SUMPRODUCT(tFlag*(ISNUMBER(tCurDSCR)*(tCurDSCR&gt;=$W223)*(tCurDSCR&lt;$X223)),tUPBf,tCurDY)/SUMPRODUCT(tFlag*(ISNUMBER(tCurDSCR)*(tCurDSCR&gt;=$W223)*(tCurDSCR&lt;$X223))*ISNUMBER(tCurDY),tUPBf),0)</f>
        <v/>
      </c>
      <c r="O223" s="22">
        <f>IFERROR(SUMPRODUCT(tFlag*(ISNUMBER(tCurDSCR)*(tCurDSCR&gt;=$W223)*(tCurDSCR&lt;$X223)),tUPBf,tOcc)/SUMPRODUCT(tFlag*(ISNUMBER(tCurDSCR)*(tCurDSCR&gt;=$W223)*(tCurDSCR&lt;$X223))*ISNUMBER(tOcc),tUPBf),0)</f>
        <v/>
      </c>
      <c r="P223" s="45">
        <f>IFERROR(SUMPRODUCT(tFlag*(ISNUMBER(tCurDSCR)*(tCurDSCR&gt;=$W223)*(tCurDSCR&lt;$X223)),tUPBf,tRem)/SUMPRODUCT(tFlag*(ISNUMBER(tCurDSCR)*(tCurDSCR&gt;=$W223)*(tCurDSCR&lt;$X223))*ISNUMBER(tRem),tUPBf),0)</f>
        <v/>
      </c>
      <c r="Q223" s="22">
        <f>IFERROR(SUMPRODUCT(tFlag*(ISNUMBER(tCurDSCR)*(tCurDSCR&gt;=$W223)*(tCurDSCR&lt;$X223)),tUPBf,tFIO)/$E223,0)</f>
        <v/>
      </c>
      <c r="R223" s="22">
        <f>IFERROR(SUMPRODUCT(tFlag*(ISNUMBER(tCurDSCR)*(tCurDSCR&gt;=$W223)*(tCurDSCR&lt;$X223)),tUPBf,tDefF)/$E223,0)</f>
        <v/>
      </c>
      <c r="S223" s="22">
        <f>IFERROR(SUMPRODUCT(tFlag*(ISNUMBER(tCurDSCR)*(tCurDSCR&gt;=$W223)*(tCurDSCR&lt;$X223)),tUPBf,tSSF)/$E223,0)</f>
        <v/>
      </c>
      <c r="T223" s="22">
        <f>IFERROR(SUMPRODUCT(tFlag*(ISNUMBER(tCurDSCR)*(tCurDSCR&gt;=$W223)*(tCurDSCR&lt;$X223)),tUPBf,tDQ)/$E223,0)</f>
        <v/>
      </c>
      <c r="U223" s="22">
        <f>IFERROR(SUMPRODUCT(tFlag*(ISNUMBER(tCurDSCR)*(tCurDSCR&gt;=$W223)*(tCurDSCR&lt;$X223)),tUPBf,tWLF)/$E223,0)</f>
        <v/>
      </c>
      <c r="W223" s="52" t="n">
        <v>1.25</v>
      </c>
      <c r="X223" s="52" t="n">
        <v>1.5</v>
      </c>
    </row>
    <row r="224">
      <c r="B224" s="27" t="inlineStr">
        <is>
          <t>1.50x to 1.75x</t>
        </is>
      </c>
      <c r="C224" s="28">
        <f>SUMPRODUCT(tFlag*(ISNUMBER(tCurDSCR)*(tCurDSCR&gt;=$W224)*(tCurDSCR&lt;$X224)))</f>
        <v/>
      </c>
      <c r="D224" s="31">
        <f>IFERROR(C224/sLoans,0)</f>
        <v/>
      </c>
      <c r="E224" s="30">
        <f>SUMPRODUCT(tFlag*(ISNUMBER(tCurDSCR)*(tCurDSCR&gt;=$W224)*(tCurDSCR&lt;$X224)),tUPBf)</f>
        <v/>
      </c>
      <c r="F224" s="31">
        <f>IFERROR(E224/sUPB,0)</f>
        <v/>
      </c>
      <c r="G224" s="30">
        <f>IFERROR(E224/C224,0)</f>
        <v/>
      </c>
      <c r="H224" s="32">
        <f>IFERROR(SUMPRODUCT(tFlag*(ISNUMBER(tCurDSCR)*(tCurDSCR&gt;=$W224)*(tCurDSCR&lt;$X224)),tUPBf,tCpn)/SUMPRODUCT(tFlag*(ISNUMBER(tCurDSCR)*(tCurDSCR&gt;=$W224)*(tCurDSCR&lt;$X224))*ISNUMBER(tCpn),tUPBf),0)</f>
        <v/>
      </c>
      <c r="I224" s="33">
        <f>IFERROR(SUMPRODUCT(tFlag*(ISNUMBER(tCurDSCR)*(tCurDSCR&gt;=$W224)*(tCurDSCR&lt;$X224)),tUPBf,tUWDSCR)/SUMPRODUCT(tFlag*(ISNUMBER(tCurDSCR)*(tCurDSCR&gt;=$W224)*(tCurDSCR&lt;$X224))*ISNUMBER(tUWDSCR),tUPBf),0)</f>
        <v/>
      </c>
      <c r="J224" s="33">
        <f>IFERROR(SUMPRODUCT(tFlag*(ISNUMBER(tCurDSCR)*(tCurDSCR&gt;=$W224)*(tCurDSCR&lt;$X224)),tUPBf,tCurDSCR)/SUMPRODUCT(tFlag*(ISNUMBER(tCurDSCR)*(tCurDSCR&gt;=$W224)*(tCurDSCR&lt;$X224))*ISNUMBER(tCurDSCR),tUPBf),0)</f>
        <v/>
      </c>
      <c r="K224" s="31">
        <f>IFERROR(SUMPRODUCT(tFlag*(ISNUMBER(tCurDSCR)*(tCurDSCR&gt;=$W224)*(tCurDSCR&lt;$X224)),tUPBf,tUWLTV)/SUMPRODUCT(tFlag*(ISNUMBER(tCurDSCR)*(tCurDSCR&gt;=$W224)*(tCurDSCR&lt;$X224))*ISNUMBER(tUWLTV),tUPBf),0)</f>
        <v/>
      </c>
      <c r="L224" s="31">
        <f>IFERROR(SUMPRODUCT(tFlag*(ISNUMBER(tCurDSCR)*(tCurDSCR&gt;=$W224)*(tCurDSCR&lt;$X224)),tUPBf,tCurLTV)/SUMPRODUCT(tFlag*(ISNUMBER(tCurDSCR)*(tCurDSCR&gt;=$W224)*(tCurDSCR&lt;$X224))*ISNUMBER(tCurLTV),tUPBf),0)</f>
        <v/>
      </c>
      <c r="M224" s="31">
        <f>IFERROR(SUMPRODUCT(tFlag*(ISNUMBER(tCurDSCR)*(tCurDSCR&gt;=$W224)*(tCurDSCR&lt;$X224)),tUPBf,tUWDY)/SUMPRODUCT(tFlag*(ISNUMBER(tCurDSCR)*(tCurDSCR&gt;=$W224)*(tCurDSCR&lt;$X224))*ISNUMBER(tUWDY),tUPBf),0)</f>
        <v/>
      </c>
      <c r="N224" s="31">
        <f>IFERROR(SUMPRODUCT(tFlag*(ISNUMBER(tCurDSCR)*(tCurDSCR&gt;=$W224)*(tCurDSCR&lt;$X224)),tUPBf,tCurDY)/SUMPRODUCT(tFlag*(ISNUMBER(tCurDSCR)*(tCurDSCR&gt;=$W224)*(tCurDSCR&lt;$X224))*ISNUMBER(tCurDY),tUPBf),0)</f>
        <v/>
      </c>
      <c r="O224" s="31">
        <f>IFERROR(SUMPRODUCT(tFlag*(ISNUMBER(tCurDSCR)*(tCurDSCR&gt;=$W224)*(tCurDSCR&lt;$X224)),tUPBf,tOcc)/SUMPRODUCT(tFlag*(ISNUMBER(tCurDSCR)*(tCurDSCR&gt;=$W224)*(tCurDSCR&lt;$X224))*ISNUMBER(tOcc),tUPBf),0)</f>
        <v/>
      </c>
      <c r="P224" s="47">
        <f>IFERROR(SUMPRODUCT(tFlag*(ISNUMBER(tCurDSCR)*(tCurDSCR&gt;=$W224)*(tCurDSCR&lt;$X224)),tUPBf,tRem)/SUMPRODUCT(tFlag*(ISNUMBER(tCurDSCR)*(tCurDSCR&gt;=$W224)*(tCurDSCR&lt;$X224))*ISNUMBER(tRem),tUPBf),0)</f>
        <v/>
      </c>
      <c r="Q224" s="31">
        <f>IFERROR(SUMPRODUCT(tFlag*(ISNUMBER(tCurDSCR)*(tCurDSCR&gt;=$W224)*(tCurDSCR&lt;$X224)),tUPBf,tFIO)/$E224,0)</f>
        <v/>
      </c>
      <c r="R224" s="31">
        <f>IFERROR(SUMPRODUCT(tFlag*(ISNUMBER(tCurDSCR)*(tCurDSCR&gt;=$W224)*(tCurDSCR&lt;$X224)),tUPBf,tDefF)/$E224,0)</f>
        <v/>
      </c>
      <c r="S224" s="31">
        <f>IFERROR(SUMPRODUCT(tFlag*(ISNUMBER(tCurDSCR)*(tCurDSCR&gt;=$W224)*(tCurDSCR&lt;$X224)),tUPBf,tSSF)/$E224,0)</f>
        <v/>
      </c>
      <c r="T224" s="31">
        <f>IFERROR(SUMPRODUCT(tFlag*(ISNUMBER(tCurDSCR)*(tCurDSCR&gt;=$W224)*(tCurDSCR&lt;$X224)),tUPBf,tDQ)/$E224,0)</f>
        <v/>
      </c>
      <c r="U224" s="31">
        <f>IFERROR(SUMPRODUCT(tFlag*(ISNUMBER(tCurDSCR)*(tCurDSCR&gt;=$W224)*(tCurDSCR&lt;$X224)),tUPBf,tWLF)/$E224,0)</f>
        <v/>
      </c>
      <c r="W224" s="52" t="n">
        <v>1.5</v>
      </c>
      <c r="X224" s="52" t="n">
        <v>1.75</v>
      </c>
    </row>
    <row r="225">
      <c r="B225" s="18" t="inlineStr">
        <is>
          <t>1.75x to 2.00x</t>
        </is>
      </c>
      <c r="C225" s="19">
        <f>SUMPRODUCT(tFlag*(ISNUMBER(tCurDSCR)*(tCurDSCR&gt;=$W225)*(tCurDSCR&lt;$X225)))</f>
        <v/>
      </c>
      <c r="D225" s="22">
        <f>IFERROR(C225/sLoans,0)</f>
        <v/>
      </c>
      <c r="E225" s="21">
        <f>SUMPRODUCT(tFlag*(ISNUMBER(tCurDSCR)*(tCurDSCR&gt;=$W225)*(tCurDSCR&lt;$X225)),tUPBf)</f>
        <v/>
      </c>
      <c r="F225" s="22">
        <f>IFERROR(E225/sUPB,0)</f>
        <v/>
      </c>
      <c r="G225" s="21">
        <f>IFERROR(E225/C225,0)</f>
        <v/>
      </c>
      <c r="H225" s="23">
        <f>IFERROR(SUMPRODUCT(tFlag*(ISNUMBER(tCurDSCR)*(tCurDSCR&gt;=$W225)*(tCurDSCR&lt;$X225)),tUPBf,tCpn)/SUMPRODUCT(tFlag*(ISNUMBER(tCurDSCR)*(tCurDSCR&gt;=$W225)*(tCurDSCR&lt;$X225))*ISNUMBER(tCpn),tUPBf),0)</f>
        <v/>
      </c>
      <c r="I225" s="24">
        <f>IFERROR(SUMPRODUCT(tFlag*(ISNUMBER(tCurDSCR)*(tCurDSCR&gt;=$W225)*(tCurDSCR&lt;$X225)),tUPBf,tUWDSCR)/SUMPRODUCT(tFlag*(ISNUMBER(tCurDSCR)*(tCurDSCR&gt;=$W225)*(tCurDSCR&lt;$X225))*ISNUMBER(tUWDSCR),tUPBf),0)</f>
        <v/>
      </c>
      <c r="J225" s="24">
        <f>IFERROR(SUMPRODUCT(tFlag*(ISNUMBER(tCurDSCR)*(tCurDSCR&gt;=$W225)*(tCurDSCR&lt;$X225)),tUPBf,tCurDSCR)/SUMPRODUCT(tFlag*(ISNUMBER(tCurDSCR)*(tCurDSCR&gt;=$W225)*(tCurDSCR&lt;$X225))*ISNUMBER(tCurDSCR),tUPBf),0)</f>
        <v/>
      </c>
      <c r="K225" s="22">
        <f>IFERROR(SUMPRODUCT(tFlag*(ISNUMBER(tCurDSCR)*(tCurDSCR&gt;=$W225)*(tCurDSCR&lt;$X225)),tUPBf,tUWLTV)/SUMPRODUCT(tFlag*(ISNUMBER(tCurDSCR)*(tCurDSCR&gt;=$W225)*(tCurDSCR&lt;$X225))*ISNUMBER(tUWLTV),tUPBf),0)</f>
        <v/>
      </c>
      <c r="L225" s="22">
        <f>IFERROR(SUMPRODUCT(tFlag*(ISNUMBER(tCurDSCR)*(tCurDSCR&gt;=$W225)*(tCurDSCR&lt;$X225)),tUPBf,tCurLTV)/SUMPRODUCT(tFlag*(ISNUMBER(tCurDSCR)*(tCurDSCR&gt;=$W225)*(tCurDSCR&lt;$X225))*ISNUMBER(tCurLTV),tUPBf),0)</f>
        <v/>
      </c>
      <c r="M225" s="22">
        <f>IFERROR(SUMPRODUCT(tFlag*(ISNUMBER(tCurDSCR)*(tCurDSCR&gt;=$W225)*(tCurDSCR&lt;$X225)),tUPBf,tUWDY)/SUMPRODUCT(tFlag*(ISNUMBER(tCurDSCR)*(tCurDSCR&gt;=$W225)*(tCurDSCR&lt;$X225))*ISNUMBER(tUWDY),tUPBf),0)</f>
        <v/>
      </c>
      <c r="N225" s="22">
        <f>IFERROR(SUMPRODUCT(tFlag*(ISNUMBER(tCurDSCR)*(tCurDSCR&gt;=$W225)*(tCurDSCR&lt;$X225)),tUPBf,tCurDY)/SUMPRODUCT(tFlag*(ISNUMBER(tCurDSCR)*(tCurDSCR&gt;=$W225)*(tCurDSCR&lt;$X225))*ISNUMBER(tCurDY),tUPBf),0)</f>
        <v/>
      </c>
      <c r="O225" s="22">
        <f>IFERROR(SUMPRODUCT(tFlag*(ISNUMBER(tCurDSCR)*(tCurDSCR&gt;=$W225)*(tCurDSCR&lt;$X225)),tUPBf,tOcc)/SUMPRODUCT(tFlag*(ISNUMBER(tCurDSCR)*(tCurDSCR&gt;=$W225)*(tCurDSCR&lt;$X225))*ISNUMBER(tOcc),tUPBf),0)</f>
        <v/>
      </c>
      <c r="P225" s="45">
        <f>IFERROR(SUMPRODUCT(tFlag*(ISNUMBER(tCurDSCR)*(tCurDSCR&gt;=$W225)*(tCurDSCR&lt;$X225)),tUPBf,tRem)/SUMPRODUCT(tFlag*(ISNUMBER(tCurDSCR)*(tCurDSCR&gt;=$W225)*(tCurDSCR&lt;$X225))*ISNUMBER(tRem),tUPBf),0)</f>
        <v/>
      </c>
      <c r="Q225" s="22">
        <f>IFERROR(SUMPRODUCT(tFlag*(ISNUMBER(tCurDSCR)*(tCurDSCR&gt;=$W225)*(tCurDSCR&lt;$X225)),tUPBf,tFIO)/$E225,0)</f>
        <v/>
      </c>
      <c r="R225" s="22">
        <f>IFERROR(SUMPRODUCT(tFlag*(ISNUMBER(tCurDSCR)*(tCurDSCR&gt;=$W225)*(tCurDSCR&lt;$X225)),tUPBf,tDefF)/$E225,0)</f>
        <v/>
      </c>
      <c r="S225" s="22">
        <f>IFERROR(SUMPRODUCT(tFlag*(ISNUMBER(tCurDSCR)*(tCurDSCR&gt;=$W225)*(tCurDSCR&lt;$X225)),tUPBf,tSSF)/$E225,0)</f>
        <v/>
      </c>
      <c r="T225" s="22">
        <f>IFERROR(SUMPRODUCT(tFlag*(ISNUMBER(tCurDSCR)*(tCurDSCR&gt;=$W225)*(tCurDSCR&lt;$X225)),tUPBf,tDQ)/$E225,0)</f>
        <v/>
      </c>
      <c r="U225" s="22">
        <f>IFERROR(SUMPRODUCT(tFlag*(ISNUMBER(tCurDSCR)*(tCurDSCR&gt;=$W225)*(tCurDSCR&lt;$X225)),tUPBf,tWLF)/$E225,0)</f>
        <v/>
      </c>
      <c r="W225" s="52" t="n">
        <v>1.75</v>
      </c>
      <c r="X225" s="52" t="n">
        <v>2</v>
      </c>
    </row>
    <row r="226">
      <c r="B226" s="27" t="inlineStr">
        <is>
          <t>2.00x to 2.50x</t>
        </is>
      </c>
      <c r="C226" s="28">
        <f>SUMPRODUCT(tFlag*(ISNUMBER(tCurDSCR)*(tCurDSCR&gt;=$W226)*(tCurDSCR&lt;$X226)))</f>
        <v/>
      </c>
      <c r="D226" s="31">
        <f>IFERROR(C226/sLoans,0)</f>
        <v/>
      </c>
      <c r="E226" s="30">
        <f>SUMPRODUCT(tFlag*(ISNUMBER(tCurDSCR)*(tCurDSCR&gt;=$W226)*(tCurDSCR&lt;$X226)),tUPBf)</f>
        <v/>
      </c>
      <c r="F226" s="31">
        <f>IFERROR(E226/sUPB,0)</f>
        <v/>
      </c>
      <c r="G226" s="30">
        <f>IFERROR(E226/C226,0)</f>
        <v/>
      </c>
      <c r="H226" s="32">
        <f>IFERROR(SUMPRODUCT(tFlag*(ISNUMBER(tCurDSCR)*(tCurDSCR&gt;=$W226)*(tCurDSCR&lt;$X226)),tUPBf,tCpn)/SUMPRODUCT(tFlag*(ISNUMBER(tCurDSCR)*(tCurDSCR&gt;=$W226)*(tCurDSCR&lt;$X226))*ISNUMBER(tCpn),tUPBf),0)</f>
        <v/>
      </c>
      <c r="I226" s="33">
        <f>IFERROR(SUMPRODUCT(tFlag*(ISNUMBER(tCurDSCR)*(tCurDSCR&gt;=$W226)*(tCurDSCR&lt;$X226)),tUPBf,tUWDSCR)/SUMPRODUCT(tFlag*(ISNUMBER(tCurDSCR)*(tCurDSCR&gt;=$W226)*(tCurDSCR&lt;$X226))*ISNUMBER(tUWDSCR),tUPBf),0)</f>
        <v/>
      </c>
      <c r="J226" s="33">
        <f>IFERROR(SUMPRODUCT(tFlag*(ISNUMBER(tCurDSCR)*(tCurDSCR&gt;=$W226)*(tCurDSCR&lt;$X226)),tUPBf,tCurDSCR)/SUMPRODUCT(tFlag*(ISNUMBER(tCurDSCR)*(tCurDSCR&gt;=$W226)*(tCurDSCR&lt;$X226))*ISNUMBER(tCurDSCR),tUPBf),0)</f>
        <v/>
      </c>
      <c r="K226" s="31">
        <f>IFERROR(SUMPRODUCT(tFlag*(ISNUMBER(tCurDSCR)*(tCurDSCR&gt;=$W226)*(tCurDSCR&lt;$X226)),tUPBf,tUWLTV)/SUMPRODUCT(tFlag*(ISNUMBER(tCurDSCR)*(tCurDSCR&gt;=$W226)*(tCurDSCR&lt;$X226))*ISNUMBER(tUWLTV),tUPBf),0)</f>
        <v/>
      </c>
      <c r="L226" s="31">
        <f>IFERROR(SUMPRODUCT(tFlag*(ISNUMBER(tCurDSCR)*(tCurDSCR&gt;=$W226)*(tCurDSCR&lt;$X226)),tUPBf,tCurLTV)/SUMPRODUCT(tFlag*(ISNUMBER(tCurDSCR)*(tCurDSCR&gt;=$W226)*(tCurDSCR&lt;$X226))*ISNUMBER(tCurLTV),tUPBf),0)</f>
        <v/>
      </c>
      <c r="M226" s="31">
        <f>IFERROR(SUMPRODUCT(tFlag*(ISNUMBER(tCurDSCR)*(tCurDSCR&gt;=$W226)*(tCurDSCR&lt;$X226)),tUPBf,tUWDY)/SUMPRODUCT(tFlag*(ISNUMBER(tCurDSCR)*(tCurDSCR&gt;=$W226)*(tCurDSCR&lt;$X226))*ISNUMBER(tUWDY),tUPBf),0)</f>
        <v/>
      </c>
      <c r="N226" s="31">
        <f>IFERROR(SUMPRODUCT(tFlag*(ISNUMBER(tCurDSCR)*(tCurDSCR&gt;=$W226)*(tCurDSCR&lt;$X226)),tUPBf,tCurDY)/SUMPRODUCT(tFlag*(ISNUMBER(tCurDSCR)*(tCurDSCR&gt;=$W226)*(tCurDSCR&lt;$X226))*ISNUMBER(tCurDY),tUPBf),0)</f>
        <v/>
      </c>
      <c r="O226" s="31">
        <f>IFERROR(SUMPRODUCT(tFlag*(ISNUMBER(tCurDSCR)*(tCurDSCR&gt;=$W226)*(tCurDSCR&lt;$X226)),tUPBf,tOcc)/SUMPRODUCT(tFlag*(ISNUMBER(tCurDSCR)*(tCurDSCR&gt;=$W226)*(tCurDSCR&lt;$X226))*ISNUMBER(tOcc),tUPBf),0)</f>
        <v/>
      </c>
      <c r="P226" s="47">
        <f>IFERROR(SUMPRODUCT(tFlag*(ISNUMBER(tCurDSCR)*(tCurDSCR&gt;=$W226)*(tCurDSCR&lt;$X226)),tUPBf,tRem)/SUMPRODUCT(tFlag*(ISNUMBER(tCurDSCR)*(tCurDSCR&gt;=$W226)*(tCurDSCR&lt;$X226))*ISNUMBER(tRem),tUPBf),0)</f>
        <v/>
      </c>
      <c r="Q226" s="31">
        <f>IFERROR(SUMPRODUCT(tFlag*(ISNUMBER(tCurDSCR)*(tCurDSCR&gt;=$W226)*(tCurDSCR&lt;$X226)),tUPBf,tFIO)/$E226,0)</f>
        <v/>
      </c>
      <c r="R226" s="31">
        <f>IFERROR(SUMPRODUCT(tFlag*(ISNUMBER(tCurDSCR)*(tCurDSCR&gt;=$W226)*(tCurDSCR&lt;$X226)),tUPBf,tDefF)/$E226,0)</f>
        <v/>
      </c>
      <c r="S226" s="31">
        <f>IFERROR(SUMPRODUCT(tFlag*(ISNUMBER(tCurDSCR)*(tCurDSCR&gt;=$W226)*(tCurDSCR&lt;$X226)),tUPBf,tSSF)/$E226,0)</f>
        <v/>
      </c>
      <c r="T226" s="31">
        <f>IFERROR(SUMPRODUCT(tFlag*(ISNUMBER(tCurDSCR)*(tCurDSCR&gt;=$W226)*(tCurDSCR&lt;$X226)),tUPBf,tDQ)/$E226,0)</f>
        <v/>
      </c>
      <c r="U226" s="31">
        <f>IFERROR(SUMPRODUCT(tFlag*(ISNUMBER(tCurDSCR)*(tCurDSCR&gt;=$W226)*(tCurDSCR&lt;$X226)),tUPBf,tWLF)/$E226,0)</f>
        <v/>
      </c>
      <c r="W226" s="52" t="n">
        <v>2</v>
      </c>
      <c r="X226" s="52" t="n">
        <v>2.5</v>
      </c>
    </row>
    <row r="227">
      <c r="B227" s="18" t="inlineStr">
        <is>
          <t>2.50x or Greater</t>
        </is>
      </c>
      <c r="C227" s="19">
        <f>SUMPRODUCT(tFlag*(ISNUMBER(tCurDSCR)*(tCurDSCR&gt;=$W227)*(tCurDSCR&lt;$X227)))</f>
        <v/>
      </c>
      <c r="D227" s="22">
        <f>IFERROR(C227/sLoans,0)</f>
        <v/>
      </c>
      <c r="E227" s="21">
        <f>SUMPRODUCT(tFlag*(ISNUMBER(tCurDSCR)*(tCurDSCR&gt;=$W227)*(tCurDSCR&lt;$X227)),tUPBf)</f>
        <v/>
      </c>
      <c r="F227" s="22">
        <f>IFERROR(E227/sUPB,0)</f>
        <v/>
      </c>
      <c r="G227" s="21">
        <f>IFERROR(E227/C227,0)</f>
        <v/>
      </c>
      <c r="H227" s="23">
        <f>IFERROR(SUMPRODUCT(tFlag*(ISNUMBER(tCurDSCR)*(tCurDSCR&gt;=$W227)*(tCurDSCR&lt;$X227)),tUPBf,tCpn)/SUMPRODUCT(tFlag*(ISNUMBER(tCurDSCR)*(tCurDSCR&gt;=$W227)*(tCurDSCR&lt;$X227))*ISNUMBER(tCpn),tUPBf),0)</f>
        <v/>
      </c>
      <c r="I227" s="24">
        <f>IFERROR(SUMPRODUCT(tFlag*(ISNUMBER(tCurDSCR)*(tCurDSCR&gt;=$W227)*(tCurDSCR&lt;$X227)),tUPBf,tUWDSCR)/SUMPRODUCT(tFlag*(ISNUMBER(tCurDSCR)*(tCurDSCR&gt;=$W227)*(tCurDSCR&lt;$X227))*ISNUMBER(tUWDSCR),tUPBf),0)</f>
        <v/>
      </c>
      <c r="J227" s="24">
        <f>IFERROR(SUMPRODUCT(tFlag*(ISNUMBER(tCurDSCR)*(tCurDSCR&gt;=$W227)*(tCurDSCR&lt;$X227)),tUPBf,tCurDSCR)/SUMPRODUCT(tFlag*(ISNUMBER(tCurDSCR)*(tCurDSCR&gt;=$W227)*(tCurDSCR&lt;$X227))*ISNUMBER(tCurDSCR),tUPBf),0)</f>
        <v/>
      </c>
      <c r="K227" s="22">
        <f>IFERROR(SUMPRODUCT(tFlag*(ISNUMBER(tCurDSCR)*(tCurDSCR&gt;=$W227)*(tCurDSCR&lt;$X227)),tUPBf,tUWLTV)/SUMPRODUCT(tFlag*(ISNUMBER(tCurDSCR)*(tCurDSCR&gt;=$W227)*(tCurDSCR&lt;$X227))*ISNUMBER(tUWLTV),tUPBf),0)</f>
        <v/>
      </c>
      <c r="L227" s="22">
        <f>IFERROR(SUMPRODUCT(tFlag*(ISNUMBER(tCurDSCR)*(tCurDSCR&gt;=$W227)*(tCurDSCR&lt;$X227)),tUPBf,tCurLTV)/SUMPRODUCT(tFlag*(ISNUMBER(tCurDSCR)*(tCurDSCR&gt;=$W227)*(tCurDSCR&lt;$X227))*ISNUMBER(tCurLTV),tUPBf),0)</f>
        <v/>
      </c>
      <c r="M227" s="22">
        <f>IFERROR(SUMPRODUCT(tFlag*(ISNUMBER(tCurDSCR)*(tCurDSCR&gt;=$W227)*(tCurDSCR&lt;$X227)),tUPBf,tUWDY)/SUMPRODUCT(tFlag*(ISNUMBER(tCurDSCR)*(tCurDSCR&gt;=$W227)*(tCurDSCR&lt;$X227))*ISNUMBER(tUWDY),tUPBf),0)</f>
        <v/>
      </c>
      <c r="N227" s="22">
        <f>IFERROR(SUMPRODUCT(tFlag*(ISNUMBER(tCurDSCR)*(tCurDSCR&gt;=$W227)*(tCurDSCR&lt;$X227)),tUPBf,tCurDY)/SUMPRODUCT(tFlag*(ISNUMBER(tCurDSCR)*(tCurDSCR&gt;=$W227)*(tCurDSCR&lt;$X227))*ISNUMBER(tCurDY),tUPBf),0)</f>
        <v/>
      </c>
      <c r="O227" s="22">
        <f>IFERROR(SUMPRODUCT(tFlag*(ISNUMBER(tCurDSCR)*(tCurDSCR&gt;=$W227)*(tCurDSCR&lt;$X227)),tUPBf,tOcc)/SUMPRODUCT(tFlag*(ISNUMBER(tCurDSCR)*(tCurDSCR&gt;=$W227)*(tCurDSCR&lt;$X227))*ISNUMBER(tOcc),tUPBf),0)</f>
        <v/>
      </c>
      <c r="P227" s="45">
        <f>IFERROR(SUMPRODUCT(tFlag*(ISNUMBER(tCurDSCR)*(tCurDSCR&gt;=$W227)*(tCurDSCR&lt;$X227)),tUPBf,tRem)/SUMPRODUCT(tFlag*(ISNUMBER(tCurDSCR)*(tCurDSCR&gt;=$W227)*(tCurDSCR&lt;$X227))*ISNUMBER(tRem),tUPBf),0)</f>
        <v/>
      </c>
      <c r="Q227" s="22">
        <f>IFERROR(SUMPRODUCT(tFlag*(ISNUMBER(tCurDSCR)*(tCurDSCR&gt;=$W227)*(tCurDSCR&lt;$X227)),tUPBf,tFIO)/$E227,0)</f>
        <v/>
      </c>
      <c r="R227" s="22">
        <f>IFERROR(SUMPRODUCT(tFlag*(ISNUMBER(tCurDSCR)*(tCurDSCR&gt;=$W227)*(tCurDSCR&lt;$X227)),tUPBf,tDefF)/$E227,0)</f>
        <v/>
      </c>
      <c r="S227" s="22">
        <f>IFERROR(SUMPRODUCT(tFlag*(ISNUMBER(tCurDSCR)*(tCurDSCR&gt;=$W227)*(tCurDSCR&lt;$X227)),tUPBf,tSSF)/$E227,0)</f>
        <v/>
      </c>
      <c r="T227" s="22">
        <f>IFERROR(SUMPRODUCT(tFlag*(ISNUMBER(tCurDSCR)*(tCurDSCR&gt;=$W227)*(tCurDSCR&lt;$X227)),tUPBf,tDQ)/$E227,0)</f>
        <v/>
      </c>
      <c r="U227" s="22">
        <f>IFERROR(SUMPRODUCT(tFlag*(ISNUMBER(tCurDSCR)*(tCurDSCR&gt;=$W227)*(tCurDSCR&lt;$X227)),tUPBf,tWLF)/$E227,0)</f>
        <v/>
      </c>
      <c r="W227" s="52" t="n">
        <v>2.5</v>
      </c>
      <c r="X227" s="52" t="n">
        <v>1000000000000</v>
      </c>
    </row>
    <row r="228">
      <c r="B228" s="27" t="inlineStr">
        <is>
          <t>Not Reported</t>
        </is>
      </c>
      <c r="C228" s="28">
        <f>SUMPRODUCT(tFlag*(1-ISNUMBER(tCurDSCR)))</f>
        <v/>
      </c>
      <c r="D228" s="31">
        <f>IFERROR(C228/sLoans,0)</f>
        <v/>
      </c>
      <c r="E228" s="30">
        <f>SUMPRODUCT(tFlag*(1-ISNUMBER(tCurDSCR)),tUPBf)</f>
        <v/>
      </c>
      <c r="F228" s="31">
        <f>IFERROR(E228/sUPB,0)</f>
        <v/>
      </c>
      <c r="G228" s="30">
        <f>IFERROR(E228/C228,0)</f>
        <v/>
      </c>
      <c r="H228" s="32">
        <f>IFERROR(SUMPRODUCT(tFlag*(1-ISNUMBER(tCurDSCR)),tUPBf,tCpn)/SUMPRODUCT(tFlag*(1-ISNUMBER(tCurDSCR))*ISNUMBER(tCpn),tUPBf),0)</f>
        <v/>
      </c>
      <c r="I228" s="33">
        <f>IFERROR(SUMPRODUCT(tFlag*(1-ISNUMBER(tCurDSCR)),tUPBf,tUWDSCR)/SUMPRODUCT(tFlag*(1-ISNUMBER(tCurDSCR))*ISNUMBER(tUWDSCR),tUPBf),0)</f>
        <v/>
      </c>
      <c r="J228" s="33">
        <f>IFERROR(SUMPRODUCT(tFlag*(1-ISNUMBER(tCurDSCR)),tUPBf,tCurDSCR)/SUMPRODUCT(tFlag*(1-ISNUMBER(tCurDSCR))*ISNUMBER(tCurDSCR),tUPBf),0)</f>
        <v/>
      </c>
      <c r="K228" s="31">
        <f>IFERROR(SUMPRODUCT(tFlag*(1-ISNUMBER(tCurDSCR)),tUPBf,tUWLTV)/SUMPRODUCT(tFlag*(1-ISNUMBER(tCurDSCR))*ISNUMBER(tUWLTV),tUPBf),0)</f>
        <v/>
      </c>
      <c r="L228" s="31">
        <f>IFERROR(SUMPRODUCT(tFlag*(1-ISNUMBER(tCurDSCR)),tUPBf,tCurLTV)/SUMPRODUCT(tFlag*(1-ISNUMBER(tCurDSCR))*ISNUMBER(tCurLTV),tUPBf),0)</f>
        <v/>
      </c>
      <c r="M228" s="31">
        <f>IFERROR(SUMPRODUCT(tFlag*(1-ISNUMBER(tCurDSCR)),tUPBf,tUWDY)/SUMPRODUCT(tFlag*(1-ISNUMBER(tCurDSCR))*ISNUMBER(tUWDY),tUPBf),0)</f>
        <v/>
      </c>
      <c r="N228" s="31">
        <f>IFERROR(SUMPRODUCT(tFlag*(1-ISNUMBER(tCurDSCR)),tUPBf,tCurDY)/SUMPRODUCT(tFlag*(1-ISNUMBER(tCurDSCR))*ISNUMBER(tCurDY),tUPBf),0)</f>
        <v/>
      </c>
      <c r="O228" s="31">
        <f>IFERROR(SUMPRODUCT(tFlag*(1-ISNUMBER(tCurDSCR)),tUPBf,tOcc)/SUMPRODUCT(tFlag*(1-ISNUMBER(tCurDSCR))*ISNUMBER(tOcc),tUPBf),0)</f>
        <v/>
      </c>
      <c r="P228" s="47">
        <f>IFERROR(SUMPRODUCT(tFlag*(1-ISNUMBER(tCurDSCR)),tUPBf,tRem)/SUMPRODUCT(tFlag*(1-ISNUMBER(tCurDSCR))*ISNUMBER(tRem),tUPBf),0)</f>
        <v/>
      </c>
      <c r="Q228" s="31">
        <f>IFERROR(SUMPRODUCT(tFlag*(1-ISNUMBER(tCurDSCR)),tUPBf,tFIO)/$E228,0)</f>
        <v/>
      </c>
      <c r="R228" s="31">
        <f>IFERROR(SUMPRODUCT(tFlag*(1-ISNUMBER(tCurDSCR)),tUPBf,tDefF)/$E228,0)</f>
        <v/>
      </c>
      <c r="S228" s="31">
        <f>IFERROR(SUMPRODUCT(tFlag*(1-ISNUMBER(tCurDSCR)),tUPBf,tSSF)/$E228,0)</f>
        <v/>
      </c>
      <c r="T228" s="31">
        <f>IFERROR(SUMPRODUCT(tFlag*(1-ISNUMBER(tCurDSCR)),tUPBf,tDQ)/$E228,0)</f>
        <v/>
      </c>
      <c r="U228" s="31">
        <f>IFERROR(SUMPRODUCT(tFlag*(1-ISNUMBER(tCurDSCR)),tUPBf,tWLF)/$E228,0)</f>
        <v/>
      </c>
    </row>
    <row r="229">
      <c r="B229" s="36" t="inlineStr">
        <is>
          <t>Total / Wtd. Avg.</t>
        </is>
      </c>
      <c r="C229" s="37">
        <f>SUMPRODUCT(tFlag*(1))</f>
        <v/>
      </c>
      <c r="D229" s="40">
        <f>IFERROR(C229/sLoans,0)</f>
        <v/>
      </c>
      <c r="E229" s="39">
        <f>SUMPRODUCT(tFlag*(1),tUPBf)</f>
        <v/>
      </c>
      <c r="F229" s="40">
        <f>IFERROR(E229/sUPB,0)</f>
        <v/>
      </c>
      <c r="G229" s="39">
        <f>IFERROR(E229/C229,0)</f>
        <v/>
      </c>
      <c r="H229" s="41">
        <f>IFERROR(SUMPRODUCT(tFlag*(1),tUPBf,tCpn)/SUMPRODUCT(tFlag*(1)*ISNUMBER(tCpn),tUPBf),0)</f>
        <v/>
      </c>
      <c r="I229" s="42">
        <f>IFERROR(SUMPRODUCT(tFlag*(1),tUPBf,tUWDSCR)/SUMPRODUCT(tFlag*(1)*ISNUMBER(tUWDSCR),tUPBf),0)</f>
        <v/>
      </c>
      <c r="J229" s="42">
        <f>IFERROR(SUMPRODUCT(tFlag*(1),tUPBf,tCurDSCR)/SUMPRODUCT(tFlag*(1)*ISNUMBER(tCurDSCR),tUPBf),0)</f>
        <v/>
      </c>
      <c r="K229" s="40">
        <f>IFERROR(SUMPRODUCT(tFlag*(1),tUPBf,tUWLTV)/SUMPRODUCT(tFlag*(1)*ISNUMBER(tUWLTV),tUPBf),0)</f>
        <v/>
      </c>
      <c r="L229" s="40">
        <f>IFERROR(SUMPRODUCT(tFlag*(1),tUPBf,tCurLTV)/SUMPRODUCT(tFlag*(1)*ISNUMBER(tCurLTV),tUPBf),0)</f>
        <v/>
      </c>
      <c r="M229" s="40">
        <f>IFERROR(SUMPRODUCT(tFlag*(1),tUPBf,tUWDY)/SUMPRODUCT(tFlag*(1)*ISNUMBER(tUWDY),tUPBf),0)</f>
        <v/>
      </c>
      <c r="N229" s="40">
        <f>IFERROR(SUMPRODUCT(tFlag*(1),tUPBf,tCurDY)/SUMPRODUCT(tFlag*(1)*ISNUMBER(tCurDY),tUPBf),0)</f>
        <v/>
      </c>
      <c r="O229" s="40">
        <f>IFERROR(SUMPRODUCT(tFlag*(1),tUPBf,tOcc)/SUMPRODUCT(tFlag*(1)*ISNUMBER(tOcc),tUPBf),0)</f>
        <v/>
      </c>
      <c r="P229" s="43">
        <f>IFERROR(SUMPRODUCT(tFlag*(1),tUPBf,tRem)/SUMPRODUCT(tFlag*(1)*ISNUMBER(tRem),tUPBf),0)</f>
        <v/>
      </c>
      <c r="Q229" s="40">
        <f>IFERROR(SUMPRODUCT(tFlag*(1),tUPBf,tFIO)/$E229,0)</f>
        <v/>
      </c>
      <c r="R229" s="40">
        <f>IFERROR(SUMPRODUCT(tFlag*(1),tUPBf,tDefF)/$E229,0)</f>
        <v/>
      </c>
      <c r="S229" s="40">
        <f>IFERROR(SUMPRODUCT(tFlag*(1),tUPBf,tSSF)/$E229,0)</f>
        <v/>
      </c>
      <c r="T229" s="40">
        <f>IFERROR(SUMPRODUCT(tFlag*(1),tUPBf,tDQ)/$E229,0)</f>
        <v/>
      </c>
      <c r="U229" s="40">
        <f>IFERROR(SUMPRODUCT(tFlag*(1),tUPBf,tWLF)/$E229,0)</f>
        <v/>
      </c>
    </row>
    <row r="231" ht="15" customHeight="1">
      <c r="B231" s="2" t="inlineStr">
        <is>
          <t>UW LTV (CUT-OFF)</t>
        </is>
      </c>
      <c r="C231" s="3" t="n"/>
      <c r="D231" s="3" t="n"/>
      <c r="E231" s="3" t="n"/>
      <c r="F231" s="3" t="n"/>
      <c r="G231" s="3" t="n"/>
      <c r="H231" s="3" t="n"/>
      <c r="I231" s="3" t="n"/>
      <c r="J231" s="3" t="n"/>
      <c r="K231" s="3" t="n"/>
      <c r="L231" s="3" t="n"/>
      <c r="M231" s="3" t="n"/>
      <c r="N231" s="3" t="n"/>
      <c r="O231" s="3" t="n"/>
      <c r="P231" s="3" t="n"/>
      <c r="Q231" s="3" t="n"/>
      <c r="R231" s="3" t="n"/>
      <c r="S231" s="3" t="n"/>
      <c r="T231" s="3" t="n"/>
      <c r="U231" s="3" t="n"/>
    </row>
    <row r="232" ht="39.75" customHeight="1">
      <c r="B232" s="15" t="inlineStr">
        <is>
          <t>Bucket</t>
        </is>
      </c>
      <c r="C232" s="16" t="inlineStr">
        <is>
          <t>Number of Loans</t>
        </is>
      </c>
      <c r="D232" s="16" t="inlineStr">
        <is>
          <t>% of Loans</t>
        </is>
      </c>
      <c r="E232" s="16" t="inlineStr">
        <is>
          <t>Current UPB</t>
        </is>
      </c>
      <c r="F232" s="16" t="inlineStr">
        <is>
          <t>% of UPB</t>
        </is>
      </c>
      <c r="G232" s="16" t="inlineStr">
        <is>
          <t>Average Loan Size</t>
        </is>
      </c>
      <c r="H232" s="16" t="inlineStr">
        <is>
          <t>Wtd. Avg. Gross Coupon</t>
        </is>
      </c>
      <c r="I232" s="16" t="inlineStr">
        <is>
          <t>Wtd. Avg. UW NCF DSCR</t>
        </is>
      </c>
      <c r="J232" s="16" t="inlineStr">
        <is>
          <t>Wtd. Avg. Current NCF DSCR</t>
        </is>
      </c>
      <c r="K232" s="16" t="inlineStr">
        <is>
          <t>Wtd. Avg. UW LTV</t>
        </is>
      </c>
      <c r="L232" s="16" t="inlineStr">
        <is>
          <t>Wtd. Avg. Current LTV</t>
        </is>
      </c>
      <c r="M232" s="16" t="inlineStr">
        <is>
          <t>Wtd. Avg. UW NCF Debt Yield</t>
        </is>
      </c>
      <c r="N232" s="16" t="inlineStr">
        <is>
          <t>Wtd. Avg. Current NCF Debt Yield</t>
        </is>
      </c>
      <c r="O232" s="16" t="inlineStr">
        <is>
          <t>Wtd. Avg. Current Occupancy</t>
        </is>
      </c>
      <c r="P232" s="16" t="inlineStr">
        <is>
          <t>Wtd. Avg. Rem. Term (Mo.)</t>
        </is>
      </c>
      <c r="Q232" s="16" t="inlineStr">
        <is>
          <t>% Full IO</t>
        </is>
      </c>
      <c r="R232" s="16" t="inlineStr">
        <is>
          <t>% Defeased</t>
        </is>
      </c>
      <c r="S232" s="16" t="inlineStr">
        <is>
          <t>% Currently Specially Serviced</t>
        </is>
      </c>
      <c r="T232" s="16" t="inlineStr">
        <is>
          <t>% 30+ Delinq. / FC / REO</t>
        </is>
      </c>
      <c r="U232" s="16" t="inlineStr">
        <is>
          <t>% On Watchlist</t>
        </is>
      </c>
      <c r="W232" s="17" t="inlineStr">
        <is>
          <t>Lower Bound (&gt;=)</t>
        </is>
      </c>
      <c r="X232" s="17" t="inlineStr">
        <is>
          <t>Upper Bound (&lt;)</t>
        </is>
      </c>
    </row>
    <row r="233">
      <c r="B233" s="18" t="inlineStr">
        <is>
          <t>Less than 50.0%</t>
        </is>
      </c>
      <c r="C233" s="19">
        <f>SUMPRODUCT(tFlag*(ISNUMBER(tUWLTV)*(tUWLTV&gt;=$W233)*(tUWLTV&lt;$X233)))</f>
        <v/>
      </c>
      <c r="D233" s="22">
        <f>IFERROR(C233/sLoans,0)</f>
        <v/>
      </c>
      <c r="E233" s="21">
        <f>SUMPRODUCT(tFlag*(ISNUMBER(tUWLTV)*(tUWLTV&gt;=$W233)*(tUWLTV&lt;$X233)),tUPBf)</f>
        <v/>
      </c>
      <c r="F233" s="22">
        <f>IFERROR(E233/sUPB,0)</f>
        <v/>
      </c>
      <c r="G233" s="21">
        <f>IFERROR(E233/C233,0)</f>
        <v/>
      </c>
      <c r="H233" s="23">
        <f>IFERROR(SUMPRODUCT(tFlag*(ISNUMBER(tUWLTV)*(tUWLTV&gt;=$W233)*(tUWLTV&lt;$X233)),tUPBf,tCpn)/SUMPRODUCT(tFlag*(ISNUMBER(tUWLTV)*(tUWLTV&gt;=$W233)*(tUWLTV&lt;$X233))*ISNUMBER(tCpn),tUPBf),0)</f>
        <v/>
      </c>
      <c r="I233" s="24">
        <f>IFERROR(SUMPRODUCT(tFlag*(ISNUMBER(tUWLTV)*(tUWLTV&gt;=$W233)*(tUWLTV&lt;$X233)),tUPBf,tUWDSCR)/SUMPRODUCT(tFlag*(ISNUMBER(tUWLTV)*(tUWLTV&gt;=$W233)*(tUWLTV&lt;$X233))*ISNUMBER(tUWDSCR),tUPBf),0)</f>
        <v/>
      </c>
      <c r="J233" s="24">
        <f>IFERROR(SUMPRODUCT(tFlag*(ISNUMBER(tUWLTV)*(tUWLTV&gt;=$W233)*(tUWLTV&lt;$X233)),tUPBf,tCurDSCR)/SUMPRODUCT(tFlag*(ISNUMBER(tUWLTV)*(tUWLTV&gt;=$W233)*(tUWLTV&lt;$X233))*ISNUMBER(tCurDSCR),tUPBf),0)</f>
        <v/>
      </c>
      <c r="K233" s="22">
        <f>IFERROR(SUMPRODUCT(tFlag*(ISNUMBER(tUWLTV)*(tUWLTV&gt;=$W233)*(tUWLTV&lt;$X233)),tUPBf,tUWLTV)/SUMPRODUCT(tFlag*(ISNUMBER(tUWLTV)*(tUWLTV&gt;=$W233)*(tUWLTV&lt;$X233))*ISNUMBER(tUWLTV),tUPBf),0)</f>
        <v/>
      </c>
      <c r="L233" s="22">
        <f>IFERROR(SUMPRODUCT(tFlag*(ISNUMBER(tUWLTV)*(tUWLTV&gt;=$W233)*(tUWLTV&lt;$X233)),tUPBf,tCurLTV)/SUMPRODUCT(tFlag*(ISNUMBER(tUWLTV)*(tUWLTV&gt;=$W233)*(tUWLTV&lt;$X233))*ISNUMBER(tCurLTV),tUPBf),0)</f>
        <v/>
      </c>
      <c r="M233" s="22">
        <f>IFERROR(SUMPRODUCT(tFlag*(ISNUMBER(tUWLTV)*(tUWLTV&gt;=$W233)*(tUWLTV&lt;$X233)),tUPBf,tUWDY)/SUMPRODUCT(tFlag*(ISNUMBER(tUWLTV)*(tUWLTV&gt;=$W233)*(tUWLTV&lt;$X233))*ISNUMBER(tUWDY),tUPBf),0)</f>
        <v/>
      </c>
      <c r="N233" s="22">
        <f>IFERROR(SUMPRODUCT(tFlag*(ISNUMBER(tUWLTV)*(tUWLTV&gt;=$W233)*(tUWLTV&lt;$X233)),tUPBf,tCurDY)/SUMPRODUCT(tFlag*(ISNUMBER(tUWLTV)*(tUWLTV&gt;=$W233)*(tUWLTV&lt;$X233))*ISNUMBER(tCurDY),tUPBf),0)</f>
        <v/>
      </c>
      <c r="O233" s="22">
        <f>IFERROR(SUMPRODUCT(tFlag*(ISNUMBER(tUWLTV)*(tUWLTV&gt;=$W233)*(tUWLTV&lt;$X233)),tUPBf,tOcc)/SUMPRODUCT(tFlag*(ISNUMBER(tUWLTV)*(tUWLTV&gt;=$W233)*(tUWLTV&lt;$X233))*ISNUMBER(tOcc),tUPBf),0)</f>
        <v/>
      </c>
      <c r="P233" s="45">
        <f>IFERROR(SUMPRODUCT(tFlag*(ISNUMBER(tUWLTV)*(tUWLTV&gt;=$W233)*(tUWLTV&lt;$X233)),tUPBf,tRem)/SUMPRODUCT(tFlag*(ISNUMBER(tUWLTV)*(tUWLTV&gt;=$W233)*(tUWLTV&lt;$X233))*ISNUMBER(tRem),tUPBf),0)</f>
        <v/>
      </c>
      <c r="Q233" s="22">
        <f>IFERROR(SUMPRODUCT(tFlag*(ISNUMBER(tUWLTV)*(tUWLTV&gt;=$W233)*(tUWLTV&lt;$X233)),tUPBf,tFIO)/$E233,0)</f>
        <v/>
      </c>
      <c r="R233" s="22">
        <f>IFERROR(SUMPRODUCT(tFlag*(ISNUMBER(tUWLTV)*(tUWLTV&gt;=$W233)*(tUWLTV&lt;$X233)),tUPBf,tDefF)/$E233,0)</f>
        <v/>
      </c>
      <c r="S233" s="22">
        <f>IFERROR(SUMPRODUCT(tFlag*(ISNUMBER(tUWLTV)*(tUWLTV&gt;=$W233)*(tUWLTV&lt;$X233)),tUPBf,tSSF)/$E233,0)</f>
        <v/>
      </c>
      <c r="T233" s="22">
        <f>IFERROR(SUMPRODUCT(tFlag*(ISNUMBER(tUWLTV)*(tUWLTV&gt;=$W233)*(tUWLTV&lt;$X233)),tUPBf,tDQ)/$E233,0)</f>
        <v/>
      </c>
      <c r="U233" s="22">
        <f>IFERROR(SUMPRODUCT(tFlag*(ISNUMBER(tUWLTV)*(tUWLTV&gt;=$W233)*(tUWLTV&lt;$X233)),tUPBf,tWLF)/$E233,0)</f>
        <v/>
      </c>
      <c r="W233" s="53" t="n">
        <v>-1000000000000</v>
      </c>
      <c r="X233" s="53" t="n">
        <v>0.5</v>
      </c>
    </row>
    <row r="234">
      <c r="B234" s="27" t="inlineStr">
        <is>
          <t>50.0% to 55.0%</t>
        </is>
      </c>
      <c r="C234" s="28">
        <f>SUMPRODUCT(tFlag*(ISNUMBER(tUWLTV)*(tUWLTV&gt;=$W234)*(tUWLTV&lt;$X234)))</f>
        <v/>
      </c>
      <c r="D234" s="31">
        <f>IFERROR(C234/sLoans,0)</f>
        <v/>
      </c>
      <c r="E234" s="30">
        <f>SUMPRODUCT(tFlag*(ISNUMBER(tUWLTV)*(tUWLTV&gt;=$W234)*(tUWLTV&lt;$X234)),tUPBf)</f>
        <v/>
      </c>
      <c r="F234" s="31">
        <f>IFERROR(E234/sUPB,0)</f>
        <v/>
      </c>
      <c r="G234" s="30">
        <f>IFERROR(E234/C234,0)</f>
        <v/>
      </c>
      <c r="H234" s="32">
        <f>IFERROR(SUMPRODUCT(tFlag*(ISNUMBER(tUWLTV)*(tUWLTV&gt;=$W234)*(tUWLTV&lt;$X234)),tUPBf,tCpn)/SUMPRODUCT(tFlag*(ISNUMBER(tUWLTV)*(tUWLTV&gt;=$W234)*(tUWLTV&lt;$X234))*ISNUMBER(tCpn),tUPBf),0)</f>
        <v/>
      </c>
      <c r="I234" s="33">
        <f>IFERROR(SUMPRODUCT(tFlag*(ISNUMBER(tUWLTV)*(tUWLTV&gt;=$W234)*(tUWLTV&lt;$X234)),tUPBf,tUWDSCR)/SUMPRODUCT(tFlag*(ISNUMBER(tUWLTV)*(tUWLTV&gt;=$W234)*(tUWLTV&lt;$X234))*ISNUMBER(tUWDSCR),tUPBf),0)</f>
        <v/>
      </c>
      <c r="J234" s="33">
        <f>IFERROR(SUMPRODUCT(tFlag*(ISNUMBER(tUWLTV)*(tUWLTV&gt;=$W234)*(tUWLTV&lt;$X234)),tUPBf,tCurDSCR)/SUMPRODUCT(tFlag*(ISNUMBER(tUWLTV)*(tUWLTV&gt;=$W234)*(tUWLTV&lt;$X234))*ISNUMBER(tCurDSCR),tUPBf),0)</f>
        <v/>
      </c>
      <c r="K234" s="31">
        <f>IFERROR(SUMPRODUCT(tFlag*(ISNUMBER(tUWLTV)*(tUWLTV&gt;=$W234)*(tUWLTV&lt;$X234)),tUPBf,tUWLTV)/SUMPRODUCT(tFlag*(ISNUMBER(tUWLTV)*(tUWLTV&gt;=$W234)*(tUWLTV&lt;$X234))*ISNUMBER(tUWLTV),tUPBf),0)</f>
        <v/>
      </c>
      <c r="L234" s="31">
        <f>IFERROR(SUMPRODUCT(tFlag*(ISNUMBER(tUWLTV)*(tUWLTV&gt;=$W234)*(tUWLTV&lt;$X234)),tUPBf,tCurLTV)/SUMPRODUCT(tFlag*(ISNUMBER(tUWLTV)*(tUWLTV&gt;=$W234)*(tUWLTV&lt;$X234))*ISNUMBER(tCurLTV),tUPBf),0)</f>
        <v/>
      </c>
      <c r="M234" s="31">
        <f>IFERROR(SUMPRODUCT(tFlag*(ISNUMBER(tUWLTV)*(tUWLTV&gt;=$W234)*(tUWLTV&lt;$X234)),tUPBf,tUWDY)/SUMPRODUCT(tFlag*(ISNUMBER(tUWLTV)*(tUWLTV&gt;=$W234)*(tUWLTV&lt;$X234))*ISNUMBER(tUWDY),tUPBf),0)</f>
        <v/>
      </c>
      <c r="N234" s="31">
        <f>IFERROR(SUMPRODUCT(tFlag*(ISNUMBER(tUWLTV)*(tUWLTV&gt;=$W234)*(tUWLTV&lt;$X234)),tUPBf,tCurDY)/SUMPRODUCT(tFlag*(ISNUMBER(tUWLTV)*(tUWLTV&gt;=$W234)*(tUWLTV&lt;$X234))*ISNUMBER(tCurDY),tUPBf),0)</f>
        <v/>
      </c>
      <c r="O234" s="31">
        <f>IFERROR(SUMPRODUCT(tFlag*(ISNUMBER(tUWLTV)*(tUWLTV&gt;=$W234)*(tUWLTV&lt;$X234)),tUPBf,tOcc)/SUMPRODUCT(tFlag*(ISNUMBER(tUWLTV)*(tUWLTV&gt;=$W234)*(tUWLTV&lt;$X234))*ISNUMBER(tOcc),tUPBf),0)</f>
        <v/>
      </c>
      <c r="P234" s="47">
        <f>IFERROR(SUMPRODUCT(tFlag*(ISNUMBER(tUWLTV)*(tUWLTV&gt;=$W234)*(tUWLTV&lt;$X234)),tUPBf,tRem)/SUMPRODUCT(tFlag*(ISNUMBER(tUWLTV)*(tUWLTV&gt;=$W234)*(tUWLTV&lt;$X234))*ISNUMBER(tRem),tUPBf),0)</f>
        <v/>
      </c>
      <c r="Q234" s="31">
        <f>IFERROR(SUMPRODUCT(tFlag*(ISNUMBER(tUWLTV)*(tUWLTV&gt;=$W234)*(tUWLTV&lt;$X234)),tUPBf,tFIO)/$E234,0)</f>
        <v/>
      </c>
      <c r="R234" s="31">
        <f>IFERROR(SUMPRODUCT(tFlag*(ISNUMBER(tUWLTV)*(tUWLTV&gt;=$W234)*(tUWLTV&lt;$X234)),tUPBf,tDefF)/$E234,0)</f>
        <v/>
      </c>
      <c r="S234" s="31">
        <f>IFERROR(SUMPRODUCT(tFlag*(ISNUMBER(tUWLTV)*(tUWLTV&gt;=$W234)*(tUWLTV&lt;$X234)),tUPBf,tSSF)/$E234,0)</f>
        <v/>
      </c>
      <c r="T234" s="31">
        <f>IFERROR(SUMPRODUCT(tFlag*(ISNUMBER(tUWLTV)*(tUWLTV&gt;=$W234)*(tUWLTV&lt;$X234)),tUPBf,tDQ)/$E234,0)</f>
        <v/>
      </c>
      <c r="U234" s="31">
        <f>IFERROR(SUMPRODUCT(tFlag*(ISNUMBER(tUWLTV)*(tUWLTV&gt;=$W234)*(tUWLTV&lt;$X234)),tUPBf,tWLF)/$E234,0)</f>
        <v/>
      </c>
      <c r="W234" s="53" t="n">
        <v>0.5</v>
      </c>
      <c r="X234" s="53" t="n">
        <v>0.55</v>
      </c>
    </row>
    <row r="235">
      <c r="B235" s="18" t="inlineStr">
        <is>
          <t>55.0% to 60.0%</t>
        </is>
      </c>
      <c r="C235" s="19">
        <f>SUMPRODUCT(tFlag*(ISNUMBER(tUWLTV)*(tUWLTV&gt;=$W235)*(tUWLTV&lt;$X235)))</f>
        <v/>
      </c>
      <c r="D235" s="22">
        <f>IFERROR(C235/sLoans,0)</f>
        <v/>
      </c>
      <c r="E235" s="21">
        <f>SUMPRODUCT(tFlag*(ISNUMBER(tUWLTV)*(tUWLTV&gt;=$W235)*(tUWLTV&lt;$X235)),tUPBf)</f>
        <v/>
      </c>
      <c r="F235" s="22">
        <f>IFERROR(E235/sUPB,0)</f>
        <v/>
      </c>
      <c r="G235" s="21">
        <f>IFERROR(E235/C235,0)</f>
        <v/>
      </c>
      <c r="H235" s="23">
        <f>IFERROR(SUMPRODUCT(tFlag*(ISNUMBER(tUWLTV)*(tUWLTV&gt;=$W235)*(tUWLTV&lt;$X235)),tUPBf,tCpn)/SUMPRODUCT(tFlag*(ISNUMBER(tUWLTV)*(tUWLTV&gt;=$W235)*(tUWLTV&lt;$X235))*ISNUMBER(tCpn),tUPBf),0)</f>
        <v/>
      </c>
      <c r="I235" s="24">
        <f>IFERROR(SUMPRODUCT(tFlag*(ISNUMBER(tUWLTV)*(tUWLTV&gt;=$W235)*(tUWLTV&lt;$X235)),tUPBf,tUWDSCR)/SUMPRODUCT(tFlag*(ISNUMBER(tUWLTV)*(tUWLTV&gt;=$W235)*(tUWLTV&lt;$X235))*ISNUMBER(tUWDSCR),tUPBf),0)</f>
        <v/>
      </c>
      <c r="J235" s="24">
        <f>IFERROR(SUMPRODUCT(tFlag*(ISNUMBER(tUWLTV)*(tUWLTV&gt;=$W235)*(tUWLTV&lt;$X235)),tUPBf,tCurDSCR)/SUMPRODUCT(tFlag*(ISNUMBER(tUWLTV)*(tUWLTV&gt;=$W235)*(tUWLTV&lt;$X235))*ISNUMBER(tCurDSCR),tUPBf),0)</f>
        <v/>
      </c>
      <c r="K235" s="22">
        <f>IFERROR(SUMPRODUCT(tFlag*(ISNUMBER(tUWLTV)*(tUWLTV&gt;=$W235)*(tUWLTV&lt;$X235)),tUPBf,tUWLTV)/SUMPRODUCT(tFlag*(ISNUMBER(tUWLTV)*(tUWLTV&gt;=$W235)*(tUWLTV&lt;$X235))*ISNUMBER(tUWLTV),tUPBf),0)</f>
        <v/>
      </c>
      <c r="L235" s="22">
        <f>IFERROR(SUMPRODUCT(tFlag*(ISNUMBER(tUWLTV)*(tUWLTV&gt;=$W235)*(tUWLTV&lt;$X235)),tUPBf,tCurLTV)/SUMPRODUCT(tFlag*(ISNUMBER(tUWLTV)*(tUWLTV&gt;=$W235)*(tUWLTV&lt;$X235))*ISNUMBER(tCurLTV),tUPBf),0)</f>
        <v/>
      </c>
      <c r="M235" s="22">
        <f>IFERROR(SUMPRODUCT(tFlag*(ISNUMBER(tUWLTV)*(tUWLTV&gt;=$W235)*(tUWLTV&lt;$X235)),tUPBf,tUWDY)/SUMPRODUCT(tFlag*(ISNUMBER(tUWLTV)*(tUWLTV&gt;=$W235)*(tUWLTV&lt;$X235))*ISNUMBER(tUWDY),tUPBf),0)</f>
        <v/>
      </c>
      <c r="N235" s="22">
        <f>IFERROR(SUMPRODUCT(tFlag*(ISNUMBER(tUWLTV)*(tUWLTV&gt;=$W235)*(tUWLTV&lt;$X235)),tUPBf,tCurDY)/SUMPRODUCT(tFlag*(ISNUMBER(tUWLTV)*(tUWLTV&gt;=$W235)*(tUWLTV&lt;$X235))*ISNUMBER(tCurDY),tUPBf),0)</f>
        <v/>
      </c>
      <c r="O235" s="22">
        <f>IFERROR(SUMPRODUCT(tFlag*(ISNUMBER(tUWLTV)*(tUWLTV&gt;=$W235)*(tUWLTV&lt;$X235)),tUPBf,tOcc)/SUMPRODUCT(tFlag*(ISNUMBER(tUWLTV)*(tUWLTV&gt;=$W235)*(tUWLTV&lt;$X235))*ISNUMBER(tOcc),tUPBf),0)</f>
        <v/>
      </c>
      <c r="P235" s="45">
        <f>IFERROR(SUMPRODUCT(tFlag*(ISNUMBER(tUWLTV)*(tUWLTV&gt;=$W235)*(tUWLTV&lt;$X235)),tUPBf,tRem)/SUMPRODUCT(tFlag*(ISNUMBER(tUWLTV)*(tUWLTV&gt;=$W235)*(tUWLTV&lt;$X235))*ISNUMBER(tRem),tUPBf),0)</f>
        <v/>
      </c>
      <c r="Q235" s="22">
        <f>IFERROR(SUMPRODUCT(tFlag*(ISNUMBER(tUWLTV)*(tUWLTV&gt;=$W235)*(tUWLTV&lt;$X235)),tUPBf,tFIO)/$E235,0)</f>
        <v/>
      </c>
      <c r="R235" s="22">
        <f>IFERROR(SUMPRODUCT(tFlag*(ISNUMBER(tUWLTV)*(tUWLTV&gt;=$W235)*(tUWLTV&lt;$X235)),tUPBf,tDefF)/$E235,0)</f>
        <v/>
      </c>
      <c r="S235" s="22">
        <f>IFERROR(SUMPRODUCT(tFlag*(ISNUMBER(tUWLTV)*(tUWLTV&gt;=$W235)*(tUWLTV&lt;$X235)),tUPBf,tSSF)/$E235,0)</f>
        <v/>
      </c>
      <c r="T235" s="22">
        <f>IFERROR(SUMPRODUCT(tFlag*(ISNUMBER(tUWLTV)*(tUWLTV&gt;=$W235)*(tUWLTV&lt;$X235)),tUPBf,tDQ)/$E235,0)</f>
        <v/>
      </c>
      <c r="U235" s="22">
        <f>IFERROR(SUMPRODUCT(tFlag*(ISNUMBER(tUWLTV)*(tUWLTV&gt;=$W235)*(tUWLTV&lt;$X235)),tUPBf,tWLF)/$E235,0)</f>
        <v/>
      </c>
      <c r="W235" s="53" t="n">
        <v>0.55</v>
      </c>
      <c r="X235" s="53" t="n">
        <v>0.6</v>
      </c>
    </row>
    <row r="236">
      <c r="B236" s="27" t="inlineStr">
        <is>
          <t>60.0% to 65.0%</t>
        </is>
      </c>
      <c r="C236" s="28">
        <f>SUMPRODUCT(tFlag*(ISNUMBER(tUWLTV)*(tUWLTV&gt;=$W236)*(tUWLTV&lt;$X236)))</f>
        <v/>
      </c>
      <c r="D236" s="31">
        <f>IFERROR(C236/sLoans,0)</f>
        <v/>
      </c>
      <c r="E236" s="30">
        <f>SUMPRODUCT(tFlag*(ISNUMBER(tUWLTV)*(tUWLTV&gt;=$W236)*(tUWLTV&lt;$X236)),tUPBf)</f>
        <v/>
      </c>
      <c r="F236" s="31">
        <f>IFERROR(E236/sUPB,0)</f>
        <v/>
      </c>
      <c r="G236" s="30">
        <f>IFERROR(E236/C236,0)</f>
        <v/>
      </c>
      <c r="H236" s="32">
        <f>IFERROR(SUMPRODUCT(tFlag*(ISNUMBER(tUWLTV)*(tUWLTV&gt;=$W236)*(tUWLTV&lt;$X236)),tUPBf,tCpn)/SUMPRODUCT(tFlag*(ISNUMBER(tUWLTV)*(tUWLTV&gt;=$W236)*(tUWLTV&lt;$X236))*ISNUMBER(tCpn),tUPBf),0)</f>
        <v/>
      </c>
      <c r="I236" s="33">
        <f>IFERROR(SUMPRODUCT(tFlag*(ISNUMBER(tUWLTV)*(tUWLTV&gt;=$W236)*(tUWLTV&lt;$X236)),tUPBf,tUWDSCR)/SUMPRODUCT(tFlag*(ISNUMBER(tUWLTV)*(tUWLTV&gt;=$W236)*(tUWLTV&lt;$X236))*ISNUMBER(tUWDSCR),tUPBf),0)</f>
        <v/>
      </c>
      <c r="J236" s="33">
        <f>IFERROR(SUMPRODUCT(tFlag*(ISNUMBER(tUWLTV)*(tUWLTV&gt;=$W236)*(tUWLTV&lt;$X236)),tUPBf,tCurDSCR)/SUMPRODUCT(tFlag*(ISNUMBER(tUWLTV)*(tUWLTV&gt;=$W236)*(tUWLTV&lt;$X236))*ISNUMBER(tCurDSCR),tUPBf),0)</f>
        <v/>
      </c>
      <c r="K236" s="31">
        <f>IFERROR(SUMPRODUCT(tFlag*(ISNUMBER(tUWLTV)*(tUWLTV&gt;=$W236)*(tUWLTV&lt;$X236)),tUPBf,tUWLTV)/SUMPRODUCT(tFlag*(ISNUMBER(tUWLTV)*(tUWLTV&gt;=$W236)*(tUWLTV&lt;$X236))*ISNUMBER(tUWLTV),tUPBf),0)</f>
        <v/>
      </c>
      <c r="L236" s="31">
        <f>IFERROR(SUMPRODUCT(tFlag*(ISNUMBER(tUWLTV)*(tUWLTV&gt;=$W236)*(tUWLTV&lt;$X236)),tUPBf,tCurLTV)/SUMPRODUCT(tFlag*(ISNUMBER(tUWLTV)*(tUWLTV&gt;=$W236)*(tUWLTV&lt;$X236))*ISNUMBER(tCurLTV),tUPBf),0)</f>
        <v/>
      </c>
      <c r="M236" s="31">
        <f>IFERROR(SUMPRODUCT(tFlag*(ISNUMBER(tUWLTV)*(tUWLTV&gt;=$W236)*(tUWLTV&lt;$X236)),tUPBf,tUWDY)/SUMPRODUCT(tFlag*(ISNUMBER(tUWLTV)*(tUWLTV&gt;=$W236)*(tUWLTV&lt;$X236))*ISNUMBER(tUWDY),tUPBf),0)</f>
        <v/>
      </c>
      <c r="N236" s="31">
        <f>IFERROR(SUMPRODUCT(tFlag*(ISNUMBER(tUWLTV)*(tUWLTV&gt;=$W236)*(tUWLTV&lt;$X236)),tUPBf,tCurDY)/SUMPRODUCT(tFlag*(ISNUMBER(tUWLTV)*(tUWLTV&gt;=$W236)*(tUWLTV&lt;$X236))*ISNUMBER(tCurDY),tUPBf),0)</f>
        <v/>
      </c>
      <c r="O236" s="31">
        <f>IFERROR(SUMPRODUCT(tFlag*(ISNUMBER(tUWLTV)*(tUWLTV&gt;=$W236)*(tUWLTV&lt;$X236)),tUPBf,tOcc)/SUMPRODUCT(tFlag*(ISNUMBER(tUWLTV)*(tUWLTV&gt;=$W236)*(tUWLTV&lt;$X236))*ISNUMBER(tOcc),tUPBf),0)</f>
        <v/>
      </c>
      <c r="P236" s="47">
        <f>IFERROR(SUMPRODUCT(tFlag*(ISNUMBER(tUWLTV)*(tUWLTV&gt;=$W236)*(tUWLTV&lt;$X236)),tUPBf,tRem)/SUMPRODUCT(tFlag*(ISNUMBER(tUWLTV)*(tUWLTV&gt;=$W236)*(tUWLTV&lt;$X236))*ISNUMBER(tRem),tUPBf),0)</f>
        <v/>
      </c>
      <c r="Q236" s="31">
        <f>IFERROR(SUMPRODUCT(tFlag*(ISNUMBER(tUWLTV)*(tUWLTV&gt;=$W236)*(tUWLTV&lt;$X236)),tUPBf,tFIO)/$E236,0)</f>
        <v/>
      </c>
      <c r="R236" s="31">
        <f>IFERROR(SUMPRODUCT(tFlag*(ISNUMBER(tUWLTV)*(tUWLTV&gt;=$W236)*(tUWLTV&lt;$X236)),tUPBf,tDefF)/$E236,0)</f>
        <v/>
      </c>
      <c r="S236" s="31">
        <f>IFERROR(SUMPRODUCT(tFlag*(ISNUMBER(tUWLTV)*(tUWLTV&gt;=$W236)*(tUWLTV&lt;$X236)),tUPBf,tSSF)/$E236,0)</f>
        <v/>
      </c>
      <c r="T236" s="31">
        <f>IFERROR(SUMPRODUCT(tFlag*(ISNUMBER(tUWLTV)*(tUWLTV&gt;=$W236)*(tUWLTV&lt;$X236)),tUPBf,tDQ)/$E236,0)</f>
        <v/>
      </c>
      <c r="U236" s="31">
        <f>IFERROR(SUMPRODUCT(tFlag*(ISNUMBER(tUWLTV)*(tUWLTV&gt;=$W236)*(tUWLTV&lt;$X236)),tUPBf,tWLF)/$E236,0)</f>
        <v/>
      </c>
      <c r="W236" s="53" t="n">
        <v>0.6</v>
      </c>
      <c r="X236" s="53" t="n">
        <v>0.65</v>
      </c>
    </row>
    <row r="237">
      <c r="B237" s="18" t="inlineStr">
        <is>
          <t>65.0% to 70.0%</t>
        </is>
      </c>
      <c r="C237" s="19">
        <f>SUMPRODUCT(tFlag*(ISNUMBER(tUWLTV)*(tUWLTV&gt;=$W237)*(tUWLTV&lt;$X237)))</f>
        <v/>
      </c>
      <c r="D237" s="22">
        <f>IFERROR(C237/sLoans,0)</f>
        <v/>
      </c>
      <c r="E237" s="21">
        <f>SUMPRODUCT(tFlag*(ISNUMBER(tUWLTV)*(tUWLTV&gt;=$W237)*(tUWLTV&lt;$X237)),tUPBf)</f>
        <v/>
      </c>
      <c r="F237" s="22">
        <f>IFERROR(E237/sUPB,0)</f>
        <v/>
      </c>
      <c r="G237" s="21">
        <f>IFERROR(E237/C237,0)</f>
        <v/>
      </c>
      <c r="H237" s="23">
        <f>IFERROR(SUMPRODUCT(tFlag*(ISNUMBER(tUWLTV)*(tUWLTV&gt;=$W237)*(tUWLTV&lt;$X237)),tUPBf,tCpn)/SUMPRODUCT(tFlag*(ISNUMBER(tUWLTV)*(tUWLTV&gt;=$W237)*(tUWLTV&lt;$X237))*ISNUMBER(tCpn),tUPBf),0)</f>
        <v/>
      </c>
      <c r="I237" s="24">
        <f>IFERROR(SUMPRODUCT(tFlag*(ISNUMBER(tUWLTV)*(tUWLTV&gt;=$W237)*(tUWLTV&lt;$X237)),tUPBf,tUWDSCR)/SUMPRODUCT(tFlag*(ISNUMBER(tUWLTV)*(tUWLTV&gt;=$W237)*(tUWLTV&lt;$X237))*ISNUMBER(tUWDSCR),tUPBf),0)</f>
        <v/>
      </c>
      <c r="J237" s="24">
        <f>IFERROR(SUMPRODUCT(tFlag*(ISNUMBER(tUWLTV)*(tUWLTV&gt;=$W237)*(tUWLTV&lt;$X237)),tUPBf,tCurDSCR)/SUMPRODUCT(tFlag*(ISNUMBER(tUWLTV)*(tUWLTV&gt;=$W237)*(tUWLTV&lt;$X237))*ISNUMBER(tCurDSCR),tUPBf),0)</f>
        <v/>
      </c>
      <c r="K237" s="22">
        <f>IFERROR(SUMPRODUCT(tFlag*(ISNUMBER(tUWLTV)*(tUWLTV&gt;=$W237)*(tUWLTV&lt;$X237)),tUPBf,tUWLTV)/SUMPRODUCT(tFlag*(ISNUMBER(tUWLTV)*(tUWLTV&gt;=$W237)*(tUWLTV&lt;$X237))*ISNUMBER(tUWLTV),tUPBf),0)</f>
        <v/>
      </c>
      <c r="L237" s="22">
        <f>IFERROR(SUMPRODUCT(tFlag*(ISNUMBER(tUWLTV)*(tUWLTV&gt;=$W237)*(tUWLTV&lt;$X237)),tUPBf,tCurLTV)/SUMPRODUCT(tFlag*(ISNUMBER(tUWLTV)*(tUWLTV&gt;=$W237)*(tUWLTV&lt;$X237))*ISNUMBER(tCurLTV),tUPBf),0)</f>
        <v/>
      </c>
      <c r="M237" s="22">
        <f>IFERROR(SUMPRODUCT(tFlag*(ISNUMBER(tUWLTV)*(tUWLTV&gt;=$W237)*(tUWLTV&lt;$X237)),tUPBf,tUWDY)/SUMPRODUCT(tFlag*(ISNUMBER(tUWLTV)*(tUWLTV&gt;=$W237)*(tUWLTV&lt;$X237))*ISNUMBER(tUWDY),tUPBf),0)</f>
        <v/>
      </c>
      <c r="N237" s="22">
        <f>IFERROR(SUMPRODUCT(tFlag*(ISNUMBER(tUWLTV)*(tUWLTV&gt;=$W237)*(tUWLTV&lt;$X237)),tUPBf,tCurDY)/SUMPRODUCT(tFlag*(ISNUMBER(tUWLTV)*(tUWLTV&gt;=$W237)*(tUWLTV&lt;$X237))*ISNUMBER(tCurDY),tUPBf),0)</f>
        <v/>
      </c>
      <c r="O237" s="22">
        <f>IFERROR(SUMPRODUCT(tFlag*(ISNUMBER(tUWLTV)*(tUWLTV&gt;=$W237)*(tUWLTV&lt;$X237)),tUPBf,tOcc)/SUMPRODUCT(tFlag*(ISNUMBER(tUWLTV)*(tUWLTV&gt;=$W237)*(tUWLTV&lt;$X237))*ISNUMBER(tOcc),tUPBf),0)</f>
        <v/>
      </c>
      <c r="P237" s="45">
        <f>IFERROR(SUMPRODUCT(tFlag*(ISNUMBER(tUWLTV)*(tUWLTV&gt;=$W237)*(tUWLTV&lt;$X237)),tUPBf,tRem)/SUMPRODUCT(tFlag*(ISNUMBER(tUWLTV)*(tUWLTV&gt;=$W237)*(tUWLTV&lt;$X237))*ISNUMBER(tRem),tUPBf),0)</f>
        <v/>
      </c>
      <c r="Q237" s="22">
        <f>IFERROR(SUMPRODUCT(tFlag*(ISNUMBER(tUWLTV)*(tUWLTV&gt;=$W237)*(tUWLTV&lt;$X237)),tUPBf,tFIO)/$E237,0)</f>
        <v/>
      </c>
      <c r="R237" s="22">
        <f>IFERROR(SUMPRODUCT(tFlag*(ISNUMBER(tUWLTV)*(tUWLTV&gt;=$W237)*(tUWLTV&lt;$X237)),tUPBf,tDefF)/$E237,0)</f>
        <v/>
      </c>
      <c r="S237" s="22">
        <f>IFERROR(SUMPRODUCT(tFlag*(ISNUMBER(tUWLTV)*(tUWLTV&gt;=$W237)*(tUWLTV&lt;$X237)),tUPBf,tSSF)/$E237,0)</f>
        <v/>
      </c>
      <c r="T237" s="22">
        <f>IFERROR(SUMPRODUCT(tFlag*(ISNUMBER(tUWLTV)*(tUWLTV&gt;=$W237)*(tUWLTV&lt;$X237)),tUPBf,tDQ)/$E237,0)</f>
        <v/>
      </c>
      <c r="U237" s="22">
        <f>IFERROR(SUMPRODUCT(tFlag*(ISNUMBER(tUWLTV)*(tUWLTV&gt;=$W237)*(tUWLTV&lt;$X237)),tUPBf,tWLF)/$E237,0)</f>
        <v/>
      </c>
      <c r="W237" s="53" t="n">
        <v>0.65</v>
      </c>
      <c r="X237" s="53" t="n">
        <v>0.7</v>
      </c>
    </row>
    <row r="238">
      <c r="B238" s="27" t="inlineStr">
        <is>
          <t>70.0% to 75.0%</t>
        </is>
      </c>
      <c r="C238" s="28">
        <f>SUMPRODUCT(tFlag*(ISNUMBER(tUWLTV)*(tUWLTV&gt;=$W238)*(tUWLTV&lt;$X238)))</f>
        <v/>
      </c>
      <c r="D238" s="31">
        <f>IFERROR(C238/sLoans,0)</f>
        <v/>
      </c>
      <c r="E238" s="30">
        <f>SUMPRODUCT(tFlag*(ISNUMBER(tUWLTV)*(tUWLTV&gt;=$W238)*(tUWLTV&lt;$X238)),tUPBf)</f>
        <v/>
      </c>
      <c r="F238" s="31">
        <f>IFERROR(E238/sUPB,0)</f>
        <v/>
      </c>
      <c r="G238" s="30">
        <f>IFERROR(E238/C238,0)</f>
        <v/>
      </c>
      <c r="H238" s="32">
        <f>IFERROR(SUMPRODUCT(tFlag*(ISNUMBER(tUWLTV)*(tUWLTV&gt;=$W238)*(tUWLTV&lt;$X238)),tUPBf,tCpn)/SUMPRODUCT(tFlag*(ISNUMBER(tUWLTV)*(tUWLTV&gt;=$W238)*(tUWLTV&lt;$X238))*ISNUMBER(tCpn),tUPBf),0)</f>
        <v/>
      </c>
      <c r="I238" s="33">
        <f>IFERROR(SUMPRODUCT(tFlag*(ISNUMBER(tUWLTV)*(tUWLTV&gt;=$W238)*(tUWLTV&lt;$X238)),tUPBf,tUWDSCR)/SUMPRODUCT(tFlag*(ISNUMBER(tUWLTV)*(tUWLTV&gt;=$W238)*(tUWLTV&lt;$X238))*ISNUMBER(tUWDSCR),tUPBf),0)</f>
        <v/>
      </c>
      <c r="J238" s="33">
        <f>IFERROR(SUMPRODUCT(tFlag*(ISNUMBER(tUWLTV)*(tUWLTV&gt;=$W238)*(tUWLTV&lt;$X238)),tUPBf,tCurDSCR)/SUMPRODUCT(tFlag*(ISNUMBER(tUWLTV)*(tUWLTV&gt;=$W238)*(tUWLTV&lt;$X238))*ISNUMBER(tCurDSCR),tUPBf),0)</f>
        <v/>
      </c>
      <c r="K238" s="31">
        <f>IFERROR(SUMPRODUCT(tFlag*(ISNUMBER(tUWLTV)*(tUWLTV&gt;=$W238)*(tUWLTV&lt;$X238)),tUPBf,tUWLTV)/SUMPRODUCT(tFlag*(ISNUMBER(tUWLTV)*(tUWLTV&gt;=$W238)*(tUWLTV&lt;$X238))*ISNUMBER(tUWLTV),tUPBf),0)</f>
        <v/>
      </c>
      <c r="L238" s="31">
        <f>IFERROR(SUMPRODUCT(tFlag*(ISNUMBER(tUWLTV)*(tUWLTV&gt;=$W238)*(tUWLTV&lt;$X238)),tUPBf,tCurLTV)/SUMPRODUCT(tFlag*(ISNUMBER(tUWLTV)*(tUWLTV&gt;=$W238)*(tUWLTV&lt;$X238))*ISNUMBER(tCurLTV),tUPBf),0)</f>
        <v/>
      </c>
      <c r="M238" s="31">
        <f>IFERROR(SUMPRODUCT(tFlag*(ISNUMBER(tUWLTV)*(tUWLTV&gt;=$W238)*(tUWLTV&lt;$X238)),tUPBf,tUWDY)/SUMPRODUCT(tFlag*(ISNUMBER(tUWLTV)*(tUWLTV&gt;=$W238)*(tUWLTV&lt;$X238))*ISNUMBER(tUWDY),tUPBf),0)</f>
        <v/>
      </c>
      <c r="N238" s="31">
        <f>IFERROR(SUMPRODUCT(tFlag*(ISNUMBER(tUWLTV)*(tUWLTV&gt;=$W238)*(tUWLTV&lt;$X238)),tUPBf,tCurDY)/SUMPRODUCT(tFlag*(ISNUMBER(tUWLTV)*(tUWLTV&gt;=$W238)*(tUWLTV&lt;$X238))*ISNUMBER(tCurDY),tUPBf),0)</f>
        <v/>
      </c>
      <c r="O238" s="31">
        <f>IFERROR(SUMPRODUCT(tFlag*(ISNUMBER(tUWLTV)*(tUWLTV&gt;=$W238)*(tUWLTV&lt;$X238)),tUPBf,tOcc)/SUMPRODUCT(tFlag*(ISNUMBER(tUWLTV)*(tUWLTV&gt;=$W238)*(tUWLTV&lt;$X238))*ISNUMBER(tOcc),tUPBf),0)</f>
        <v/>
      </c>
      <c r="P238" s="47">
        <f>IFERROR(SUMPRODUCT(tFlag*(ISNUMBER(tUWLTV)*(tUWLTV&gt;=$W238)*(tUWLTV&lt;$X238)),tUPBf,tRem)/SUMPRODUCT(tFlag*(ISNUMBER(tUWLTV)*(tUWLTV&gt;=$W238)*(tUWLTV&lt;$X238))*ISNUMBER(tRem),tUPBf),0)</f>
        <v/>
      </c>
      <c r="Q238" s="31">
        <f>IFERROR(SUMPRODUCT(tFlag*(ISNUMBER(tUWLTV)*(tUWLTV&gt;=$W238)*(tUWLTV&lt;$X238)),tUPBf,tFIO)/$E238,0)</f>
        <v/>
      </c>
      <c r="R238" s="31">
        <f>IFERROR(SUMPRODUCT(tFlag*(ISNUMBER(tUWLTV)*(tUWLTV&gt;=$W238)*(tUWLTV&lt;$X238)),tUPBf,tDefF)/$E238,0)</f>
        <v/>
      </c>
      <c r="S238" s="31">
        <f>IFERROR(SUMPRODUCT(tFlag*(ISNUMBER(tUWLTV)*(tUWLTV&gt;=$W238)*(tUWLTV&lt;$X238)),tUPBf,tSSF)/$E238,0)</f>
        <v/>
      </c>
      <c r="T238" s="31">
        <f>IFERROR(SUMPRODUCT(tFlag*(ISNUMBER(tUWLTV)*(tUWLTV&gt;=$W238)*(tUWLTV&lt;$X238)),tUPBf,tDQ)/$E238,0)</f>
        <v/>
      </c>
      <c r="U238" s="31">
        <f>IFERROR(SUMPRODUCT(tFlag*(ISNUMBER(tUWLTV)*(tUWLTV&gt;=$W238)*(tUWLTV&lt;$X238)),tUPBf,tWLF)/$E238,0)</f>
        <v/>
      </c>
      <c r="W238" s="53" t="n">
        <v>0.7</v>
      </c>
      <c r="X238" s="53" t="n">
        <v>0.75</v>
      </c>
    </row>
    <row r="239">
      <c r="B239" s="18" t="inlineStr">
        <is>
          <t>75.0% or Greater</t>
        </is>
      </c>
      <c r="C239" s="19">
        <f>SUMPRODUCT(tFlag*(ISNUMBER(tUWLTV)*(tUWLTV&gt;=$W239)*(tUWLTV&lt;$X239)))</f>
        <v/>
      </c>
      <c r="D239" s="22">
        <f>IFERROR(C239/sLoans,0)</f>
        <v/>
      </c>
      <c r="E239" s="21">
        <f>SUMPRODUCT(tFlag*(ISNUMBER(tUWLTV)*(tUWLTV&gt;=$W239)*(tUWLTV&lt;$X239)),tUPBf)</f>
        <v/>
      </c>
      <c r="F239" s="22">
        <f>IFERROR(E239/sUPB,0)</f>
        <v/>
      </c>
      <c r="G239" s="21">
        <f>IFERROR(E239/C239,0)</f>
        <v/>
      </c>
      <c r="H239" s="23">
        <f>IFERROR(SUMPRODUCT(tFlag*(ISNUMBER(tUWLTV)*(tUWLTV&gt;=$W239)*(tUWLTV&lt;$X239)),tUPBf,tCpn)/SUMPRODUCT(tFlag*(ISNUMBER(tUWLTV)*(tUWLTV&gt;=$W239)*(tUWLTV&lt;$X239))*ISNUMBER(tCpn),tUPBf),0)</f>
        <v/>
      </c>
      <c r="I239" s="24">
        <f>IFERROR(SUMPRODUCT(tFlag*(ISNUMBER(tUWLTV)*(tUWLTV&gt;=$W239)*(tUWLTV&lt;$X239)),tUPBf,tUWDSCR)/SUMPRODUCT(tFlag*(ISNUMBER(tUWLTV)*(tUWLTV&gt;=$W239)*(tUWLTV&lt;$X239))*ISNUMBER(tUWDSCR),tUPBf),0)</f>
        <v/>
      </c>
      <c r="J239" s="24">
        <f>IFERROR(SUMPRODUCT(tFlag*(ISNUMBER(tUWLTV)*(tUWLTV&gt;=$W239)*(tUWLTV&lt;$X239)),tUPBf,tCurDSCR)/SUMPRODUCT(tFlag*(ISNUMBER(tUWLTV)*(tUWLTV&gt;=$W239)*(tUWLTV&lt;$X239))*ISNUMBER(tCurDSCR),tUPBf),0)</f>
        <v/>
      </c>
      <c r="K239" s="22">
        <f>IFERROR(SUMPRODUCT(tFlag*(ISNUMBER(tUWLTV)*(tUWLTV&gt;=$W239)*(tUWLTV&lt;$X239)),tUPBf,tUWLTV)/SUMPRODUCT(tFlag*(ISNUMBER(tUWLTV)*(tUWLTV&gt;=$W239)*(tUWLTV&lt;$X239))*ISNUMBER(tUWLTV),tUPBf),0)</f>
        <v/>
      </c>
      <c r="L239" s="22">
        <f>IFERROR(SUMPRODUCT(tFlag*(ISNUMBER(tUWLTV)*(tUWLTV&gt;=$W239)*(tUWLTV&lt;$X239)),tUPBf,tCurLTV)/SUMPRODUCT(tFlag*(ISNUMBER(tUWLTV)*(tUWLTV&gt;=$W239)*(tUWLTV&lt;$X239))*ISNUMBER(tCurLTV),tUPBf),0)</f>
        <v/>
      </c>
      <c r="M239" s="22">
        <f>IFERROR(SUMPRODUCT(tFlag*(ISNUMBER(tUWLTV)*(tUWLTV&gt;=$W239)*(tUWLTV&lt;$X239)),tUPBf,tUWDY)/SUMPRODUCT(tFlag*(ISNUMBER(tUWLTV)*(tUWLTV&gt;=$W239)*(tUWLTV&lt;$X239))*ISNUMBER(tUWDY),tUPBf),0)</f>
        <v/>
      </c>
      <c r="N239" s="22">
        <f>IFERROR(SUMPRODUCT(tFlag*(ISNUMBER(tUWLTV)*(tUWLTV&gt;=$W239)*(tUWLTV&lt;$X239)),tUPBf,tCurDY)/SUMPRODUCT(tFlag*(ISNUMBER(tUWLTV)*(tUWLTV&gt;=$W239)*(tUWLTV&lt;$X239))*ISNUMBER(tCurDY),tUPBf),0)</f>
        <v/>
      </c>
      <c r="O239" s="22">
        <f>IFERROR(SUMPRODUCT(tFlag*(ISNUMBER(tUWLTV)*(tUWLTV&gt;=$W239)*(tUWLTV&lt;$X239)),tUPBf,tOcc)/SUMPRODUCT(tFlag*(ISNUMBER(tUWLTV)*(tUWLTV&gt;=$W239)*(tUWLTV&lt;$X239))*ISNUMBER(tOcc),tUPBf),0)</f>
        <v/>
      </c>
      <c r="P239" s="45">
        <f>IFERROR(SUMPRODUCT(tFlag*(ISNUMBER(tUWLTV)*(tUWLTV&gt;=$W239)*(tUWLTV&lt;$X239)),tUPBf,tRem)/SUMPRODUCT(tFlag*(ISNUMBER(tUWLTV)*(tUWLTV&gt;=$W239)*(tUWLTV&lt;$X239))*ISNUMBER(tRem),tUPBf),0)</f>
        <v/>
      </c>
      <c r="Q239" s="22">
        <f>IFERROR(SUMPRODUCT(tFlag*(ISNUMBER(tUWLTV)*(tUWLTV&gt;=$W239)*(tUWLTV&lt;$X239)),tUPBf,tFIO)/$E239,0)</f>
        <v/>
      </c>
      <c r="R239" s="22">
        <f>IFERROR(SUMPRODUCT(tFlag*(ISNUMBER(tUWLTV)*(tUWLTV&gt;=$W239)*(tUWLTV&lt;$X239)),tUPBf,tDefF)/$E239,0)</f>
        <v/>
      </c>
      <c r="S239" s="22">
        <f>IFERROR(SUMPRODUCT(tFlag*(ISNUMBER(tUWLTV)*(tUWLTV&gt;=$W239)*(tUWLTV&lt;$X239)),tUPBf,tSSF)/$E239,0)</f>
        <v/>
      </c>
      <c r="T239" s="22">
        <f>IFERROR(SUMPRODUCT(tFlag*(ISNUMBER(tUWLTV)*(tUWLTV&gt;=$W239)*(tUWLTV&lt;$X239)),tUPBf,tDQ)/$E239,0)</f>
        <v/>
      </c>
      <c r="U239" s="22">
        <f>IFERROR(SUMPRODUCT(tFlag*(ISNUMBER(tUWLTV)*(tUWLTV&gt;=$W239)*(tUWLTV&lt;$X239)),tUPBf,tWLF)/$E239,0)</f>
        <v/>
      </c>
      <c r="W239" s="53" t="n">
        <v>0.75</v>
      </c>
      <c r="X239" s="53" t="n">
        <v>1000000000000</v>
      </c>
    </row>
    <row r="240">
      <c r="B240" s="27" t="inlineStr">
        <is>
          <t>Not Reported</t>
        </is>
      </c>
      <c r="C240" s="28">
        <f>SUMPRODUCT(tFlag*(1-ISNUMBER(tUWLTV)))</f>
        <v/>
      </c>
      <c r="D240" s="31">
        <f>IFERROR(C240/sLoans,0)</f>
        <v/>
      </c>
      <c r="E240" s="30">
        <f>SUMPRODUCT(tFlag*(1-ISNUMBER(tUWLTV)),tUPBf)</f>
        <v/>
      </c>
      <c r="F240" s="31">
        <f>IFERROR(E240/sUPB,0)</f>
        <v/>
      </c>
      <c r="G240" s="30">
        <f>IFERROR(E240/C240,0)</f>
        <v/>
      </c>
      <c r="H240" s="32">
        <f>IFERROR(SUMPRODUCT(tFlag*(1-ISNUMBER(tUWLTV)),tUPBf,tCpn)/SUMPRODUCT(tFlag*(1-ISNUMBER(tUWLTV))*ISNUMBER(tCpn),tUPBf),0)</f>
        <v/>
      </c>
      <c r="I240" s="33">
        <f>IFERROR(SUMPRODUCT(tFlag*(1-ISNUMBER(tUWLTV)),tUPBf,tUWDSCR)/SUMPRODUCT(tFlag*(1-ISNUMBER(tUWLTV))*ISNUMBER(tUWDSCR),tUPBf),0)</f>
        <v/>
      </c>
      <c r="J240" s="33">
        <f>IFERROR(SUMPRODUCT(tFlag*(1-ISNUMBER(tUWLTV)),tUPBf,tCurDSCR)/SUMPRODUCT(tFlag*(1-ISNUMBER(tUWLTV))*ISNUMBER(tCurDSCR),tUPBf),0)</f>
        <v/>
      </c>
      <c r="K240" s="31">
        <f>IFERROR(SUMPRODUCT(tFlag*(1-ISNUMBER(tUWLTV)),tUPBf,tUWLTV)/SUMPRODUCT(tFlag*(1-ISNUMBER(tUWLTV))*ISNUMBER(tUWLTV),tUPBf),0)</f>
        <v/>
      </c>
      <c r="L240" s="31">
        <f>IFERROR(SUMPRODUCT(tFlag*(1-ISNUMBER(tUWLTV)),tUPBf,tCurLTV)/SUMPRODUCT(tFlag*(1-ISNUMBER(tUWLTV))*ISNUMBER(tCurLTV),tUPBf),0)</f>
        <v/>
      </c>
      <c r="M240" s="31">
        <f>IFERROR(SUMPRODUCT(tFlag*(1-ISNUMBER(tUWLTV)),tUPBf,tUWDY)/SUMPRODUCT(tFlag*(1-ISNUMBER(tUWLTV))*ISNUMBER(tUWDY),tUPBf),0)</f>
        <v/>
      </c>
      <c r="N240" s="31">
        <f>IFERROR(SUMPRODUCT(tFlag*(1-ISNUMBER(tUWLTV)),tUPBf,tCurDY)/SUMPRODUCT(tFlag*(1-ISNUMBER(tUWLTV))*ISNUMBER(tCurDY),tUPBf),0)</f>
        <v/>
      </c>
      <c r="O240" s="31">
        <f>IFERROR(SUMPRODUCT(tFlag*(1-ISNUMBER(tUWLTV)),tUPBf,tOcc)/SUMPRODUCT(tFlag*(1-ISNUMBER(tUWLTV))*ISNUMBER(tOcc),tUPBf),0)</f>
        <v/>
      </c>
      <c r="P240" s="47">
        <f>IFERROR(SUMPRODUCT(tFlag*(1-ISNUMBER(tUWLTV)),tUPBf,tRem)/SUMPRODUCT(tFlag*(1-ISNUMBER(tUWLTV))*ISNUMBER(tRem),tUPBf),0)</f>
        <v/>
      </c>
      <c r="Q240" s="31">
        <f>IFERROR(SUMPRODUCT(tFlag*(1-ISNUMBER(tUWLTV)),tUPBf,tFIO)/$E240,0)</f>
        <v/>
      </c>
      <c r="R240" s="31">
        <f>IFERROR(SUMPRODUCT(tFlag*(1-ISNUMBER(tUWLTV)),tUPBf,tDefF)/$E240,0)</f>
        <v/>
      </c>
      <c r="S240" s="31">
        <f>IFERROR(SUMPRODUCT(tFlag*(1-ISNUMBER(tUWLTV)),tUPBf,tSSF)/$E240,0)</f>
        <v/>
      </c>
      <c r="T240" s="31">
        <f>IFERROR(SUMPRODUCT(tFlag*(1-ISNUMBER(tUWLTV)),tUPBf,tDQ)/$E240,0)</f>
        <v/>
      </c>
      <c r="U240" s="31">
        <f>IFERROR(SUMPRODUCT(tFlag*(1-ISNUMBER(tUWLTV)),tUPBf,tWLF)/$E240,0)</f>
        <v/>
      </c>
    </row>
    <row r="241">
      <c r="B241" s="36" t="inlineStr">
        <is>
          <t>Total / Wtd. Avg.</t>
        </is>
      </c>
      <c r="C241" s="37">
        <f>SUMPRODUCT(tFlag*(1))</f>
        <v/>
      </c>
      <c r="D241" s="40">
        <f>IFERROR(C241/sLoans,0)</f>
        <v/>
      </c>
      <c r="E241" s="39">
        <f>SUMPRODUCT(tFlag*(1),tUPBf)</f>
        <v/>
      </c>
      <c r="F241" s="40">
        <f>IFERROR(E241/sUPB,0)</f>
        <v/>
      </c>
      <c r="G241" s="39">
        <f>IFERROR(E241/C241,0)</f>
        <v/>
      </c>
      <c r="H241" s="41">
        <f>IFERROR(SUMPRODUCT(tFlag*(1),tUPBf,tCpn)/SUMPRODUCT(tFlag*(1)*ISNUMBER(tCpn),tUPBf),0)</f>
        <v/>
      </c>
      <c r="I241" s="42">
        <f>IFERROR(SUMPRODUCT(tFlag*(1),tUPBf,tUWDSCR)/SUMPRODUCT(tFlag*(1)*ISNUMBER(tUWDSCR),tUPBf),0)</f>
        <v/>
      </c>
      <c r="J241" s="42">
        <f>IFERROR(SUMPRODUCT(tFlag*(1),tUPBf,tCurDSCR)/SUMPRODUCT(tFlag*(1)*ISNUMBER(tCurDSCR),tUPBf),0)</f>
        <v/>
      </c>
      <c r="K241" s="40">
        <f>IFERROR(SUMPRODUCT(tFlag*(1),tUPBf,tUWLTV)/SUMPRODUCT(tFlag*(1)*ISNUMBER(tUWLTV),tUPBf),0)</f>
        <v/>
      </c>
      <c r="L241" s="40">
        <f>IFERROR(SUMPRODUCT(tFlag*(1),tUPBf,tCurLTV)/SUMPRODUCT(tFlag*(1)*ISNUMBER(tCurLTV),tUPBf),0)</f>
        <v/>
      </c>
      <c r="M241" s="40">
        <f>IFERROR(SUMPRODUCT(tFlag*(1),tUPBf,tUWDY)/SUMPRODUCT(tFlag*(1)*ISNUMBER(tUWDY),tUPBf),0)</f>
        <v/>
      </c>
      <c r="N241" s="40">
        <f>IFERROR(SUMPRODUCT(tFlag*(1),tUPBf,tCurDY)/SUMPRODUCT(tFlag*(1)*ISNUMBER(tCurDY),tUPBf),0)</f>
        <v/>
      </c>
      <c r="O241" s="40">
        <f>IFERROR(SUMPRODUCT(tFlag*(1),tUPBf,tOcc)/SUMPRODUCT(tFlag*(1)*ISNUMBER(tOcc),tUPBf),0)</f>
        <v/>
      </c>
      <c r="P241" s="43">
        <f>IFERROR(SUMPRODUCT(tFlag*(1),tUPBf,tRem)/SUMPRODUCT(tFlag*(1)*ISNUMBER(tRem),tUPBf),0)</f>
        <v/>
      </c>
      <c r="Q241" s="40">
        <f>IFERROR(SUMPRODUCT(tFlag*(1),tUPBf,tFIO)/$E241,0)</f>
        <v/>
      </c>
      <c r="R241" s="40">
        <f>IFERROR(SUMPRODUCT(tFlag*(1),tUPBf,tDefF)/$E241,0)</f>
        <v/>
      </c>
      <c r="S241" s="40">
        <f>IFERROR(SUMPRODUCT(tFlag*(1),tUPBf,tSSF)/$E241,0)</f>
        <v/>
      </c>
      <c r="T241" s="40">
        <f>IFERROR(SUMPRODUCT(tFlag*(1),tUPBf,tDQ)/$E241,0)</f>
        <v/>
      </c>
      <c r="U241" s="40">
        <f>IFERROR(SUMPRODUCT(tFlag*(1),tUPBf,tWLF)/$E241,0)</f>
        <v/>
      </c>
    </row>
    <row r="243" ht="15" customHeight="1">
      <c r="B243" s="2" t="inlineStr">
        <is>
          <t>CURRENT LTV (LATEST APPRAISAL)</t>
        </is>
      </c>
      <c r="C243" s="3" t="n"/>
      <c r="D243" s="3" t="n"/>
      <c r="E243" s="3" t="n"/>
      <c r="F243" s="3" t="n"/>
      <c r="G243" s="3" t="n"/>
      <c r="H243" s="3" t="n"/>
      <c r="I243" s="3" t="n"/>
      <c r="J243" s="3" t="n"/>
      <c r="K243" s="3" t="n"/>
      <c r="L243" s="3" t="n"/>
      <c r="M243" s="3" t="n"/>
      <c r="N243" s="3" t="n"/>
      <c r="O243" s="3" t="n"/>
      <c r="P243" s="3" t="n"/>
      <c r="Q243" s="3" t="n"/>
      <c r="R243" s="3" t="n"/>
      <c r="S243" s="3" t="n"/>
      <c r="T243" s="3" t="n"/>
      <c r="U243" s="3" t="n"/>
    </row>
    <row r="244" ht="39.75" customHeight="1">
      <c r="B244" s="15" t="inlineStr">
        <is>
          <t>Bucket</t>
        </is>
      </c>
      <c r="C244" s="16" t="inlineStr">
        <is>
          <t>Number of Loans</t>
        </is>
      </c>
      <c r="D244" s="16" t="inlineStr">
        <is>
          <t>% of Loans</t>
        </is>
      </c>
      <c r="E244" s="16" t="inlineStr">
        <is>
          <t>Current UPB</t>
        </is>
      </c>
      <c r="F244" s="16" t="inlineStr">
        <is>
          <t>% of UPB</t>
        </is>
      </c>
      <c r="G244" s="16" t="inlineStr">
        <is>
          <t>Average Loan Size</t>
        </is>
      </c>
      <c r="H244" s="16" t="inlineStr">
        <is>
          <t>Wtd. Avg. Gross Coupon</t>
        </is>
      </c>
      <c r="I244" s="16" t="inlineStr">
        <is>
          <t>Wtd. Avg. UW NCF DSCR</t>
        </is>
      </c>
      <c r="J244" s="16" t="inlineStr">
        <is>
          <t>Wtd. Avg. Current NCF DSCR</t>
        </is>
      </c>
      <c r="K244" s="16" t="inlineStr">
        <is>
          <t>Wtd. Avg. UW LTV</t>
        </is>
      </c>
      <c r="L244" s="16" t="inlineStr">
        <is>
          <t>Wtd. Avg. Current LTV</t>
        </is>
      </c>
      <c r="M244" s="16" t="inlineStr">
        <is>
          <t>Wtd. Avg. UW NCF Debt Yield</t>
        </is>
      </c>
      <c r="N244" s="16" t="inlineStr">
        <is>
          <t>Wtd. Avg. Current NCF Debt Yield</t>
        </is>
      </c>
      <c r="O244" s="16" t="inlineStr">
        <is>
          <t>Wtd. Avg. Current Occupancy</t>
        </is>
      </c>
      <c r="P244" s="16" t="inlineStr">
        <is>
          <t>Wtd. Avg. Rem. Term (Mo.)</t>
        </is>
      </c>
      <c r="Q244" s="16" t="inlineStr">
        <is>
          <t>% Full IO</t>
        </is>
      </c>
      <c r="R244" s="16" t="inlineStr">
        <is>
          <t>% Defeased</t>
        </is>
      </c>
      <c r="S244" s="16" t="inlineStr">
        <is>
          <t>% Currently Specially Serviced</t>
        </is>
      </c>
      <c r="T244" s="16" t="inlineStr">
        <is>
          <t>% 30+ Delinq. / FC / REO</t>
        </is>
      </c>
      <c r="U244" s="16" t="inlineStr">
        <is>
          <t>% On Watchlist</t>
        </is>
      </c>
      <c r="W244" s="17" t="inlineStr">
        <is>
          <t>Lower Bound (&gt;=)</t>
        </is>
      </c>
      <c r="X244" s="17" t="inlineStr">
        <is>
          <t>Upper Bound (&lt;)</t>
        </is>
      </c>
    </row>
    <row r="245">
      <c r="B245" s="18" t="inlineStr">
        <is>
          <t>Less than 50.0%</t>
        </is>
      </c>
      <c r="C245" s="19">
        <f>SUMPRODUCT(tFlag*(ISNUMBER(tCurLTV)*(tCurLTV&gt;=$W245)*(tCurLTV&lt;$X245)))</f>
        <v/>
      </c>
      <c r="D245" s="22">
        <f>IFERROR(C245/sLoans,0)</f>
        <v/>
      </c>
      <c r="E245" s="21">
        <f>SUMPRODUCT(tFlag*(ISNUMBER(tCurLTV)*(tCurLTV&gt;=$W245)*(tCurLTV&lt;$X245)),tUPBf)</f>
        <v/>
      </c>
      <c r="F245" s="22">
        <f>IFERROR(E245/sUPB,0)</f>
        <v/>
      </c>
      <c r="G245" s="21">
        <f>IFERROR(E245/C245,0)</f>
        <v/>
      </c>
      <c r="H245" s="23">
        <f>IFERROR(SUMPRODUCT(tFlag*(ISNUMBER(tCurLTV)*(tCurLTV&gt;=$W245)*(tCurLTV&lt;$X245)),tUPBf,tCpn)/SUMPRODUCT(tFlag*(ISNUMBER(tCurLTV)*(tCurLTV&gt;=$W245)*(tCurLTV&lt;$X245))*ISNUMBER(tCpn),tUPBf),0)</f>
        <v/>
      </c>
      <c r="I245" s="24">
        <f>IFERROR(SUMPRODUCT(tFlag*(ISNUMBER(tCurLTV)*(tCurLTV&gt;=$W245)*(tCurLTV&lt;$X245)),tUPBf,tUWDSCR)/SUMPRODUCT(tFlag*(ISNUMBER(tCurLTV)*(tCurLTV&gt;=$W245)*(tCurLTV&lt;$X245))*ISNUMBER(tUWDSCR),tUPBf),0)</f>
        <v/>
      </c>
      <c r="J245" s="24">
        <f>IFERROR(SUMPRODUCT(tFlag*(ISNUMBER(tCurLTV)*(tCurLTV&gt;=$W245)*(tCurLTV&lt;$X245)),tUPBf,tCurDSCR)/SUMPRODUCT(tFlag*(ISNUMBER(tCurLTV)*(tCurLTV&gt;=$W245)*(tCurLTV&lt;$X245))*ISNUMBER(tCurDSCR),tUPBf),0)</f>
        <v/>
      </c>
      <c r="K245" s="22">
        <f>IFERROR(SUMPRODUCT(tFlag*(ISNUMBER(tCurLTV)*(tCurLTV&gt;=$W245)*(tCurLTV&lt;$X245)),tUPBf,tUWLTV)/SUMPRODUCT(tFlag*(ISNUMBER(tCurLTV)*(tCurLTV&gt;=$W245)*(tCurLTV&lt;$X245))*ISNUMBER(tUWLTV),tUPBf),0)</f>
        <v/>
      </c>
      <c r="L245" s="22">
        <f>IFERROR(SUMPRODUCT(tFlag*(ISNUMBER(tCurLTV)*(tCurLTV&gt;=$W245)*(tCurLTV&lt;$X245)),tUPBf,tCurLTV)/SUMPRODUCT(tFlag*(ISNUMBER(tCurLTV)*(tCurLTV&gt;=$W245)*(tCurLTV&lt;$X245))*ISNUMBER(tCurLTV),tUPBf),0)</f>
        <v/>
      </c>
      <c r="M245" s="22">
        <f>IFERROR(SUMPRODUCT(tFlag*(ISNUMBER(tCurLTV)*(tCurLTV&gt;=$W245)*(tCurLTV&lt;$X245)),tUPBf,tUWDY)/SUMPRODUCT(tFlag*(ISNUMBER(tCurLTV)*(tCurLTV&gt;=$W245)*(tCurLTV&lt;$X245))*ISNUMBER(tUWDY),tUPBf),0)</f>
        <v/>
      </c>
      <c r="N245" s="22">
        <f>IFERROR(SUMPRODUCT(tFlag*(ISNUMBER(tCurLTV)*(tCurLTV&gt;=$W245)*(tCurLTV&lt;$X245)),tUPBf,tCurDY)/SUMPRODUCT(tFlag*(ISNUMBER(tCurLTV)*(tCurLTV&gt;=$W245)*(tCurLTV&lt;$X245))*ISNUMBER(tCurDY),tUPBf),0)</f>
        <v/>
      </c>
      <c r="O245" s="22">
        <f>IFERROR(SUMPRODUCT(tFlag*(ISNUMBER(tCurLTV)*(tCurLTV&gt;=$W245)*(tCurLTV&lt;$X245)),tUPBf,tOcc)/SUMPRODUCT(tFlag*(ISNUMBER(tCurLTV)*(tCurLTV&gt;=$W245)*(tCurLTV&lt;$X245))*ISNUMBER(tOcc),tUPBf),0)</f>
        <v/>
      </c>
      <c r="P245" s="45">
        <f>IFERROR(SUMPRODUCT(tFlag*(ISNUMBER(tCurLTV)*(tCurLTV&gt;=$W245)*(tCurLTV&lt;$X245)),tUPBf,tRem)/SUMPRODUCT(tFlag*(ISNUMBER(tCurLTV)*(tCurLTV&gt;=$W245)*(tCurLTV&lt;$X245))*ISNUMBER(tRem),tUPBf),0)</f>
        <v/>
      </c>
      <c r="Q245" s="22">
        <f>IFERROR(SUMPRODUCT(tFlag*(ISNUMBER(tCurLTV)*(tCurLTV&gt;=$W245)*(tCurLTV&lt;$X245)),tUPBf,tFIO)/$E245,0)</f>
        <v/>
      </c>
      <c r="R245" s="22">
        <f>IFERROR(SUMPRODUCT(tFlag*(ISNUMBER(tCurLTV)*(tCurLTV&gt;=$W245)*(tCurLTV&lt;$X245)),tUPBf,tDefF)/$E245,0)</f>
        <v/>
      </c>
      <c r="S245" s="22">
        <f>IFERROR(SUMPRODUCT(tFlag*(ISNUMBER(tCurLTV)*(tCurLTV&gt;=$W245)*(tCurLTV&lt;$X245)),tUPBf,tSSF)/$E245,0)</f>
        <v/>
      </c>
      <c r="T245" s="22">
        <f>IFERROR(SUMPRODUCT(tFlag*(ISNUMBER(tCurLTV)*(tCurLTV&gt;=$W245)*(tCurLTV&lt;$X245)),tUPBf,tDQ)/$E245,0)</f>
        <v/>
      </c>
      <c r="U245" s="22">
        <f>IFERROR(SUMPRODUCT(tFlag*(ISNUMBER(tCurLTV)*(tCurLTV&gt;=$W245)*(tCurLTV&lt;$X245)),tUPBf,tWLF)/$E245,0)</f>
        <v/>
      </c>
      <c r="W245" s="53" t="n">
        <v>-1000000000000</v>
      </c>
      <c r="X245" s="53" t="n">
        <v>0.5</v>
      </c>
    </row>
    <row r="246">
      <c r="B246" s="27" t="inlineStr">
        <is>
          <t>50.0% to 60.0%</t>
        </is>
      </c>
      <c r="C246" s="28">
        <f>SUMPRODUCT(tFlag*(ISNUMBER(tCurLTV)*(tCurLTV&gt;=$W246)*(tCurLTV&lt;$X246)))</f>
        <v/>
      </c>
      <c r="D246" s="31">
        <f>IFERROR(C246/sLoans,0)</f>
        <v/>
      </c>
      <c r="E246" s="30">
        <f>SUMPRODUCT(tFlag*(ISNUMBER(tCurLTV)*(tCurLTV&gt;=$W246)*(tCurLTV&lt;$X246)),tUPBf)</f>
        <v/>
      </c>
      <c r="F246" s="31">
        <f>IFERROR(E246/sUPB,0)</f>
        <v/>
      </c>
      <c r="G246" s="30">
        <f>IFERROR(E246/C246,0)</f>
        <v/>
      </c>
      <c r="H246" s="32">
        <f>IFERROR(SUMPRODUCT(tFlag*(ISNUMBER(tCurLTV)*(tCurLTV&gt;=$W246)*(tCurLTV&lt;$X246)),tUPBf,tCpn)/SUMPRODUCT(tFlag*(ISNUMBER(tCurLTV)*(tCurLTV&gt;=$W246)*(tCurLTV&lt;$X246))*ISNUMBER(tCpn),tUPBf),0)</f>
        <v/>
      </c>
      <c r="I246" s="33">
        <f>IFERROR(SUMPRODUCT(tFlag*(ISNUMBER(tCurLTV)*(tCurLTV&gt;=$W246)*(tCurLTV&lt;$X246)),tUPBf,tUWDSCR)/SUMPRODUCT(tFlag*(ISNUMBER(tCurLTV)*(tCurLTV&gt;=$W246)*(tCurLTV&lt;$X246))*ISNUMBER(tUWDSCR),tUPBf),0)</f>
        <v/>
      </c>
      <c r="J246" s="33">
        <f>IFERROR(SUMPRODUCT(tFlag*(ISNUMBER(tCurLTV)*(tCurLTV&gt;=$W246)*(tCurLTV&lt;$X246)),tUPBf,tCurDSCR)/SUMPRODUCT(tFlag*(ISNUMBER(tCurLTV)*(tCurLTV&gt;=$W246)*(tCurLTV&lt;$X246))*ISNUMBER(tCurDSCR),tUPBf),0)</f>
        <v/>
      </c>
      <c r="K246" s="31">
        <f>IFERROR(SUMPRODUCT(tFlag*(ISNUMBER(tCurLTV)*(tCurLTV&gt;=$W246)*(tCurLTV&lt;$X246)),tUPBf,tUWLTV)/SUMPRODUCT(tFlag*(ISNUMBER(tCurLTV)*(tCurLTV&gt;=$W246)*(tCurLTV&lt;$X246))*ISNUMBER(tUWLTV),tUPBf),0)</f>
        <v/>
      </c>
      <c r="L246" s="31">
        <f>IFERROR(SUMPRODUCT(tFlag*(ISNUMBER(tCurLTV)*(tCurLTV&gt;=$W246)*(tCurLTV&lt;$X246)),tUPBf,tCurLTV)/SUMPRODUCT(tFlag*(ISNUMBER(tCurLTV)*(tCurLTV&gt;=$W246)*(tCurLTV&lt;$X246))*ISNUMBER(tCurLTV),tUPBf),0)</f>
        <v/>
      </c>
      <c r="M246" s="31">
        <f>IFERROR(SUMPRODUCT(tFlag*(ISNUMBER(tCurLTV)*(tCurLTV&gt;=$W246)*(tCurLTV&lt;$X246)),tUPBf,tUWDY)/SUMPRODUCT(tFlag*(ISNUMBER(tCurLTV)*(tCurLTV&gt;=$W246)*(tCurLTV&lt;$X246))*ISNUMBER(tUWDY),tUPBf),0)</f>
        <v/>
      </c>
      <c r="N246" s="31">
        <f>IFERROR(SUMPRODUCT(tFlag*(ISNUMBER(tCurLTV)*(tCurLTV&gt;=$W246)*(tCurLTV&lt;$X246)),tUPBf,tCurDY)/SUMPRODUCT(tFlag*(ISNUMBER(tCurLTV)*(tCurLTV&gt;=$W246)*(tCurLTV&lt;$X246))*ISNUMBER(tCurDY),tUPBf),0)</f>
        <v/>
      </c>
      <c r="O246" s="31">
        <f>IFERROR(SUMPRODUCT(tFlag*(ISNUMBER(tCurLTV)*(tCurLTV&gt;=$W246)*(tCurLTV&lt;$X246)),tUPBf,tOcc)/SUMPRODUCT(tFlag*(ISNUMBER(tCurLTV)*(tCurLTV&gt;=$W246)*(tCurLTV&lt;$X246))*ISNUMBER(tOcc),tUPBf),0)</f>
        <v/>
      </c>
      <c r="P246" s="47">
        <f>IFERROR(SUMPRODUCT(tFlag*(ISNUMBER(tCurLTV)*(tCurLTV&gt;=$W246)*(tCurLTV&lt;$X246)),tUPBf,tRem)/SUMPRODUCT(tFlag*(ISNUMBER(tCurLTV)*(tCurLTV&gt;=$W246)*(tCurLTV&lt;$X246))*ISNUMBER(tRem),tUPBf),0)</f>
        <v/>
      </c>
      <c r="Q246" s="31">
        <f>IFERROR(SUMPRODUCT(tFlag*(ISNUMBER(tCurLTV)*(tCurLTV&gt;=$W246)*(tCurLTV&lt;$X246)),tUPBf,tFIO)/$E246,0)</f>
        <v/>
      </c>
      <c r="R246" s="31">
        <f>IFERROR(SUMPRODUCT(tFlag*(ISNUMBER(tCurLTV)*(tCurLTV&gt;=$W246)*(tCurLTV&lt;$X246)),tUPBf,tDefF)/$E246,0)</f>
        <v/>
      </c>
      <c r="S246" s="31">
        <f>IFERROR(SUMPRODUCT(tFlag*(ISNUMBER(tCurLTV)*(tCurLTV&gt;=$W246)*(tCurLTV&lt;$X246)),tUPBf,tSSF)/$E246,0)</f>
        <v/>
      </c>
      <c r="T246" s="31">
        <f>IFERROR(SUMPRODUCT(tFlag*(ISNUMBER(tCurLTV)*(tCurLTV&gt;=$W246)*(tCurLTV&lt;$X246)),tUPBf,tDQ)/$E246,0)</f>
        <v/>
      </c>
      <c r="U246" s="31">
        <f>IFERROR(SUMPRODUCT(tFlag*(ISNUMBER(tCurLTV)*(tCurLTV&gt;=$W246)*(tCurLTV&lt;$X246)),tUPBf,tWLF)/$E246,0)</f>
        <v/>
      </c>
      <c r="W246" s="53" t="n">
        <v>0.5</v>
      </c>
      <c r="X246" s="53" t="n">
        <v>0.6</v>
      </c>
    </row>
    <row r="247">
      <c r="B247" s="18" t="inlineStr">
        <is>
          <t>60.0% to 70.0%</t>
        </is>
      </c>
      <c r="C247" s="19">
        <f>SUMPRODUCT(tFlag*(ISNUMBER(tCurLTV)*(tCurLTV&gt;=$W247)*(tCurLTV&lt;$X247)))</f>
        <v/>
      </c>
      <c r="D247" s="22">
        <f>IFERROR(C247/sLoans,0)</f>
        <v/>
      </c>
      <c r="E247" s="21">
        <f>SUMPRODUCT(tFlag*(ISNUMBER(tCurLTV)*(tCurLTV&gt;=$W247)*(tCurLTV&lt;$X247)),tUPBf)</f>
        <v/>
      </c>
      <c r="F247" s="22">
        <f>IFERROR(E247/sUPB,0)</f>
        <v/>
      </c>
      <c r="G247" s="21">
        <f>IFERROR(E247/C247,0)</f>
        <v/>
      </c>
      <c r="H247" s="23">
        <f>IFERROR(SUMPRODUCT(tFlag*(ISNUMBER(tCurLTV)*(tCurLTV&gt;=$W247)*(tCurLTV&lt;$X247)),tUPBf,tCpn)/SUMPRODUCT(tFlag*(ISNUMBER(tCurLTV)*(tCurLTV&gt;=$W247)*(tCurLTV&lt;$X247))*ISNUMBER(tCpn),tUPBf),0)</f>
        <v/>
      </c>
      <c r="I247" s="24">
        <f>IFERROR(SUMPRODUCT(tFlag*(ISNUMBER(tCurLTV)*(tCurLTV&gt;=$W247)*(tCurLTV&lt;$X247)),tUPBf,tUWDSCR)/SUMPRODUCT(tFlag*(ISNUMBER(tCurLTV)*(tCurLTV&gt;=$W247)*(tCurLTV&lt;$X247))*ISNUMBER(tUWDSCR),tUPBf),0)</f>
        <v/>
      </c>
      <c r="J247" s="24">
        <f>IFERROR(SUMPRODUCT(tFlag*(ISNUMBER(tCurLTV)*(tCurLTV&gt;=$W247)*(tCurLTV&lt;$X247)),tUPBf,tCurDSCR)/SUMPRODUCT(tFlag*(ISNUMBER(tCurLTV)*(tCurLTV&gt;=$W247)*(tCurLTV&lt;$X247))*ISNUMBER(tCurDSCR),tUPBf),0)</f>
        <v/>
      </c>
      <c r="K247" s="22">
        <f>IFERROR(SUMPRODUCT(tFlag*(ISNUMBER(tCurLTV)*(tCurLTV&gt;=$W247)*(tCurLTV&lt;$X247)),tUPBf,tUWLTV)/SUMPRODUCT(tFlag*(ISNUMBER(tCurLTV)*(tCurLTV&gt;=$W247)*(tCurLTV&lt;$X247))*ISNUMBER(tUWLTV),tUPBf),0)</f>
        <v/>
      </c>
      <c r="L247" s="22">
        <f>IFERROR(SUMPRODUCT(tFlag*(ISNUMBER(tCurLTV)*(tCurLTV&gt;=$W247)*(tCurLTV&lt;$X247)),tUPBf,tCurLTV)/SUMPRODUCT(tFlag*(ISNUMBER(tCurLTV)*(tCurLTV&gt;=$W247)*(tCurLTV&lt;$X247))*ISNUMBER(tCurLTV),tUPBf),0)</f>
        <v/>
      </c>
      <c r="M247" s="22">
        <f>IFERROR(SUMPRODUCT(tFlag*(ISNUMBER(tCurLTV)*(tCurLTV&gt;=$W247)*(tCurLTV&lt;$X247)),tUPBf,tUWDY)/SUMPRODUCT(tFlag*(ISNUMBER(tCurLTV)*(tCurLTV&gt;=$W247)*(tCurLTV&lt;$X247))*ISNUMBER(tUWDY),tUPBf),0)</f>
        <v/>
      </c>
      <c r="N247" s="22">
        <f>IFERROR(SUMPRODUCT(tFlag*(ISNUMBER(tCurLTV)*(tCurLTV&gt;=$W247)*(tCurLTV&lt;$X247)),tUPBf,tCurDY)/SUMPRODUCT(tFlag*(ISNUMBER(tCurLTV)*(tCurLTV&gt;=$W247)*(tCurLTV&lt;$X247))*ISNUMBER(tCurDY),tUPBf),0)</f>
        <v/>
      </c>
      <c r="O247" s="22">
        <f>IFERROR(SUMPRODUCT(tFlag*(ISNUMBER(tCurLTV)*(tCurLTV&gt;=$W247)*(tCurLTV&lt;$X247)),tUPBf,tOcc)/SUMPRODUCT(tFlag*(ISNUMBER(tCurLTV)*(tCurLTV&gt;=$W247)*(tCurLTV&lt;$X247))*ISNUMBER(tOcc),tUPBf),0)</f>
        <v/>
      </c>
      <c r="P247" s="45">
        <f>IFERROR(SUMPRODUCT(tFlag*(ISNUMBER(tCurLTV)*(tCurLTV&gt;=$W247)*(tCurLTV&lt;$X247)),tUPBf,tRem)/SUMPRODUCT(tFlag*(ISNUMBER(tCurLTV)*(tCurLTV&gt;=$W247)*(tCurLTV&lt;$X247))*ISNUMBER(tRem),tUPBf),0)</f>
        <v/>
      </c>
      <c r="Q247" s="22">
        <f>IFERROR(SUMPRODUCT(tFlag*(ISNUMBER(tCurLTV)*(tCurLTV&gt;=$W247)*(tCurLTV&lt;$X247)),tUPBf,tFIO)/$E247,0)</f>
        <v/>
      </c>
      <c r="R247" s="22">
        <f>IFERROR(SUMPRODUCT(tFlag*(ISNUMBER(tCurLTV)*(tCurLTV&gt;=$W247)*(tCurLTV&lt;$X247)),tUPBf,tDefF)/$E247,0)</f>
        <v/>
      </c>
      <c r="S247" s="22">
        <f>IFERROR(SUMPRODUCT(tFlag*(ISNUMBER(tCurLTV)*(tCurLTV&gt;=$W247)*(tCurLTV&lt;$X247)),tUPBf,tSSF)/$E247,0)</f>
        <v/>
      </c>
      <c r="T247" s="22">
        <f>IFERROR(SUMPRODUCT(tFlag*(ISNUMBER(tCurLTV)*(tCurLTV&gt;=$W247)*(tCurLTV&lt;$X247)),tUPBf,tDQ)/$E247,0)</f>
        <v/>
      </c>
      <c r="U247" s="22">
        <f>IFERROR(SUMPRODUCT(tFlag*(ISNUMBER(tCurLTV)*(tCurLTV&gt;=$W247)*(tCurLTV&lt;$X247)),tUPBf,tWLF)/$E247,0)</f>
        <v/>
      </c>
      <c r="W247" s="53" t="n">
        <v>0.6</v>
      </c>
      <c r="X247" s="53" t="n">
        <v>0.7</v>
      </c>
    </row>
    <row r="248">
      <c r="B248" s="27" t="inlineStr">
        <is>
          <t>70.0% to 80.0%</t>
        </is>
      </c>
      <c r="C248" s="28">
        <f>SUMPRODUCT(tFlag*(ISNUMBER(tCurLTV)*(tCurLTV&gt;=$W248)*(tCurLTV&lt;$X248)))</f>
        <v/>
      </c>
      <c r="D248" s="31">
        <f>IFERROR(C248/sLoans,0)</f>
        <v/>
      </c>
      <c r="E248" s="30">
        <f>SUMPRODUCT(tFlag*(ISNUMBER(tCurLTV)*(tCurLTV&gt;=$W248)*(tCurLTV&lt;$X248)),tUPBf)</f>
        <v/>
      </c>
      <c r="F248" s="31">
        <f>IFERROR(E248/sUPB,0)</f>
        <v/>
      </c>
      <c r="G248" s="30">
        <f>IFERROR(E248/C248,0)</f>
        <v/>
      </c>
      <c r="H248" s="32">
        <f>IFERROR(SUMPRODUCT(tFlag*(ISNUMBER(tCurLTV)*(tCurLTV&gt;=$W248)*(tCurLTV&lt;$X248)),tUPBf,tCpn)/SUMPRODUCT(tFlag*(ISNUMBER(tCurLTV)*(tCurLTV&gt;=$W248)*(tCurLTV&lt;$X248))*ISNUMBER(tCpn),tUPBf),0)</f>
        <v/>
      </c>
      <c r="I248" s="33">
        <f>IFERROR(SUMPRODUCT(tFlag*(ISNUMBER(tCurLTV)*(tCurLTV&gt;=$W248)*(tCurLTV&lt;$X248)),tUPBf,tUWDSCR)/SUMPRODUCT(tFlag*(ISNUMBER(tCurLTV)*(tCurLTV&gt;=$W248)*(tCurLTV&lt;$X248))*ISNUMBER(tUWDSCR),tUPBf),0)</f>
        <v/>
      </c>
      <c r="J248" s="33">
        <f>IFERROR(SUMPRODUCT(tFlag*(ISNUMBER(tCurLTV)*(tCurLTV&gt;=$W248)*(tCurLTV&lt;$X248)),tUPBf,tCurDSCR)/SUMPRODUCT(tFlag*(ISNUMBER(tCurLTV)*(tCurLTV&gt;=$W248)*(tCurLTV&lt;$X248))*ISNUMBER(tCurDSCR),tUPBf),0)</f>
        <v/>
      </c>
      <c r="K248" s="31">
        <f>IFERROR(SUMPRODUCT(tFlag*(ISNUMBER(tCurLTV)*(tCurLTV&gt;=$W248)*(tCurLTV&lt;$X248)),tUPBf,tUWLTV)/SUMPRODUCT(tFlag*(ISNUMBER(tCurLTV)*(tCurLTV&gt;=$W248)*(tCurLTV&lt;$X248))*ISNUMBER(tUWLTV),tUPBf),0)</f>
        <v/>
      </c>
      <c r="L248" s="31">
        <f>IFERROR(SUMPRODUCT(tFlag*(ISNUMBER(tCurLTV)*(tCurLTV&gt;=$W248)*(tCurLTV&lt;$X248)),tUPBf,tCurLTV)/SUMPRODUCT(tFlag*(ISNUMBER(tCurLTV)*(tCurLTV&gt;=$W248)*(tCurLTV&lt;$X248))*ISNUMBER(tCurLTV),tUPBf),0)</f>
        <v/>
      </c>
      <c r="M248" s="31">
        <f>IFERROR(SUMPRODUCT(tFlag*(ISNUMBER(tCurLTV)*(tCurLTV&gt;=$W248)*(tCurLTV&lt;$X248)),tUPBf,tUWDY)/SUMPRODUCT(tFlag*(ISNUMBER(tCurLTV)*(tCurLTV&gt;=$W248)*(tCurLTV&lt;$X248))*ISNUMBER(tUWDY),tUPBf),0)</f>
        <v/>
      </c>
      <c r="N248" s="31">
        <f>IFERROR(SUMPRODUCT(tFlag*(ISNUMBER(tCurLTV)*(tCurLTV&gt;=$W248)*(tCurLTV&lt;$X248)),tUPBf,tCurDY)/SUMPRODUCT(tFlag*(ISNUMBER(tCurLTV)*(tCurLTV&gt;=$W248)*(tCurLTV&lt;$X248))*ISNUMBER(tCurDY),tUPBf),0)</f>
        <v/>
      </c>
      <c r="O248" s="31">
        <f>IFERROR(SUMPRODUCT(tFlag*(ISNUMBER(tCurLTV)*(tCurLTV&gt;=$W248)*(tCurLTV&lt;$X248)),tUPBf,tOcc)/SUMPRODUCT(tFlag*(ISNUMBER(tCurLTV)*(tCurLTV&gt;=$W248)*(tCurLTV&lt;$X248))*ISNUMBER(tOcc),tUPBf),0)</f>
        <v/>
      </c>
      <c r="P248" s="47">
        <f>IFERROR(SUMPRODUCT(tFlag*(ISNUMBER(tCurLTV)*(tCurLTV&gt;=$W248)*(tCurLTV&lt;$X248)),tUPBf,tRem)/SUMPRODUCT(tFlag*(ISNUMBER(tCurLTV)*(tCurLTV&gt;=$W248)*(tCurLTV&lt;$X248))*ISNUMBER(tRem),tUPBf),0)</f>
        <v/>
      </c>
      <c r="Q248" s="31">
        <f>IFERROR(SUMPRODUCT(tFlag*(ISNUMBER(tCurLTV)*(tCurLTV&gt;=$W248)*(tCurLTV&lt;$X248)),tUPBf,tFIO)/$E248,0)</f>
        <v/>
      </c>
      <c r="R248" s="31">
        <f>IFERROR(SUMPRODUCT(tFlag*(ISNUMBER(tCurLTV)*(tCurLTV&gt;=$W248)*(tCurLTV&lt;$X248)),tUPBf,tDefF)/$E248,0)</f>
        <v/>
      </c>
      <c r="S248" s="31">
        <f>IFERROR(SUMPRODUCT(tFlag*(ISNUMBER(tCurLTV)*(tCurLTV&gt;=$W248)*(tCurLTV&lt;$X248)),tUPBf,tSSF)/$E248,0)</f>
        <v/>
      </c>
      <c r="T248" s="31">
        <f>IFERROR(SUMPRODUCT(tFlag*(ISNUMBER(tCurLTV)*(tCurLTV&gt;=$W248)*(tCurLTV&lt;$X248)),tUPBf,tDQ)/$E248,0)</f>
        <v/>
      </c>
      <c r="U248" s="31">
        <f>IFERROR(SUMPRODUCT(tFlag*(ISNUMBER(tCurLTV)*(tCurLTV&gt;=$W248)*(tCurLTV&lt;$X248)),tUPBf,tWLF)/$E248,0)</f>
        <v/>
      </c>
      <c r="W248" s="53" t="n">
        <v>0.7</v>
      </c>
      <c r="X248" s="53" t="n">
        <v>0.8</v>
      </c>
    </row>
    <row r="249">
      <c r="B249" s="18" t="inlineStr">
        <is>
          <t>80.0% to 90.0%</t>
        </is>
      </c>
      <c r="C249" s="19">
        <f>SUMPRODUCT(tFlag*(ISNUMBER(tCurLTV)*(tCurLTV&gt;=$W249)*(tCurLTV&lt;$X249)))</f>
        <v/>
      </c>
      <c r="D249" s="22">
        <f>IFERROR(C249/sLoans,0)</f>
        <v/>
      </c>
      <c r="E249" s="21">
        <f>SUMPRODUCT(tFlag*(ISNUMBER(tCurLTV)*(tCurLTV&gt;=$W249)*(tCurLTV&lt;$X249)),tUPBf)</f>
        <v/>
      </c>
      <c r="F249" s="22">
        <f>IFERROR(E249/sUPB,0)</f>
        <v/>
      </c>
      <c r="G249" s="21">
        <f>IFERROR(E249/C249,0)</f>
        <v/>
      </c>
      <c r="H249" s="23">
        <f>IFERROR(SUMPRODUCT(tFlag*(ISNUMBER(tCurLTV)*(tCurLTV&gt;=$W249)*(tCurLTV&lt;$X249)),tUPBf,tCpn)/SUMPRODUCT(tFlag*(ISNUMBER(tCurLTV)*(tCurLTV&gt;=$W249)*(tCurLTV&lt;$X249))*ISNUMBER(tCpn),tUPBf),0)</f>
        <v/>
      </c>
      <c r="I249" s="24">
        <f>IFERROR(SUMPRODUCT(tFlag*(ISNUMBER(tCurLTV)*(tCurLTV&gt;=$W249)*(tCurLTV&lt;$X249)),tUPBf,tUWDSCR)/SUMPRODUCT(tFlag*(ISNUMBER(tCurLTV)*(tCurLTV&gt;=$W249)*(tCurLTV&lt;$X249))*ISNUMBER(tUWDSCR),tUPBf),0)</f>
        <v/>
      </c>
      <c r="J249" s="24">
        <f>IFERROR(SUMPRODUCT(tFlag*(ISNUMBER(tCurLTV)*(tCurLTV&gt;=$W249)*(tCurLTV&lt;$X249)),tUPBf,tCurDSCR)/SUMPRODUCT(tFlag*(ISNUMBER(tCurLTV)*(tCurLTV&gt;=$W249)*(tCurLTV&lt;$X249))*ISNUMBER(tCurDSCR),tUPBf),0)</f>
        <v/>
      </c>
      <c r="K249" s="22">
        <f>IFERROR(SUMPRODUCT(tFlag*(ISNUMBER(tCurLTV)*(tCurLTV&gt;=$W249)*(tCurLTV&lt;$X249)),tUPBf,tUWLTV)/SUMPRODUCT(tFlag*(ISNUMBER(tCurLTV)*(tCurLTV&gt;=$W249)*(tCurLTV&lt;$X249))*ISNUMBER(tUWLTV),tUPBf),0)</f>
        <v/>
      </c>
      <c r="L249" s="22">
        <f>IFERROR(SUMPRODUCT(tFlag*(ISNUMBER(tCurLTV)*(tCurLTV&gt;=$W249)*(tCurLTV&lt;$X249)),tUPBf,tCurLTV)/SUMPRODUCT(tFlag*(ISNUMBER(tCurLTV)*(tCurLTV&gt;=$W249)*(tCurLTV&lt;$X249))*ISNUMBER(tCurLTV),tUPBf),0)</f>
        <v/>
      </c>
      <c r="M249" s="22">
        <f>IFERROR(SUMPRODUCT(tFlag*(ISNUMBER(tCurLTV)*(tCurLTV&gt;=$W249)*(tCurLTV&lt;$X249)),tUPBf,tUWDY)/SUMPRODUCT(tFlag*(ISNUMBER(tCurLTV)*(tCurLTV&gt;=$W249)*(tCurLTV&lt;$X249))*ISNUMBER(tUWDY),tUPBf),0)</f>
        <v/>
      </c>
      <c r="N249" s="22">
        <f>IFERROR(SUMPRODUCT(tFlag*(ISNUMBER(tCurLTV)*(tCurLTV&gt;=$W249)*(tCurLTV&lt;$X249)),tUPBf,tCurDY)/SUMPRODUCT(tFlag*(ISNUMBER(tCurLTV)*(tCurLTV&gt;=$W249)*(tCurLTV&lt;$X249))*ISNUMBER(tCurDY),tUPBf),0)</f>
        <v/>
      </c>
      <c r="O249" s="22">
        <f>IFERROR(SUMPRODUCT(tFlag*(ISNUMBER(tCurLTV)*(tCurLTV&gt;=$W249)*(tCurLTV&lt;$X249)),tUPBf,tOcc)/SUMPRODUCT(tFlag*(ISNUMBER(tCurLTV)*(tCurLTV&gt;=$W249)*(tCurLTV&lt;$X249))*ISNUMBER(tOcc),tUPBf),0)</f>
        <v/>
      </c>
      <c r="P249" s="45">
        <f>IFERROR(SUMPRODUCT(tFlag*(ISNUMBER(tCurLTV)*(tCurLTV&gt;=$W249)*(tCurLTV&lt;$X249)),tUPBf,tRem)/SUMPRODUCT(tFlag*(ISNUMBER(tCurLTV)*(tCurLTV&gt;=$W249)*(tCurLTV&lt;$X249))*ISNUMBER(tRem),tUPBf),0)</f>
        <v/>
      </c>
      <c r="Q249" s="22">
        <f>IFERROR(SUMPRODUCT(tFlag*(ISNUMBER(tCurLTV)*(tCurLTV&gt;=$W249)*(tCurLTV&lt;$X249)),tUPBf,tFIO)/$E249,0)</f>
        <v/>
      </c>
      <c r="R249" s="22">
        <f>IFERROR(SUMPRODUCT(tFlag*(ISNUMBER(tCurLTV)*(tCurLTV&gt;=$W249)*(tCurLTV&lt;$X249)),tUPBf,tDefF)/$E249,0)</f>
        <v/>
      </c>
      <c r="S249" s="22">
        <f>IFERROR(SUMPRODUCT(tFlag*(ISNUMBER(tCurLTV)*(tCurLTV&gt;=$W249)*(tCurLTV&lt;$X249)),tUPBf,tSSF)/$E249,0)</f>
        <v/>
      </c>
      <c r="T249" s="22">
        <f>IFERROR(SUMPRODUCT(tFlag*(ISNUMBER(tCurLTV)*(tCurLTV&gt;=$W249)*(tCurLTV&lt;$X249)),tUPBf,tDQ)/$E249,0)</f>
        <v/>
      </c>
      <c r="U249" s="22">
        <f>IFERROR(SUMPRODUCT(tFlag*(ISNUMBER(tCurLTV)*(tCurLTV&gt;=$W249)*(tCurLTV&lt;$X249)),tUPBf,tWLF)/$E249,0)</f>
        <v/>
      </c>
      <c r="W249" s="53" t="n">
        <v>0.8</v>
      </c>
      <c r="X249" s="53" t="n">
        <v>0.9</v>
      </c>
    </row>
    <row r="250">
      <c r="B250" s="27" t="inlineStr">
        <is>
          <t>90.0% to 100.0%</t>
        </is>
      </c>
      <c r="C250" s="28">
        <f>SUMPRODUCT(tFlag*(ISNUMBER(tCurLTV)*(tCurLTV&gt;=$W250)*(tCurLTV&lt;$X250)))</f>
        <v/>
      </c>
      <c r="D250" s="31">
        <f>IFERROR(C250/sLoans,0)</f>
        <v/>
      </c>
      <c r="E250" s="30">
        <f>SUMPRODUCT(tFlag*(ISNUMBER(tCurLTV)*(tCurLTV&gt;=$W250)*(tCurLTV&lt;$X250)),tUPBf)</f>
        <v/>
      </c>
      <c r="F250" s="31">
        <f>IFERROR(E250/sUPB,0)</f>
        <v/>
      </c>
      <c r="G250" s="30">
        <f>IFERROR(E250/C250,0)</f>
        <v/>
      </c>
      <c r="H250" s="32">
        <f>IFERROR(SUMPRODUCT(tFlag*(ISNUMBER(tCurLTV)*(tCurLTV&gt;=$W250)*(tCurLTV&lt;$X250)),tUPBf,tCpn)/SUMPRODUCT(tFlag*(ISNUMBER(tCurLTV)*(tCurLTV&gt;=$W250)*(tCurLTV&lt;$X250))*ISNUMBER(tCpn),tUPBf),0)</f>
        <v/>
      </c>
      <c r="I250" s="33">
        <f>IFERROR(SUMPRODUCT(tFlag*(ISNUMBER(tCurLTV)*(tCurLTV&gt;=$W250)*(tCurLTV&lt;$X250)),tUPBf,tUWDSCR)/SUMPRODUCT(tFlag*(ISNUMBER(tCurLTV)*(tCurLTV&gt;=$W250)*(tCurLTV&lt;$X250))*ISNUMBER(tUWDSCR),tUPBf),0)</f>
        <v/>
      </c>
      <c r="J250" s="33">
        <f>IFERROR(SUMPRODUCT(tFlag*(ISNUMBER(tCurLTV)*(tCurLTV&gt;=$W250)*(tCurLTV&lt;$X250)),tUPBf,tCurDSCR)/SUMPRODUCT(tFlag*(ISNUMBER(tCurLTV)*(tCurLTV&gt;=$W250)*(tCurLTV&lt;$X250))*ISNUMBER(tCurDSCR),tUPBf),0)</f>
        <v/>
      </c>
      <c r="K250" s="31">
        <f>IFERROR(SUMPRODUCT(tFlag*(ISNUMBER(tCurLTV)*(tCurLTV&gt;=$W250)*(tCurLTV&lt;$X250)),tUPBf,tUWLTV)/SUMPRODUCT(tFlag*(ISNUMBER(tCurLTV)*(tCurLTV&gt;=$W250)*(tCurLTV&lt;$X250))*ISNUMBER(tUWLTV),tUPBf),0)</f>
        <v/>
      </c>
      <c r="L250" s="31">
        <f>IFERROR(SUMPRODUCT(tFlag*(ISNUMBER(tCurLTV)*(tCurLTV&gt;=$W250)*(tCurLTV&lt;$X250)),tUPBf,tCurLTV)/SUMPRODUCT(tFlag*(ISNUMBER(tCurLTV)*(tCurLTV&gt;=$W250)*(tCurLTV&lt;$X250))*ISNUMBER(tCurLTV),tUPBf),0)</f>
        <v/>
      </c>
      <c r="M250" s="31">
        <f>IFERROR(SUMPRODUCT(tFlag*(ISNUMBER(tCurLTV)*(tCurLTV&gt;=$W250)*(tCurLTV&lt;$X250)),tUPBf,tUWDY)/SUMPRODUCT(tFlag*(ISNUMBER(tCurLTV)*(tCurLTV&gt;=$W250)*(tCurLTV&lt;$X250))*ISNUMBER(tUWDY),tUPBf),0)</f>
        <v/>
      </c>
      <c r="N250" s="31">
        <f>IFERROR(SUMPRODUCT(tFlag*(ISNUMBER(tCurLTV)*(tCurLTV&gt;=$W250)*(tCurLTV&lt;$X250)),tUPBf,tCurDY)/SUMPRODUCT(tFlag*(ISNUMBER(tCurLTV)*(tCurLTV&gt;=$W250)*(tCurLTV&lt;$X250))*ISNUMBER(tCurDY),tUPBf),0)</f>
        <v/>
      </c>
      <c r="O250" s="31">
        <f>IFERROR(SUMPRODUCT(tFlag*(ISNUMBER(tCurLTV)*(tCurLTV&gt;=$W250)*(tCurLTV&lt;$X250)),tUPBf,tOcc)/SUMPRODUCT(tFlag*(ISNUMBER(tCurLTV)*(tCurLTV&gt;=$W250)*(tCurLTV&lt;$X250))*ISNUMBER(tOcc),tUPBf),0)</f>
        <v/>
      </c>
      <c r="P250" s="47">
        <f>IFERROR(SUMPRODUCT(tFlag*(ISNUMBER(tCurLTV)*(tCurLTV&gt;=$W250)*(tCurLTV&lt;$X250)),tUPBf,tRem)/SUMPRODUCT(tFlag*(ISNUMBER(tCurLTV)*(tCurLTV&gt;=$W250)*(tCurLTV&lt;$X250))*ISNUMBER(tRem),tUPBf),0)</f>
        <v/>
      </c>
      <c r="Q250" s="31">
        <f>IFERROR(SUMPRODUCT(tFlag*(ISNUMBER(tCurLTV)*(tCurLTV&gt;=$W250)*(tCurLTV&lt;$X250)),tUPBf,tFIO)/$E250,0)</f>
        <v/>
      </c>
      <c r="R250" s="31">
        <f>IFERROR(SUMPRODUCT(tFlag*(ISNUMBER(tCurLTV)*(tCurLTV&gt;=$W250)*(tCurLTV&lt;$X250)),tUPBf,tDefF)/$E250,0)</f>
        <v/>
      </c>
      <c r="S250" s="31">
        <f>IFERROR(SUMPRODUCT(tFlag*(ISNUMBER(tCurLTV)*(tCurLTV&gt;=$W250)*(tCurLTV&lt;$X250)),tUPBf,tSSF)/$E250,0)</f>
        <v/>
      </c>
      <c r="T250" s="31">
        <f>IFERROR(SUMPRODUCT(tFlag*(ISNUMBER(tCurLTV)*(tCurLTV&gt;=$W250)*(tCurLTV&lt;$X250)),tUPBf,tDQ)/$E250,0)</f>
        <v/>
      </c>
      <c r="U250" s="31">
        <f>IFERROR(SUMPRODUCT(tFlag*(ISNUMBER(tCurLTV)*(tCurLTV&gt;=$W250)*(tCurLTV&lt;$X250)),tUPBf,tWLF)/$E250,0)</f>
        <v/>
      </c>
      <c r="W250" s="53" t="n">
        <v>0.9</v>
      </c>
      <c r="X250" s="53" t="n">
        <v>1</v>
      </c>
    </row>
    <row r="251">
      <c r="B251" s="18" t="inlineStr">
        <is>
          <t>100.0% or Greater</t>
        </is>
      </c>
      <c r="C251" s="19">
        <f>SUMPRODUCT(tFlag*(ISNUMBER(tCurLTV)*(tCurLTV&gt;=$W251)*(tCurLTV&lt;$X251)))</f>
        <v/>
      </c>
      <c r="D251" s="22">
        <f>IFERROR(C251/sLoans,0)</f>
        <v/>
      </c>
      <c r="E251" s="21">
        <f>SUMPRODUCT(tFlag*(ISNUMBER(tCurLTV)*(tCurLTV&gt;=$W251)*(tCurLTV&lt;$X251)),tUPBf)</f>
        <v/>
      </c>
      <c r="F251" s="22">
        <f>IFERROR(E251/sUPB,0)</f>
        <v/>
      </c>
      <c r="G251" s="21">
        <f>IFERROR(E251/C251,0)</f>
        <v/>
      </c>
      <c r="H251" s="23">
        <f>IFERROR(SUMPRODUCT(tFlag*(ISNUMBER(tCurLTV)*(tCurLTV&gt;=$W251)*(tCurLTV&lt;$X251)),tUPBf,tCpn)/SUMPRODUCT(tFlag*(ISNUMBER(tCurLTV)*(tCurLTV&gt;=$W251)*(tCurLTV&lt;$X251))*ISNUMBER(tCpn),tUPBf),0)</f>
        <v/>
      </c>
      <c r="I251" s="24">
        <f>IFERROR(SUMPRODUCT(tFlag*(ISNUMBER(tCurLTV)*(tCurLTV&gt;=$W251)*(tCurLTV&lt;$X251)),tUPBf,tUWDSCR)/SUMPRODUCT(tFlag*(ISNUMBER(tCurLTV)*(tCurLTV&gt;=$W251)*(tCurLTV&lt;$X251))*ISNUMBER(tUWDSCR),tUPBf),0)</f>
        <v/>
      </c>
      <c r="J251" s="24">
        <f>IFERROR(SUMPRODUCT(tFlag*(ISNUMBER(tCurLTV)*(tCurLTV&gt;=$W251)*(tCurLTV&lt;$X251)),tUPBf,tCurDSCR)/SUMPRODUCT(tFlag*(ISNUMBER(tCurLTV)*(tCurLTV&gt;=$W251)*(tCurLTV&lt;$X251))*ISNUMBER(tCurDSCR),tUPBf),0)</f>
        <v/>
      </c>
      <c r="K251" s="22">
        <f>IFERROR(SUMPRODUCT(tFlag*(ISNUMBER(tCurLTV)*(tCurLTV&gt;=$W251)*(tCurLTV&lt;$X251)),tUPBf,tUWLTV)/SUMPRODUCT(tFlag*(ISNUMBER(tCurLTV)*(tCurLTV&gt;=$W251)*(tCurLTV&lt;$X251))*ISNUMBER(tUWLTV),tUPBf),0)</f>
        <v/>
      </c>
      <c r="L251" s="22">
        <f>IFERROR(SUMPRODUCT(tFlag*(ISNUMBER(tCurLTV)*(tCurLTV&gt;=$W251)*(tCurLTV&lt;$X251)),tUPBf,tCurLTV)/SUMPRODUCT(tFlag*(ISNUMBER(tCurLTV)*(tCurLTV&gt;=$W251)*(tCurLTV&lt;$X251))*ISNUMBER(tCurLTV),tUPBf),0)</f>
        <v/>
      </c>
      <c r="M251" s="22">
        <f>IFERROR(SUMPRODUCT(tFlag*(ISNUMBER(tCurLTV)*(tCurLTV&gt;=$W251)*(tCurLTV&lt;$X251)),tUPBf,tUWDY)/SUMPRODUCT(tFlag*(ISNUMBER(tCurLTV)*(tCurLTV&gt;=$W251)*(tCurLTV&lt;$X251))*ISNUMBER(tUWDY),tUPBf),0)</f>
        <v/>
      </c>
      <c r="N251" s="22">
        <f>IFERROR(SUMPRODUCT(tFlag*(ISNUMBER(tCurLTV)*(tCurLTV&gt;=$W251)*(tCurLTV&lt;$X251)),tUPBf,tCurDY)/SUMPRODUCT(tFlag*(ISNUMBER(tCurLTV)*(tCurLTV&gt;=$W251)*(tCurLTV&lt;$X251))*ISNUMBER(tCurDY),tUPBf),0)</f>
        <v/>
      </c>
      <c r="O251" s="22">
        <f>IFERROR(SUMPRODUCT(tFlag*(ISNUMBER(tCurLTV)*(tCurLTV&gt;=$W251)*(tCurLTV&lt;$X251)),tUPBf,tOcc)/SUMPRODUCT(tFlag*(ISNUMBER(tCurLTV)*(tCurLTV&gt;=$W251)*(tCurLTV&lt;$X251))*ISNUMBER(tOcc),tUPBf),0)</f>
        <v/>
      </c>
      <c r="P251" s="45">
        <f>IFERROR(SUMPRODUCT(tFlag*(ISNUMBER(tCurLTV)*(tCurLTV&gt;=$W251)*(tCurLTV&lt;$X251)),tUPBf,tRem)/SUMPRODUCT(tFlag*(ISNUMBER(tCurLTV)*(tCurLTV&gt;=$W251)*(tCurLTV&lt;$X251))*ISNUMBER(tRem),tUPBf),0)</f>
        <v/>
      </c>
      <c r="Q251" s="22">
        <f>IFERROR(SUMPRODUCT(tFlag*(ISNUMBER(tCurLTV)*(tCurLTV&gt;=$W251)*(tCurLTV&lt;$X251)),tUPBf,tFIO)/$E251,0)</f>
        <v/>
      </c>
      <c r="R251" s="22">
        <f>IFERROR(SUMPRODUCT(tFlag*(ISNUMBER(tCurLTV)*(tCurLTV&gt;=$W251)*(tCurLTV&lt;$X251)),tUPBf,tDefF)/$E251,0)</f>
        <v/>
      </c>
      <c r="S251" s="22">
        <f>IFERROR(SUMPRODUCT(tFlag*(ISNUMBER(tCurLTV)*(tCurLTV&gt;=$W251)*(tCurLTV&lt;$X251)),tUPBf,tSSF)/$E251,0)</f>
        <v/>
      </c>
      <c r="T251" s="22">
        <f>IFERROR(SUMPRODUCT(tFlag*(ISNUMBER(tCurLTV)*(tCurLTV&gt;=$W251)*(tCurLTV&lt;$X251)),tUPBf,tDQ)/$E251,0)</f>
        <v/>
      </c>
      <c r="U251" s="22">
        <f>IFERROR(SUMPRODUCT(tFlag*(ISNUMBER(tCurLTV)*(tCurLTV&gt;=$W251)*(tCurLTV&lt;$X251)),tUPBf,tWLF)/$E251,0)</f>
        <v/>
      </c>
      <c r="W251" s="53" t="n">
        <v>1</v>
      </c>
      <c r="X251" s="53" t="n">
        <v>1000000000000</v>
      </c>
    </row>
    <row r="252">
      <c r="B252" s="27" t="inlineStr">
        <is>
          <t>Not Reported</t>
        </is>
      </c>
      <c r="C252" s="28">
        <f>SUMPRODUCT(tFlag*(1-ISNUMBER(tCurLTV)))</f>
        <v/>
      </c>
      <c r="D252" s="31">
        <f>IFERROR(C252/sLoans,0)</f>
        <v/>
      </c>
      <c r="E252" s="30">
        <f>SUMPRODUCT(tFlag*(1-ISNUMBER(tCurLTV)),tUPBf)</f>
        <v/>
      </c>
      <c r="F252" s="31">
        <f>IFERROR(E252/sUPB,0)</f>
        <v/>
      </c>
      <c r="G252" s="30">
        <f>IFERROR(E252/C252,0)</f>
        <v/>
      </c>
      <c r="H252" s="32">
        <f>IFERROR(SUMPRODUCT(tFlag*(1-ISNUMBER(tCurLTV)),tUPBf,tCpn)/SUMPRODUCT(tFlag*(1-ISNUMBER(tCurLTV))*ISNUMBER(tCpn),tUPBf),0)</f>
        <v/>
      </c>
      <c r="I252" s="33">
        <f>IFERROR(SUMPRODUCT(tFlag*(1-ISNUMBER(tCurLTV)),tUPBf,tUWDSCR)/SUMPRODUCT(tFlag*(1-ISNUMBER(tCurLTV))*ISNUMBER(tUWDSCR),tUPBf),0)</f>
        <v/>
      </c>
      <c r="J252" s="33">
        <f>IFERROR(SUMPRODUCT(tFlag*(1-ISNUMBER(tCurLTV)),tUPBf,tCurDSCR)/SUMPRODUCT(tFlag*(1-ISNUMBER(tCurLTV))*ISNUMBER(tCurDSCR),tUPBf),0)</f>
        <v/>
      </c>
      <c r="K252" s="31">
        <f>IFERROR(SUMPRODUCT(tFlag*(1-ISNUMBER(tCurLTV)),tUPBf,tUWLTV)/SUMPRODUCT(tFlag*(1-ISNUMBER(tCurLTV))*ISNUMBER(tUWLTV),tUPBf),0)</f>
        <v/>
      </c>
      <c r="L252" s="31">
        <f>IFERROR(SUMPRODUCT(tFlag*(1-ISNUMBER(tCurLTV)),tUPBf,tCurLTV)/SUMPRODUCT(tFlag*(1-ISNUMBER(tCurLTV))*ISNUMBER(tCurLTV),tUPBf),0)</f>
        <v/>
      </c>
      <c r="M252" s="31">
        <f>IFERROR(SUMPRODUCT(tFlag*(1-ISNUMBER(tCurLTV)),tUPBf,tUWDY)/SUMPRODUCT(tFlag*(1-ISNUMBER(tCurLTV))*ISNUMBER(tUWDY),tUPBf),0)</f>
        <v/>
      </c>
      <c r="N252" s="31">
        <f>IFERROR(SUMPRODUCT(tFlag*(1-ISNUMBER(tCurLTV)),tUPBf,tCurDY)/SUMPRODUCT(tFlag*(1-ISNUMBER(tCurLTV))*ISNUMBER(tCurDY),tUPBf),0)</f>
        <v/>
      </c>
      <c r="O252" s="31">
        <f>IFERROR(SUMPRODUCT(tFlag*(1-ISNUMBER(tCurLTV)),tUPBf,tOcc)/SUMPRODUCT(tFlag*(1-ISNUMBER(tCurLTV))*ISNUMBER(tOcc),tUPBf),0)</f>
        <v/>
      </c>
      <c r="P252" s="47">
        <f>IFERROR(SUMPRODUCT(tFlag*(1-ISNUMBER(tCurLTV)),tUPBf,tRem)/SUMPRODUCT(tFlag*(1-ISNUMBER(tCurLTV))*ISNUMBER(tRem),tUPBf),0)</f>
        <v/>
      </c>
      <c r="Q252" s="31">
        <f>IFERROR(SUMPRODUCT(tFlag*(1-ISNUMBER(tCurLTV)),tUPBf,tFIO)/$E252,0)</f>
        <v/>
      </c>
      <c r="R252" s="31">
        <f>IFERROR(SUMPRODUCT(tFlag*(1-ISNUMBER(tCurLTV)),tUPBf,tDefF)/$E252,0)</f>
        <v/>
      </c>
      <c r="S252" s="31">
        <f>IFERROR(SUMPRODUCT(tFlag*(1-ISNUMBER(tCurLTV)),tUPBf,tSSF)/$E252,0)</f>
        <v/>
      </c>
      <c r="T252" s="31">
        <f>IFERROR(SUMPRODUCT(tFlag*(1-ISNUMBER(tCurLTV)),tUPBf,tDQ)/$E252,0)</f>
        <v/>
      </c>
      <c r="U252" s="31">
        <f>IFERROR(SUMPRODUCT(tFlag*(1-ISNUMBER(tCurLTV)),tUPBf,tWLF)/$E252,0)</f>
        <v/>
      </c>
    </row>
    <row r="253">
      <c r="B253" s="36" t="inlineStr">
        <is>
          <t>Total / Wtd. Avg.</t>
        </is>
      </c>
      <c r="C253" s="37">
        <f>SUMPRODUCT(tFlag*(1))</f>
        <v/>
      </c>
      <c r="D253" s="40">
        <f>IFERROR(C253/sLoans,0)</f>
        <v/>
      </c>
      <c r="E253" s="39">
        <f>SUMPRODUCT(tFlag*(1),tUPBf)</f>
        <v/>
      </c>
      <c r="F253" s="40">
        <f>IFERROR(E253/sUPB,0)</f>
        <v/>
      </c>
      <c r="G253" s="39">
        <f>IFERROR(E253/C253,0)</f>
        <v/>
      </c>
      <c r="H253" s="41">
        <f>IFERROR(SUMPRODUCT(tFlag*(1),tUPBf,tCpn)/SUMPRODUCT(tFlag*(1)*ISNUMBER(tCpn),tUPBf),0)</f>
        <v/>
      </c>
      <c r="I253" s="42">
        <f>IFERROR(SUMPRODUCT(tFlag*(1),tUPBf,tUWDSCR)/SUMPRODUCT(tFlag*(1)*ISNUMBER(tUWDSCR),tUPBf),0)</f>
        <v/>
      </c>
      <c r="J253" s="42">
        <f>IFERROR(SUMPRODUCT(tFlag*(1),tUPBf,tCurDSCR)/SUMPRODUCT(tFlag*(1)*ISNUMBER(tCurDSCR),tUPBf),0)</f>
        <v/>
      </c>
      <c r="K253" s="40">
        <f>IFERROR(SUMPRODUCT(tFlag*(1),tUPBf,tUWLTV)/SUMPRODUCT(tFlag*(1)*ISNUMBER(tUWLTV),tUPBf),0)</f>
        <v/>
      </c>
      <c r="L253" s="40">
        <f>IFERROR(SUMPRODUCT(tFlag*(1),tUPBf,tCurLTV)/SUMPRODUCT(tFlag*(1)*ISNUMBER(tCurLTV),tUPBf),0)</f>
        <v/>
      </c>
      <c r="M253" s="40">
        <f>IFERROR(SUMPRODUCT(tFlag*(1),tUPBf,tUWDY)/SUMPRODUCT(tFlag*(1)*ISNUMBER(tUWDY),tUPBf),0)</f>
        <v/>
      </c>
      <c r="N253" s="40">
        <f>IFERROR(SUMPRODUCT(tFlag*(1),tUPBf,tCurDY)/SUMPRODUCT(tFlag*(1)*ISNUMBER(tCurDY),tUPBf),0)</f>
        <v/>
      </c>
      <c r="O253" s="40">
        <f>IFERROR(SUMPRODUCT(tFlag*(1),tUPBf,tOcc)/SUMPRODUCT(tFlag*(1)*ISNUMBER(tOcc),tUPBf),0)</f>
        <v/>
      </c>
      <c r="P253" s="43">
        <f>IFERROR(SUMPRODUCT(tFlag*(1),tUPBf,tRem)/SUMPRODUCT(tFlag*(1)*ISNUMBER(tRem),tUPBf),0)</f>
        <v/>
      </c>
      <c r="Q253" s="40">
        <f>IFERROR(SUMPRODUCT(tFlag*(1),tUPBf,tFIO)/$E253,0)</f>
        <v/>
      </c>
      <c r="R253" s="40">
        <f>IFERROR(SUMPRODUCT(tFlag*(1),tUPBf,tDefF)/$E253,0)</f>
        <v/>
      </c>
      <c r="S253" s="40">
        <f>IFERROR(SUMPRODUCT(tFlag*(1),tUPBf,tSSF)/$E253,0)</f>
        <v/>
      </c>
      <c r="T253" s="40">
        <f>IFERROR(SUMPRODUCT(tFlag*(1),tUPBf,tDQ)/$E253,0)</f>
        <v/>
      </c>
      <c r="U253" s="40">
        <f>IFERROR(SUMPRODUCT(tFlag*(1),tUPBf,tWLF)/$E253,0)</f>
        <v/>
      </c>
    </row>
    <row r="254">
      <c r="B254" s="14" t="inlineStr">
        <is>
          <t>Current LTV uses the latest appraisal in Intex; loans without a reappraisal carry the securitization value.</t>
        </is>
      </c>
    </row>
    <row r="256" ht="15" customHeight="1">
      <c r="B256" s="2" t="inlineStr">
        <is>
          <t>UW NCF DEBT YIELD</t>
        </is>
      </c>
      <c r="C256" s="3" t="n"/>
      <c r="D256" s="3" t="n"/>
      <c r="E256" s="3" t="n"/>
      <c r="F256" s="3" t="n"/>
      <c r="G256" s="3" t="n"/>
      <c r="H256" s="3" t="n"/>
      <c r="I256" s="3" t="n"/>
      <c r="J256" s="3" t="n"/>
      <c r="K256" s="3" t="n"/>
      <c r="L256" s="3" t="n"/>
      <c r="M256" s="3" t="n"/>
      <c r="N256" s="3" t="n"/>
      <c r="O256" s="3" t="n"/>
      <c r="P256" s="3" t="n"/>
      <c r="Q256" s="3" t="n"/>
      <c r="R256" s="3" t="n"/>
      <c r="S256" s="3" t="n"/>
      <c r="T256" s="3" t="n"/>
      <c r="U256" s="3" t="n"/>
    </row>
    <row r="257" ht="39.75" customHeight="1">
      <c r="B257" s="15" t="inlineStr">
        <is>
          <t>Bucket</t>
        </is>
      </c>
      <c r="C257" s="16" t="inlineStr">
        <is>
          <t>Number of Loans</t>
        </is>
      </c>
      <c r="D257" s="16" t="inlineStr">
        <is>
          <t>% of Loans</t>
        </is>
      </c>
      <c r="E257" s="16" t="inlineStr">
        <is>
          <t>Current UPB</t>
        </is>
      </c>
      <c r="F257" s="16" t="inlineStr">
        <is>
          <t>% of UPB</t>
        </is>
      </c>
      <c r="G257" s="16" t="inlineStr">
        <is>
          <t>Average Loan Size</t>
        </is>
      </c>
      <c r="H257" s="16" t="inlineStr">
        <is>
          <t>Wtd. Avg. Gross Coupon</t>
        </is>
      </c>
      <c r="I257" s="16" t="inlineStr">
        <is>
          <t>Wtd. Avg. UW NCF DSCR</t>
        </is>
      </c>
      <c r="J257" s="16" t="inlineStr">
        <is>
          <t>Wtd. Avg. Current NCF DSCR</t>
        </is>
      </c>
      <c r="K257" s="16" t="inlineStr">
        <is>
          <t>Wtd. Avg. UW LTV</t>
        </is>
      </c>
      <c r="L257" s="16" t="inlineStr">
        <is>
          <t>Wtd. Avg. Current LTV</t>
        </is>
      </c>
      <c r="M257" s="16" t="inlineStr">
        <is>
          <t>Wtd. Avg. UW NCF Debt Yield</t>
        </is>
      </c>
      <c r="N257" s="16" t="inlineStr">
        <is>
          <t>Wtd. Avg. Current NCF Debt Yield</t>
        </is>
      </c>
      <c r="O257" s="16" t="inlineStr">
        <is>
          <t>Wtd. Avg. Current Occupancy</t>
        </is>
      </c>
      <c r="P257" s="16" t="inlineStr">
        <is>
          <t>Wtd. Avg. Rem. Term (Mo.)</t>
        </is>
      </c>
      <c r="Q257" s="16" t="inlineStr">
        <is>
          <t>% Full IO</t>
        </is>
      </c>
      <c r="R257" s="16" t="inlineStr">
        <is>
          <t>% Defeased</t>
        </is>
      </c>
      <c r="S257" s="16" t="inlineStr">
        <is>
          <t>% Currently Specially Serviced</t>
        </is>
      </c>
      <c r="T257" s="16" t="inlineStr">
        <is>
          <t>% 30+ Delinq. / FC / REO</t>
        </is>
      </c>
      <c r="U257" s="16" t="inlineStr">
        <is>
          <t>% On Watchlist</t>
        </is>
      </c>
      <c r="W257" s="17" t="inlineStr">
        <is>
          <t>Lower Bound (&gt;=)</t>
        </is>
      </c>
      <c r="X257" s="17" t="inlineStr">
        <is>
          <t>Upper Bound (&lt;)</t>
        </is>
      </c>
    </row>
    <row r="258">
      <c r="B258" s="18" t="inlineStr">
        <is>
          <t>Less than 8.0%</t>
        </is>
      </c>
      <c r="C258" s="19">
        <f>SUMPRODUCT(tFlag*(ISNUMBER(tUWDY)*(tUWDY&gt;=$W258)*(tUWDY&lt;$X258)))</f>
        <v/>
      </c>
      <c r="D258" s="22">
        <f>IFERROR(C258/sLoans,0)</f>
        <v/>
      </c>
      <c r="E258" s="21">
        <f>SUMPRODUCT(tFlag*(ISNUMBER(tUWDY)*(tUWDY&gt;=$W258)*(tUWDY&lt;$X258)),tUPBf)</f>
        <v/>
      </c>
      <c r="F258" s="22">
        <f>IFERROR(E258/sUPB,0)</f>
        <v/>
      </c>
      <c r="G258" s="21">
        <f>IFERROR(E258/C258,0)</f>
        <v/>
      </c>
      <c r="H258" s="23">
        <f>IFERROR(SUMPRODUCT(tFlag*(ISNUMBER(tUWDY)*(tUWDY&gt;=$W258)*(tUWDY&lt;$X258)),tUPBf,tCpn)/SUMPRODUCT(tFlag*(ISNUMBER(tUWDY)*(tUWDY&gt;=$W258)*(tUWDY&lt;$X258))*ISNUMBER(tCpn),tUPBf),0)</f>
        <v/>
      </c>
      <c r="I258" s="24">
        <f>IFERROR(SUMPRODUCT(tFlag*(ISNUMBER(tUWDY)*(tUWDY&gt;=$W258)*(tUWDY&lt;$X258)),tUPBf,tUWDSCR)/SUMPRODUCT(tFlag*(ISNUMBER(tUWDY)*(tUWDY&gt;=$W258)*(tUWDY&lt;$X258))*ISNUMBER(tUWDSCR),tUPBf),0)</f>
        <v/>
      </c>
      <c r="J258" s="24">
        <f>IFERROR(SUMPRODUCT(tFlag*(ISNUMBER(tUWDY)*(tUWDY&gt;=$W258)*(tUWDY&lt;$X258)),tUPBf,tCurDSCR)/SUMPRODUCT(tFlag*(ISNUMBER(tUWDY)*(tUWDY&gt;=$W258)*(tUWDY&lt;$X258))*ISNUMBER(tCurDSCR),tUPBf),0)</f>
        <v/>
      </c>
      <c r="K258" s="22">
        <f>IFERROR(SUMPRODUCT(tFlag*(ISNUMBER(tUWDY)*(tUWDY&gt;=$W258)*(tUWDY&lt;$X258)),tUPBf,tUWLTV)/SUMPRODUCT(tFlag*(ISNUMBER(tUWDY)*(tUWDY&gt;=$W258)*(tUWDY&lt;$X258))*ISNUMBER(tUWLTV),tUPBf),0)</f>
        <v/>
      </c>
      <c r="L258" s="22">
        <f>IFERROR(SUMPRODUCT(tFlag*(ISNUMBER(tUWDY)*(tUWDY&gt;=$W258)*(tUWDY&lt;$X258)),tUPBf,tCurLTV)/SUMPRODUCT(tFlag*(ISNUMBER(tUWDY)*(tUWDY&gt;=$W258)*(tUWDY&lt;$X258))*ISNUMBER(tCurLTV),tUPBf),0)</f>
        <v/>
      </c>
      <c r="M258" s="22">
        <f>IFERROR(SUMPRODUCT(tFlag*(ISNUMBER(tUWDY)*(tUWDY&gt;=$W258)*(tUWDY&lt;$X258)),tUPBf,tUWDY)/SUMPRODUCT(tFlag*(ISNUMBER(tUWDY)*(tUWDY&gt;=$W258)*(tUWDY&lt;$X258))*ISNUMBER(tUWDY),tUPBf),0)</f>
        <v/>
      </c>
      <c r="N258" s="22">
        <f>IFERROR(SUMPRODUCT(tFlag*(ISNUMBER(tUWDY)*(tUWDY&gt;=$W258)*(tUWDY&lt;$X258)),tUPBf,tCurDY)/SUMPRODUCT(tFlag*(ISNUMBER(tUWDY)*(tUWDY&gt;=$W258)*(tUWDY&lt;$X258))*ISNUMBER(tCurDY),tUPBf),0)</f>
        <v/>
      </c>
      <c r="O258" s="22">
        <f>IFERROR(SUMPRODUCT(tFlag*(ISNUMBER(tUWDY)*(tUWDY&gt;=$W258)*(tUWDY&lt;$X258)),tUPBf,tOcc)/SUMPRODUCT(tFlag*(ISNUMBER(tUWDY)*(tUWDY&gt;=$W258)*(tUWDY&lt;$X258))*ISNUMBER(tOcc),tUPBf),0)</f>
        <v/>
      </c>
      <c r="P258" s="45">
        <f>IFERROR(SUMPRODUCT(tFlag*(ISNUMBER(tUWDY)*(tUWDY&gt;=$W258)*(tUWDY&lt;$X258)),tUPBf,tRem)/SUMPRODUCT(tFlag*(ISNUMBER(tUWDY)*(tUWDY&gt;=$W258)*(tUWDY&lt;$X258))*ISNUMBER(tRem),tUPBf),0)</f>
        <v/>
      </c>
      <c r="Q258" s="22">
        <f>IFERROR(SUMPRODUCT(tFlag*(ISNUMBER(tUWDY)*(tUWDY&gt;=$W258)*(tUWDY&lt;$X258)),tUPBf,tFIO)/$E258,0)</f>
        <v/>
      </c>
      <c r="R258" s="22">
        <f>IFERROR(SUMPRODUCT(tFlag*(ISNUMBER(tUWDY)*(tUWDY&gt;=$W258)*(tUWDY&lt;$X258)),tUPBf,tDefF)/$E258,0)</f>
        <v/>
      </c>
      <c r="S258" s="22">
        <f>IFERROR(SUMPRODUCT(tFlag*(ISNUMBER(tUWDY)*(tUWDY&gt;=$W258)*(tUWDY&lt;$X258)),tUPBf,tSSF)/$E258,0)</f>
        <v/>
      </c>
      <c r="T258" s="22">
        <f>IFERROR(SUMPRODUCT(tFlag*(ISNUMBER(tUWDY)*(tUWDY&gt;=$W258)*(tUWDY&lt;$X258)),tUPBf,tDQ)/$E258,0)</f>
        <v/>
      </c>
      <c r="U258" s="22">
        <f>IFERROR(SUMPRODUCT(tFlag*(ISNUMBER(tUWDY)*(tUWDY&gt;=$W258)*(tUWDY&lt;$X258)),tUPBf,tWLF)/$E258,0)</f>
        <v/>
      </c>
      <c r="W258" s="53" t="n">
        <v>-1000000000000</v>
      </c>
      <c r="X258" s="53" t="n">
        <v>0.08</v>
      </c>
    </row>
    <row r="259">
      <c r="B259" s="27" t="inlineStr">
        <is>
          <t>8.0% to 9.0%</t>
        </is>
      </c>
      <c r="C259" s="28">
        <f>SUMPRODUCT(tFlag*(ISNUMBER(tUWDY)*(tUWDY&gt;=$W259)*(tUWDY&lt;$X259)))</f>
        <v/>
      </c>
      <c r="D259" s="31">
        <f>IFERROR(C259/sLoans,0)</f>
        <v/>
      </c>
      <c r="E259" s="30">
        <f>SUMPRODUCT(tFlag*(ISNUMBER(tUWDY)*(tUWDY&gt;=$W259)*(tUWDY&lt;$X259)),tUPBf)</f>
        <v/>
      </c>
      <c r="F259" s="31">
        <f>IFERROR(E259/sUPB,0)</f>
        <v/>
      </c>
      <c r="G259" s="30">
        <f>IFERROR(E259/C259,0)</f>
        <v/>
      </c>
      <c r="H259" s="32">
        <f>IFERROR(SUMPRODUCT(tFlag*(ISNUMBER(tUWDY)*(tUWDY&gt;=$W259)*(tUWDY&lt;$X259)),tUPBf,tCpn)/SUMPRODUCT(tFlag*(ISNUMBER(tUWDY)*(tUWDY&gt;=$W259)*(tUWDY&lt;$X259))*ISNUMBER(tCpn),tUPBf),0)</f>
        <v/>
      </c>
      <c r="I259" s="33">
        <f>IFERROR(SUMPRODUCT(tFlag*(ISNUMBER(tUWDY)*(tUWDY&gt;=$W259)*(tUWDY&lt;$X259)),tUPBf,tUWDSCR)/SUMPRODUCT(tFlag*(ISNUMBER(tUWDY)*(tUWDY&gt;=$W259)*(tUWDY&lt;$X259))*ISNUMBER(tUWDSCR),tUPBf),0)</f>
        <v/>
      </c>
      <c r="J259" s="33">
        <f>IFERROR(SUMPRODUCT(tFlag*(ISNUMBER(tUWDY)*(tUWDY&gt;=$W259)*(tUWDY&lt;$X259)),tUPBf,tCurDSCR)/SUMPRODUCT(tFlag*(ISNUMBER(tUWDY)*(tUWDY&gt;=$W259)*(tUWDY&lt;$X259))*ISNUMBER(tCurDSCR),tUPBf),0)</f>
        <v/>
      </c>
      <c r="K259" s="31">
        <f>IFERROR(SUMPRODUCT(tFlag*(ISNUMBER(tUWDY)*(tUWDY&gt;=$W259)*(tUWDY&lt;$X259)),tUPBf,tUWLTV)/SUMPRODUCT(tFlag*(ISNUMBER(tUWDY)*(tUWDY&gt;=$W259)*(tUWDY&lt;$X259))*ISNUMBER(tUWLTV),tUPBf),0)</f>
        <v/>
      </c>
      <c r="L259" s="31">
        <f>IFERROR(SUMPRODUCT(tFlag*(ISNUMBER(tUWDY)*(tUWDY&gt;=$W259)*(tUWDY&lt;$X259)),tUPBf,tCurLTV)/SUMPRODUCT(tFlag*(ISNUMBER(tUWDY)*(tUWDY&gt;=$W259)*(tUWDY&lt;$X259))*ISNUMBER(tCurLTV),tUPBf),0)</f>
        <v/>
      </c>
      <c r="M259" s="31">
        <f>IFERROR(SUMPRODUCT(tFlag*(ISNUMBER(tUWDY)*(tUWDY&gt;=$W259)*(tUWDY&lt;$X259)),tUPBf,tUWDY)/SUMPRODUCT(tFlag*(ISNUMBER(tUWDY)*(tUWDY&gt;=$W259)*(tUWDY&lt;$X259))*ISNUMBER(tUWDY),tUPBf),0)</f>
        <v/>
      </c>
      <c r="N259" s="31">
        <f>IFERROR(SUMPRODUCT(tFlag*(ISNUMBER(tUWDY)*(tUWDY&gt;=$W259)*(tUWDY&lt;$X259)),tUPBf,tCurDY)/SUMPRODUCT(tFlag*(ISNUMBER(tUWDY)*(tUWDY&gt;=$W259)*(tUWDY&lt;$X259))*ISNUMBER(tCurDY),tUPBf),0)</f>
        <v/>
      </c>
      <c r="O259" s="31">
        <f>IFERROR(SUMPRODUCT(tFlag*(ISNUMBER(tUWDY)*(tUWDY&gt;=$W259)*(tUWDY&lt;$X259)),tUPBf,tOcc)/SUMPRODUCT(tFlag*(ISNUMBER(tUWDY)*(tUWDY&gt;=$W259)*(tUWDY&lt;$X259))*ISNUMBER(tOcc),tUPBf),0)</f>
        <v/>
      </c>
      <c r="P259" s="47">
        <f>IFERROR(SUMPRODUCT(tFlag*(ISNUMBER(tUWDY)*(tUWDY&gt;=$W259)*(tUWDY&lt;$X259)),tUPBf,tRem)/SUMPRODUCT(tFlag*(ISNUMBER(tUWDY)*(tUWDY&gt;=$W259)*(tUWDY&lt;$X259))*ISNUMBER(tRem),tUPBf),0)</f>
        <v/>
      </c>
      <c r="Q259" s="31">
        <f>IFERROR(SUMPRODUCT(tFlag*(ISNUMBER(tUWDY)*(tUWDY&gt;=$W259)*(tUWDY&lt;$X259)),tUPBf,tFIO)/$E259,0)</f>
        <v/>
      </c>
      <c r="R259" s="31">
        <f>IFERROR(SUMPRODUCT(tFlag*(ISNUMBER(tUWDY)*(tUWDY&gt;=$W259)*(tUWDY&lt;$X259)),tUPBf,tDefF)/$E259,0)</f>
        <v/>
      </c>
      <c r="S259" s="31">
        <f>IFERROR(SUMPRODUCT(tFlag*(ISNUMBER(tUWDY)*(tUWDY&gt;=$W259)*(tUWDY&lt;$X259)),tUPBf,tSSF)/$E259,0)</f>
        <v/>
      </c>
      <c r="T259" s="31">
        <f>IFERROR(SUMPRODUCT(tFlag*(ISNUMBER(tUWDY)*(tUWDY&gt;=$W259)*(tUWDY&lt;$X259)),tUPBf,tDQ)/$E259,0)</f>
        <v/>
      </c>
      <c r="U259" s="31">
        <f>IFERROR(SUMPRODUCT(tFlag*(ISNUMBER(tUWDY)*(tUWDY&gt;=$W259)*(tUWDY&lt;$X259)),tUPBf,tWLF)/$E259,0)</f>
        <v/>
      </c>
      <c r="W259" s="53" t="n">
        <v>0.08</v>
      </c>
      <c r="X259" s="53" t="n">
        <v>0.09</v>
      </c>
    </row>
    <row r="260">
      <c r="B260" s="18" t="inlineStr">
        <is>
          <t>9.0% to 10.0%</t>
        </is>
      </c>
      <c r="C260" s="19">
        <f>SUMPRODUCT(tFlag*(ISNUMBER(tUWDY)*(tUWDY&gt;=$W260)*(tUWDY&lt;$X260)))</f>
        <v/>
      </c>
      <c r="D260" s="22">
        <f>IFERROR(C260/sLoans,0)</f>
        <v/>
      </c>
      <c r="E260" s="21">
        <f>SUMPRODUCT(tFlag*(ISNUMBER(tUWDY)*(tUWDY&gt;=$W260)*(tUWDY&lt;$X260)),tUPBf)</f>
        <v/>
      </c>
      <c r="F260" s="22">
        <f>IFERROR(E260/sUPB,0)</f>
        <v/>
      </c>
      <c r="G260" s="21">
        <f>IFERROR(E260/C260,0)</f>
        <v/>
      </c>
      <c r="H260" s="23">
        <f>IFERROR(SUMPRODUCT(tFlag*(ISNUMBER(tUWDY)*(tUWDY&gt;=$W260)*(tUWDY&lt;$X260)),tUPBf,tCpn)/SUMPRODUCT(tFlag*(ISNUMBER(tUWDY)*(tUWDY&gt;=$W260)*(tUWDY&lt;$X260))*ISNUMBER(tCpn),tUPBf),0)</f>
        <v/>
      </c>
      <c r="I260" s="24">
        <f>IFERROR(SUMPRODUCT(tFlag*(ISNUMBER(tUWDY)*(tUWDY&gt;=$W260)*(tUWDY&lt;$X260)),tUPBf,tUWDSCR)/SUMPRODUCT(tFlag*(ISNUMBER(tUWDY)*(tUWDY&gt;=$W260)*(tUWDY&lt;$X260))*ISNUMBER(tUWDSCR),tUPBf),0)</f>
        <v/>
      </c>
      <c r="J260" s="24">
        <f>IFERROR(SUMPRODUCT(tFlag*(ISNUMBER(tUWDY)*(tUWDY&gt;=$W260)*(tUWDY&lt;$X260)),tUPBf,tCurDSCR)/SUMPRODUCT(tFlag*(ISNUMBER(tUWDY)*(tUWDY&gt;=$W260)*(tUWDY&lt;$X260))*ISNUMBER(tCurDSCR),tUPBf),0)</f>
        <v/>
      </c>
      <c r="K260" s="22">
        <f>IFERROR(SUMPRODUCT(tFlag*(ISNUMBER(tUWDY)*(tUWDY&gt;=$W260)*(tUWDY&lt;$X260)),tUPBf,tUWLTV)/SUMPRODUCT(tFlag*(ISNUMBER(tUWDY)*(tUWDY&gt;=$W260)*(tUWDY&lt;$X260))*ISNUMBER(tUWLTV),tUPBf),0)</f>
        <v/>
      </c>
      <c r="L260" s="22">
        <f>IFERROR(SUMPRODUCT(tFlag*(ISNUMBER(tUWDY)*(tUWDY&gt;=$W260)*(tUWDY&lt;$X260)),tUPBf,tCurLTV)/SUMPRODUCT(tFlag*(ISNUMBER(tUWDY)*(tUWDY&gt;=$W260)*(tUWDY&lt;$X260))*ISNUMBER(tCurLTV),tUPBf),0)</f>
        <v/>
      </c>
      <c r="M260" s="22">
        <f>IFERROR(SUMPRODUCT(tFlag*(ISNUMBER(tUWDY)*(tUWDY&gt;=$W260)*(tUWDY&lt;$X260)),tUPBf,tUWDY)/SUMPRODUCT(tFlag*(ISNUMBER(tUWDY)*(tUWDY&gt;=$W260)*(tUWDY&lt;$X260))*ISNUMBER(tUWDY),tUPBf),0)</f>
        <v/>
      </c>
      <c r="N260" s="22">
        <f>IFERROR(SUMPRODUCT(tFlag*(ISNUMBER(tUWDY)*(tUWDY&gt;=$W260)*(tUWDY&lt;$X260)),tUPBf,tCurDY)/SUMPRODUCT(tFlag*(ISNUMBER(tUWDY)*(tUWDY&gt;=$W260)*(tUWDY&lt;$X260))*ISNUMBER(tCurDY),tUPBf),0)</f>
        <v/>
      </c>
      <c r="O260" s="22">
        <f>IFERROR(SUMPRODUCT(tFlag*(ISNUMBER(tUWDY)*(tUWDY&gt;=$W260)*(tUWDY&lt;$X260)),tUPBf,tOcc)/SUMPRODUCT(tFlag*(ISNUMBER(tUWDY)*(tUWDY&gt;=$W260)*(tUWDY&lt;$X260))*ISNUMBER(tOcc),tUPBf),0)</f>
        <v/>
      </c>
      <c r="P260" s="45">
        <f>IFERROR(SUMPRODUCT(tFlag*(ISNUMBER(tUWDY)*(tUWDY&gt;=$W260)*(tUWDY&lt;$X260)),tUPBf,tRem)/SUMPRODUCT(tFlag*(ISNUMBER(tUWDY)*(tUWDY&gt;=$W260)*(tUWDY&lt;$X260))*ISNUMBER(tRem),tUPBf),0)</f>
        <v/>
      </c>
      <c r="Q260" s="22">
        <f>IFERROR(SUMPRODUCT(tFlag*(ISNUMBER(tUWDY)*(tUWDY&gt;=$W260)*(tUWDY&lt;$X260)),tUPBf,tFIO)/$E260,0)</f>
        <v/>
      </c>
      <c r="R260" s="22">
        <f>IFERROR(SUMPRODUCT(tFlag*(ISNUMBER(tUWDY)*(tUWDY&gt;=$W260)*(tUWDY&lt;$X260)),tUPBf,tDefF)/$E260,0)</f>
        <v/>
      </c>
      <c r="S260" s="22">
        <f>IFERROR(SUMPRODUCT(tFlag*(ISNUMBER(tUWDY)*(tUWDY&gt;=$W260)*(tUWDY&lt;$X260)),tUPBf,tSSF)/$E260,0)</f>
        <v/>
      </c>
      <c r="T260" s="22">
        <f>IFERROR(SUMPRODUCT(tFlag*(ISNUMBER(tUWDY)*(tUWDY&gt;=$W260)*(tUWDY&lt;$X260)),tUPBf,tDQ)/$E260,0)</f>
        <v/>
      </c>
      <c r="U260" s="22">
        <f>IFERROR(SUMPRODUCT(tFlag*(ISNUMBER(tUWDY)*(tUWDY&gt;=$W260)*(tUWDY&lt;$X260)),tUPBf,tWLF)/$E260,0)</f>
        <v/>
      </c>
      <c r="W260" s="53" t="n">
        <v>0.09</v>
      </c>
      <c r="X260" s="53" t="n">
        <v>0.1</v>
      </c>
    </row>
    <row r="261">
      <c r="B261" s="27" t="inlineStr">
        <is>
          <t>10.0% to 11.0%</t>
        </is>
      </c>
      <c r="C261" s="28">
        <f>SUMPRODUCT(tFlag*(ISNUMBER(tUWDY)*(tUWDY&gt;=$W261)*(tUWDY&lt;$X261)))</f>
        <v/>
      </c>
      <c r="D261" s="31">
        <f>IFERROR(C261/sLoans,0)</f>
        <v/>
      </c>
      <c r="E261" s="30">
        <f>SUMPRODUCT(tFlag*(ISNUMBER(tUWDY)*(tUWDY&gt;=$W261)*(tUWDY&lt;$X261)),tUPBf)</f>
        <v/>
      </c>
      <c r="F261" s="31">
        <f>IFERROR(E261/sUPB,0)</f>
        <v/>
      </c>
      <c r="G261" s="30">
        <f>IFERROR(E261/C261,0)</f>
        <v/>
      </c>
      <c r="H261" s="32">
        <f>IFERROR(SUMPRODUCT(tFlag*(ISNUMBER(tUWDY)*(tUWDY&gt;=$W261)*(tUWDY&lt;$X261)),tUPBf,tCpn)/SUMPRODUCT(tFlag*(ISNUMBER(tUWDY)*(tUWDY&gt;=$W261)*(tUWDY&lt;$X261))*ISNUMBER(tCpn),tUPBf),0)</f>
        <v/>
      </c>
      <c r="I261" s="33">
        <f>IFERROR(SUMPRODUCT(tFlag*(ISNUMBER(tUWDY)*(tUWDY&gt;=$W261)*(tUWDY&lt;$X261)),tUPBf,tUWDSCR)/SUMPRODUCT(tFlag*(ISNUMBER(tUWDY)*(tUWDY&gt;=$W261)*(tUWDY&lt;$X261))*ISNUMBER(tUWDSCR),tUPBf),0)</f>
        <v/>
      </c>
      <c r="J261" s="33">
        <f>IFERROR(SUMPRODUCT(tFlag*(ISNUMBER(tUWDY)*(tUWDY&gt;=$W261)*(tUWDY&lt;$X261)),tUPBf,tCurDSCR)/SUMPRODUCT(tFlag*(ISNUMBER(tUWDY)*(tUWDY&gt;=$W261)*(tUWDY&lt;$X261))*ISNUMBER(tCurDSCR),tUPBf),0)</f>
        <v/>
      </c>
      <c r="K261" s="31">
        <f>IFERROR(SUMPRODUCT(tFlag*(ISNUMBER(tUWDY)*(tUWDY&gt;=$W261)*(tUWDY&lt;$X261)),tUPBf,tUWLTV)/SUMPRODUCT(tFlag*(ISNUMBER(tUWDY)*(tUWDY&gt;=$W261)*(tUWDY&lt;$X261))*ISNUMBER(tUWLTV),tUPBf),0)</f>
        <v/>
      </c>
      <c r="L261" s="31">
        <f>IFERROR(SUMPRODUCT(tFlag*(ISNUMBER(tUWDY)*(tUWDY&gt;=$W261)*(tUWDY&lt;$X261)),tUPBf,tCurLTV)/SUMPRODUCT(tFlag*(ISNUMBER(tUWDY)*(tUWDY&gt;=$W261)*(tUWDY&lt;$X261))*ISNUMBER(tCurLTV),tUPBf),0)</f>
        <v/>
      </c>
      <c r="M261" s="31">
        <f>IFERROR(SUMPRODUCT(tFlag*(ISNUMBER(tUWDY)*(tUWDY&gt;=$W261)*(tUWDY&lt;$X261)),tUPBf,tUWDY)/SUMPRODUCT(tFlag*(ISNUMBER(tUWDY)*(tUWDY&gt;=$W261)*(tUWDY&lt;$X261))*ISNUMBER(tUWDY),tUPBf),0)</f>
        <v/>
      </c>
      <c r="N261" s="31">
        <f>IFERROR(SUMPRODUCT(tFlag*(ISNUMBER(tUWDY)*(tUWDY&gt;=$W261)*(tUWDY&lt;$X261)),tUPBf,tCurDY)/SUMPRODUCT(tFlag*(ISNUMBER(tUWDY)*(tUWDY&gt;=$W261)*(tUWDY&lt;$X261))*ISNUMBER(tCurDY),tUPBf),0)</f>
        <v/>
      </c>
      <c r="O261" s="31">
        <f>IFERROR(SUMPRODUCT(tFlag*(ISNUMBER(tUWDY)*(tUWDY&gt;=$W261)*(tUWDY&lt;$X261)),tUPBf,tOcc)/SUMPRODUCT(tFlag*(ISNUMBER(tUWDY)*(tUWDY&gt;=$W261)*(tUWDY&lt;$X261))*ISNUMBER(tOcc),tUPBf),0)</f>
        <v/>
      </c>
      <c r="P261" s="47">
        <f>IFERROR(SUMPRODUCT(tFlag*(ISNUMBER(tUWDY)*(tUWDY&gt;=$W261)*(tUWDY&lt;$X261)),tUPBf,tRem)/SUMPRODUCT(tFlag*(ISNUMBER(tUWDY)*(tUWDY&gt;=$W261)*(tUWDY&lt;$X261))*ISNUMBER(tRem),tUPBf),0)</f>
        <v/>
      </c>
      <c r="Q261" s="31">
        <f>IFERROR(SUMPRODUCT(tFlag*(ISNUMBER(tUWDY)*(tUWDY&gt;=$W261)*(tUWDY&lt;$X261)),tUPBf,tFIO)/$E261,0)</f>
        <v/>
      </c>
      <c r="R261" s="31">
        <f>IFERROR(SUMPRODUCT(tFlag*(ISNUMBER(tUWDY)*(tUWDY&gt;=$W261)*(tUWDY&lt;$X261)),tUPBf,tDefF)/$E261,0)</f>
        <v/>
      </c>
      <c r="S261" s="31">
        <f>IFERROR(SUMPRODUCT(tFlag*(ISNUMBER(tUWDY)*(tUWDY&gt;=$W261)*(tUWDY&lt;$X261)),tUPBf,tSSF)/$E261,0)</f>
        <v/>
      </c>
      <c r="T261" s="31">
        <f>IFERROR(SUMPRODUCT(tFlag*(ISNUMBER(tUWDY)*(tUWDY&gt;=$W261)*(tUWDY&lt;$X261)),tUPBf,tDQ)/$E261,0)</f>
        <v/>
      </c>
      <c r="U261" s="31">
        <f>IFERROR(SUMPRODUCT(tFlag*(ISNUMBER(tUWDY)*(tUWDY&gt;=$W261)*(tUWDY&lt;$X261)),tUPBf,tWLF)/$E261,0)</f>
        <v/>
      </c>
      <c r="W261" s="53" t="n">
        <v>0.1</v>
      </c>
      <c r="X261" s="53" t="n">
        <v>0.11</v>
      </c>
    </row>
    <row r="262">
      <c r="B262" s="18" t="inlineStr">
        <is>
          <t>11.0% to 12.0%</t>
        </is>
      </c>
      <c r="C262" s="19">
        <f>SUMPRODUCT(tFlag*(ISNUMBER(tUWDY)*(tUWDY&gt;=$W262)*(tUWDY&lt;$X262)))</f>
        <v/>
      </c>
      <c r="D262" s="22">
        <f>IFERROR(C262/sLoans,0)</f>
        <v/>
      </c>
      <c r="E262" s="21">
        <f>SUMPRODUCT(tFlag*(ISNUMBER(tUWDY)*(tUWDY&gt;=$W262)*(tUWDY&lt;$X262)),tUPBf)</f>
        <v/>
      </c>
      <c r="F262" s="22">
        <f>IFERROR(E262/sUPB,0)</f>
        <v/>
      </c>
      <c r="G262" s="21">
        <f>IFERROR(E262/C262,0)</f>
        <v/>
      </c>
      <c r="H262" s="23">
        <f>IFERROR(SUMPRODUCT(tFlag*(ISNUMBER(tUWDY)*(tUWDY&gt;=$W262)*(tUWDY&lt;$X262)),tUPBf,tCpn)/SUMPRODUCT(tFlag*(ISNUMBER(tUWDY)*(tUWDY&gt;=$W262)*(tUWDY&lt;$X262))*ISNUMBER(tCpn),tUPBf),0)</f>
        <v/>
      </c>
      <c r="I262" s="24">
        <f>IFERROR(SUMPRODUCT(tFlag*(ISNUMBER(tUWDY)*(tUWDY&gt;=$W262)*(tUWDY&lt;$X262)),tUPBf,tUWDSCR)/SUMPRODUCT(tFlag*(ISNUMBER(tUWDY)*(tUWDY&gt;=$W262)*(tUWDY&lt;$X262))*ISNUMBER(tUWDSCR),tUPBf),0)</f>
        <v/>
      </c>
      <c r="J262" s="24">
        <f>IFERROR(SUMPRODUCT(tFlag*(ISNUMBER(tUWDY)*(tUWDY&gt;=$W262)*(tUWDY&lt;$X262)),tUPBf,tCurDSCR)/SUMPRODUCT(tFlag*(ISNUMBER(tUWDY)*(tUWDY&gt;=$W262)*(tUWDY&lt;$X262))*ISNUMBER(tCurDSCR),tUPBf),0)</f>
        <v/>
      </c>
      <c r="K262" s="22">
        <f>IFERROR(SUMPRODUCT(tFlag*(ISNUMBER(tUWDY)*(tUWDY&gt;=$W262)*(tUWDY&lt;$X262)),tUPBf,tUWLTV)/SUMPRODUCT(tFlag*(ISNUMBER(tUWDY)*(tUWDY&gt;=$W262)*(tUWDY&lt;$X262))*ISNUMBER(tUWLTV),tUPBf),0)</f>
        <v/>
      </c>
      <c r="L262" s="22">
        <f>IFERROR(SUMPRODUCT(tFlag*(ISNUMBER(tUWDY)*(tUWDY&gt;=$W262)*(tUWDY&lt;$X262)),tUPBf,tCurLTV)/SUMPRODUCT(tFlag*(ISNUMBER(tUWDY)*(tUWDY&gt;=$W262)*(tUWDY&lt;$X262))*ISNUMBER(tCurLTV),tUPBf),0)</f>
        <v/>
      </c>
      <c r="M262" s="22">
        <f>IFERROR(SUMPRODUCT(tFlag*(ISNUMBER(tUWDY)*(tUWDY&gt;=$W262)*(tUWDY&lt;$X262)),tUPBf,tUWDY)/SUMPRODUCT(tFlag*(ISNUMBER(tUWDY)*(tUWDY&gt;=$W262)*(tUWDY&lt;$X262))*ISNUMBER(tUWDY),tUPBf),0)</f>
        <v/>
      </c>
      <c r="N262" s="22">
        <f>IFERROR(SUMPRODUCT(tFlag*(ISNUMBER(tUWDY)*(tUWDY&gt;=$W262)*(tUWDY&lt;$X262)),tUPBf,tCurDY)/SUMPRODUCT(tFlag*(ISNUMBER(tUWDY)*(tUWDY&gt;=$W262)*(tUWDY&lt;$X262))*ISNUMBER(tCurDY),tUPBf),0)</f>
        <v/>
      </c>
      <c r="O262" s="22">
        <f>IFERROR(SUMPRODUCT(tFlag*(ISNUMBER(tUWDY)*(tUWDY&gt;=$W262)*(tUWDY&lt;$X262)),tUPBf,tOcc)/SUMPRODUCT(tFlag*(ISNUMBER(tUWDY)*(tUWDY&gt;=$W262)*(tUWDY&lt;$X262))*ISNUMBER(tOcc),tUPBf),0)</f>
        <v/>
      </c>
      <c r="P262" s="45">
        <f>IFERROR(SUMPRODUCT(tFlag*(ISNUMBER(tUWDY)*(tUWDY&gt;=$W262)*(tUWDY&lt;$X262)),tUPBf,tRem)/SUMPRODUCT(tFlag*(ISNUMBER(tUWDY)*(tUWDY&gt;=$W262)*(tUWDY&lt;$X262))*ISNUMBER(tRem),tUPBf),0)</f>
        <v/>
      </c>
      <c r="Q262" s="22">
        <f>IFERROR(SUMPRODUCT(tFlag*(ISNUMBER(tUWDY)*(tUWDY&gt;=$W262)*(tUWDY&lt;$X262)),tUPBf,tFIO)/$E262,0)</f>
        <v/>
      </c>
      <c r="R262" s="22">
        <f>IFERROR(SUMPRODUCT(tFlag*(ISNUMBER(tUWDY)*(tUWDY&gt;=$W262)*(tUWDY&lt;$X262)),tUPBf,tDefF)/$E262,0)</f>
        <v/>
      </c>
      <c r="S262" s="22">
        <f>IFERROR(SUMPRODUCT(tFlag*(ISNUMBER(tUWDY)*(tUWDY&gt;=$W262)*(tUWDY&lt;$X262)),tUPBf,tSSF)/$E262,0)</f>
        <v/>
      </c>
      <c r="T262" s="22">
        <f>IFERROR(SUMPRODUCT(tFlag*(ISNUMBER(tUWDY)*(tUWDY&gt;=$W262)*(tUWDY&lt;$X262)),tUPBf,tDQ)/$E262,0)</f>
        <v/>
      </c>
      <c r="U262" s="22">
        <f>IFERROR(SUMPRODUCT(tFlag*(ISNUMBER(tUWDY)*(tUWDY&gt;=$W262)*(tUWDY&lt;$X262)),tUPBf,tWLF)/$E262,0)</f>
        <v/>
      </c>
      <c r="W262" s="53" t="n">
        <v>0.11</v>
      </c>
      <c r="X262" s="53" t="n">
        <v>0.12</v>
      </c>
    </row>
    <row r="263">
      <c r="B263" s="27" t="inlineStr">
        <is>
          <t>12.0% to 14.0%</t>
        </is>
      </c>
      <c r="C263" s="28">
        <f>SUMPRODUCT(tFlag*(ISNUMBER(tUWDY)*(tUWDY&gt;=$W263)*(tUWDY&lt;$X263)))</f>
        <v/>
      </c>
      <c r="D263" s="31">
        <f>IFERROR(C263/sLoans,0)</f>
        <v/>
      </c>
      <c r="E263" s="30">
        <f>SUMPRODUCT(tFlag*(ISNUMBER(tUWDY)*(tUWDY&gt;=$W263)*(tUWDY&lt;$X263)),tUPBf)</f>
        <v/>
      </c>
      <c r="F263" s="31">
        <f>IFERROR(E263/sUPB,0)</f>
        <v/>
      </c>
      <c r="G263" s="30">
        <f>IFERROR(E263/C263,0)</f>
        <v/>
      </c>
      <c r="H263" s="32">
        <f>IFERROR(SUMPRODUCT(tFlag*(ISNUMBER(tUWDY)*(tUWDY&gt;=$W263)*(tUWDY&lt;$X263)),tUPBf,tCpn)/SUMPRODUCT(tFlag*(ISNUMBER(tUWDY)*(tUWDY&gt;=$W263)*(tUWDY&lt;$X263))*ISNUMBER(tCpn),tUPBf),0)</f>
        <v/>
      </c>
      <c r="I263" s="33">
        <f>IFERROR(SUMPRODUCT(tFlag*(ISNUMBER(tUWDY)*(tUWDY&gt;=$W263)*(tUWDY&lt;$X263)),tUPBf,tUWDSCR)/SUMPRODUCT(tFlag*(ISNUMBER(tUWDY)*(tUWDY&gt;=$W263)*(tUWDY&lt;$X263))*ISNUMBER(tUWDSCR),tUPBf),0)</f>
        <v/>
      </c>
      <c r="J263" s="33">
        <f>IFERROR(SUMPRODUCT(tFlag*(ISNUMBER(tUWDY)*(tUWDY&gt;=$W263)*(tUWDY&lt;$X263)),tUPBf,tCurDSCR)/SUMPRODUCT(tFlag*(ISNUMBER(tUWDY)*(tUWDY&gt;=$W263)*(tUWDY&lt;$X263))*ISNUMBER(tCurDSCR),tUPBf),0)</f>
        <v/>
      </c>
      <c r="K263" s="31">
        <f>IFERROR(SUMPRODUCT(tFlag*(ISNUMBER(tUWDY)*(tUWDY&gt;=$W263)*(tUWDY&lt;$X263)),tUPBf,tUWLTV)/SUMPRODUCT(tFlag*(ISNUMBER(tUWDY)*(tUWDY&gt;=$W263)*(tUWDY&lt;$X263))*ISNUMBER(tUWLTV),tUPBf),0)</f>
        <v/>
      </c>
      <c r="L263" s="31">
        <f>IFERROR(SUMPRODUCT(tFlag*(ISNUMBER(tUWDY)*(tUWDY&gt;=$W263)*(tUWDY&lt;$X263)),tUPBf,tCurLTV)/SUMPRODUCT(tFlag*(ISNUMBER(tUWDY)*(tUWDY&gt;=$W263)*(tUWDY&lt;$X263))*ISNUMBER(tCurLTV),tUPBf),0)</f>
        <v/>
      </c>
      <c r="M263" s="31">
        <f>IFERROR(SUMPRODUCT(tFlag*(ISNUMBER(tUWDY)*(tUWDY&gt;=$W263)*(tUWDY&lt;$X263)),tUPBf,tUWDY)/SUMPRODUCT(tFlag*(ISNUMBER(tUWDY)*(tUWDY&gt;=$W263)*(tUWDY&lt;$X263))*ISNUMBER(tUWDY),tUPBf),0)</f>
        <v/>
      </c>
      <c r="N263" s="31">
        <f>IFERROR(SUMPRODUCT(tFlag*(ISNUMBER(tUWDY)*(tUWDY&gt;=$W263)*(tUWDY&lt;$X263)),tUPBf,tCurDY)/SUMPRODUCT(tFlag*(ISNUMBER(tUWDY)*(tUWDY&gt;=$W263)*(tUWDY&lt;$X263))*ISNUMBER(tCurDY),tUPBf),0)</f>
        <v/>
      </c>
      <c r="O263" s="31">
        <f>IFERROR(SUMPRODUCT(tFlag*(ISNUMBER(tUWDY)*(tUWDY&gt;=$W263)*(tUWDY&lt;$X263)),tUPBf,tOcc)/SUMPRODUCT(tFlag*(ISNUMBER(tUWDY)*(tUWDY&gt;=$W263)*(tUWDY&lt;$X263))*ISNUMBER(tOcc),tUPBf),0)</f>
        <v/>
      </c>
      <c r="P263" s="47">
        <f>IFERROR(SUMPRODUCT(tFlag*(ISNUMBER(tUWDY)*(tUWDY&gt;=$W263)*(tUWDY&lt;$X263)),tUPBf,tRem)/SUMPRODUCT(tFlag*(ISNUMBER(tUWDY)*(tUWDY&gt;=$W263)*(tUWDY&lt;$X263))*ISNUMBER(tRem),tUPBf),0)</f>
        <v/>
      </c>
      <c r="Q263" s="31">
        <f>IFERROR(SUMPRODUCT(tFlag*(ISNUMBER(tUWDY)*(tUWDY&gt;=$W263)*(tUWDY&lt;$X263)),tUPBf,tFIO)/$E263,0)</f>
        <v/>
      </c>
      <c r="R263" s="31">
        <f>IFERROR(SUMPRODUCT(tFlag*(ISNUMBER(tUWDY)*(tUWDY&gt;=$W263)*(tUWDY&lt;$X263)),tUPBf,tDefF)/$E263,0)</f>
        <v/>
      </c>
      <c r="S263" s="31">
        <f>IFERROR(SUMPRODUCT(tFlag*(ISNUMBER(tUWDY)*(tUWDY&gt;=$W263)*(tUWDY&lt;$X263)),tUPBf,tSSF)/$E263,0)</f>
        <v/>
      </c>
      <c r="T263" s="31">
        <f>IFERROR(SUMPRODUCT(tFlag*(ISNUMBER(tUWDY)*(tUWDY&gt;=$W263)*(tUWDY&lt;$X263)),tUPBf,tDQ)/$E263,0)</f>
        <v/>
      </c>
      <c r="U263" s="31">
        <f>IFERROR(SUMPRODUCT(tFlag*(ISNUMBER(tUWDY)*(tUWDY&gt;=$W263)*(tUWDY&lt;$X263)),tUPBf,tWLF)/$E263,0)</f>
        <v/>
      </c>
      <c r="W263" s="53" t="n">
        <v>0.12</v>
      </c>
      <c r="X263" s="53" t="n">
        <v>0.14</v>
      </c>
    </row>
    <row r="264">
      <c r="B264" s="18" t="inlineStr">
        <is>
          <t>14.0% or Greater</t>
        </is>
      </c>
      <c r="C264" s="19">
        <f>SUMPRODUCT(tFlag*(ISNUMBER(tUWDY)*(tUWDY&gt;=$W264)*(tUWDY&lt;$X264)))</f>
        <v/>
      </c>
      <c r="D264" s="22">
        <f>IFERROR(C264/sLoans,0)</f>
        <v/>
      </c>
      <c r="E264" s="21">
        <f>SUMPRODUCT(tFlag*(ISNUMBER(tUWDY)*(tUWDY&gt;=$W264)*(tUWDY&lt;$X264)),tUPBf)</f>
        <v/>
      </c>
      <c r="F264" s="22">
        <f>IFERROR(E264/sUPB,0)</f>
        <v/>
      </c>
      <c r="G264" s="21">
        <f>IFERROR(E264/C264,0)</f>
        <v/>
      </c>
      <c r="H264" s="23">
        <f>IFERROR(SUMPRODUCT(tFlag*(ISNUMBER(tUWDY)*(tUWDY&gt;=$W264)*(tUWDY&lt;$X264)),tUPBf,tCpn)/SUMPRODUCT(tFlag*(ISNUMBER(tUWDY)*(tUWDY&gt;=$W264)*(tUWDY&lt;$X264))*ISNUMBER(tCpn),tUPBf),0)</f>
        <v/>
      </c>
      <c r="I264" s="24">
        <f>IFERROR(SUMPRODUCT(tFlag*(ISNUMBER(tUWDY)*(tUWDY&gt;=$W264)*(tUWDY&lt;$X264)),tUPBf,tUWDSCR)/SUMPRODUCT(tFlag*(ISNUMBER(tUWDY)*(tUWDY&gt;=$W264)*(tUWDY&lt;$X264))*ISNUMBER(tUWDSCR),tUPBf),0)</f>
        <v/>
      </c>
      <c r="J264" s="24">
        <f>IFERROR(SUMPRODUCT(tFlag*(ISNUMBER(tUWDY)*(tUWDY&gt;=$W264)*(tUWDY&lt;$X264)),tUPBf,tCurDSCR)/SUMPRODUCT(tFlag*(ISNUMBER(tUWDY)*(tUWDY&gt;=$W264)*(tUWDY&lt;$X264))*ISNUMBER(tCurDSCR),tUPBf),0)</f>
        <v/>
      </c>
      <c r="K264" s="22">
        <f>IFERROR(SUMPRODUCT(tFlag*(ISNUMBER(tUWDY)*(tUWDY&gt;=$W264)*(tUWDY&lt;$X264)),tUPBf,tUWLTV)/SUMPRODUCT(tFlag*(ISNUMBER(tUWDY)*(tUWDY&gt;=$W264)*(tUWDY&lt;$X264))*ISNUMBER(tUWLTV),tUPBf),0)</f>
        <v/>
      </c>
      <c r="L264" s="22">
        <f>IFERROR(SUMPRODUCT(tFlag*(ISNUMBER(tUWDY)*(tUWDY&gt;=$W264)*(tUWDY&lt;$X264)),tUPBf,tCurLTV)/SUMPRODUCT(tFlag*(ISNUMBER(tUWDY)*(tUWDY&gt;=$W264)*(tUWDY&lt;$X264))*ISNUMBER(tCurLTV),tUPBf),0)</f>
        <v/>
      </c>
      <c r="M264" s="22">
        <f>IFERROR(SUMPRODUCT(tFlag*(ISNUMBER(tUWDY)*(tUWDY&gt;=$W264)*(tUWDY&lt;$X264)),tUPBf,tUWDY)/SUMPRODUCT(tFlag*(ISNUMBER(tUWDY)*(tUWDY&gt;=$W264)*(tUWDY&lt;$X264))*ISNUMBER(tUWDY),tUPBf),0)</f>
        <v/>
      </c>
      <c r="N264" s="22">
        <f>IFERROR(SUMPRODUCT(tFlag*(ISNUMBER(tUWDY)*(tUWDY&gt;=$W264)*(tUWDY&lt;$X264)),tUPBf,tCurDY)/SUMPRODUCT(tFlag*(ISNUMBER(tUWDY)*(tUWDY&gt;=$W264)*(tUWDY&lt;$X264))*ISNUMBER(tCurDY),tUPBf),0)</f>
        <v/>
      </c>
      <c r="O264" s="22">
        <f>IFERROR(SUMPRODUCT(tFlag*(ISNUMBER(tUWDY)*(tUWDY&gt;=$W264)*(tUWDY&lt;$X264)),tUPBf,tOcc)/SUMPRODUCT(tFlag*(ISNUMBER(tUWDY)*(tUWDY&gt;=$W264)*(tUWDY&lt;$X264))*ISNUMBER(tOcc),tUPBf),0)</f>
        <v/>
      </c>
      <c r="P264" s="45">
        <f>IFERROR(SUMPRODUCT(tFlag*(ISNUMBER(tUWDY)*(tUWDY&gt;=$W264)*(tUWDY&lt;$X264)),tUPBf,tRem)/SUMPRODUCT(tFlag*(ISNUMBER(tUWDY)*(tUWDY&gt;=$W264)*(tUWDY&lt;$X264))*ISNUMBER(tRem),tUPBf),0)</f>
        <v/>
      </c>
      <c r="Q264" s="22">
        <f>IFERROR(SUMPRODUCT(tFlag*(ISNUMBER(tUWDY)*(tUWDY&gt;=$W264)*(tUWDY&lt;$X264)),tUPBf,tFIO)/$E264,0)</f>
        <v/>
      </c>
      <c r="R264" s="22">
        <f>IFERROR(SUMPRODUCT(tFlag*(ISNUMBER(tUWDY)*(tUWDY&gt;=$W264)*(tUWDY&lt;$X264)),tUPBf,tDefF)/$E264,0)</f>
        <v/>
      </c>
      <c r="S264" s="22">
        <f>IFERROR(SUMPRODUCT(tFlag*(ISNUMBER(tUWDY)*(tUWDY&gt;=$W264)*(tUWDY&lt;$X264)),tUPBf,tSSF)/$E264,0)</f>
        <v/>
      </c>
      <c r="T264" s="22">
        <f>IFERROR(SUMPRODUCT(tFlag*(ISNUMBER(tUWDY)*(tUWDY&gt;=$W264)*(tUWDY&lt;$X264)),tUPBf,tDQ)/$E264,0)</f>
        <v/>
      </c>
      <c r="U264" s="22">
        <f>IFERROR(SUMPRODUCT(tFlag*(ISNUMBER(tUWDY)*(tUWDY&gt;=$W264)*(tUWDY&lt;$X264)),tUPBf,tWLF)/$E264,0)</f>
        <v/>
      </c>
      <c r="W264" s="53" t="n">
        <v>0.14</v>
      </c>
      <c r="X264" s="53" t="n">
        <v>1000000000000</v>
      </c>
    </row>
    <row r="265">
      <c r="B265" s="27" t="inlineStr">
        <is>
          <t>Not Reported</t>
        </is>
      </c>
      <c r="C265" s="28">
        <f>SUMPRODUCT(tFlag*(1-ISNUMBER(tUWDY)))</f>
        <v/>
      </c>
      <c r="D265" s="31">
        <f>IFERROR(C265/sLoans,0)</f>
        <v/>
      </c>
      <c r="E265" s="30">
        <f>SUMPRODUCT(tFlag*(1-ISNUMBER(tUWDY)),tUPBf)</f>
        <v/>
      </c>
      <c r="F265" s="31">
        <f>IFERROR(E265/sUPB,0)</f>
        <v/>
      </c>
      <c r="G265" s="30">
        <f>IFERROR(E265/C265,0)</f>
        <v/>
      </c>
      <c r="H265" s="32">
        <f>IFERROR(SUMPRODUCT(tFlag*(1-ISNUMBER(tUWDY)),tUPBf,tCpn)/SUMPRODUCT(tFlag*(1-ISNUMBER(tUWDY))*ISNUMBER(tCpn),tUPBf),0)</f>
        <v/>
      </c>
      <c r="I265" s="33">
        <f>IFERROR(SUMPRODUCT(tFlag*(1-ISNUMBER(tUWDY)),tUPBf,tUWDSCR)/SUMPRODUCT(tFlag*(1-ISNUMBER(tUWDY))*ISNUMBER(tUWDSCR),tUPBf),0)</f>
        <v/>
      </c>
      <c r="J265" s="33">
        <f>IFERROR(SUMPRODUCT(tFlag*(1-ISNUMBER(tUWDY)),tUPBf,tCurDSCR)/SUMPRODUCT(tFlag*(1-ISNUMBER(tUWDY))*ISNUMBER(tCurDSCR),tUPBf),0)</f>
        <v/>
      </c>
      <c r="K265" s="31">
        <f>IFERROR(SUMPRODUCT(tFlag*(1-ISNUMBER(tUWDY)),tUPBf,tUWLTV)/SUMPRODUCT(tFlag*(1-ISNUMBER(tUWDY))*ISNUMBER(tUWLTV),tUPBf),0)</f>
        <v/>
      </c>
      <c r="L265" s="31">
        <f>IFERROR(SUMPRODUCT(tFlag*(1-ISNUMBER(tUWDY)),tUPBf,tCurLTV)/SUMPRODUCT(tFlag*(1-ISNUMBER(tUWDY))*ISNUMBER(tCurLTV),tUPBf),0)</f>
        <v/>
      </c>
      <c r="M265" s="31">
        <f>IFERROR(SUMPRODUCT(tFlag*(1-ISNUMBER(tUWDY)),tUPBf,tUWDY)/SUMPRODUCT(tFlag*(1-ISNUMBER(tUWDY))*ISNUMBER(tUWDY),tUPBf),0)</f>
        <v/>
      </c>
      <c r="N265" s="31">
        <f>IFERROR(SUMPRODUCT(tFlag*(1-ISNUMBER(tUWDY)),tUPBf,tCurDY)/SUMPRODUCT(tFlag*(1-ISNUMBER(tUWDY))*ISNUMBER(tCurDY),tUPBf),0)</f>
        <v/>
      </c>
      <c r="O265" s="31">
        <f>IFERROR(SUMPRODUCT(tFlag*(1-ISNUMBER(tUWDY)),tUPBf,tOcc)/SUMPRODUCT(tFlag*(1-ISNUMBER(tUWDY))*ISNUMBER(tOcc),tUPBf),0)</f>
        <v/>
      </c>
      <c r="P265" s="47">
        <f>IFERROR(SUMPRODUCT(tFlag*(1-ISNUMBER(tUWDY)),tUPBf,tRem)/SUMPRODUCT(tFlag*(1-ISNUMBER(tUWDY))*ISNUMBER(tRem),tUPBf),0)</f>
        <v/>
      </c>
      <c r="Q265" s="31">
        <f>IFERROR(SUMPRODUCT(tFlag*(1-ISNUMBER(tUWDY)),tUPBf,tFIO)/$E265,0)</f>
        <v/>
      </c>
      <c r="R265" s="31">
        <f>IFERROR(SUMPRODUCT(tFlag*(1-ISNUMBER(tUWDY)),tUPBf,tDefF)/$E265,0)</f>
        <v/>
      </c>
      <c r="S265" s="31">
        <f>IFERROR(SUMPRODUCT(tFlag*(1-ISNUMBER(tUWDY)),tUPBf,tSSF)/$E265,0)</f>
        <v/>
      </c>
      <c r="T265" s="31">
        <f>IFERROR(SUMPRODUCT(tFlag*(1-ISNUMBER(tUWDY)),tUPBf,tDQ)/$E265,0)</f>
        <v/>
      </c>
      <c r="U265" s="31">
        <f>IFERROR(SUMPRODUCT(tFlag*(1-ISNUMBER(tUWDY)),tUPBf,tWLF)/$E265,0)</f>
        <v/>
      </c>
    </row>
    <row r="266">
      <c r="B266" s="36" t="inlineStr">
        <is>
          <t>Total / Wtd. Avg.</t>
        </is>
      </c>
      <c r="C266" s="37">
        <f>SUMPRODUCT(tFlag*(1))</f>
        <v/>
      </c>
      <c r="D266" s="40">
        <f>IFERROR(C266/sLoans,0)</f>
        <v/>
      </c>
      <c r="E266" s="39">
        <f>SUMPRODUCT(tFlag*(1),tUPBf)</f>
        <v/>
      </c>
      <c r="F266" s="40">
        <f>IFERROR(E266/sUPB,0)</f>
        <v/>
      </c>
      <c r="G266" s="39">
        <f>IFERROR(E266/C266,0)</f>
        <v/>
      </c>
      <c r="H266" s="41">
        <f>IFERROR(SUMPRODUCT(tFlag*(1),tUPBf,tCpn)/SUMPRODUCT(tFlag*(1)*ISNUMBER(tCpn),tUPBf),0)</f>
        <v/>
      </c>
      <c r="I266" s="42">
        <f>IFERROR(SUMPRODUCT(tFlag*(1),tUPBf,tUWDSCR)/SUMPRODUCT(tFlag*(1)*ISNUMBER(tUWDSCR),tUPBf),0)</f>
        <v/>
      </c>
      <c r="J266" s="42">
        <f>IFERROR(SUMPRODUCT(tFlag*(1),tUPBf,tCurDSCR)/SUMPRODUCT(tFlag*(1)*ISNUMBER(tCurDSCR),tUPBf),0)</f>
        <v/>
      </c>
      <c r="K266" s="40">
        <f>IFERROR(SUMPRODUCT(tFlag*(1),tUPBf,tUWLTV)/SUMPRODUCT(tFlag*(1)*ISNUMBER(tUWLTV),tUPBf),0)</f>
        <v/>
      </c>
      <c r="L266" s="40">
        <f>IFERROR(SUMPRODUCT(tFlag*(1),tUPBf,tCurLTV)/SUMPRODUCT(tFlag*(1)*ISNUMBER(tCurLTV),tUPBf),0)</f>
        <v/>
      </c>
      <c r="M266" s="40">
        <f>IFERROR(SUMPRODUCT(tFlag*(1),tUPBf,tUWDY)/SUMPRODUCT(tFlag*(1)*ISNUMBER(tUWDY),tUPBf),0)</f>
        <v/>
      </c>
      <c r="N266" s="40">
        <f>IFERROR(SUMPRODUCT(tFlag*(1),tUPBf,tCurDY)/SUMPRODUCT(tFlag*(1)*ISNUMBER(tCurDY),tUPBf),0)</f>
        <v/>
      </c>
      <c r="O266" s="40">
        <f>IFERROR(SUMPRODUCT(tFlag*(1),tUPBf,tOcc)/SUMPRODUCT(tFlag*(1)*ISNUMBER(tOcc),tUPBf),0)</f>
        <v/>
      </c>
      <c r="P266" s="43">
        <f>IFERROR(SUMPRODUCT(tFlag*(1),tUPBf,tRem)/SUMPRODUCT(tFlag*(1)*ISNUMBER(tRem),tUPBf),0)</f>
        <v/>
      </c>
      <c r="Q266" s="40">
        <f>IFERROR(SUMPRODUCT(tFlag*(1),tUPBf,tFIO)/$E266,0)</f>
        <v/>
      </c>
      <c r="R266" s="40">
        <f>IFERROR(SUMPRODUCT(tFlag*(1),tUPBf,tDefF)/$E266,0)</f>
        <v/>
      </c>
      <c r="S266" s="40">
        <f>IFERROR(SUMPRODUCT(tFlag*(1),tUPBf,tSSF)/$E266,0)</f>
        <v/>
      </c>
      <c r="T266" s="40">
        <f>IFERROR(SUMPRODUCT(tFlag*(1),tUPBf,tDQ)/$E266,0)</f>
        <v/>
      </c>
      <c r="U266" s="40">
        <f>IFERROR(SUMPRODUCT(tFlag*(1),tUPBf,tWLF)/$E266,0)</f>
        <v/>
      </c>
    </row>
    <row r="268" ht="15" customHeight="1">
      <c r="B268" s="2" t="inlineStr">
        <is>
          <t>CURRENT NCF DEBT YIELD (MOST RECENT)</t>
        </is>
      </c>
      <c r="C268" s="3" t="n"/>
      <c r="D268" s="3" t="n"/>
      <c r="E268" s="3" t="n"/>
      <c r="F268" s="3" t="n"/>
      <c r="G268" s="3" t="n"/>
      <c r="H268" s="3" t="n"/>
      <c r="I268" s="3" t="n"/>
      <c r="J268" s="3" t="n"/>
      <c r="K268" s="3" t="n"/>
      <c r="L268" s="3" t="n"/>
      <c r="M268" s="3" t="n"/>
      <c r="N268" s="3" t="n"/>
      <c r="O268" s="3" t="n"/>
      <c r="P268" s="3" t="n"/>
      <c r="Q268" s="3" t="n"/>
      <c r="R268" s="3" t="n"/>
      <c r="S268" s="3" t="n"/>
      <c r="T268" s="3" t="n"/>
      <c r="U268" s="3" t="n"/>
    </row>
    <row r="269" ht="39.75" customHeight="1">
      <c r="B269" s="15" t="inlineStr">
        <is>
          <t>Bucket</t>
        </is>
      </c>
      <c r="C269" s="16" t="inlineStr">
        <is>
          <t>Number of Loans</t>
        </is>
      </c>
      <c r="D269" s="16" t="inlineStr">
        <is>
          <t>% of Loans</t>
        </is>
      </c>
      <c r="E269" s="16" t="inlineStr">
        <is>
          <t>Current UPB</t>
        </is>
      </c>
      <c r="F269" s="16" t="inlineStr">
        <is>
          <t>% of UPB</t>
        </is>
      </c>
      <c r="G269" s="16" t="inlineStr">
        <is>
          <t>Average Loan Size</t>
        </is>
      </c>
      <c r="H269" s="16" t="inlineStr">
        <is>
          <t>Wtd. Avg. Gross Coupon</t>
        </is>
      </c>
      <c r="I269" s="16" t="inlineStr">
        <is>
          <t>Wtd. Avg. UW NCF DSCR</t>
        </is>
      </c>
      <c r="J269" s="16" t="inlineStr">
        <is>
          <t>Wtd. Avg. Current NCF DSCR</t>
        </is>
      </c>
      <c r="K269" s="16" t="inlineStr">
        <is>
          <t>Wtd. Avg. UW LTV</t>
        </is>
      </c>
      <c r="L269" s="16" t="inlineStr">
        <is>
          <t>Wtd. Avg. Current LTV</t>
        </is>
      </c>
      <c r="M269" s="16" t="inlineStr">
        <is>
          <t>Wtd. Avg. UW NCF Debt Yield</t>
        </is>
      </c>
      <c r="N269" s="16" t="inlineStr">
        <is>
          <t>Wtd. Avg. Current NCF Debt Yield</t>
        </is>
      </c>
      <c r="O269" s="16" t="inlineStr">
        <is>
          <t>Wtd. Avg. Current Occupancy</t>
        </is>
      </c>
      <c r="P269" s="16" t="inlineStr">
        <is>
          <t>Wtd. Avg. Rem. Term (Mo.)</t>
        </is>
      </c>
      <c r="Q269" s="16" t="inlineStr">
        <is>
          <t>% Full IO</t>
        </is>
      </c>
      <c r="R269" s="16" t="inlineStr">
        <is>
          <t>% Defeased</t>
        </is>
      </c>
      <c r="S269" s="16" t="inlineStr">
        <is>
          <t>% Currently Specially Serviced</t>
        </is>
      </c>
      <c r="T269" s="16" t="inlineStr">
        <is>
          <t>% 30+ Delinq. / FC / REO</t>
        </is>
      </c>
      <c r="U269" s="16" t="inlineStr">
        <is>
          <t>% On Watchlist</t>
        </is>
      </c>
      <c r="W269" s="17" t="inlineStr">
        <is>
          <t>Lower Bound (&gt;=)</t>
        </is>
      </c>
      <c r="X269" s="17" t="inlineStr">
        <is>
          <t>Upper Bound (&lt;)</t>
        </is>
      </c>
    </row>
    <row r="270">
      <c r="B270" s="18" t="inlineStr">
        <is>
          <t>Less than 6.0%</t>
        </is>
      </c>
      <c r="C270" s="19">
        <f>SUMPRODUCT(tFlag*(ISNUMBER(tCurDY)*(tCurDY&gt;=$W270)*(tCurDY&lt;$X270)))</f>
        <v/>
      </c>
      <c r="D270" s="22">
        <f>IFERROR(C270/sLoans,0)</f>
        <v/>
      </c>
      <c r="E270" s="21">
        <f>SUMPRODUCT(tFlag*(ISNUMBER(tCurDY)*(tCurDY&gt;=$W270)*(tCurDY&lt;$X270)),tUPBf)</f>
        <v/>
      </c>
      <c r="F270" s="22">
        <f>IFERROR(E270/sUPB,0)</f>
        <v/>
      </c>
      <c r="G270" s="21">
        <f>IFERROR(E270/C270,0)</f>
        <v/>
      </c>
      <c r="H270" s="23">
        <f>IFERROR(SUMPRODUCT(tFlag*(ISNUMBER(tCurDY)*(tCurDY&gt;=$W270)*(tCurDY&lt;$X270)),tUPBf,tCpn)/SUMPRODUCT(tFlag*(ISNUMBER(tCurDY)*(tCurDY&gt;=$W270)*(tCurDY&lt;$X270))*ISNUMBER(tCpn),tUPBf),0)</f>
        <v/>
      </c>
      <c r="I270" s="24">
        <f>IFERROR(SUMPRODUCT(tFlag*(ISNUMBER(tCurDY)*(tCurDY&gt;=$W270)*(tCurDY&lt;$X270)),tUPBf,tUWDSCR)/SUMPRODUCT(tFlag*(ISNUMBER(tCurDY)*(tCurDY&gt;=$W270)*(tCurDY&lt;$X270))*ISNUMBER(tUWDSCR),tUPBf),0)</f>
        <v/>
      </c>
      <c r="J270" s="24">
        <f>IFERROR(SUMPRODUCT(tFlag*(ISNUMBER(tCurDY)*(tCurDY&gt;=$W270)*(tCurDY&lt;$X270)),tUPBf,tCurDSCR)/SUMPRODUCT(tFlag*(ISNUMBER(tCurDY)*(tCurDY&gt;=$W270)*(tCurDY&lt;$X270))*ISNUMBER(tCurDSCR),tUPBf),0)</f>
        <v/>
      </c>
      <c r="K270" s="22">
        <f>IFERROR(SUMPRODUCT(tFlag*(ISNUMBER(tCurDY)*(tCurDY&gt;=$W270)*(tCurDY&lt;$X270)),tUPBf,tUWLTV)/SUMPRODUCT(tFlag*(ISNUMBER(tCurDY)*(tCurDY&gt;=$W270)*(tCurDY&lt;$X270))*ISNUMBER(tUWLTV),tUPBf),0)</f>
        <v/>
      </c>
      <c r="L270" s="22">
        <f>IFERROR(SUMPRODUCT(tFlag*(ISNUMBER(tCurDY)*(tCurDY&gt;=$W270)*(tCurDY&lt;$X270)),tUPBf,tCurLTV)/SUMPRODUCT(tFlag*(ISNUMBER(tCurDY)*(tCurDY&gt;=$W270)*(tCurDY&lt;$X270))*ISNUMBER(tCurLTV),tUPBf),0)</f>
        <v/>
      </c>
      <c r="M270" s="22">
        <f>IFERROR(SUMPRODUCT(tFlag*(ISNUMBER(tCurDY)*(tCurDY&gt;=$W270)*(tCurDY&lt;$X270)),tUPBf,tUWDY)/SUMPRODUCT(tFlag*(ISNUMBER(tCurDY)*(tCurDY&gt;=$W270)*(tCurDY&lt;$X270))*ISNUMBER(tUWDY),tUPBf),0)</f>
        <v/>
      </c>
      <c r="N270" s="22">
        <f>IFERROR(SUMPRODUCT(tFlag*(ISNUMBER(tCurDY)*(tCurDY&gt;=$W270)*(tCurDY&lt;$X270)),tUPBf,tCurDY)/SUMPRODUCT(tFlag*(ISNUMBER(tCurDY)*(tCurDY&gt;=$W270)*(tCurDY&lt;$X270))*ISNUMBER(tCurDY),tUPBf),0)</f>
        <v/>
      </c>
      <c r="O270" s="22">
        <f>IFERROR(SUMPRODUCT(tFlag*(ISNUMBER(tCurDY)*(tCurDY&gt;=$W270)*(tCurDY&lt;$X270)),tUPBf,tOcc)/SUMPRODUCT(tFlag*(ISNUMBER(tCurDY)*(tCurDY&gt;=$W270)*(tCurDY&lt;$X270))*ISNUMBER(tOcc),tUPBf),0)</f>
        <v/>
      </c>
      <c r="P270" s="45">
        <f>IFERROR(SUMPRODUCT(tFlag*(ISNUMBER(tCurDY)*(tCurDY&gt;=$W270)*(tCurDY&lt;$X270)),tUPBf,tRem)/SUMPRODUCT(tFlag*(ISNUMBER(tCurDY)*(tCurDY&gt;=$W270)*(tCurDY&lt;$X270))*ISNUMBER(tRem),tUPBf),0)</f>
        <v/>
      </c>
      <c r="Q270" s="22">
        <f>IFERROR(SUMPRODUCT(tFlag*(ISNUMBER(tCurDY)*(tCurDY&gt;=$W270)*(tCurDY&lt;$X270)),tUPBf,tFIO)/$E270,0)</f>
        <v/>
      </c>
      <c r="R270" s="22">
        <f>IFERROR(SUMPRODUCT(tFlag*(ISNUMBER(tCurDY)*(tCurDY&gt;=$W270)*(tCurDY&lt;$X270)),tUPBf,tDefF)/$E270,0)</f>
        <v/>
      </c>
      <c r="S270" s="22">
        <f>IFERROR(SUMPRODUCT(tFlag*(ISNUMBER(tCurDY)*(tCurDY&gt;=$W270)*(tCurDY&lt;$X270)),tUPBf,tSSF)/$E270,0)</f>
        <v/>
      </c>
      <c r="T270" s="22">
        <f>IFERROR(SUMPRODUCT(tFlag*(ISNUMBER(tCurDY)*(tCurDY&gt;=$W270)*(tCurDY&lt;$X270)),tUPBf,tDQ)/$E270,0)</f>
        <v/>
      </c>
      <c r="U270" s="22">
        <f>IFERROR(SUMPRODUCT(tFlag*(ISNUMBER(tCurDY)*(tCurDY&gt;=$W270)*(tCurDY&lt;$X270)),tUPBf,tWLF)/$E270,0)</f>
        <v/>
      </c>
      <c r="W270" s="53" t="n">
        <v>-1000000000000</v>
      </c>
      <c r="X270" s="53" t="n">
        <v>0.06</v>
      </c>
    </row>
    <row r="271">
      <c r="B271" s="27" t="inlineStr">
        <is>
          <t>6.0% to 8.0%</t>
        </is>
      </c>
      <c r="C271" s="28">
        <f>SUMPRODUCT(tFlag*(ISNUMBER(tCurDY)*(tCurDY&gt;=$W271)*(tCurDY&lt;$X271)))</f>
        <v/>
      </c>
      <c r="D271" s="31">
        <f>IFERROR(C271/sLoans,0)</f>
        <v/>
      </c>
      <c r="E271" s="30">
        <f>SUMPRODUCT(tFlag*(ISNUMBER(tCurDY)*(tCurDY&gt;=$W271)*(tCurDY&lt;$X271)),tUPBf)</f>
        <v/>
      </c>
      <c r="F271" s="31">
        <f>IFERROR(E271/sUPB,0)</f>
        <v/>
      </c>
      <c r="G271" s="30">
        <f>IFERROR(E271/C271,0)</f>
        <v/>
      </c>
      <c r="H271" s="32">
        <f>IFERROR(SUMPRODUCT(tFlag*(ISNUMBER(tCurDY)*(tCurDY&gt;=$W271)*(tCurDY&lt;$X271)),tUPBf,tCpn)/SUMPRODUCT(tFlag*(ISNUMBER(tCurDY)*(tCurDY&gt;=$W271)*(tCurDY&lt;$X271))*ISNUMBER(tCpn),tUPBf),0)</f>
        <v/>
      </c>
      <c r="I271" s="33">
        <f>IFERROR(SUMPRODUCT(tFlag*(ISNUMBER(tCurDY)*(tCurDY&gt;=$W271)*(tCurDY&lt;$X271)),tUPBf,tUWDSCR)/SUMPRODUCT(tFlag*(ISNUMBER(tCurDY)*(tCurDY&gt;=$W271)*(tCurDY&lt;$X271))*ISNUMBER(tUWDSCR),tUPBf),0)</f>
        <v/>
      </c>
      <c r="J271" s="33">
        <f>IFERROR(SUMPRODUCT(tFlag*(ISNUMBER(tCurDY)*(tCurDY&gt;=$W271)*(tCurDY&lt;$X271)),tUPBf,tCurDSCR)/SUMPRODUCT(tFlag*(ISNUMBER(tCurDY)*(tCurDY&gt;=$W271)*(tCurDY&lt;$X271))*ISNUMBER(tCurDSCR),tUPBf),0)</f>
        <v/>
      </c>
      <c r="K271" s="31">
        <f>IFERROR(SUMPRODUCT(tFlag*(ISNUMBER(tCurDY)*(tCurDY&gt;=$W271)*(tCurDY&lt;$X271)),tUPBf,tUWLTV)/SUMPRODUCT(tFlag*(ISNUMBER(tCurDY)*(tCurDY&gt;=$W271)*(tCurDY&lt;$X271))*ISNUMBER(tUWLTV),tUPBf),0)</f>
        <v/>
      </c>
      <c r="L271" s="31">
        <f>IFERROR(SUMPRODUCT(tFlag*(ISNUMBER(tCurDY)*(tCurDY&gt;=$W271)*(tCurDY&lt;$X271)),tUPBf,tCurLTV)/SUMPRODUCT(tFlag*(ISNUMBER(tCurDY)*(tCurDY&gt;=$W271)*(tCurDY&lt;$X271))*ISNUMBER(tCurLTV),tUPBf),0)</f>
        <v/>
      </c>
      <c r="M271" s="31">
        <f>IFERROR(SUMPRODUCT(tFlag*(ISNUMBER(tCurDY)*(tCurDY&gt;=$W271)*(tCurDY&lt;$X271)),tUPBf,tUWDY)/SUMPRODUCT(tFlag*(ISNUMBER(tCurDY)*(tCurDY&gt;=$W271)*(tCurDY&lt;$X271))*ISNUMBER(tUWDY),tUPBf),0)</f>
        <v/>
      </c>
      <c r="N271" s="31">
        <f>IFERROR(SUMPRODUCT(tFlag*(ISNUMBER(tCurDY)*(tCurDY&gt;=$W271)*(tCurDY&lt;$X271)),tUPBf,tCurDY)/SUMPRODUCT(tFlag*(ISNUMBER(tCurDY)*(tCurDY&gt;=$W271)*(tCurDY&lt;$X271))*ISNUMBER(tCurDY),tUPBf),0)</f>
        <v/>
      </c>
      <c r="O271" s="31">
        <f>IFERROR(SUMPRODUCT(tFlag*(ISNUMBER(tCurDY)*(tCurDY&gt;=$W271)*(tCurDY&lt;$X271)),tUPBf,tOcc)/SUMPRODUCT(tFlag*(ISNUMBER(tCurDY)*(tCurDY&gt;=$W271)*(tCurDY&lt;$X271))*ISNUMBER(tOcc),tUPBf),0)</f>
        <v/>
      </c>
      <c r="P271" s="47">
        <f>IFERROR(SUMPRODUCT(tFlag*(ISNUMBER(tCurDY)*(tCurDY&gt;=$W271)*(tCurDY&lt;$X271)),tUPBf,tRem)/SUMPRODUCT(tFlag*(ISNUMBER(tCurDY)*(tCurDY&gt;=$W271)*(tCurDY&lt;$X271))*ISNUMBER(tRem),tUPBf),0)</f>
        <v/>
      </c>
      <c r="Q271" s="31">
        <f>IFERROR(SUMPRODUCT(tFlag*(ISNUMBER(tCurDY)*(tCurDY&gt;=$W271)*(tCurDY&lt;$X271)),tUPBf,tFIO)/$E271,0)</f>
        <v/>
      </c>
      <c r="R271" s="31">
        <f>IFERROR(SUMPRODUCT(tFlag*(ISNUMBER(tCurDY)*(tCurDY&gt;=$W271)*(tCurDY&lt;$X271)),tUPBf,tDefF)/$E271,0)</f>
        <v/>
      </c>
      <c r="S271" s="31">
        <f>IFERROR(SUMPRODUCT(tFlag*(ISNUMBER(tCurDY)*(tCurDY&gt;=$W271)*(tCurDY&lt;$X271)),tUPBf,tSSF)/$E271,0)</f>
        <v/>
      </c>
      <c r="T271" s="31">
        <f>IFERROR(SUMPRODUCT(tFlag*(ISNUMBER(tCurDY)*(tCurDY&gt;=$W271)*(tCurDY&lt;$X271)),tUPBf,tDQ)/$E271,0)</f>
        <v/>
      </c>
      <c r="U271" s="31">
        <f>IFERROR(SUMPRODUCT(tFlag*(ISNUMBER(tCurDY)*(tCurDY&gt;=$W271)*(tCurDY&lt;$X271)),tUPBf,tWLF)/$E271,0)</f>
        <v/>
      </c>
      <c r="W271" s="53" t="n">
        <v>0.06</v>
      </c>
      <c r="X271" s="53" t="n">
        <v>0.08</v>
      </c>
    </row>
    <row r="272">
      <c r="B272" s="18" t="inlineStr">
        <is>
          <t>8.0% to 10.0%</t>
        </is>
      </c>
      <c r="C272" s="19">
        <f>SUMPRODUCT(tFlag*(ISNUMBER(tCurDY)*(tCurDY&gt;=$W272)*(tCurDY&lt;$X272)))</f>
        <v/>
      </c>
      <c r="D272" s="22">
        <f>IFERROR(C272/sLoans,0)</f>
        <v/>
      </c>
      <c r="E272" s="21">
        <f>SUMPRODUCT(tFlag*(ISNUMBER(tCurDY)*(tCurDY&gt;=$W272)*(tCurDY&lt;$X272)),tUPBf)</f>
        <v/>
      </c>
      <c r="F272" s="22">
        <f>IFERROR(E272/sUPB,0)</f>
        <v/>
      </c>
      <c r="G272" s="21">
        <f>IFERROR(E272/C272,0)</f>
        <v/>
      </c>
      <c r="H272" s="23">
        <f>IFERROR(SUMPRODUCT(tFlag*(ISNUMBER(tCurDY)*(tCurDY&gt;=$W272)*(tCurDY&lt;$X272)),tUPBf,tCpn)/SUMPRODUCT(tFlag*(ISNUMBER(tCurDY)*(tCurDY&gt;=$W272)*(tCurDY&lt;$X272))*ISNUMBER(tCpn),tUPBf),0)</f>
        <v/>
      </c>
      <c r="I272" s="24">
        <f>IFERROR(SUMPRODUCT(tFlag*(ISNUMBER(tCurDY)*(tCurDY&gt;=$W272)*(tCurDY&lt;$X272)),tUPBf,tUWDSCR)/SUMPRODUCT(tFlag*(ISNUMBER(tCurDY)*(tCurDY&gt;=$W272)*(tCurDY&lt;$X272))*ISNUMBER(tUWDSCR),tUPBf),0)</f>
        <v/>
      </c>
      <c r="J272" s="24">
        <f>IFERROR(SUMPRODUCT(tFlag*(ISNUMBER(tCurDY)*(tCurDY&gt;=$W272)*(tCurDY&lt;$X272)),tUPBf,tCurDSCR)/SUMPRODUCT(tFlag*(ISNUMBER(tCurDY)*(tCurDY&gt;=$W272)*(tCurDY&lt;$X272))*ISNUMBER(tCurDSCR),tUPBf),0)</f>
        <v/>
      </c>
      <c r="K272" s="22">
        <f>IFERROR(SUMPRODUCT(tFlag*(ISNUMBER(tCurDY)*(tCurDY&gt;=$W272)*(tCurDY&lt;$X272)),tUPBf,tUWLTV)/SUMPRODUCT(tFlag*(ISNUMBER(tCurDY)*(tCurDY&gt;=$W272)*(tCurDY&lt;$X272))*ISNUMBER(tUWLTV),tUPBf),0)</f>
        <v/>
      </c>
      <c r="L272" s="22">
        <f>IFERROR(SUMPRODUCT(tFlag*(ISNUMBER(tCurDY)*(tCurDY&gt;=$W272)*(tCurDY&lt;$X272)),tUPBf,tCurLTV)/SUMPRODUCT(tFlag*(ISNUMBER(tCurDY)*(tCurDY&gt;=$W272)*(tCurDY&lt;$X272))*ISNUMBER(tCurLTV),tUPBf),0)</f>
        <v/>
      </c>
      <c r="M272" s="22">
        <f>IFERROR(SUMPRODUCT(tFlag*(ISNUMBER(tCurDY)*(tCurDY&gt;=$W272)*(tCurDY&lt;$X272)),tUPBf,tUWDY)/SUMPRODUCT(tFlag*(ISNUMBER(tCurDY)*(tCurDY&gt;=$W272)*(tCurDY&lt;$X272))*ISNUMBER(tUWDY),tUPBf),0)</f>
        <v/>
      </c>
      <c r="N272" s="22">
        <f>IFERROR(SUMPRODUCT(tFlag*(ISNUMBER(tCurDY)*(tCurDY&gt;=$W272)*(tCurDY&lt;$X272)),tUPBf,tCurDY)/SUMPRODUCT(tFlag*(ISNUMBER(tCurDY)*(tCurDY&gt;=$W272)*(tCurDY&lt;$X272))*ISNUMBER(tCurDY),tUPBf),0)</f>
        <v/>
      </c>
      <c r="O272" s="22">
        <f>IFERROR(SUMPRODUCT(tFlag*(ISNUMBER(tCurDY)*(tCurDY&gt;=$W272)*(tCurDY&lt;$X272)),tUPBf,tOcc)/SUMPRODUCT(tFlag*(ISNUMBER(tCurDY)*(tCurDY&gt;=$W272)*(tCurDY&lt;$X272))*ISNUMBER(tOcc),tUPBf),0)</f>
        <v/>
      </c>
      <c r="P272" s="45">
        <f>IFERROR(SUMPRODUCT(tFlag*(ISNUMBER(tCurDY)*(tCurDY&gt;=$W272)*(tCurDY&lt;$X272)),tUPBf,tRem)/SUMPRODUCT(tFlag*(ISNUMBER(tCurDY)*(tCurDY&gt;=$W272)*(tCurDY&lt;$X272))*ISNUMBER(tRem),tUPBf),0)</f>
        <v/>
      </c>
      <c r="Q272" s="22">
        <f>IFERROR(SUMPRODUCT(tFlag*(ISNUMBER(tCurDY)*(tCurDY&gt;=$W272)*(tCurDY&lt;$X272)),tUPBf,tFIO)/$E272,0)</f>
        <v/>
      </c>
      <c r="R272" s="22">
        <f>IFERROR(SUMPRODUCT(tFlag*(ISNUMBER(tCurDY)*(tCurDY&gt;=$W272)*(tCurDY&lt;$X272)),tUPBf,tDefF)/$E272,0)</f>
        <v/>
      </c>
      <c r="S272" s="22">
        <f>IFERROR(SUMPRODUCT(tFlag*(ISNUMBER(tCurDY)*(tCurDY&gt;=$W272)*(tCurDY&lt;$X272)),tUPBf,tSSF)/$E272,0)</f>
        <v/>
      </c>
      <c r="T272" s="22">
        <f>IFERROR(SUMPRODUCT(tFlag*(ISNUMBER(tCurDY)*(tCurDY&gt;=$W272)*(tCurDY&lt;$X272)),tUPBf,tDQ)/$E272,0)</f>
        <v/>
      </c>
      <c r="U272" s="22">
        <f>IFERROR(SUMPRODUCT(tFlag*(ISNUMBER(tCurDY)*(tCurDY&gt;=$W272)*(tCurDY&lt;$X272)),tUPBf,tWLF)/$E272,0)</f>
        <v/>
      </c>
      <c r="W272" s="53" t="n">
        <v>0.08</v>
      </c>
      <c r="X272" s="53" t="n">
        <v>0.1</v>
      </c>
    </row>
    <row r="273">
      <c r="B273" s="27" t="inlineStr">
        <is>
          <t>10.0% to 12.0%</t>
        </is>
      </c>
      <c r="C273" s="28">
        <f>SUMPRODUCT(tFlag*(ISNUMBER(tCurDY)*(tCurDY&gt;=$W273)*(tCurDY&lt;$X273)))</f>
        <v/>
      </c>
      <c r="D273" s="31">
        <f>IFERROR(C273/sLoans,0)</f>
        <v/>
      </c>
      <c r="E273" s="30">
        <f>SUMPRODUCT(tFlag*(ISNUMBER(tCurDY)*(tCurDY&gt;=$W273)*(tCurDY&lt;$X273)),tUPBf)</f>
        <v/>
      </c>
      <c r="F273" s="31">
        <f>IFERROR(E273/sUPB,0)</f>
        <v/>
      </c>
      <c r="G273" s="30">
        <f>IFERROR(E273/C273,0)</f>
        <v/>
      </c>
      <c r="H273" s="32">
        <f>IFERROR(SUMPRODUCT(tFlag*(ISNUMBER(tCurDY)*(tCurDY&gt;=$W273)*(tCurDY&lt;$X273)),tUPBf,tCpn)/SUMPRODUCT(tFlag*(ISNUMBER(tCurDY)*(tCurDY&gt;=$W273)*(tCurDY&lt;$X273))*ISNUMBER(tCpn),tUPBf),0)</f>
        <v/>
      </c>
      <c r="I273" s="33">
        <f>IFERROR(SUMPRODUCT(tFlag*(ISNUMBER(tCurDY)*(tCurDY&gt;=$W273)*(tCurDY&lt;$X273)),tUPBf,tUWDSCR)/SUMPRODUCT(tFlag*(ISNUMBER(tCurDY)*(tCurDY&gt;=$W273)*(tCurDY&lt;$X273))*ISNUMBER(tUWDSCR),tUPBf),0)</f>
        <v/>
      </c>
      <c r="J273" s="33">
        <f>IFERROR(SUMPRODUCT(tFlag*(ISNUMBER(tCurDY)*(tCurDY&gt;=$W273)*(tCurDY&lt;$X273)),tUPBf,tCurDSCR)/SUMPRODUCT(tFlag*(ISNUMBER(tCurDY)*(tCurDY&gt;=$W273)*(tCurDY&lt;$X273))*ISNUMBER(tCurDSCR),tUPBf),0)</f>
        <v/>
      </c>
      <c r="K273" s="31">
        <f>IFERROR(SUMPRODUCT(tFlag*(ISNUMBER(tCurDY)*(tCurDY&gt;=$W273)*(tCurDY&lt;$X273)),tUPBf,tUWLTV)/SUMPRODUCT(tFlag*(ISNUMBER(tCurDY)*(tCurDY&gt;=$W273)*(tCurDY&lt;$X273))*ISNUMBER(tUWLTV),tUPBf),0)</f>
        <v/>
      </c>
      <c r="L273" s="31">
        <f>IFERROR(SUMPRODUCT(tFlag*(ISNUMBER(tCurDY)*(tCurDY&gt;=$W273)*(tCurDY&lt;$X273)),tUPBf,tCurLTV)/SUMPRODUCT(tFlag*(ISNUMBER(tCurDY)*(tCurDY&gt;=$W273)*(tCurDY&lt;$X273))*ISNUMBER(tCurLTV),tUPBf),0)</f>
        <v/>
      </c>
      <c r="M273" s="31">
        <f>IFERROR(SUMPRODUCT(tFlag*(ISNUMBER(tCurDY)*(tCurDY&gt;=$W273)*(tCurDY&lt;$X273)),tUPBf,tUWDY)/SUMPRODUCT(tFlag*(ISNUMBER(tCurDY)*(tCurDY&gt;=$W273)*(tCurDY&lt;$X273))*ISNUMBER(tUWDY),tUPBf),0)</f>
        <v/>
      </c>
      <c r="N273" s="31">
        <f>IFERROR(SUMPRODUCT(tFlag*(ISNUMBER(tCurDY)*(tCurDY&gt;=$W273)*(tCurDY&lt;$X273)),tUPBf,tCurDY)/SUMPRODUCT(tFlag*(ISNUMBER(tCurDY)*(tCurDY&gt;=$W273)*(tCurDY&lt;$X273))*ISNUMBER(tCurDY),tUPBf),0)</f>
        <v/>
      </c>
      <c r="O273" s="31">
        <f>IFERROR(SUMPRODUCT(tFlag*(ISNUMBER(tCurDY)*(tCurDY&gt;=$W273)*(tCurDY&lt;$X273)),tUPBf,tOcc)/SUMPRODUCT(tFlag*(ISNUMBER(tCurDY)*(tCurDY&gt;=$W273)*(tCurDY&lt;$X273))*ISNUMBER(tOcc),tUPBf),0)</f>
        <v/>
      </c>
      <c r="P273" s="47">
        <f>IFERROR(SUMPRODUCT(tFlag*(ISNUMBER(tCurDY)*(tCurDY&gt;=$W273)*(tCurDY&lt;$X273)),tUPBf,tRem)/SUMPRODUCT(tFlag*(ISNUMBER(tCurDY)*(tCurDY&gt;=$W273)*(tCurDY&lt;$X273))*ISNUMBER(tRem),tUPBf),0)</f>
        <v/>
      </c>
      <c r="Q273" s="31">
        <f>IFERROR(SUMPRODUCT(tFlag*(ISNUMBER(tCurDY)*(tCurDY&gt;=$W273)*(tCurDY&lt;$X273)),tUPBf,tFIO)/$E273,0)</f>
        <v/>
      </c>
      <c r="R273" s="31">
        <f>IFERROR(SUMPRODUCT(tFlag*(ISNUMBER(tCurDY)*(tCurDY&gt;=$W273)*(tCurDY&lt;$X273)),tUPBf,tDefF)/$E273,0)</f>
        <v/>
      </c>
      <c r="S273" s="31">
        <f>IFERROR(SUMPRODUCT(tFlag*(ISNUMBER(tCurDY)*(tCurDY&gt;=$W273)*(tCurDY&lt;$X273)),tUPBf,tSSF)/$E273,0)</f>
        <v/>
      </c>
      <c r="T273" s="31">
        <f>IFERROR(SUMPRODUCT(tFlag*(ISNUMBER(tCurDY)*(tCurDY&gt;=$W273)*(tCurDY&lt;$X273)),tUPBf,tDQ)/$E273,0)</f>
        <v/>
      </c>
      <c r="U273" s="31">
        <f>IFERROR(SUMPRODUCT(tFlag*(ISNUMBER(tCurDY)*(tCurDY&gt;=$W273)*(tCurDY&lt;$X273)),tUPBf,tWLF)/$E273,0)</f>
        <v/>
      </c>
      <c r="W273" s="53" t="n">
        <v>0.1</v>
      </c>
      <c r="X273" s="53" t="n">
        <v>0.12</v>
      </c>
    </row>
    <row r="274">
      <c r="B274" s="18" t="inlineStr">
        <is>
          <t>12.0% to 14.0%</t>
        </is>
      </c>
      <c r="C274" s="19">
        <f>SUMPRODUCT(tFlag*(ISNUMBER(tCurDY)*(tCurDY&gt;=$W274)*(tCurDY&lt;$X274)))</f>
        <v/>
      </c>
      <c r="D274" s="22">
        <f>IFERROR(C274/sLoans,0)</f>
        <v/>
      </c>
      <c r="E274" s="21">
        <f>SUMPRODUCT(tFlag*(ISNUMBER(tCurDY)*(tCurDY&gt;=$W274)*(tCurDY&lt;$X274)),tUPBf)</f>
        <v/>
      </c>
      <c r="F274" s="22">
        <f>IFERROR(E274/sUPB,0)</f>
        <v/>
      </c>
      <c r="G274" s="21">
        <f>IFERROR(E274/C274,0)</f>
        <v/>
      </c>
      <c r="H274" s="23">
        <f>IFERROR(SUMPRODUCT(tFlag*(ISNUMBER(tCurDY)*(tCurDY&gt;=$W274)*(tCurDY&lt;$X274)),tUPBf,tCpn)/SUMPRODUCT(tFlag*(ISNUMBER(tCurDY)*(tCurDY&gt;=$W274)*(tCurDY&lt;$X274))*ISNUMBER(tCpn),tUPBf),0)</f>
        <v/>
      </c>
      <c r="I274" s="24">
        <f>IFERROR(SUMPRODUCT(tFlag*(ISNUMBER(tCurDY)*(tCurDY&gt;=$W274)*(tCurDY&lt;$X274)),tUPBf,tUWDSCR)/SUMPRODUCT(tFlag*(ISNUMBER(tCurDY)*(tCurDY&gt;=$W274)*(tCurDY&lt;$X274))*ISNUMBER(tUWDSCR),tUPBf),0)</f>
        <v/>
      </c>
      <c r="J274" s="24">
        <f>IFERROR(SUMPRODUCT(tFlag*(ISNUMBER(tCurDY)*(tCurDY&gt;=$W274)*(tCurDY&lt;$X274)),tUPBf,tCurDSCR)/SUMPRODUCT(tFlag*(ISNUMBER(tCurDY)*(tCurDY&gt;=$W274)*(tCurDY&lt;$X274))*ISNUMBER(tCurDSCR),tUPBf),0)</f>
        <v/>
      </c>
      <c r="K274" s="22">
        <f>IFERROR(SUMPRODUCT(tFlag*(ISNUMBER(tCurDY)*(tCurDY&gt;=$W274)*(tCurDY&lt;$X274)),tUPBf,tUWLTV)/SUMPRODUCT(tFlag*(ISNUMBER(tCurDY)*(tCurDY&gt;=$W274)*(tCurDY&lt;$X274))*ISNUMBER(tUWLTV),tUPBf),0)</f>
        <v/>
      </c>
      <c r="L274" s="22">
        <f>IFERROR(SUMPRODUCT(tFlag*(ISNUMBER(tCurDY)*(tCurDY&gt;=$W274)*(tCurDY&lt;$X274)),tUPBf,tCurLTV)/SUMPRODUCT(tFlag*(ISNUMBER(tCurDY)*(tCurDY&gt;=$W274)*(tCurDY&lt;$X274))*ISNUMBER(tCurLTV),tUPBf),0)</f>
        <v/>
      </c>
      <c r="M274" s="22">
        <f>IFERROR(SUMPRODUCT(tFlag*(ISNUMBER(tCurDY)*(tCurDY&gt;=$W274)*(tCurDY&lt;$X274)),tUPBf,tUWDY)/SUMPRODUCT(tFlag*(ISNUMBER(tCurDY)*(tCurDY&gt;=$W274)*(tCurDY&lt;$X274))*ISNUMBER(tUWDY),tUPBf),0)</f>
        <v/>
      </c>
      <c r="N274" s="22">
        <f>IFERROR(SUMPRODUCT(tFlag*(ISNUMBER(tCurDY)*(tCurDY&gt;=$W274)*(tCurDY&lt;$X274)),tUPBf,tCurDY)/SUMPRODUCT(tFlag*(ISNUMBER(tCurDY)*(tCurDY&gt;=$W274)*(tCurDY&lt;$X274))*ISNUMBER(tCurDY),tUPBf),0)</f>
        <v/>
      </c>
      <c r="O274" s="22">
        <f>IFERROR(SUMPRODUCT(tFlag*(ISNUMBER(tCurDY)*(tCurDY&gt;=$W274)*(tCurDY&lt;$X274)),tUPBf,tOcc)/SUMPRODUCT(tFlag*(ISNUMBER(tCurDY)*(tCurDY&gt;=$W274)*(tCurDY&lt;$X274))*ISNUMBER(tOcc),tUPBf),0)</f>
        <v/>
      </c>
      <c r="P274" s="45">
        <f>IFERROR(SUMPRODUCT(tFlag*(ISNUMBER(tCurDY)*(tCurDY&gt;=$W274)*(tCurDY&lt;$X274)),tUPBf,tRem)/SUMPRODUCT(tFlag*(ISNUMBER(tCurDY)*(tCurDY&gt;=$W274)*(tCurDY&lt;$X274))*ISNUMBER(tRem),tUPBf),0)</f>
        <v/>
      </c>
      <c r="Q274" s="22">
        <f>IFERROR(SUMPRODUCT(tFlag*(ISNUMBER(tCurDY)*(tCurDY&gt;=$W274)*(tCurDY&lt;$X274)),tUPBf,tFIO)/$E274,0)</f>
        <v/>
      </c>
      <c r="R274" s="22">
        <f>IFERROR(SUMPRODUCT(tFlag*(ISNUMBER(tCurDY)*(tCurDY&gt;=$W274)*(tCurDY&lt;$X274)),tUPBf,tDefF)/$E274,0)</f>
        <v/>
      </c>
      <c r="S274" s="22">
        <f>IFERROR(SUMPRODUCT(tFlag*(ISNUMBER(tCurDY)*(tCurDY&gt;=$W274)*(tCurDY&lt;$X274)),tUPBf,tSSF)/$E274,0)</f>
        <v/>
      </c>
      <c r="T274" s="22">
        <f>IFERROR(SUMPRODUCT(tFlag*(ISNUMBER(tCurDY)*(tCurDY&gt;=$W274)*(tCurDY&lt;$X274)),tUPBf,tDQ)/$E274,0)</f>
        <v/>
      </c>
      <c r="U274" s="22">
        <f>IFERROR(SUMPRODUCT(tFlag*(ISNUMBER(tCurDY)*(tCurDY&gt;=$W274)*(tCurDY&lt;$X274)),tUPBf,tWLF)/$E274,0)</f>
        <v/>
      </c>
      <c r="W274" s="53" t="n">
        <v>0.12</v>
      </c>
      <c r="X274" s="53" t="n">
        <v>0.14</v>
      </c>
    </row>
    <row r="275">
      <c r="B275" s="27" t="inlineStr">
        <is>
          <t>14.0% or Greater</t>
        </is>
      </c>
      <c r="C275" s="28">
        <f>SUMPRODUCT(tFlag*(ISNUMBER(tCurDY)*(tCurDY&gt;=$W275)*(tCurDY&lt;$X275)))</f>
        <v/>
      </c>
      <c r="D275" s="31">
        <f>IFERROR(C275/sLoans,0)</f>
        <v/>
      </c>
      <c r="E275" s="30">
        <f>SUMPRODUCT(tFlag*(ISNUMBER(tCurDY)*(tCurDY&gt;=$W275)*(tCurDY&lt;$X275)),tUPBf)</f>
        <v/>
      </c>
      <c r="F275" s="31">
        <f>IFERROR(E275/sUPB,0)</f>
        <v/>
      </c>
      <c r="G275" s="30">
        <f>IFERROR(E275/C275,0)</f>
        <v/>
      </c>
      <c r="H275" s="32">
        <f>IFERROR(SUMPRODUCT(tFlag*(ISNUMBER(tCurDY)*(tCurDY&gt;=$W275)*(tCurDY&lt;$X275)),tUPBf,tCpn)/SUMPRODUCT(tFlag*(ISNUMBER(tCurDY)*(tCurDY&gt;=$W275)*(tCurDY&lt;$X275))*ISNUMBER(tCpn),tUPBf),0)</f>
        <v/>
      </c>
      <c r="I275" s="33">
        <f>IFERROR(SUMPRODUCT(tFlag*(ISNUMBER(tCurDY)*(tCurDY&gt;=$W275)*(tCurDY&lt;$X275)),tUPBf,tUWDSCR)/SUMPRODUCT(tFlag*(ISNUMBER(tCurDY)*(tCurDY&gt;=$W275)*(tCurDY&lt;$X275))*ISNUMBER(tUWDSCR),tUPBf),0)</f>
        <v/>
      </c>
      <c r="J275" s="33">
        <f>IFERROR(SUMPRODUCT(tFlag*(ISNUMBER(tCurDY)*(tCurDY&gt;=$W275)*(tCurDY&lt;$X275)),tUPBf,tCurDSCR)/SUMPRODUCT(tFlag*(ISNUMBER(tCurDY)*(tCurDY&gt;=$W275)*(tCurDY&lt;$X275))*ISNUMBER(tCurDSCR),tUPBf),0)</f>
        <v/>
      </c>
      <c r="K275" s="31">
        <f>IFERROR(SUMPRODUCT(tFlag*(ISNUMBER(tCurDY)*(tCurDY&gt;=$W275)*(tCurDY&lt;$X275)),tUPBf,tUWLTV)/SUMPRODUCT(tFlag*(ISNUMBER(tCurDY)*(tCurDY&gt;=$W275)*(tCurDY&lt;$X275))*ISNUMBER(tUWLTV),tUPBf),0)</f>
        <v/>
      </c>
      <c r="L275" s="31">
        <f>IFERROR(SUMPRODUCT(tFlag*(ISNUMBER(tCurDY)*(tCurDY&gt;=$W275)*(tCurDY&lt;$X275)),tUPBf,tCurLTV)/SUMPRODUCT(tFlag*(ISNUMBER(tCurDY)*(tCurDY&gt;=$W275)*(tCurDY&lt;$X275))*ISNUMBER(tCurLTV),tUPBf),0)</f>
        <v/>
      </c>
      <c r="M275" s="31">
        <f>IFERROR(SUMPRODUCT(tFlag*(ISNUMBER(tCurDY)*(tCurDY&gt;=$W275)*(tCurDY&lt;$X275)),tUPBf,tUWDY)/SUMPRODUCT(tFlag*(ISNUMBER(tCurDY)*(tCurDY&gt;=$W275)*(tCurDY&lt;$X275))*ISNUMBER(tUWDY),tUPBf),0)</f>
        <v/>
      </c>
      <c r="N275" s="31">
        <f>IFERROR(SUMPRODUCT(tFlag*(ISNUMBER(tCurDY)*(tCurDY&gt;=$W275)*(tCurDY&lt;$X275)),tUPBf,tCurDY)/SUMPRODUCT(tFlag*(ISNUMBER(tCurDY)*(tCurDY&gt;=$W275)*(tCurDY&lt;$X275))*ISNUMBER(tCurDY),tUPBf),0)</f>
        <v/>
      </c>
      <c r="O275" s="31">
        <f>IFERROR(SUMPRODUCT(tFlag*(ISNUMBER(tCurDY)*(tCurDY&gt;=$W275)*(tCurDY&lt;$X275)),tUPBf,tOcc)/SUMPRODUCT(tFlag*(ISNUMBER(tCurDY)*(tCurDY&gt;=$W275)*(tCurDY&lt;$X275))*ISNUMBER(tOcc),tUPBf),0)</f>
        <v/>
      </c>
      <c r="P275" s="47">
        <f>IFERROR(SUMPRODUCT(tFlag*(ISNUMBER(tCurDY)*(tCurDY&gt;=$W275)*(tCurDY&lt;$X275)),tUPBf,tRem)/SUMPRODUCT(tFlag*(ISNUMBER(tCurDY)*(tCurDY&gt;=$W275)*(tCurDY&lt;$X275))*ISNUMBER(tRem),tUPBf),0)</f>
        <v/>
      </c>
      <c r="Q275" s="31">
        <f>IFERROR(SUMPRODUCT(tFlag*(ISNUMBER(tCurDY)*(tCurDY&gt;=$W275)*(tCurDY&lt;$X275)),tUPBf,tFIO)/$E275,0)</f>
        <v/>
      </c>
      <c r="R275" s="31">
        <f>IFERROR(SUMPRODUCT(tFlag*(ISNUMBER(tCurDY)*(tCurDY&gt;=$W275)*(tCurDY&lt;$X275)),tUPBf,tDefF)/$E275,0)</f>
        <v/>
      </c>
      <c r="S275" s="31">
        <f>IFERROR(SUMPRODUCT(tFlag*(ISNUMBER(tCurDY)*(tCurDY&gt;=$W275)*(tCurDY&lt;$X275)),tUPBf,tSSF)/$E275,0)</f>
        <v/>
      </c>
      <c r="T275" s="31">
        <f>IFERROR(SUMPRODUCT(tFlag*(ISNUMBER(tCurDY)*(tCurDY&gt;=$W275)*(tCurDY&lt;$X275)),tUPBf,tDQ)/$E275,0)</f>
        <v/>
      </c>
      <c r="U275" s="31">
        <f>IFERROR(SUMPRODUCT(tFlag*(ISNUMBER(tCurDY)*(tCurDY&gt;=$W275)*(tCurDY&lt;$X275)),tUPBf,tWLF)/$E275,0)</f>
        <v/>
      </c>
      <c r="W275" s="53" t="n">
        <v>0.14</v>
      </c>
      <c r="X275" s="53" t="n">
        <v>1000000000000</v>
      </c>
    </row>
    <row r="276">
      <c r="B276" s="18" t="inlineStr">
        <is>
          <t>Not Reported</t>
        </is>
      </c>
      <c r="C276" s="19">
        <f>SUMPRODUCT(tFlag*(1-ISNUMBER(tCurDY)))</f>
        <v/>
      </c>
      <c r="D276" s="22">
        <f>IFERROR(C276/sLoans,0)</f>
        <v/>
      </c>
      <c r="E276" s="21">
        <f>SUMPRODUCT(tFlag*(1-ISNUMBER(tCurDY)),tUPBf)</f>
        <v/>
      </c>
      <c r="F276" s="22">
        <f>IFERROR(E276/sUPB,0)</f>
        <v/>
      </c>
      <c r="G276" s="21">
        <f>IFERROR(E276/C276,0)</f>
        <v/>
      </c>
      <c r="H276" s="23">
        <f>IFERROR(SUMPRODUCT(tFlag*(1-ISNUMBER(tCurDY)),tUPBf,tCpn)/SUMPRODUCT(tFlag*(1-ISNUMBER(tCurDY))*ISNUMBER(tCpn),tUPBf),0)</f>
        <v/>
      </c>
      <c r="I276" s="24">
        <f>IFERROR(SUMPRODUCT(tFlag*(1-ISNUMBER(tCurDY)),tUPBf,tUWDSCR)/SUMPRODUCT(tFlag*(1-ISNUMBER(tCurDY))*ISNUMBER(tUWDSCR),tUPBf),0)</f>
        <v/>
      </c>
      <c r="J276" s="24">
        <f>IFERROR(SUMPRODUCT(tFlag*(1-ISNUMBER(tCurDY)),tUPBf,tCurDSCR)/SUMPRODUCT(tFlag*(1-ISNUMBER(tCurDY))*ISNUMBER(tCurDSCR),tUPBf),0)</f>
        <v/>
      </c>
      <c r="K276" s="22">
        <f>IFERROR(SUMPRODUCT(tFlag*(1-ISNUMBER(tCurDY)),tUPBf,tUWLTV)/SUMPRODUCT(tFlag*(1-ISNUMBER(tCurDY))*ISNUMBER(tUWLTV),tUPBf),0)</f>
        <v/>
      </c>
      <c r="L276" s="22">
        <f>IFERROR(SUMPRODUCT(tFlag*(1-ISNUMBER(tCurDY)),tUPBf,tCurLTV)/SUMPRODUCT(tFlag*(1-ISNUMBER(tCurDY))*ISNUMBER(tCurLTV),tUPBf),0)</f>
        <v/>
      </c>
      <c r="M276" s="22">
        <f>IFERROR(SUMPRODUCT(tFlag*(1-ISNUMBER(tCurDY)),tUPBf,tUWDY)/SUMPRODUCT(tFlag*(1-ISNUMBER(tCurDY))*ISNUMBER(tUWDY),tUPBf),0)</f>
        <v/>
      </c>
      <c r="N276" s="22">
        <f>IFERROR(SUMPRODUCT(tFlag*(1-ISNUMBER(tCurDY)),tUPBf,tCurDY)/SUMPRODUCT(tFlag*(1-ISNUMBER(tCurDY))*ISNUMBER(tCurDY),tUPBf),0)</f>
        <v/>
      </c>
      <c r="O276" s="22">
        <f>IFERROR(SUMPRODUCT(tFlag*(1-ISNUMBER(tCurDY)),tUPBf,tOcc)/SUMPRODUCT(tFlag*(1-ISNUMBER(tCurDY))*ISNUMBER(tOcc),tUPBf),0)</f>
        <v/>
      </c>
      <c r="P276" s="45">
        <f>IFERROR(SUMPRODUCT(tFlag*(1-ISNUMBER(tCurDY)),tUPBf,tRem)/SUMPRODUCT(tFlag*(1-ISNUMBER(tCurDY))*ISNUMBER(tRem),tUPBf),0)</f>
        <v/>
      </c>
      <c r="Q276" s="22">
        <f>IFERROR(SUMPRODUCT(tFlag*(1-ISNUMBER(tCurDY)),tUPBf,tFIO)/$E276,0)</f>
        <v/>
      </c>
      <c r="R276" s="22">
        <f>IFERROR(SUMPRODUCT(tFlag*(1-ISNUMBER(tCurDY)),tUPBf,tDefF)/$E276,0)</f>
        <v/>
      </c>
      <c r="S276" s="22">
        <f>IFERROR(SUMPRODUCT(tFlag*(1-ISNUMBER(tCurDY)),tUPBf,tSSF)/$E276,0)</f>
        <v/>
      </c>
      <c r="T276" s="22">
        <f>IFERROR(SUMPRODUCT(tFlag*(1-ISNUMBER(tCurDY)),tUPBf,tDQ)/$E276,0)</f>
        <v/>
      </c>
      <c r="U276" s="22">
        <f>IFERROR(SUMPRODUCT(tFlag*(1-ISNUMBER(tCurDY)),tUPBf,tWLF)/$E276,0)</f>
        <v/>
      </c>
    </row>
    <row r="277">
      <c r="B277" s="36" t="inlineStr">
        <is>
          <t>Total / Wtd. Avg.</t>
        </is>
      </c>
      <c r="C277" s="37">
        <f>SUMPRODUCT(tFlag*(1))</f>
        <v/>
      </c>
      <c r="D277" s="40">
        <f>IFERROR(C277/sLoans,0)</f>
        <v/>
      </c>
      <c r="E277" s="39">
        <f>SUMPRODUCT(tFlag*(1),tUPBf)</f>
        <v/>
      </c>
      <c r="F277" s="40">
        <f>IFERROR(E277/sUPB,0)</f>
        <v/>
      </c>
      <c r="G277" s="39">
        <f>IFERROR(E277/C277,0)</f>
        <v/>
      </c>
      <c r="H277" s="41">
        <f>IFERROR(SUMPRODUCT(tFlag*(1),tUPBf,tCpn)/SUMPRODUCT(tFlag*(1)*ISNUMBER(tCpn),tUPBf),0)</f>
        <v/>
      </c>
      <c r="I277" s="42">
        <f>IFERROR(SUMPRODUCT(tFlag*(1),tUPBf,tUWDSCR)/SUMPRODUCT(tFlag*(1)*ISNUMBER(tUWDSCR),tUPBf),0)</f>
        <v/>
      </c>
      <c r="J277" s="42">
        <f>IFERROR(SUMPRODUCT(tFlag*(1),tUPBf,tCurDSCR)/SUMPRODUCT(tFlag*(1)*ISNUMBER(tCurDSCR),tUPBf),0)</f>
        <v/>
      </c>
      <c r="K277" s="40">
        <f>IFERROR(SUMPRODUCT(tFlag*(1),tUPBf,tUWLTV)/SUMPRODUCT(tFlag*(1)*ISNUMBER(tUWLTV),tUPBf),0)</f>
        <v/>
      </c>
      <c r="L277" s="40">
        <f>IFERROR(SUMPRODUCT(tFlag*(1),tUPBf,tCurLTV)/SUMPRODUCT(tFlag*(1)*ISNUMBER(tCurLTV),tUPBf),0)</f>
        <v/>
      </c>
      <c r="M277" s="40">
        <f>IFERROR(SUMPRODUCT(tFlag*(1),tUPBf,tUWDY)/SUMPRODUCT(tFlag*(1)*ISNUMBER(tUWDY),tUPBf),0)</f>
        <v/>
      </c>
      <c r="N277" s="40">
        <f>IFERROR(SUMPRODUCT(tFlag*(1),tUPBf,tCurDY)/SUMPRODUCT(tFlag*(1)*ISNUMBER(tCurDY),tUPBf),0)</f>
        <v/>
      </c>
      <c r="O277" s="40">
        <f>IFERROR(SUMPRODUCT(tFlag*(1),tUPBf,tOcc)/SUMPRODUCT(tFlag*(1)*ISNUMBER(tOcc),tUPBf),0)</f>
        <v/>
      </c>
      <c r="P277" s="43">
        <f>IFERROR(SUMPRODUCT(tFlag*(1),tUPBf,tRem)/SUMPRODUCT(tFlag*(1)*ISNUMBER(tRem),tUPBf),0)</f>
        <v/>
      </c>
      <c r="Q277" s="40">
        <f>IFERROR(SUMPRODUCT(tFlag*(1),tUPBf,tFIO)/$E277,0)</f>
        <v/>
      </c>
      <c r="R277" s="40">
        <f>IFERROR(SUMPRODUCT(tFlag*(1),tUPBf,tDefF)/$E277,0)</f>
        <v/>
      </c>
      <c r="S277" s="40">
        <f>IFERROR(SUMPRODUCT(tFlag*(1),tUPBf,tSSF)/$E277,0)</f>
        <v/>
      </c>
      <c r="T277" s="40">
        <f>IFERROR(SUMPRODUCT(tFlag*(1),tUPBf,tDQ)/$E277,0)</f>
        <v/>
      </c>
      <c r="U277" s="40">
        <f>IFERROR(SUMPRODUCT(tFlag*(1),tUPBf,tWLF)/$E277,0)</f>
        <v/>
      </c>
    </row>
    <row r="279" ht="15" customHeight="1">
      <c r="B279" s="2" t="inlineStr">
        <is>
          <t>CURRENT OCCUPANCY (MOST RECENT)</t>
        </is>
      </c>
      <c r="C279" s="3" t="n"/>
      <c r="D279" s="3" t="n"/>
      <c r="E279" s="3" t="n"/>
      <c r="F279" s="3" t="n"/>
      <c r="G279" s="3" t="n"/>
      <c r="H279" s="3" t="n"/>
      <c r="I279" s="3" t="n"/>
      <c r="J279" s="3" t="n"/>
      <c r="K279" s="3" t="n"/>
      <c r="L279" s="3" t="n"/>
      <c r="M279" s="3" t="n"/>
      <c r="N279" s="3" t="n"/>
      <c r="O279" s="3" t="n"/>
      <c r="P279" s="3" t="n"/>
      <c r="Q279" s="3" t="n"/>
      <c r="R279" s="3" t="n"/>
      <c r="S279" s="3" t="n"/>
      <c r="T279" s="3" t="n"/>
      <c r="U279" s="3" t="n"/>
    </row>
    <row r="280" ht="39.75" customHeight="1">
      <c r="B280" s="15" t="inlineStr">
        <is>
          <t>Bucket</t>
        </is>
      </c>
      <c r="C280" s="16" t="inlineStr">
        <is>
          <t>Number of Loans</t>
        </is>
      </c>
      <c r="D280" s="16" t="inlineStr">
        <is>
          <t>% of Loans</t>
        </is>
      </c>
      <c r="E280" s="16" t="inlineStr">
        <is>
          <t>Current UPB</t>
        </is>
      </c>
      <c r="F280" s="16" t="inlineStr">
        <is>
          <t>% of UPB</t>
        </is>
      </c>
      <c r="G280" s="16" t="inlineStr">
        <is>
          <t>Average Loan Size</t>
        </is>
      </c>
      <c r="H280" s="16" t="inlineStr">
        <is>
          <t>Wtd. Avg. Gross Coupon</t>
        </is>
      </c>
      <c r="I280" s="16" t="inlineStr">
        <is>
          <t>Wtd. Avg. UW NCF DSCR</t>
        </is>
      </c>
      <c r="J280" s="16" t="inlineStr">
        <is>
          <t>Wtd. Avg. Current NCF DSCR</t>
        </is>
      </c>
      <c r="K280" s="16" t="inlineStr">
        <is>
          <t>Wtd. Avg. UW LTV</t>
        </is>
      </c>
      <c r="L280" s="16" t="inlineStr">
        <is>
          <t>Wtd. Avg. Current LTV</t>
        </is>
      </c>
      <c r="M280" s="16" t="inlineStr">
        <is>
          <t>Wtd. Avg. UW NCF Debt Yield</t>
        </is>
      </c>
      <c r="N280" s="16" t="inlineStr">
        <is>
          <t>Wtd. Avg. Current NCF Debt Yield</t>
        </is>
      </c>
      <c r="O280" s="16" t="inlineStr">
        <is>
          <t>Wtd. Avg. Current Occupancy</t>
        </is>
      </c>
      <c r="P280" s="16" t="inlineStr">
        <is>
          <t>Wtd. Avg. Rem. Term (Mo.)</t>
        </is>
      </c>
      <c r="Q280" s="16" t="inlineStr">
        <is>
          <t>% Full IO</t>
        </is>
      </c>
      <c r="R280" s="16" t="inlineStr">
        <is>
          <t>% Defeased</t>
        </is>
      </c>
      <c r="S280" s="16" t="inlineStr">
        <is>
          <t>% Currently Specially Serviced</t>
        </is>
      </c>
      <c r="T280" s="16" t="inlineStr">
        <is>
          <t>% 30+ Delinq. / FC / REO</t>
        </is>
      </c>
      <c r="U280" s="16" t="inlineStr">
        <is>
          <t>% On Watchlist</t>
        </is>
      </c>
      <c r="W280" s="17" t="inlineStr">
        <is>
          <t>Lower Bound (&gt;=)</t>
        </is>
      </c>
      <c r="X280" s="17" t="inlineStr">
        <is>
          <t>Upper Bound (&lt;)</t>
        </is>
      </c>
    </row>
    <row r="281">
      <c r="B281" s="18" t="inlineStr">
        <is>
          <t>Less than 70.0%</t>
        </is>
      </c>
      <c r="C281" s="19">
        <f>SUMPRODUCT(tFlag*(ISNUMBER(tOcc)*(tOcc&gt;=$W281)*(tOcc&lt;$X281)))</f>
        <v/>
      </c>
      <c r="D281" s="22">
        <f>IFERROR(C281/sLoans,0)</f>
        <v/>
      </c>
      <c r="E281" s="21">
        <f>SUMPRODUCT(tFlag*(ISNUMBER(tOcc)*(tOcc&gt;=$W281)*(tOcc&lt;$X281)),tUPBf)</f>
        <v/>
      </c>
      <c r="F281" s="22">
        <f>IFERROR(E281/sUPB,0)</f>
        <v/>
      </c>
      <c r="G281" s="21">
        <f>IFERROR(E281/C281,0)</f>
        <v/>
      </c>
      <c r="H281" s="23">
        <f>IFERROR(SUMPRODUCT(tFlag*(ISNUMBER(tOcc)*(tOcc&gt;=$W281)*(tOcc&lt;$X281)),tUPBf,tCpn)/SUMPRODUCT(tFlag*(ISNUMBER(tOcc)*(tOcc&gt;=$W281)*(tOcc&lt;$X281))*ISNUMBER(tCpn),tUPBf),0)</f>
        <v/>
      </c>
      <c r="I281" s="24">
        <f>IFERROR(SUMPRODUCT(tFlag*(ISNUMBER(tOcc)*(tOcc&gt;=$W281)*(tOcc&lt;$X281)),tUPBf,tUWDSCR)/SUMPRODUCT(tFlag*(ISNUMBER(tOcc)*(tOcc&gt;=$W281)*(tOcc&lt;$X281))*ISNUMBER(tUWDSCR),tUPBf),0)</f>
        <v/>
      </c>
      <c r="J281" s="24">
        <f>IFERROR(SUMPRODUCT(tFlag*(ISNUMBER(tOcc)*(tOcc&gt;=$W281)*(tOcc&lt;$X281)),tUPBf,tCurDSCR)/SUMPRODUCT(tFlag*(ISNUMBER(tOcc)*(tOcc&gt;=$W281)*(tOcc&lt;$X281))*ISNUMBER(tCurDSCR),tUPBf),0)</f>
        <v/>
      </c>
      <c r="K281" s="22">
        <f>IFERROR(SUMPRODUCT(tFlag*(ISNUMBER(tOcc)*(tOcc&gt;=$W281)*(tOcc&lt;$X281)),tUPBf,tUWLTV)/SUMPRODUCT(tFlag*(ISNUMBER(tOcc)*(tOcc&gt;=$W281)*(tOcc&lt;$X281))*ISNUMBER(tUWLTV),tUPBf),0)</f>
        <v/>
      </c>
      <c r="L281" s="22">
        <f>IFERROR(SUMPRODUCT(tFlag*(ISNUMBER(tOcc)*(tOcc&gt;=$W281)*(tOcc&lt;$X281)),tUPBf,tCurLTV)/SUMPRODUCT(tFlag*(ISNUMBER(tOcc)*(tOcc&gt;=$W281)*(tOcc&lt;$X281))*ISNUMBER(tCurLTV),tUPBf),0)</f>
        <v/>
      </c>
      <c r="M281" s="22">
        <f>IFERROR(SUMPRODUCT(tFlag*(ISNUMBER(tOcc)*(tOcc&gt;=$W281)*(tOcc&lt;$X281)),tUPBf,tUWDY)/SUMPRODUCT(tFlag*(ISNUMBER(tOcc)*(tOcc&gt;=$W281)*(tOcc&lt;$X281))*ISNUMBER(tUWDY),tUPBf),0)</f>
        <v/>
      </c>
      <c r="N281" s="22">
        <f>IFERROR(SUMPRODUCT(tFlag*(ISNUMBER(tOcc)*(tOcc&gt;=$W281)*(tOcc&lt;$X281)),tUPBf,tCurDY)/SUMPRODUCT(tFlag*(ISNUMBER(tOcc)*(tOcc&gt;=$W281)*(tOcc&lt;$X281))*ISNUMBER(tCurDY),tUPBf),0)</f>
        <v/>
      </c>
      <c r="O281" s="22">
        <f>IFERROR(SUMPRODUCT(tFlag*(ISNUMBER(tOcc)*(tOcc&gt;=$W281)*(tOcc&lt;$X281)),tUPBf,tOcc)/SUMPRODUCT(tFlag*(ISNUMBER(tOcc)*(tOcc&gt;=$W281)*(tOcc&lt;$X281))*ISNUMBER(tOcc),tUPBf),0)</f>
        <v/>
      </c>
      <c r="P281" s="45">
        <f>IFERROR(SUMPRODUCT(tFlag*(ISNUMBER(tOcc)*(tOcc&gt;=$W281)*(tOcc&lt;$X281)),tUPBf,tRem)/SUMPRODUCT(tFlag*(ISNUMBER(tOcc)*(tOcc&gt;=$W281)*(tOcc&lt;$X281))*ISNUMBER(tRem),tUPBf),0)</f>
        <v/>
      </c>
      <c r="Q281" s="22">
        <f>IFERROR(SUMPRODUCT(tFlag*(ISNUMBER(tOcc)*(tOcc&gt;=$W281)*(tOcc&lt;$X281)),tUPBf,tFIO)/$E281,0)</f>
        <v/>
      </c>
      <c r="R281" s="22">
        <f>IFERROR(SUMPRODUCT(tFlag*(ISNUMBER(tOcc)*(tOcc&gt;=$W281)*(tOcc&lt;$X281)),tUPBf,tDefF)/$E281,0)</f>
        <v/>
      </c>
      <c r="S281" s="22">
        <f>IFERROR(SUMPRODUCT(tFlag*(ISNUMBER(tOcc)*(tOcc&gt;=$W281)*(tOcc&lt;$X281)),tUPBf,tSSF)/$E281,0)</f>
        <v/>
      </c>
      <c r="T281" s="22">
        <f>IFERROR(SUMPRODUCT(tFlag*(ISNUMBER(tOcc)*(tOcc&gt;=$W281)*(tOcc&lt;$X281)),tUPBf,tDQ)/$E281,0)</f>
        <v/>
      </c>
      <c r="U281" s="22">
        <f>IFERROR(SUMPRODUCT(tFlag*(ISNUMBER(tOcc)*(tOcc&gt;=$W281)*(tOcc&lt;$X281)),tUPBf,tWLF)/$E281,0)</f>
        <v/>
      </c>
      <c r="W281" s="53" t="n">
        <v>-1000000000000</v>
      </c>
      <c r="X281" s="53" t="n">
        <v>0.7</v>
      </c>
    </row>
    <row r="282">
      <c r="B282" s="27" t="inlineStr">
        <is>
          <t>70.0% to 80.0%</t>
        </is>
      </c>
      <c r="C282" s="28">
        <f>SUMPRODUCT(tFlag*(ISNUMBER(tOcc)*(tOcc&gt;=$W282)*(tOcc&lt;$X282)))</f>
        <v/>
      </c>
      <c r="D282" s="31">
        <f>IFERROR(C282/sLoans,0)</f>
        <v/>
      </c>
      <c r="E282" s="30">
        <f>SUMPRODUCT(tFlag*(ISNUMBER(tOcc)*(tOcc&gt;=$W282)*(tOcc&lt;$X282)),tUPBf)</f>
        <v/>
      </c>
      <c r="F282" s="31">
        <f>IFERROR(E282/sUPB,0)</f>
        <v/>
      </c>
      <c r="G282" s="30">
        <f>IFERROR(E282/C282,0)</f>
        <v/>
      </c>
      <c r="H282" s="32">
        <f>IFERROR(SUMPRODUCT(tFlag*(ISNUMBER(tOcc)*(tOcc&gt;=$W282)*(tOcc&lt;$X282)),tUPBf,tCpn)/SUMPRODUCT(tFlag*(ISNUMBER(tOcc)*(tOcc&gt;=$W282)*(tOcc&lt;$X282))*ISNUMBER(tCpn),tUPBf),0)</f>
        <v/>
      </c>
      <c r="I282" s="33">
        <f>IFERROR(SUMPRODUCT(tFlag*(ISNUMBER(tOcc)*(tOcc&gt;=$W282)*(tOcc&lt;$X282)),tUPBf,tUWDSCR)/SUMPRODUCT(tFlag*(ISNUMBER(tOcc)*(tOcc&gt;=$W282)*(tOcc&lt;$X282))*ISNUMBER(tUWDSCR),tUPBf),0)</f>
        <v/>
      </c>
      <c r="J282" s="33">
        <f>IFERROR(SUMPRODUCT(tFlag*(ISNUMBER(tOcc)*(tOcc&gt;=$W282)*(tOcc&lt;$X282)),tUPBf,tCurDSCR)/SUMPRODUCT(tFlag*(ISNUMBER(tOcc)*(tOcc&gt;=$W282)*(tOcc&lt;$X282))*ISNUMBER(tCurDSCR),tUPBf),0)</f>
        <v/>
      </c>
      <c r="K282" s="31">
        <f>IFERROR(SUMPRODUCT(tFlag*(ISNUMBER(tOcc)*(tOcc&gt;=$W282)*(tOcc&lt;$X282)),tUPBf,tUWLTV)/SUMPRODUCT(tFlag*(ISNUMBER(tOcc)*(tOcc&gt;=$W282)*(tOcc&lt;$X282))*ISNUMBER(tUWLTV),tUPBf),0)</f>
        <v/>
      </c>
      <c r="L282" s="31">
        <f>IFERROR(SUMPRODUCT(tFlag*(ISNUMBER(tOcc)*(tOcc&gt;=$W282)*(tOcc&lt;$X282)),tUPBf,tCurLTV)/SUMPRODUCT(tFlag*(ISNUMBER(tOcc)*(tOcc&gt;=$W282)*(tOcc&lt;$X282))*ISNUMBER(tCurLTV),tUPBf),0)</f>
        <v/>
      </c>
      <c r="M282" s="31">
        <f>IFERROR(SUMPRODUCT(tFlag*(ISNUMBER(tOcc)*(tOcc&gt;=$W282)*(tOcc&lt;$X282)),tUPBf,tUWDY)/SUMPRODUCT(tFlag*(ISNUMBER(tOcc)*(tOcc&gt;=$W282)*(tOcc&lt;$X282))*ISNUMBER(tUWDY),tUPBf),0)</f>
        <v/>
      </c>
      <c r="N282" s="31">
        <f>IFERROR(SUMPRODUCT(tFlag*(ISNUMBER(tOcc)*(tOcc&gt;=$W282)*(tOcc&lt;$X282)),tUPBf,tCurDY)/SUMPRODUCT(tFlag*(ISNUMBER(tOcc)*(tOcc&gt;=$W282)*(tOcc&lt;$X282))*ISNUMBER(tCurDY),tUPBf),0)</f>
        <v/>
      </c>
      <c r="O282" s="31">
        <f>IFERROR(SUMPRODUCT(tFlag*(ISNUMBER(tOcc)*(tOcc&gt;=$W282)*(tOcc&lt;$X282)),tUPBf,tOcc)/SUMPRODUCT(tFlag*(ISNUMBER(tOcc)*(tOcc&gt;=$W282)*(tOcc&lt;$X282))*ISNUMBER(tOcc),tUPBf),0)</f>
        <v/>
      </c>
      <c r="P282" s="47">
        <f>IFERROR(SUMPRODUCT(tFlag*(ISNUMBER(tOcc)*(tOcc&gt;=$W282)*(tOcc&lt;$X282)),tUPBf,tRem)/SUMPRODUCT(tFlag*(ISNUMBER(tOcc)*(tOcc&gt;=$W282)*(tOcc&lt;$X282))*ISNUMBER(tRem),tUPBf),0)</f>
        <v/>
      </c>
      <c r="Q282" s="31">
        <f>IFERROR(SUMPRODUCT(tFlag*(ISNUMBER(tOcc)*(tOcc&gt;=$W282)*(tOcc&lt;$X282)),tUPBf,tFIO)/$E282,0)</f>
        <v/>
      </c>
      <c r="R282" s="31">
        <f>IFERROR(SUMPRODUCT(tFlag*(ISNUMBER(tOcc)*(tOcc&gt;=$W282)*(tOcc&lt;$X282)),tUPBf,tDefF)/$E282,0)</f>
        <v/>
      </c>
      <c r="S282" s="31">
        <f>IFERROR(SUMPRODUCT(tFlag*(ISNUMBER(tOcc)*(tOcc&gt;=$W282)*(tOcc&lt;$X282)),tUPBf,tSSF)/$E282,0)</f>
        <v/>
      </c>
      <c r="T282" s="31">
        <f>IFERROR(SUMPRODUCT(tFlag*(ISNUMBER(tOcc)*(tOcc&gt;=$W282)*(tOcc&lt;$X282)),tUPBf,tDQ)/$E282,0)</f>
        <v/>
      </c>
      <c r="U282" s="31">
        <f>IFERROR(SUMPRODUCT(tFlag*(ISNUMBER(tOcc)*(tOcc&gt;=$W282)*(tOcc&lt;$X282)),tUPBf,tWLF)/$E282,0)</f>
        <v/>
      </c>
      <c r="W282" s="53" t="n">
        <v>0.7</v>
      </c>
      <c r="X282" s="53" t="n">
        <v>0.8</v>
      </c>
    </row>
    <row r="283">
      <c r="B283" s="18" t="inlineStr">
        <is>
          <t>80.0% to 90.0%</t>
        </is>
      </c>
      <c r="C283" s="19">
        <f>SUMPRODUCT(tFlag*(ISNUMBER(tOcc)*(tOcc&gt;=$W283)*(tOcc&lt;$X283)))</f>
        <v/>
      </c>
      <c r="D283" s="22">
        <f>IFERROR(C283/sLoans,0)</f>
        <v/>
      </c>
      <c r="E283" s="21">
        <f>SUMPRODUCT(tFlag*(ISNUMBER(tOcc)*(tOcc&gt;=$W283)*(tOcc&lt;$X283)),tUPBf)</f>
        <v/>
      </c>
      <c r="F283" s="22">
        <f>IFERROR(E283/sUPB,0)</f>
        <v/>
      </c>
      <c r="G283" s="21">
        <f>IFERROR(E283/C283,0)</f>
        <v/>
      </c>
      <c r="H283" s="23">
        <f>IFERROR(SUMPRODUCT(tFlag*(ISNUMBER(tOcc)*(tOcc&gt;=$W283)*(tOcc&lt;$X283)),tUPBf,tCpn)/SUMPRODUCT(tFlag*(ISNUMBER(tOcc)*(tOcc&gt;=$W283)*(tOcc&lt;$X283))*ISNUMBER(tCpn),tUPBf),0)</f>
        <v/>
      </c>
      <c r="I283" s="24">
        <f>IFERROR(SUMPRODUCT(tFlag*(ISNUMBER(tOcc)*(tOcc&gt;=$W283)*(tOcc&lt;$X283)),tUPBf,tUWDSCR)/SUMPRODUCT(tFlag*(ISNUMBER(tOcc)*(tOcc&gt;=$W283)*(tOcc&lt;$X283))*ISNUMBER(tUWDSCR),tUPBf),0)</f>
        <v/>
      </c>
      <c r="J283" s="24">
        <f>IFERROR(SUMPRODUCT(tFlag*(ISNUMBER(tOcc)*(tOcc&gt;=$W283)*(tOcc&lt;$X283)),tUPBf,tCurDSCR)/SUMPRODUCT(tFlag*(ISNUMBER(tOcc)*(tOcc&gt;=$W283)*(tOcc&lt;$X283))*ISNUMBER(tCurDSCR),tUPBf),0)</f>
        <v/>
      </c>
      <c r="K283" s="22">
        <f>IFERROR(SUMPRODUCT(tFlag*(ISNUMBER(tOcc)*(tOcc&gt;=$W283)*(tOcc&lt;$X283)),tUPBf,tUWLTV)/SUMPRODUCT(tFlag*(ISNUMBER(tOcc)*(tOcc&gt;=$W283)*(tOcc&lt;$X283))*ISNUMBER(tUWLTV),tUPBf),0)</f>
        <v/>
      </c>
      <c r="L283" s="22">
        <f>IFERROR(SUMPRODUCT(tFlag*(ISNUMBER(tOcc)*(tOcc&gt;=$W283)*(tOcc&lt;$X283)),tUPBf,tCurLTV)/SUMPRODUCT(tFlag*(ISNUMBER(tOcc)*(tOcc&gt;=$W283)*(tOcc&lt;$X283))*ISNUMBER(tCurLTV),tUPBf),0)</f>
        <v/>
      </c>
      <c r="M283" s="22">
        <f>IFERROR(SUMPRODUCT(tFlag*(ISNUMBER(tOcc)*(tOcc&gt;=$W283)*(tOcc&lt;$X283)),tUPBf,tUWDY)/SUMPRODUCT(tFlag*(ISNUMBER(tOcc)*(tOcc&gt;=$W283)*(tOcc&lt;$X283))*ISNUMBER(tUWDY),tUPBf),0)</f>
        <v/>
      </c>
      <c r="N283" s="22">
        <f>IFERROR(SUMPRODUCT(tFlag*(ISNUMBER(tOcc)*(tOcc&gt;=$W283)*(tOcc&lt;$X283)),tUPBf,tCurDY)/SUMPRODUCT(tFlag*(ISNUMBER(tOcc)*(tOcc&gt;=$W283)*(tOcc&lt;$X283))*ISNUMBER(tCurDY),tUPBf),0)</f>
        <v/>
      </c>
      <c r="O283" s="22">
        <f>IFERROR(SUMPRODUCT(tFlag*(ISNUMBER(tOcc)*(tOcc&gt;=$W283)*(tOcc&lt;$X283)),tUPBf,tOcc)/SUMPRODUCT(tFlag*(ISNUMBER(tOcc)*(tOcc&gt;=$W283)*(tOcc&lt;$X283))*ISNUMBER(tOcc),tUPBf),0)</f>
        <v/>
      </c>
      <c r="P283" s="45">
        <f>IFERROR(SUMPRODUCT(tFlag*(ISNUMBER(tOcc)*(tOcc&gt;=$W283)*(tOcc&lt;$X283)),tUPBf,tRem)/SUMPRODUCT(tFlag*(ISNUMBER(tOcc)*(tOcc&gt;=$W283)*(tOcc&lt;$X283))*ISNUMBER(tRem),tUPBf),0)</f>
        <v/>
      </c>
      <c r="Q283" s="22">
        <f>IFERROR(SUMPRODUCT(tFlag*(ISNUMBER(tOcc)*(tOcc&gt;=$W283)*(tOcc&lt;$X283)),tUPBf,tFIO)/$E283,0)</f>
        <v/>
      </c>
      <c r="R283" s="22">
        <f>IFERROR(SUMPRODUCT(tFlag*(ISNUMBER(tOcc)*(tOcc&gt;=$W283)*(tOcc&lt;$X283)),tUPBf,tDefF)/$E283,0)</f>
        <v/>
      </c>
      <c r="S283" s="22">
        <f>IFERROR(SUMPRODUCT(tFlag*(ISNUMBER(tOcc)*(tOcc&gt;=$W283)*(tOcc&lt;$X283)),tUPBf,tSSF)/$E283,0)</f>
        <v/>
      </c>
      <c r="T283" s="22">
        <f>IFERROR(SUMPRODUCT(tFlag*(ISNUMBER(tOcc)*(tOcc&gt;=$W283)*(tOcc&lt;$X283)),tUPBf,tDQ)/$E283,0)</f>
        <v/>
      </c>
      <c r="U283" s="22">
        <f>IFERROR(SUMPRODUCT(tFlag*(ISNUMBER(tOcc)*(tOcc&gt;=$W283)*(tOcc&lt;$X283)),tUPBf,tWLF)/$E283,0)</f>
        <v/>
      </c>
      <c r="W283" s="53" t="n">
        <v>0.8</v>
      </c>
      <c r="X283" s="53" t="n">
        <v>0.9</v>
      </c>
    </row>
    <row r="284">
      <c r="B284" s="27" t="inlineStr">
        <is>
          <t>90.0% to 95.0%</t>
        </is>
      </c>
      <c r="C284" s="28">
        <f>SUMPRODUCT(tFlag*(ISNUMBER(tOcc)*(tOcc&gt;=$W284)*(tOcc&lt;$X284)))</f>
        <v/>
      </c>
      <c r="D284" s="31">
        <f>IFERROR(C284/sLoans,0)</f>
        <v/>
      </c>
      <c r="E284" s="30">
        <f>SUMPRODUCT(tFlag*(ISNUMBER(tOcc)*(tOcc&gt;=$W284)*(tOcc&lt;$X284)),tUPBf)</f>
        <v/>
      </c>
      <c r="F284" s="31">
        <f>IFERROR(E284/sUPB,0)</f>
        <v/>
      </c>
      <c r="G284" s="30">
        <f>IFERROR(E284/C284,0)</f>
        <v/>
      </c>
      <c r="H284" s="32">
        <f>IFERROR(SUMPRODUCT(tFlag*(ISNUMBER(tOcc)*(tOcc&gt;=$W284)*(tOcc&lt;$X284)),tUPBf,tCpn)/SUMPRODUCT(tFlag*(ISNUMBER(tOcc)*(tOcc&gt;=$W284)*(tOcc&lt;$X284))*ISNUMBER(tCpn),tUPBf),0)</f>
        <v/>
      </c>
      <c r="I284" s="33">
        <f>IFERROR(SUMPRODUCT(tFlag*(ISNUMBER(tOcc)*(tOcc&gt;=$W284)*(tOcc&lt;$X284)),tUPBf,tUWDSCR)/SUMPRODUCT(tFlag*(ISNUMBER(tOcc)*(tOcc&gt;=$W284)*(tOcc&lt;$X284))*ISNUMBER(tUWDSCR),tUPBf),0)</f>
        <v/>
      </c>
      <c r="J284" s="33">
        <f>IFERROR(SUMPRODUCT(tFlag*(ISNUMBER(tOcc)*(tOcc&gt;=$W284)*(tOcc&lt;$X284)),tUPBf,tCurDSCR)/SUMPRODUCT(tFlag*(ISNUMBER(tOcc)*(tOcc&gt;=$W284)*(tOcc&lt;$X284))*ISNUMBER(tCurDSCR),tUPBf),0)</f>
        <v/>
      </c>
      <c r="K284" s="31">
        <f>IFERROR(SUMPRODUCT(tFlag*(ISNUMBER(tOcc)*(tOcc&gt;=$W284)*(tOcc&lt;$X284)),tUPBf,tUWLTV)/SUMPRODUCT(tFlag*(ISNUMBER(tOcc)*(tOcc&gt;=$W284)*(tOcc&lt;$X284))*ISNUMBER(tUWLTV),tUPBf),0)</f>
        <v/>
      </c>
      <c r="L284" s="31">
        <f>IFERROR(SUMPRODUCT(tFlag*(ISNUMBER(tOcc)*(tOcc&gt;=$W284)*(tOcc&lt;$X284)),tUPBf,tCurLTV)/SUMPRODUCT(tFlag*(ISNUMBER(tOcc)*(tOcc&gt;=$W284)*(tOcc&lt;$X284))*ISNUMBER(tCurLTV),tUPBf),0)</f>
        <v/>
      </c>
      <c r="M284" s="31">
        <f>IFERROR(SUMPRODUCT(tFlag*(ISNUMBER(tOcc)*(tOcc&gt;=$W284)*(tOcc&lt;$X284)),tUPBf,tUWDY)/SUMPRODUCT(tFlag*(ISNUMBER(tOcc)*(tOcc&gt;=$W284)*(tOcc&lt;$X284))*ISNUMBER(tUWDY),tUPBf),0)</f>
        <v/>
      </c>
      <c r="N284" s="31">
        <f>IFERROR(SUMPRODUCT(tFlag*(ISNUMBER(tOcc)*(tOcc&gt;=$W284)*(tOcc&lt;$X284)),tUPBf,tCurDY)/SUMPRODUCT(tFlag*(ISNUMBER(tOcc)*(tOcc&gt;=$W284)*(tOcc&lt;$X284))*ISNUMBER(tCurDY),tUPBf),0)</f>
        <v/>
      </c>
      <c r="O284" s="31">
        <f>IFERROR(SUMPRODUCT(tFlag*(ISNUMBER(tOcc)*(tOcc&gt;=$W284)*(tOcc&lt;$X284)),tUPBf,tOcc)/SUMPRODUCT(tFlag*(ISNUMBER(tOcc)*(tOcc&gt;=$W284)*(tOcc&lt;$X284))*ISNUMBER(tOcc),tUPBf),0)</f>
        <v/>
      </c>
      <c r="P284" s="47">
        <f>IFERROR(SUMPRODUCT(tFlag*(ISNUMBER(tOcc)*(tOcc&gt;=$W284)*(tOcc&lt;$X284)),tUPBf,tRem)/SUMPRODUCT(tFlag*(ISNUMBER(tOcc)*(tOcc&gt;=$W284)*(tOcc&lt;$X284))*ISNUMBER(tRem),tUPBf),0)</f>
        <v/>
      </c>
      <c r="Q284" s="31">
        <f>IFERROR(SUMPRODUCT(tFlag*(ISNUMBER(tOcc)*(tOcc&gt;=$W284)*(tOcc&lt;$X284)),tUPBf,tFIO)/$E284,0)</f>
        <v/>
      </c>
      <c r="R284" s="31">
        <f>IFERROR(SUMPRODUCT(tFlag*(ISNUMBER(tOcc)*(tOcc&gt;=$W284)*(tOcc&lt;$X284)),tUPBf,tDefF)/$E284,0)</f>
        <v/>
      </c>
      <c r="S284" s="31">
        <f>IFERROR(SUMPRODUCT(tFlag*(ISNUMBER(tOcc)*(tOcc&gt;=$W284)*(tOcc&lt;$X284)),tUPBf,tSSF)/$E284,0)</f>
        <v/>
      </c>
      <c r="T284" s="31">
        <f>IFERROR(SUMPRODUCT(tFlag*(ISNUMBER(tOcc)*(tOcc&gt;=$W284)*(tOcc&lt;$X284)),tUPBf,tDQ)/$E284,0)</f>
        <v/>
      </c>
      <c r="U284" s="31">
        <f>IFERROR(SUMPRODUCT(tFlag*(ISNUMBER(tOcc)*(tOcc&gt;=$W284)*(tOcc&lt;$X284)),tUPBf,tWLF)/$E284,0)</f>
        <v/>
      </c>
      <c r="W284" s="53" t="n">
        <v>0.9</v>
      </c>
      <c r="X284" s="53" t="n">
        <v>0.95</v>
      </c>
    </row>
    <row r="285">
      <c r="B285" s="18" t="inlineStr">
        <is>
          <t>95.0% or Greater</t>
        </is>
      </c>
      <c r="C285" s="19">
        <f>SUMPRODUCT(tFlag*(ISNUMBER(tOcc)*(tOcc&gt;=$W285)*(tOcc&lt;$X285)))</f>
        <v/>
      </c>
      <c r="D285" s="22">
        <f>IFERROR(C285/sLoans,0)</f>
        <v/>
      </c>
      <c r="E285" s="21">
        <f>SUMPRODUCT(tFlag*(ISNUMBER(tOcc)*(tOcc&gt;=$W285)*(tOcc&lt;$X285)),tUPBf)</f>
        <v/>
      </c>
      <c r="F285" s="22">
        <f>IFERROR(E285/sUPB,0)</f>
        <v/>
      </c>
      <c r="G285" s="21">
        <f>IFERROR(E285/C285,0)</f>
        <v/>
      </c>
      <c r="H285" s="23">
        <f>IFERROR(SUMPRODUCT(tFlag*(ISNUMBER(tOcc)*(tOcc&gt;=$W285)*(tOcc&lt;$X285)),tUPBf,tCpn)/SUMPRODUCT(tFlag*(ISNUMBER(tOcc)*(tOcc&gt;=$W285)*(tOcc&lt;$X285))*ISNUMBER(tCpn),tUPBf),0)</f>
        <v/>
      </c>
      <c r="I285" s="24">
        <f>IFERROR(SUMPRODUCT(tFlag*(ISNUMBER(tOcc)*(tOcc&gt;=$W285)*(tOcc&lt;$X285)),tUPBf,tUWDSCR)/SUMPRODUCT(tFlag*(ISNUMBER(tOcc)*(tOcc&gt;=$W285)*(tOcc&lt;$X285))*ISNUMBER(tUWDSCR),tUPBf),0)</f>
        <v/>
      </c>
      <c r="J285" s="24">
        <f>IFERROR(SUMPRODUCT(tFlag*(ISNUMBER(tOcc)*(tOcc&gt;=$W285)*(tOcc&lt;$X285)),tUPBf,tCurDSCR)/SUMPRODUCT(tFlag*(ISNUMBER(tOcc)*(tOcc&gt;=$W285)*(tOcc&lt;$X285))*ISNUMBER(tCurDSCR),tUPBf),0)</f>
        <v/>
      </c>
      <c r="K285" s="22">
        <f>IFERROR(SUMPRODUCT(tFlag*(ISNUMBER(tOcc)*(tOcc&gt;=$W285)*(tOcc&lt;$X285)),tUPBf,tUWLTV)/SUMPRODUCT(tFlag*(ISNUMBER(tOcc)*(tOcc&gt;=$W285)*(tOcc&lt;$X285))*ISNUMBER(tUWLTV),tUPBf),0)</f>
        <v/>
      </c>
      <c r="L285" s="22">
        <f>IFERROR(SUMPRODUCT(tFlag*(ISNUMBER(tOcc)*(tOcc&gt;=$W285)*(tOcc&lt;$X285)),tUPBf,tCurLTV)/SUMPRODUCT(tFlag*(ISNUMBER(tOcc)*(tOcc&gt;=$W285)*(tOcc&lt;$X285))*ISNUMBER(tCurLTV),tUPBf),0)</f>
        <v/>
      </c>
      <c r="M285" s="22">
        <f>IFERROR(SUMPRODUCT(tFlag*(ISNUMBER(tOcc)*(tOcc&gt;=$W285)*(tOcc&lt;$X285)),tUPBf,tUWDY)/SUMPRODUCT(tFlag*(ISNUMBER(tOcc)*(tOcc&gt;=$W285)*(tOcc&lt;$X285))*ISNUMBER(tUWDY),tUPBf),0)</f>
        <v/>
      </c>
      <c r="N285" s="22">
        <f>IFERROR(SUMPRODUCT(tFlag*(ISNUMBER(tOcc)*(tOcc&gt;=$W285)*(tOcc&lt;$X285)),tUPBf,tCurDY)/SUMPRODUCT(tFlag*(ISNUMBER(tOcc)*(tOcc&gt;=$W285)*(tOcc&lt;$X285))*ISNUMBER(tCurDY),tUPBf),0)</f>
        <v/>
      </c>
      <c r="O285" s="22">
        <f>IFERROR(SUMPRODUCT(tFlag*(ISNUMBER(tOcc)*(tOcc&gt;=$W285)*(tOcc&lt;$X285)),tUPBf,tOcc)/SUMPRODUCT(tFlag*(ISNUMBER(tOcc)*(tOcc&gt;=$W285)*(tOcc&lt;$X285))*ISNUMBER(tOcc),tUPBf),0)</f>
        <v/>
      </c>
      <c r="P285" s="45">
        <f>IFERROR(SUMPRODUCT(tFlag*(ISNUMBER(tOcc)*(tOcc&gt;=$W285)*(tOcc&lt;$X285)),tUPBf,tRem)/SUMPRODUCT(tFlag*(ISNUMBER(tOcc)*(tOcc&gt;=$W285)*(tOcc&lt;$X285))*ISNUMBER(tRem),tUPBf),0)</f>
        <v/>
      </c>
      <c r="Q285" s="22">
        <f>IFERROR(SUMPRODUCT(tFlag*(ISNUMBER(tOcc)*(tOcc&gt;=$W285)*(tOcc&lt;$X285)),tUPBf,tFIO)/$E285,0)</f>
        <v/>
      </c>
      <c r="R285" s="22">
        <f>IFERROR(SUMPRODUCT(tFlag*(ISNUMBER(tOcc)*(tOcc&gt;=$W285)*(tOcc&lt;$X285)),tUPBf,tDefF)/$E285,0)</f>
        <v/>
      </c>
      <c r="S285" s="22">
        <f>IFERROR(SUMPRODUCT(tFlag*(ISNUMBER(tOcc)*(tOcc&gt;=$W285)*(tOcc&lt;$X285)),tUPBf,tSSF)/$E285,0)</f>
        <v/>
      </c>
      <c r="T285" s="22">
        <f>IFERROR(SUMPRODUCT(tFlag*(ISNUMBER(tOcc)*(tOcc&gt;=$W285)*(tOcc&lt;$X285)),tUPBf,tDQ)/$E285,0)</f>
        <v/>
      </c>
      <c r="U285" s="22">
        <f>IFERROR(SUMPRODUCT(tFlag*(ISNUMBER(tOcc)*(tOcc&gt;=$W285)*(tOcc&lt;$X285)),tUPBf,tWLF)/$E285,0)</f>
        <v/>
      </c>
      <c r="W285" s="53" t="n">
        <v>0.95</v>
      </c>
      <c r="X285" s="53" t="n">
        <v>1000000000000</v>
      </c>
    </row>
    <row r="286">
      <c r="B286" s="27" t="inlineStr">
        <is>
          <t>Not Reported</t>
        </is>
      </c>
      <c r="C286" s="28">
        <f>SUMPRODUCT(tFlag*(1-ISNUMBER(tOcc)))</f>
        <v/>
      </c>
      <c r="D286" s="31">
        <f>IFERROR(C286/sLoans,0)</f>
        <v/>
      </c>
      <c r="E286" s="30">
        <f>SUMPRODUCT(tFlag*(1-ISNUMBER(tOcc)),tUPBf)</f>
        <v/>
      </c>
      <c r="F286" s="31">
        <f>IFERROR(E286/sUPB,0)</f>
        <v/>
      </c>
      <c r="G286" s="30">
        <f>IFERROR(E286/C286,0)</f>
        <v/>
      </c>
      <c r="H286" s="32">
        <f>IFERROR(SUMPRODUCT(tFlag*(1-ISNUMBER(tOcc)),tUPBf,tCpn)/SUMPRODUCT(tFlag*(1-ISNUMBER(tOcc))*ISNUMBER(tCpn),tUPBf),0)</f>
        <v/>
      </c>
      <c r="I286" s="33">
        <f>IFERROR(SUMPRODUCT(tFlag*(1-ISNUMBER(tOcc)),tUPBf,tUWDSCR)/SUMPRODUCT(tFlag*(1-ISNUMBER(tOcc))*ISNUMBER(tUWDSCR),tUPBf),0)</f>
        <v/>
      </c>
      <c r="J286" s="33">
        <f>IFERROR(SUMPRODUCT(tFlag*(1-ISNUMBER(tOcc)),tUPBf,tCurDSCR)/SUMPRODUCT(tFlag*(1-ISNUMBER(tOcc))*ISNUMBER(tCurDSCR),tUPBf),0)</f>
        <v/>
      </c>
      <c r="K286" s="31">
        <f>IFERROR(SUMPRODUCT(tFlag*(1-ISNUMBER(tOcc)),tUPBf,tUWLTV)/SUMPRODUCT(tFlag*(1-ISNUMBER(tOcc))*ISNUMBER(tUWLTV),tUPBf),0)</f>
        <v/>
      </c>
      <c r="L286" s="31">
        <f>IFERROR(SUMPRODUCT(tFlag*(1-ISNUMBER(tOcc)),tUPBf,tCurLTV)/SUMPRODUCT(tFlag*(1-ISNUMBER(tOcc))*ISNUMBER(tCurLTV),tUPBf),0)</f>
        <v/>
      </c>
      <c r="M286" s="31">
        <f>IFERROR(SUMPRODUCT(tFlag*(1-ISNUMBER(tOcc)),tUPBf,tUWDY)/SUMPRODUCT(tFlag*(1-ISNUMBER(tOcc))*ISNUMBER(tUWDY),tUPBf),0)</f>
        <v/>
      </c>
      <c r="N286" s="31">
        <f>IFERROR(SUMPRODUCT(tFlag*(1-ISNUMBER(tOcc)),tUPBf,tCurDY)/SUMPRODUCT(tFlag*(1-ISNUMBER(tOcc))*ISNUMBER(tCurDY),tUPBf),0)</f>
        <v/>
      </c>
      <c r="O286" s="31">
        <f>IFERROR(SUMPRODUCT(tFlag*(1-ISNUMBER(tOcc)),tUPBf,tOcc)/SUMPRODUCT(tFlag*(1-ISNUMBER(tOcc))*ISNUMBER(tOcc),tUPBf),0)</f>
        <v/>
      </c>
      <c r="P286" s="47">
        <f>IFERROR(SUMPRODUCT(tFlag*(1-ISNUMBER(tOcc)),tUPBf,tRem)/SUMPRODUCT(tFlag*(1-ISNUMBER(tOcc))*ISNUMBER(tRem),tUPBf),0)</f>
        <v/>
      </c>
      <c r="Q286" s="31">
        <f>IFERROR(SUMPRODUCT(tFlag*(1-ISNUMBER(tOcc)),tUPBf,tFIO)/$E286,0)</f>
        <v/>
      </c>
      <c r="R286" s="31">
        <f>IFERROR(SUMPRODUCT(tFlag*(1-ISNUMBER(tOcc)),tUPBf,tDefF)/$E286,0)</f>
        <v/>
      </c>
      <c r="S286" s="31">
        <f>IFERROR(SUMPRODUCT(tFlag*(1-ISNUMBER(tOcc)),tUPBf,tSSF)/$E286,0)</f>
        <v/>
      </c>
      <c r="T286" s="31">
        <f>IFERROR(SUMPRODUCT(tFlag*(1-ISNUMBER(tOcc)),tUPBf,tDQ)/$E286,0)</f>
        <v/>
      </c>
      <c r="U286" s="31">
        <f>IFERROR(SUMPRODUCT(tFlag*(1-ISNUMBER(tOcc)),tUPBf,tWLF)/$E286,0)</f>
        <v/>
      </c>
    </row>
    <row r="287">
      <c r="B287" s="36" t="inlineStr">
        <is>
          <t>Total / Wtd. Avg.</t>
        </is>
      </c>
      <c r="C287" s="37">
        <f>SUMPRODUCT(tFlag*(1))</f>
        <v/>
      </c>
      <c r="D287" s="40">
        <f>IFERROR(C287/sLoans,0)</f>
        <v/>
      </c>
      <c r="E287" s="39">
        <f>SUMPRODUCT(tFlag*(1),tUPBf)</f>
        <v/>
      </c>
      <c r="F287" s="40">
        <f>IFERROR(E287/sUPB,0)</f>
        <v/>
      </c>
      <c r="G287" s="39">
        <f>IFERROR(E287/C287,0)</f>
        <v/>
      </c>
      <c r="H287" s="41">
        <f>IFERROR(SUMPRODUCT(tFlag*(1),tUPBf,tCpn)/SUMPRODUCT(tFlag*(1)*ISNUMBER(tCpn),tUPBf),0)</f>
        <v/>
      </c>
      <c r="I287" s="42">
        <f>IFERROR(SUMPRODUCT(tFlag*(1),tUPBf,tUWDSCR)/SUMPRODUCT(tFlag*(1)*ISNUMBER(tUWDSCR),tUPBf),0)</f>
        <v/>
      </c>
      <c r="J287" s="42">
        <f>IFERROR(SUMPRODUCT(tFlag*(1),tUPBf,tCurDSCR)/SUMPRODUCT(tFlag*(1)*ISNUMBER(tCurDSCR),tUPBf),0)</f>
        <v/>
      </c>
      <c r="K287" s="40">
        <f>IFERROR(SUMPRODUCT(tFlag*(1),tUPBf,tUWLTV)/SUMPRODUCT(tFlag*(1)*ISNUMBER(tUWLTV),tUPBf),0)</f>
        <v/>
      </c>
      <c r="L287" s="40">
        <f>IFERROR(SUMPRODUCT(tFlag*(1),tUPBf,tCurLTV)/SUMPRODUCT(tFlag*(1)*ISNUMBER(tCurLTV),tUPBf),0)</f>
        <v/>
      </c>
      <c r="M287" s="40">
        <f>IFERROR(SUMPRODUCT(tFlag*(1),tUPBf,tUWDY)/SUMPRODUCT(tFlag*(1)*ISNUMBER(tUWDY),tUPBf),0)</f>
        <v/>
      </c>
      <c r="N287" s="40">
        <f>IFERROR(SUMPRODUCT(tFlag*(1),tUPBf,tCurDY)/SUMPRODUCT(tFlag*(1)*ISNUMBER(tCurDY),tUPBf),0)</f>
        <v/>
      </c>
      <c r="O287" s="40">
        <f>IFERROR(SUMPRODUCT(tFlag*(1),tUPBf,tOcc)/SUMPRODUCT(tFlag*(1)*ISNUMBER(tOcc),tUPBf),0)</f>
        <v/>
      </c>
      <c r="P287" s="43">
        <f>IFERROR(SUMPRODUCT(tFlag*(1),tUPBf,tRem)/SUMPRODUCT(tFlag*(1)*ISNUMBER(tRem),tUPBf),0)</f>
        <v/>
      </c>
      <c r="Q287" s="40">
        <f>IFERROR(SUMPRODUCT(tFlag*(1),tUPBf,tFIO)/$E287,0)</f>
        <v/>
      </c>
      <c r="R287" s="40">
        <f>IFERROR(SUMPRODUCT(tFlag*(1),tUPBf,tDefF)/$E287,0)</f>
        <v/>
      </c>
      <c r="S287" s="40">
        <f>IFERROR(SUMPRODUCT(tFlag*(1),tUPBf,tSSF)/$E287,0)</f>
        <v/>
      </c>
      <c r="T287" s="40">
        <f>IFERROR(SUMPRODUCT(tFlag*(1),tUPBf,tDQ)/$E287,0)</f>
        <v/>
      </c>
      <c r="U287" s="40">
        <f>IFERROR(SUMPRODUCT(tFlag*(1),tUPBf,tWLF)/$E287,0)</f>
        <v/>
      </c>
    </row>
    <row r="289" ht="15" customHeight="1">
      <c r="B289" s="2" t="inlineStr">
        <is>
          <t>REMAINING TERM TO MATURITY (ARD WHERE APPLICABLE)</t>
        </is>
      </c>
      <c r="C289" s="3" t="n"/>
      <c r="D289" s="3" t="n"/>
      <c r="E289" s="3" t="n"/>
      <c r="F289" s="3" t="n"/>
      <c r="G289" s="3" t="n"/>
      <c r="H289" s="3" t="n"/>
      <c r="I289" s="3" t="n"/>
      <c r="J289" s="3" t="n"/>
      <c r="K289" s="3" t="n"/>
      <c r="L289" s="3" t="n"/>
      <c r="M289" s="3" t="n"/>
      <c r="N289" s="3" t="n"/>
      <c r="O289" s="3" t="n"/>
      <c r="P289" s="3" t="n"/>
      <c r="Q289" s="3" t="n"/>
      <c r="R289" s="3" t="n"/>
      <c r="S289" s="3" t="n"/>
      <c r="T289" s="3" t="n"/>
      <c r="U289" s="3" t="n"/>
    </row>
    <row r="290" ht="39.75" customHeight="1">
      <c r="B290" s="15" t="inlineStr">
        <is>
          <t>Bucket</t>
        </is>
      </c>
      <c r="C290" s="16" t="inlineStr">
        <is>
          <t>Number of Loans</t>
        </is>
      </c>
      <c r="D290" s="16" t="inlineStr">
        <is>
          <t>% of Loans</t>
        </is>
      </c>
      <c r="E290" s="16" t="inlineStr">
        <is>
          <t>Current UPB</t>
        </is>
      </c>
      <c r="F290" s="16" t="inlineStr">
        <is>
          <t>% of UPB</t>
        </is>
      </c>
      <c r="G290" s="16" t="inlineStr">
        <is>
          <t>Average Loan Size</t>
        </is>
      </c>
      <c r="H290" s="16" t="inlineStr">
        <is>
          <t>Wtd. Avg. Gross Coupon</t>
        </is>
      </c>
      <c r="I290" s="16" t="inlineStr">
        <is>
          <t>Wtd. Avg. UW NCF DSCR</t>
        </is>
      </c>
      <c r="J290" s="16" t="inlineStr">
        <is>
          <t>Wtd. Avg. Current NCF DSCR</t>
        </is>
      </c>
      <c r="K290" s="16" t="inlineStr">
        <is>
          <t>Wtd. Avg. UW LTV</t>
        </is>
      </c>
      <c r="L290" s="16" t="inlineStr">
        <is>
          <t>Wtd. Avg. Current LTV</t>
        </is>
      </c>
      <c r="M290" s="16" t="inlineStr">
        <is>
          <t>Wtd. Avg. UW NCF Debt Yield</t>
        </is>
      </c>
      <c r="N290" s="16" t="inlineStr">
        <is>
          <t>Wtd. Avg. Current NCF Debt Yield</t>
        </is>
      </c>
      <c r="O290" s="16" t="inlineStr">
        <is>
          <t>Wtd. Avg. Current Occupancy</t>
        </is>
      </c>
      <c r="P290" s="16" t="inlineStr">
        <is>
          <t>Wtd. Avg. Rem. Term (Mo.)</t>
        </is>
      </c>
      <c r="Q290" s="16" t="inlineStr">
        <is>
          <t>% Full IO</t>
        </is>
      </c>
      <c r="R290" s="16" t="inlineStr">
        <is>
          <t>% Defeased</t>
        </is>
      </c>
      <c r="S290" s="16" t="inlineStr">
        <is>
          <t>% Currently Specially Serviced</t>
        </is>
      </c>
      <c r="T290" s="16" t="inlineStr">
        <is>
          <t>% 30+ Delinq. / FC / REO</t>
        </is>
      </c>
      <c r="U290" s="16" t="inlineStr">
        <is>
          <t>% On Watchlist</t>
        </is>
      </c>
      <c r="W290" s="17" t="inlineStr">
        <is>
          <t>Lower Bound (&gt;=)</t>
        </is>
      </c>
      <c r="X290" s="17" t="inlineStr">
        <is>
          <t>Upper Bound (&lt;)</t>
        </is>
      </c>
    </row>
    <row r="291">
      <c r="B291" s="18" t="inlineStr">
        <is>
          <t>Matured / 0 Months</t>
        </is>
      </c>
      <c r="C291" s="19">
        <f>SUMPRODUCT(tFlag*(ISNUMBER(tRem)*(tRem&gt;=$W291)*(tRem&lt;$X291)))</f>
        <v/>
      </c>
      <c r="D291" s="22">
        <f>IFERROR(C291/sLoans,0)</f>
        <v/>
      </c>
      <c r="E291" s="21">
        <f>SUMPRODUCT(tFlag*(ISNUMBER(tRem)*(tRem&gt;=$W291)*(tRem&lt;$X291)),tUPBf)</f>
        <v/>
      </c>
      <c r="F291" s="22">
        <f>IFERROR(E291/sUPB,0)</f>
        <v/>
      </c>
      <c r="G291" s="21">
        <f>IFERROR(E291/C291,0)</f>
        <v/>
      </c>
      <c r="H291" s="23">
        <f>IFERROR(SUMPRODUCT(tFlag*(ISNUMBER(tRem)*(tRem&gt;=$W291)*(tRem&lt;$X291)),tUPBf,tCpn)/SUMPRODUCT(tFlag*(ISNUMBER(tRem)*(tRem&gt;=$W291)*(tRem&lt;$X291))*ISNUMBER(tCpn),tUPBf),0)</f>
        <v/>
      </c>
      <c r="I291" s="24">
        <f>IFERROR(SUMPRODUCT(tFlag*(ISNUMBER(tRem)*(tRem&gt;=$W291)*(tRem&lt;$X291)),tUPBf,tUWDSCR)/SUMPRODUCT(tFlag*(ISNUMBER(tRem)*(tRem&gt;=$W291)*(tRem&lt;$X291))*ISNUMBER(tUWDSCR),tUPBf),0)</f>
        <v/>
      </c>
      <c r="J291" s="24">
        <f>IFERROR(SUMPRODUCT(tFlag*(ISNUMBER(tRem)*(tRem&gt;=$W291)*(tRem&lt;$X291)),tUPBf,tCurDSCR)/SUMPRODUCT(tFlag*(ISNUMBER(tRem)*(tRem&gt;=$W291)*(tRem&lt;$X291))*ISNUMBER(tCurDSCR),tUPBf),0)</f>
        <v/>
      </c>
      <c r="K291" s="22">
        <f>IFERROR(SUMPRODUCT(tFlag*(ISNUMBER(tRem)*(tRem&gt;=$W291)*(tRem&lt;$X291)),tUPBf,tUWLTV)/SUMPRODUCT(tFlag*(ISNUMBER(tRem)*(tRem&gt;=$W291)*(tRem&lt;$X291))*ISNUMBER(tUWLTV),tUPBf),0)</f>
        <v/>
      </c>
      <c r="L291" s="22">
        <f>IFERROR(SUMPRODUCT(tFlag*(ISNUMBER(tRem)*(tRem&gt;=$W291)*(tRem&lt;$X291)),tUPBf,tCurLTV)/SUMPRODUCT(tFlag*(ISNUMBER(tRem)*(tRem&gt;=$W291)*(tRem&lt;$X291))*ISNUMBER(tCurLTV),tUPBf),0)</f>
        <v/>
      </c>
      <c r="M291" s="22">
        <f>IFERROR(SUMPRODUCT(tFlag*(ISNUMBER(tRem)*(tRem&gt;=$W291)*(tRem&lt;$X291)),tUPBf,tUWDY)/SUMPRODUCT(tFlag*(ISNUMBER(tRem)*(tRem&gt;=$W291)*(tRem&lt;$X291))*ISNUMBER(tUWDY),tUPBf),0)</f>
        <v/>
      </c>
      <c r="N291" s="22">
        <f>IFERROR(SUMPRODUCT(tFlag*(ISNUMBER(tRem)*(tRem&gt;=$W291)*(tRem&lt;$X291)),tUPBf,tCurDY)/SUMPRODUCT(tFlag*(ISNUMBER(tRem)*(tRem&gt;=$W291)*(tRem&lt;$X291))*ISNUMBER(tCurDY),tUPBf),0)</f>
        <v/>
      </c>
      <c r="O291" s="22">
        <f>IFERROR(SUMPRODUCT(tFlag*(ISNUMBER(tRem)*(tRem&gt;=$W291)*(tRem&lt;$X291)),tUPBf,tOcc)/SUMPRODUCT(tFlag*(ISNUMBER(tRem)*(tRem&gt;=$W291)*(tRem&lt;$X291))*ISNUMBER(tOcc),tUPBf),0)</f>
        <v/>
      </c>
      <c r="P291" s="45">
        <f>IFERROR(SUMPRODUCT(tFlag*(ISNUMBER(tRem)*(tRem&gt;=$W291)*(tRem&lt;$X291)),tUPBf,tRem)/SUMPRODUCT(tFlag*(ISNUMBER(tRem)*(tRem&gt;=$W291)*(tRem&lt;$X291))*ISNUMBER(tRem),tUPBf),0)</f>
        <v/>
      </c>
      <c r="Q291" s="22">
        <f>IFERROR(SUMPRODUCT(tFlag*(ISNUMBER(tRem)*(tRem&gt;=$W291)*(tRem&lt;$X291)),tUPBf,tFIO)/$E291,0)</f>
        <v/>
      </c>
      <c r="R291" s="22">
        <f>IFERROR(SUMPRODUCT(tFlag*(ISNUMBER(tRem)*(tRem&gt;=$W291)*(tRem&lt;$X291)),tUPBf,tDefF)/$E291,0)</f>
        <v/>
      </c>
      <c r="S291" s="22">
        <f>IFERROR(SUMPRODUCT(tFlag*(ISNUMBER(tRem)*(tRem&gt;=$W291)*(tRem&lt;$X291)),tUPBf,tSSF)/$E291,0)</f>
        <v/>
      </c>
      <c r="T291" s="22">
        <f>IFERROR(SUMPRODUCT(tFlag*(ISNUMBER(tRem)*(tRem&gt;=$W291)*(tRem&lt;$X291)),tUPBf,tDQ)/$E291,0)</f>
        <v/>
      </c>
      <c r="U291" s="22">
        <f>IFERROR(SUMPRODUCT(tFlag*(ISNUMBER(tRem)*(tRem&gt;=$W291)*(tRem&lt;$X291)),tUPBf,tWLF)/$E291,0)</f>
        <v/>
      </c>
      <c r="W291" s="54" t="n">
        <v>-1000000000000</v>
      </c>
      <c r="X291" s="54" t="n">
        <v>1</v>
      </c>
    </row>
    <row r="292">
      <c r="B292" s="27" t="inlineStr">
        <is>
          <t>1 to 6 Months</t>
        </is>
      </c>
      <c r="C292" s="28">
        <f>SUMPRODUCT(tFlag*(ISNUMBER(tRem)*(tRem&gt;=$W292)*(tRem&lt;$X292)))</f>
        <v/>
      </c>
      <c r="D292" s="31">
        <f>IFERROR(C292/sLoans,0)</f>
        <v/>
      </c>
      <c r="E292" s="30">
        <f>SUMPRODUCT(tFlag*(ISNUMBER(tRem)*(tRem&gt;=$W292)*(tRem&lt;$X292)),tUPBf)</f>
        <v/>
      </c>
      <c r="F292" s="31">
        <f>IFERROR(E292/sUPB,0)</f>
        <v/>
      </c>
      <c r="G292" s="30">
        <f>IFERROR(E292/C292,0)</f>
        <v/>
      </c>
      <c r="H292" s="32">
        <f>IFERROR(SUMPRODUCT(tFlag*(ISNUMBER(tRem)*(tRem&gt;=$W292)*(tRem&lt;$X292)),tUPBf,tCpn)/SUMPRODUCT(tFlag*(ISNUMBER(tRem)*(tRem&gt;=$W292)*(tRem&lt;$X292))*ISNUMBER(tCpn),tUPBf),0)</f>
        <v/>
      </c>
      <c r="I292" s="33">
        <f>IFERROR(SUMPRODUCT(tFlag*(ISNUMBER(tRem)*(tRem&gt;=$W292)*(tRem&lt;$X292)),tUPBf,tUWDSCR)/SUMPRODUCT(tFlag*(ISNUMBER(tRem)*(tRem&gt;=$W292)*(tRem&lt;$X292))*ISNUMBER(tUWDSCR),tUPBf),0)</f>
        <v/>
      </c>
      <c r="J292" s="33">
        <f>IFERROR(SUMPRODUCT(tFlag*(ISNUMBER(tRem)*(tRem&gt;=$W292)*(tRem&lt;$X292)),tUPBf,tCurDSCR)/SUMPRODUCT(tFlag*(ISNUMBER(tRem)*(tRem&gt;=$W292)*(tRem&lt;$X292))*ISNUMBER(tCurDSCR),tUPBf),0)</f>
        <v/>
      </c>
      <c r="K292" s="31">
        <f>IFERROR(SUMPRODUCT(tFlag*(ISNUMBER(tRem)*(tRem&gt;=$W292)*(tRem&lt;$X292)),tUPBf,tUWLTV)/SUMPRODUCT(tFlag*(ISNUMBER(tRem)*(tRem&gt;=$W292)*(tRem&lt;$X292))*ISNUMBER(tUWLTV),tUPBf),0)</f>
        <v/>
      </c>
      <c r="L292" s="31">
        <f>IFERROR(SUMPRODUCT(tFlag*(ISNUMBER(tRem)*(tRem&gt;=$W292)*(tRem&lt;$X292)),tUPBf,tCurLTV)/SUMPRODUCT(tFlag*(ISNUMBER(tRem)*(tRem&gt;=$W292)*(tRem&lt;$X292))*ISNUMBER(tCurLTV),tUPBf),0)</f>
        <v/>
      </c>
      <c r="M292" s="31">
        <f>IFERROR(SUMPRODUCT(tFlag*(ISNUMBER(tRem)*(tRem&gt;=$W292)*(tRem&lt;$X292)),tUPBf,tUWDY)/SUMPRODUCT(tFlag*(ISNUMBER(tRem)*(tRem&gt;=$W292)*(tRem&lt;$X292))*ISNUMBER(tUWDY),tUPBf),0)</f>
        <v/>
      </c>
      <c r="N292" s="31">
        <f>IFERROR(SUMPRODUCT(tFlag*(ISNUMBER(tRem)*(tRem&gt;=$W292)*(tRem&lt;$X292)),tUPBf,tCurDY)/SUMPRODUCT(tFlag*(ISNUMBER(tRem)*(tRem&gt;=$W292)*(tRem&lt;$X292))*ISNUMBER(tCurDY),tUPBf),0)</f>
        <v/>
      </c>
      <c r="O292" s="31">
        <f>IFERROR(SUMPRODUCT(tFlag*(ISNUMBER(tRem)*(tRem&gt;=$W292)*(tRem&lt;$X292)),tUPBf,tOcc)/SUMPRODUCT(tFlag*(ISNUMBER(tRem)*(tRem&gt;=$W292)*(tRem&lt;$X292))*ISNUMBER(tOcc),tUPBf),0)</f>
        <v/>
      </c>
      <c r="P292" s="47">
        <f>IFERROR(SUMPRODUCT(tFlag*(ISNUMBER(tRem)*(tRem&gt;=$W292)*(tRem&lt;$X292)),tUPBf,tRem)/SUMPRODUCT(tFlag*(ISNUMBER(tRem)*(tRem&gt;=$W292)*(tRem&lt;$X292))*ISNUMBER(tRem),tUPBf),0)</f>
        <v/>
      </c>
      <c r="Q292" s="31">
        <f>IFERROR(SUMPRODUCT(tFlag*(ISNUMBER(tRem)*(tRem&gt;=$W292)*(tRem&lt;$X292)),tUPBf,tFIO)/$E292,0)</f>
        <v/>
      </c>
      <c r="R292" s="31">
        <f>IFERROR(SUMPRODUCT(tFlag*(ISNUMBER(tRem)*(tRem&gt;=$W292)*(tRem&lt;$X292)),tUPBf,tDefF)/$E292,0)</f>
        <v/>
      </c>
      <c r="S292" s="31">
        <f>IFERROR(SUMPRODUCT(tFlag*(ISNUMBER(tRem)*(tRem&gt;=$W292)*(tRem&lt;$X292)),tUPBf,tSSF)/$E292,0)</f>
        <v/>
      </c>
      <c r="T292" s="31">
        <f>IFERROR(SUMPRODUCT(tFlag*(ISNUMBER(tRem)*(tRem&gt;=$W292)*(tRem&lt;$X292)),tUPBf,tDQ)/$E292,0)</f>
        <v/>
      </c>
      <c r="U292" s="31">
        <f>IFERROR(SUMPRODUCT(tFlag*(ISNUMBER(tRem)*(tRem&gt;=$W292)*(tRem&lt;$X292)),tUPBf,tWLF)/$E292,0)</f>
        <v/>
      </c>
      <c r="W292" s="54" t="n">
        <v>1</v>
      </c>
      <c r="X292" s="54" t="n">
        <v>7</v>
      </c>
    </row>
    <row r="293">
      <c r="B293" s="18" t="inlineStr">
        <is>
          <t>7 to 12 Months</t>
        </is>
      </c>
      <c r="C293" s="19">
        <f>SUMPRODUCT(tFlag*(ISNUMBER(tRem)*(tRem&gt;=$W293)*(tRem&lt;$X293)))</f>
        <v/>
      </c>
      <c r="D293" s="22">
        <f>IFERROR(C293/sLoans,0)</f>
        <v/>
      </c>
      <c r="E293" s="21">
        <f>SUMPRODUCT(tFlag*(ISNUMBER(tRem)*(tRem&gt;=$W293)*(tRem&lt;$X293)),tUPBf)</f>
        <v/>
      </c>
      <c r="F293" s="22">
        <f>IFERROR(E293/sUPB,0)</f>
        <v/>
      </c>
      <c r="G293" s="21">
        <f>IFERROR(E293/C293,0)</f>
        <v/>
      </c>
      <c r="H293" s="23">
        <f>IFERROR(SUMPRODUCT(tFlag*(ISNUMBER(tRem)*(tRem&gt;=$W293)*(tRem&lt;$X293)),tUPBf,tCpn)/SUMPRODUCT(tFlag*(ISNUMBER(tRem)*(tRem&gt;=$W293)*(tRem&lt;$X293))*ISNUMBER(tCpn),tUPBf),0)</f>
        <v/>
      </c>
      <c r="I293" s="24">
        <f>IFERROR(SUMPRODUCT(tFlag*(ISNUMBER(tRem)*(tRem&gt;=$W293)*(tRem&lt;$X293)),tUPBf,tUWDSCR)/SUMPRODUCT(tFlag*(ISNUMBER(tRem)*(tRem&gt;=$W293)*(tRem&lt;$X293))*ISNUMBER(tUWDSCR),tUPBf),0)</f>
        <v/>
      </c>
      <c r="J293" s="24">
        <f>IFERROR(SUMPRODUCT(tFlag*(ISNUMBER(tRem)*(tRem&gt;=$W293)*(tRem&lt;$X293)),tUPBf,tCurDSCR)/SUMPRODUCT(tFlag*(ISNUMBER(tRem)*(tRem&gt;=$W293)*(tRem&lt;$X293))*ISNUMBER(tCurDSCR),tUPBf),0)</f>
        <v/>
      </c>
      <c r="K293" s="22">
        <f>IFERROR(SUMPRODUCT(tFlag*(ISNUMBER(tRem)*(tRem&gt;=$W293)*(tRem&lt;$X293)),tUPBf,tUWLTV)/SUMPRODUCT(tFlag*(ISNUMBER(tRem)*(tRem&gt;=$W293)*(tRem&lt;$X293))*ISNUMBER(tUWLTV),tUPBf),0)</f>
        <v/>
      </c>
      <c r="L293" s="22">
        <f>IFERROR(SUMPRODUCT(tFlag*(ISNUMBER(tRem)*(tRem&gt;=$W293)*(tRem&lt;$X293)),tUPBf,tCurLTV)/SUMPRODUCT(tFlag*(ISNUMBER(tRem)*(tRem&gt;=$W293)*(tRem&lt;$X293))*ISNUMBER(tCurLTV),tUPBf),0)</f>
        <v/>
      </c>
      <c r="M293" s="22">
        <f>IFERROR(SUMPRODUCT(tFlag*(ISNUMBER(tRem)*(tRem&gt;=$W293)*(tRem&lt;$X293)),tUPBf,tUWDY)/SUMPRODUCT(tFlag*(ISNUMBER(tRem)*(tRem&gt;=$W293)*(tRem&lt;$X293))*ISNUMBER(tUWDY),tUPBf),0)</f>
        <v/>
      </c>
      <c r="N293" s="22">
        <f>IFERROR(SUMPRODUCT(tFlag*(ISNUMBER(tRem)*(tRem&gt;=$W293)*(tRem&lt;$X293)),tUPBf,tCurDY)/SUMPRODUCT(tFlag*(ISNUMBER(tRem)*(tRem&gt;=$W293)*(tRem&lt;$X293))*ISNUMBER(tCurDY),tUPBf),0)</f>
        <v/>
      </c>
      <c r="O293" s="22">
        <f>IFERROR(SUMPRODUCT(tFlag*(ISNUMBER(tRem)*(tRem&gt;=$W293)*(tRem&lt;$X293)),tUPBf,tOcc)/SUMPRODUCT(tFlag*(ISNUMBER(tRem)*(tRem&gt;=$W293)*(tRem&lt;$X293))*ISNUMBER(tOcc),tUPBf),0)</f>
        <v/>
      </c>
      <c r="P293" s="45">
        <f>IFERROR(SUMPRODUCT(tFlag*(ISNUMBER(tRem)*(tRem&gt;=$W293)*(tRem&lt;$X293)),tUPBf,tRem)/SUMPRODUCT(tFlag*(ISNUMBER(tRem)*(tRem&gt;=$W293)*(tRem&lt;$X293))*ISNUMBER(tRem),tUPBf),0)</f>
        <v/>
      </c>
      <c r="Q293" s="22">
        <f>IFERROR(SUMPRODUCT(tFlag*(ISNUMBER(tRem)*(tRem&gt;=$W293)*(tRem&lt;$X293)),tUPBf,tFIO)/$E293,0)</f>
        <v/>
      </c>
      <c r="R293" s="22">
        <f>IFERROR(SUMPRODUCT(tFlag*(ISNUMBER(tRem)*(tRem&gt;=$W293)*(tRem&lt;$X293)),tUPBf,tDefF)/$E293,0)</f>
        <v/>
      </c>
      <c r="S293" s="22">
        <f>IFERROR(SUMPRODUCT(tFlag*(ISNUMBER(tRem)*(tRem&gt;=$W293)*(tRem&lt;$X293)),tUPBf,tSSF)/$E293,0)</f>
        <v/>
      </c>
      <c r="T293" s="22">
        <f>IFERROR(SUMPRODUCT(tFlag*(ISNUMBER(tRem)*(tRem&gt;=$W293)*(tRem&lt;$X293)),tUPBf,tDQ)/$E293,0)</f>
        <v/>
      </c>
      <c r="U293" s="22">
        <f>IFERROR(SUMPRODUCT(tFlag*(ISNUMBER(tRem)*(tRem&gt;=$W293)*(tRem&lt;$X293)),tUPBf,tWLF)/$E293,0)</f>
        <v/>
      </c>
      <c r="W293" s="54" t="n">
        <v>7</v>
      </c>
      <c r="X293" s="54" t="n">
        <v>13</v>
      </c>
    </row>
    <row r="294">
      <c r="B294" s="27" t="inlineStr">
        <is>
          <t>13 to 18 Months</t>
        </is>
      </c>
      <c r="C294" s="28">
        <f>SUMPRODUCT(tFlag*(ISNUMBER(tRem)*(tRem&gt;=$W294)*(tRem&lt;$X294)))</f>
        <v/>
      </c>
      <c r="D294" s="31">
        <f>IFERROR(C294/sLoans,0)</f>
        <v/>
      </c>
      <c r="E294" s="30">
        <f>SUMPRODUCT(tFlag*(ISNUMBER(tRem)*(tRem&gt;=$W294)*(tRem&lt;$X294)),tUPBf)</f>
        <v/>
      </c>
      <c r="F294" s="31">
        <f>IFERROR(E294/sUPB,0)</f>
        <v/>
      </c>
      <c r="G294" s="30">
        <f>IFERROR(E294/C294,0)</f>
        <v/>
      </c>
      <c r="H294" s="32">
        <f>IFERROR(SUMPRODUCT(tFlag*(ISNUMBER(tRem)*(tRem&gt;=$W294)*(tRem&lt;$X294)),tUPBf,tCpn)/SUMPRODUCT(tFlag*(ISNUMBER(tRem)*(tRem&gt;=$W294)*(tRem&lt;$X294))*ISNUMBER(tCpn),tUPBf),0)</f>
        <v/>
      </c>
      <c r="I294" s="33">
        <f>IFERROR(SUMPRODUCT(tFlag*(ISNUMBER(tRem)*(tRem&gt;=$W294)*(tRem&lt;$X294)),tUPBf,tUWDSCR)/SUMPRODUCT(tFlag*(ISNUMBER(tRem)*(tRem&gt;=$W294)*(tRem&lt;$X294))*ISNUMBER(tUWDSCR),tUPBf),0)</f>
        <v/>
      </c>
      <c r="J294" s="33">
        <f>IFERROR(SUMPRODUCT(tFlag*(ISNUMBER(tRem)*(tRem&gt;=$W294)*(tRem&lt;$X294)),tUPBf,tCurDSCR)/SUMPRODUCT(tFlag*(ISNUMBER(tRem)*(tRem&gt;=$W294)*(tRem&lt;$X294))*ISNUMBER(tCurDSCR),tUPBf),0)</f>
        <v/>
      </c>
      <c r="K294" s="31">
        <f>IFERROR(SUMPRODUCT(tFlag*(ISNUMBER(tRem)*(tRem&gt;=$W294)*(tRem&lt;$X294)),tUPBf,tUWLTV)/SUMPRODUCT(tFlag*(ISNUMBER(tRem)*(tRem&gt;=$W294)*(tRem&lt;$X294))*ISNUMBER(tUWLTV),tUPBf),0)</f>
        <v/>
      </c>
      <c r="L294" s="31">
        <f>IFERROR(SUMPRODUCT(tFlag*(ISNUMBER(tRem)*(tRem&gt;=$W294)*(tRem&lt;$X294)),tUPBf,tCurLTV)/SUMPRODUCT(tFlag*(ISNUMBER(tRem)*(tRem&gt;=$W294)*(tRem&lt;$X294))*ISNUMBER(tCurLTV),tUPBf),0)</f>
        <v/>
      </c>
      <c r="M294" s="31">
        <f>IFERROR(SUMPRODUCT(tFlag*(ISNUMBER(tRem)*(tRem&gt;=$W294)*(tRem&lt;$X294)),tUPBf,tUWDY)/SUMPRODUCT(tFlag*(ISNUMBER(tRem)*(tRem&gt;=$W294)*(tRem&lt;$X294))*ISNUMBER(tUWDY),tUPBf),0)</f>
        <v/>
      </c>
      <c r="N294" s="31">
        <f>IFERROR(SUMPRODUCT(tFlag*(ISNUMBER(tRem)*(tRem&gt;=$W294)*(tRem&lt;$X294)),tUPBf,tCurDY)/SUMPRODUCT(tFlag*(ISNUMBER(tRem)*(tRem&gt;=$W294)*(tRem&lt;$X294))*ISNUMBER(tCurDY),tUPBf),0)</f>
        <v/>
      </c>
      <c r="O294" s="31">
        <f>IFERROR(SUMPRODUCT(tFlag*(ISNUMBER(tRem)*(tRem&gt;=$W294)*(tRem&lt;$X294)),tUPBf,tOcc)/SUMPRODUCT(tFlag*(ISNUMBER(tRem)*(tRem&gt;=$W294)*(tRem&lt;$X294))*ISNUMBER(tOcc),tUPBf),0)</f>
        <v/>
      </c>
      <c r="P294" s="47">
        <f>IFERROR(SUMPRODUCT(tFlag*(ISNUMBER(tRem)*(tRem&gt;=$W294)*(tRem&lt;$X294)),tUPBf,tRem)/SUMPRODUCT(tFlag*(ISNUMBER(tRem)*(tRem&gt;=$W294)*(tRem&lt;$X294))*ISNUMBER(tRem),tUPBf),0)</f>
        <v/>
      </c>
      <c r="Q294" s="31">
        <f>IFERROR(SUMPRODUCT(tFlag*(ISNUMBER(tRem)*(tRem&gt;=$W294)*(tRem&lt;$X294)),tUPBf,tFIO)/$E294,0)</f>
        <v/>
      </c>
      <c r="R294" s="31">
        <f>IFERROR(SUMPRODUCT(tFlag*(ISNUMBER(tRem)*(tRem&gt;=$W294)*(tRem&lt;$X294)),tUPBf,tDefF)/$E294,0)</f>
        <v/>
      </c>
      <c r="S294" s="31">
        <f>IFERROR(SUMPRODUCT(tFlag*(ISNUMBER(tRem)*(tRem&gt;=$W294)*(tRem&lt;$X294)),tUPBf,tSSF)/$E294,0)</f>
        <v/>
      </c>
      <c r="T294" s="31">
        <f>IFERROR(SUMPRODUCT(tFlag*(ISNUMBER(tRem)*(tRem&gt;=$W294)*(tRem&lt;$X294)),tUPBf,tDQ)/$E294,0)</f>
        <v/>
      </c>
      <c r="U294" s="31">
        <f>IFERROR(SUMPRODUCT(tFlag*(ISNUMBER(tRem)*(tRem&gt;=$W294)*(tRem&lt;$X294)),tUPBf,tWLF)/$E294,0)</f>
        <v/>
      </c>
      <c r="W294" s="54" t="n">
        <v>13</v>
      </c>
      <c r="X294" s="54" t="n">
        <v>19</v>
      </c>
    </row>
    <row r="295">
      <c r="B295" s="18" t="inlineStr">
        <is>
          <t>19 to 24 Months</t>
        </is>
      </c>
      <c r="C295" s="19">
        <f>SUMPRODUCT(tFlag*(ISNUMBER(tRem)*(tRem&gt;=$W295)*(tRem&lt;$X295)))</f>
        <v/>
      </c>
      <c r="D295" s="22">
        <f>IFERROR(C295/sLoans,0)</f>
        <v/>
      </c>
      <c r="E295" s="21">
        <f>SUMPRODUCT(tFlag*(ISNUMBER(tRem)*(tRem&gt;=$W295)*(tRem&lt;$X295)),tUPBf)</f>
        <v/>
      </c>
      <c r="F295" s="22">
        <f>IFERROR(E295/sUPB,0)</f>
        <v/>
      </c>
      <c r="G295" s="21">
        <f>IFERROR(E295/C295,0)</f>
        <v/>
      </c>
      <c r="H295" s="23">
        <f>IFERROR(SUMPRODUCT(tFlag*(ISNUMBER(tRem)*(tRem&gt;=$W295)*(tRem&lt;$X295)),tUPBf,tCpn)/SUMPRODUCT(tFlag*(ISNUMBER(tRem)*(tRem&gt;=$W295)*(tRem&lt;$X295))*ISNUMBER(tCpn),tUPBf),0)</f>
        <v/>
      </c>
      <c r="I295" s="24">
        <f>IFERROR(SUMPRODUCT(tFlag*(ISNUMBER(tRem)*(tRem&gt;=$W295)*(tRem&lt;$X295)),tUPBf,tUWDSCR)/SUMPRODUCT(tFlag*(ISNUMBER(tRem)*(tRem&gt;=$W295)*(tRem&lt;$X295))*ISNUMBER(tUWDSCR),tUPBf),0)</f>
        <v/>
      </c>
      <c r="J295" s="24">
        <f>IFERROR(SUMPRODUCT(tFlag*(ISNUMBER(tRem)*(tRem&gt;=$W295)*(tRem&lt;$X295)),tUPBf,tCurDSCR)/SUMPRODUCT(tFlag*(ISNUMBER(tRem)*(tRem&gt;=$W295)*(tRem&lt;$X295))*ISNUMBER(tCurDSCR),tUPBf),0)</f>
        <v/>
      </c>
      <c r="K295" s="22">
        <f>IFERROR(SUMPRODUCT(tFlag*(ISNUMBER(tRem)*(tRem&gt;=$W295)*(tRem&lt;$X295)),tUPBf,tUWLTV)/SUMPRODUCT(tFlag*(ISNUMBER(tRem)*(tRem&gt;=$W295)*(tRem&lt;$X295))*ISNUMBER(tUWLTV),tUPBf),0)</f>
        <v/>
      </c>
      <c r="L295" s="22">
        <f>IFERROR(SUMPRODUCT(tFlag*(ISNUMBER(tRem)*(tRem&gt;=$W295)*(tRem&lt;$X295)),tUPBf,tCurLTV)/SUMPRODUCT(tFlag*(ISNUMBER(tRem)*(tRem&gt;=$W295)*(tRem&lt;$X295))*ISNUMBER(tCurLTV),tUPBf),0)</f>
        <v/>
      </c>
      <c r="M295" s="22">
        <f>IFERROR(SUMPRODUCT(tFlag*(ISNUMBER(tRem)*(tRem&gt;=$W295)*(tRem&lt;$X295)),tUPBf,tUWDY)/SUMPRODUCT(tFlag*(ISNUMBER(tRem)*(tRem&gt;=$W295)*(tRem&lt;$X295))*ISNUMBER(tUWDY),tUPBf),0)</f>
        <v/>
      </c>
      <c r="N295" s="22">
        <f>IFERROR(SUMPRODUCT(tFlag*(ISNUMBER(tRem)*(tRem&gt;=$W295)*(tRem&lt;$X295)),tUPBf,tCurDY)/SUMPRODUCT(tFlag*(ISNUMBER(tRem)*(tRem&gt;=$W295)*(tRem&lt;$X295))*ISNUMBER(tCurDY),tUPBf),0)</f>
        <v/>
      </c>
      <c r="O295" s="22">
        <f>IFERROR(SUMPRODUCT(tFlag*(ISNUMBER(tRem)*(tRem&gt;=$W295)*(tRem&lt;$X295)),tUPBf,tOcc)/SUMPRODUCT(tFlag*(ISNUMBER(tRem)*(tRem&gt;=$W295)*(tRem&lt;$X295))*ISNUMBER(tOcc),tUPBf),0)</f>
        <v/>
      </c>
      <c r="P295" s="45">
        <f>IFERROR(SUMPRODUCT(tFlag*(ISNUMBER(tRem)*(tRem&gt;=$W295)*(tRem&lt;$X295)),tUPBf,tRem)/SUMPRODUCT(tFlag*(ISNUMBER(tRem)*(tRem&gt;=$W295)*(tRem&lt;$X295))*ISNUMBER(tRem),tUPBf),0)</f>
        <v/>
      </c>
      <c r="Q295" s="22">
        <f>IFERROR(SUMPRODUCT(tFlag*(ISNUMBER(tRem)*(tRem&gt;=$W295)*(tRem&lt;$X295)),tUPBf,tFIO)/$E295,0)</f>
        <v/>
      </c>
      <c r="R295" s="22">
        <f>IFERROR(SUMPRODUCT(tFlag*(ISNUMBER(tRem)*(tRem&gt;=$W295)*(tRem&lt;$X295)),tUPBf,tDefF)/$E295,0)</f>
        <v/>
      </c>
      <c r="S295" s="22">
        <f>IFERROR(SUMPRODUCT(tFlag*(ISNUMBER(tRem)*(tRem&gt;=$W295)*(tRem&lt;$X295)),tUPBf,tSSF)/$E295,0)</f>
        <v/>
      </c>
      <c r="T295" s="22">
        <f>IFERROR(SUMPRODUCT(tFlag*(ISNUMBER(tRem)*(tRem&gt;=$W295)*(tRem&lt;$X295)),tUPBf,tDQ)/$E295,0)</f>
        <v/>
      </c>
      <c r="U295" s="22">
        <f>IFERROR(SUMPRODUCT(tFlag*(ISNUMBER(tRem)*(tRem&gt;=$W295)*(tRem&lt;$X295)),tUPBf,tWLF)/$E295,0)</f>
        <v/>
      </c>
      <c r="W295" s="54" t="n">
        <v>19</v>
      </c>
      <c r="X295" s="54" t="n">
        <v>25</v>
      </c>
    </row>
    <row r="296">
      <c r="B296" s="27" t="inlineStr">
        <is>
          <t>25 to 30 Months</t>
        </is>
      </c>
      <c r="C296" s="28">
        <f>SUMPRODUCT(tFlag*(ISNUMBER(tRem)*(tRem&gt;=$W296)*(tRem&lt;$X296)))</f>
        <v/>
      </c>
      <c r="D296" s="31">
        <f>IFERROR(C296/sLoans,0)</f>
        <v/>
      </c>
      <c r="E296" s="30">
        <f>SUMPRODUCT(tFlag*(ISNUMBER(tRem)*(tRem&gt;=$W296)*(tRem&lt;$X296)),tUPBf)</f>
        <v/>
      </c>
      <c r="F296" s="31">
        <f>IFERROR(E296/sUPB,0)</f>
        <v/>
      </c>
      <c r="G296" s="30">
        <f>IFERROR(E296/C296,0)</f>
        <v/>
      </c>
      <c r="H296" s="32">
        <f>IFERROR(SUMPRODUCT(tFlag*(ISNUMBER(tRem)*(tRem&gt;=$W296)*(tRem&lt;$X296)),tUPBf,tCpn)/SUMPRODUCT(tFlag*(ISNUMBER(tRem)*(tRem&gt;=$W296)*(tRem&lt;$X296))*ISNUMBER(tCpn),tUPBf),0)</f>
        <v/>
      </c>
      <c r="I296" s="33">
        <f>IFERROR(SUMPRODUCT(tFlag*(ISNUMBER(tRem)*(tRem&gt;=$W296)*(tRem&lt;$X296)),tUPBf,tUWDSCR)/SUMPRODUCT(tFlag*(ISNUMBER(tRem)*(tRem&gt;=$W296)*(tRem&lt;$X296))*ISNUMBER(tUWDSCR),tUPBf),0)</f>
        <v/>
      </c>
      <c r="J296" s="33">
        <f>IFERROR(SUMPRODUCT(tFlag*(ISNUMBER(tRem)*(tRem&gt;=$W296)*(tRem&lt;$X296)),tUPBf,tCurDSCR)/SUMPRODUCT(tFlag*(ISNUMBER(tRem)*(tRem&gt;=$W296)*(tRem&lt;$X296))*ISNUMBER(tCurDSCR),tUPBf),0)</f>
        <v/>
      </c>
      <c r="K296" s="31">
        <f>IFERROR(SUMPRODUCT(tFlag*(ISNUMBER(tRem)*(tRem&gt;=$W296)*(tRem&lt;$X296)),tUPBf,tUWLTV)/SUMPRODUCT(tFlag*(ISNUMBER(tRem)*(tRem&gt;=$W296)*(tRem&lt;$X296))*ISNUMBER(tUWLTV),tUPBf),0)</f>
        <v/>
      </c>
      <c r="L296" s="31">
        <f>IFERROR(SUMPRODUCT(tFlag*(ISNUMBER(tRem)*(tRem&gt;=$W296)*(tRem&lt;$X296)),tUPBf,tCurLTV)/SUMPRODUCT(tFlag*(ISNUMBER(tRem)*(tRem&gt;=$W296)*(tRem&lt;$X296))*ISNUMBER(tCurLTV),tUPBf),0)</f>
        <v/>
      </c>
      <c r="M296" s="31">
        <f>IFERROR(SUMPRODUCT(tFlag*(ISNUMBER(tRem)*(tRem&gt;=$W296)*(tRem&lt;$X296)),tUPBf,tUWDY)/SUMPRODUCT(tFlag*(ISNUMBER(tRem)*(tRem&gt;=$W296)*(tRem&lt;$X296))*ISNUMBER(tUWDY),tUPBf),0)</f>
        <v/>
      </c>
      <c r="N296" s="31">
        <f>IFERROR(SUMPRODUCT(tFlag*(ISNUMBER(tRem)*(tRem&gt;=$W296)*(tRem&lt;$X296)),tUPBf,tCurDY)/SUMPRODUCT(tFlag*(ISNUMBER(tRem)*(tRem&gt;=$W296)*(tRem&lt;$X296))*ISNUMBER(tCurDY),tUPBf),0)</f>
        <v/>
      </c>
      <c r="O296" s="31">
        <f>IFERROR(SUMPRODUCT(tFlag*(ISNUMBER(tRem)*(tRem&gt;=$W296)*(tRem&lt;$X296)),tUPBf,tOcc)/SUMPRODUCT(tFlag*(ISNUMBER(tRem)*(tRem&gt;=$W296)*(tRem&lt;$X296))*ISNUMBER(tOcc),tUPBf),0)</f>
        <v/>
      </c>
      <c r="P296" s="47">
        <f>IFERROR(SUMPRODUCT(tFlag*(ISNUMBER(tRem)*(tRem&gt;=$W296)*(tRem&lt;$X296)),tUPBf,tRem)/SUMPRODUCT(tFlag*(ISNUMBER(tRem)*(tRem&gt;=$W296)*(tRem&lt;$X296))*ISNUMBER(tRem),tUPBf),0)</f>
        <v/>
      </c>
      <c r="Q296" s="31">
        <f>IFERROR(SUMPRODUCT(tFlag*(ISNUMBER(tRem)*(tRem&gt;=$W296)*(tRem&lt;$X296)),tUPBf,tFIO)/$E296,0)</f>
        <v/>
      </c>
      <c r="R296" s="31">
        <f>IFERROR(SUMPRODUCT(tFlag*(ISNUMBER(tRem)*(tRem&gt;=$W296)*(tRem&lt;$X296)),tUPBf,tDefF)/$E296,0)</f>
        <v/>
      </c>
      <c r="S296" s="31">
        <f>IFERROR(SUMPRODUCT(tFlag*(ISNUMBER(tRem)*(tRem&gt;=$W296)*(tRem&lt;$X296)),tUPBf,tSSF)/$E296,0)</f>
        <v/>
      </c>
      <c r="T296" s="31">
        <f>IFERROR(SUMPRODUCT(tFlag*(ISNUMBER(tRem)*(tRem&gt;=$W296)*(tRem&lt;$X296)),tUPBf,tDQ)/$E296,0)</f>
        <v/>
      </c>
      <c r="U296" s="31">
        <f>IFERROR(SUMPRODUCT(tFlag*(ISNUMBER(tRem)*(tRem&gt;=$W296)*(tRem&lt;$X296)),tUPBf,tWLF)/$E296,0)</f>
        <v/>
      </c>
      <c r="W296" s="54" t="n">
        <v>25</v>
      </c>
      <c r="X296" s="54" t="n">
        <v>31</v>
      </c>
    </row>
    <row r="297">
      <c r="B297" s="18" t="inlineStr">
        <is>
          <t>31 Months or Greater</t>
        </is>
      </c>
      <c r="C297" s="19">
        <f>SUMPRODUCT(tFlag*(ISNUMBER(tRem)*(tRem&gt;=$W297)*(tRem&lt;$X297)))</f>
        <v/>
      </c>
      <c r="D297" s="22">
        <f>IFERROR(C297/sLoans,0)</f>
        <v/>
      </c>
      <c r="E297" s="21">
        <f>SUMPRODUCT(tFlag*(ISNUMBER(tRem)*(tRem&gt;=$W297)*(tRem&lt;$X297)),tUPBf)</f>
        <v/>
      </c>
      <c r="F297" s="22">
        <f>IFERROR(E297/sUPB,0)</f>
        <v/>
      </c>
      <c r="G297" s="21">
        <f>IFERROR(E297/C297,0)</f>
        <v/>
      </c>
      <c r="H297" s="23">
        <f>IFERROR(SUMPRODUCT(tFlag*(ISNUMBER(tRem)*(tRem&gt;=$W297)*(tRem&lt;$X297)),tUPBf,tCpn)/SUMPRODUCT(tFlag*(ISNUMBER(tRem)*(tRem&gt;=$W297)*(tRem&lt;$X297))*ISNUMBER(tCpn),tUPBf),0)</f>
        <v/>
      </c>
      <c r="I297" s="24">
        <f>IFERROR(SUMPRODUCT(tFlag*(ISNUMBER(tRem)*(tRem&gt;=$W297)*(tRem&lt;$X297)),tUPBf,tUWDSCR)/SUMPRODUCT(tFlag*(ISNUMBER(tRem)*(tRem&gt;=$W297)*(tRem&lt;$X297))*ISNUMBER(tUWDSCR),tUPBf),0)</f>
        <v/>
      </c>
      <c r="J297" s="24">
        <f>IFERROR(SUMPRODUCT(tFlag*(ISNUMBER(tRem)*(tRem&gt;=$W297)*(tRem&lt;$X297)),tUPBf,tCurDSCR)/SUMPRODUCT(tFlag*(ISNUMBER(tRem)*(tRem&gt;=$W297)*(tRem&lt;$X297))*ISNUMBER(tCurDSCR),tUPBf),0)</f>
        <v/>
      </c>
      <c r="K297" s="22">
        <f>IFERROR(SUMPRODUCT(tFlag*(ISNUMBER(tRem)*(tRem&gt;=$W297)*(tRem&lt;$X297)),tUPBf,tUWLTV)/SUMPRODUCT(tFlag*(ISNUMBER(tRem)*(tRem&gt;=$W297)*(tRem&lt;$X297))*ISNUMBER(tUWLTV),tUPBf),0)</f>
        <v/>
      </c>
      <c r="L297" s="22">
        <f>IFERROR(SUMPRODUCT(tFlag*(ISNUMBER(tRem)*(tRem&gt;=$W297)*(tRem&lt;$X297)),tUPBf,tCurLTV)/SUMPRODUCT(tFlag*(ISNUMBER(tRem)*(tRem&gt;=$W297)*(tRem&lt;$X297))*ISNUMBER(tCurLTV),tUPBf),0)</f>
        <v/>
      </c>
      <c r="M297" s="22">
        <f>IFERROR(SUMPRODUCT(tFlag*(ISNUMBER(tRem)*(tRem&gt;=$W297)*(tRem&lt;$X297)),tUPBf,tUWDY)/SUMPRODUCT(tFlag*(ISNUMBER(tRem)*(tRem&gt;=$W297)*(tRem&lt;$X297))*ISNUMBER(tUWDY),tUPBf),0)</f>
        <v/>
      </c>
      <c r="N297" s="22">
        <f>IFERROR(SUMPRODUCT(tFlag*(ISNUMBER(tRem)*(tRem&gt;=$W297)*(tRem&lt;$X297)),tUPBf,tCurDY)/SUMPRODUCT(tFlag*(ISNUMBER(tRem)*(tRem&gt;=$W297)*(tRem&lt;$X297))*ISNUMBER(tCurDY),tUPBf),0)</f>
        <v/>
      </c>
      <c r="O297" s="22">
        <f>IFERROR(SUMPRODUCT(tFlag*(ISNUMBER(tRem)*(tRem&gt;=$W297)*(tRem&lt;$X297)),tUPBf,tOcc)/SUMPRODUCT(tFlag*(ISNUMBER(tRem)*(tRem&gt;=$W297)*(tRem&lt;$X297))*ISNUMBER(tOcc),tUPBf),0)</f>
        <v/>
      </c>
      <c r="P297" s="45">
        <f>IFERROR(SUMPRODUCT(tFlag*(ISNUMBER(tRem)*(tRem&gt;=$W297)*(tRem&lt;$X297)),tUPBf,tRem)/SUMPRODUCT(tFlag*(ISNUMBER(tRem)*(tRem&gt;=$W297)*(tRem&lt;$X297))*ISNUMBER(tRem),tUPBf),0)</f>
        <v/>
      </c>
      <c r="Q297" s="22">
        <f>IFERROR(SUMPRODUCT(tFlag*(ISNUMBER(tRem)*(tRem&gt;=$W297)*(tRem&lt;$X297)),tUPBf,tFIO)/$E297,0)</f>
        <v/>
      </c>
      <c r="R297" s="22">
        <f>IFERROR(SUMPRODUCT(tFlag*(ISNUMBER(tRem)*(tRem&gt;=$W297)*(tRem&lt;$X297)),tUPBf,tDefF)/$E297,0)</f>
        <v/>
      </c>
      <c r="S297" s="22">
        <f>IFERROR(SUMPRODUCT(tFlag*(ISNUMBER(tRem)*(tRem&gt;=$W297)*(tRem&lt;$X297)),tUPBf,tSSF)/$E297,0)</f>
        <v/>
      </c>
      <c r="T297" s="22">
        <f>IFERROR(SUMPRODUCT(tFlag*(ISNUMBER(tRem)*(tRem&gt;=$W297)*(tRem&lt;$X297)),tUPBf,tDQ)/$E297,0)</f>
        <v/>
      </c>
      <c r="U297" s="22">
        <f>IFERROR(SUMPRODUCT(tFlag*(ISNUMBER(tRem)*(tRem&gt;=$W297)*(tRem&lt;$X297)),tUPBf,tWLF)/$E297,0)</f>
        <v/>
      </c>
      <c r="W297" s="54" t="n">
        <v>31</v>
      </c>
      <c r="X297" s="54" t="n">
        <v>1000000000000</v>
      </c>
    </row>
    <row r="298">
      <c r="B298" s="36" t="inlineStr">
        <is>
          <t>Total / Wtd. Avg.</t>
        </is>
      </c>
      <c r="C298" s="37">
        <f>SUMPRODUCT(tFlag*(1))</f>
        <v/>
      </c>
      <c r="D298" s="40">
        <f>IFERROR(C298/sLoans,0)</f>
        <v/>
      </c>
      <c r="E298" s="39">
        <f>SUMPRODUCT(tFlag*(1),tUPBf)</f>
        <v/>
      </c>
      <c r="F298" s="40">
        <f>IFERROR(E298/sUPB,0)</f>
        <v/>
      </c>
      <c r="G298" s="39">
        <f>IFERROR(E298/C298,0)</f>
        <v/>
      </c>
      <c r="H298" s="41">
        <f>IFERROR(SUMPRODUCT(tFlag*(1),tUPBf,tCpn)/SUMPRODUCT(tFlag*(1)*ISNUMBER(tCpn),tUPBf),0)</f>
        <v/>
      </c>
      <c r="I298" s="42">
        <f>IFERROR(SUMPRODUCT(tFlag*(1),tUPBf,tUWDSCR)/SUMPRODUCT(tFlag*(1)*ISNUMBER(tUWDSCR),tUPBf),0)</f>
        <v/>
      </c>
      <c r="J298" s="42">
        <f>IFERROR(SUMPRODUCT(tFlag*(1),tUPBf,tCurDSCR)/SUMPRODUCT(tFlag*(1)*ISNUMBER(tCurDSCR),tUPBf),0)</f>
        <v/>
      </c>
      <c r="K298" s="40">
        <f>IFERROR(SUMPRODUCT(tFlag*(1),tUPBf,tUWLTV)/SUMPRODUCT(tFlag*(1)*ISNUMBER(tUWLTV),tUPBf),0)</f>
        <v/>
      </c>
      <c r="L298" s="40">
        <f>IFERROR(SUMPRODUCT(tFlag*(1),tUPBf,tCurLTV)/SUMPRODUCT(tFlag*(1)*ISNUMBER(tCurLTV),tUPBf),0)</f>
        <v/>
      </c>
      <c r="M298" s="40">
        <f>IFERROR(SUMPRODUCT(tFlag*(1),tUPBf,tUWDY)/SUMPRODUCT(tFlag*(1)*ISNUMBER(tUWDY),tUPBf),0)</f>
        <v/>
      </c>
      <c r="N298" s="40">
        <f>IFERROR(SUMPRODUCT(tFlag*(1),tUPBf,tCurDY)/SUMPRODUCT(tFlag*(1)*ISNUMBER(tCurDY),tUPBf),0)</f>
        <v/>
      </c>
      <c r="O298" s="40">
        <f>IFERROR(SUMPRODUCT(tFlag*(1),tUPBf,tOcc)/SUMPRODUCT(tFlag*(1)*ISNUMBER(tOcc),tUPBf),0)</f>
        <v/>
      </c>
      <c r="P298" s="43">
        <f>IFERROR(SUMPRODUCT(tFlag*(1),tUPBf,tRem)/SUMPRODUCT(tFlag*(1)*ISNUMBER(tRem),tUPBf),0)</f>
        <v/>
      </c>
      <c r="Q298" s="40">
        <f>IFERROR(SUMPRODUCT(tFlag*(1),tUPBf,tFIO)/$E298,0)</f>
        <v/>
      </c>
      <c r="R298" s="40">
        <f>IFERROR(SUMPRODUCT(tFlag*(1),tUPBf,tDefF)/$E298,0)</f>
        <v/>
      </c>
      <c r="S298" s="40">
        <f>IFERROR(SUMPRODUCT(tFlag*(1),tUPBf,tSSF)/$E298,0)</f>
        <v/>
      </c>
      <c r="T298" s="40">
        <f>IFERROR(SUMPRODUCT(tFlag*(1),tUPBf,tDQ)/$E298,0)</f>
        <v/>
      </c>
      <c r="U298" s="40">
        <f>IFERROR(SUMPRODUCT(tFlag*(1),tUPBf,tWLF)/$E298,0)</f>
        <v/>
      </c>
    </row>
    <row r="300" ht="15" customHeight="1">
      <c r="B300" s="2" t="inlineStr">
        <is>
          <t>MATURITY YEAR (ARD WHERE APPLICABLE)</t>
        </is>
      </c>
      <c r="C300" s="3" t="n"/>
      <c r="D300" s="3" t="n"/>
      <c r="E300" s="3" t="n"/>
      <c r="F300" s="3" t="n"/>
      <c r="G300" s="3" t="n"/>
      <c r="H300" s="3" t="n"/>
      <c r="I300" s="3" t="n"/>
      <c r="J300" s="3" t="n"/>
      <c r="K300" s="3" t="n"/>
      <c r="L300" s="3" t="n"/>
      <c r="M300" s="3" t="n"/>
      <c r="N300" s="3" t="n"/>
      <c r="O300" s="3" t="n"/>
      <c r="P300" s="3" t="n"/>
      <c r="Q300" s="3" t="n"/>
      <c r="R300" s="3" t="n"/>
      <c r="S300" s="3" t="n"/>
      <c r="T300" s="3" t="n"/>
      <c r="U300" s="3" t="n"/>
    </row>
    <row r="301" ht="39.75" customHeight="1">
      <c r="B301" s="15" t="inlineStr">
        <is>
          <t>Bucket</t>
        </is>
      </c>
      <c r="C301" s="16" t="inlineStr">
        <is>
          <t>Number of Loans</t>
        </is>
      </c>
      <c r="D301" s="16" t="inlineStr">
        <is>
          <t>% of Loans</t>
        </is>
      </c>
      <c r="E301" s="16" t="inlineStr">
        <is>
          <t>Current UPB</t>
        </is>
      </c>
      <c r="F301" s="16" t="inlineStr">
        <is>
          <t>% of UPB</t>
        </is>
      </c>
      <c r="G301" s="16" t="inlineStr">
        <is>
          <t>Average Loan Size</t>
        </is>
      </c>
      <c r="H301" s="16" t="inlineStr">
        <is>
          <t>Wtd. Avg. Gross Coupon</t>
        </is>
      </c>
      <c r="I301" s="16" t="inlineStr">
        <is>
          <t>Wtd. Avg. UW NCF DSCR</t>
        </is>
      </c>
      <c r="J301" s="16" t="inlineStr">
        <is>
          <t>Wtd. Avg. Current NCF DSCR</t>
        </is>
      </c>
      <c r="K301" s="16" t="inlineStr">
        <is>
          <t>Wtd. Avg. UW LTV</t>
        </is>
      </c>
      <c r="L301" s="16" t="inlineStr">
        <is>
          <t>Wtd. Avg. Current LTV</t>
        </is>
      </c>
      <c r="M301" s="16" t="inlineStr">
        <is>
          <t>Wtd. Avg. UW NCF Debt Yield</t>
        </is>
      </c>
      <c r="N301" s="16" t="inlineStr">
        <is>
          <t>Wtd. Avg. Current NCF Debt Yield</t>
        </is>
      </c>
      <c r="O301" s="16" t="inlineStr">
        <is>
          <t>Wtd. Avg. Current Occupancy</t>
        </is>
      </c>
      <c r="P301" s="16" t="inlineStr">
        <is>
          <t>Wtd. Avg. Rem. Term (Mo.)</t>
        </is>
      </c>
      <c r="Q301" s="16" t="inlineStr">
        <is>
          <t>% Full IO</t>
        </is>
      </c>
      <c r="R301" s="16" t="inlineStr">
        <is>
          <t>% Defeased</t>
        </is>
      </c>
      <c r="S301" s="16" t="inlineStr">
        <is>
          <t>% Currently Specially Serviced</t>
        </is>
      </c>
      <c r="T301" s="16" t="inlineStr">
        <is>
          <t>% 30+ Delinq. / FC / REO</t>
        </is>
      </c>
      <c r="U301" s="16" t="inlineStr">
        <is>
          <t>% On Watchlist</t>
        </is>
      </c>
      <c r="W301" s="17" t="inlineStr">
        <is>
          <t>Lower Bound (&gt;=)</t>
        </is>
      </c>
      <c r="X301" s="17" t="inlineStr">
        <is>
          <t>Upper Bound (&lt;)</t>
        </is>
      </c>
    </row>
    <row r="302">
      <c r="B302" s="18" t="inlineStr">
        <is>
          <t>2026 and Prior</t>
        </is>
      </c>
      <c r="C302" s="19">
        <f>SUMPRODUCT(tFlag*(ISNUMBER(tMatYr)*(tMatYr&gt;=$W302)*(tMatYr&lt;$X302)))</f>
        <v/>
      </c>
      <c r="D302" s="22">
        <f>IFERROR(C302/sLoans,0)</f>
        <v/>
      </c>
      <c r="E302" s="21">
        <f>SUMPRODUCT(tFlag*(ISNUMBER(tMatYr)*(tMatYr&gt;=$W302)*(tMatYr&lt;$X302)),tUPBf)</f>
        <v/>
      </c>
      <c r="F302" s="22">
        <f>IFERROR(E302/sUPB,0)</f>
        <v/>
      </c>
      <c r="G302" s="21">
        <f>IFERROR(E302/C302,0)</f>
        <v/>
      </c>
      <c r="H302" s="23">
        <f>IFERROR(SUMPRODUCT(tFlag*(ISNUMBER(tMatYr)*(tMatYr&gt;=$W302)*(tMatYr&lt;$X302)),tUPBf,tCpn)/SUMPRODUCT(tFlag*(ISNUMBER(tMatYr)*(tMatYr&gt;=$W302)*(tMatYr&lt;$X302))*ISNUMBER(tCpn),tUPBf),0)</f>
        <v/>
      </c>
      <c r="I302" s="24">
        <f>IFERROR(SUMPRODUCT(tFlag*(ISNUMBER(tMatYr)*(tMatYr&gt;=$W302)*(tMatYr&lt;$X302)),tUPBf,tUWDSCR)/SUMPRODUCT(tFlag*(ISNUMBER(tMatYr)*(tMatYr&gt;=$W302)*(tMatYr&lt;$X302))*ISNUMBER(tUWDSCR),tUPBf),0)</f>
        <v/>
      </c>
      <c r="J302" s="24">
        <f>IFERROR(SUMPRODUCT(tFlag*(ISNUMBER(tMatYr)*(tMatYr&gt;=$W302)*(tMatYr&lt;$X302)),tUPBf,tCurDSCR)/SUMPRODUCT(tFlag*(ISNUMBER(tMatYr)*(tMatYr&gt;=$W302)*(tMatYr&lt;$X302))*ISNUMBER(tCurDSCR),tUPBf),0)</f>
        <v/>
      </c>
      <c r="K302" s="22">
        <f>IFERROR(SUMPRODUCT(tFlag*(ISNUMBER(tMatYr)*(tMatYr&gt;=$W302)*(tMatYr&lt;$X302)),tUPBf,tUWLTV)/SUMPRODUCT(tFlag*(ISNUMBER(tMatYr)*(tMatYr&gt;=$W302)*(tMatYr&lt;$X302))*ISNUMBER(tUWLTV),tUPBf),0)</f>
        <v/>
      </c>
      <c r="L302" s="22">
        <f>IFERROR(SUMPRODUCT(tFlag*(ISNUMBER(tMatYr)*(tMatYr&gt;=$W302)*(tMatYr&lt;$X302)),tUPBf,tCurLTV)/SUMPRODUCT(tFlag*(ISNUMBER(tMatYr)*(tMatYr&gt;=$W302)*(tMatYr&lt;$X302))*ISNUMBER(tCurLTV),tUPBf),0)</f>
        <v/>
      </c>
      <c r="M302" s="22">
        <f>IFERROR(SUMPRODUCT(tFlag*(ISNUMBER(tMatYr)*(tMatYr&gt;=$W302)*(tMatYr&lt;$X302)),tUPBf,tUWDY)/SUMPRODUCT(tFlag*(ISNUMBER(tMatYr)*(tMatYr&gt;=$W302)*(tMatYr&lt;$X302))*ISNUMBER(tUWDY),tUPBf),0)</f>
        <v/>
      </c>
      <c r="N302" s="22">
        <f>IFERROR(SUMPRODUCT(tFlag*(ISNUMBER(tMatYr)*(tMatYr&gt;=$W302)*(tMatYr&lt;$X302)),tUPBf,tCurDY)/SUMPRODUCT(tFlag*(ISNUMBER(tMatYr)*(tMatYr&gt;=$W302)*(tMatYr&lt;$X302))*ISNUMBER(tCurDY),tUPBf),0)</f>
        <v/>
      </c>
      <c r="O302" s="22">
        <f>IFERROR(SUMPRODUCT(tFlag*(ISNUMBER(tMatYr)*(tMatYr&gt;=$W302)*(tMatYr&lt;$X302)),tUPBf,tOcc)/SUMPRODUCT(tFlag*(ISNUMBER(tMatYr)*(tMatYr&gt;=$W302)*(tMatYr&lt;$X302))*ISNUMBER(tOcc),tUPBf),0)</f>
        <v/>
      </c>
      <c r="P302" s="45">
        <f>IFERROR(SUMPRODUCT(tFlag*(ISNUMBER(tMatYr)*(tMatYr&gt;=$W302)*(tMatYr&lt;$X302)),tUPBf,tRem)/SUMPRODUCT(tFlag*(ISNUMBER(tMatYr)*(tMatYr&gt;=$W302)*(tMatYr&lt;$X302))*ISNUMBER(tRem),tUPBf),0)</f>
        <v/>
      </c>
      <c r="Q302" s="22">
        <f>IFERROR(SUMPRODUCT(tFlag*(ISNUMBER(tMatYr)*(tMatYr&gt;=$W302)*(tMatYr&lt;$X302)),tUPBf,tFIO)/$E302,0)</f>
        <v/>
      </c>
      <c r="R302" s="22">
        <f>IFERROR(SUMPRODUCT(tFlag*(ISNUMBER(tMatYr)*(tMatYr&gt;=$W302)*(tMatYr&lt;$X302)),tUPBf,tDefF)/$E302,0)</f>
        <v/>
      </c>
      <c r="S302" s="22">
        <f>IFERROR(SUMPRODUCT(tFlag*(ISNUMBER(tMatYr)*(tMatYr&gt;=$W302)*(tMatYr&lt;$X302)),tUPBf,tSSF)/$E302,0)</f>
        <v/>
      </c>
      <c r="T302" s="22">
        <f>IFERROR(SUMPRODUCT(tFlag*(ISNUMBER(tMatYr)*(tMatYr&gt;=$W302)*(tMatYr&lt;$X302)),tUPBf,tDQ)/$E302,0)</f>
        <v/>
      </c>
      <c r="U302" s="22">
        <f>IFERROR(SUMPRODUCT(tFlag*(ISNUMBER(tMatYr)*(tMatYr&gt;=$W302)*(tMatYr&lt;$X302)),tUPBf,tWLF)/$E302,0)</f>
        <v/>
      </c>
      <c r="W302" s="55" t="n">
        <v>-1000000000000</v>
      </c>
      <c r="X302" s="55" t="n">
        <v>2027</v>
      </c>
    </row>
    <row r="303">
      <c r="B303" s="27" t="inlineStr">
        <is>
          <t>2027</t>
        </is>
      </c>
      <c r="C303" s="28">
        <f>SUMPRODUCT(tFlag*(ISNUMBER(tMatYr)*(tMatYr&gt;=$W303)*(tMatYr&lt;$X303)))</f>
        <v/>
      </c>
      <c r="D303" s="31">
        <f>IFERROR(C303/sLoans,0)</f>
        <v/>
      </c>
      <c r="E303" s="30">
        <f>SUMPRODUCT(tFlag*(ISNUMBER(tMatYr)*(tMatYr&gt;=$W303)*(tMatYr&lt;$X303)),tUPBf)</f>
        <v/>
      </c>
      <c r="F303" s="31">
        <f>IFERROR(E303/sUPB,0)</f>
        <v/>
      </c>
      <c r="G303" s="30">
        <f>IFERROR(E303/C303,0)</f>
        <v/>
      </c>
      <c r="H303" s="32">
        <f>IFERROR(SUMPRODUCT(tFlag*(ISNUMBER(tMatYr)*(tMatYr&gt;=$W303)*(tMatYr&lt;$X303)),tUPBf,tCpn)/SUMPRODUCT(tFlag*(ISNUMBER(tMatYr)*(tMatYr&gt;=$W303)*(tMatYr&lt;$X303))*ISNUMBER(tCpn),tUPBf),0)</f>
        <v/>
      </c>
      <c r="I303" s="33">
        <f>IFERROR(SUMPRODUCT(tFlag*(ISNUMBER(tMatYr)*(tMatYr&gt;=$W303)*(tMatYr&lt;$X303)),tUPBf,tUWDSCR)/SUMPRODUCT(tFlag*(ISNUMBER(tMatYr)*(tMatYr&gt;=$W303)*(tMatYr&lt;$X303))*ISNUMBER(tUWDSCR),tUPBf),0)</f>
        <v/>
      </c>
      <c r="J303" s="33">
        <f>IFERROR(SUMPRODUCT(tFlag*(ISNUMBER(tMatYr)*(tMatYr&gt;=$W303)*(tMatYr&lt;$X303)),tUPBf,tCurDSCR)/SUMPRODUCT(tFlag*(ISNUMBER(tMatYr)*(tMatYr&gt;=$W303)*(tMatYr&lt;$X303))*ISNUMBER(tCurDSCR),tUPBf),0)</f>
        <v/>
      </c>
      <c r="K303" s="31">
        <f>IFERROR(SUMPRODUCT(tFlag*(ISNUMBER(tMatYr)*(tMatYr&gt;=$W303)*(tMatYr&lt;$X303)),tUPBf,tUWLTV)/SUMPRODUCT(tFlag*(ISNUMBER(tMatYr)*(tMatYr&gt;=$W303)*(tMatYr&lt;$X303))*ISNUMBER(tUWLTV),tUPBf),0)</f>
        <v/>
      </c>
      <c r="L303" s="31">
        <f>IFERROR(SUMPRODUCT(tFlag*(ISNUMBER(tMatYr)*(tMatYr&gt;=$W303)*(tMatYr&lt;$X303)),tUPBf,tCurLTV)/SUMPRODUCT(tFlag*(ISNUMBER(tMatYr)*(tMatYr&gt;=$W303)*(tMatYr&lt;$X303))*ISNUMBER(tCurLTV),tUPBf),0)</f>
        <v/>
      </c>
      <c r="M303" s="31">
        <f>IFERROR(SUMPRODUCT(tFlag*(ISNUMBER(tMatYr)*(tMatYr&gt;=$W303)*(tMatYr&lt;$X303)),tUPBf,tUWDY)/SUMPRODUCT(tFlag*(ISNUMBER(tMatYr)*(tMatYr&gt;=$W303)*(tMatYr&lt;$X303))*ISNUMBER(tUWDY),tUPBf),0)</f>
        <v/>
      </c>
      <c r="N303" s="31">
        <f>IFERROR(SUMPRODUCT(tFlag*(ISNUMBER(tMatYr)*(tMatYr&gt;=$W303)*(tMatYr&lt;$X303)),tUPBf,tCurDY)/SUMPRODUCT(tFlag*(ISNUMBER(tMatYr)*(tMatYr&gt;=$W303)*(tMatYr&lt;$X303))*ISNUMBER(tCurDY),tUPBf),0)</f>
        <v/>
      </c>
      <c r="O303" s="31">
        <f>IFERROR(SUMPRODUCT(tFlag*(ISNUMBER(tMatYr)*(tMatYr&gt;=$W303)*(tMatYr&lt;$X303)),tUPBf,tOcc)/SUMPRODUCT(tFlag*(ISNUMBER(tMatYr)*(tMatYr&gt;=$W303)*(tMatYr&lt;$X303))*ISNUMBER(tOcc),tUPBf),0)</f>
        <v/>
      </c>
      <c r="P303" s="47">
        <f>IFERROR(SUMPRODUCT(tFlag*(ISNUMBER(tMatYr)*(tMatYr&gt;=$W303)*(tMatYr&lt;$X303)),tUPBf,tRem)/SUMPRODUCT(tFlag*(ISNUMBER(tMatYr)*(tMatYr&gt;=$W303)*(tMatYr&lt;$X303))*ISNUMBER(tRem),tUPBf),0)</f>
        <v/>
      </c>
      <c r="Q303" s="31">
        <f>IFERROR(SUMPRODUCT(tFlag*(ISNUMBER(tMatYr)*(tMatYr&gt;=$W303)*(tMatYr&lt;$X303)),tUPBf,tFIO)/$E303,0)</f>
        <v/>
      </c>
      <c r="R303" s="31">
        <f>IFERROR(SUMPRODUCT(tFlag*(ISNUMBER(tMatYr)*(tMatYr&gt;=$W303)*(tMatYr&lt;$X303)),tUPBf,tDefF)/$E303,0)</f>
        <v/>
      </c>
      <c r="S303" s="31">
        <f>IFERROR(SUMPRODUCT(tFlag*(ISNUMBER(tMatYr)*(tMatYr&gt;=$W303)*(tMatYr&lt;$X303)),tUPBf,tSSF)/$E303,0)</f>
        <v/>
      </c>
      <c r="T303" s="31">
        <f>IFERROR(SUMPRODUCT(tFlag*(ISNUMBER(tMatYr)*(tMatYr&gt;=$W303)*(tMatYr&lt;$X303)),tUPBf,tDQ)/$E303,0)</f>
        <v/>
      </c>
      <c r="U303" s="31">
        <f>IFERROR(SUMPRODUCT(tFlag*(ISNUMBER(tMatYr)*(tMatYr&gt;=$W303)*(tMatYr&lt;$X303)),tUPBf,tWLF)/$E303,0)</f>
        <v/>
      </c>
      <c r="W303" s="55" t="n">
        <v>2027</v>
      </c>
      <c r="X303" s="55" t="n">
        <v>2028</v>
      </c>
    </row>
    <row r="304">
      <c r="B304" s="18" t="inlineStr">
        <is>
          <t>2028</t>
        </is>
      </c>
      <c r="C304" s="19">
        <f>SUMPRODUCT(tFlag*(ISNUMBER(tMatYr)*(tMatYr&gt;=$W304)*(tMatYr&lt;$X304)))</f>
        <v/>
      </c>
      <c r="D304" s="22">
        <f>IFERROR(C304/sLoans,0)</f>
        <v/>
      </c>
      <c r="E304" s="21">
        <f>SUMPRODUCT(tFlag*(ISNUMBER(tMatYr)*(tMatYr&gt;=$W304)*(tMatYr&lt;$X304)),tUPBf)</f>
        <v/>
      </c>
      <c r="F304" s="22">
        <f>IFERROR(E304/sUPB,0)</f>
        <v/>
      </c>
      <c r="G304" s="21">
        <f>IFERROR(E304/C304,0)</f>
        <v/>
      </c>
      <c r="H304" s="23">
        <f>IFERROR(SUMPRODUCT(tFlag*(ISNUMBER(tMatYr)*(tMatYr&gt;=$W304)*(tMatYr&lt;$X304)),tUPBf,tCpn)/SUMPRODUCT(tFlag*(ISNUMBER(tMatYr)*(tMatYr&gt;=$W304)*(tMatYr&lt;$X304))*ISNUMBER(tCpn),tUPBf),0)</f>
        <v/>
      </c>
      <c r="I304" s="24">
        <f>IFERROR(SUMPRODUCT(tFlag*(ISNUMBER(tMatYr)*(tMatYr&gt;=$W304)*(tMatYr&lt;$X304)),tUPBf,tUWDSCR)/SUMPRODUCT(tFlag*(ISNUMBER(tMatYr)*(tMatYr&gt;=$W304)*(tMatYr&lt;$X304))*ISNUMBER(tUWDSCR),tUPBf),0)</f>
        <v/>
      </c>
      <c r="J304" s="24">
        <f>IFERROR(SUMPRODUCT(tFlag*(ISNUMBER(tMatYr)*(tMatYr&gt;=$W304)*(tMatYr&lt;$X304)),tUPBf,tCurDSCR)/SUMPRODUCT(tFlag*(ISNUMBER(tMatYr)*(tMatYr&gt;=$W304)*(tMatYr&lt;$X304))*ISNUMBER(tCurDSCR),tUPBf),0)</f>
        <v/>
      </c>
      <c r="K304" s="22">
        <f>IFERROR(SUMPRODUCT(tFlag*(ISNUMBER(tMatYr)*(tMatYr&gt;=$W304)*(tMatYr&lt;$X304)),tUPBf,tUWLTV)/SUMPRODUCT(tFlag*(ISNUMBER(tMatYr)*(tMatYr&gt;=$W304)*(tMatYr&lt;$X304))*ISNUMBER(tUWLTV),tUPBf),0)</f>
        <v/>
      </c>
      <c r="L304" s="22">
        <f>IFERROR(SUMPRODUCT(tFlag*(ISNUMBER(tMatYr)*(tMatYr&gt;=$W304)*(tMatYr&lt;$X304)),tUPBf,tCurLTV)/SUMPRODUCT(tFlag*(ISNUMBER(tMatYr)*(tMatYr&gt;=$W304)*(tMatYr&lt;$X304))*ISNUMBER(tCurLTV),tUPBf),0)</f>
        <v/>
      </c>
      <c r="M304" s="22">
        <f>IFERROR(SUMPRODUCT(tFlag*(ISNUMBER(tMatYr)*(tMatYr&gt;=$W304)*(tMatYr&lt;$X304)),tUPBf,tUWDY)/SUMPRODUCT(tFlag*(ISNUMBER(tMatYr)*(tMatYr&gt;=$W304)*(tMatYr&lt;$X304))*ISNUMBER(tUWDY),tUPBf),0)</f>
        <v/>
      </c>
      <c r="N304" s="22">
        <f>IFERROR(SUMPRODUCT(tFlag*(ISNUMBER(tMatYr)*(tMatYr&gt;=$W304)*(tMatYr&lt;$X304)),tUPBf,tCurDY)/SUMPRODUCT(tFlag*(ISNUMBER(tMatYr)*(tMatYr&gt;=$W304)*(tMatYr&lt;$X304))*ISNUMBER(tCurDY),tUPBf),0)</f>
        <v/>
      </c>
      <c r="O304" s="22">
        <f>IFERROR(SUMPRODUCT(tFlag*(ISNUMBER(tMatYr)*(tMatYr&gt;=$W304)*(tMatYr&lt;$X304)),tUPBf,tOcc)/SUMPRODUCT(tFlag*(ISNUMBER(tMatYr)*(tMatYr&gt;=$W304)*(tMatYr&lt;$X304))*ISNUMBER(tOcc),tUPBf),0)</f>
        <v/>
      </c>
      <c r="P304" s="45">
        <f>IFERROR(SUMPRODUCT(tFlag*(ISNUMBER(tMatYr)*(tMatYr&gt;=$W304)*(tMatYr&lt;$X304)),tUPBf,tRem)/SUMPRODUCT(tFlag*(ISNUMBER(tMatYr)*(tMatYr&gt;=$W304)*(tMatYr&lt;$X304))*ISNUMBER(tRem),tUPBf),0)</f>
        <v/>
      </c>
      <c r="Q304" s="22">
        <f>IFERROR(SUMPRODUCT(tFlag*(ISNUMBER(tMatYr)*(tMatYr&gt;=$W304)*(tMatYr&lt;$X304)),tUPBf,tFIO)/$E304,0)</f>
        <v/>
      </c>
      <c r="R304" s="22">
        <f>IFERROR(SUMPRODUCT(tFlag*(ISNUMBER(tMatYr)*(tMatYr&gt;=$W304)*(tMatYr&lt;$X304)),tUPBf,tDefF)/$E304,0)</f>
        <v/>
      </c>
      <c r="S304" s="22">
        <f>IFERROR(SUMPRODUCT(tFlag*(ISNUMBER(tMatYr)*(tMatYr&gt;=$W304)*(tMatYr&lt;$X304)),tUPBf,tSSF)/$E304,0)</f>
        <v/>
      </c>
      <c r="T304" s="22">
        <f>IFERROR(SUMPRODUCT(tFlag*(ISNUMBER(tMatYr)*(tMatYr&gt;=$W304)*(tMatYr&lt;$X304)),tUPBf,tDQ)/$E304,0)</f>
        <v/>
      </c>
      <c r="U304" s="22">
        <f>IFERROR(SUMPRODUCT(tFlag*(ISNUMBER(tMatYr)*(tMatYr&gt;=$W304)*(tMatYr&lt;$X304)),tUPBf,tWLF)/$E304,0)</f>
        <v/>
      </c>
      <c r="W304" s="55" t="n">
        <v>2028</v>
      </c>
      <c r="X304" s="55" t="n">
        <v>2029</v>
      </c>
    </row>
    <row r="305">
      <c r="B305" s="27" t="inlineStr">
        <is>
          <t>2029</t>
        </is>
      </c>
      <c r="C305" s="28">
        <f>SUMPRODUCT(tFlag*(ISNUMBER(tMatYr)*(tMatYr&gt;=$W305)*(tMatYr&lt;$X305)))</f>
        <v/>
      </c>
      <c r="D305" s="31">
        <f>IFERROR(C305/sLoans,0)</f>
        <v/>
      </c>
      <c r="E305" s="30">
        <f>SUMPRODUCT(tFlag*(ISNUMBER(tMatYr)*(tMatYr&gt;=$W305)*(tMatYr&lt;$X305)),tUPBf)</f>
        <v/>
      </c>
      <c r="F305" s="31">
        <f>IFERROR(E305/sUPB,0)</f>
        <v/>
      </c>
      <c r="G305" s="30">
        <f>IFERROR(E305/C305,0)</f>
        <v/>
      </c>
      <c r="H305" s="32">
        <f>IFERROR(SUMPRODUCT(tFlag*(ISNUMBER(tMatYr)*(tMatYr&gt;=$W305)*(tMatYr&lt;$X305)),tUPBf,tCpn)/SUMPRODUCT(tFlag*(ISNUMBER(tMatYr)*(tMatYr&gt;=$W305)*(tMatYr&lt;$X305))*ISNUMBER(tCpn),tUPBf),0)</f>
        <v/>
      </c>
      <c r="I305" s="33">
        <f>IFERROR(SUMPRODUCT(tFlag*(ISNUMBER(tMatYr)*(tMatYr&gt;=$W305)*(tMatYr&lt;$X305)),tUPBf,tUWDSCR)/SUMPRODUCT(tFlag*(ISNUMBER(tMatYr)*(tMatYr&gt;=$W305)*(tMatYr&lt;$X305))*ISNUMBER(tUWDSCR),tUPBf),0)</f>
        <v/>
      </c>
      <c r="J305" s="33">
        <f>IFERROR(SUMPRODUCT(tFlag*(ISNUMBER(tMatYr)*(tMatYr&gt;=$W305)*(tMatYr&lt;$X305)),tUPBf,tCurDSCR)/SUMPRODUCT(tFlag*(ISNUMBER(tMatYr)*(tMatYr&gt;=$W305)*(tMatYr&lt;$X305))*ISNUMBER(tCurDSCR),tUPBf),0)</f>
        <v/>
      </c>
      <c r="K305" s="31">
        <f>IFERROR(SUMPRODUCT(tFlag*(ISNUMBER(tMatYr)*(tMatYr&gt;=$W305)*(tMatYr&lt;$X305)),tUPBf,tUWLTV)/SUMPRODUCT(tFlag*(ISNUMBER(tMatYr)*(tMatYr&gt;=$W305)*(tMatYr&lt;$X305))*ISNUMBER(tUWLTV),tUPBf),0)</f>
        <v/>
      </c>
      <c r="L305" s="31">
        <f>IFERROR(SUMPRODUCT(tFlag*(ISNUMBER(tMatYr)*(tMatYr&gt;=$W305)*(tMatYr&lt;$X305)),tUPBf,tCurLTV)/SUMPRODUCT(tFlag*(ISNUMBER(tMatYr)*(tMatYr&gt;=$W305)*(tMatYr&lt;$X305))*ISNUMBER(tCurLTV),tUPBf),0)</f>
        <v/>
      </c>
      <c r="M305" s="31">
        <f>IFERROR(SUMPRODUCT(tFlag*(ISNUMBER(tMatYr)*(tMatYr&gt;=$W305)*(tMatYr&lt;$X305)),tUPBf,tUWDY)/SUMPRODUCT(tFlag*(ISNUMBER(tMatYr)*(tMatYr&gt;=$W305)*(tMatYr&lt;$X305))*ISNUMBER(tUWDY),tUPBf),0)</f>
        <v/>
      </c>
      <c r="N305" s="31">
        <f>IFERROR(SUMPRODUCT(tFlag*(ISNUMBER(tMatYr)*(tMatYr&gt;=$W305)*(tMatYr&lt;$X305)),tUPBf,tCurDY)/SUMPRODUCT(tFlag*(ISNUMBER(tMatYr)*(tMatYr&gt;=$W305)*(tMatYr&lt;$X305))*ISNUMBER(tCurDY),tUPBf),0)</f>
        <v/>
      </c>
      <c r="O305" s="31">
        <f>IFERROR(SUMPRODUCT(tFlag*(ISNUMBER(tMatYr)*(tMatYr&gt;=$W305)*(tMatYr&lt;$X305)),tUPBf,tOcc)/SUMPRODUCT(tFlag*(ISNUMBER(tMatYr)*(tMatYr&gt;=$W305)*(tMatYr&lt;$X305))*ISNUMBER(tOcc),tUPBf),0)</f>
        <v/>
      </c>
      <c r="P305" s="47">
        <f>IFERROR(SUMPRODUCT(tFlag*(ISNUMBER(tMatYr)*(tMatYr&gt;=$W305)*(tMatYr&lt;$X305)),tUPBf,tRem)/SUMPRODUCT(tFlag*(ISNUMBER(tMatYr)*(tMatYr&gt;=$W305)*(tMatYr&lt;$X305))*ISNUMBER(tRem),tUPBf),0)</f>
        <v/>
      </c>
      <c r="Q305" s="31">
        <f>IFERROR(SUMPRODUCT(tFlag*(ISNUMBER(tMatYr)*(tMatYr&gt;=$W305)*(tMatYr&lt;$X305)),tUPBf,tFIO)/$E305,0)</f>
        <v/>
      </c>
      <c r="R305" s="31">
        <f>IFERROR(SUMPRODUCT(tFlag*(ISNUMBER(tMatYr)*(tMatYr&gt;=$W305)*(tMatYr&lt;$X305)),tUPBf,tDefF)/$E305,0)</f>
        <v/>
      </c>
      <c r="S305" s="31">
        <f>IFERROR(SUMPRODUCT(tFlag*(ISNUMBER(tMatYr)*(tMatYr&gt;=$W305)*(tMatYr&lt;$X305)),tUPBf,tSSF)/$E305,0)</f>
        <v/>
      </c>
      <c r="T305" s="31">
        <f>IFERROR(SUMPRODUCT(tFlag*(ISNUMBER(tMatYr)*(tMatYr&gt;=$W305)*(tMatYr&lt;$X305)),tUPBf,tDQ)/$E305,0)</f>
        <v/>
      </c>
      <c r="U305" s="31">
        <f>IFERROR(SUMPRODUCT(tFlag*(ISNUMBER(tMatYr)*(tMatYr&gt;=$W305)*(tMatYr&lt;$X305)),tUPBf,tWLF)/$E305,0)</f>
        <v/>
      </c>
      <c r="W305" s="55" t="n">
        <v>2029</v>
      </c>
      <c r="X305" s="55" t="n">
        <v>2030</v>
      </c>
    </row>
    <row r="306">
      <c r="B306" s="18" t="inlineStr">
        <is>
          <t>2030 and After</t>
        </is>
      </c>
      <c r="C306" s="19">
        <f>SUMPRODUCT(tFlag*(ISNUMBER(tMatYr)*(tMatYr&gt;=$W306)*(tMatYr&lt;$X306)))</f>
        <v/>
      </c>
      <c r="D306" s="22">
        <f>IFERROR(C306/sLoans,0)</f>
        <v/>
      </c>
      <c r="E306" s="21">
        <f>SUMPRODUCT(tFlag*(ISNUMBER(tMatYr)*(tMatYr&gt;=$W306)*(tMatYr&lt;$X306)),tUPBf)</f>
        <v/>
      </c>
      <c r="F306" s="22">
        <f>IFERROR(E306/sUPB,0)</f>
        <v/>
      </c>
      <c r="G306" s="21">
        <f>IFERROR(E306/C306,0)</f>
        <v/>
      </c>
      <c r="H306" s="23">
        <f>IFERROR(SUMPRODUCT(tFlag*(ISNUMBER(tMatYr)*(tMatYr&gt;=$W306)*(tMatYr&lt;$X306)),tUPBf,tCpn)/SUMPRODUCT(tFlag*(ISNUMBER(tMatYr)*(tMatYr&gt;=$W306)*(tMatYr&lt;$X306))*ISNUMBER(tCpn),tUPBf),0)</f>
        <v/>
      </c>
      <c r="I306" s="24">
        <f>IFERROR(SUMPRODUCT(tFlag*(ISNUMBER(tMatYr)*(tMatYr&gt;=$W306)*(tMatYr&lt;$X306)),tUPBf,tUWDSCR)/SUMPRODUCT(tFlag*(ISNUMBER(tMatYr)*(tMatYr&gt;=$W306)*(tMatYr&lt;$X306))*ISNUMBER(tUWDSCR),tUPBf),0)</f>
        <v/>
      </c>
      <c r="J306" s="24">
        <f>IFERROR(SUMPRODUCT(tFlag*(ISNUMBER(tMatYr)*(tMatYr&gt;=$W306)*(tMatYr&lt;$X306)),tUPBf,tCurDSCR)/SUMPRODUCT(tFlag*(ISNUMBER(tMatYr)*(tMatYr&gt;=$W306)*(tMatYr&lt;$X306))*ISNUMBER(tCurDSCR),tUPBf),0)</f>
        <v/>
      </c>
      <c r="K306" s="22">
        <f>IFERROR(SUMPRODUCT(tFlag*(ISNUMBER(tMatYr)*(tMatYr&gt;=$W306)*(tMatYr&lt;$X306)),tUPBf,tUWLTV)/SUMPRODUCT(tFlag*(ISNUMBER(tMatYr)*(tMatYr&gt;=$W306)*(tMatYr&lt;$X306))*ISNUMBER(tUWLTV),tUPBf),0)</f>
        <v/>
      </c>
      <c r="L306" s="22">
        <f>IFERROR(SUMPRODUCT(tFlag*(ISNUMBER(tMatYr)*(tMatYr&gt;=$W306)*(tMatYr&lt;$X306)),tUPBf,tCurLTV)/SUMPRODUCT(tFlag*(ISNUMBER(tMatYr)*(tMatYr&gt;=$W306)*(tMatYr&lt;$X306))*ISNUMBER(tCurLTV),tUPBf),0)</f>
        <v/>
      </c>
      <c r="M306" s="22">
        <f>IFERROR(SUMPRODUCT(tFlag*(ISNUMBER(tMatYr)*(tMatYr&gt;=$W306)*(tMatYr&lt;$X306)),tUPBf,tUWDY)/SUMPRODUCT(tFlag*(ISNUMBER(tMatYr)*(tMatYr&gt;=$W306)*(tMatYr&lt;$X306))*ISNUMBER(tUWDY),tUPBf),0)</f>
        <v/>
      </c>
      <c r="N306" s="22">
        <f>IFERROR(SUMPRODUCT(tFlag*(ISNUMBER(tMatYr)*(tMatYr&gt;=$W306)*(tMatYr&lt;$X306)),tUPBf,tCurDY)/SUMPRODUCT(tFlag*(ISNUMBER(tMatYr)*(tMatYr&gt;=$W306)*(tMatYr&lt;$X306))*ISNUMBER(tCurDY),tUPBf),0)</f>
        <v/>
      </c>
      <c r="O306" s="22">
        <f>IFERROR(SUMPRODUCT(tFlag*(ISNUMBER(tMatYr)*(tMatYr&gt;=$W306)*(tMatYr&lt;$X306)),tUPBf,tOcc)/SUMPRODUCT(tFlag*(ISNUMBER(tMatYr)*(tMatYr&gt;=$W306)*(tMatYr&lt;$X306))*ISNUMBER(tOcc),tUPBf),0)</f>
        <v/>
      </c>
      <c r="P306" s="45">
        <f>IFERROR(SUMPRODUCT(tFlag*(ISNUMBER(tMatYr)*(tMatYr&gt;=$W306)*(tMatYr&lt;$X306)),tUPBf,tRem)/SUMPRODUCT(tFlag*(ISNUMBER(tMatYr)*(tMatYr&gt;=$W306)*(tMatYr&lt;$X306))*ISNUMBER(tRem),tUPBf),0)</f>
        <v/>
      </c>
      <c r="Q306" s="22">
        <f>IFERROR(SUMPRODUCT(tFlag*(ISNUMBER(tMatYr)*(tMatYr&gt;=$W306)*(tMatYr&lt;$X306)),tUPBf,tFIO)/$E306,0)</f>
        <v/>
      </c>
      <c r="R306" s="22">
        <f>IFERROR(SUMPRODUCT(tFlag*(ISNUMBER(tMatYr)*(tMatYr&gt;=$W306)*(tMatYr&lt;$X306)),tUPBf,tDefF)/$E306,0)</f>
        <v/>
      </c>
      <c r="S306" s="22">
        <f>IFERROR(SUMPRODUCT(tFlag*(ISNUMBER(tMatYr)*(tMatYr&gt;=$W306)*(tMatYr&lt;$X306)),tUPBf,tSSF)/$E306,0)</f>
        <v/>
      </c>
      <c r="T306" s="22">
        <f>IFERROR(SUMPRODUCT(tFlag*(ISNUMBER(tMatYr)*(tMatYr&gt;=$W306)*(tMatYr&lt;$X306)),tUPBf,tDQ)/$E306,0)</f>
        <v/>
      </c>
      <c r="U306" s="22">
        <f>IFERROR(SUMPRODUCT(tFlag*(ISNUMBER(tMatYr)*(tMatYr&gt;=$W306)*(tMatYr&lt;$X306)),tUPBf,tWLF)/$E306,0)</f>
        <v/>
      </c>
      <c r="W306" s="55" t="n">
        <v>2030</v>
      </c>
      <c r="X306" s="55" t="n">
        <v>1000000000000</v>
      </c>
    </row>
    <row r="307">
      <c r="B307" s="36" t="inlineStr">
        <is>
          <t>Total / Wtd. Avg.</t>
        </is>
      </c>
      <c r="C307" s="37">
        <f>SUMPRODUCT(tFlag*(1))</f>
        <v/>
      </c>
      <c r="D307" s="40">
        <f>IFERROR(C307/sLoans,0)</f>
        <v/>
      </c>
      <c r="E307" s="39">
        <f>SUMPRODUCT(tFlag*(1),tUPBf)</f>
        <v/>
      </c>
      <c r="F307" s="40">
        <f>IFERROR(E307/sUPB,0)</f>
        <v/>
      </c>
      <c r="G307" s="39">
        <f>IFERROR(E307/C307,0)</f>
        <v/>
      </c>
      <c r="H307" s="41">
        <f>IFERROR(SUMPRODUCT(tFlag*(1),tUPBf,tCpn)/SUMPRODUCT(tFlag*(1)*ISNUMBER(tCpn),tUPBf),0)</f>
        <v/>
      </c>
      <c r="I307" s="42">
        <f>IFERROR(SUMPRODUCT(tFlag*(1),tUPBf,tUWDSCR)/SUMPRODUCT(tFlag*(1)*ISNUMBER(tUWDSCR),tUPBf),0)</f>
        <v/>
      </c>
      <c r="J307" s="42">
        <f>IFERROR(SUMPRODUCT(tFlag*(1),tUPBf,tCurDSCR)/SUMPRODUCT(tFlag*(1)*ISNUMBER(tCurDSCR),tUPBf),0)</f>
        <v/>
      </c>
      <c r="K307" s="40">
        <f>IFERROR(SUMPRODUCT(tFlag*(1),tUPBf,tUWLTV)/SUMPRODUCT(tFlag*(1)*ISNUMBER(tUWLTV),tUPBf),0)</f>
        <v/>
      </c>
      <c r="L307" s="40">
        <f>IFERROR(SUMPRODUCT(tFlag*(1),tUPBf,tCurLTV)/SUMPRODUCT(tFlag*(1)*ISNUMBER(tCurLTV),tUPBf),0)</f>
        <v/>
      </c>
      <c r="M307" s="40">
        <f>IFERROR(SUMPRODUCT(tFlag*(1),tUPBf,tUWDY)/SUMPRODUCT(tFlag*(1)*ISNUMBER(tUWDY),tUPBf),0)</f>
        <v/>
      </c>
      <c r="N307" s="40">
        <f>IFERROR(SUMPRODUCT(tFlag*(1),tUPBf,tCurDY)/SUMPRODUCT(tFlag*(1)*ISNUMBER(tCurDY),tUPBf),0)</f>
        <v/>
      </c>
      <c r="O307" s="40">
        <f>IFERROR(SUMPRODUCT(tFlag*(1),tUPBf,tOcc)/SUMPRODUCT(tFlag*(1)*ISNUMBER(tOcc),tUPBf),0)</f>
        <v/>
      </c>
      <c r="P307" s="43">
        <f>IFERROR(SUMPRODUCT(tFlag*(1),tUPBf,tRem)/SUMPRODUCT(tFlag*(1)*ISNUMBER(tRem),tUPBf),0)</f>
        <v/>
      </c>
      <c r="Q307" s="40">
        <f>IFERROR(SUMPRODUCT(tFlag*(1),tUPBf,tFIO)/$E307,0)</f>
        <v/>
      </c>
      <c r="R307" s="40">
        <f>IFERROR(SUMPRODUCT(tFlag*(1),tUPBf,tDefF)/$E307,0)</f>
        <v/>
      </c>
      <c r="S307" s="40">
        <f>IFERROR(SUMPRODUCT(tFlag*(1),tUPBf,tSSF)/$E307,0)</f>
        <v/>
      </c>
      <c r="T307" s="40">
        <f>IFERROR(SUMPRODUCT(tFlag*(1),tUPBf,tDQ)/$E307,0)</f>
        <v/>
      </c>
      <c r="U307" s="40">
        <f>IFERROR(SUMPRODUCT(tFlag*(1),tUPBf,tWLF)/$E307,0)</f>
        <v/>
      </c>
    </row>
    <row r="308">
      <c r="B308" s="14" t="inlineStr">
        <is>
          <t>ARD loans are bucketed on the anticipated repayment date, consistent with the Intex remaining term; the final hyper amortization maturity sits on the Collat Tape tab.</t>
        </is>
      </c>
    </row>
    <row r="310" ht="15" customHeight="1">
      <c r="B310" s="2" t="inlineStr">
        <is>
          <t>LOAN ORIGINATION VINTAGE</t>
        </is>
      </c>
      <c r="C310" s="3" t="n"/>
      <c r="D310" s="3" t="n"/>
      <c r="E310" s="3" t="n"/>
      <c r="F310" s="3" t="n"/>
      <c r="G310" s="3" t="n"/>
      <c r="H310" s="3" t="n"/>
      <c r="I310" s="3" t="n"/>
      <c r="J310" s="3" t="n"/>
      <c r="K310" s="3" t="n"/>
      <c r="L310" s="3" t="n"/>
      <c r="M310" s="3" t="n"/>
      <c r="N310" s="3" t="n"/>
      <c r="O310" s="3" t="n"/>
      <c r="P310" s="3" t="n"/>
      <c r="Q310" s="3" t="n"/>
      <c r="R310" s="3" t="n"/>
      <c r="S310" s="3" t="n"/>
      <c r="T310" s="3" t="n"/>
      <c r="U310" s="3" t="n"/>
    </row>
    <row r="311" ht="39.75" customHeight="1">
      <c r="B311" s="15" t="inlineStr">
        <is>
          <t>Bucket</t>
        </is>
      </c>
      <c r="C311" s="16" t="inlineStr">
        <is>
          <t>Number of Loans</t>
        </is>
      </c>
      <c r="D311" s="16" t="inlineStr">
        <is>
          <t>% of Loans</t>
        </is>
      </c>
      <c r="E311" s="16" t="inlineStr">
        <is>
          <t>Current UPB</t>
        </is>
      </c>
      <c r="F311" s="16" t="inlineStr">
        <is>
          <t>% of UPB</t>
        </is>
      </c>
      <c r="G311" s="16" t="inlineStr">
        <is>
          <t>Average Loan Size</t>
        </is>
      </c>
      <c r="H311" s="16" t="inlineStr">
        <is>
          <t>Wtd. Avg. Gross Coupon</t>
        </is>
      </c>
      <c r="I311" s="16" t="inlineStr">
        <is>
          <t>Wtd. Avg. UW NCF DSCR</t>
        </is>
      </c>
      <c r="J311" s="16" t="inlineStr">
        <is>
          <t>Wtd. Avg. Current NCF DSCR</t>
        </is>
      </c>
      <c r="K311" s="16" t="inlineStr">
        <is>
          <t>Wtd. Avg. UW LTV</t>
        </is>
      </c>
      <c r="L311" s="16" t="inlineStr">
        <is>
          <t>Wtd. Avg. Current LTV</t>
        </is>
      </c>
      <c r="M311" s="16" t="inlineStr">
        <is>
          <t>Wtd. Avg. UW NCF Debt Yield</t>
        </is>
      </c>
      <c r="N311" s="16" t="inlineStr">
        <is>
          <t>Wtd. Avg. Current NCF Debt Yield</t>
        </is>
      </c>
      <c r="O311" s="16" t="inlineStr">
        <is>
          <t>Wtd. Avg. Current Occupancy</t>
        </is>
      </c>
      <c r="P311" s="16" t="inlineStr">
        <is>
          <t>Wtd. Avg. Rem. Term (Mo.)</t>
        </is>
      </c>
      <c r="Q311" s="16" t="inlineStr">
        <is>
          <t>% Full IO</t>
        </is>
      </c>
      <c r="R311" s="16" t="inlineStr">
        <is>
          <t>% Defeased</t>
        </is>
      </c>
      <c r="S311" s="16" t="inlineStr">
        <is>
          <t>% Currently Specially Serviced</t>
        </is>
      </c>
      <c r="T311" s="16" t="inlineStr">
        <is>
          <t>% 30+ Delinq. / FC / REO</t>
        </is>
      </c>
      <c r="U311" s="16" t="inlineStr">
        <is>
          <t>% On Watchlist</t>
        </is>
      </c>
      <c r="W311" s="17" t="inlineStr">
        <is>
          <t>Lower Bound (&gt;=)</t>
        </is>
      </c>
      <c r="X311" s="17" t="inlineStr">
        <is>
          <t>Upper Bound (&lt;)</t>
        </is>
      </c>
    </row>
    <row r="312">
      <c r="B312" s="18" t="inlineStr">
        <is>
          <t>2016 and Prior</t>
        </is>
      </c>
      <c r="C312" s="19">
        <f>SUMPRODUCT(tFlag*(ISNUMBER(tOrigYr)*(tOrigYr&gt;=$W312)*(tOrigYr&lt;$X312)))</f>
        <v/>
      </c>
      <c r="D312" s="22">
        <f>IFERROR(C312/sLoans,0)</f>
        <v/>
      </c>
      <c r="E312" s="21">
        <f>SUMPRODUCT(tFlag*(ISNUMBER(tOrigYr)*(tOrigYr&gt;=$W312)*(tOrigYr&lt;$X312)),tUPBf)</f>
        <v/>
      </c>
      <c r="F312" s="22">
        <f>IFERROR(E312/sUPB,0)</f>
        <v/>
      </c>
      <c r="G312" s="21">
        <f>IFERROR(E312/C312,0)</f>
        <v/>
      </c>
      <c r="H312" s="23">
        <f>IFERROR(SUMPRODUCT(tFlag*(ISNUMBER(tOrigYr)*(tOrigYr&gt;=$W312)*(tOrigYr&lt;$X312)),tUPBf,tCpn)/SUMPRODUCT(tFlag*(ISNUMBER(tOrigYr)*(tOrigYr&gt;=$W312)*(tOrigYr&lt;$X312))*ISNUMBER(tCpn),tUPBf),0)</f>
        <v/>
      </c>
      <c r="I312" s="24">
        <f>IFERROR(SUMPRODUCT(tFlag*(ISNUMBER(tOrigYr)*(tOrigYr&gt;=$W312)*(tOrigYr&lt;$X312)),tUPBf,tUWDSCR)/SUMPRODUCT(tFlag*(ISNUMBER(tOrigYr)*(tOrigYr&gt;=$W312)*(tOrigYr&lt;$X312))*ISNUMBER(tUWDSCR),tUPBf),0)</f>
        <v/>
      </c>
      <c r="J312" s="24">
        <f>IFERROR(SUMPRODUCT(tFlag*(ISNUMBER(tOrigYr)*(tOrigYr&gt;=$W312)*(tOrigYr&lt;$X312)),tUPBf,tCurDSCR)/SUMPRODUCT(tFlag*(ISNUMBER(tOrigYr)*(tOrigYr&gt;=$W312)*(tOrigYr&lt;$X312))*ISNUMBER(tCurDSCR),tUPBf),0)</f>
        <v/>
      </c>
      <c r="K312" s="22">
        <f>IFERROR(SUMPRODUCT(tFlag*(ISNUMBER(tOrigYr)*(tOrigYr&gt;=$W312)*(tOrigYr&lt;$X312)),tUPBf,tUWLTV)/SUMPRODUCT(tFlag*(ISNUMBER(tOrigYr)*(tOrigYr&gt;=$W312)*(tOrigYr&lt;$X312))*ISNUMBER(tUWLTV),tUPBf),0)</f>
        <v/>
      </c>
      <c r="L312" s="22">
        <f>IFERROR(SUMPRODUCT(tFlag*(ISNUMBER(tOrigYr)*(tOrigYr&gt;=$W312)*(tOrigYr&lt;$X312)),tUPBf,tCurLTV)/SUMPRODUCT(tFlag*(ISNUMBER(tOrigYr)*(tOrigYr&gt;=$W312)*(tOrigYr&lt;$X312))*ISNUMBER(tCurLTV),tUPBf),0)</f>
        <v/>
      </c>
      <c r="M312" s="22">
        <f>IFERROR(SUMPRODUCT(tFlag*(ISNUMBER(tOrigYr)*(tOrigYr&gt;=$W312)*(tOrigYr&lt;$X312)),tUPBf,tUWDY)/SUMPRODUCT(tFlag*(ISNUMBER(tOrigYr)*(tOrigYr&gt;=$W312)*(tOrigYr&lt;$X312))*ISNUMBER(tUWDY),tUPBf),0)</f>
        <v/>
      </c>
      <c r="N312" s="22">
        <f>IFERROR(SUMPRODUCT(tFlag*(ISNUMBER(tOrigYr)*(tOrigYr&gt;=$W312)*(tOrigYr&lt;$X312)),tUPBf,tCurDY)/SUMPRODUCT(tFlag*(ISNUMBER(tOrigYr)*(tOrigYr&gt;=$W312)*(tOrigYr&lt;$X312))*ISNUMBER(tCurDY),tUPBf),0)</f>
        <v/>
      </c>
      <c r="O312" s="22">
        <f>IFERROR(SUMPRODUCT(tFlag*(ISNUMBER(tOrigYr)*(tOrigYr&gt;=$W312)*(tOrigYr&lt;$X312)),tUPBf,tOcc)/SUMPRODUCT(tFlag*(ISNUMBER(tOrigYr)*(tOrigYr&gt;=$W312)*(tOrigYr&lt;$X312))*ISNUMBER(tOcc),tUPBf),0)</f>
        <v/>
      </c>
      <c r="P312" s="45">
        <f>IFERROR(SUMPRODUCT(tFlag*(ISNUMBER(tOrigYr)*(tOrigYr&gt;=$W312)*(tOrigYr&lt;$X312)),tUPBf,tRem)/SUMPRODUCT(tFlag*(ISNUMBER(tOrigYr)*(tOrigYr&gt;=$W312)*(tOrigYr&lt;$X312))*ISNUMBER(tRem),tUPBf),0)</f>
        <v/>
      </c>
      <c r="Q312" s="22">
        <f>IFERROR(SUMPRODUCT(tFlag*(ISNUMBER(tOrigYr)*(tOrigYr&gt;=$W312)*(tOrigYr&lt;$X312)),tUPBf,tFIO)/$E312,0)</f>
        <v/>
      </c>
      <c r="R312" s="22">
        <f>IFERROR(SUMPRODUCT(tFlag*(ISNUMBER(tOrigYr)*(tOrigYr&gt;=$W312)*(tOrigYr&lt;$X312)),tUPBf,tDefF)/$E312,0)</f>
        <v/>
      </c>
      <c r="S312" s="22">
        <f>IFERROR(SUMPRODUCT(tFlag*(ISNUMBER(tOrigYr)*(tOrigYr&gt;=$W312)*(tOrigYr&lt;$X312)),tUPBf,tSSF)/$E312,0)</f>
        <v/>
      </c>
      <c r="T312" s="22">
        <f>IFERROR(SUMPRODUCT(tFlag*(ISNUMBER(tOrigYr)*(tOrigYr&gt;=$W312)*(tOrigYr&lt;$X312)),tUPBf,tDQ)/$E312,0)</f>
        <v/>
      </c>
      <c r="U312" s="22">
        <f>IFERROR(SUMPRODUCT(tFlag*(ISNUMBER(tOrigYr)*(tOrigYr&gt;=$W312)*(tOrigYr&lt;$X312)),tUPBf,tWLF)/$E312,0)</f>
        <v/>
      </c>
      <c r="W312" s="55" t="n">
        <v>-1000000000000</v>
      </c>
      <c r="X312" s="55" t="n">
        <v>2017</v>
      </c>
    </row>
    <row r="313">
      <c r="B313" s="27" t="inlineStr">
        <is>
          <t>2017</t>
        </is>
      </c>
      <c r="C313" s="28">
        <f>SUMPRODUCT(tFlag*(ISNUMBER(tOrigYr)*(tOrigYr&gt;=$W313)*(tOrigYr&lt;$X313)))</f>
        <v/>
      </c>
      <c r="D313" s="31">
        <f>IFERROR(C313/sLoans,0)</f>
        <v/>
      </c>
      <c r="E313" s="30">
        <f>SUMPRODUCT(tFlag*(ISNUMBER(tOrigYr)*(tOrigYr&gt;=$W313)*(tOrigYr&lt;$X313)),tUPBf)</f>
        <v/>
      </c>
      <c r="F313" s="31">
        <f>IFERROR(E313/sUPB,0)</f>
        <v/>
      </c>
      <c r="G313" s="30">
        <f>IFERROR(E313/C313,0)</f>
        <v/>
      </c>
      <c r="H313" s="32">
        <f>IFERROR(SUMPRODUCT(tFlag*(ISNUMBER(tOrigYr)*(tOrigYr&gt;=$W313)*(tOrigYr&lt;$X313)),tUPBf,tCpn)/SUMPRODUCT(tFlag*(ISNUMBER(tOrigYr)*(tOrigYr&gt;=$W313)*(tOrigYr&lt;$X313))*ISNUMBER(tCpn),tUPBf),0)</f>
        <v/>
      </c>
      <c r="I313" s="33">
        <f>IFERROR(SUMPRODUCT(tFlag*(ISNUMBER(tOrigYr)*(tOrigYr&gt;=$W313)*(tOrigYr&lt;$X313)),tUPBf,tUWDSCR)/SUMPRODUCT(tFlag*(ISNUMBER(tOrigYr)*(tOrigYr&gt;=$W313)*(tOrigYr&lt;$X313))*ISNUMBER(tUWDSCR),tUPBf),0)</f>
        <v/>
      </c>
      <c r="J313" s="33">
        <f>IFERROR(SUMPRODUCT(tFlag*(ISNUMBER(tOrigYr)*(tOrigYr&gt;=$W313)*(tOrigYr&lt;$X313)),tUPBf,tCurDSCR)/SUMPRODUCT(tFlag*(ISNUMBER(tOrigYr)*(tOrigYr&gt;=$W313)*(tOrigYr&lt;$X313))*ISNUMBER(tCurDSCR),tUPBf),0)</f>
        <v/>
      </c>
      <c r="K313" s="31">
        <f>IFERROR(SUMPRODUCT(tFlag*(ISNUMBER(tOrigYr)*(tOrigYr&gt;=$W313)*(tOrigYr&lt;$X313)),tUPBf,tUWLTV)/SUMPRODUCT(tFlag*(ISNUMBER(tOrigYr)*(tOrigYr&gt;=$W313)*(tOrigYr&lt;$X313))*ISNUMBER(tUWLTV),tUPBf),0)</f>
        <v/>
      </c>
      <c r="L313" s="31">
        <f>IFERROR(SUMPRODUCT(tFlag*(ISNUMBER(tOrigYr)*(tOrigYr&gt;=$W313)*(tOrigYr&lt;$X313)),tUPBf,tCurLTV)/SUMPRODUCT(tFlag*(ISNUMBER(tOrigYr)*(tOrigYr&gt;=$W313)*(tOrigYr&lt;$X313))*ISNUMBER(tCurLTV),tUPBf),0)</f>
        <v/>
      </c>
      <c r="M313" s="31">
        <f>IFERROR(SUMPRODUCT(tFlag*(ISNUMBER(tOrigYr)*(tOrigYr&gt;=$W313)*(tOrigYr&lt;$X313)),tUPBf,tUWDY)/SUMPRODUCT(tFlag*(ISNUMBER(tOrigYr)*(tOrigYr&gt;=$W313)*(tOrigYr&lt;$X313))*ISNUMBER(tUWDY),tUPBf),0)</f>
        <v/>
      </c>
      <c r="N313" s="31">
        <f>IFERROR(SUMPRODUCT(tFlag*(ISNUMBER(tOrigYr)*(tOrigYr&gt;=$W313)*(tOrigYr&lt;$X313)),tUPBf,tCurDY)/SUMPRODUCT(tFlag*(ISNUMBER(tOrigYr)*(tOrigYr&gt;=$W313)*(tOrigYr&lt;$X313))*ISNUMBER(tCurDY),tUPBf),0)</f>
        <v/>
      </c>
      <c r="O313" s="31">
        <f>IFERROR(SUMPRODUCT(tFlag*(ISNUMBER(tOrigYr)*(tOrigYr&gt;=$W313)*(tOrigYr&lt;$X313)),tUPBf,tOcc)/SUMPRODUCT(tFlag*(ISNUMBER(tOrigYr)*(tOrigYr&gt;=$W313)*(tOrigYr&lt;$X313))*ISNUMBER(tOcc),tUPBf),0)</f>
        <v/>
      </c>
      <c r="P313" s="47">
        <f>IFERROR(SUMPRODUCT(tFlag*(ISNUMBER(tOrigYr)*(tOrigYr&gt;=$W313)*(tOrigYr&lt;$X313)),tUPBf,tRem)/SUMPRODUCT(tFlag*(ISNUMBER(tOrigYr)*(tOrigYr&gt;=$W313)*(tOrigYr&lt;$X313))*ISNUMBER(tRem),tUPBf),0)</f>
        <v/>
      </c>
      <c r="Q313" s="31">
        <f>IFERROR(SUMPRODUCT(tFlag*(ISNUMBER(tOrigYr)*(tOrigYr&gt;=$W313)*(tOrigYr&lt;$X313)),tUPBf,tFIO)/$E313,0)</f>
        <v/>
      </c>
      <c r="R313" s="31">
        <f>IFERROR(SUMPRODUCT(tFlag*(ISNUMBER(tOrigYr)*(tOrigYr&gt;=$W313)*(tOrigYr&lt;$X313)),tUPBf,tDefF)/$E313,0)</f>
        <v/>
      </c>
      <c r="S313" s="31">
        <f>IFERROR(SUMPRODUCT(tFlag*(ISNUMBER(tOrigYr)*(tOrigYr&gt;=$W313)*(tOrigYr&lt;$X313)),tUPBf,tSSF)/$E313,0)</f>
        <v/>
      </c>
      <c r="T313" s="31">
        <f>IFERROR(SUMPRODUCT(tFlag*(ISNUMBER(tOrigYr)*(tOrigYr&gt;=$W313)*(tOrigYr&lt;$X313)),tUPBf,tDQ)/$E313,0)</f>
        <v/>
      </c>
      <c r="U313" s="31">
        <f>IFERROR(SUMPRODUCT(tFlag*(ISNUMBER(tOrigYr)*(tOrigYr&gt;=$W313)*(tOrigYr&lt;$X313)),tUPBf,tWLF)/$E313,0)</f>
        <v/>
      </c>
      <c r="W313" s="55" t="n">
        <v>2017</v>
      </c>
      <c r="X313" s="55" t="n">
        <v>2018</v>
      </c>
    </row>
    <row r="314">
      <c r="B314" s="18" t="inlineStr">
        <is>
          <t>2018</t>
        </is>
      </c>
      <c r="C314" s="19">
        <f>SUMPRODUCT(tFlag*(ISNUMBER(tOrigYr)*(tOrigYr&gt;=$W314)*(tOrigYr&lt;$X314)))</f>
        <v/>
      </c>
      <c r="D314" s="22">
        <f>IFERROR(C314/sLoans,0)</f>
        <v/>
      </c>
      <c r="E314" s="21">
        <f>SUMPRODUCT(tFlag*(ISNUMBER(tOrigYr)*(tOrigYr&gt;=$W314)*(tOrigYr&lt;$X314)),tUPBf)</f>
        <v/>
      </c>
      <c r="F314" s="22">
        <f>IFERROR(E314/sUPB,0)</f>
        <v/>
      </c>
      <c r="G314" s="21">
        <f>IFERROR(E314/C314,0)</f>
        <v/>
      </c>
      <c r="H314" s="23">
        <f>IFERROR(SUMPRODUCT(tFlag*(ISNUMBER(tOrigYr)*(tOrigYr&gt;=$W314)*(tOrigYr&lt;$X314)),tUPBf,tCpn)/SUMPRODUCT(tFlag*(ISNUMBER(tOrigYr)*(tOrigYr&gt;=$W314)*(tOrigYr&lt;$X314))*ISNUMBER(tCpn),tUPBf),0)</f>
        <v/>
      </c>
      <c r="I314" s="24">
        <f>IFERROR(SUMPRODUCT(tFlag*(ISNUMBER(tOrigYr)*(tOrigYr&gt;=$W314)*(tOrigYr&lt;$X314)),tUPBf,tUWDSCR)/SUMPRODUCT(tFlag*(ISNUMBER(tOrigYr)*(tOrigYr&gt;=$W314)*(tOrigYr&lt;$X314))*ISNUMBER(tUWDSCR),tUPBf),0)</f>
        <v/>
      </c>
      <c r="J314" s="24">
        <f>IFERROR(SUMPRODUCT(tFlag*(ISNUMBER(tOrigYr)*(tOrigYr&gt;=$W314)*(tOrigYr&lt;$X314)),tUPBf,tCurDSCR)/SUMPRODUCT(tFlag*(ISNUMBER(tOrigYr)*(tOrigYr&gt;=$W314)*(tOrigYr&lt;$X314))*ISNUMBER(tCurDSCR),tUPBf),0)</f>
        <v/>
      </c>
      <c r="K314" s="22">
        <f>IFERROR(SUMPRODUCT(tFlag*(ISNUMBER(tOrigYr)*(tOrigYr&gt;=$W314)*(tOrigYr&lt;$X314)),tUPBf,tUWLTV)/SUMPRODUCT(tFlag*(ISNUMBER(tOrigYr)*(tOrigYr&gt;=$W314)*(tOrigYr&lt;$X314))*ISNUMBER(tUWLTV),tUPBf),0)</f>
        <v/>
      </c>
      <c r="L314" s="22">
        <f>IFERROR(SUMPRODUCT(tFlag*(ISNUMBER(tOrigYr)*(tOrigYr&gt;=$W314)*(tOrigYr&lt;$X314)),tUPBf,tCurLTV)/SUMPRODUCT(tFlag*(ISNUMBER(tOrigYr)*(tOrigYr&gt;=$W314)*(tOrigYr&lt;$X314))*ISNUMBER(tCurLTV),tUPBf),0)</f>
        <v/>
      </c>
      <c r="M314" s="22">
        <f>IFERROR(SUMPRODUCT(tFlag*(ISNUMBER(tOrigYr)*(tOrigYr&gt;=$W314)*(tOrigYr&lt;$X314)),tUPBf,tUWDY)/SUMPRODUCT(tFlag*(ISNUMBER(tOrigYr)*(tOrigYr&gt;=$W314)*(tOrigYr&lt;$X314))*ISNUMBER(tUWDY),tUPBf),0)</f>
        <v/>
      </c>
      <c r="N314" s="22">
        <f>IFERROR(SUMPRODUCT(tFlag*(ISNUMBER(tOrigYr)*(tOrigYr&gt;=$W314)*(tOrigYr&lt;$X314)),tUPBf,tCurDY)/SUMPRODUCT(tFlag*(ISNUMBER(tOrigYr)*(tOrigYr&gt;=$W314)*(tOrigYr&lt;$X314))*ISNUMBER(tCurDY),tUPBf),0)</f>
        <v/>
      </c>
      <c r="O314" s="22">
        <f>IFERROR(SUMPRODUCT(tFlag*(ISNUMBER(tOrigYr)*(tOrigYr&gt;=$W314)*(tOrigYr&lt;$X314)),tUPBf,tOcc)/SUMPRODUCT(tFlag*(ISNUMBER(tOrigYr)*(tOrigYr&gt;=$W314)*(tOrigYr&lt;$X314))*ISNUMBER(tOcc),tUPBf),0)</f>
        <v/>
      </c>
      <c r="P314" s="45">
        <f>IFERROR(SUMPRODUCT(tFlag*(ISNUMBER(tOrigYr)*(tOrigYr&gt;=$W314)*(tOrigYr&lt;$X314)),tUPBf,tRem)/SUMPRODUCT(tFlag*(ISNUMBER(tOrigYr)*(tOrigYr&gt;=$W314)*(tOrigYr&lt;$X314))*ISNUMBER(tRem),tUPBf),0)</f>
        <v/>
      </c>
      <c r="Q314" s="22">
        <f>IFERROR(SUMPRODUCT(tFlag*(ISNUMBER(tOrigYr)*(tOrigYr&gt;=$W314)*(tOrigYr&lt;$X314)),tUPBf,tFIO)/$E314,0)</f>
        <v/>
      </c>
      <c r="R314" s="22">
        <f>IFERROR(SUMPRODUCT(tFlag*(ISNUMBER(tOrigYr)*(tOrigYr&gt;=$W314)*(tOrigYr&lt;$X314)),tUPBf,tDefF)/$E314,0)</f>
        <v/>
      </c>
      <c r="S314" s="22">
        <f>IFERROR(SUMPRODUCT(tFlag*(ISNUMBER(tOrigYr)*(tOrigYr&gt;=$W314)*(tOrigYr&lt;$X314)),tUPBf,tSSF)/$E314,0)</f>
        <v/>
      </c>
      <c r="T314" s="22">
        <f>IFERROR(SUMPRODUCT(tFlag*(ISNUMBER(tOrigYr)*(tOrigYr&gt;=$W314)*(tOrigYr&lt;$X314)),tUPBf,tDQ)/$E314,0)</f>
        <v/>
      </c>
      <c r="U314" s="22">
        <f>IFERROR(SUMPRODUCT(tFlag*(ISNUMBER(tOrigYr)*(tOrigYr&gt;=$W314)*(tOrigYr&lt;$X314)),tUPBf,tWLF)/$E314,0)</f>
        <v/>
      </c>
      <c r="W314" s="55" t="n">
        <v>2018</v>
      </c>
      <c r="X314" s="55" t="n">
        <v>2019</v>
      </c>
    </row>
    <row r="315">
      <c r="B315" s="27" t="inlineStr">
        <is>
          <t>2019 and After</t>
        </is>
      </c>
      <c r="C315" s="28">
        <f>SUMPRODUCT(tFlag*(ISNUMBER(tOrigYr)*(tOrigYr&gt;=$W315)*(tOrigYr&lt;$X315)))</f>
        <v/>
      </c>
      <c r="D315" s="31">
        <f>IFERROR(C315/sLoans,0)</f>
        <v/>
      </c>
      <c r="E315" s="30">
        <f>SUMPRODUCT(tFlag*(ISNUMBER(tOrigYr)*(tOrigYr&gt;=$W315)*(tOrigYr&lt;$X315)),tUPBf)</f>
        <v/>
      </c>
      <c r="F315" s="31">
        <f>IFERROR(E315/sUPB,0)</f>
        <v/>
      </c>
      <c r="G315" s="30">
        <f>IFERROR(E315/C315,0)</f>
        <v/>
      </c>
      <c r="H315" s="32">
        <f>IFERROR(SUMPRODUCT(tFlag*(ISNUMBER(tOrigYr)*(tOrigYr&gt;=$W315)*(tOrigYr&lt;$X315)),tUPBf,tCpn)/SUMPRODUCT(tFlag*(ISNUMBER(tOrigYr)*(tOrigYr&gt;=$W315)*(tOrigYr&lt;$X315))*ISNUMBER(tCpn),tUPBf),0)</f>
        <v/>
      </c>
      <c r="I315" s="33">
        <f>IFERROR(SUMPRODUCT(tFlag*(ISNUMBER(tOrigYr)*(tOrigYr&gt;=$W315)*(tOrigYr&lt;$X315)),tUPBf,tUWDSCR)/SUMPRODUCT(tFlag*(ISNUMBER(tOrigYr)*(tOrigYr&gt;=$W315)*(tOrigYr&lt;$X315))*ISNUMBER(tUWDSCR),tUPBf),0)</f>
        <v/>
      </c>
      <c r="J315" s="33">
        <f>IFERROR(SUMPRODUCT(tFlag*(ISNUMBER(tOrigYr)*(tOrigYr&gt;=$W315)*(tOrigYr&lt;$X315)),tUPBf,tCurDSCR)/SUMPRODUCT(tFlag*(ISNUMBER(tOrigYr)*(tOrigYr&gt;=$W315)*(tOrigYr&lt;$X315))*ISNUMBER(tCurDSCR),tUPBf),0)</f>
        <v/>
      </c>
      <c r="K315" s="31">
        <f>IFERROR(SUMPRODUCT(tFlag*(ISNUMBER(tOrigYr)*(tOrigYr&gt;=$W315)*(tOrigYr&lt;$X315)),tUPBf,tUWLTV)/SUMPRODUCT(tFlag*(ISNUMBER(tOrigYr)*(tOrigYr&gt;=$W315)*(tOrigYr&lt;$X315))*ISNUMBER(tUWLTV),tUPBf),0)</f>
        <v/>
      </c>
      <c r="L315" s="31">
        <f>IFERROR(SUMPRODUCT(tFlag*(ISNUMBER(tOrigYr)*(tOrigYr&gt;=$W315)*(tOrigYr&lt;$X315)),tUPBf,tCurLTV)/SUMPRODUCT(tFlag*(ISNUMBER(tOrigYr)*(tOrigYr&gt;=$W315)*(tOrigYr&lt;$X315))*ISNUMBER(tCurLTV),tUPBf),0)</f>
        <v/>
      </c>
      <c r="M315" s="31">
        <f>IFERROR(SUMPRODUCT(tFlag*(ISNUMBER(tOrigYr)*(tOrigYr&gt;=$W315)*(tOrigYr&lt;$X315)),tUPBf,tUWDY)/SUMPRODUCT(tFlag*(ISNUMBER(tOrigYr)*(tOrigYr&gt;=$W315)*(tOrigYr&lt;$X315))*ISNUMBER(tUWDY),tUPBf),0)</f>
        <v/>
      </c>
      <c r="N315" s="31">
        <f>IFERROR(SUMPRODUCT(tFlag*(ISNUMBER(tOrigYr)*(tOrigYr&gt;=$W315)*(tOrigYr&lt;$X315)),tUPBf,tCurDY)/SUMPRODUCT(tFlag*(ISNUMBER(tOrigYr)*(tOrigYr&gt;=$W315)*(tOrigYr&lt;$X315))*ISNUMBER(tCurDY),tUPBf),0)</f>
        <v/>
      </c>
      <c r="O315" s="31">
        <f>IFERROR(SUMPRODUCT(tFlag*(ISNUMBER(tOrigYr)*(tOrigYr&gt;=$W315)*(tOrigYr&lt;$X315)),tUPBf,tOcc)/SUMPRODUCT(tFlag*(ISNUMBER(tOrigYr)*(tOrigYr&gt;=$W315)*(tOrigYr&lt;$X315))*ISNUMBER(tOcc),tUPBf),0)</f>
        <v/>
      </c>
      <c r="P315" s="47">
        <f>IFERROR(SUMPRODUCT(tFlag*(ISNUMBER(tOrigYr)*(tOrigYr&gt;=$W315)*(tOrigYr&lt;$X315)),tUPBf,tRem)/SUMPRODUCT(tFlag*(ISNUMBER(tOrigYr)*(tOrigYr&gt;=$W315)*(tOrigYr&lt;$X315))*ISNUMBER(tRem),tUPBf),0)</f>
        <v/>
      </c>
      <c r="Q315" s="31">
        <f>IFERROR(SUMPRODUCT(tFlag*(ISNUMBER(tOrigYr)*(tOrigYr&gt;=$W315)*(tOrigYr&lt;$X315)),tUPBf,tFIO)/$E315,0)</f>
        <v/>
      </c>
      <c r="R315" s="31">
        <f>IFERROR(SUMPRODUCT(tFlag*(ISNUMBER(tOrigYr)*(tOrigYr&gt;=$W315)*(tOrigYr&lt;$X315)),tUPBf,tDefF)/$E315,0)</f>
        <v/>
      </c>
      <c r="S315" s="31">
        <f>IFERROR(SUMPRODUCT(tFlag*(ISNUMBER(tOrigYr)*(tOrigYr&gt;=$W315)*(tOrigYr&lt;$X315)),tUPBf,tSSF)/$E315,0)</f>
        <v/>
      </c>
      <c r="T315" s="31">
        <f>IFERROR(SUMPRODUCT(tFlag*(ISNUMBER(tOrigYr)*(tOrigYr&gt;=$W315)*(tOrigYr&lt;$X315)),tUPBf,tDQ)/$E315,0)</f>
        <v/>
      </c>
      <c r="U315" s="31">
        <f>IFERROR(SUMPRODUCT(tFlag*(ISNUMBER(tOrigYr)*(tOrigYr&gt;=$W315)*(tOrigYr&lt;$X315)),tUPBf,tWLF)/$E315,0)</f>
        <v/>
      </c>
      <c r="W315" s="55" t="n">
        <v>2019</v>
      </c>
      <c r="X315" s="55" t="n">
        <v>1000000000000</v>
      </c>
    </row>
    <row r="316">
      <c r="B316" s="36" t="inlineStr">
        <is>
          <t>Total / Wtd. Avg.</t>
        </is>
      </c>
      <c r="C316" s="37">
        <f>SUMPRODUCT(tFlag*(1))</f>
        <v/>
      </c>
      <c r="D316" s="40">
        <f>IFERROR(C316/sLoans,0)</f>
        <v/>
      </c>
      <c r="E316" s="39">
        <f>SUMPRODUCT(tFlag*(1),tUPBf)</f>
        <v/>
      </c>
      <c r="F316" s="40">
        <f>IFERROR(E316/sUPB,0)</f>
        <v/>
      </c>
      <c r="G316" s="39">
        <f>IFERROR(E316/C316,0)</f>
        <v/>
      </c>
      <c r="H316" s="41">
        <f>IFERROR(SUMPRODUCT(tFlag*(1),tUPBf,tCpn)/SUMPRODUCT(tFlag*(1)*ISNUMBER(tCpn),tUPBf),0)</f>
        <v/>
      </c>
      <c r="I316" s="42">
        <f>IFERROR(SUMPRODUCT(tFlag*(1),tUPBf,tUWDSCR)/SUMPRODUCT(tFlag*(1)*ISNUMBER(tUWDSCR),tUPBf),0)</f>
        <v/>
      </c>
      <c r="J316" s="42">
        <f>IFERROR(SUMPRODUCT(tFlag*(1),tUPBf,tCurDSCR)/SUMPRODUCT(tFlag*(1)*ISNUMBER(tCurDSCR),tUPBf),0)</f>
        <v/>
      </c>
      <c r="K316" s="40">
        <f>IFERROR(SUMPRODUCT(tFlag*(1),tUPBf,tUWLTV)/SUMPRODUCT(tFlag*(1)*ISNUMBER(tUWLTV),tUPBf),0)</f>
        <v/>
      </c>
      <c r="L316" s="40">
        <f>IFERROR(SUMPRODUCT(tFlag*(1),tUPBf,tCurLTV)/SUMPRODUCT(tFlag*(1)*ISNUMBER(tCurLTV),tUPBf),0)</f>
        <v/>
      </c>
      <c r="M316" s="40">
        <f>IFERROR(SUMPRODUCT(tFlag*(1),tUPBf,tUWDY)/SUMPRODUCT(tFlag*(1)*ISNUMBER(tUWDY),tUPBf),0)</f>
        <v/>
      </c>
      <c r="N316" s="40">
        <f>IFERROR(SUMPRODUCT(tFlag*(1),tUPBf,tCurDY)/SUMPRODUCT(tFlag*(1)*ISNUMBER(tCurDY),tUPBf),0)</f>
        <v/>
      </c>
      <c r="O316" s="40">
        <f>IFERROR(SUMPRODUCT(tFlag*(1),tUPBf,tOcc)/SUMPRODUCT(tFlag*(1)*ISNUMBER(tOcc),tUPBf),0)</f>
        <v/>
      </c>
      <c r="P316" s="43">
        <f>IFERROR(SUMPRODUCT(tFlag*(1),tUPBf,tRem)/SUMPRODUCT(tFlag*(1)*ISNUMBER(tRem),tUPBf),0)</f>
        <v/>
      </c>
      <c r="Q316" s="40">
        <f>IFERROR(SUMPRODUCT(tFlag*(1),tUPBf,tFIO)/$E316,0)</f>
        <v/>
      </c>
      <c r="R316" s="40">
        <f>IFERROR(SUMPRODUCT(tFlag*(1),tUPBf,tDefF)/$E316,0)</f>
        <v/>
      </c>
      <c r="S316" s="40">
        <f>IFERROR(SUMPRODUCT(tFlag*(1),tUPBf,tSSF)/$E316,0)</f>
        <v/>
      </c>
      <c r="T316" s="40">
        <f>IFERROR(SUMPRODUCT(tFlag*(1),tUPBf,tDQ)/$E316,0)</f>
        <v/>
      </c>
      <c r="U316" s="40">
        <f>IFERROR(SUMPRODUCT(tFlag*(1),tUPBf,tWLF)/$E316,0)</f>
        <v/>
      </c>
    </row>
    <row r="317">
      <c r="B317" s="14" t="inlineStr">
        <is>
          <t>Origination year per the Intex loan Issue Date.</t>
        </is>
      </c>
    </row>
    <row r="319" ht="15" customHeight="1">
      <c r="B319" s="2" t="inlineStr">
        <is>
          <t>ASSET VINTAGE (YEAR BUILT, EARLIEST)</t>
        </is>
      </c>
      <c r="C319" s="3" t="n"/>
      <c r="D319" s="3" t="n"/>
      <c r="E319" s="3" t="n"/>
      <c r="F319" s="3" t="n"/>
      <c r="G319" s="3" t="n"/>
      <c r="H319" s="3" t="n"/>
      <c r="I319" s="3" t="n"/>
      <c r="J319" s="3" t="n"/>
      <c r="K319" s="3" t="n"/>
      <c r="L319" s="3" t="n"/>
      <c r="M319" s="3" t="n"/>
      <c r="N319" s="3" t="n"/>
      <c r="O319" s="3" t="n"/>
      <c r="P319" s="3" t="n"/>
      <c r="Q319" s="3" t="n"/>
      <c r="R319" s="3" t="n"/>
      <c r="S319" s="3" t="n"/>
      <c r="T319" s="3" t="n"/>
      <c r="U319" s="3" t="n"/>
    </row>
    <row r="320" ht="39.75" customHeight="1">
      <c r="B320" s="15" t="inlineStr">
        <is>
          <t>Bucket</t>
        </is>
      </c>
      <c r="C320" s="16" t="inlineStr">
        <is>
          <t>Number of Loans</t>
        </is>
      </c>
      <c r="D320" s="16" t="inlineStr">
        <is>
          <t>% of Loans</t>
        </is>
      </c>
      <c r="E320" s="16" t="inlineStr">
        <is>
          <t>Current UPB</t>
        </is>
      </c>
      <c r="F320" s="16" t="inlineStr">
        <is>
          <t>% of UPB</t>
        </is>
      </c>
      <c r="G320" s="16" t="inlineStr">
        <is>
          <t>Average Loan Size</t>
        </is>
      </c>
      <c r="H320" s="16" t="inlineStr">
        <is>
          <t>Wtd. Avg. Gross Coupon</t>
        </is>
      </c>
      <c r="I320" s="16" t="inlineStr">
        <is>
          <t>Wtd. Avg. UW NCF DSCR</t>
        </is>
      </c>
      <c r="J320" s="16" t="inlineStr">
        <is>
          <t>Wtd. Avg. Current NCF DSCR</t>
        </is>
      </c>
      <c r="K320" s="16" t="inlineStr">
        <is>
          <t>Wtd. Avg. UW LTV</t>
        </is>
      </c>
      <c r="L320" s="16" t="inlineStr">
        <is>
          <t>Wtd. Avg. Current LTV</t>
        </is>
      </c>
      <c r="M320" s="16" t="inlineStr">
        <is>
          <t>Wtd. Avg. UW NCF Debt Yield</t>
        </is>
      </c>
      <c r="N320" s="16" t="inlineStr">
        <is>
          <t>Wtd. Avg. Current NCF Debt Yield</t>
        </is>
      </c>
      <c r="O320" s="16" t="inlineStr">
        <is>
          <t>Wtd. Avg. Current Occupancy</t>
        </is>
      </c>
      <c r="P320" s="16" t="inlineStr">
        <is>
          <t>Wtd. Avg. Rem. Term (Mo.)</t>
        </is>
      </c>
      <c r="Q320" s="16" t="inlineStr">
        <is>
          <t>% Full IO</t>
        </is>
      </c>
      <c r="R320" s="16" t="inlineStr">
        <is>
          <t>% Defeased</t>
        </is>
      </c>
      <c r="S320" s="16" t="inlineStr">
        <is>
          <t>% Currently Specially Serviced</t>
        </is>
      </c>
      <c r="T320" s="16" t="inlineStr">
        <is>
          <t>% 30+ Delinq. / FC / REO</t>
        </is>
      </c>
      <c r="U320" s="16" t="inlineStr">
        <is>
          <t>% On Watchlist</t>
        </is>
      </c>
      <c r="W320" s="17" t="inlineStr">
        <is>
          <t>Lower Bound (&gt;=)</t>
        </is>
      </c>
      <c r="X320" s="17" t="inlineStr">
        <is>
          <t>Upper Bound (&lt;)</t>
        </is>
      </c>
    </row>
    <row r="321">
      <c r="B321" s="18" t="inlineStr">
        <is>
          <t>Before 1960</t>
        </is>
      </c>
      <c r="C321" s="19">
        <f>SUMPRODUCT(tFlag*(ISNUMBER(tYB)*(tYB&gt;=$W321)*(tYB&lt;$X321)))</f>
        <v/>
      </c>
      <c r="D321" s="22">
        <f>IFERROR(C321/sLoans,0)</f>
        <v/>
      </c>
      <c r="E321" s="21">
        <f>SUMPRODUCT(tFlag*(ISNUMBER(tYB)*(tYB&gt;=$W321)*(tYB&lt;$X321)),tUPBf)</f>
        <v/>
      </c>
      <c r="F321" s="22">
        <f>IFERROR(E321/sUPB,0)</f>
        <v/>
      </c>
      <c r="G321" s="21">
        <f>IFERROR(E321/C321,0)</f>
        <v/>
      </c>
      <c r="H321" s="23">
        <f>IFERROR(SUMPRODUCT(tFlag*(ISNUMBER(tYB)*(tYB&gt;=$W321)*(tYB&lt;$X321)),tUPBf,tCpn)/SUMPRODUCT(tFlag*(ISNUMBER(tYB)*(tYB&gt;=$W321)*(tYB&lt;$X321))*ISNUMBER(tCpn),tUPBf),0)</f>
        <v/>
      </c>
      <c r="I321" s="24">
        <f>IFERROR(SUMPRODUCT(tFlag*(ISNUMBER(tYB)*(tYB&gt;=$W321)*(tYB&lt;$X321)),tUPBf,tUWDSCR)/SUMPRODUCT(tFlag*(ISNUMBER(tYB)*(tYB&gt;=$W321)*(tYB&lt;$X321))*ISNUMBER(tUWDSCR),tUPBf),0)</f>
        <v/>
      </c>
      <c r="J321" s="24">
        <f>IFERROR(SUMPRODUCT(tFlag*(ISNUMBER(tYB)*(tYB&gt;=$W321)*(tYB&lt;$X321)),tUPBf,tCurDSCR)/SUMPRODUCT(tFlag*(ISNUMBER(tYB)*(tYB&gt;=$W321)*(tYB&lt;$X321))*ISNUMBER(tCurDSCR),tUPBf),0)</f>
        <v/>
      </c>
      <c r="K321" s="22">
        <f>IFERROR(SUMPRODUCT(tFlag*(ISNUMBER(tYB)*(tYB&gt;=$W321)*(tYB&lt;$X321)),tUPBf,tUWLTV)/SUMPRODUCT(tFlag*(ISNUMBER(tYB)*(tYB&gt;=$W321)*(tYB&lt;$X321))*ISNUMBER(tUWLTV),tUPBf),0)</f>
        <v/>
      </c>
      <c r="L321" s="22">
        <f>IFERROR(SUMPRODUCT(tFlag*(ISNUMBER(tYB)*(tYB&gt;=$W321)*(tYB&lt;$X321)),tUPBf,tCurLTV)/SUMPRODUCT(tFlag*(ISNUMBER(tYB)*(tYB&gt;=$W321)*(tYB&lt;$X321))*ISNUMBER(tCurLTV),tUPBf),0)</f>
        <v/>
      </c>
      <c r="M321" s="22">
        <f>IFERROR(SUMPRODUCT(tFlag*(ISNUMBER(tYB)*(tYB&gt;=$W321)*(tYB&lt;$X321)),tUPBf,tUWDY)/SUMPRODUCT(tFlag*(ISNUMBER(tYB)*(tYB&gt;=$W321)*(tYB&lt;$X321))*ISNUMBER(tUWDY),tUPBf),0)</f>
        <v/>
      </c>
      <c r="N321" s="22">
        <f>IFERROR(SUMPRODUCT(tFlag*(ISNUMBER(tYB)*(tYB&gt;=$W321)*(tYB&lt;$X321)),tUPBf,tCurDY)/SUMPRODUCT(tFlag*(ISNUMBER(tYB)*(tYB&gt;=$W321)*(tYB&lt;$X321))*ISNUMBER(tCurDY),tUPBf),0)</f>
        <v/>
      </c>
      <c r="O321" s="22">
        <f>IFERROR(SUMPRODUCT(tFlag*(ISNUMBER(tYB)*(tYB&gt;=$W321)*(tYB&lt;$X321)),tUPBf,tOcc)/SUMPRODUCT(tFlag*(ISNUMBER(tYB)*(tYB&gt;=$W321)*(tYB&lt;$X321))*ISNUMBER(tOcc),tUPBf),0)</f>
        <v/>
      </c>
      <c r="P321" s="45">
        <f>IFERROR(SUMPRODUCT(tFlag*(ISNUMBER(tYB)*(tYB&gt;=$W321)*(tYB&lt;$X321)),tUPBf,tRem)/SUMPRODUCT(tFlag*(ISNUMBER(tYB)*(tYB&gt;=$W321)*(tYB&lt;$X321))*ISNUMBER(tRem),tUPBf),0)</f>
        <v/>
      </c>
      <c r="Q321" s="22">
        <f>IFERROR(SUMPRODUCT(tFlag*(ISNUMBER(tYB)*(tYB&gt;=$W321)*(tYB&lt;$X321)),tUPBf,tFIO)/$E321,0)</f>
        <v/>
      </c>
      <c r="R321" s="22">
        <f>IFERROR(SUMPRODUCT(tFlag*(ISNUMBER(tYB)*(tYB&gt;=$W321)*(tYB&lt;$X321)),tUPBf,tDefF)/$E321,0)</f>
        <v/>
      </c>
      <c r="S321" s="22">
        <f>IFERROR(SUMPRODUCT(tFlag*(ISNUMBER(tYB)*(tYB&gt;=$W321)*(tYB&lt;$X321)),tUPBf,tSSF)/$E321,0)</f>
        <v/>
      </c>
      <c r="T321" s="22">
        <f>IFERROR(SUMPRODUCT(tFlag*(ISNUMBER(tYB)*(tYB&gt;=$W321)*(tYB&lt;$X321)),tUPBf,tDQ)/$E321,0)</f>
        <v/>
      </c>
      <c r="U321" s="22">
        <f>IFERROR(SUMPRODUCT(tFlag*(ISNUMBER(tYB)*(tYB&gt;=$W321)*(tYB&lt;$X321)),tUPBf,tWLF)/$E321,0)</f>
        <v/>
      </c>
      <c r="W321" s="55" t="n">
        <v>-1000000000000</v>
      </c>
      <c r="X321" s="55" t="n">
        <v>1960</v>
      </c>
    </row>
    <row r="322">
      <c r="B322" s="27" t="inlineStr">
        <is>
          <t>1960 to 1979</t>
        </is>
      </c>
      <c r="C322" s="28">
        <f>SUMPRODUCT(tFlag*(ISNUMBER(tYB)*(tYB&gt;=$W322)*(tYB&lt;$X322)))</f>
        <v/>
      </c>
      <c r="D322" s="31">
        <f>IFERROR(C322/sLoans,0)</f>
        <v/>
      </c>
      <c r="E322" s="30">
        <f>SUMPRODUCT(tFlag*(ISNUMBER(tYB)*(tYB&gt;=$W322)*(tYB&lt;$X322)),tUPBf)</f>
        <v/>
      </c>
      <c r="F322" s="31">
        <f>IFERROR(E322/sUPB,0)</f>
        <v/>
      </c>
      <c r="G322" s="30">
        <f>IFERROR(E322/C322,0)</f>
        <v/>
      </c>
      <c r="H322" s="32">
        <f>IFERROR(SUMPRODUCT(tFlag*(ISNUMBER(tYB)*(tYB&gt;=$W322)*(tYB&lt;$X322)),tUPBf,tCpn)/SUMPRODUCT(tFlag*(ISNUMBER(tYB)*(tYB&gt;=$W322)*(tYB&lt;$X322))*ISNUMBER(tCpn),tUPBf),0)</f>
        <v/>
      </c>
      <c r="I322" s="33">
        <f>IFERROR(SUMPRODUCT(tFlag*(ISNUMBER(tYB)*(tYB&gt;=$W322)*(tYB&lt;$X322)),tUPBf,tUWDSCR)/SUMPRODUCT(tFlag*(ISNUMBER(tYB)*(tYB&gt;=$W322)*(tYB&lt;$X322))*ISNUMBER(tUWDSCR),tUPBf),0)</f>
        <v/>
      </c>
      <c r="J322" s="33">
        <f>IFERROR(SUMPRODUCT(tFlag*(ISNUMBER(tYB)*(tYB&gt;=$W322)*(tYB&lt;$X322)),tUPBf,tCurDSCR)/SUMPRODUCT(tFlag*(ISNUMBER(tYB)*(tYB&gt;=$W322)*(tYB&lt;$X322))*ISNUMBER(tCurDSCR),tUPBf),0)</f>
        <v/>
      </c>
      <c r="K322" s="31">
        <f>IFERROR(SUMPRODUCT(tFlag*(ISNUMBER(tYB)*(tYB&gt;=$W322)*(tYB&lt;$X322)),tUPBf,tUWLTV)/SUMPRODUCT(tFlag*(ISNUMBER(tYB)*(tYB&gt;=$W322)*(tYB&lt;$X322))*ISNUMBER(tUWLTV),tUPBf),0)</f>
        <v/>
      </c>
      <c r="L322" s="31">
        <f>IFERROR(SUMPRODUCT(tFlag*(ISNUMBER(tYB)*(tYB&gt;=$W322)*(tYB&lt;$X322)),tUPBf,tCurLTV)/SUMPRODUCT(tFlag*(ISNUMBER(tYB)*(tYB&gt;=$W322)*(tYB&lt;$X322))*ISNUMBER(tCurLTV),tUPBf),0)</f>
        <v/>
      </c>
      <c r="M322" s="31">
        <f>IFERROR(SUMPRODUCT(tFlag*(ISNUMBER(tYB)*(tYB&gt;=$W322)*(tYB&lt;$X322)),tUPBf,tUWDY)/SUMPRODUCT(tFlag*(ISNUMBER(tYB)*(tYB&gt;=$W322)*(tYB&lt;$X322))*ISNUMBER(tUWDY),tUPBf),0)</f>
        <v/>
      </c>
      <c r="N322" s="31">
        <f>IFERROR(SUMPRODUCT(tFlag*(ISNUMBER(tYB)*(tYB&gt;=$W322)*(tYB&lt;$X322)),tUPBf,tCurDY)/SUMPRODUCT(tFlag*(ISNUMBER(tYB)*(tYB&gt;=$W322)*(tYB&lt;$X322))*ISNUMBER(tCurDY),tUPBf),0)</f>
        <v/>
      </c>
      <c r="O322" s="31">
        <f>IFERROR(SUMPRODUCT(tFlag*(ISNUMBER(tYB)*(tYB&gt;=$W322)*(tYB&lt;$X322)),tUPBf,tOcc)/SUMPRODUCT(tFlag*(ISNUMBER(tYB)*(tYB&gt;=$W322)*(tYB&lt;$X322))*ISNUMBER(tOcc),tUPBf),0)</f>
        <v/>
      </c>
      <c r="P322" s="47">
        <f>IFERROR(SUMPRODUCT(tFlag*(ISNUMBER(tYB)*(tYB&gt;=$W322)*(tYB&lt;$X322)),tUPBf,tRem)/SUMPRODUCT(tFlag*(ISNUMBER(tYB)*(tYB&gt;=$W322)*(tYB&lt;$X322))*ISNUMBER(tRem),tUPBf),0)</f>
        <v/>
      </c>
      <c r="Q322" s="31">
        <f>IFERROR(SUMPRODUCT(tFlag*(ISNUMBER(tYB)*(tYB&gt;=$W322)*(tYB&lt;$X322)),tUPBf,tFIO)/$E322,0)</f>
        <v/>
      </c>
      <c r="R322" s="31">
        <f>IFERROR(SUMPRODUCT(tFlag*(ISNUMBER(tYB)*(tYB&gt;=$W322)*(tYB&lt;$X322)),tUPBf,tDefF)/$E322,0)</f>
        <v/>
      </c>
      <c r="S322" s="31">
        <f>IFERROR(SUMPRODUCT(tFlag*(ISNUMBER(tYB)*(tYB&gt;=$W322)*(tYB&lt;$X322)),tUPBf,tSSF)/$E322,0)</f>
        <v/>
      </c>
      <c r="T322" s="31">
        <f>IFERROR(SUMPRODUCT(tFlag*(ISNUMBER(tYB)*(tYB&gt;=$W322)*(tYB&lt;$X322)),tUPBf,tDQ)/$E322,0)</f>
        <v/>
      </c>
      <c r="U322" s="31">
        <f>IFERROR(SUMPRODUCT(tFlag*(ISNUMBER(tYB)*(tYB&gt;=$W322)*(tYB&lt;$X322)),tUPBf,tWLF)/$E322,0)</f>
        <v/>
      </c>
      <c r="W322" s="55" t="n">
        <v>1960</v>
      </c>
      <c r="X322" s="55" t="n">
        <v>1980</v>
      </c>
    </row>
    <row r="323">
      <c r="B323" s="18" t="inlineStr">
        <is>
          <t>1980 to 1989</t>
        </is>
      </c>
      <c r="C323" s="19">
        <f>SUMPRODUCT(tFlag*(ISNUMBER(tYB)*(tYB&gt;=$W323)*(tYB&lt;$X323)))</f>
        <v/>
      </c>
      <c r="D323" s="22">
        <f>IFERROR(C323/sLoans,0)</f>
        <v/>
      </c>
      <c r="E323" s="21">
        <f>SUMPRODUCT(tFlag*(ISNUMBER(tYB)*(tYB&gt;=$W323)*(tYB&lt;$X323)),tUPBf)</f>
        <v/>
      </c>
      <c r="F323" s="22">
        <f>IFERROR(E323/sUPB,0)</f>
        <v/>
      </c>
      <c r="G323" s="21">
        <f>IFERROR(E323/C323,0)</f>
        <v/>
      </c>
      <c r="H323" s="23">
        <f>IFERROR(SUMPRODUCT(tFlag*(ISNUMBER(tYB)*(tYB&gt;=$W323)*(tYB&lt;$X323)),tUPBf,tCpn)/SUMPRODUCT(tFlag*(ISNUMBER(tYB)*(tYB&gt;=$W323)*(tYB&lt;$X323))*ISNUMBER(tCpn),tUPBf),0)</f>
        <v/>
      </c>
      <c r="I323" s="24">
        <f>IFERROR(SUMPRODUCT(tFlag*(ISNUMBER(tYB)*(tYB&gt;=$W323)*(tYB&lt;$X323)),tUPBf,tUWDSCR)/SUMPRODUCT(tFlag*(ISNUMBER(tYB)*(tYB&gt;=$W323)*(tYB&lt;$X323))*ISNUMBER(tUWDSCR),tUPBf),0)</f>
        <v/>
      </c>
      <c r="J323" s="24">
        <f>IFERROR(SUMPRODUCT(tFlag*(ISNUMBER(tYB)*(tYB&gt;=$W323)*(tYB&lt;$X323)),tUPBf,tCurDSCR)/SUMPRODUCT(tFlag*(ISNUMBER(tYB)*(tYB&gt;=$W323)*(tYB&lt;$X323))*ISNUMBER(tCurDSCR),tUPBf),0)</f>
        <v/>
      </c>
      <c r="K323" s="22">
        <f>IFERROR(SUMPRODUCT(tFlag*(ISNUMBER(tYB)*(tYB&gt;=$W323)*(tYB&lt;$X323)),tUPBf,tUWLTV)/SUMPRODUCT(tFlag*(ISNUMBER(tYB)*(tYB&gt;=$W323)*(tYB&lt;$X323))*ISNUMBER(tUWLTV),tUPBf),0)</f>
        <v/>
      </c>
      <c r="L323" s="22">
        <f>IFERROR(SUMPRODUCT(tFlag*(ISNUMBER(tYB)*(tYB&gt;=$W323)*(tYB&lt;$X323)),tUPBf,tCurLTV)/SUMPRODUCT(tFlag*(ISNUMBER(tYB)*(tYB&gt;=$W323)*(tYB&lt;$X323))*ISNUMBER(tCurLTV),tUPBf),0)</f>
        <v/>
      </c>
      <c r="M323" s="22">
        <f>IFERROR(SUMPRODUCT(tFlag*(ISNUMBER(tYB)*(tYB&gt;=$W323)*(tYB&lt;$X323)),tUPBf,tUWDY)/SUMPRODUCT(tFlag*(ISNUMBER(tYB)*(tYB&gt;=$W323)*(tYB&lt;$X323))*ISNUMBER(tUWDY),tUPBf),0)</f>
        <v/>
      </c>
      <c r="N323" s="22">
        <f>IFERROR(SUMPRODUCT(tFlag*(ISNUMBER(tYB)*(tYB&gt;=$W323)*(tYB&lt;$X323)),tUPBf,tCurDY)/SUMPRODUCT(tFlag*(ISNUMBER(tYB)*(tYB&gt;=$W323)*(tYB&lt;$X323))*ISNUMBER(tCurDY),tUPBf),0)</f>
        <v/>
      </c>
      <c r="O323" s="22">
        <f>IFERROR(SUMPRODUCT(tFlag*(ISNUMBER(tYB)*(tYB&gt;=$W323)*(tYB&lt;$X323)),tUPBf,tOcc)/SUMPRODUCT(tFlag*(ISNUMBER(tYB)*(tYB&gt;=$W323)*(tYB&lt;$X323))*ISNUMBER(tOcc),tUPBf),0)</f>
        <v/>
      </c>
      <c r="P323" s="45">
        <f>IFERROR(SUMPRODUCT(tFlag*(ISNUMBER(tYB)*(tYB&gt;=$W323)*(tYB&lt;$X323)),tUPBf,tRem)/SUMPRODUCT(tFlag*(ISNUMBER(tYB)*(tYB&gt;=$W323)*(tYB&lt;$X323))*ISNUMBER(tRem),tUPBf),0)</f>
        <v/>
      </c>
      <c r="Q323" s="22">
        <f>IFERROR(SUMPRODUCT(tFlag*(ISNUMBER(tYB)*(tYB&gt;=$W323)*(tYB&lt;$X323)),tUPBf,tFIO)/$E323,0)</f>
        <v/>
      </c>
      <c r="R323" s="22">
        <f>IFERROR(SUMPRODUCT(tFlag*(ISNUMBER(tYB)*(tYB&gt;=$W323)*(tYB&lt;$X323)),tUPBf,tDefF)/$E323,0)</f>
        <v/>
      </c>
      <c r="S323" s="22">
        <f>IFERROR(SUMPRODUCT(tFlag*(ISNUMBER(tYB)*(tYB&gt;=$W323)*(tYB&lt;$X323)),tUPBf,tSSF)/$E323,0)</f>
        <v/>
      </c>
      <c r="T323" s="22">
        <f>IFERROR(SUMPRODUCT(tFlag*(ISNUMBER(tYB)*(tYB&gt;=$W323)*(tYB&lt;$X323)),tUPBf,tDQ)/$E323,0)</f>
        <v/>
      </c>
      <c r="U323" s="22">
        <f>IFERROR(SUMPRODUCT(tFlag*(ISNUMBER(tYB)*(tYB&gt;=$W323)*(tYB&lt;$X323)),tUPBf,tWLF)/$E323,0)</f>
        <v/>
      </c>
      <c r="W323" s="55" t="n">
        <v>1980</v>
      </c>
      <c r="X323" s="55" t="n">
        <v>1990</v>
      </c>
    </row>
    <row r="324">
      <c r="B324" s="27" t="inlineStr">
        <is>
          <t>1990 to 1999</t>
        </is>
      </c>
      <c r="C324" s="28">
        <f>SUMPRODUCT(tFlag*(ISNUMBER(tYB)*(tYB&gt;=$W324)*(tYB&lt;$X324)))</f>
        <v/>
      </c>
      <c r="D324" s="31">
        <f>IFERROR(C324/sLoans,0)</f>
        <v/>
      </c>
      <c r="E324" s="30">
        <f>SUMPRODUCT(tFlag*(ISNUMBER(tYB)*(tYB&gt;=$W324)*(tYB&lt;$X324)),tUPBf)</f>
        <v/>
      </c>
      <c r="F324" s="31">
        <f>IFERROR(E324/sUPB,0)</f>
        <v/>
      </c>
      <c r="G324" s="30">
        <f>IFERROR(E324/C324,0)</f>
        <v/>
      </c>
      <c r="H324" s="32">
        <f>IFERROR(SUMPRODUCT(tFlag*(ISNUMBER(tYB)*(tYB&gt;=$W324)*(tYB&lt;$X324)),tUPBf,tCpn)/SUMPRODUCT(tFlag*(ISNUMBER(tYB)*(tYB&gt;=$W324)*(tYB&lt;$X324))*ISNUMBER(tCpn),tUPBf),0)</f>
        <v/>
      </c>
      <c r="I324" s="33">
        <f>IFERROR(SUMPRODUCT(tFlag*(ISNUMBER(tYB)*(tYB&gt;=$W324)*(tYB&lt;$X324)),tUPBf,tUWDSCR)/SUMPRODUCT(tFlag*(ISNUMBER(tYB)*(tYB&gt;=$W324)*(tYB&lt;$X324))*ISNUMBER(tUWDSCR),tUPBf),0)</f>
        <v/>
      </c>
      <c r="J324" s="33">
        <f>IFERROR(SUMPRODUCT(tFlag*(ISNUMBER(tYB)*(tYB&gt;=$W324)*(tYB&lt;$X324)),tUPBf,tCurDSCR)/SUMPRODUCT(tFlag*(ISNUMBER(tYB)*(tYB&gt;=$W324)*(tYB&lt;$X324))*ISNUMBER(tCurDSCR),tUPBf),0)</f>
        <v/>
      </c>
      <c r="K324" s="31">
        <f>IFERROR(SUMPRODUCT(tFlag*(ISNUMBER(tYB)*(tYB&gt;=$W324)*(tYB&lt;$X324)),tUPBf,tUWLTV)/SUMPRODUCT(tFlag*(ISNUMBER(tYB)*(tYB&gt;=$W324)*(tYB&lt;$X324))*ISNUMBER(tUWLTV),tUPBf),0)</f>
        <v/>
      </c>
      <c r="L324" s="31">
        <f>IFERROR(SUMPRODUCT(tFlag*(ISNUMBER(tYB)*(tYB&gt;=$W324)*(tYB&lt;$X324)),tUPBf,tCurLTV)/SUMPRODUCT(tFlag*(ISNUMBER(tYB)*(tYB&gt;=$W324)*(tYB&lt;$X324))*ISNUMBER(tCurLTV),tUPBf),0)</f>
        <v/>
      </c>
      <c r="M324" s="31">
        <f>IFERROR(SUMPRODUCT(tFlag*(ISNUMBER(tYB)*(tYB&gt;=$W324)*(tYB&lt;$X324)),tUPBf,tUWDY)/SUMPRODUCT(tFlag*(ISNUMBER(tYB)*(tYB&gt;=$W324)*(tYB&lt;$X324))*ISNUMBER(tUWDY),tUPBf),0)</f>
        <v/>
      </c>
      <c r="N324" s="31">
        <f>IFERROR(SUMPRODUCT(tFlag*(ISNUMBER(tYB)*(tYB&gt;=$W324)*(tYB&lt;$X324)),tUPBf,tCurDY)/SUMPRODUCT(tFlag*(ISNUMBER(tYB)*(tYB&gt;=$W324)*(tYB&lt;$X324))*ISNUMBER(tCurDY),tUPBf),0)</f>
        <v/>
      </c>
      <c r="O324" s="31">
        <f>IFERROR(SUMPRODUCT(tFlag*(ISNUMBER(tYB)*(tYB&gt;=$W324)*(tYB&lt;$X324)),tUPBf,tOcc)/SUMPRODUCT(tFlag*(ISNUMBER(tYB)*(tYB&gt;=$W324)*(tYB&lt;$X324))*ISNUMBER(tOcc),tUPBf),0)</f>
        <v/>
      </c>
      <c r="P324" s="47">
        <f>IFERROR(SUMPRODUCT(tFlag*(ISNUMBER(tYB)*(tYB&gt;=$W324)*(tYB&lt;$X324)),tUPBf,tRem)/SUMPRODUCT(tFlag*(ISNUMBER(tYB)*(tYB&gt;=$W324)*(tYB&lt;$X324))*ISNUMBER(tRem),tUPBf),0)</f>
        <v/>
      </c>
      <c r="Q324" s="31">
        <f>IFERROR(SUMPRODUCT(tFlag*(ISNUMBER(tYB)*(tYB&gt;=$W324)*(tYB&lt;$X324)),tUPBf,tFIO)/$E324,0)</f>
        <v/>
      </c>
      <c r="R324" s="31">
        <f>IFERROR(SUMPRODUCT(tFlag*(ISNUMBER(tYB)*(tYB&gt;=$W324)*(tYB&lt;$X324)),tUPBf,tDefF)/$E324,0)</f>
        <v/>
      </c>
      <c r="S324" s="31">
        <f>IFERROR(SUMPRODUCT(tFlag*(ISNUMBER(tYB)*(tYB&gt;=$W324)*(tYB&lt;$X324)),tUPBf,tSSF)/$E324,0)</f>
        <v/>
      </c>
      <c r="T324" s="31">
        <f>IFERROR(SUMPRODUCT(tFlag*(ISNUMBER(tYB)*(tYB&gt;=$W324)*(tYB&lt;$X324)),tUPBf,tDQ)/$E324,0)</f>
        <v/>
      </c>
      <c r="U324" s="31">
        <f>IFERROR(SUMPRODUCT(tFlag*(ISNUMBER(tYB)*(tYB&gt;=$W324)*(tYB&lt;$X324)),tUPBf,tWLF)/$E324,0)</f>
        <v/>
      </c>
      <c r="W324" s="55" t="n">
        <v>1990</v>
      </c>
      <c r="X324" s="55" t="n">
        <v>2000</v>
      </c>
    </row>
    <row r="325">
      <c r="B325" s="18" t="inlineStr">
        <is>
          <t>2000 to 2009</t>
        </is>
      </c>
      <c r="C325" s="19">
        <f>SUMPRODUCT(tFlag*(ISNUMBER(tYB)*(tYB&gt;=$W325)*(tYB&lt;$X325)))</f>
        <v/>
      </c>
      <c r="D325" s="22">
        <f>IFERROR(C325/sLoans,0)</f>
        <v/>
      </c>
      <c r="E325" s="21">
        <f>SUMPRODUCT(tFlag*(ISNUMBER(tYB)*(tYB&gt;=$W325)*(tYB&lt;$X325)),tUPBf)</f>
        <v/>
      </c>
      <c r="F325" s="22">
        <f>IFERROR(E325/sUPB,0)</f>
        <v/>
      </c>
      <c r="G325" s="21">
        <f>IFERROR(E325/C325,0)</f>
        <v/>
      </c>
      <c r="H325" s="23">
        <f>IFERROR(SUMPRODUCT(tFlag*(ISNUMBER(tYB)*(tYB&gt;=$W325)*(tYB&lt;$X325)),tUPBf,tCpn)/SUMPRODUCT(tFlag*(ISNUMBER(tYB)*(tYB&gt;=$W325)*(tYB&lt;$X325))*ISNUMBER(tCpn),tUPBf),0)</f>
        <v/>
      </c>
      <c r="I325" s="24">
        <f>IFERROR(SUMPRODUCT(tFlag*(ISNUMBER(tYB)*(tYB&gt;=$W325)*(tYB&lt;$X325)),tUPBf,tUWDSCR)/SUMPRODUCT(tFlag*(ISNUMBER(tYB)*(tYB&gt;=$W325)*(tYB&lt;$X325))*ISNUMBER(tUWDSCR),tUPBf),0)</f>
        <v/>
      </c>
      <c r="J325" s="24">
        <f>IFERROR(SUMPRODUCT(tFlag*(ISNUMBER(tYB)*(tYB&gt;=$W325)*(tYB&lt;$X325)),tUPBf,tCurDSCR)/SUMPRODUCT(tFlag*(ISNUMBER(tYB)*(tYB&gt;=$W325)*(tYB&lt;$X325))*ISNUMBER(tCurDSCR),tUPBf),0)</f>
        <v/>
      </c>
      <c r="K325" s="22">
        <f>IFERROR(SUMPRODUCT(tFlag*(ISNUMBER(tYB)*(tYB&gt;=$W325)*(tYB&lt;$X325)),tUPBf,tUWLTV)/SUMPRODUCT(tFlag*(ISNUMBER(tYB)*(tYB&gt;=$W325)*(tYB&lt;$X325))*ISNUMBER(tUWLTV),tUPBf),0)</f>
        <v/>
      </c>
      <c r="L325" s="22">
        <f>IFERROR(SUMPRODUCT(tFlag*(ISNUMBER(tYB)*(tYB&gt;=$W325)*(tYB&lt;$X325)),tUPBf,tCurLTV)/SUMPRODUCT(tFlag*(ISNUMBER(tYB)*(tYB&gt;=$W325)*(tYB&lt;$X325))*ISNUMBER(tCurLTV),tUPBf),0)</f>
        <v/>
      </c>
      <c r="M325" s="22">
        <f>IFERROR(SUMPRODUCT(tFlag*(ISNUMBER(tYB)*(tYB&gt;=$W325)*(tYB&lt;$X325)),tUPBf,tUWDY)/SUMPRODUCT(tFlag*(ISNUMBER(tYB)*(tYB&gt;=$W325)*(tYB&lt;$X325))*ISNUMBER(tUWDY),tUPBf),0)</f>
        <v/>
      </c>
      <c r="N325" s="22">
        <f>IFERROR(SUMPRODUCT(tFlag*(ISNUMBER(tYB)*(tYB&gt;=$W325)*(tYB&lt;$X325)),tUPBf,tCurDY)/SUMPRODUCT(tFlag*(ISNUMBER(tYB)*(tYB&gt;=$W325)*(tYB&lt;$X325))*ISNUMBER(tCurDY),tUPBf),0)</f>
        <v/>
      </c>
      <c r="O325" s="22">
        <f>IFERROR(SUMPRODUCT(tFlag*(ISNUMBER(tYB)*(tYB&gt;=$W325)*(tYB&lt;$X325)),tUPBf,tOcc)/SUMPRODUCT(tFlag*(ISNUMBER(tYB)*(tYB&gt;=$W325)*(tYB&lt;$X325))*ISNUMBER(tOcc),tUPBf),0)</f>
        <v/>
      </c>
      <c r="P325" s="45">
        <f>IFERROR(SUMPRODUCT(tFlag*(ISNUMBER(tYB)*(tYB&gt;=$W325)*(tYB&lt;$X325)),tUPBf,tRem)/SUMPRODUCT(tFlag*(ISNUMBER(tYB)*(tYB&gt;=$W325)*(tYB&lt;$X325))*ISNUMBER(tRem),tUPBf),0)</f>
        <v/>
      </c>
      <c r="Q325" s="22">
        <f>IFERROR(SUMPRODUCT(tFlag*(ISNUMBER(tYB)*(tYB&gt;=$W325)*(tYB&lt;$X325)),tUPBf,tFIO)/$E325,0)</f>
        <v/>
      </c>
      <c r="R325" s="22">
        <f>IFERROR(SUMPRODUCT(tFlag*(ISNUMBER(tYB)*(tYB&gt;=$W325)*(tYB&lt;$X325)),tUPBf,tDefF)/$E325,0)</f>
        <v/>
      </c>
      <c r="S325" s="22">
        <f>IFERROR(SUMPRODUCT(tFlag*(ISNUMBER(tYB)*(tYB&gt;=$W325)*(tYB&lt;$X325)),tUPBf,tSSF)/$E325,0)</f>
        <v/>
      </c>
      <c r="T325" s="22">
        <f>IFERROR(SUMPRODUCT(tFlag*(ISNUMBER(tYB)*(tYB&gt;=$W325)*(tYB&lt;$X325)),tUPBf,tDQ)/$E325,0)</f>
        <v/>
      </c>
      <c r="U325" s="22">
        <f>IFERROR(SUMPRODUCT(tFlag*(ISNUMBER(tYB)*(tYB&gt;=$W325)*(tYB&lt;$X325)),tUPBf,tWLF)/$E325,0)</f>
        <v/>
      </c>
      <c r="W325" s="55" t="n">
        <v>2000</v>
      </c>
      <c r="X325" s="55" t="n">
        <v>2010</v>
      </c>
    </row>
    <row r="326">
      <c r="B326" s="27" t="inlineStr">
        <is>
          <t>2010 or Later</t>
        </is>
      </c>
      <c r="C326" s="28">
        <f>SUMPRODUCT(tFlag*(ISNUMBER(tYB)*(tYB&gt;=$W326)*(tYB&lt;$X326)))</f>
        <v/>
      </c>
      <c r="D326" s="31">
        <f>IFERROR(C326/sLoans,0)</f>
        <v/>
      </c>
      <c r="E326" s="30">
        <f>SUMPRODUCT(tFlag*(ISNUMBER(tYB)*(tYB&gt;=$W326)*(tYB&lt;$X326)),tUPBf)</f>
        <v/>
      </c>
      <c r="F326" s="31">
        <f>IFERROR(E326/sUPB,0)</f>
        <v/>
      </c>
      <c r="G326" s="30">
        <f>IFERROR(E326/C326,0)</f>
        <v/>
      </c>
      <c r="H326" s="32">
        <f>IFERROR(SUMPRODUCT(tFlag*(ISNUMBER(tYB)*(tYB&gt;=$W326)*(tYB&lt;$X326)),tUPBf,tCpn)/SUMPRODUCT(tFlag*(ISNUMBER(tYB)*(tYB&gt;=$W326)*(tYB&lt;$X326))*ISNUMBER(tCpn),tUPBf),0)</f>
        <v/>
      </c>
      <c r="I326" s="33">
        <f>IFERROR(SUMPRODUCT(tFlag*(ISNUMBER(tYB)*(tYB&gt;=$W326)*(tYB&lt;$X326)),tUPBf,tUWDSCR)/SUMPRODUCT(tFlag*(ISNUMBER(tYB)*(tYB&gt;=$W326)*(tYB&lt;$X326))*ISNUMBER(tUWDSCR),tUPBf),0)</f>
        <v/>
      </c>
      <c r="J326" s="33">
        <f>IFERROR(SUMPRODUCT(tFlag*(ISNUMBER(tYB)*(tYB&gt;=$W326)*(tYB&lt;$X326)),tUPBf,tCurDSCR)/SUMPRODUCT(tFlag*(ISNUMBER(tYB)*(tYB&gt;=$W326)*(tYB&lt;$X326))*ISNUMBER(tCurDSCR),tUPBf),0)</f>
        <v/>
      </c>
      <c r="K326" s="31">
        <f>IFERROR(SUMPRODUCT(tFlag*(ISNUMBER(tYB)*(tYB&gt;=$W326)*(tYB&lt;$X326)),tUPBf,tUWLTV)/SUMPRODUCT(tFlag*(ISNUMBER(tYB)*(tYB&gt;=$W326)*(tYB&lt;$X326))*ISNUMBER(tUWLTV),tUPBf),0)</f>
        <v/>
      </c>
      <c r="L326" s="31">
        <f>IFERROR(SUMPRODUCT(tFlag*(ISNUMBER(tYB)*(tYB&gt;=$W326)*(tYB&lt;$X326)),tUPBf,tCurLTV)/SUMPRODUCT(tFlag*(ISNUMBER(tYB)*(tYB&gt;=$W326)*(tYB&lt;$X326))*ISNUMBER(tCurLTV),tUPBf),0)</f>
        <v/>
      </c>
      <c r="M326" s="31">
        <f>IFERROR(SUMPRODUCT(tFlag*(ISNUMBER(tYB)*(tYB&gt;=$W326)*(tYB&lt;$X326)),tUPBf,tUWDY)/SUMPRODUCT(tFlag*(ISNUMBER(tYB)*(tYB&gt;=$W326)*(tYB&lt;$X326))*ISNUMBER(tUWDY),tUPBf),0)</f>
        <v/>
      </c>
      <c r="N326" s="31">
        <f>IFERROR(SUMPRODUCT(tFlag*(ISNUMBER(tYB)*(tYB&gt;=$W326)*(tYB&lt;$X326)),tUPBf,tCurDY)/SUMPRODUCT(tFlag*(ISNUMBER(tYB)*(tYB&gt;=$W326)*(tYB&lt;$X326))*ISNUMBER(tCurDY),tUPBf),0)</f>
        <v/>
      </c>
      <c r="O326" s="31">
        <f>IFERROR(SUMPRODUCT(tFlag*(ISNUMBER(tYB)*(tYB&gt;=$W326)*(tYB&lt;$X326)),tUPBf,tOcc)/SUMPRODUCT(tFlag*(ISNUMBER(tYB)*(tYB&gt;=$W326)*(tYB&lt;$X326))*ISNUMBER(tOcc),tUPBf),0)</f>
        <v/>
      </c>
      <c r="P326" s="47">
        <f>IFERROR(SUMPRODUCT(tFlag*(ISNUMBER(tYB)*(tYB&gt;=$W326)*(tYB&lt;$X326)),tUPBf,tRem)/SUMPRODUCT(tFlag*(ISNUMBER(tYB)*(tYB&gt;=$W326)*(tYB&lt;$X326))*ISNUMBER(tRem),tUPBf),0)</f>
        <v/>
      </c>
      <c r="Q326" s="31">
        <f>IFERROR(SUMPRODUCT(tFlag*(ISNUMBER(tYB)*(tYB&gt;=$W326)*(tYB&lt;$X326)),tUPBf,tFIO)/$E326,0)</f>
        <v/>
      </c>
      <c r="R326" s="31">
        <f>IFERROR(SUMPRODUCT(tFlag*(ISNUMBER(tYB)*(tYB&gt;=$W326)*(tYB&lt;$X326)),tUPBf,tDefF)/$E326,0)</f>
        <v/>
      </c>
      <c r="S326" s="31">
        <f>IFERROR(SUMPRODUCT(tFlag*(ISNUMBER(tYB)*(tYB&gt;=$W326)*(tYB&lt;$X326)),tUPBf,tSSF)/$E326,0)</f>
        <v/>
      </c>
      <c r="T326" s="31">
        <f>IFERROR(SUMPRODUCT(tFlag*(ISNUMBER(tYB)*(tYB&gt;=$W326)*(tYB&lt;$X326)),tUPBf,tDQ)/$E326,0)</f>
        <v/>
      </c>
      <c r="U326" s="31">
        <f>IFERROR(SUMPRODUCT(tFlag*(ISNUMBER(tYB)*(tYB&gt;=$W326)*(tYB&lt;$X326)),tUPBf,tWLF)/$E326,0)</f>
        <v/>
      </c>
      <c r="W326" s="55" t="n">
        <v>2010</v>
      </c>
      <c r="X326" s="55" t="n">
        <v>1000000000000</v>
      </c>
    </row>
    <row r="327">
      <c r="B327" s="18" t="inlineStr">
        <is>
          <t>Not Reported</t>
        </is>
      </c>
      <c r="C327" s="19">
        <f>SUMPRODUCT(tFlag*(1-ISNUMBER(tYB)))</f>
        <v/>
      </c>
      <c r="D327" s="22">
        <f>IFERROR(C327/sLoans,0)</f>
        <v/>
      </c>
      <c r="E327" s="21">
        <f>SUMPRODUCT(tFlag*(1-ISNUMBER(tYB)),tUPBf)</f>
        <v/>
      </c>
      <c r="F327" s="22">
        <f>IFERROR(E327/sUPB,0)</f>
        <v/>
      </c>
      <c r="G327" s="21">
        <f>IFERROR(E327/C327,0)</f>
        <v/>
      </c>
      <c r="H327" s="23">
        <f>IFERROR(SUMPRODUCT(tFlag*(1-ISNUMBER(tYB)),tUPBf,tCpn)/SUMPRODUCT(tFlag*(1-ISNUMBER(tYB))*ISNUMBER(tCpn),tUPBf),0)</f>
        <v/>
      </c>
      <c r="I327" s="24">
        <f>IFERROR(SUMPRODUCT(tFlag*(1-ISNUMBER(tYB)),tUPBf,tUWDSCR)/SUMPRODUCT(tFlag*(1-ISNUMBER(tYB))*ISNUMBER(tUWDSCR),tUPBf),0)</f>
        <v/>
      </c>
      <c r="J327" s="24">
        <f>IFERROR(SUMPRODUCT(tFlag*(1-ISNUMBER(tYB)),tUPBf,tCurDSCR)/SUMPRODUCT(tFlag*(1-ISNUMBER(tYB))*ISNUMBER(tCurDSCR),tUPBf),0)</f>
        <v/>
      </c>
      <c r="K327" s="22">
        <f>IFERROR(SUMPRODUCT(tFlag*(1-ISNUMBER(tYB)),tUPBf,tUWLTV)/SUMPRODUCT(tFlag*(1-ISNUMBER(tYB))*ISNUMBER(tUWLTV),tUPBf),0)</f>
        <v/>
      </c>
      <c r="L327" s="22">
        <f>IFERROR(SUMPRODUCT(tFlag*(1-ISNUMBER(tYB)),tUPBf,tCurLTV)/SUMPRODUCT(tFlag*(1-ISNUMBER(tYB))*ISNUMBER(tCurLTV),tUPBf),0)</f>
        <v/>
      </c>
      <c r="M327" s="22">
        <f>IFERROR(SUMPRODUCT(tFlag*(1-ISNUMBER(tYB)),tUPBf,tUWDY)/SUMPRODUCT(tFlag*(1-ISNUMBER(tYB))*ISNUMBER(tUWDY),tUPBf),0)</f>
        <v/>
      </c>
      <c r="N327" s="22">
        <f>IFERROR(SUMPRODUCT(tFlag*(1-ISNUMBER(tYB)),tUPBf,tCurDY)/SUMPRODUCT(tFlag*(1-ISNUMBER(tYB))*ISNUMBER(tCurDY),tUPBf),0)</f>
        <v/>
      </c>
      <c r="O327" s="22">
        <f>IFERROR(SUMPRODUCT(tFlag*(1-ISNUMBER(tYB)),tUPBf,tOcc)/SUMPRODUCT(tFlag*(1-ISNUMBER(tYB))*ISNUMBER(tOcc),tUPBf),0)</f>
        <v/>
      </c>
      <c r="P327" s="45">
        <f>IFERROR(SUMPRODUCT(tFlag*(1-ISNUMBER(tYB)),tUPBf,tRem)/SUMPRODUCT(tFlag*(1-ISNUMBER(tYB))*ISNUMBER(tRem),tUPBf),0)</f>
        <v/>
      </c>
      <c r="Q327" s="22">
        <f>IFERROR(SUMPRODUCT(tFlag*(1-ISNUMBER(tYB)),tUPBf,tFIO)/$E327,0)</f>
        <v/>
      </c>
      <c r="R327" s="22">
        <f>IFERROR(SUMPRODUCT(tFlag*(1-ISNUMBER(tYB)),tUPBf,tDefF)/$E327,0)</f>
        <v/>
      </c>
      <c r="S327" s="22">
        <f>IFERROR(SUMPRODUCT(tFlag*(1-ISNUMBER(tYB)),tUPBf,tSSF)/$E327,0)</f>
        <v/>
      </c>
      <c r="T327" s="22">
        <f>IFERROR(SUMPRODUCT(tFlag*(1-ISNUMBER(tYB)),tUPBf,tDQ)/$E327,0)</f>
        <v/>
      </c>
      <c r="U327" s="22">
        <f>IFERROR(SUMPRODUCT(tFlag*(1-ISNUMBER(tYB)),tUPBf,tWLF)/$E327,0)</f>
        <v/>
      </c>
    </row>
    <row r="328">
      <c r="B328" s="36" t="inlineStr">
        <is>
          <t>Total / Wtd. Avg.</t>
        </is>
      </c>
      <c r="C328" s="37">
        <f>SUMPRODUCT(tFlag*(1))</f>
        <v/>
      </c>
      <c r="D328" s="40">
        <f>IFERROR(C328/sLoans,0)</f>
        <v/>
      </c>
      <c r="E328" s="39">
        <f>SUMPRODUCT(tFlag*(1),tUPBf)</f>
        <v/>
      </c>
      <c r="F328" s="40">
        <f>IFERROR(E328/sUPB,0)</f>
        <v/>
      </c>
      <c r="G328" s="39">
        <f>IFERROR(E328/C328,0)</f>
        <v/>
      </c>
      <c r="H328" s="41">
        <f>IFERROR(SUMPRODUCT(tFlag*(1),tUPBf,tCpn)/SUMPRODUCT(tFlag*(1)*ISNUMBER(tCpn),tUPBf),0)</f>
        <v/>
      </c>
      <c r="I328" s="42">
        <f>IFERROR(SUMPRODUCT(tFlag*(1),tUPBf,tUWDSCR)/SUMPRODUCT(tFlag*(1)*ISNUMBER(tUWDSCR),tUPBf),0)</f>
        <v/>
      </c>
      <c r="J328" s="42">
        <f>IFERROR(SUMPRODUCT(tFlag*(1),tUPBf,tCurDSCR)/SUMPRODUCT(tFlag*(1)*ISNUMBER(tCurDSCR),tUPBf),0)</f>
        <v/>
      </c>
      <c r="K328" s="40">
        <f>IFERROR(SUMPRODUCT(tFlag*(1),tUPBf,tUWLTV)/SUMPRODUCT(tFlag*(1)*ISNUMBER(tUWLTV),tUPBf),0)</f>
        <v/>
      </c>
      <c r="L328" s="40">
        <f>IFERROR(SUMPRODUCT(tFlag*(1),tUPBf,tCurLTV)/SUMPRODUCT(tFlag*(1)*ISNUMBER(tCurLTV),tUPBf),0)</f>
        <v/>
      </c>
      <c r="M328" s="40">
        <f>IFERROR(SUMPRODUCT(tFlag*(1),tUPBf,tUWDY)/SUMPRODUCT(tFlag*(1)*ISNUMBER(tUWDY),tUPBf),0)</f>
        <v/>
      </c>
      <c r="N328" s="40">
        <f>IFERROR(SUMPRODUCT(tFlag*(1),tUPBf,tCurDY)/SUMPRODUCT(tFlag*(1)*ISNUMBER(tCurDY),tUPBf),0)</f>
        <v/>
      </c>
      <c r="O328" s="40">
        <f>IFERROR(SUMPRODUCT(tFlag*(1),tUPBf,tOcc)/SUMPRODUCT(tFlag*(1)*ISNUMBER(tOcc),tUPBf),0)</f>
        <v/>
      </c>
      <c r="P328" s="43">
        <f>IFERROR(SUMPRODUCT(tFlag*(1),tUPBf,tRem)/SUMPRODUCT(tFlag*(1)*ISNUMBER(tRem),tUPBf),0)</f>
        <v/>
      </c>
      <c r="Q328" s="40">
        <f>IFERROR(SUMPRODUCT(tFlag*(1),tUPBf,tFIO)/$E328,0)</f>
        <v/>
      </c>
      <c r="R328" s="40">
        <f>IFERROR(SUMPRODUCT(tFlag*(1),tUPBf,tDefF)/$E328,0)</f>
        <v/>
      </c>
      <c r="S328" s="40">
        <f>IFERROR(SUMPRODUCT(tFlag*(1),tUPBf,tSSF)/$E328,0)</f>
        <v/>
      </c>
      <c r="T328" s="40">
        <f>IFERROR(SUMPRODUCT(tFlag*(1),tUPBf,tDQ)/$E328,0)</f>
        <v/>
      </c>
      <c r="U328" s="40">
        <f>IFERROR(SUMPRODUCT(tFlag*(1),tUPBf,tWLF)/$E328,0)</f>
        <v/>
      </c>
    </row>
    <row r="329">
      <c r="B329" s="14" t="inlineStr">
        <is>
          <t>Multi-building portfolios report several build years; the earliest year is used for bucketing.</t>
        </is>
      </c>
    </row>
    <row r="331" ht="15" customHeight="1">
      <c r="B331" s="2" t="inlineStr">
        <is>
          <t>STRAT TIE-OUT CHECKS</t>
        </is>
      </c>
      <c r="C331" s="3" t="n"/>
      <c r="D331" s="3" t="n"/>
      <c r="E331" s="3" t="n"/>
      <c r="F331" s="3" t="n"/>
      <c r="G331" s="3" t="n"/>
      <c r="H331" s="3" t="n"/>
      <c r="I331" s="3" t="n"/>
      <c r="J331" s="3" t="n"/>
      <c r="K331" s="3" t="n"/>
      <c r="L331" s="3" t="n"/>
      <c r="M331" s="3" t="n"/>
      <c r="N331" s="3" t="n"/>
      <c r="O331" s="3" t="n"/>
      <c r="P331" s="3" t="n"/>
      <c r="Q331" s="3" t="n"/>
      <c r="R331" s="3" t="n"/>
      <c r="S331" s="3" t="n"/>
      <c r="T331" s="3" t="n"/>
      <c r="U331" s="3" t="n"/>
    </row>
    <row r="332" ht="27" customHeight="1">
      <c r="B332" s="15" t="inlineStr">
        <is>
          <t>Strat</t>
        </is>
      </c>
      <c r="C332" s="16" t="inlineStr">
        <is>
          <t>Sum of Loans</t>
        </is>
      </c>
      <c r="D332" s="16" t="inlineStr">
        <is>
          <t>Total Loans</t>
        </is>
      </c>
      <c r="E332" s="16" t="inlineStr">
        <is>
          <t>Loan Variance</t>
        </is>
      </c>
      <c r="F332" s="16" t="inlineStr"/>
      <c r="G332" s="16" t="inlineStr">
        <is>
          <t>Sum of UPB</t>
        </is>
      </c>
      <c r="H332" s="16" t="inlineStr">
        <is>
          <t>Total UPB</t>
        </is>
      </c>
      <c r="I332" s="16" t="inlineStr">
        <is>
          <t>UPB Variance</t>
        </is>
      </c>
      <c r="J332" s="16" t="inlineStr">
        <is>
          <t>Status</t>
        </is>
      </c>
    </row>
    <row r="333">
      <c r="B333" s="18" t="inlineStr">
        <is>
          <t>CMBS TRUST (DEAL)</t>
        </is>
      </c>
      <c r="C333" s="19">
        <f>SUM(C42:C68)</f>
        <v/>
      </c>
      <c r="D333" s="19">
        <f>C69</f>
        <v/>
      </c>
      <c r="E333" s="19">
        <f>C333-sLoans</f>
        <v/>
      </c>
      <c r="F333" s="20" t="n"/>
      <c r="G333" s="21">
        <f>SUM(E42:E68)</f>
        <v/>
      </c>
      <c r="H333" s="21">
        <f>E69</f>
        <v/>
      </c>
      <c r="I333" s="21">
        <f>G333-sUPB</f>
        <v/>
      </c>
      <c r="J333" s="56">
        <f>IF(AND(ABS(E333)&lt;0.5,ABS(D333-sLoans)&lt;0.5,ABS(I333)&lt;1,ABS(H333-sUPB)&lt;1),"PASS","FAIL")</f>
        <v/>
      </c>
    </row>
    <row r="334">
      <c r="B334" s="27" t="inlineStr">
        <is>
          <t>RECOP HOLDING ENTITY</t>
        </is>
      </c>
      <c r="C334" s="28">
        <f>SUM(C74:C76)</f>
        <v/>
      </c>
      <c r="D334" s="28">
        <f>C77</f>
        <v/>
      </c>
      <c r="E334" s="28">
        <f>C334-sLoans</f>
        <v/>
      </c>
      <c r="F334" s="29" t="n"/>
      <c r="G334" s="30">
        <f>SUM(E74:E76)</f>
        <v/>
      </c>
      <c r="H334" s="30">
        <f>E77</f>
        <v/>
      </c>
      <c r="I334" s="30">
        <f>G334-sUPB</f>
        <v/>
      </c>
      <c r="J334" s="57">
        <f>IF(AND(ABS(E334)&lt;0.5,ABS(D334-sLoans)&lt;0.5,ABS(I334)&lt;1,ABS(H334-sUPB)&lt;1),"PASS","FAIL")</f>
        <v/>
      </c>
    </row>
    <row r="335">
      <c r="B335" s="18" t="inlineStr">
        <is>
          <t>DEAL VINTAGE (SECURITIZATION YEAR)</t>
        </is>
      </c>
      <c r="C335" s="19">
        <f>SUM(C81:C83)</f>
        <v/>
      </c>
      <c r="D335" s="19">
        <f>C84</f>
        <v/>
      </c>
      <c r="E335" s="19">
        <f>C335-sLoans</f>
        <v/>
      </c>
      <c r="F335" s="20" t="n"/>
      <c r="G335" s="21">
        <f>SUM(E81:E83)</f>
        <v/>
      </c>
      <c r="H335" s="21">
        <f>E84</f>
        <v/>
      </c>
      <c r="I335" s="21">
        <f>G335-sUPB</f>
        <v/>
      </c>
      <c r="J335" s="56">
        <f>IF(AND(ABS(E335)&lt;0.5,ABS(D335-sLoans)&lt;0.5,ABS(I335)&lt;1,ABS(H335-sUPB)&lt;1),"PASS","FAIL")</f>
        <v/>
      </c>
    </row>
    <row r="336">
      <c r="B336" s="27" t="inlineStr">
        <is>
          <t>PROPERTY TYPE</t>
        </is>
      </c>
      <c r="C336" s="28">
        <f>SUM(C88:C96)</f>
        <v/>
      </c>
      <c r="D336" s="28">
        <f>C97</f>
        <v/>
      </c>
      <c r="E336" s="28">
        <f>C336-sLoans</f>
        <v/>
      </c>
      <c r="F336" s="29" t="n"/>
      <c r="G336" s="30">
        <f>SUM(E88:E96)</f>
        <v/>
      </c>
      <c r="H336" s="30">
        <f>E97</f>
        <v/>
      </c>
      <c r="I336" s="30">
        <f>G336-sUPB</f>
        <v/>
      </c>
      <c r="J336" s="57">
        <f>IF(AND(ABS(E336)&lt;0.5,ABS(D336-sLoans)&lt;0.5,ABS(I336)&lt;1,ABS(H336-sUPB)&lt;1),"PASS","FAIL")</f>
        <v/>
      </c>
    </row>
    <row r="337">
      <c r="B337" s="18" t="inlineStr">
        <is>
          <t>GEOGRAPHIC DISTRIBUTION (PRIMARY STATE, TOP 15 BY UPB)</t>
        </is>
      </c>
      <c r="C337" s="19">
        <f>SUM(C102:C117)</f>
        <v/>
      </c>
      <c r="D337" s="19">
        <f>C118</f>
        <v/>
      </c>
      <c r="E337" s="19">
        <f>C337-sLoans</f>
        <v/>
      </c>
      <c r="F337" s="20" t="n"/>
      <c r="G337" s="21">
        <f>SUM(E102:E117)</f>
        <v/>
      </c>
      <c r="H337" s="21">
        <f>E118</f>
        <v/>
      </c>
      <c r="I337" s="21">
        <f>G337-sUPB</f>
        <v/>
      </c>
      <c r="J337" s="56">
        <f>IF(AND(ABS(E337)&lt;0.5,ABS(D337-sLoans)&lt;0.5,ABS(I337)&lt;1,ABS(H337-sUPB)&lt;1),"PASS","FAIL")</f>
        <v/>
      </c>
    </row>
    <row r="338">
      <c r="B338" s="27" t="inlineStr">
        <is>
          <t>GEOGRAPHIC DISTRIBUTION (REGION)</t>
        </is>
      </c>
      <c r="C338" s="28">
        <f>SUM(C123:C133)</f>
        <v/>
      </c>
      <c r="D338" s="28">
        <f>C134</f>
        <v/>
      </c>
      <c r="E338" s="28">
        <f>C338-sLoans</f>
        <v/>
      </c>
      <c r="F338" s="29" t="n"/>
      <c r="G338" s="30">
        <f>SUM(E123:E133)</f>
        <v/>
      </c>
      <c r="H338" s="30">
        <f>E134</f>
        <v/>
      </c>
      <c r="I338" s="30">
        <f>G338-sUPB</f>
        <v/>
      </c>
      <c r="J338" s="57">
        <f>IF(AND(ABS(E338)&lt;0.5,ABS(D338-sLoans)&lt;0.5,ABS(I338)&lt;1,ABS(H338-sUPB)&lt;1),"PASS","FAIL")</f>
        <v/>
      </c>
    </row>
    <row r="339">
      <c r="B339" s="18" t="inlineStr">
        <is>
          <t>PAYMENT STATUS</t>
        </is>
      </c>
      <c r="C339" s="19">
        <f>SUM(C138:C146)</f>
        <v/>
      </c>
      <c r="D339" s="19">
        <f>C147</f>
        <v/>
      </c>
      <c r="E339" s="19">
        <f>C339-sLoans</f>
        <v/>
      </c>
      <c r="F339" s="20" t="n"/>
      <c r="G339" s="21">
        <f>SUM(E138:E146)</f>
        <v/>
      </c>
      <c r="H339" s="21">
        <f>E147</f>
        <v/>
      </c>
      <c r="I339" s="21">
        <f>G339-sUPB</f>
        <v/>
      </c>
      <c r="J339" s="56">
        <f>IF(AND(ABS(E339)&lt;0.5,ABS(D339-sLoans)&lt;0.5,ABS(I339)&lt;1,ABS(H339-sUPB)&lt;1),"PASS","FAIL")</f>
        <v/>
      </c>
    </row>
    <row r="340">
      <c r="B340" s="27" t="inlineStr">
        <is>
          <t>SPECIAL SERVICING STATUS</t>
        </is>
      </c>
      <c r="C340" s="28">
        <f>SUM(C151:C153)</f>
        <v/>
      </c>
      <c r="D340" s="28">
        <f>C154</f>
        <v/>
      </c>
      <c r="E340" s="28">
        <f>C340-sLoans</f>
        <v/>
      </c>
      <c r="F340" s="29" t="n"/>
      <c r="G340" s="30">
        <f>SUM(E151:E153)</f>
        <v/>
      </c>
      <c r="H340" s="30">
        <f>E154</f>
        <v/>
      </c>
      <c r="I340" s="30">
        <f>G340-sUPB</f>
        <v/>
      </c>
      <c r="J340" s="57">
        <f>IF(AND(ABS(E340)&lt;0.5,ABS(D340-sLoans)&lt;0.5,ABS(I340)&lt;1,ABS(H340-sUPB)&lt;1),"PASS","FAIL")</f>
        <v/>
      </c>
    </row>
    <row r="341">
      <c r="B341" s="18" t="inlineStr">
        <is>
          <t>WATCHLIST STATUS</t>
        </is>
      </c>
      <c r="C341" s="19">
        <f>SUM(C158:C160)</f>
        <v/>
      </c>
      <c r="D341" s="19">
        <f>C161</f>
        <v/>
      </c>
      <c r="E341" s="19">
        <f>C341-sLoans</f>
        <v/>
      </c>
      <c r="F341" s="20" t="n"/>
      <c r="G341" s="21">
        <f>SUM(E158:E160)</f>
        <v/>
      </c>
      <c r="H341" s="21">
        <f>E161</f>
        <v/>
      </c>
      <c r="I341" s="21">
        <f>G341-sUPB</f>
        <v/>
      </c>
      <c r="J341" s="56">
        <f>IF(AND(ABS(E341)&lt;0.5,ABS(D341-sLoans)&lt;0.5,ABS(I341)&lt;1,ABS(H341-sUPB)&lt;1),"PASS","FAIL")</f>
        <v/>
      </c>
    </row>
    <row r="342">
      <c r="B342" s="27" t="inlineStr">
        <is>
          <t>DEFEASANCE STATUS</t>
        </is>
      </c>
      <c r="C342" s="28">
        <f>SUM(C165:C168)</f>
        <v/>
      </c>
      <c r="D342" s="28">
        <f>C169</f>
        <v/>
      </c>
      <c r="E342" s="28">
        <f>C342-sLoans</f>
        <v/>
      </c>
      <c r="F342" s="29" t="n"/>
      <c r="G342" s="30">
        <f>SUM(E165:E168)</f>
        <v/>
      </c>
      <c r="H342" s="30">
        <f>E169</f>
        <v/>
      </c>
      <c r="I342" s="30">
        <f>G342-sUPB</f>
        <v/>
      </c>
      <c r="J342" s="57">
        <f>IF(AND(ABS(E342)&lt;0.5,ABS(D342-sLoans)&lt;0.5,ABS(I342)&lt;1,ABS(H342-sUPB)&lt;1),"PASS","FAIL")</f>
        <v/>
      </c>
    </row>
    <row r="343">
      <c r="B343" s="18" t="inlineStr">
        <is>
          <t>AMORTIZATION TYPE</t>
        </is>
      </c>
      <c r="C343" s="19">
        <f>SUM(C173:C175)</f>
        <v/>
      </c>
      <c r="D343" s="19">
        <f>C176</f>
        <v/>
      </c>
      <c r="E343" s="19">
        <f>C343-sLoans</f>
        <v/>
      </c>
      <c r="F343" s="20" t="n"/>
      <c r="G343" s="21">
        <f>SUM(E173:E175)</f>
        <v/>
      </c>
      <c r="H343" s="21">
        <f>E176</f>
        <v/>
      </c>
      <c r="I343" s="21">
        <f>G343-sUPB</f>
        <v/>
      </c>
      <c r="J343" s="56">
        <f>IF(AND(ABS(E343)&lt;0.5,ABS(D343-sLoans)&lt;0.5,ABS(I343)&lt;1,ABS(H343-sUPB)&lt;1),"PASS","FAIL")</f>
        <v/>
      </c>
    </row>
    <row r="344">
      <c r="B344" s="27" t="inlineStr">
        <is>
          <t>PARI PASSU STATUS</t>
        </is>
      </c>
      <c r="C344" s="28">
        <f>SUM(C180:C181)</f>
        <v/>
      </c>
      <c r="D344" s="28">
        <f>C182</f>
        <v/>
      </c>
      <c r="E344" s="28">
        <f>C344-sLoans</f>
        <v/>
      </c>
      <c r="F344" s="29" t="n"/>
      <c r="G344" s="30">
        <f>SUM(E180:E181)</f>
        <v/>
      </c>
      <c r="H344" s="30">
        <f>E182</f>
        <v/>
      </c>
      <c r="I344" s="30">
        <f>G344-sUPB</f>
        <v/>
      </c>
      <c r="J344" s="57">
        <f>IF(AND(ABS(E344)&lt;0.5,ABS(D344-sLoans)&lt;0.5,ABS(I344)&lt;1,ABS(H344-sUPB)&lt;1),"PASS","FAIL")</f>
        <v/>
      </c>
    </row>
    <row r="345">
      <c r="B345" s="18" t="inlineStr">
        <is>
          <t>LOAN SIZE (CURRENT UPB)</t>
        </is>
      </c>
      <c r="C345" s="19">
        <f>SUM(C186:C192)</f>
        <v/>
      </c>
      <c r="D345" s="19">
        <f>C193</f>
        <v/>
      </c>
      <c r="E345" s="19">
        <f>C345-sLoans</f>
        <v/>
      </c>
      <c r="F345" s="20" t="n"/>
      <c r="G345" s="21">
        <f>SUM(E186:E192)</f>
        <v/>
      </c>
      <c r="H345" s="21">
        <f>E193</f>
        <v/>
      </c>
      <c r="I345" s="21">
        <f>G345-sUPB</f>
        <v/>
      </c>
      <c r="J345" s="56">
        <f>IF(AND(ABS(E345)&lt;0.5,ABS(D345-sLoans)&lt;0.5,ABS(I345)&lt;1,ABS(H345-sUPB)&lt;1),"PASS","FAIL")</f>
        <v/>
      </c>
    </row>
    <row r="346">
      <c r="B346" s="27" t="inlineStr">
        <is>
          <t>GROSS COUPON</t>
        </is>
      </c>
      <c r="C346" s="28">
        <f>SUM(C197:C204)</f>
        <v/>
      </c>
      <c r="D346" s="28">
        <f>C205</f>
        <v/>
      </c>
      <c r="E346" s="28">
        <f>C346-sLoans</f>
        <v/>
      </c>
      <c r="F346" s="29" t="n"/>
      <c r="G346" s="30">
        <f>SUM(E197:E204)</f>
        <v/>
      </c>
      <c r="H346" s="30">
        <f>E205</f>
        <v/>
      </c>
      <c r="I346" s="30">
        <f>G346-sUPB</f>
        <v/>
      </c>
      <c r="J346" s="57">
        <f>IF(AND(ABS(E346)&lt;0.5,ABS(D346-sLoans)&lt;0.5,ABS(I346)&lt;1,ABS(H346-sUPB)&lt;1),"PASS","FAIL")</f>
        <v/>
      </c>
    </row>
    <row r="347">
      <c r="B347" s="18" t="inlineStr">
        <is>
          <t>UW NCF DSCR</t>
        </is>
      </c>
      <c r="C347" s="19">
        <f>SUM(C209:C216)</f>
        <v/>
      </c>
      <c r="D347" s="19">
        <f>C217</f>
        <v/>
      </c>
      <c r="E347" s="19">
        <f>C347-sLoans</f>
        <v/>
      </c>
      <c r="F347" s="20" t="n"/>
      <c r="G347" s="21">
        <f>SUM(E209:E216)</f>
        <v/>
      </c>
      <c r="H347" s="21">
        <f>E217</f>
        <v/>
      </c>
      <c r="I347" s="21">
        <f>G347-sUPB</f>
        <v/>
      </c>
      <c r="J347" s="56">
        <f>IF(AND(ABS(E347)&lt;0.5,ABS(D347-sLoans)&lt;0.5,ABS(I347)&lt;1,ABS(H347-sUPB)&lt;1),"PASS","FAIL")</f>
        <v/>
      </c>
    </row>
    <row r="348">
      <c r="B348" s="27" t="inlineStr">
        <is>
          <t>CURRENT NCF DSCR (MOST RECENT)</t>
        </is>
      </c>
      <c r="C348" s="28">
        <f>SUM(C221:C228)</f>
        <v/>
      </c>
      <c r="D348" s="28">
        <f>C229</f>
        <v/>
      </c>
      <c r="E348" s="28">
        <f>C348-sLoans</f>
        <v/>
      </c>
      <c r="F348" s="29" t="n"/>
      <c r="G348" s="30">
        <f>SUM(E221:E228)</f>
        <v/>
      </c>
      <c r="H348" s="30">
        <f>E229</f>
        <v/>
      </c>
      <c r="I348" s="30">
        <f>G348-sUPB</f>
        <v/>
      </c>
      <c r="J348" s="57">
        <f>IF(AND(ABS(E348)&lt;0.5,ABS(D348-sLoans)&lt;0.5,ABS(I348)&lt;1,ABS(H348-sUPB)&lt;1),"PASS","FAIL")</f>
        <v/>
      </c>
    </row>
    <row r="349">
      <c r="B349" s="18" t="inlineStr">
        <is>
          <t>UW LTV (CUT-OFF)</t>
        </is>
      </c>
      <c r="C349" s="19">
        <f>SUM(C233:C240)</f>
        <v/>
      </c>
      <c r="D349" s="19">
        <f>C241</f>
        <v/>
      </c>
      <c r="E349" s="19">
        <f>C349-sLoans</f>
        <v/>
      </c>
      <c r="F349" s="20" t="n"/>
      <c r="G349" s="21">
        <f>SUM(E233:E240)</f>
        <v/>
      </c>
      <c r="H349" s="21">
        <f>E241</f>
        <v/>
      </c>
      <c r="I349" s="21">
        <f>G349-sUPB</f>
        <v/>
      </c>
      <c r="J349" s="56">
        <f>IF(AND(ABS(E349)&lt;0.5,ABS(D349-sLoans)&lt;0.5,ABS(I349)&lt;1,ABS(H349-sUPB)&lt;1),"PASS","FAIL")</f>
        <v/>
      </c>
    </row>
    <row r="350">
      <c r="B350" s="27" t="inlineStr">
        <is>
          <t>CURRENT LTV (LATEST APPRAISAL)</t>
        </is>
      </c>
      <c r="C350" s="28">
        <f>SUM(C245:C252)</f>
        <v/>
      </c>
      <c r="D350" s="28">
        <f>C253</f>
        <v/>
      </c>
      <c r="E350" s="28">
        <f>C350-sLoans</f>
        <v/>
      </c>
      <c r="F350" s="29" t="n"/>
      <c r="G350" s="30">
        <f>SUM(E245:E252)</f>
        <v/>
      </c>
      <c r="H350" s="30">
        <f>E253</f>
        <v/>
      </c>
      <c r="I350" s="30">
        <f>G350-sUPB</f>
        <v/>
      </c>
      <c r="J350" s="57">
        <f>IF(AND(ABS(E350)&lt;0.5,ABS(D350-sLoans)&lt;0.5,ABS(I350)&lt;1,ABS(H350-sUPB)&lt;1),"PASS","FAIL")</f>
        <v/>
      </c>
    </row>
    <row r="351">
      <c r="B351" s="18" t="inlineStr">
        <is>
          <t>UW NCF DEBT YIELD</t>
        </is>
      </c>
      <c r="C351" s="19">
        <f>SUM(C258:C265)</f>
        <v/>
      </c>
      <c r="D351" s="19">
        <f>C266</f>
        <v/>
      </c>
      <c r="E351" s="19">
        <f>C351-sLoans</f>
        <v/>
      </c>
      <c r="F351" s="20" t="n"/>
      <c r="G351" s="21">
        <f>SUM(E258:E265)</f>
        <v/>
      </c>
      <c r="H351" s="21">
        <f>E266</f>
        <v/>
      </c>
      <c r="I351" s="21">
        <f>G351-sUPB</f>
        <v/>
      </c>
      <c r="J351" s="56">
        <f>IF(AND(ABS(E351)&lt;0.5,ABS(D351-sLoans)&lt;0.5,ABS(I351)&lt;1,ABS(H351-sUPB)&lt;1),"PASS","FAIL")</f>
        <v/>
      </c>
    </row>
    <row r="352">
      <c r="B352" s="27" t="inlineStr">
        <is>
          <t>CURRENT NCF DEBT YIELD (MOST RECENT)</t>
        </is>
      </c>
      <c r="C352" s="28">
        <f>SUM(C270:C276)</f>
        <v/>
      </c>
      <c r="D352" s="28">
        <f>C277</f>
        <v/>
      </c>
      <c r="E352" s="28">
        <f>C352-sLoans</f>
        <v/>
      </c>
      <c r="F352" s="29" t="n"/>
      <c r="G352" s="30">
        <f>SUM(E270:E276)</f>
        <v/>
      </c>
      <c r="H352" s="30">
        <f>E277</f>
        <v/>
      </c>
      <c r="I352" s="30">
        <f>G352-sUPB</f>
        <v/>
      </c>
      <c r="J352" s="57">
        <f>IF(AND(ABS(E352)&lt;0.5,ABS(D352-sLoans)&lt;0.5,ABS(I352)&lt;1,ABS(H352-sUPB)&lt;1),"PASS","FAIL")</f>
        <v/>
      </c>
    </row>
    <row r="353">
      <c r="B353" s="18" t="inlineStr">
        <is>
          <t>CURRENT OCCUPANCY (MOST RECENT)</t>
        </is>
      </c>
      <c r="C353" s="19">
        <f>SUM(C281:C286)</f>
        <v/>
      </c>
      <c r="D353" s="19">
        <f>C287</f>
        <v/>
      </c>
      <c r="E353" s="19">
        <f>C353-sLoans</f>
        <v/>
      </c>
      <c r="F353" s="20" t="n"/>
      <c r="G353" s="21">
        <f>SUM(E281:E286)</f>
        <v/>
      </c>
      <c r="H353" s="21">
        <f>E287</f>
        <v/>
      </c>
      <c r="I353" s="21">
        <f>G353-sUPB</f>
        <v/>
      </c>
      <c r="J353" s="56">
        <f>IF(AND(ABS(E353)&lt;0.5,ABS(D353-sLoans)&lt;0.5,ABS(I353)&lt;1,ABS(H353-sUPB)&lt;1),"PASS","FAIL")</f>
        <v/>
      </c>
    </row>
    <row r="354">
      <c r="B354" s="27" t="inlineStr">
        <is>
          <t>REMAINING TERM TO MATURITY (ARD WHERE APPLICABLE)</t>
        </is>
      </c>
      <c r="C354" s="28">
        <f>SUM(C291:C297)</f>
        <v/>
      </c>
      <c r="D354" s="28">
        <f>C298</f>
        <v/>
      </c>
      <c r="E354" s="28">
        <f>C354-sLoans</f>
        <v/>
      </c>
      <c r="F354" s="29" t="n"/>
      <c r="G354" s="30">
        <f>SUM(E291:E297)</f>
        <v/>
      </c>
      <c r="H354" s="30">
        <f>E298</f>
        <v/>
      </c>
      <c r="I354" s="30">
        <f>G354-sUPB</f>
        <v/>
      </c>
      <c r="J354" s="57">
        <f>IF(AND(ABS(E354)&lt;0.5,ABS(D354-sLoans)&lt;0.5,ABS(I354)&lt;1,ABS(H354-sUPB)&lt;1),"PASS","FAIL")</f>
        <v/>
      </c>
    </row>
    <row r="355">
      <c r="B355" s="18" t="inlineStr">
        <is>
          <t>MATURITY YEAR (ARD WHERE APPLICABLE)</t>
        </is>
      </c>
      <c r="C355" s="19">
        <f>SUM(C302:C306)</f>
        <v/>
      </c>
      <c r="D355" s="19">
        <f>C307</f>
        <v/>
      </c>
      <c r="E355" s="19">
        <f>C355-sLoans</f>
        <v/>
      </c>
      <c r="F355" s="20" t="n"/>
      <c r="G355" s="21">
        <f>SUM(E302:E306)</f>
        <v/>
      </c>
      <c r="H355" s="21">
        <f>E307</f>
        <v/>
      </c>
      <c r="I355" s="21">
        <f>G355-sUPB</f>
        <v/>
      </c>
      <c r="J355" s="56">
        <f>IF(AND(ABS(E355)&lt;0.5,ABS(D355-sLoans)&lt;0.5,ABS(I355)&lt;1,ABS(H355-sUPB)&lt;1),"PASS","FAIL")</f>
        <v/>
      </c>
    </row>
    <row r="356">
      <c r="B356" s="27" t="inlineStr">
        <is>
          <t>LOAN ORIGINATION VINTAGE</t>
        </is>
      </c>
      <c r="C356" s="28">
        <f>SUM(C312:C315)</f>
        <v/>
      </c>
      <c r="D356" s="28">
        <f>C316</f>
        <v/>
      </c>
      <c r="E356" s="28">
        <f>C356-sLoans</f>
        <v/>
      </c>
      <c r="F356" s="29" t="n"/>
      <c r="G356" s="30">
        <f>SUM(E312:E315)</f>
        <v/>
      </c>
      <c r="H356" s="30">
        <f>E316</f>
        <v/>
      </c>
      <c r="I356" s="30">
        <f>G356-sUPB</f>
        <v/>
      </c>
      <c r="J356" s="57">
        <f>IF(AND(ABS(E356)&lt;0.5,ABS(D356-sLoans)&lt;0.5,ABS(I356)&lt;1,ABS(H356-sUPB)&lt;1),"PASS","FAIL")</f>
        <v/>
      </c>
    </row>
    <row r="357">
      <c r="B357" s="18" t="inlineStr">
        <is>
          <t>ASSET VINTAGE (YEAR BUILT, EARLIEST)</t>
        </is>
      </c>
      <c r="C357" s="19">
        <f>SUM(C321:C327)</f>
        <v/>
      </c>
      <c r="D357" s="19">
        <f>C328</f>
        <v/>
      </c>
      <c r="E357" s="19">
        <f>C357-sLoans</f>
        <v/>
      </c>
      <c r="F357" s="20" t="n"/>
      <c r="G357" s="21">
        <f>SUM(E321:E327)</f>
        <v/>
      </c>
      <c r="H357" s="21">
        <f>E328</f>
        <v/>
      </c>
      <c r="I357" s="21">
        <f>G357-sUPB</f>
        <v/>
      </c>
      <c r="J357" s="56">
        <f>IF(AND(ABS(E357)&lt;0.5,ABS(D357-sLoans)&lt;0.5,ABS(I357)&lt;1,ABS(H357-sUPB)&lt;1),"PASS","FAIL")</f>
        <v/>
      </c>
    </row>
    <row r="358">
      <c r="B358" s="58">
        <f>IF(COUNTIF(J333:J357,"FAIL")=0,"All "&amp;COUNTA(J333:J357)&amp;" strats tie to the filtered loan count and UPB.",COUNTIF(J333:J357,"FAIL")&amp;" strats do not tie. Review flagged rows above.")</f>
        <v/>
      </c>
    </row>
    <row r="359">
      <c r="B359" s="58">
        <f>IF(COUNTIF('Deal Map'!$H$39:$H$41,"FAIL")=0,"Deal Map ties to the RECOP Tape (positions, book value and fair value).","Deal Map does not tie to the RECOP Tape. Review the Deal Map tab.")</f>
        <v/>
      </c>
    </row>
  </sheetData>
  <conditionalFormatting sqref="J333:J357">
    <cfRule type="cellIs" priority="1" operator="equal" dxfId="0">
      <formula>"PASS"</formula>
    </cfRule>
    <cfRule type="cellIs" priority="2" operator="equal" dxfId="1">
      <formula>"FAIL"</formula>
    </cfRule>
  </conditionalFormatting>
  <dataValidations count="4">
    <dataValidation sqref="C6" showDropDown="0" showInputMessage="0" showErrorMessage="0" allowBlank="0" errorTitle="Invalid selection" error="Pick a value from the list." type="list">
      <formula1>=lstDeal</formula1>
    </dataValidation>
    <dataValidation sqref="C7" showDropDown="0" showInputMessage="0" showErrorMessage="0" allowBlank="0" errorTitle="Invalid selection" error="Pick a value from the list." type="list">
      <formula1>=lstEntity</formula1>
    </dataValidation>
    <dataValidation sqref="C8" showDropDown="0" showInputMessage="0" showErrorMessage="0" allowBlank="0" errorTitle="Invalid selection" error="Pick a value from the list." type="list">
      <formula1>=lstPType</formula1>
    </dataValidation>
    <dataValidation sqref="C9" showDropDown="0" showInputMessage="0" showErrorMessage="0" allowBlank="0" errorTitle="Invalid selection" error="Pick a value from the list." type="list">
      <formula1>=lstDefeased</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B2:T45"/>
  <sheetViews>
    <sheetView showGridLines="0" zoomScale="85" workbookViewId="0">
      <pane xSplit="3" ySplit="7" topLeftCell="D8"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6" customWidth="1" min="3" max="3"/>
    <col width="48" customWidth="1" min="4" max="4"/>
    <col width="22" customWidth="1" min="5" max="5"/>
    <col width="9" customWidth="1" min="6" max="6"/>
    <col width="10" customWidth="1" min="7" max="7"/>
    <col width="10" customWidth="1" min="8" max="8"/>
    <col width="14" customWidth="1" min="9" max="9"/>
    <col width="14" customWidth="1" min="10" max="10"/>
    <col width="9" customWidth="1" min="11" max="11"/>
    <col width="10" customWidth="1" min="12" max="12"/>
    <col width="11" customWidth="1" min="13" max="13"/>
    <col width="9" customWidth="1" min="14" max="14"/>
    <col width="15" customWidth="1" min="15" max="15"/>
    <col width="15" customWidth="1" min="16" max="16"/>
    <col width="9" customWidth="1" min="17" max="17"/>
    <col width="9" customWidth="1" min="18" max="18"/>
    <col width="15" customWidth="1" min="19" max="19"/>
    <col width="10" customWidth="1" min="20" max="20"/>
  </cols>
  <sheetData>
    <row r="2" ht="18.5" customHeight="1">
      <c r="B2" s="1" t="inlineStr">
        <is>
          <t>KKR TRANSACTION: CMBS DEAL MAP AND RECOP I POSITION TIE-OUT</t>
        </is>
      </c>
      <c r="C2" s="1" t="n"/>
      <c r="D2" s="1" t="n"/>
      <c r="E2" s="1" t="n"/>
      <c r="F2" s="1" t="n"/>
      <c r="G2" s="1" t="n"/>
      <c r="H2" s="1" t="n"/>
      <c r="I2" s="1" t="n"/>
      <c r="J2" s="1" t="n"/>
      <c r="K2" s="1" t="n"/>
      <c r="L2" s="1" t="n"/>
      <c r="M2" s="1" t="n"/>
      <c r="N2" s="1" t="n"/>
      <c r="O2" s="1" t="n"/>
      <c r="P2" s="1" t="n"/>
      <c r="Q2" s="1" t="n"/>
      <c r="R2" s="1" t="n"/>
      <c r="S2" s="1" t="n"/>
      <c r="T2" s="1" t="n"/>
    </row>
    <row r="3">
      <c r="B3" s="14" t="inlineStr">
        <is>
          <t>Blue font denotes hardcoded inputs, green font denotes links to other tabs and black font denotes formulas. Set Include in Pool to 0 to drop a deal from every strat.</t>
        </is>
      </c>
    </row>
    <row r="5" ht="15" customHeight="1">
      <c r="B5" s="2" t="inlineStr">
        <is>
          <t>DEAL MAP</t>
        </is>
      </c>
      <c r="C5" s="3" t="n"/>
      <c r="D5" s="3" t="n"/>
      <c r="E5" s="3" t="n"/>
      <c r="F5" s="3" t="n"/>
      <c r="G5" s="3" t="n"/>
      <c r="H5" s="3" t="n"/>
      <c r="I5" s="3" t="n"/>
      <c r="J5" s="3" t="n"/>
      <c r="K5" s="3" t="n"/>
      <c r="L5" s="3" t="n"/>
      <c r="M5" s="3" t="n"/>
      <c r="N5" s="3" t="n"/>
      <c r="O5" s="3" t="n"/>
      <c r="P5" s="3" t="n"/>
      <c r="Q5" s="3" t="n"/>
      <c r="R5" s="3" t="n"/>
      <c r="S5" s="3" t="n"/>
      <c r="T5" s="3" t="n"/>
    </row>
    <row r="7" ht="52" customHeight="1">
      <c r="B7" s="15" t="inlineStr">
        <is>
          <t>Intex Deal ID</t>
        </is>
      </c>
      <c r="C7" s="16" t="inlineStr">
        <is>
          <t>Deal Name</t>
        </is>
      </c>
      <c r="D7" s="16" t="inlineStr">
        <is>
          <t>RECOP Issuer (Per Q2 2026 Tape)</t>
        </is>
      </c>
      <c r="E7" s="16" t="inlineStr">
        <is>
          <t>Holding Entity</t>
        </is>
      </c>
      <c r="F7" s="16" t="inlineStr">
        <is>
          <t>Deal Vintage</t>
        </is>
      </c>
      <c r="G7" s="16" t="inlineStr">
        <is>
          <t>Include in Pool (1 = Yes)</t>
        </is>
      </c>
      <c r="H7" s="16" t="inlineStr">
        <is>
          <t>RECOP Positions (#)</t>
        </is>
      </c>
      <c r="I7" s="16" t="inlineStr">
        <is>
          <t>RECOP Book Value ($)</t>
        </is>
      </c>
      <c r="J7" s="16" t="inlineStr">
        <is>
          <t>RECOP Fair Value ($)</t>
        </is>
      </c>
      <c r="K7" s="16" t="inlineStr">
        <is>
          <t>FV % of Book</t>
        </is>
      </c>
      <c r="L7" s="16" t="inlineStr">
        <is>
          <t>Intex Loans (Total #)</t>
        </is>
      </c>
      <c r="M7" s="16" t="inlineStr">
        <is>
          <t>Paid Off / Liquidated (#)</t>
        </is>
      </c>
      <c r="N7" s="16" t="inlineStr">
        <is>
          <t>Active Loans (#)</t>
        </is>
      </c>
      <c r="O7" s="16" t="inlineStr">
        <is>
          <t>Original Balance, Active ($)</t>
        </is>
      </c>
      <c r="P7" s="16" t="inlineStr">
        <is>
          <t>Current UPB, Active ($)</t>
        </is>
      </c>
      <c r="Q7" s="16" t="inlineStr">
        <is>
          <t>Deal In Filter (1 = Yes)</t>
        </is>
      </c>
      <c r="R7" s="16" t="inlineStr">
        <is>
          <t>Filtered Loans (#)</t>
        </is>
      </c>
      <c r="S7" s="16" t="inlineStr">
        <is>
          <t>Filtered UPB ($)</t>
        </is>
      </c>
      <c r="T7" s="16" t="inlineStr">
        <is>
          <t>% of Filtered UPB</t>
        </is>
      </c>
    </row>
    <row r="8">
      <c r="B8" s="59" t="inlineStr">
        <is>
          <t>BCMK18B6</t>
        </is>
      </c>
      <c r="C8" s="59" t="inlineStr">
        <is>
          <t>BMARK 2018-B6</t>
        </is>
      </c>
      <c r="D8" s="59" t="inlineStr">
        <is>
          <t>Benchmark 2018-B6 Mortgage Trust</t>
        </is>
      </c>
      <c r="E8" s="46">
        <f>IFERROR(INDEX(rcEntity,MATCH(D8,rcIssuer,0)),"Not on RECOP Tape")</f>
        <v/>
      </c>
      <c r="F8" s="60" t="n">
        <v>2018</v>
      </c>
      <c r="G8" s="54" t="n">
        <v>1</v>
      </c>
      <c r="H8" s="19">
        <f>COUNTIF(rcIssuer,D8)</f>
        <v/>
      </c>
      <c r="I8" s="21">
        <f>SUMIFS(rcBook,rcIssuer,D8)</f>
        <v/>
      </c>
      <c r="J8" s="21">
        <f>SUMIFS(rcFV,rcIssuer,D8)</f>
        <v/>
      </c>
      <c r="K8" s="22">
        <f>IFERROR(J8/I8,0)</f>
        <v/>
      </c>
      <c r="L8" s="19">
        <f>COUNTIF(tDealID,B8)</f>
        <v/>
      </c>
      <c r="M8" s="19">
        <f>L8-N8</f>
        <v/>
      </c>
      <c r="N8" s="19">
        <f>COUNTIFS(tDealID,B8,tActive,1)</f>
        <v/>
      </c>
      <c r="O8" s="21">
        <f>SUMIFS(tOrigBal,tDealID,B8,tActive,1)</f>
        <v/>
      </c>
      <c r="P8" s="21">
        <f>SUMIFS(tUPB,tDealID,B8,tActive,1)</f>
        <v/>
      </c>
      <c r="Q8" s="19">
        <f>IF(AND(G8=1,OR(fDeal="All Deals",C8=fDeal),OR(fEntity="All Entities",E8=fEntity)),1,0)</f>
        <v/>
      </c>
      <c r="R8" s="19">
        <f>COUNTIFS(tDealID,B8,tFlag,1)</f>
        <v/>
      </c>
      <c r="S8" s="21">
        <f>SUMIFS(tUPBf,tDealID,B8)</f>
        <v/>
      </c>
      <c r="T8" s="22">
        <f>IFERROR(S8/sUPB,0)</f>
        <v/>
      </c>
    </row>
    <row r="9">
      <c r="B9" s="61" t="inlineStr">
        <is>
          <t>CTG17C04</t>
        </is>
      </c>
      <c r="C9" s="61" t="inlineStr">
        <is>
          <t>CGCMT 2017-C4</t>
        </is>
      </c>
      <c r="D9" s="61" t="inlineStr">
        <is>
          <t>Citigroup Commercial Mortgage Trust 2017-C4</t>
        </is>
      </c>
      <c r="E9" s="62">
        <f>IFERROR(INDEX(rcEntity,MATCH(D9,rcIssuer,0)),"Not on RECOP Tape")</f>
        <v/>
      </c>
      <c r="F9" s="63" t="n">
        <v>2017</v>
      </c>
      <c r="G9" s="64" t="n">
        <v>1</v>
      </c>
      <c r="H9" s="28">
        <f>COUNTIF(rcIssuer,D9)</f>
        <v/>
      </c>
      <c r="I9" s="30">
        <f>SUMIFS(rcBook,rcIssuer,D9)</f>
        <v/>
      </c>
      <c r="J9" s="30">
        <f>SUMIFS(rcFV,rcIssuer,D9)</f>
        <v/>
      </c>
      <c r="K9" s="31">
        <f>IFERROR(J9/I9,0)</f>
        <v/>
      </c>
      <c r="L9" s="28">
        <f>COUNTIF(tDealID,B9)</f>
        <v/>
      </c>
      <c r="M9" s="28">
        <f>L9-N9</f>
        <v/>
      </c>
      <c r="N9" s="28">
        <f>COUNTIFS(tDealID,B9,tActive,1)</f>
        <v/>
      </c>
      <c r="O9" s="30">
        <f>SUMIFS(tOrigBal,tDealID,B9,tActive,1)</f>
        <v/>
      </c>
      <c r="P9" s="30">
        <f>SUMIFS(tUPB,tDealID,B9,tActive,1)</f>
        <v/>
      </c>
      <c r="Q9" s="28">
        <f>IF(AND(G9=1,OR(fDeal="All Deals",C9=fDeal),OR(fEntity="All Entities",E9=fEntity)),1,0)</f>
        <v/>
      </c>
      <c r="R9" s="28">
        <f>COUNTIFS(tDealID,B9,tFlag,1)</f>
        <v/>
      </c>
      <c r="S9" s="30">
        <f>SUMIFS(tUPBf,tDealID,B9)</f>
        <v/>
      </c>
      <c r="T9" s="31">
        <f>IFERROR(S9/sUPB,0)</f>
        <v/>
      </c>
    </row>
    <row r="10">
      <c r="B10" s="59" t="inlineStr">
        <is>
          <t>CTG18C06</t>
        </is>
      </c>
      <c r="C10" s="59" t="inlineStr">
        <is>
          <t>CGCMT 2018-C6</t>
        </is>
      </c>
      <c r="D10" s="59" t="inlineStr">
        <is>
          <t>Citigroup Commercial Mortgage Trust 2018-C6</t>
        </is>
      </c>
      <c r="E10" s="46">
        <f>IFERROR(INDEX(rcEntity,MATCH(D10,rcIssuer,0)),"Not on RECOP Tape")</f>
        <v/>
      </c>
      <c r="F10" s="60" t="n">
        <v>2018</v>
      </c>
      <c r="G10" s="54" t="n">
        <v>1</v>
      </c>
      <c r="H10" s="19">
        <f>COUNTIF(rcIssuer,D10)</f>
        <v/>
      </c>
      <c r="I10" s="21">
        <f>SUMIFS(rcBook,rcIssuer,D10)</f>
        <v/>
      </c>
      <c r="J10" s="21">
        <f>SUMIFS(rcFV,rcIssuer,D10)</f>
        <v/>
      </c>
      <c r="K10" s="22">
        <f>IFERROR(J10/I10,0)</f>
        <v/>
      </c>
      <c r="L10" s="19">
        <f>COUNTIF(tDealID,B10)</f>
        <v/>
      </c>
      <c r="M10" s="19">
        <f>L10-N10</f>
        <v/>
      </c>
      <c r="N10" s="19">
        <f>COUNTIFS(tDealID,B10,tActive,1)</f>
        <v/>
      </c>
      <c r="O10" s="21">
        <f>SUMIFS(tOrigBal,tDealID,B10,tActive,1)</f>
        <v/>
      </c>
      <c r="P10" s="21">
        <f>SUMIFS(tUPB,tDealID,B10,tActive,1)</f>
        <v/>
      </c>
      <c r="Q10" s="19">
        <f>IF(AND(G10=1,OR(fDeal="All Deals",C10=fDeal),OR(fEntity="All Entities",E10=fEntity)),1,0)</f>
        <v/>
      </c>
      <c r="R10" s="19">
        <f>COUNTIFS(tDealID,B10,tFlag,1)</f>
        <v/>
      </c>
      <c r="S10" s="21">
        <f>SUMIFS(tUPBf,tDealID,B10)</f>
        <v/>
      </c>
      <c r="T10" s="22">
        <f>IFERROR(S10/sUPB,0)</f>
        <v/>
      </c>
    </row>
    <row r="11">
      <c r="B11" s="61" t="inlineStr">
        <is>
          <t>DBJ17C06</t>
        </is>
      </c>
      <c r="C11" s="61" t="inlineStr">
        <is>
          <t>DBJPM 2017-C6</t>
        </is>
      </c>
      <c r="D11" s="61" t="inlineStr">
        <is>
          <t>DBJPM 2017-C6 Mortgage Trust</t>
        </is>
      </c>
      <c r="E11" s="62">
        <f>IFERROR(INDEX(rcEntity,MATCH(D11,rcIssuer,0)),"Not on RECOP Tape")</f>
        <v/>
      </c>
      <c r="F11" s="63" t="n">
        <v>2017</v>
      </c>
      <c r="G11" s="64" t="n">
        <v>1</v>
      </c>
      <c r="H11" s="28">
        <f>COUNTIF(rcIssuer,D11)</f>
        <v/>
      </c>
      <c r="I11" s="30">
        <f>SUMIFS(rcBook,rcIssuer,D11)</f>
        <v/>
      </c>
      <c r="J11" s="30">
        <f>SUMIFS(rcFV,rcIssuer,D11)</f>
        <v/>
      </c>
      <c r="K11" s="31">
        <f>IFERROR(J11/I11,0)</f>
        <v/>
      </c>
      <c r="L11" s="28">
        <f>COUNTIF(tDealID,B11)</f>
        <v/>
      </c>
      <c r="M11" s="28">
        <f>L11-N11</f>
        <v/>
      </c>
      <c r="N11" s="28">
        <f>COUNTIFS(tDealID,B11,tActive,1)</f>
        <v/>
      </c>
      <c r="O11" s="30">
        <f>SUMIFS(tOrigBal,tDealID,B11,tActive,1)</f>
        <v/>
      </c>
      <c r="P11" s="30">
        <f>SUMIFS(tUPB,tDealID,B11,tActive,1)</f>
        <v/>
      </c>
      <c r="Q11" s="28">
        <f>IF(AND(G11=1,OR(fDeal="All Deals",C11=fDeal),OR(fEntity="All Entities",E11=fEntity)),1,0)</f>
        <v/>
      </c>
      <c r="R11" s="28">
        <f>COUNTIFS(tDealID,B11,tFlag,1)</f>
        <v/>
      </c>
      <c r="S11" s="30">
        <f>SUMIFS(tUPBf,tDealID,B11)</f>
        <v/>
      </c>
      <c r="T11" s="31">
        <f>IFERROR(S11/sUPB,0)</f>
        <v/>
      </c>
    </row>
    <row r="12">
      <c r="B12" s="59" t="inlineStr">
        <is>
          <t>GS217GS6</t>
        </is>
      </c>
      <c r="C12" s="59" t="inlineStr">
        <is>
          <t>GSMS 2017-GS6</t>
        </is>
      </c>
      <c r="D12" s="59" t="inlineStr">
        <is>
          <t>Goldman Sachs Mortgage Securities Trust 2017-GS6</t>
        </is>
      </c>
      <c r="E12" s="46">
        <f>IFERROR(INDEX(rcEntity,MATCH(D12,rcIssuer,0)),"Not on RECOP Tape")</f>
        <v/>
      </c>
      <c r="F12" s="60" t="n">
        <v>2017</v>
      </c>
      <c r="G12" s="54" t="n">
        <v>1</v>
      </c>
      <c r="H12" s="19">
        <f>COUNTIF(rcIssuer,D12)</f>
        <v/>
      </c>
      <c r="I12" s="21">
        <f>SUMIFS(rcBook,rcIssuer,D12)</f>
        <v/>
      </c>
      <c r="J12" s="21">
        <f>SUMIFS(rcFV,rcIssuer,D12)</f>
        <v/>
      </c>
      <c r="K12" s="22">
        <f>IFERROR(J12/I12,0)</f>
        <v/>
      </c>
      <c r="L12" s="19">
        <f>COUNTIF(tDealID,B12)</f>
        <v/>
      </c>
      <c r="M12" s="19">
        <f>L12-N12</f>
        <v/>
      </c>
      <c r="N12" s="19">
        <f>COUNTIFS(tDealID,B12,tActive,1)</f>
        <v/>
      </c>
      <c r="O12" s="21">
        <f>SUMIFS(tOrigBal,tDealID,B12,tActive,1)</f>
        <v/>
      </c>
      <c r="P12" s="21">
        <f>SUMIFS(tUPB,tDealID,B12,tActive,1)</f>
        <v/>
      </c>
      <c r="Q12" s="19">
        <f>IF(AND(G12=1,OR(fDeal="All Deals",C12=fDeal),OR(fEntity="All Entities",E12=fEntity)),1,0)</f>
        <v/>
      </c>
      <c r="R12" s="19">
        <f>COUNTIFS(tDealID,B12,tFlag,1)</f>
        <v/>
      </c>
      <c r="S12" s="21">
        <f>SUMIFS(tUPBf,tDealID,B12)</f>
        <v/>
      </c>
      <c r="T12" s="22">
        <f>IFERROR(S12/sUPB,0)</f>
        <v/>
      </c>
    </row>
    <row r="13">
      <c r="B13" s="61" t="inlineStr">
        <is>
          <t>GS217GS8</t>
        </is>
      </c>
      <c r="C13" s="61" t="inlineStr">
        <is>
          <t>GSMS 2017-GS8</t>
        </is>
      </c>
      <c r="D13" s="61" t="inlineStr">
        <is>
          <t>GS Mortgage Securities Trust 2017-GS8</t>
        </is>
      </c>
      <c r="E13" s="62">
        <f>IFERROR(INDEX(rcEntity,MATCH(D13,rcIssuer,0)),"Not on RECOP Tape")</f>
        <v/>
      </c>
      <c r="F13" s="63" t="n">
        <v>2017</v>
      </c>
      <c r="G13" s="64" t="n">
        <v>1</v>
      </c>
      <c r="H13" s="28">
        <f>COUNTIF(rcIssuer,D13)</f>
        <v/>
      </c>
      <c r="I13" s="30">
        <f>SUMIFS(rcBook,rcIssuer,D13)</f>
        <v/>
      </c>
      <c r="J13" s="30">
        <f>SUMIFS(rcFV,rcIssuer,D13)</f>
        <v/>
      </c>
      <c r="K13" s="31">
        <f>IFERROR(J13/I13,0)</f>
        <v/>
      </c>
      <c r="L13" s="28">
        <f>COUNTIF(tDealID,B13)</f>
        <v/>
      </c>
      <c r="M13" s="28">
        <f>L13-N13</f>
        <v/>
      </c>
      <c r="N13" s="28">
        <f>COUNTIFS(tDealID,B13,tActive,1)</f>
        <v/>
      </c>
      <c r="O13" s="30">
        <f>SUMIFS(tOrigBal,tDealID,B13,tActive,1)</f>
        <v/>
      </c>
      <c r="P13" s="30">
        <f>SUMIFS(tUPB,tDealID,B13,tActive,1)</f>
        <v/>
      </c>
      <c r="Q13" s="28">
        <f>IF(AND(G13=1,OR(fDeal="All Deals",C13=fDeal),OR(fEntity="All Entities",E13=fEntity)),1,0)</f>
        <v/>
      </c>
      <c r="R13" s="28">
        <f>COUNTIFS(tDealID,B13,tFlag,1)</f>
        <v/>
      </c>
      <c r="S13" s="30">
        <f>SUMIFS(tUPBf,tDealID,B13)</f>
        <v/>
      </c>
      <c r="T13" s="31">
        <f>IFERROR(S13/sUPB,0)</f>
        <v/>
      </c>
    </row>
    <row r="14">
      <c r="B14" s="59" t="inlineStr">
        <is>
          <t>JPD17C7</t>
        </is>
      </c>
      <c r="C14" s="59" t="inlineStr">
        <is>
          <t>JPMDB 2017-C7</t>
        </is>
      </c>
      <c r="D14" s="59" t="inlineStr">
        <is>
          <t>JPMDB Commercial Mortgage Securities Trust 2017-C7</t>
        </is>
      </c>
      <c r="E14" s="46">
        <f>IFERROR(INDEX(rcEntity,MATCH(D14,rcIssuer,0)),"Not on RECOP Tape")</f>
        <v/>
      </c>
      <c r="F14" s="60" t="n">
        <v>2017</v>
      </c>
      <c r="G14" s="54" t="n">
        <v>1</v>
      </c>
      <c r="H14" s="19">
        <f>COUNTIF(rcIssuer,D14)</f>
        <v/>
      </c>
      <c r="I14" s="21">
        <f>SUMIFS(rcBook,rcIssuer,D14)</f>
        <v/>
      </c>
      <c r="J14" s="21">
        <f>SUMIFS(rcFV,rcIssuer,D14)</f>
        <v/>
      </c>
      <c r="K14" s="22">
        <f>IFERROR(J14/I14,0)</f>
        <v/>
      </c>
      <c r="L14" s="19">
        <f>COUNTIF(tDealID,B14)</f>
        <v/>
      </c>
      <c r="M14" s="19">
        <f>L14-N14</f>
        <v/>
      </c>
      <c r="N14" s="19">
        <f>COUNTIFS(tDealID,B14,tActive,1)</f>
        <v/>
      </c>
      <c r="O14" s="21">
        <f>SUMIFS(tOrigBal,tDealID,B14,tActive,1)</f>
        <v/>
      </c>
      <c r="P14" s="21">
        <f>SUMIFS(tUPB,tDealID,B14,tActive,1)</f>
        <v/>
      </c>
      <c r="Q14" s="19">
        <f>IF(AND(G14=1,OR(fDeal="All Deals",C14=fDeal),OR(fEntity="All Entities",E14=fEntity)),1,0)</f>
        <v/>
      </c>
      <c r="R14" s="19">
        <f>COUNTIFS(tDealID,B14,tFlag,1)</f>
        <v/>
      </c>
      <c r="S14" s="21">
        <f>SUMIFS(tUPBf,tDealID,B14)</f>
        <v/>
      </c>
      <c r="T14" s="22">
        <f>IFERROR(S14/sUPB,0)</f>
        <v/>
      </c>
    </row>
    <row r="15">
      <c r="B15" s="61" t="inlineStr">
        <is>
          <t>LCC17L26</t>
        </is>
      </c>
      <c r="C15" s="61" t="inlineStr">
        <is>
          <t>LCCM 2017-LC26</t>
        </is>
      </c>
      <c r="D15" s="61" t="inlineStr">
        <is>
          <t>LCCM 2017-LC26</t>
        </is>
      </c>
      <c r="E15" s="62">
        <f>IFERROR(INDEX(rcEntity,MATCH(D15,rcIssuer,0)),"Not on RECOP Tape")</f>
        <v/>
      </c>
      <c r="F15" s="63" t="n">
        <v>2017</v>
      </c>
      <c r="G15" s="64" t="n">
        <v>1</v>
      </c>
      <c r="H15" s="28">
        <f>COUNTIF(rcIssuer,D15)</f>
        <v/>
      </c>
      <c r="I15" s="30">
        <f>SUMIFS(rcBook,rcIssuer,D15)</f>
        <v/>
      </c>
      <c r="J15" s="30">
        <f>SUMIFS(rcFV,rcIssuer,D15)</f>
        <v/>
      </c>
      <c r="K15" s="31">
        <f>IFERROR(J15/I15,0)</f>
        <v/>
      </c>
      <c r="L15" s="28">
        <f>COUNTIF(tDealID,B15)</f>
        <v/>
      </c>
      <c r="M15" s="28">
        <f>L15-N15</f>
        <v/>
      </c>
      <c r="N15" s="28">
        <f>COUNTIFS(tDealID,B15,tActive,1)</f>
        <v/>
      </c>
      <c r="O15" s="30">
        <f>SUMIFS(tOrigBal,tDealID,B15,tActive,1)</f>
        <v/>
      </c>
      <c r="P15" s="30">
        <f>SUMIFS(tUPB,tDealID,B15,tActive,1)</f>
        <v/>
      </c>
      <c r="Q15" s="28">
        <f>IF(AND(G15=1,OR(fDeal="All Deals",C15=fDeal),OR(fEntity="All Entities",E15=fEntity)),1,0)</f>
        <v/>
      </c>
      <c r="R15" s="28">
        <f>COUNTIFS(tDealID,B15,tFlag,1)</f>
        <v/>
      </c>
      <c r="S15" s="30">
        <f>SUMIFS(tUPBf,tDealID,B15)</f>
        <v/>
      </c>
      <c r="T15" s="31">
        <f>IFERROR(S15/sUPB,0)</f>
        <v/>
      </c>
    </row>
    <row r="16">
      <c r="B16" s="59" t="inlineStr">
        <is>
          <t>MSB17C33</t>
        </is>
      </c>
      <c r="C16" s="59" t="inlineStr">
        <is>
          <t>MSBAM 2017-C33</t>
        </is>
      </c>
      <c r="D16" s="59" t="inlineStr">
        <is>
          <t>Morgan Stanley Bank of America Merrill Lynch Trust 2017-C33</t>
        </is>
      </c>
      <c r="E16" s="46">
        <f>IFERROR(INDEX(rcEntity,MATCH(D16,rcIssuer,0)),"Not on RECOP Tape")</f>
        <v/>
      </c>
      <c r="F16" s="60" t="n">
        <v>2017</v>
      </c>
      <c r="G16" s="54" t="n">
        <v>1</v>
      </c>
      <c r="H16" s="19">
        <f>COUNTIF(rcIssuer,D16)</f>
        <v/>
      </c>
      <c r="I16" s="21">
        <f>SUMIFS(rcBook,rcIssuer,D16)</f>
        <v/>
      </c>
      <c r="J16" s="21">
        <f>SUMIFS(rcFV,rcIssuer,D16)</f>
        <v/>
      </c>
      <c r="K16" s="22">
        <f>IFERROR(J16/I16,0)</f>
        <v/>
      </c>
      <c r="L16" s="19">
        <f>COUNTIF(tDealID,B16)</f>
        <v/>
      </c>
      <c r="M16" s="19">
        <f>L16-N16</f>
        <v/>
      </c>
      <c r="N16" s="19">
        <f>COUNTIFS(tDealID,B16,tActive,1)</f>
        <v/>
      </c>
      <c r="O16" s="21">
        <f>SUMIFS(tOrigBal,tDealID,B16,tActive,1)</f>
        <v/>
      </c>
      <c r="P16" s="21">
        <f>SUMIFS(tUPB,tDealID,B16,tActive,1)</f>
        <v/>
      </c>
      <c r="Q16" s="19">
        <f>IF(AND(G16=1,OR(fDeal="All Deals",C16=fDeal),OR(fEntity="All Entities",E16=fEntity)),1,0)</f>
        <v/>
      </c>
      <c r="R16" s="19">
        <f>COUNTIFS(tDealID,B16,tFlag,1)</f>
        <v/>
      </c>
      <c r="S16" s="21">
        <f>SUMIFS(tUPBf,tDealID,B16)</f>
        <v/>
      </c>
      <c r="T16" s="22">
        <f>IFERROR(S16/sUPB,0)</f>
        <v/>
      </c>
    </row>
    <row r="17">
      <c r="B17" s="61" t="inlineStr">
        <is>
          <t>MSC18L1</t>
        </is>
      </c>
      <c r="C17" s="61" t="inlineStr">
        <is>
          <t>MSC 2018-L1</t>
        </is>
      </c>
      <c r="D17" s="61" t="inlineStr">
        <is>
          <t>Morgan Stanley Capital I Trust 2018-L1</t>
        </is>
      </c>
      <c r="E17" s="62">
        <f>IFERROR(INDEX(rcEntity,MATCH(D17,rcIssuer,0)),"Not on RECOP Tape")</f>
        <v/>
      </c>
      <c r="F17" s="63" t="n">
        <v>2018</v>
      </c>
      <c r="G17" s="64" t="n">
        <v>1</v>
      </c>
      <c r="H17" s="28">
        <f>COUNTIF(rcIssuer,D17)</f>
        <v/>
      </c>
      <c r="I17" s="30">
        <f>SUMIFS(rcBook,rcIssuer,D17)</f>
        <v/>
      </c>
      <c r="J17" s="30">
        <f>SUMIFS(rcFV,rcIssuer,D17)</f>
        <v/>
      </c>
      <c r="K17" s="31">
        <f>IFERROR(J17/I17,0)</f>
        <v/>
      </c>
      <c r="L17" s="28">
        <f>COUNTIF(tDealID,B17)</f>
        <v/>
      </c>
      <c r="M17" s="28">
        <f>L17-N17</f>
        <v/>
      </c>
      <c r="N17" s="28">
        <f>COUNTIFS(tDealID,B17,tActive,1)</f>
        <v/>
      </c>
      <c r="O17" s="30">
        <f>SUMIFS(tOrigBal,tDealID,B17,tActive,1)</f>
        <v/>
      </c>
      <c r="P17" s="30">
        <f>SUMIFS(tUPB,tDealID,B17,tActive,1)</f>
        <v/>
      </c>
      <c r="Q17" s="28">
        <f>IF(AND(G17=1,OR(fDeal="All Deals",C17=fDeal),OR(fEntity="All Entities",E17=fEntity)),1,0)</f>
        <v/>
      </c>
      <c r="R17" s="28">
        <f>COUNTIFS(tDealID,B17,tFlag,1)</f>
        <v/>
      </c>
      <c r="S17" s="30">
        <f>SUMIFS(tUPBf,tDealID,B17)</f>
        <v/>
      </c>
      <c r="T17" s="31">
        <f>IFERROR(S17/sUPB,0)</f>
        <v/>
      </c>
    </row>
    <row r="18">
      <c r="B18" s="59" t="inlineStr">
        <is>
          <t>UBS17C02</t>
        </is>
      </c>
      <c r="C18" s="59" t="inlineStr">
        <is>
          <t>UBSCM 2017-C2</t>
        </is>
      </c>
      <c r="D18" s="59" t="inlineStr">
        <is>
          <t>UBS Commercial Mortgage Trust 2017-C2</t>
        </is>
      </c>
      <c r="E18" s="46">
        <f>IFERROR(INDEX(rcEntity,MATCH(D18,rcIssuer,0)),"Not on RECOP Tape")</f>
        <v/>
      </c>
      <c r="F18" s="60" t="n">
        <v>2017</v>
      </c>
      <c r="G18" s="54" t="n">
        <v>1</v>
      </c>
      <c r="H18" s="19">
        <f>COUNTIF(rcIssuer,D18)</f>
        <v/>
      </c>
      <c r="I18" s="21">
        <f>SUMIFS(rcBook,rcIssuer,D18)</f>
        <v/>
      </c>
      <c r="J18" s="21">
        <f>SUMIFS(rcFV,rcIssuer,D18)</f>
        <v/>
      </c>
      <c r="K18" s="22">
        <f>IFERROR(J18/I18,0)</f>
        <v/>
      </c>
      <c r="L18" s="19">
        <f>COUNTIF(tDealID,B18)</f>
        <v/>
      </c>
      <c r="M18" s="19">
        <f>L18-N18</f>
        <v/>
      </c>
      <c r="N18" s="19">
        <f>COUNTIFS(tDealID,B18,tActive,1)</f>
        <v/>
      </c>
      <c r="O18" s="21">
        <f>SUMIFS(tOrigBal,tDealID,B18,tActive,1)</f>
        <v/>
      </c>
      <c r="P18" s="21">
        <f>SUMIFS(tUPB,tDealID,B18,tActive,1)</f>
        <v/>
      </c>
      <c r="Q18" s="19">
        <f>IF(AND(G18=1,OR(fDeal="All Deals",C18=fDeal),OR(fEntity="All Entities",E18=fEntity)),1,0)</f>
        <v/>
      </c>
      <c r="R18" s="19">
        <f>COUNTIFS(tDealID,B18,tFlag,1)</f>
        <v/>
      </c>
      <c r="S18" s="21">
        <f>SUMIFS(tUPBf,tDealID,B18)</f>
        <v/>
      </c>
      <c r="T18" s="22">
        <f>IFERROR(S18/sUPB,0)</f>
        <v/>
      </c>
    </row>
    <row r="19">
      <c r="B19" s="61" t="inlineStr">
        <is>
          <t>UBS17C03</t>
        </is>
      </c>
      <c r="C19" s="61" t="inlineStr">
        <is>
          <t>UBSCM 2017-C3</t>
        </is>
      </c>
      <c r="D19" s="61" t="inlineStr">
        <is>
          <t>UBS Commercial Mortgage Trust 2017-C3</t>
        </is>
      </c>
      <c r="E19" s="62">
        <f>IFERROR(INDEX(rcEntity,MATCH(D19,rcIssuer,0)),"Not on RECOP Tape")</f>
        <v/>
      </c>
      <c r="F19" s="63" t="n">
        <v>2017</v>
      </c>
      <c r="G19" s="64" t="n">
        <v>1</v>
      </c>
      <c r="H19" s="28">
        <f>COUNTIF(rcIssuer,D19)</f>
        <v/>
      </c>
      <c r="I19" s="30">
        <f>SUMIFS(rcBook,rcIssuer,D19)</f>
        <v/>
      </c>
      <c r="J19" s="30">
        <f>SUMIFS(rcFV,rcIssuer,D19)</f>
        <v/>
      </c>
      <c r="K19" s="31">
        <f>IFERROR(J19/I19,0)</f>
        <v/>
      </c>
      <c r="L19" s="28">
        <f>COUNTIF(tDealID,B19)</f>
        <v/>
      </c>
      <c r="M19" s="28">
        <f>L19-N19</f>
        <v/>
      </c>
      <c r="N19" s="28">
        <f>COUNTIFS(tDealID,B19,tActive,1)</f>
        <v/>
      </c>
      <c r="O19" s="30">
        <f>SUMIFS(tOrigBal,tDealID,B19,tActive,1)</f>
        <v/>
      </c>
      <c r="P19" s="30">
        <f>SUMIFS(tUPB,tDealID,B19,tActive,1)</f>
        <v/>
      </c>
      <c r="Q19" s="28">
        <f>IF(AND(G19=1,OR(fDeal="All Deals",C19=fDeal),OR(fEntity="All Entities",E19=fEntity)),1,0)</f>
        <v/>
      </c>
      <c r="R19" s="28">
        <f>COUNTIFS(tDealID,B19,tFlag,1)</f>
        <v/>
      </c>
      <c r="S19" s="30">
        <f>SUMIFS(tUPBf,tDealID,B19)</f>
        <v/>
      </c>
      <c r="T19" s="31">
        <f>IFERROR(S19/sUPB,0)</f>
        <v/>
      </c>
    </row>
    <row r="20">
      <c r="B20" s="59" t="inlineStr">
        <is>
          <t>UBS17C05</t>
        </is>
      </c>
      <c r="C20" s="59" t="inlineStr">
        <is>
          <t>UBSCM 2017-C5</t>
        </is>
      </c>
      <c r="D20" s="59" t="inlineStr">
        <is>
          <t>UBS Commercial Mortgage Trust 2017-C5</t>
        </is>
      </c>
      <c r="E20" s="46">
        <f>IFERROR(INDEX(rcEntity,MATCH(D20,rcIssuer,0)),"Not on RECOP Tape")</f>
        <v/>
      </c>
      <c r="F20" s="60" t="n">
        <v>2017</v>
      </c>
      <c r="G20" s="54" t="n">
        <v>1</v>
      </c>
      <c r="H20" s="19">
        <f>COUNTIF(rcIssuer,D20)</f>
        <v/>
      </c>
      <c r="I20" s="21">
        <f>SUMIFS(rcBook,rcIssuer,D20)</f>
        <v/>
      </c>
      <c r="J20" s="21">
        <f>SUMIFS(rcFV,rcIssuer,D20)</f>
        <v/>
      </c>
      <c r="K20" s="22">
        <f>IFERROR(J20/I20,0)</f>
        <v/>
      </c>
      <c r="L20" s="19">
        <f>COUNTIF(tDealID,B20)</f>
        <v/>
      </c>
      <c r="M20" s="19">
        <f>L20-N20</f>
        <v/>
      </c>
      <c r="N20" s="19">
        <f>COUNTIFS(tDealID,B20,tActive,1)</f>
        <v/>
      </c>
      <c r="O20" s="21">
        <f>SUMIFS(tOrigBal,tDealID,B20,tActive,1)</f>
        <v/>
      </c>
      <c r="P20" s="21">
        <f>SUMIFS(tUPB,tDealID,B20,tActive,1)</f>
        <v/>
      </c>
      <c r="Q20" s="19">
        <f>IF(AND(G20=1,OR(fDeal="All Deals",C20=fDeal),OR(fEntity="All Entities",E20=fEntity)),1,0)</f>
        <v/>
      </c>
      <c r="R20" s="19">
        <f>COUNTIFS(tDealID,B20,tFlag,1)</f>
        <v/>
      </c>
      <c r="S20" s="21">
        <f>SUMIFS(tUPBf,tDealID,B20)</f>
        <v/>
      </c>
      <c r="T20" s="22">
        <f>IFERROR(S20/sUPB,0)</f>
        <v/>
      </c>
    </row>
    <row r="21">
      <c r="B21" s="61" t="inlineStr">
        <is>
          <t>UBS18C15</t>
        </is>
      </c>
      <c r="C21" s="61" t="inlineStr">
        <is>
          <t>UBSCM 2018-C15</t>
        </is>
      </c>
      <c r="D21" s="61" t="inlineStr">
        <is>
          <t>UBS Commercial Mortgage Trust 2018-C15</t>
        </is>
      </c>
      <c r="E21" s="62">
        <f>IFERROR(INDEX(rcEntity,MATCH(D21,rcIssuer,0)),"Not on RECOP Tape")</f>
        <v/>
      </c>
      <c r="F21" s="63" t="n">
        <v>2018</v>
      </c>
      <c r="G21" s="64" t="n">
        <v>1</v>
      </c>
      <c r="H21" s="28">
        <f>COUNTIF(rcIssuer,D21)</f>
        <v/>
      </c>
      <c r="I21" s="30">
        <f>SUMIFS(rcBook,rcIssuer,D21)</f>
        <v/>
      </c>
      <c r="J21" s="30">
        <f>SUMIFS(rcFV,rcIssuer,D21)</f>
        <v/>
      </c>
      <c r="K21" s="31">
        <f>IFERROR(J21/I21,0)</f>
        <v/>
      </c>
      <c r="L21" s="28">
        <f>COUNTIF(tDealID,B21)</f>
        <v/>
      </c>
      <c r="M21" s="28">
        <f>L21-N21</f>
        <v/>
      </c>
      <c r="N21" s="28">
        <f>COUNTIFS(tDealID,B21,tActive,1)</f>
        <v/>
      </c>
      <c r="O21" s="30">
        <f>SUMIFS(tOrigBal,tDealID,B21,tActive,1)</f>
        <v/>
      </c>
      <c r="P21" s="30">
        <f>SUMIFS(tUPB,tDealID,B21,tActive,1)</f>
        <v/>
      </c>
      <c r="Q21" s="28">
        <f>IF(AND(G21=1,OR(fDeal="All Deals",C21=fDeal),OR(fEntity="All Entities",E21=fEntity)),1,0)</f>
        <v/>
      </c>
      <c r="R21" s="28">
        <f>COUNTIFS(tDealID,B21,tFlag,1)</f>
        <v/>
      </c>
      <c r="S21" s="30">
        <f>SUMIFS(tUPBf,tDealID,B21)</f>
        <v/>
      </c>
      <c r="T21" s="31">
        <f>IFERROR(S21/sUPB,0)</f>
        <v/>
      </c>
    </row>
    <row r="22">
      <c r="B22" s="59" t="inlineStr">
        <is>
          <t>WFC18C43</t>
        </is>
      </c>
      <c r="C22" s="59" t="inlineStr">
        <is>
          <t>WFCM 2018-C43</t>
        </is>
      </c>
      <c r="D22" s="59" t="inlineStr">
        <is>
          <t>Wells Fargo Commerical Mortgage Trust 2018-C43</t>
        </is>
      </c>
      <c r="E22" s="46">
        <f>IFERROR(INDEX(rcEntity,MATCH(D22,rcIssuer,0)),"Not on RECOP Tape")</f>
        <v/>
      </c>
      <c r="F22" s="60" t="n">
        <v>2018</v>
      </c>
      <c r="G22" s="54" t="n">
        <v>1</v>
      </c>
      <c r="H22" s="19">
        <f>COUNTIF(rcIssuer,D22)</f>
        <v/>
      </c>
      <c r="I22" s="21">
        <f>SUMIFS(rcBook,rcIssuer,D22)</f>
        <v/>
      </c>
      <c r="J22" s="21">
        <f>SUMIFS(rcFV,rcIssuer,D22)</f>
        <v/>
      </c>
      <c r="K22" s="22">
        <f>IFERROR(J22/I22,0)</f>
        <v/>
      </c>
      <c r="L22" s="19">
        <f>COUNTIF(tDealID,B22)</f>
        <v/>
      </c>
      <c r="M22" s="19">
        <f>L22-N22</f>
        <v/>
      </c>
      <c r="N22" s="19">
        <f>COUNTIFS(tDealID,B22,tActive,1)</f>
        <v/>
      </c>
      <c r="O22" s="21">
        <f>SUMIFS(tOrigBal,tDealID,B22,tActive,1)</f>
        <v/>
      </c>
      <c r="P22" s="21">
        <f>SUMIFS(tUPB,tDealID,B22,tActive,1)</f>
        <v/>
      </c>
      <c r="Q22" s="19">
        <f>IF(AND(G22=1,OR(fDeal="All Deals",C22=fDeal),OR(fEntity="All Entities",E22=fEntity)),1,0)</f>
        <v/>
      </c>
      <c r="R22" s="19">
        <f>COUNTIFS(tDealID,B22,tFlag,1)</f>
        <v/>
      </c>
      <c r="S22" s="21">
        <f>SUMIFS(tUPBf,tDealID,B22)</f>
        <v/>
      </c>
      <c r="T22" s="22">
        <f>IFERROR(S22/sUPB,0)</f>
        <v/>
      </c>
    </row>
    <row r="23">
      <c r="B23" s="61" t="inlineStr">
        <is>
          <t>BBC19C03</t>
        </is>
      </c>
      <c r="C23" s="61" t="inlineStr">
        <is>
          <t>BBCMS 2019-C3</t>
        </is>
      </c>
      <c r="D23" s="61" t="inlineStr">
        <is>
          <t>Barclays Commercial Mortgage Trust 2019-C3</t>
        </is>
      </c>
      <c r="E23" s="62">
        <f>IFERROR(INDEX(rcEntity,MATCH(D23,rcIssuer,0)),"Not on RECOP Tape")</f>
        <v/>
      </c>
      <c r="F23" s="63" t="n">
        <v>2019</v>
      </c>
      <c r="G23" s="64" t="n">
        <v>1</v>
      </c>
      <c r="H23" s="28">
        <f>COUNTIF(rcIssuer,D23)</f>
        <v/>
      </c>
      <c r="I23" s="30">
        <f>SUMIFS(rcBook,rcIssuer,D23)</f>
        <v/>
      </c>
      <c r="J23" s="30">
        <f>SUMIFS(rcFV,rcIssuer,D23)</f>
        <v/>
      </c>
      <c r="K23" s="31">
        <f>IFERROR(J23/I23,0)</f>
        <v/>
      </c>
      <c r="L23" s="28">
        <f>COUNTIF(tDealID,B23)</f>
        <v/>
      </c>
      <c r="M23" s="28">
        <f>L23-N23</f>
        <v/>
      </c>
      <c r="N23" s="28">
        <f>COUNTIFS(tDealID,B23,tActive,1)</f>
        <v/>
      </c>
      <c r="O23" s="30">
        <f>SUMIFS(tOrigBal,tDealID,B23,tActive,1)</f>
        <v/>
      </c>
      <c r="P23" s="30">
        <f>SUMIFS(tUPB,tDealID,B23,tActive,1)</f>
        <v/>
      </c>
      <c r="Q23" s="28">
        <f>IF(AND(G23=1,OR(fDeal="All Deals",C23=fDeal),OR(fEntity="All Entities",E23=fEntity)),1,0)</f>
        <v/>
      </c>
      <c r="R23" s="28">
        <f>COUNTIFS(tDealID,B23,tFlag,1)</f>
        <v/>
      </c>
      <c r="S23" s="30">
        <f>SUMIFS(tUPBf,tDealID,B23)</f>
        <v/>
      </c>
      <c r="T23" s="31">
        <f>IFERROR(S23/sUPB,0)</f>
        <v/>
      </c>
    </row>
    <row r="24">
      <c r="B24" s="59" t="inlineStr">
        <is>
          <t>BCMK18B3</t>
        </is>
      </c>
      <c r="C24" s="59" t="inlineStr">
        <is>
          <t>BMARK 2018-B3</t>
        </is>
      </c>
      <c r="D24" s="59" t="inlineStr">
        <is>
          <t>Benchmark 2018-B3 Mortgage Trust</t>
        </is>
      </c>
      <c r="E24" s="46">
        <f>IFERROR(INDEX(rcEntity,MATCH(D24,rcIssuer,0)),"Not on RECOP Tape")</f>
        <v/>
      </c>
      <c r="F24" s="60" t="n">
        <v>2018</v>
      </c>
      <c r="G24" s="54" t="n">
        <v>1</v>
      </c>
      <c r="H24" s="19">
        <f>COUNTIF(rcIssuer,D24)</f>
        <v/>
      </c>
      <c r="I24" s="21">
        <f>SUMIFS(rcBook,rcIssuer,D24)</f>
        <v/>
      </c>
      <c r="J24" s="21">
        <f>SUMIFS(rcFV,rcIssuer,D24)</f>
        <v/>
      </c>
      <c r="K24" s="22">
        <f>IFERROR(J24/I24,0)</f>
        <v/>
      </c>
      <c r="L24" s="19">
        <f>COUNTIF(tDealID,B24)</f>
        <v/>
      </c>
      <c r="M24" s="19">
        <f>L24-N24</f>
        <v/>
      </c>
      <c r="N24" s="19">
        <f>COUNTIFS(tDealID,B24,tActive,1)</f>
        <v/>
      </c>
      <c r="O24" s="21">
        <f>SUMIFS(tOrigBal,tDealID,B24,tActive,1)</f>
        <v/>
      </c>
      <c r="P24" s="21">
        <f>SUMIFS(tUPB,tDealID,B24,tActive,1)</f>
        <v/>
      </c>
      <c r="Q24" s="19">
        <f>IF(AND(G24=1,OR(fDeal="All Deals",C24=fDeal),OR(fEntity="All Entities",E24=fEntity)),1,0)</f>
        <v/>
      </c>
      <c r="R24" s="19">
        <f>COUNTIFS(tDealID,B24,tFlag,1)</f>
        <v/>
      </c>
      <c r="S24" s="21">
        <f>SUMIFS(tUPBf,tDealID,B24)</f>
        <v/>
      </c>
      <c r="T24" s="22">
        <f>IFERROR(S24/sUPB,0)</f>
        <v/>
      </c>
    </row>
    <row r="25">
      <c r="B25" s="61" t="inlineStr">
        <is>
          <t>CCUB17C1</t>
        </is>
      </c>
      <c r="C25" s="61" t="inlineStr">
        <is>
          <t>CCUBS 2017-C1</t>
        </is>
      </c>
      <c r="D25" s="61" t="inlineStr">
        <is>
          <t>CCUBS Commercial Mortgage Trust 2017-C1</t>
        </is>
      </c>
      <c r="E25" s="62">
        <f>IFERROR(INDEX(rcEntity,MATCH(D25,rcIssuer,0)),"Not on RECOP Tape")</f>
        <v/>
      </c>
      <c r="F25" s="63" t="n">
        <v>2017</v>
      </c>
      <c r="G25" s="64" t="n">
        <v>1</v>
      </c>
      <c r="H25" s="28">
        <f>COUNTIF(rcIssuer,D25)</f>
        <v/>
      </c>
      <c r="I25" s="30">
        <f>SUMIFS(rcBook,rcIssuer,D25)</f>
        <v/>
      </c>
      <c r="J25" s="30">
        <f>SUMIFS(rcFV,rcIssuer,D25)</f>
        <v/>
      </c>
      <c r="K25" s="31">
        <f>IFERROR(J25/I25,0)</f>
        <v/>
      </c>
      <c r="L25" s="28">
        <f>COUNTIF(tDealID,B25)</f>
        <v/>
      </c>
      <c r="M25" s="28">
        <f>L25-N25</f>
        <v/>
      </c>
      <c r="N25" s="28">
        <f>COUNTIFS(tDealID,B25,tActive,1)</f>
        <v/>
      </c>
      <c r="O25" s="30">
        <f>SUMIFS(tOrigBal,tDealID,B25,tActive,1)</f>
        <v/>
      </c>
      <c r="P25" s="30">
        <f>SUMIFS(tUPB,tDealID,B25,tActive,1)</f>
        <v/>
      </c>
      <c r="Q25" s="28">
        <f>IF(AND(G25=1,OR(fDeal="All Deals",C25=fDeal),OR(fEntity="All Entities",E25=fEntity)),1,0)</f>
        <v/>
      </c>
      <c r="R25" s="28">
        <f>COUNTIFS(tDealID,B25,tFlag,1)</f>
        <v/>
      </c>
      <c r="S25" s="30">
        <f>SUMIFS(tUPBf,tDealID,B25)</f>
        <v/>
      </c>
      <c r="T25" s="31">
        <f>IFERROR(S25/sUPB,0)</f>
        <v/>
      </c>
    </row>
    <row r="26">
      <c r="B26" s="59" t="inlineStr">
        <is>
          <t>GS219G38</t>
        </is>
      </c>
      <c r="C26" s="59" t="inlineStr">
        <is>
          <t>GSMS 2019-GC38</t>
        </is>
      </c>
      <c r="D26" s="59" t="inlineStr">
        <is>
          <t>GS Mortgage Securities Trust 2019-GC38</t>
        </is>
      </c>
      <c r="E26" s="46">
        <f>IFERROR(INDEX(rcEntity,MATCH(D26,rcIssuer,0)),"Not on RECOP Tape")</f>
        <v/>
      </c>
      <c r="F26" s="60" t="n">
        <v>2019</v>
      </c>
      <c r="G26" s="54" t="n">
        <v>1</v>
      </c>
      <c r="H26" s="19">
        <f>COUNTIF(rcIssuer,D26)</f>
        <v/>
      </c>
      <c r="I26" s="21">
        <f>SUMIFS(rcBook,rcIssuer,D26)</f>
        <v/>
      </c>
      <c r="J26" s="21">
        <f>SUMIFS(rcFV,rcIssuer,D26)</f>
        <v/>
      </c>
      <c r="K26" s="22">
        <f>IFERROR(J26/I26,0)</f>
        <v/>
      </c>
      <c r="L26" s="19">
        <f>COUNTIF(tDealID,B26)</f>
        <v/>
      </c>
      <c r="M26" s="19">
        <f>L26-N26</f>
        <v/>
      </c>
      <c r="N26" s="19">
        <f>COUNTIFS(tDealID,B26,tActive,1)</f>
        <v/>
      </c>
      <c r="O26" s="21">
        <f>SUMIFS(tOrigBal,tDealID,B26,tActive,1)</f>
        <v/>
      </c>
      <c r="P26" s="21">
        <f>SUMIFS(tUPB,tDealID,B26,tActive,1)</f>
        <v/>
      </c>
      <c r="Q26" s="19">
        <f>IF(AND(G26=1,OR(fDeal="All Deals",C26=fDeal),OR(fEntity="All Entities",E26=fEntity)),1,0)</f>
        <v/>
      </c>
      <c r="R26" s="19">
        <f>COUNTIFS(tDealID,B26,tFlag,1)</f>
        <v/>
      </c>
      <c r="S26" s="21">
        <f>SUMIFS(tUPBf,tDealID,B26)</f>
        <v/>
      </c>
      <c r="T26" s="22">
        <f>IFERROR(S26/sUPB,0)</f>
        <v/>
      </c>
    </row>
    <row r="27">
      <c r="B27" s="61" t="inlineStr">
        <is>
          <t>MSC19H6</t>
        </is>
      </c>
      <c r="C27" s="61" t="inlineStr">
        <is>
          <t>MSC 2019-H6</t>
        </is>
      </c>
      <c r="D27" s="61" t="inlineStr">
        <is>
          <t>Morgan Stanley Capital I Trust 2019-H6</t>
        </is>
      </c>
      <c r="E27" s="62">
        <f>IFERROR(INDEX(rcEntity,MATCH(D27,rcIssuer,0)),"Not on RECOP Tape")</f>
        <v/>
      </c>
      <c r="F27" s="63" t="n">
        <v>2019</v>
      </c>
      <c r="G27" s="64" t="n">
        <v>1</v>
      </c>
      <c r="H27" s="28">
        <f>COUNTIF(rcIssuer,D27)</f>
        <v/>
      </c>
      <c r="I27" s="30">
        <f>SUMIFS(rcBook,rcIssuer,D27)</f>
        <v/>
      </c>
      <c r="J27" s="30">
        <f>SUMIFS(rcFV,rcIssuer,D27)</f>
        <v/>
      </c>
      <c r="K27" s="31">
        <f>IFERROR(J27/I27,0)</f>
        <v/>
      </c>
      <c r="L27" s="28">
        <f>COUNTIF(tDealID,B27)</f>
        <v/>
      </c>
      <c r="M27" s="28">
        <f>L27-N27</f>
        <v/>
      </c>
      <c r="N27" s="28">
        <f>COUNTIFS(tDealID,B27,tActive,1)</f>
        <v/>
      </c>
      <c r="O27" s="30">
        <f>SUMIFS(tOrigBal,tDealID,B27,tActive,1)</f>
        <v/>
      </c>
      <c r="P27" s="30">
        <f>SUMIFS(tUPB,tDealID,B27,tActive,1)</f>
        <v/>
      </c>
      <c r="Q27" s="28">
        <f>IF(AND(G27=1,OR(fDeal="All Deals",C27=fDeal),OR(fEntity="All Entities",E27=fEntity)),1,0)</f>
        <v/>
      </c>
      <c r="R27" s="28">
        <f>COUNTIFS(tDealID,B27,tFlag,1)</f>
        <v/>
      </c>
      <c r="S27" s="30">
        <f>SUMIFS(tUPBf,tDealID,B27)</f>
        <v/>
      </c>
      <c r="T27" s="31">
        <f>IFERROR(S27/sUPB,0)</f>
        <v/>
      </c>
    </row>
    <row r="28">
      <c r="B28" s="59" t="inlineStr">
        <is>
          <t>UBS18C12</t>
        </is>
      </c>
      <c r="C28" s="59" t="inlineStr">
        <is>
          <t>UBSCM 2018-C12</t>
        </is>
      </c>
      <c r="D28" s="59" t="inlineStr">
        <is>
          <t>UBS Commercial Mortgage Trust 2018-C12</t>
        </is>
      </c>
      <c r="E28" s="46">
        <f>IFERROR(INDEX(rcEntity,MATCH(D28,rcIssuer,0)),"Not on RECOP Tape")</f>
        <v/>
      </c>
      <c r="F28" s="60" t="n">
        <v>2018</v>
      </c>
      <c r="G28" s="54" t="n">
        <v>1</v>
      </c>
      <c r="H28" s="19">
        <f>COUNTIF(rcIssuer,D28)</f>
        <v/>
      </c>
      <c r="I28" s="21">
        <f>SUMIFS(rcBook,rcIssuer,D28)</f>
        <v/>
      </c>
      <c r="J28" s="21">
        <f>SUMIFS(rcFV,rcIssuer,D28)</f>
        <v/>
      </c>
      <c r="K28" s="22">
        <f>IFERROR(J28/I28,0)</f>
        <v/>
      </c>
      <c r="L28" s="19">
        <f>COUNTIF(tDealID,B28)</f>
        <v/>
      </c>
      <c r="M28" s="19">
        <f>L28-N28</f>
        <v/>
      </c>
      <c r="N28" s="19">
        <f>COUNTIFS(tDealID,B28,tActive,1)</f>
        <v/>
      </c>
      <c r="O28" s="21">
        <f>SUMIFS(tOrigBal,tDealID,B28,tActive,1)</f>
        <v/>
      </c>
      <c r="P28" s="21">
        <f>SUMIFS(tUPB,tDealID,B28,tActive,1)</f>
        <v/>
      </c>
      <c r="Q28" s="19">
        <f>IF(AND(G28=1,OR(fDeal="All Deals",C28=fDeal),OR(fEntity="All Entities",E28=fEntity)),1,0)</f>
        <v/>
      </c>
      <c r="R28" s="19">
        <f>COUNTIFS(tDealID,B28,tFlag,1)</f>
        <v/>
      </c>
      <c r="S28" s="21">
        <f>SUMIFS(tUPBf,tDealID,B28)</f>
        <v/>
      </c>
      <c r="T28" s="22">
        <f>IFERROR(S28/sUPB,0)</f>
        <v/>
      </c>
    </row>
    <row r="29">
      <c r="B29" s="61" t="inlineStr">
        <is>
          <t>UBS18C13</t>
        </is>
      </c>
      <c r="C29" s="61" t="inlineStr">
        <is>
          <t>UBSCM 2018-C13</t>
        </is>
      </c>
      <c r="D29" s="61" t="inlineStr">
        <is>
          <t>UBS Commercial Mortgage Trust 2018-C13</t>
        </is>
      </c>
      <c r="E29" s="62">
        <f>IFERROR(INDEX(rcEntity,MATCH(D29,rcIssuer,0)),"Not on RECOP Tape")</f>
        <v/>
      </c>
      <c r="F29" s="63" t="n">
        <v>2018</v>
      </c>
      <c r="G29" s="64" t="n">
        <v>1</v>
      </c>
      <c r="H29" s="28">
        <f>COUNTIF(rcIssuer,D29)</f>
        <v/>
      </c>
      <c r="I29" s="30">
        <f>SUMIFS(rcBook,rcIssuer,D29)</f>
        <v/>
      </c>
      <c r="J29" s="30">
        <f>SUMIFS(rcFV,rcIssuer,D29)</f>
        <v/>
      </c>
      <c r="K29" s="31">
        <f>IFERROR(J29/I29,0)</f>
        <v/>
      </c>
      <c r="L29" s="28">
        <f>COUNTIF(tDealID,B29)</f>
        <v/>
      </c>
      <c r="M29" s="28">
        <f>L29-N29</f>
        <v/>
      </c>
      <c r="N29" s="28">
        <f>COUNTIFS(tDealID,B29,tActive,1)</f>
        <v/>
      </c>
      <c r="O29" s="30">
        <f>SUMIFS(tOrigBal,tDealID,B29,tActive,1)</f>
        <v/>
      </c>
      <c r="P29" s="30">
        <f>SUMIFS(tUPB,tDealID,B29,tActive,1)</f>
        <v/>
      </c>
      <c r="Q29" s="28">
        <f>IF(AND(G29=1,OR(fDeal="All Deals",C29=fDeal),OR(fEntity="All Entities",E29=fEntity)),1,0)</f>
        <v/>
      </c>
      <c r="R29" s="28">
        <f>COUNTIFS(tDealID,B29,tFlag,1)</f>
        <v/>
      </c>
      <c r="S29" s="30">
        <f>SUMIFS(tUPBf,tDealID,B29)</f>
        <v/>
      </c>
      <c r="T29" s="31">
        <f>IFERROR(S29/sUPB,0)</f>
        <v/>
      </c>
    </row>
    <row r="30">
      <c r="B30" s="59" t="inlineStr">
        <is>
          <t>UBS18C08</t>
        </is>
      </c>
      <c r="C30" s="59" t="inlineStr">
        <is>
          <t>UBSCM 2018-C8</t>
        </is>
      </c>
      <c r="D30" s="59" t="inlineStr">
        <is>
          <t>UBS Commercial Mortgage Trust 2018-C8</t>
        </is>
      </c>
      <c r="E30" s="46">
        <f>IFERROR(INDEX(rcEntity,MATCH(D30,rcIssuer,0)),"Not on RECOP Tape")</f>
        <v/>
      </c>
      <c r="F30" s="60" t="n">
        <v>2018</v>
      </c>
      <c r="G30" s="54" t="n">
        <v>1</v>
      </c>
      <c r="H30" s="19">
        <f>COUNTIF(rcIssuer,D30)</f>
        <v/>
      </c>
      <c r="I30" s="21">
        <f>SUMIFS(rcBook,rcIssuer,D30)</f>
        <v/>
      </c>
      <c r="J30" s="21">
        <f>SUMIFS(rcFV,rcIssuer,D30)</f>
        <v/>
      </c>
      <c r="K30" s="22">
        <f>IFERROR(J30/I30,0)</f>
        <v/>
      </c>
      <c r="L30" s="19">
        <f>COUNTIF(tDealID,B30)</f>
        <v/>
      </c>
      <c r="M30" s="19">
        <f>L30-N30</f>
        <v/>
      </c>
      <c r="N30" s="19">
        <f>COUNTIFS(tDealID,B30,tActive,1)</f>
        <v/>
      </c>
      <c r="O30" s="21">
        <f>SUMIFS(tOrigBal,tDealID,B30,tActive,1)</f>
        <v/>
      </c>
      <c r="P30" s="21">
        <f>SUMIFS(tUPB,tDealID,B30,tActive,1)</f>
        <v/>
      </c>
      <c r="Q30" s="19">
        <f>IF(AND(G30=1,OR(fDeal="All Deals",C30=fDeal),OR(fEntity="All Entities",E30=fEntity)),1,0)</f>
        <v/>
      </c>
      <c r="R30" s="19">
        <f>COUNTIFS(tDealID,B30,tFlag,1)</f>
        <v/>
      </c>
      <c r="S30" s="21">
        <f>SUMIFS(tUPBf,tDealID,B30)</f>
        <v/>
      </c>
      <c r="T30" s="22">
        <f>IFERROR(S30/sUPB,0)</f>
        <v/>
      </c>
    </row>
    <row r="31">
      <c r="B31" s="61" t="inlineStr">
        <is>
          <t>UBS19C16</t>
        </is>
      </c>
      <c r="C31" s="61" t="inlineStr">
        <is>
          <t>UBSCM 2019-C16</t>
        </is>
      </c>
      <c r="D31" s="61" t="inlineStr">
        <is>
          <t>UBS Commercial Mortgage Trust 2019-C16</t>
        </is>
      </c>
      <c r="E31" s="62">
        <f>IFERROR(INDEX(rcEntity,MATCH(D31,rcIssuer,0)),"Not on RECOP Tape")</f>
        <v/>
      </c>
      <c r="F31" s="63" t="n">
        <v>2019</v>
      </c>
      <c r="G31" s="64" t="n">
        <v>1</v>
      </c>
      <c r="H31" s="28">
        <f>COUNTIF(rcIssuer,D31)</f>
        <v/>
      </c>
      <c r="I31" s="30">
        <f>SUMIFS(rcBook,rcIssuer,D31)</f>
        <v/>
      </c>
      <c r="J31" s="30">
        <f>SUMIFS(rcFV,rcIssuer,D31)</f>
        <v/>
      </c>
      <c r="K31" s="31">
        <f>IFERROR(J31/I31,0)</f>
        <v/>
      </c>
      <c r="L31" s="28">
        <f>COUNTIF(tDealID,B31)</f>
        <v/>
      </c>
      <c r="M31" s="28">
        <f>L31-N31</f>
        <v/>
      </c>
      <c r="N31" s="28">
        <f>COUNTIFS(tDealID,B31,tActive,1)</f>
        <v/>
      </c>
      <c r="O31" s="30">
        <f>SUMIFS(tOrigBal,tDealID,B31,tActive,1)</f>
        <v/>
      </c>
      <c r="P31" s="30">
        <f>SUMIFS(tUPB,tDealID,B31,tActive,1)</f>
        <v/>
      </c>
      <c r="Q31" s="28">
        <f>IF(AND(G31=1,OR(fDeal="All Deals",C31=fDeal),OR(fEntity="All Entities",E31=fEntity)),1,0)</f>
        <v/>
      </c>
      <c r="R31" s="28">
        <f>COUNTIFS(tDealID,B31,tFlag,1)</f>
        <v/>
      </c>
      <c r="S31" s="30">
        <f>SUMIFS(tUPBf,tDealID,B31)</f>
        <v/>
      </c>
      <c r="T31" s="31">
        <f>IFERROR(S31/sUPB,0)</f>
        <v/>
      </c>
    </row>
    <row r="32">
      <c r="B32" s="59" t="inlineStr">
        <is>
          <t>WFC18C47</t>
        </is>
      </c>
      <c r="C32" s="59" t="inlineStr">
        <is>
          <t>WFCM 2018-C47</t>
        </is>
      </c>
      <c r="D32" s="59" t="inlineStr">
        <is>
          <t>Wells Fargo Commercial Mortgage Trust 2018-C47</t>
        </is>
      </c>
      <c r="E32" s="46">
        <f>IFERROR(INDEX(rcEntity,MATCH(D32,rcIssuer,0)),"Not on RECOP Tape")</f>
        <v/>
      </c>
      <c r="F32" s="60" t="n">
        <v>2018</v>
      </c>
      <c r="G32" s="54" t="n">
        <v>1</v>
      </c>
      <c r="H32" s="19">
        <f>COUNTIF(rcIssuer,D32)</f>
        <v/>
      </c>
      <c r="I32" s="21">
        <f>SUMIFS(rcBook,rcIssuer,D32)</f>
        <v/>
      </c>
      <c r="J32" s="21">
        <f>SUMIFS(rcFV,rcIssuer,D32)</f>
        <v/>
      </c>
      <c r="K32" s="22">
        <f>IFERROR(J32/I32,0)</f>
        <v/>
      </c>
      <c r="L32" s="19">
        <f>COUNTIF(tDealID,B32)</f>
        <v/>
      </c>
      <c r="M32" s="19">
        <f>L32-N32</f>
        <v/>
      </c>
      <c r="N32" s="19">
        <f>COUNTIFS(tDealID,B32,tActive,1)</f>
        <v/>
      </c>
      <c r="O32" s="21">
        <f>SUMIFS(tOrigBal,tDealID,B32,tActive,1)</f>
        <v/>
      </c>
      <c r="P32" s="21">
        <f>SUMIFS(tUPB,tDealID,B32,tActive,1)</f>
        <v/>
      </c>
      <c r="Q32" s="19">
        <f>IF(AND(G32=1,OR(fDeal="All Deals",C32=fDeal),OR(fEntity="All Entities",E32=fEntity)),1,0)</f>
        <v/>
      </c>
      <c r="R32" s="19">
        <f>COUNTIFS(tDealID,B32,tFlag,1)</f>
        <v/>
      </c>
      <c r="S32" s="21">
        <f>SUMIFS(tUPBf,tDealID,B32)</f>
        <v/>
      </c>
      <c r="T32" s="22">
        <f>IFERROR(S32/sUPB,0)</f>
        <v/>
      </c>
    </row>
    <row r="33">
      <c r="B33" s="61" t="inlineStr">
        <is>
          <t>WFC19C49</t>
        </is>
      </c>
      <c r="C33" s="61" t="inlineStr">
        <is>
          <t>WFCM 2019-C49</t>
        </is>
      </c>
      <c r="D33" s="61" t="inlineStr">
        <is>
          <t>Wells Fargo Commercial Mortgage Trust 2019-C49</t>
        </is>
      </c>
      <c r="E33" s="62">
        <f>IFERROR(INDEX(rcEntity,MATCH(D33,rcIssuer,0)),"Not on RECOP Tape")</f>
        <v/>
      </c>
      <c r="F33" s="63" t="n">
        <v>2019</v>
      </c>
      <c r="G33" s="64" t="n">
        <v>1</v>
      </c>
      <c r="H33" s="28">
        <f>COUNTIF(rcIssuer,D33)</f>
        <v/>
      </c>
      <c r="I33" s="30">
        <f>SUMIFS(rcBook,rcIssuer,D33)</f>
        <v/>
      </c>
      <c r="J33" s="30">
        <f>SUMIFS(rcFV,rcIssuer,D33)</f>
        <v/>
      </c>
      <c r="K33" s="31">
        <f>IFERROR(J33/I33,0)</f>
        <v/>
      </c>
      <c r="L33" s="28">
        <f>COUNTIF(tDealID,B33)</f>
        <v/>
      </c>
      <c r="M33" s="28">
        <f>L33-N33</f>
        <v/>
      </c>
      <c r="N33" s="28">
        <f>COUNTIFS(tDealID,B33,tActive,1)</f>
        <v/>
      </c>
      <c r="O33" s="30">
        <f>SUMIFS(tOrigBal,tDealID,B33,tActive,1)</f>
        <v/>
      </c>
      <c r="P33" s="30">
        <f>SUMIFS(tUPB,tDealID,B33,tActive,1)</f>
        <v/>
      </c>
      <c r="Q33" s="28">
        <f>IF(AND(G33=1,OR(fDeal="All Deals",C33=fDeal),OR(fEntity="All Entities",E33=fEntity)),1,0)</f>
        <v/>
      </c>
      <c r="R33" s="28">
        <f>COUNTIFS(tDealID,B33,tFlag,1)</f>
        <v/>
      </c>
      <c r="S33" s="30">
        <f>SUMIFS(tUPBf,tDealID,B33)</f>
        <v/>
      </c>
      <c r="T33" s="31">
        <f>IFERROR(S33/sUPB,0)</f>
        <v/>
      </c>
    </row>
    <row r="34">
      <c r="B34" s="59" t="inlineStr">
        <is>
          <t>CD17CD3</t>
        </is>
      </c>
      <c r="C34" s="59" t="inlineStr">
        <is>
          <t>CD 2017-CD3</t>
        </is>
      </c>
      <c r="D34" s="59" t="inlineStr">
        <is>
          <t>Not on RECOP Tape</t>
        </is>
      </c>
      <c r="E34" s="46">
        <f>IFERROR(INDEX(rcEntity,MATCH(D34,rcIssuer,0)),"Not on RECOP Tape")</f>
        <v/>
      </c>
      <c r="F34" s="60" t="n">
        <v>2017</v>
      </c>
      <c r="G34" s="54" t="n">
        <v>1</v>
      </c>
      <c r="H34" s="19">
        <f>COUNTIF(rcIssuer,D34)</f>
        <v/>
      </c>
      <c r="I34" s="21">
        <f>SUMIFS(rcBook,rcIssuer,D34)</f>
        <v/>
      </c>
      <c r="J34" s="21">
        <f>SUMIFS(rcFV,rcIssuer,D34)</f>
        <v/>
      </c>
      <c r="K34" s="22">
        <f>IFERROR(J34/I34,0)</f>
        <v/>
      </c>
      <c r="L34" s="19">
        <f>COUNTIF(tDealID,B34)</f>
        <v/>
      </c>
      <c r="M34" s="19">
        <f>L34-N34</f>
        <v/>
      </c>
      <c r="N34" s="19">
        <f>COUNTIFS(tDealID,B34,tActive,1)</f>
        <v/>
      </c>
      <c r="O34" s="21">
        <f>SUMIFS(tOrigBal,tDealID,B34,tActive,1)</f>
        <v/>
      </c>
      <c r="P34" s="21">
        <f>SUMIFS(tUPB,tDealID,B34,tActive,1)</f>
        <v/>
      </c>
      <c r="Q34" s="19">
        <f>IF(AND(G34=1,OR(fDeal="All Deals",C34=fDeal),OR(fEntity="All Entities",E34=fEntity)),1,0)</f>
        <v/>
      </c>
      <c r="R34" s="19">
        <f>COUNTIFS(tDealID,B34,tFlag,1)</f>
        <v/>
      </c>
      <c r="S34" s="21">
        <f>SUMIFS(tUPBf,tDealID,B34)</f>
        <v/>
      </c>
      <c r="T34" s="22">
        <f>IFERROR(S34/sUPB,0)</f>
        <v/>
      </c>
    </row>
    <row r="35">
      <c r="B35" s="36" t="inlineStr">
        <is>
          <t>Total</t>
        </is>
      </c>
      <c r="C35" s="38" t="n"/>
      <c r="D35" s="38" t="n"/>
      <c r="E35" s="38" t="n"/>
      <c r="F35" s="38" t="n"/>
      <c r="G35" s="37">
        <f>SUM(G8:G34)</f>
        <v/>
      </c>
      <c r="H35" s="37">
        <f>SUM(H8:H34)</f>
        <v/>
      </c>
      <c r="I35" s="39">
        <f>SUM(I8:I34)</f>
        <v/>
      </c>
      <c r="J35" s="39">
        <f>SUM(J8:J34)</f>
        <v/>
      </c>
      <c r="K35" s="40">
        <f>IFERROR(J35/I35,0)</f>
        <v/>
      </c>
      <c r="L35" s="37">
        <f>SUM(L8:L34)</f>
        <v/>
      </c>
      <c r="M35" s="37">
        <f>SUM(M8:M34)</f>
        <v/>
      </c>
      <c r="N35" s="37">
        <f>SUM(N8:N34)</f>
        <v/>
      </c>
      <c r="O35" s="39">
        <f>SUM(O8:O34)</f>
        <v/>
      </c>
      <c r="P35" s="39">
        <f>SUM(P8:P34)</f>
        <v/>
      </c>
      <c r="Q35" s="37">
        <f>SUM(Q8:Q34)</f>
        <v/>
      </c>
      <c r="R35" s="37">
        <f>SUM(R8:R34)</f>
        <v/>
      </c>
      <c r="S35" s="39">
        <f>SUM(S8:S34)</f>
        <v/>
      </c>
      <c r="T35" s="40">
        <f>SUM(T8:T34)</f>
        <v/>
      </c>
    </row>
    <row r="37" ht="15" customHeight="1">
      <c r="B37" s="2" t="inlineStr">
        <is>
          <t>RECOP I TIE-OUT</t>
        </is>
      </c>
      <c r="C37" s="3" t="n"/>
      <c r="D37" s="3" t="n"/>
      <c r="E37" s="3" t="n"/>
      <c r="F37" s="3" t="n"/>
      <c r="G37" s="3" t="n"/>
      <c r="H37" s="3" t="n"/>
      <c r="I37" s="3" t="n"/>
      <c r="J37" s="3" t="n"/>
      <c r="K37" s="3" t="n"/>
      <c r="L37" s="3" t="n"/>
      <c r="M37" s="3" t="n"/>
      <c r="N37" s="3" t="n"/>
      <c r="O37" s="3" t="n"/>
      <c r="P37" s="3" t="n"/>
      <c r="Q37" s="3" t="n"/>
      <c r="R37" s="3" t="n"/>
      <c r="S37" s="3" t="n"/>
      <c r="T37" s="3" t="n"/>
    </row>
    <row r="38" ht="27" customHeight="1">
      <c r="B38" s="15" t="inlineStr">
        <is>
          <t>Check</t>
        </is>
      </c>
      <c r="C38" s="16" t="inlineStr"/>
      <c r="D38" s="16" t="inlineStr"/>
      <c r="E38" s="16" t="inlineStr">
        <is>
          <t>Deal Map</t>
        </is>
      </c>
      <c r="F38" s="16" t="inlineStr">
        <is>
          <t>RECOP Tape</t>
        </is>
      </c>
      <c r="G38" s="16" t="inlineStr">
        <is>
          <t>Variance</t>
        </is>
      </c>
      <c r="H38" s="16" t="inlineStr">
        <is>
          <t>Status</t>
        </is>
      </c>
    </row>
    <row r="39">
      <c r="B39" s="18" t="inlineStr">
        <is>
          <t>RECOP positions mapped to a deal</t>
        </is>
      </c>
      <c r="E39" s="19">
        <f>H35</f>
        <v/>
      </c>
      <c r="F39" s="65">
        <f>COUNT('RECOP Tape'!$B$11:$B$129)</f>
        <v/>
      </c>
      <c r="G39" s="19">
        <f>E39-F39</f>
        <v/>
      </c>
      <c r="H39" s="56">
        <f>IF(ABS(G39)&lt;1,"PASS","FAIL")</f>
        <v/>
      </c>
    </row>
    <row r="40">
      <c r="B40" s="18" t="inlineStr">
        <is>
          <t>RECOP book value mapped ($)</t>
        </is>
      </c>
      <c r="E40" s="21">
        <f>I35</f>
        <v/>
      </c>
      <c r="F40" s="66">
        <f>'RECOP Tape'!$E$7</f>
        <v/>
      </c>
      <c r="G40" s="21">
        <f>E40-F40</f>
        <v/>
      </c>
      <c r="H40" s="56">
        <f>IF(ABS(G40)&lt;1,"PASS","FAIL")</f>
        <v/>
      </c>
    </row>
    <row r="41">
      <c r="B41" s="18" t="inlineStr">
        <is>
          <t>RECOP fair value mapped ($)</t>
        </is>
      </c>
      <c r="E41" s="21">
        <f>J35</f>
        <v/>
      </c>
      <c r="F41" s="66">
        <f>'RECOP Tape'!$F$7</f>
        <v/>
      </c>
      <c r="G41" s="21">
        <f>E41-F41</f>
        <v/>
      </c>
      <c r="H41" s="56">
        <f>IF(ABS(G41)&lt;1,"PASS","FAIL")</f>
        <v/>
      </c>
    </row>
    <row r="43">
      <c r="B43" s="14" t="inlineStr">
        <is>
          <t>(1) Deal names follow the RECOP schedule naming. RECOP Issuer strings are matched exactly to the RECOP Tape tab (the source spells WFCM 2018-C43 as "Commerical").</t>
        </is>
      </c>
    </row>
    <row r="44">
      <c r="B44" s="14" t="inlineStr">
        <is>
          <t>(2) CD 2017-CD3 (Intex CD17CD3) is in the KKR Intex collateral export but carries no position on the RECOP I Q2 2026 schedule; it is included by default and can be excluded with the Include in Pool toggle.</t>
        </is>
      </c>
    </row>
    <row r="45">
      <c r="B45" s="14" t="inlineStr">
        <is>
          <t>(3) Active loans carry a Current Balance above zero in the Intex export; paid off and liquidated loans remain on the Collat Tape tab for reference but are excluded from every strat.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J1350"/>
  <sheetViews>
    <sheetView showGridLines="0" zoomScale="85" workbookViewId="0">
      <pane xSplit="5" ySplit="7" topLeftCell="F8"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14" customWidth="1" min="3" max="3"/>
    <col width="14" customWidth="1" min="4" max="4"/>
    <col width="36"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2.8"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s>
  <sheetData>
    <row r="2" ht="18.5" customHeight="1">
      <c r="B2" s="1" t="inlineStr">
        <is>
          <t>KKR TRANSACTION: INTEX CMBS COLLATERAL TAPE</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c r="BR2" s="1" t="n"/>
      <c r="BS2" s="1" t="n"/>
      <c r="BT2" s="1" t="n"/>
      <c r="BU2" s="1" t="n"/>
      <c r="BV2" s="1" t="n"/>
      <c r="BW2" s="1" t="n"/>
      <c r="BX2" s="1" t="n"/>
      <c r="BY2" s="1" t="n"/>
      <c r="BZ2" s="1" t="n"/>
      <c r="CA2" s="1" t="n"/>
      <c r="CB2" s="1" t="n"/>
      <c r="CC2" s="1" t="n"/>
      <c r="CD2" s="1" t="n"/>
      <c r="CE2" s="1" t="n"/>
      <c r="CF2" s="1" t="n"/>
      <c r="CG2" s="1" t="n"/>
      <c r="CH2" s="1" t="n"/>
      <c r="CI2" s="1" t="n"/>
      <c r="CJ2" s="1" t="n"/>
      <c r="CK2" s="1" t="n"/>
      <c r="CL2" s="1" t="n"/>
      <c r="CM2" s="1" t="n"/>
      <c r="CN2" s="1" t="n"/>
      <c r="CO2" s="1" t="n"/>
      <c r="CP2" s="1" t="n"/>
      <c r="CQ2" s="1" t="n"/>
      <c r="CR2" s="1" t="n"/>
      <c r="CS2" s="1" t="n"/>
      <c r="CT2" s="1" t="n"/>
      <c r="CU2" s="1" t="n"/>
      <c r="CV2" s="1" t="n"/>
      <c r="CW2" s="1" t="n"/>
      <c r="CX2" s="1" t="n"/>
      <c r="CY2" s="1" t="n"/>
      <c r="CZ2" s="1" t="n"/>
      <c r="DA2" s="1" t="n"/>
      <c r="DB2" s="1" t="n"/>
      <c r="DC2" s="1" t="n"/>
      <c r="DD2" s="1" t="n"/>
      <c r="DE2" s="1" t="n"/>
      <c r="DF2" s="1" t="n"/>
      <c r="DG2" s="1" t="n"/>
      <c r="DH2" s="1" t="n"/>
      <c r="DI2" s="1" t="n"/>
      <c r="DJ2" s="1" t="n"/>
    </row>
    <row r="3">
      <c r="B3" s="14" t="inlineStr">
        <is>
          <t>Source: KKR Transaction Intex Collateral Export (1,343 loans across 27 CMBS trusts). Columns B through BS are pasted from the export with the Intex field names as headers; re-paste the same fields to refresh.</t>
        </is>
      </c>
    </row>
    <row r="4">
      <c r="B4" s="14" t="inlineStr">
        <is>
          <t>Blue font denotes hardcoded export values and black font denotes formulas. Helper columns to the right drive every strat on the Strats tab.</t>
        </is>
      </c>
    </row>
    <row r="6">
      <c r="B6" s="67" t="inlineStr">
        <is>
          <t>INTEX EXPORT FIELDS (HARDCODED)</t>
        </is>
      </c>
      <c r="BU6" s="67" t="inlineStr">
        <is>
          <t>CALCULATED HELPERS</t>
        </is>
      </c>
    </row>
    <row r="7" ht="45" customHeight="1">
      <c r="B7" s="15" t="inlineStr">
        <is>
          <t>Item</t>
        </is>
      </c>
      <c r="C7" s="16" t="inlineStr">
        <is>
          <t>Deal ID</t>
        </is>
      </c>
      <c r="D7" s="16" t="inlineStr">
        <is>
          <t>ID Number</t>
        </is>
      </c>
      <c r="E7" s="16" t="inlineStr">
        <is>
          <t>Asset Name</t>
        </is>
      </c>
      <c r="F7" s="16" t="inlineStr">
        <is>
          <t>Unique ID</t>
        </is>
      </c>
      <c r="G7" s="16" t="inlineStr">
        <is>
          <t>Split Loan ID</t>
        </is>
      </c>
      <c r="H7" s="16" t="inlineStr">
        <is>
          <t>Original Balance</t>
        </is>
      </c>
      <c r="I7" s="16" t="inlineStr">
        <is>
          <t>Current Balance</t>
        </is>
      </c>
      <c r="J7" s="16" t="inlineStr">
        <is>
          <t>Gross Coupon</t>
        </is>
      </c>
      <c r="K7" s="16" t="inlineStr">
        <is>
          <t>Rate Type</t>
        </is>
      </c>
      <c r="L7" s="16" t="inlineStr">
        <is>
          <t>Orig Maturity Term</t>
        </is>
      </c>
      <c r="M7" s="16" t="inlineStr">
        <is>
          <t>Rem Term</t>
        </is>
      </c>
      <c r="N7" s="16" t="inlineStr">
        <is>
          <t>Orig Amort Term</t>
        </is>
      </c>
      <c r="O7" s="16" t="inlineStr">
        <is>
          <t>Orig IO Term</t>
        </is>
      </c>
      <c r="P7" s="16" t="inlineStr">
        <is>
          <t>Rem IO Term</t>
        </is>
      </c>
      <c r="Q7" s="16" t="inlineStr">
        <is>
          <t>Age</t>
        </is>
      </c>
      <c r="R7" s="16" t="inlineStr">
        <is>
          <t>Amort Type</t>
        </is>
      </c>
      <c r="S7" s="16" t="inlineStr">
        <is>
          <t>Currently IO</t>
        </is>
      </c>
      <c r="T7" s="16" t="inlineStr">
        <is>
          <t>Issue Date</t>
        </is>
      </c>
      <c r="U7" s="16" t="inlineStr">
        <is>
          <t>Maturity Date</t>
        </is>
      </c>
      <c r="V7" s="16" t="inlineStr">
        <is>
          <t>Hyper Amortizing Date or ARD</t>
        </is>
      </c>
      <c r="W7" s="16" t="inlineStr">
        <is>
          <t>Delinq (Consolidated)</t>
        </is>
      </c>
      <c r="X7" s="16" t="inlineStr">
        <is>
          <t>CREFC Payment Status of Loan (Translated)</t>
        </is>
      </c>
      <c r="Y7" s="16" t="inlineStr">
        <is>
          <t>Months Delinq</t>
        </is>
      </c>
      <c r="Z7" s="16" t="inlineStr">
        <is>
          <t>Defeasance Status (Translated)</t>
        </is>
      </c>
      <c r="AA7" s="16" t="inlineStr">
        <is>
          <t>On the Watchlist (Translated)</t>
        </is>
      </c>
      <c r="AB7" s="16" t="inlineStr">
        <is>
          <t>Specially Serviced</t>
        </is>
      </c>
      <c r="AC7" s="16" t="inlineStr">
        <is>
          <t>Currently Special Serviced</t>
        </is>
      </c>
      <c r="AD7" s="16" t="inlineStr">
        <is>
          <t>Reason for SS Transfer (Translated)</t>
        </is>
      </c>
      <c r="AE7" s="16" t="inlineStr">
        <is>
          <t>Workout Strategy Code (Translated)</t>
        </is>
      </c>
      <c r="AF7" s="16" t="inlineStr">
        <is>
          <t>State</t>
        </is>
      </c>
      <c r="AG7" s="16" t="inlineStr">
        <is>
          <t>City</t>
        </is>
      </c>
      <c r="AH7" s="16" t="inlineStr">
        <is>
          <t>MSA</t>
        </is>
      </c>
      <c r="AI7" s="16" t="inlineStr">
        <is>
          <t>Region</t>
        </is>
      </c>
      <c r="AJ7" s="16" t="inlineStr">
        <is>
          <t>Property Type</t>
        </is>
      </c>
      <c r="AK7" s="16" t="inlineStr">
        <is>
          <t>Property Subtype</t>
        </is>
      </c>
      <c r="AL7" s="16" t="inlineStr">
        <is>
          <t>Number of Properties - Modeled</t>
        </is>
      </c>
      <c r="AM7" s="16" t="inlineStr">
        <is>
          <t>Number of Units</t>
        </is>
      </c>
      <c r="AN7" s="16" t="inlineStr">
        <is>
          <t>GLA</t>
        </is>
      </c>
      <c r="AO7" s="16" t="inlineStr">
        <is>
          <t>Date Built</t>
        </is>
      </c>
      <c r="AP7" s="16" t="inlineStr">
        <is>
          <t>Later of Date Built and Date Renovated</t>
        </is>
      </c>
      <c r="AQ7" s="16" t="inlineStr">
        <is>
          <t>Underwritten NCF DSCR</t>
        </is>
      </c>
      <c r="AR7" s="16" t="inlineStr">
        <is>
          <t>Most Recent NCF DSCR</t>
        </is>
      </c>
      <c r="AS7" s="16" t="inlineStr">
        <is>
          <t>Cut-Off LTV</t>
        </is>
      </c>
      <c r="AT7" s="16" t="inlineStr">
        <is>
          <t>Appraisal LTV</t>
        </is>
      </c>
      <c r="AU7" s="16" t="inlineStr">
        <is>
          <t>LTV at Maturity</t>
        </is>
      </c>
      <c r="AV7" s="16" t="inlineStr">
        <is>
          <t>Underwritten NCF Debt Yield</t>
        </is>
      </c>
      <c r="AW7" s="16" t="inlineStr">
        <is>
          <t>NCF Debt Yield</t>
        </is>
      </c>
      <c r="AX7" s="16" t="inlineStr">
        <is>
          <t>Most Recent Occupancy %</t>
        </is>
      </c>
      <c r="AY7" s="16" t="inlineStr">
        <is>
          <t>Underwritten Appraisal Value</t>
        </is>
      </c>
      <c r="AZ7" s="16" t="inlineStr">
        <is>
          <t>Appraisal Value</t>
        </is>
      </c>
      <c r="BA7" s="16" t="inlineStr">
        <is>
          <t>Underwritten NCF</t>
        </is>
      </c>
      <c r="BB7" s="16" t="inlineStr">
        <is>
          <t>Most Recent NCF</t>
        </is>
      </c>
      <c r="BC7" s="16" t="inlineStr">
        <is>
          <t>Loan Purpose</t>
        </is>
      </c>
      <c r="BD7" s="16" t="inlineStr">
        <is>
          <t>Ground Lease</t>
        </is>
      </c>
      <c r="BE7" s="16" t="inlineStr">
        <is>
          <t>Loan Balance - Pari Passu</t>
        </is>
      </c>
      <c r="BF7" s="16" t="inlineStr">
        <is>
          <t>Loan Balance - Junior</t>
        </is>
      </c>
      <c r="BG7" s="16" t="inlineStr">
        <is>
          <t>Mezzanine Debt Balance</t>
        </is>
      </c>
      <c r="BH7" s="16" t="inlineStr">
        <is>
          <t>Active Appraisal Reduction Amount</t>
        </is>
      </c>
      <c r="BI7" s="16" t="inlineStr">
        <is>
          <t>Outstanding P&amp;I Advances</t>
        </is>
      </c>
      <c r="BJ7" s="16" t="inlineStr">
        <is>
          <t>Modification Indicator</t>
        </is>
      </c>
      <c r="BK7" s="16" t="inlineStr">
        <is>
          <t>Largest Tenant</t>
        </is>
      </c>
      <c r="BL7" s="16" t="inlineStr">
        <is>
          <t>Largest Tenant %</t>
        </is>
      </c>
      <c r="BM7" s="16" t="inlineStr">
        <is>
          <t>Largest Tenant Exp. Date</t>
        </is>
      </c>
      <c r="BN7" s="16" t="inlineStr">
        <is>
          <t>Sponsor</t>
        </is>
      </c>
      <c r="BO7" s="16" t="inlineStr">
        <is>
          <t>Originator</t>
        </is>
      </c>
      <c r="BP7" s="16" t="inlineStr">
        <is>
          <t>Master Servicer (Translated)</t>
        </is>
      </c>
      <c r="BQ7" s="16" t="inlineStr">
        <is>
          <t>Special Servicer (Translated)</t>
        </is>
      </c>
      <c r="BR7" s="16" t="inlineStr">
        <is>
          <t>Liquidation / Prepayment Code (Translated)</t>
        </is>
      </c>
      <c r="BS7" s="16" t="inlineStr">
        <is>
          <t>Reporting Period End Date</t>
        </is>
      </c>
      <c r="BU7" s="15" t="inlineStr">
        <is>
          <t>Deal Name</t>
        </is>
      </c>
      <c r="BV7" s="16" t="inlineStr">
        <is>
          <t>Holding Entity</t>
        </is>
      </c>
      <c r="BW7" s="16" t="inlineStr">
        <is>
          <t>Deal Vintage</t>
        </is>
      </c>
      <c r="BX7" s="16" t="inlineStr">
        <is>
          <t>Deal Included (1 = Yes)</t>
        </is>
      </c>
      <c r="BY7" s="16" t="inlineStr">
        <is>
          <t>Active (1 = Yes)</t>
        </is>
      </c>
      <c r="BZ7" s="16" t="inlineStr">
        <is>
          <t>Property Type Group</t>
        </is>
      </c>
      <c r="CA7" s="16" t="inlineStr">
        <is>
          <t>Primary State</t>
        </is>
      </c>
      <c r="CB7" s="16" t="inlineStr">
        <is>
          <t>Region (Primary)</t>
        </is>
      </c>
      <c r="CC7" s="16" t="inlineStr">
        <is>
          <t>Payment Status</t>
        </is>
      </c>
      <c r="CD7" s="16" t="inlineStr">
        <is>
          <t>30+ Delinq / FC / REO (1 = Yes)</t>
        </is>
      </c>
      <c r="CE7" s="16" t="inlineStr">
        <is>
          <t>Special Servicing Status</t>
        </is>
      </c>
      <c r="CF7" s="16" t="inlineStr">
        <is>
          <t>Currently SS (1 = Yes)</t>
        </is>
      </c>
      <c r="CG7" s="16" t="inlineStr">
        <is>
          <t>Watchlist Status</t>
        </is>
      </c>
      <c r="CH7" s="16" t="inlineStr">
        <is>
          <t>On Watchlist (1 = Yes)</t>
        </is>
      </c>
      <c r="CI7" s="16" t="inlineStr">
        <is>
          <t>Defeasance Status</t>
        </is>
      </c>
      <c r="CJ7" s="16" t="inlineStr">
        <is>
          <t>Fully Defeased (1 = Yes)</t>
        </is>
      </c>
      <c r="CK7" s="16" t="inlineStr">
        <is>
          <t>Amortization Type</t>
        </is>
      </c>
      <c r="CL7" s="16" t="inlineStr">
        <is>
          <t>Full IO (1 = Yes)</t>
        </is>
      </c>
      <c r="CM7" s="16" t="inlineStr">
        <is>
          <t>Partial IO (1 = Yes)</t>
        </is>
      </c>
      <c r="CN7" s="16" t="inlineStr">
        <is>
          <t>Pari Passu Status</t>
        </is>
      </c>
      <c r="CO7" s="16" t="inlineStr">
        <is>
          <t>Pari Passu (1 = Yes)</t>
        </is>
      </c>
      <c r="CP7" s="16" t="inlineStr">
        <is>
          <t>Origination Year</t>
        </is>
      </c>
      <c r="CQ7" s="16" t="inlineStr">
        <is>
          <t>Anticipated Maturity (ARD if Any)</t>
        </is>
      </c>
      <c r="CR7" s="16" t="inlineStr">
        <is>
          <t>Maturity Year (ARD if Any)</t>
        </is>
      </c>
      <c r="CS7" s="16" t="inlineStr">
        <is>
          <t>Rem. Term (Mo.)</t>
        </is>
      </c>
      <c r="CT7" s="16" t="inlineStr">
        <is>
          <t>Matures in Window (1 = Yes)</t>
        </is>
      </c>
      <c r="CU7" s="16" t="inlineStr">
        <is>
          <t>Gross Coupon</t>
        </is>
      </c>
      <c r="CV7" s="16" t="inlineStr">
        <is>
          <t>UW NCF DSCR</t>
        </is>
      </c>
      <c r="CW7" s="16" t="inlineStr">
        <is>
          <t>Current NCF DSCR</t>
        </is>
      </c>
      <c r="CX7" s="16" t="inlineStr">
        <is>
          <t>UW (Cut-Off) LTV</t>
        </is>
      </c>
      <c r="CY7" s="16" t="inlineStr">
        <is>
          <t>Current LTV (Latest Appraisal)</t>
        </is>
      </c>
      <c r="CZ7" s="16" t="inlineStr">
        <is>
          <t>UW LTV at Maturity</t>
        </is>
      </c>
      <c r="DA7" s="16" t="inlineStr">
        <is>
          <t>UW NCF Debt Yield</t>
        </is>
      </c>
      <c r="DB7" s="16" t="inlineStr">
        <is>
          <t>Current NCF Debt Yield</t>
        </is>
      </c>
      <c r="DC7" s="16" t="inlineStr">
        <is>
          <t>Current Occupancy</t>
        </is>
      </c>
      <c r="DD7" s="16" t="inlineStr">
        <is>
          <t>Year Built (Earliest)</t>
        </is>
      </c>
      <c r="DE7" s="16" t="inlineStr">
        <is>
          <t>In Filter (1 = Yes)</t>
        </is>
      </c>
      <c r="DF7" s="16" t="inlineStr">
        <is>
          <t>Filtered UPB</t>
        </is>
      </c>
      <c r="DG7" s="16" t="inlineStr">
        <is>
          <t>First Note of Loan in Filter (1 = Yes)</t>
        </is>
      </c>
      <c r="DH7" s="16" t="inlineStr">
        <is>
          <t>Loan Exposure UPB (All Notes in Filter)</t>
        </is>
      </c>
      <c r="DI7" s="16" t="inlineStr">
        <is>
          <t>Notes / Deals in Filter (#)</t>
        </is>
      </c>
      <c r="DJ7" s="16" t="inlineStr">
        <is>
          <t>Exposure Rank Key</t>
        </is>
      </c>
    </row>
    <row r="8">
      <c r="B8" s="68" t="n">
        <v>1</v>
      </c>
      <c r="C8" s="69" t="inlineStr">
        <is>
          <t>UBS17C02</t>
        </is>
      </c>
      <c r="D8" s="69" t="inlineStr">
        <is>
          <t>1.TR</t>
        </is>
      </c>
      <c r="E8" s="69" t="inlineStr">
        <is>
          <t>General Motors Building - Trust</t>
        </is>
      </c>
      <c r="F8" s="69" t="inlineStr">
        <is>
          <t>SPLIT_LOAN_01024</t>
        </is>
      </c>
      <c r="G8" s="70" t="n">
        <v>1024</v>
      </c>
      <c r="H8" s="71" t="n">
        <v>50000000</v>
      </c>
      <c r="I8" s="71" t="n">
        <v>50000000</v>
      </c>
      <c r="J8" s="72" t="n">
        <v>3.43</v>
      </c>
      <c r="K8" s="69" t="inlineStr">
        <is>
          <t>Fixed rate</t>
        </is>
      </c>
      <c r="L8" s="68" t="n">
        <v>120</v>
      </c>
      <c r="M8" s="68" t="n">
        <v>9</v>
      </c>
      <c r="N8" s="68" t="n">
        <v>120</v>
      </c>
      <c r="O8" s="68" t="n">
        <v>120</v>
      </c>
      <c r="P8" s="68" t="n">
        <v>9</v>
      </c>
      <c r="Q8" s="68" t="n">
        <v>111</v>
      </c>
      <c r="R8" s="69" t="inlineStr">
        <is>
          <t>IO</t>
        </is>
      </c>
      <c r="S8" s="69" t="inlineStr">
        <is>
          <t>Yes</t>
        </is>
      </c>
      <c r="T8" s="73" t="n">
        <v>42887</v>
      </c>
      <c r="U8" s="73" t="n">
        <v>46547</v>
      </c>
      <c r="V8" s="73" t="n"/>
      <c r="W8" s="69" t="n"/>
      <c r="X8" s="69" t="inlineStr">
        <is>
          <t>Current</t>
        </is>
      </c>
      <c r="Y8" s="68" t="n"/>
      <c r="Z8" s="69" t="inlineStr">
        <is>
          <t>No Defeasance Occurred</t>
        </is>
      </c>
      <c r="AA8" s="69" t="inlineStr">
        <is>
          <t>Yes</t>
        </is>
      </c>
      <c r="AB8" s="69" t="inlineStr">
        <is>
          <t>Never special serv</t>
        </is>
      </c>
      <c r="AC8" s="73" t="n"/>
      <c r="AD8" s="69" t="n"/>
      <c r="AE8" s="69" t="n"/>
      <c r="AF8" s="69" t="inlineStr">
        <is>
          <t>NY</t>
        </is>
      </c>
      <c r="AG8" s="69" t="inlineStr">
        <is>
          <t>New York</t>
        </is>
      </c>
      <c r="AH8" s="69" t="inlineStr">
        <is>
          <t>New York-Newark-Jersey City, NY-NJ</t>
        </is>
      </c>
      <c r="AI8" s="69" t="inlineStr">
        <is>
          <t>Northeast / Mid-Atlantic</t>
        </is>
      </c>
      <c r="AJ8" s="69" t="inlineStr">
        <is>
          <t>MX</t>
        </is>
      </c>
      <c r="AK8" s="69" t="inlineStr">
        <is>
          <t>Office/Retail</t>
        </is>
      </c>
      <c r="AL8" s="68" t="n">
        <v>1</v>
      </c>
      <c r="AM8" s="68" t="n"/>
      <c r="AN8" s="68" t="n">
        <v>1989983</v>
      </c>
      <c r="AO8" s="69" t="inlineStr">
        <is>
          <t>1968</t>
        </is>
      </c>
      <c r="AP8" s="70" t="n">
        <v>2017</v>
      </c>
      <c r="AQ8" s="74" t="n">
        <v>4.33</v>
      </c>
      <c r="AR8" s="74" t="n">
        <v>3.93</v>
      </c>
      <c r="AS8" s="74" t="n">
        <v>30.6</v>
      </c>
      <c r="AT8" s="74" t="n">
        <v>30.62</v>
      </c>
      <c r="AU8" s="74" t="n">
        <v>30.6</v>
      </c>
      <c r="AV8" s="74" t="n">
        <v>15.07107442</v>
      </c>
      <c r="AW8" s="74" t="n">
        <v>12.954028639</v>
      </c>
      <c r="AX8" s="75" t="n">
        <v>99</v>
      </c>
      <c r="AY8" s="71" t="n">
        <v>4800000000</v>
      </c>
      <c r="AZ8" s="71" t="n">
        <v>4800000000</v>
      </c>
      <c r="BA8" s="71" t="n">
        <v>221544793.97</v>
      </c>
      <c r="BB8" s="71" t="n">
        <v>199837104.9</v>
      </c>
      <c r="BC8" s="69" t="inlineStr">
        <is>
          <t>Refinance</t>
        </is>
      </c>
      <c r="BD8" s="69" t="inlineStr">
        <is>
          <t>N</t>
        </is>
      </c>
      <c r="BE8" s="71" t="n">
        <v>1420000000</v>
      </c>
      <c r="BF8" s="71" t="n">
        <v>830000000</v>
      </c>
      <c r="BG8" s="71" t="n"/>
      <c r="BH8" s="71" t="n">
        <v>0</v>
      </c>
      <c r="BI8" s="71" t="n">
        <v>0</v>
      </c>
      <c r="BJ8" s="69" t="inlineStr">
        <is>
          <t>N</t>
        </is>
      </c>
      <c r="BK8" s="69" t="inlineStr">
        <is>
          <t>Weil, Gotshal &amp; Manges, LLP</t>
        </is>
      </c>
      <c r="BL8" s="75" t="n">
        <v>20.58</v>
      </c>
      <c r="BM8" s="73" t="n">
        <v>49187</v>
      </c>
      <c r="BN8" s="69" t="inlineStr">
        <is>
          <t>Boston Properties Limited Partnership; 767 LLC; Sungate Fifth Avenue LLC</t>
        </is>
      </c>
      <c r="BO8" s="69" t="inlineStr">
        <is>
          <t>Morgan Stanley / Citi Group Global Markets / GACC / Wells Fargo</t>
        </is>
      </c>
      <c r="BP8" s="69" t="inlineStr">
        <is>
          <t>Midland Loan Services</t>
        </is>
      </c>
      <c r="BQ8" s="69" t="inlineStr">
        <is>
          <t>Aegon USA Realty</t>
        </is>
      </c>
      <c r="BR8" s="69" t="n"/>
      <c r="BS8" s="73" t="n">
        <v>46276</v>
      </c>
      <c r="BU8" s="76">
        <f>IF($C8="","",IFERROR(INDEX(dmName,MATCH($C8,dmID,0)),"Unmapped"))</f>
        <v/>
      </c>
      <c r="BV8" s="76">
        <f>IF($C8="","",IFERROR(INDEX(dmEntity,MATCH($C8,dmID,0)),"Unmapped"))</f>
        <v/>
      </c>
      <c r="BW8" s="77">
        <f>IF($C8="","",IFERROR(INDEX(dmVintage,MATCH($C8,dmID,0)),""))</f>
        <v/>
      </c>
      <c r="BX8" s="78">
        <f>IFERROR(INDEX(dmInclude,MATCH($C8,dmID,0)),0)</f>
        <v/>
      </c>
      <c r="BY8" s="78">
        <f>IF(N($I8)&gt;0,1,0)</f>
        <v/>
      </c>
      <c r="BZ8" s="76">
        <f>IF($AJ8="","Other / Leased Fee",IFERROR(INDEX(mapPTGroup,MATCH(LEFT(TRIM($AJ8),2),mapPTCode,0)),"Other / Leased Fee"))</f>
        <v/>
      </c>
      <c r="CA8" s="76">
        <f>IF(TRIM($AF8&amp;"")="","NR",LEFT(TRIM($AF8),2))</f>
        <v/>
      </c>
      <c r="CB8" s="76">
        <f>IFERROR(LOOKUP(2,1/(LEFT(TRIM($AI8&amp;""),LEN(mapRegion))=mapRegion),mapRegion),"Not Reported")</f>
        <v/>
      </c>
      <c r="CC8" s="76">
        <f>IF($BY8=0,"",IF(TRIM($W8&amp;"")="REO","REO",IF(TRIM($W8&amp;"")="FC","Foreclosure",IF(TRIM($W8&amp;"")="90+","90+ Days Delinquent",IF(TRIM($W8&amp;"")="60","60 Days Delinquent",IF(TRIM($W8&amp;"")="30","30 Days Delinquent",IF($X8="Non-Performing Matured Balloon","Non-Performing Matured Balloon",IF(OR($X8="Late Payment But Less Than 30 Days Delinquent",LEFT($X8&amp;"",20)="Payment Not Received"),"Late / In Grace (&lt;30 Days)",IF($X8="Performing Matured Balloon","Performing Matured Balloon","Current")))))))))</f>
        <v/>
      </c>
      <c r="CD8" s="78">
        <f>IF(OR($CC8="REO",$CC8="Foreclosure",$CC8="90+ Days Delinquent",$CC8="60 Days Delinquent",$CC8="30 Days Delinquent",$CC8="Non-Performing Matured Balloon"),1,0)</f>
        <v/>
      </c>
      <c r="CE8" s="76">
        <f>IF($AB8="Currently special serv","Currently Specially Serviced",IF($AB8="Returned to master serv","Previously Specially Serviced","Never Specially Serviced"))</f>
        <v/>
      </c>
      <c r="CF8" s="78">
        <f>IF($CE8="Currently Specially Serviced",1,0)</f>
        <v/>
      </c>
      <c r="CG8" s="76">
        <f>IF($AA8="Yes","Currently on Watchlist",IF($AA8="Previously","Previously on Watchlist","Never on Watchlist"))</f>
        <v/>
      </c>
      <c r="CH8" s="78">
        <f>IF($CG8="Currently on Watchlist",1,0)</f>
        <v/>
      </c>
      <c r="CI8" s="76">
        <f>IF($Z8="Full Defeasance","Fully Defeased",IF($Z8="Portion Of Loan Previously Defeased","Partially Defeased",IF($Z8="Defeasance Not Allowable","Not Defeased (Not Permitted)","Not Defeased")))</f>
        <v/>
      </c>
      <c r="CJ8" s="78">
        <f>IF($CI8="Fully Defeased",1,0)</f>
        <v/>
      </c>
      <c r="CK8" s="76">
        <f>IF($R8="IO","Full IO",IF(LEFT($R8&amp;"",7)="IO then","Partial IO","Amortizing"))</f>
        <v/>
      </c>
      <c r="CL8" s="78">
        <f>IF($CK8="Full IO",1,0)</f>
        <v/>
      </c>
      <c r="CM8" s="78">
        <f>IF($CK8="Partial IO",1,0)</f>
        <v/>
      </c>
      <c r="CN8" s="76">
        <f>IF(LEFT($F8&amp;"",10)="SPLIT_LOAN","Pari Passu Split","Standalone")</f>
        <v/>
      </c>
      <c r="CO8" s="78">
        <f>IF($CN8="Pari Passu Split",1,0)</f>
        <v/>
      </c>
      <c r="CP8" s="77">
        <f>IF(ISNUMBER($T8),YEAR($T8),"")</f>
        <v/>
      </c>
      <c r="CQ8" s="79">
        <f>IF(ISNUMBER($V8),$V8,IF(ISNUMBER($U8),$U8,""))</f>
        <v/>
      </c>
      <c r="CR8" s="77">
        <f>IF(ISNUMBER($CQ8),YEAR($CQ8),"")</f>
        <v/>
      </c>
      <c r="CS8" s="78">
        <f>IF(ISNUMBER($M8),MAX(0,$M8),IF(TRIM($M8&amp;"")="matured",0,""))</f>
        <v/>
      </c>
      <c r="CT8" s="78">
        <f>IF(AND(ISNUMBER($CS8),N($CS8)&lt;=mMatWindow),1,0)</f>
        <v/>
      </c>
      <c r="CU8" s="80">
        <f>IF(ISNUMBER($J8),$J8/100,"")</f>
        <v/>
      </c>
      <c r="CV8" s="81">
        <f>IF(ISNUMBER($AQ8),$AQ8,"")</f>
        <v/>
      </c>
      <c r="CW8" s="81">
        <f>IF(ISNUMBER($AR8),$AR8,"")</f>
        <v/>
      </c>
      <c r="CX8" s="82">
        <f>IF(ISNUMBER($AS8),$AS8/100,"")</f>
        <v/>
      </c>
      <c r="CY8" s="82">
        <f>IF(ISNUMBER($AT8),$AT8/100,"")</f>
        <v/>
      </c>
      <c r="CZ8" s="82">
        <f>IF(ISNUMBER($AU8),$AU8/100,"")</f>
        <v/>
      </c>
      <c r="DA8" s="82">
        <f>IF(ISNUMBER($AV8),$AV8/100,"")</f>
        <v/>
      </c>
      <c r="DB8" s="82">
        <f>IF(ISNUMBER($AW8),$AW8/100,"")</f>
        <v/>
      </c>
      <c r="DC8" s="82">
        <f>IF(ISNUMBER($AX8),$AX8/100,"")</f>
        <v/>
      </c>
      <c r="DD8" s="77">
        <f>IFERROR(VALUE(LEFT(TRIM($AO8&amp;""),4)),"")</f>
        <v/>
      </c>
      <c r="DE8" s="78">
        <f>IF(AND($BY8=1,$BX8=1,OR(fDeal="All Deals",$BU8=fDeal),OR(fEntity="All Entities",$BV8=fEntity),OR(fPType="All Property Types",$BZ8=fPType),OR(fDefeased="Include",$CJ8=0)),1,0)</f>
        <v/>
      </c>
      <c r="DF8" s="83">
        <f>$DE8*N($I8)</f>
        <v/>
      </c>
      <c r="DG8" s="78">
        <f>IF($DE8=1,IF(COUNTIFS($F$8:$F8,$F8,$DE$8:$DE8,1)=1,1,0),0)</f>
        <v/>
      </c>
      <c r="DH8" s="83">
        <f>IF($DG8=1,SUMIFS($DF$8:$DF$1600,$F$8:$F$1600,$F8),0)</f>
        <v/>
      </c>
      <c r="DI8" s="78">
        <f>IF($DG8=1,COUNTIFS($F$8:$F$1600,$F8,$DE$8:$DE$1600,1),0)</f>
        <v/>
      </c>
      <c r="DJ8" s="84">
        <f>IF($DG8=1,$DH8+(100000-ROW())/mTieBreak,0)</f>
        <v/>
      </c>
    </row>
    <row r="9">
      <c r="B9" s="68" t="n">
        <v>2</v>
      </c>
      <c r="C9" s="69" t="inlineStr">
        <is>
          <t>UBS17C02</t>
        </is>
      </c>
      <c r="D9" s="69" t="inlineStr">
        <is>
          <t>2.000</t>
        </is>
      </c>
      <c r="E9" s="69" t="inlineStr">
        <is>
          <t>Park West Village</t>
        </is>
      </c>
      <c r="F9" s="69" t="inlineStr">
        <is>
          <t>SPLIT_LOAN_01045</t>
        </is>
      </c>
      <c r="G9" s="70" t="n">
        <v>1045</v>
      </c>
      <c r="H9" s="71" t="n">
        <v>50000000</v>
      </c>
      <c r="I9" s="71" t="n">
        <v>0</v>
      </c>
      <c r="J9" s="72" t="n">
        <v>2.62</v>
      </c>
      <c r="K9" s="69" t="inlineStr">
        <is>
          <t>Fixed rate</t>
        </is>
      </c>
      <c r="L9" s="68" t="n">
        <v>60</v>
      </c>
      <c r="M9" s="68" t="n"/>
      <c r="N9" s="68" t="n">
        <v>60</v>
      </c>
      <c r="O9" s="68" t="n">
        <v>60</v>
      </c>
      <c r="P9" s="68" t="n"/>
      <c r="Q9" s="68" t="n"/>
      <c r="R9" s="69" t="inlineStr">
        <is>
          <t>IO</t>
        </is>
      </c>
      <c r="S9" s="69" t="inlineStr">
        <is>
          <t>Yes</t>
        </is>
      </c>
      <c r="T9" s="73" t="n">
        <v>42979</v>
      </c>
      <c r="U9" s="73" t="n">
        <v>44779</v>
      </c>
      <c r="V9" s="73" t="n"/>
      <c r="W9" s="69" t="n"/>
      <c r="X9" s="69" t="inlineStr">
        <is>
          <t>Current</t>
        </is>
      </c>
      <c r="Y9" s="68" t="n"/>
      <c r="Z9" s="69" t="inlineStr">
        <is>
          <t>Defeasance Not Allowable</t>
        </is>
      </c>
      <c r="AA9" s="69" t="inlineStr">
        <is>
          <t>Previously</t>
        </is>
      </c>
      <c r="AB9" s="69" t="inlineStr">
        <is>
          <t>Never special serv</t>
        </is>
      </c>
      <c r="AC9" s="73" t="n"/>
      <c r="AD9" s="69" t="n"/>
      <c r="AE9" s="69" t="n"/>
      <c r="AF9" s="69" t="inlineStr">
        <is>
          <t>NY</t>
        </is>
      </c>
      <c r="AG9" s="69" t="inlineStr">
        <is>
          <t>New York</t>
        </is>
      </c>
      <c r="AH9" s="69" t="inlineStr">
        <is>
          <t>New York-Newark-Jersey City, NY-NJ</t>
        </is>
      </c>
      <c r="AI9" s="69" t="inlineStr">
        <is>
          <t>Northeast / Mid-Atlantic</t>
        </is>
      </c>
      <c r="AJ9" s="69" t="inlineStr">
        <is>
          <t>MF</t>
        </is>
      </c>
      <c r="AK9" s="69" t="inlineStr">
        <is>
          <t>High Rise</t>
        </is>
      </c>
      <c r="AL9" s="68" t="n">
        <v>1</v>
      </c>
      <c r="AM9" s="68" t="n">
        <v>852</v>
      </c>
      <c r="AN9" s="68" t="n"/>
      <c r="AO9" s="69" t="inlineStr">
        <is>
          <t>1950, 1958, 1963</t>
        </is>
      </c>
      <c r="AP9" s="70" t="n">
        <v>2017</v>
      </c>
      <c r="AQ9" s="74" t="n">
        <v>4.46</v>
      </c>
      <c r="AR9" s="74" t="n">
        <v>3.5</v>
      </c>
      <c r="AS9" s="74" t="n">
        <v>20</v>
      </c>
      <c r="AT9" s="74" t="n"/>
      <c r="AU9" s="74" t="n">
        <v>20</v>
      </c>
      <c r="AV9" s="74" t="n">
        <v>11.84893</v>
      </c>
      <c r="AW9" s="74" t="n"/>
      <c r="AX9" s="75" t="n">
        <v>83</v>
      </c>
      <c r="AY9" s="71" t="n">
        <v>600000000</v>
      </c>
      <c r="AZ9" s="71" t="n">
        <v>600000000</v>
      </c>
      <c r="BA9" s="71" t="n">
        <v>14218716</v>
      </c>
      <c r="BB9" s="71" t="n">
        <v>11148308.28</v>
      </c>
      <c r="BC9" s="69" t="inlineStr">
        <is>
          <t>Refinance</t>
        </is>
      </c>
      <c r="BD9" s="69" t="inlineStr">
        <is>
          <t>N</t>
        </is>
      </c>
      <c r="BE9" s="71" t="n">
        <v>0</v>
      </c>
      <c r="BF9" s="71" t="n">
        <v>0</v>
      </c>
      <c r="BG9" s="71" t="n">
        <v>186250000</v>
      </c>
      <c r="BH9" s="71" t="n">
        <v>0</v>
      </c>
      <c r="BI9" s="71" t="n">
        <v>0</v>
      </c>
      <c r="BJ9" s="69" t="inlineStr">
        <is>
          <t>N</t>
        </is>
      </c>
      <c r="BK9" s="69" t="n"/>
      <c r="BL9" s="75" t="n"/>
      <c r="BM9" s="73" t="n"/>
      <c r="BN9" s="69" t="inlineStr">
        <is>
          <t>The Chetrit Group LLC; Stellar Management LLC</t>
        </is>
      </c>
      <c r="BO9" s="69" t="inlineStr">
        <is>
          <t>UBS / Athene</t>
        </is>
      </c>
      <c r="BP9" s="69" t="inlineStr">
        <is>
          <t>Midland Loan Services</t>
        </is>
      </c>
      <c r="BQ9" s="69" t="inlineStr">
        <is>
          <t>Midland Loan Services</t>
        </is>
      </c>
      <c r="BR9" s="69" t="inlineStr">
        <is>
          <t>Full Payoff At Maturity</t>
        </is>
      </c>
      <c r="BS9" s="73" t="n">
        <v>44784</v>
      </c>
      <c r="BU9" s="76">
        <f>IF($C9="","",IFERROR(INDEX(dmName,MATCH($C9,dmID,0)),"Unmapped"))</f>
        <v/>
      </c>
      <c r="BV9" s="76">
        <f>IF($C9="","",IFERROR(INDEX(dmEntity,MATCH($C9,dmID,0)),"Unmapped"))</f>
        <v/>
      </c>
      <c r="BW9" s="77">
        <f>IF($C9="","",IFERROR(INDEX(dmVintage,MATCH($C9,dmID,0)),""))</f>
        <v/>
      </c>
      <c r="BX9" s="78">
        <f>IFERROR(INDEX(dmInclude,MATCH($C9,dmID,0)),0)</f>
        <v/>
      </c>
      <c r="BY9" s="78">
        <f>IF(N($I9)&gt;0,1,0)</f>
        <v/>
      </c>
      <c r="BZ9" s="76">
        <f>IF($AJ9="","Other / Leased Fee",IFERROR(INDEX(mapPTGroup,MATCH(LEFT(TRIM($AJ9),2),mapPTCode,0)),"Other / Leased Fee"))</f>
        <v/>
      </c>
      <c r="CA9" s="76">
        <f>IF(TRIM($AF9&amp;"")="","NR",LEFT(TRIM($AF9),2))</f>
        <v/>
      </c>
      <c r="CB9" s="76">
        <f>IFERROR(LOOKUP(2,1/(LEFT(TRIM($AI9&amp;""),LEN(mapRegion))=mapRegion),mapRegion),"Not Reported")</f>
        <v/>
      </c>
      <c r="CC9" s="76">
        <f>IF($BY9=0,"",IF(TRIM($W9&amp;"")="REO","REO",IF(TRIM($W9&amp;"")="FC","Foreclosure",IF(TRIM($W9&amp;"")="90+","90+ Days Delinquent",IF(TRIM($W9&amp;"")="60","60 Days Delinquent",IF(TRIM($W9&amp;"")="30","30 Days Delinquent",IF($X9="Non-Performing Matured Balloon","Non-Performing Matured Balloon",IF(OR($X9="Late Payment But Less Than 30 Days Delinquent",LEFT($X9&amp;"",20)="Payment Not Received"),"Late / In Grace (&lt;30 Days)",IF($X9="Performing Matured Balloon","Performing Matured Balloon","Current")))))))))</f>
        <v/>
      </c>
      <c r="CD9" s="78">
        <f>IF(OR($CC9="REO",$CC9="Foreclosure",$CC9="90+ Days Delinquent",$CC9="60 Days Delinquent",$CC9="30 Days Delinquent",$CC9="Non-Performing Matured Balloon"),1,0)</f>
        <v/>
      </c>
      <c r="CE9" s="76">
        <f>IF($AB9="Currently special serv","Currently Specially Serviced",IF($AB9="Returned to master serv","Previously Specially Serviced","Never Specially Serviced"))</f>
        <v/>
      </c>
      <c r="CF9" s="78">
        <f>IF($CE9="Currently Specially Serviced",1,0)</f>
        <v/>
      </c>
      <c r="CG9" s="76">
        <f>IF($AA9="Yes","Currently on Watchlist",IF($AA9="Previously","Previously on Watchlist","Never on Watchlist"))</f>
        <v/>
      </c>
      <c r="CH9" s="78">
        <f>IF($CG9="Currently on Watchlist",1,0)</f>
        <v/>
      </c>
      <c r="CI9" s="76">
        <f>IF($Z9="Full Defeasance","Fully Defeased",IF($Z9="Portion Of Loan Previously Defeased","Partially Defeased",IF($Z9="Defeasance Not Allowable","Not Defeased (Not Permitted)","Not Defeased")))</f>
        <v/>
      </c>
      <c r="CJ9" s="78">
        <f>IF($CI9="Fully Defeased",1,0)</f>
        <v/>
      </c>
      <c r="CK9" s="76">
        <f>IF($R9="IO","Full IO",IF(LEFT($R9&amp;"",7)="IO then","Partial IO","Amortizing"))</f>
        <v/>
      </c>
      <c r="CL9" s="78">
        <f>IF($CK9="Full IO",1,0)</f>
        <v/>
      </c>
      <c r="CM9" s="78">
        <f>IF($CK9="Partial IO",1,0)</f>
        <v/>
      </c>
      <c r="CN9" s="76">
        <f>IF(LEFT($F9&amp;"",10)="SPLIT_LOAN","Pari Passu Split","Standalone")</f>
        <v/>
      </c>
      <c r="CO9" s="78">
        <f>IF($CN9="Pari Passu Split",1,0)</f>
        <v/>
      </c>
      <c r="CP9" s="77">
        <f>IF(ISNUMBER($T9),YEAR($T9),"")</f>
        <v/>
      </c>
      <c r="CQ9" s="79">
        <f>IF(ISNUMBER($V9),$V9,IF(ISNUMBER($U9),$U9,""))</f>
        <v/>
      </c>
      <c r="CR9" s="77">
        <f>IF(ISNUMBER($CQ9),YEAR($CQ9),"")</f>
        <v/>
      </c>
      <c r="CS9" s="78">
        <f>IF(ISNUMBER($M9),MAX(0,$M9),IF(TRIM($M9&amp;"")="matured",0,""))</f>
        <v/>
      </c>
      <c r="CT9" s="78">
        <f>IF(AND(ISNUMBER($CS9),N($CS9)&lt;=mMatWindow),1,0)</f>
        <v/>
      </c>
      <c r="CU9" s="80">
        <f>IF(ISNUMBER($J9),$J9/100,"")</f>
        <v/>
      </c>
      <c r="CV9" s="81">
        <f>IF(ISNUMBER($AQ9),$AQ9,"")</f>
        <v/>
      </c>
      <c r="CW9" s="81">
        <f>IF(ISNUMBER($AR9),$AR9,"")</f>
        <v/>
      </c>
      <c r="CX9" s="82">
        <f>IF(ISNUMBER($AS9),$AS9/100,"")</f>
        <v/>
      </c>
      <c r="CY9" s="82">
        <f>IF(ISNUMBER($AT9),$AT9/100,"")</f>
        <v/>
      </c>
      <c r="CZ9" s="82">
        <f>IF(ISNUMBER($AU9),$AU9/100,"")</f>
        <v/>
      </c>
      <c r="DA9" s="82">
        <f>IF(ISNUMBER($AV9),$AV9/100,"")</f>
        <v/>
      </c>
      <c r="DB9" s="82">
        <f>IF(ISNUMBER($AW9),$AW9/100,"")</f>
        <v/>
      </c>
      <c r="DC9" s="82">
        <f>IF(ISNUMBER($AX9),$AX9/100,"")</f>
        <v/>
      </c>
      <c r="DD9" s="77">
        <f>IFERROR(VALUE(LEFT(TRIM($AO9&amp;""),4)),"")</f>
        <v/>
      </c>
      <c r="DE9" s="78">
        <f>IF(AND($BY9=1,$BX9=1,OR(fDeal="All Deals",$BU9=fDeal),OR(fEntity="All Entities",$BV9=fEntity),OR(fPType="All Property Types",$BZ9=fPType),OR(fDefeased="Include",$CJ9=0)),1,0)</f>
        <v/>
      </c>
      <c r="DF9" s="83">
        <f>$DE9*N($I9)</f>
        <v/>
      </c>
      <c r="DG9" s="78">
        <f>IF($DE9=1,IF(COUNTIFS($F$8:$F9,$F9,$DE$8:$DE9,1)=1,1,0),0)</f>
        <v/>
      </c>
      <c r="DH9" s="83">
        <f>IF($DG9=1,SUMIFS($DF$8:$DF$1600,$F$8:$F$1600,$F9),0)</f>
        <v/>
      </c>
      <c r="DI9" s="78">
        <f>IF($DG9=1,COUNTIFS($F$8:$F$1600,$F9,$DE$8:$DE$1600,1),0)</f>
        <v/>
      </c>
      <c r="DJ9" s="84">
        <f>IF($DG9=1,$DH9+(100000-ROW())/mTieBreak,0)</f>
        <v/>
      </c>
    </row>
    <row r="10">
      <c r="B10" s="68" t="n">
        <v>3</v>
      </c>
      <c r="C10" s="69" t="inlineStr">
        <is>
          <t>UBS17C02</t>
        </is>
      </c>
      <c r="D10" s="69" t="inlineStr">
        <is>
          <t>3.000</t>
        </is>
      </c>
      <c r="E10" s="69" t="inlineStr">
        <is>
          <t>TZA Multifamily Portfolio I</t>
        </is>
      </c>
      <c r="F10" s="69" t="inlineStr">
        <is>
          <t>SPLIT_LOAN_01046</t>
        </is>
      </c>
      <c r="G10" s="70" t="n">
        <v>1046</v>
      </c>
      <c r="H10" s="71" t="n">
        <v>50000000</v>
      </c>
      <c r="I10" s="71" t="n">
        <v>45018527.79</v>
      </c>
      <c r="J10" s="72" t="n">
        <v>4.95</v>
      </c>
      <c r="K10" s="69" t="inlineStr">
        <is>
          <t>Fixed rate</t>
        </is>
      </c>
      <c r="L10" s="68" t="n">
        <v>120</v>
      </c>
      <c r="M10" s="68" t="n">
        <v>10</v>
      </c>
      <c r="N10" s="68" t="n">
        <v>396</v>
      </c>
      <c r="O10" s="68" t="n">
        <v>36</v>
      </c>
      <c r="P10" s="68" t="n">
        <v>0</v>
      </c>
      <c r="Q10" s="68" t="n">
        <v>110</v>
      </c>
      <c r="R10" s="69" t="inlineStr">
        <is>
          <t>IO then Amort</t>
        </is>
      </c>
      <c r="S10" s="69" t="inlineStr">
        <is>
          <t>No</t>
        </is>
      </c>
      <c r="T10" s="73" t="n">
        <v>42917</v>
      </c>
      <c r="U10" s="73" t="n">
        <v>46569</v>
      </c>
      <c r="V10" s="73" t="n"/>
      <c r="W10" s="69" t="n"/>
      <c r="X10" s="69" t="inlineStr">
        <is>
          <t>Current</t>
        </is>
      </c>
      <c r="Y10" s="68" t="n"/>
      <c r="Z10" s="69" t="inlineStr">
        <is>
          <t>Full Defeasance</t>
        </is>
      </c>
      <c r="AA10" s="69" t="inlineStr">
        <is>
          <t>Previously</t>
        </is>
      </c>
      <c r="AB10" s="69" t="inlineStr">
        <is>
          <t>Returned to master serv</t>
        </is>
      </c>
      <c r="AC10" s="73" t="n"/>
      <c r="AD10" s="69" t="inlineStr">
        <is>
          <t>Other</t>
        </is>
      </c>
      <c r="AE10" s="69" t="inlineStr">
        <is>
          <t>Resolved</t>
        </is>
      </c>
      <c r="AF10" s="69" t="inlineStr">
        <is>
          <t>FL</t>
        </is>
      </c>
      <c r="AG10" s="69" t="n"/>
      <c r="AH10" s="69" t="inlineStr">
        <is>
          <t>Orlando-Kissimmee-Sanford, FL</t>
        </is>
      </c>
      <c r="AI10" s="69" t="inlineStr">
        <is>
          <t>South / Atlantic</t>
        </is>
      </c>
      <c r="AJ10" s="69" t="inlineStr">
        <is>
          <t>MF</t>
        </is>
      </c>
      <c r="AK10" s="69" t="inlineStr">
        <is>
          <t>Garden</t>
        </is>
      </c>
      <c r="AL10" s="68" t="n">
        <v>14</v>
      </c>
      <c r="AM10" s="68" t="n">
        <v>2382</v>
      </c>
      <c r="AN10" s="68" t="n"/>
      <c r="AO10" s="69" t="n"/>
      <c r="AP10" s="70" t="n">
        <v>2017</v>
      </c>
      <c r="AQ10" s="74" t="n">
        <v>1.55</v>
      </c>
      <c r="AR10" s="74" t="n">
        <v>1.28</v>
      </c>
      <c r="AS10" s="74" t="n">
        <v>73.7</v>
      </c>
      <c r="AT10" s="74" t="n">
        <v>55.49</v>
      </c>
      <c r="AU10" s="74" t="n">
        <v>65.09999999999999</v>
      </c>
      <c r="AV10" s="74" t="n">
        <v>9.930106092999999</v>
      </c>
      <c r="AW10" s="74" t="n">
        <v>9.008439279999999</v>
      </c>
      <c r="AX10" s="75" t="n">
        <v>97</v>
      </c>
      <c r="AY10" s="71" t="n">
        <v>146630000</v>
      </c>
      <c r="AZ10" s="71" t="n">
        <v>175230000</v>
      </c>
      <c r="BA10" s="71" t="n">
        <v>10724514.58</v>
      </c>
      <c r="BB10" s="71" t="n">
        <v>8759808.16</v>
      </c>
      <c r="BC10" s="69" t="inlineStr">
        <is>
          <t>Refinance</t>
        </is>
      </c>
      <c r="BD10" s="69" t="inlineStr">
        <is>
          <t>N</t>
        </is>
      </c>
      <c r="BE10" s="71" t="n">
        <v>52221492.24</v>
      </c>
      <c r="BF10" s="71" t="n"/>
      <c r="BG10" s="71" t="n"/>
      <c r="BH10" s="71" t="n">
        <v>0</v>
      </c>
      <c r="BI10" s="71" t="n">
        <v>0</v>
      </c>
      <c r="BJ10" s="69" t="inlineStr">
        <is>
          <t>Y</t>
        </is>
      </c>
      <c r="BK10" s="69" t="n"/>
      <c r="BL10" s="75" t="n"/>
      <c r="BM10" s="73" t="n"/>
      <c r="BN10" s="69" t="inlineStr">
        <is>
          <t>Adam Hendry</t>
        </is>
      </c>
      <c r="BO10" s="69" t="inlineStr">
        <is>
          <t>Societe Generale</t>
        </is>
      </c>
      <c r="BP10" s="69" t="inlineStr">
        <is>
          <t>Midland Loan Services</t>
        </is>
      </c>
      <c r="BQ10" s="69" t="inlineStr">
        <is>
          <t>Midland Loan Services</t>
        </is>
      </c>
      <c r="BR10" s="69" t="n"/>
      <c r="BS10" s="73" t="n">
        <v>46276</v>
      </c>
      <c r="BU10" s="76">
        <f>IF($C10="","",IFERROR(INDEX(dmName,MATCH($C10,dmID,0)),"Unmapped"))</f>
        <v/>
      </c>
      <c r="BV10" s="76">
        <f>IF($C10="","",IFERROR(INDEX(dmEntity,MATCH($C10,dmID,0)),"Unmapped"))</f>
        <v/>
      </c>
      <c r="BW10" s="77">
        <f>IF($C10="","",IFERROR(INDEX(dmVintage,MATCH($C10,dmID,0)),""))</f>
        <v/>
      </c>
      <c r="BX10" s="78">
        <f>IFERROR(INDEX(dmInclude,MATCH($C10,dmID,0)),0)</f>
        <v/>
      </c>
      <c r="BY10" s="78">
        <f>IF(N($I10)&gt;0,1,0)</f>
        <v/>
      </c>
      <c r="BZ10" s="76">
        <f>IF($AJ10="","Other / Leased Fee",IFERROR(INDEX(mapPTGroup,MATCH(LEFT(TRIM($AJ10),2),mapPTCode,0)),"Other / Leased Fee"))</f>
        <v/>
      </c>
      <c r="CA10" s="76">
        <f>IF(TRIM($AF10&amp;"")="","NR",LEFT(TRIM($AF10),2))</f>
        <v/>
      </c>
      <c r="CB10" s="76">
        <f>IFERROR(LOOKUP(2,1/(LEFT(TRIM($AI10&amp;""),LEN(mapRegion))=mapRegion),mapRegion),"Not Reported")</f>
        <v/>
      </c>
      <c r="CC10" s="76">
        <f>IF($BY10=0,"",IF(TRIM($W10&amp;"")="REO","REO",IF(TRIM($W10&amp;"")="FC","Foreclosure",IF(TRIM($W10&amp;"")="90+","90+ Days Delinquent",IF(TRIM($W10&amp;"")="60","60 Days Delinquent",IF(TRIM($W10&amp;"")="30","30 Days Delinquent",IF($X10="Non-Performing Matured Balloon","Non-Performing Matured Balloon",IF(OR($X10="Late Payment But Less Than 30 Days Delinquent",LEFT($X10&amp;"",20)="Payment Not Received"),"Late / In Grace (&lt;30 Days)",IF($X10="Performing Matured Balloon","Performing Matured Balloon","Current")))))))))</f>
        <v/>
      </c>
      <c r="CD10" s="78">
        <f>IF(OR($CC10="REO",$CC10="Foreclosure",$CC10="90+ Days Delinquent",$CC10="60 Days Delinquent",$CC10="30 Days Delinquent",$CC10="Non-Performing Matured Balloon"),1,0)</f>
        <v/>
      </c>
      <c r="CE10" s="76">
        <f>IF($AB10="Currently special serv","Currently Specially Serviced",IF($AB10="Returned to master serv","Previously Specially Serviced","Never Specially Serviced"))</f>
        <v/>
      </c>
      <c r="CF10" s="78">
        <f>IF($CE10="Currently Specially Serviced",1,0)</f>
        <v/>
      </c>
      <c r="CG10" s="76">
        <f>IF($AA10="Yes","Currently on Watchlist",IF($AA10="Previously","Previously on Watchlist","Never on Watchlist"))</f>
        <v/>
      </c>
      <c r="CH10" s="78">
        <f>IF($CG10="Currently on Watchlist",1,0)</f>
        <v/>
      </c>
      <c r="CI10" s="76">
        <f>IF($Z10="Full Defeasance","Fully Defeased",IF($Z10="Portion Of Loan Previously Defeased","Partially Defeased",IF($Z10="Defeasance Not Allowable","Not Defeased (Not Permitted)","Not Defeased")))</f>
        <v/>
      </c>
      <c r="CJ10" s="78">
        <f>IF($CI10="Fully Defeased",1,0)</f>
        <v/>
      </c>
      <c r="CK10" s="76">
        <f>IF($R10="IO","Full IO",IF(LEFT($R10&amp;"",7)="IO then","Partial IO","Amortizing"))</f>
        <v/>
      </c>
      <c r="CL10" s="78">
        <f>IF($CK10="Full IO",1,0)</f>
        <v/>
      </c>
      <c r="CM10" s="78">
        <f>IF($CK10="Partial IO",1,0)</f>
        <v/>
      </c>
      <c r="CN10" s="76">
        <f>IF(LEFT($F10&amp;"",10)="SPLIT_LOAN","Pari Passu Split","Standalone")</f>
        <v/>
      </c>
      <c r="CO10" s="78">
        <f>IF($CN10="Pari Passu Split",1,0)</f>
        <v/>
      </c>
      <c r="CP10" s="77">
        <f>IF(ISNUMBER($T10),YEAR($T10),"")</f>
        <v/>
      </c>
      <c r="CQ10" s="79">
        <f>IF(ISNUMBER($V10),$V10,IF(ISNUMBER($U10),$U10,""))</f>
        <v/>
      </c>
      <c r="CR10" s="77">
        <f>IF(ISNUMBER($CQ10),YEAR($CQ10),"")</f>
        <v/>
      </c>
      <c r="CS10" s="78">
        <f>IF(ISNUMBER($M10),MAX(0,$M10),IF(TRIM($M10&amp;"")="matured",0,""))</f>
        <v/>
      </c>
      <c r="CT10" s="78">
        <f>IF(AND(ISNUMBER($CS10),N($CS10)&lt;=mMatWindow),1,0)</f>
        <v/>
      </c>
      <c r="CU10" s="80">
        <f>IF(ISNUMBER($J10),$J10/100,"")</f>
        <v/>
      </c>
      <c r="CV10" s="81">
        <f>IF(ISNUMBER($AQ10),$AQ10,"")</f>
        <v/>
      </c>
      <c r="CW10" s="81">
        <f>IF(ISNUMBER($AR10),$AR10,"")</f>
        <v/>
      </c>
      <c r="CX10" s="82">
        <f>IF(ISNUMBER($AS10),$AS10/100,"")</f>
        <v/>
      </c>
      <c r="CY10" s="82">
        <f>IF(ISNUMBER($AT10),$AT10/100,"")</f>
        <v/>
      </c>
      <c r="CZ10" s="82">
        <f>IF(ISNUMBER($AU10),$AU10/100,"")</f>
        <v/>
      </c>
      <c r="DA10" s="82">
        <f>IF(ISNUMBER($AV10),$AV10/100,"")</f>
        <v/>
      </c>
      <c r="DB10" s="82">
        <f>IF(ISNUMBER($AW10),$AW10/100,"")</f>
        <v/>
      </c>
      <c r="DC10" s="82">
        <f>IF(ISNUMBER($AX10),$AX10/100,"")</f>
        <v/>
      </c>
      <c r="DD10" s="77">
        <f>IFERROR(VALUE(LEFT(TRIM($AO10&amp;""),4)),"")</f>
        <v/>
      </c>
      <c r="DE10" s="78">
        <f>IF(AND($BY10=1,$BX10=1,OR(fDeal="All Deals",$BU10=fDeal),OR(fEntity="All Entities",$BV10=fEntity),OR(fPType="All Property Types",$BZ10=fPType),OR(fDefeased="Include",$CJ10=0)),1,0)</f>
        <v/>
      </c>
      <c r="DF10" s="83">
        <f>$DE10*N($I10)</f>
        <v/>
      </c>
      <c r="DG10" s="78">
        <f>IF($DE10=1,IF(COUNTIFS($F$8:$F10,$F10,$DE$8:$DE10,1)=1,1,0),0)</f>
        <v/>
      </c>
      <c r="DH10" s="83">
        <f>IF($DG10=1,SUMIFS($DF$8:$DF$1600,$F$8:$F$1600,$F10),0)</f>
        <v/>
      </c>
      <c r="DI10" s="78">
        <f>IF($DG10=1,COUNTIFS($F$8:$F$1600,$F10,$DE$8:$DE$1600,1),0)</f>
        <v/>
      </c>
      <c r="DJ10" s="84">
        <f>IF($DG10=1,$DH10+(100000-ROW())/mTieBreak,0)</f>
        <v/>
      </c>
    </row>
    <row r="11">
      <c r="B11" s="68" t="n">
        <v>4</v>
      </c>
      <c r="C11" s="69" t="inlineStr">
        <is>
          <t>UBS17C02</t>
        </is>
      </c>
      <c r="D11" s="69" t="inlineStr">
        <is>
          <t>4.TR</t>
        </is>
      </c>
      <c r="E11" s="69" t="inlineStr">
        <is>
          <t>Del Amo Fashion Center - Trust</t>
        </is>
      </c>
      <c r="F11" s="69" t="inlineStr">
        <is>
          <t>SPLIT_LOAN_00999</t>
        </is>
      </c>
      <c r="G11" s="70" t="n">
        <v>999</v>
      </c>
      <c r="H11" s="71" t="n">
        <v>45000000</v>
      </c>
      <c r="I11" s="71" t="n">
        <v>45000000</v>
      </c>
      <c r="J11" s="72" t="n">
        <v>3.6575</v>
      </c>
      <c r="K11" s="69" t="inlineStr">
        <is>
          <t>Fixed rate</t>
        </is>
      </c>
      <c r="L11" s="68" t="n">
        <v>120</v>
      </c>
      <c r="M11" s="68" t="n">
        <v>9</v>
      </c>
      <c r="N11" s="68" t="n">
        <v>120</v>
      </c>
      <c r="O11" s="68" t="n">
        <v>120</v>
      </c>
      <c r="P11" s="68" t="n">
        <v>9</v>
      </c>
      <c r="Q11" s="68" t="n">
        <v>111</v>
      </c>
      <c r="R11" s="69" t="inlineStr">
        <is>
          <t>IO</t>
        </is>
      </c>
      <c r="S11" s="69" t="inlineStr">
        <is>
          <t>Yes</t>
        </is>
      </c>
      <c r="T11" s="73" t="n">
        <v>42887</v>
      </c>
      <c r="U11" s="73" t="n">
        <v>46539</v>
      </c>
      <c r="V11" s="73" t="n"/>
      <c r="W11" s="69" t="n"/>
      <c r="X11" s="69" t="inlineStr">
        <is>
          <t>Current</t>
        </is>
      </c>
      <c r="Y11" s="68" t="n"/>
      <c r="Z11" s="69" t="inlineStr">
        <is>
          <t>No Defeasance Occurred</t>
        </is>
      </c>
      <c r="AA11" s="69" t="inlineStr">
        <is>
          <t>Previously</t>
        </is>
      </c>
      <c r="AB11" s="69" t="inlineStr">
        <is>
          <t>Never special serv</t>
        </is>
      </c>
      <c r="AC11" s="73" t="n"/>
      <c r="AD11" s="69" t="n"/>
      <c r="AE11" s="69" t="n"/>
      <c r="AF11" s="69" t="inlineStr">
        <is>
          <t>CA</t>
        </is>
      </c>
      <c r="AG11" s="69" t="inlineStr">
        <is>
          <t>Torrance</t>
        </is>
      </c>
      <c r="AH11" s="69" t="inlineStr">
        <is>
          <t>Los Angeles-Long Beach-Anaheim, CA</t>
        </is>
      </c>
      <c r="AI11" s="69" t="inlineStr">
        <is>
          <t>West / Pacific South</t>
        </is>
      </c>
      <c r="AJ11" s="69" t="inlineStr">
        <is>
          <t>RT</t>
        </is>
      </c>
      <c r="AK11" s="69" t="inlineStr">
        <is>
          <t>Super Regional Mall</t>
        </is>
      </c>
      <c r="AL11" s="68" t="n">
        <v>1</v>
      </c>
      <c r="AM11" s="68" t="n"/>
      <c r="AN11" s="68" t="n">
        <v>1769525</v>
      </c>
      <c r="AO11" s="69" t="inlineStr">
        <is>
          <t>1961</t>
        </is>
      </c>
      <c r="AP11" s="70" t="n">
        <v>2017</v>
      </c>
      <c r="AQ11" s="74" t="n">
        <v>3.34</v>
      </c>
      <c r="AR11" s="74" t="n">
        <v>4.31</v>
      </c>
      <c r="AS11" s="74" t="n">
        <v>39.8</v>
      </c>
      <c r="AT11" s="74" t="n">
        <v>39.77</v>
      </c>
      <c r="AU11" s="74" t="n">
        <v>39.8</v>
      </c>
      <c r="AV11" s="74" t="n">
        <v>12.402663529</v>
      </c>
      <c r="AW11" s="74" t="n">
        <v>12.760469845</v>
      </c>
      <c r="AX11" s="75" t="n">
        <v>84</v>
      </c>
      <c r="AY11" s="71" t="n">
        <v>1155000000</v>
      </c>
      <c r="AZ11" s="71" t="n">
        <v>1155000000</v>
      </c>
      <c r="BA11" s="71" t="n">
        <v>56965433.59</v>
      </c>
      <c r="BB11" s="71" t="n">
        <v>58137587.87</v>
      </c>
      <c r="BC11" s="69" t="inlineStr">
        <is>
          <t>Refinance</t>
        </is>
      </c>
      <c r="BD11" s="69" t="inlineStr">
        <is>
          <t>N</t>
        </is>
      </c>
      <c r="BE11" s="71" t="n">
        <v>414300000</v>
      </c>
      <c r="BF11" s="71" t="n">
        <v>125700000</v>
      </c>
      <c r="BG11" s="71" t="n"/>
      <c r="BH11" s="71" t="n">
        <v>0</v>
      </c>
      <c r="BI11" s="71" t="n">
        <v>0</v>
      </c>
      <c r="BJ11" s="69" t="inlineStr">
        <is>
          <t>N</t>
        </is>
      </c>
      <c r="BK11" s="69" t="inlineStr">
        <is>
          <t>JC Penney</t>
        </is>
      </c>
      <c r="BL11" s="75" t="n">
        <v>9.23</v>
      </c>
      <c r="BM11" s="73" t="n">
        <v>47118</v>
      </c>
      <c r="BN11" s="69" t="inlineStr">
        <is>
          <t>Simon Property Group, L.P.; Commingled Pension Trust Fund (Strategic Property) of JPMorgan Chase Bank, N.A.</t>
        </is>
      </c>
      <c r="BO11" s="69" t="inlineStr">
        <is>
          <t>Bank of America / Societe Generale / Wells Fargo / Barclays</t>
        </is>
      </c>
      <c r="BP11" s="69" t="inlineStr">
        <is>
          <t>Midland Loan Services</t>
        </is>
      </c>
      <c r="BQ11" s="69" t="inlineStr">
        <is>
          <t>Cohen Financial</t>
        </is>
      </c>
      <c r="BR11" s="69" t="n"/>
      <c r="BS11" s="73" t="n">
        <v>46276</v>
      </c>
      <c r="BU11" s="76">
        <f>IF($C11="","",IFERROR(INDEX(dmName,MATCH($C11,dmID,0)),"Unmapped"))</f>
        <v/>
      </c>
      <c r="BV11" s="76">
        <f>IF($C11="","",IFERROR(INDEX(dmEntity,MATCH($C11,dmID,0)),"Unmapped"))</f>
        <v/>
      </c>
      <c r="BW11" s="77">
        <f>IF($C11="","",IFERROR(INDEX(dmVintage,MATCH($C11,dmID,0)),""))</f>
        <v/>
      </c>
      <c r="BX11" s="78">
        <f>IFERROR(INDEX(dmInclude,MATCH($C11,dmID,0)),0)</f>
        <v/>
      </c>
      <c r="BY11" s="78">
        <f>IF(N($I11)&gt;0,1,0)</f>
        <v/>
      </c>
      <c r="BZ11" s="76">
        <f>IF($AJ11="","Other / Leased Fee",IFERROR(INDEX(mapPTGroup,MATCH(LEFT(TRIM($AJ11),2),mapPTCode,0)),"Other / Leased Fee"))</f>
        <v/>
      </c>
      <c r="CA11" s="76">
        <f>IF(TRIM($AF11&amp;"")="","NR",LEFT(TRIM($AF11),2))</f>
        <v/>
      </c>
      <c r="CB11" s="76">
        <f>IFERROR(LOOKUP(2,1/(LEFT(TRIM($AI11&amp;""),LEN(mapRegion))=mapRegion),mapRegion),"Not Reported")</f>
        <v/>
      </c>
      <c r="CC11" s="76">
        <f>IF($BY11=0,"",IF(TRIM($W11&amp;"")="REO","REO",IF(TRIM($W11&amp;"")="FC","Foreclosure",IF(TRIM($W11&amp;"")="90+","90+ Days Delinquent",IF(TRIM($W11&amp;"")="60","60 Days Delinquent",IF(TRIM($W11&amp;"")="30","30 Days Delinquent",IF($X11="Non-Performing Matured Balloon","Non-Performing Matured Balloon",IF(OR($X11="Late Payment But Less Than 30 Days Delinquent",LEFT($X11&amp;"",20)="Payment Not Received"),"Late / In Grace (&lt;30 Days)",IF($X11="Performing Matured Balloon","Performing Matured Balloon","Current")))))))))</f>
        <v/>
      </c>
      <c r="CD11" s="78">
        <f>IF(OR($CC11="REO",$CC11="Foreclosure",$CC11="90+ Days Delinquent",$CC11="60 Days Delinquent",$CC11="30 Days Delinquent",$CC11="Non-Performing Matured Balloon"),1,0)</f>
        <v/>
      </c>
      <c r="CE11" s="76">
        <f>IF($AB11="Currently special serv","Currently Specially Serviced",IF($AB11="Returned to master serv","Previously Specially Serviced","Never Specially Serviced"))</f>
        <v/>
      </c>
      <c r="CF11" s="78">
        <f>IF($CE11="Currently Specially Serviced",1,0)</f>
        <v/>
      </c>
      <c r="CG11" s="76">
        <f>IF($AA11="Yes","Currently on Watchlist",IF($AA11="Previously","Previously on Watchlist","Never on Watchlist"))</f>
        <v/>
      </c>
      <c r="CH11" s="78">
        <f>IF($CG11="Currently on Watchlist",1,0)</f>
        <v/>
      </c>
      <c r="CI11" s="76">
        <f>IF($Z11="Full Defeasance","Fully Defeased",IF($Z11="Portion Of Loan Previously Defeased","Partially Defeased",IF($Z11="Defeasance Not Allowable","Not Defeased (Not Permitted)","Not Defeased")))</f>
        <v/>
      </c>
      <c r="CJ11" s="78">
        <f>IF($CI11="Fully Defeased",1,0)</f>
        <v/>
      </c>
      <c r="CK11" s="76">
        <f>IF($R11="IO","Full IO",IF(LEFT($R11&amp;"",7)="IO then","Partial IO","Amortizing"))</f>
        <v/>
      </c>
      <c r="CL11" s="78">
        <f>IF($CK11="Full IO",1,0)</f>
        <v/>
      </c>
      <c r="CM11" s="78">
        <f>IF($CK11="Partial IO",1,0)</f>
        <v/>
      </c>
      <c r="CN11" s="76">
        <f>IF(LEFT($F11&amp;"",10)="SPLIT_LOAN","Pari Passu Split","Standalone")</f>
        <v/>
      </c>
      <c r="CO11" s="78">
        <f>IF($CN11="Pari Passu Split",1,0)</f>
        <v/>
      </c>
      <c r="CP11" s="77">
        <f>IF(ISNUMBER($T11),YEAR($T11),"")</f>
        <v/>
      </c>
      <c r="CQ11" s="79">
        <f>IF(ISNUMBER($V11),$V11,IF(ISNUMBER($U11),$U11,""))</f>
        <v/>
      </c>
      <c r="CR11" s="77">
        <f>IF(ISNUMBER($CQ11),YEAR($CQ11),"")</f>
        <v/>
      </c>
      <c r="CS11" s="78">
        <f>IF(ISNUMBER($M11),MAX(0,$M11),IF(TRIM($M11&amp;"")="matured",0,""))</f>
        <v/>
      </c>
      <c r="CT11" s="78">
        <f>IF(AND(ISNUMBER($CS11),N($CS11)&lt;=mMatWindow),1,0)</f>
        <v/>
      </c>
      <c r="CU11" s="80">
        <f>IF(ISNUMBER($J11),$J11/100,"")</f>
        <v/>
      </c>
      <c r="CV11" s="81">
        <f>IF(ISNUMBER($AQ11),$AQ11,"")</f>
        <v/>
      </c>
      <c r="CW11" s="81">
        <f>IF(ISNUMBER($AR11),$AR11,"")</f>
        <v/>
      </c>
      <c r="CX11" s="82">
        <f>IF(ISNUMBER($AS11),$AS11/100,"")</f>
        <v/>
      </c>
      <c r="CY11" s="82">
        <f>IF(ISNUMBER($AT11),$AT11/100,"")</f>
        <v/>
      </c>
      <c r="CZ11" s="82">
        <f>IF(ISNUMBER($AU11),$AU11/100,"")</f>
        <v/>
      </c>
      <c r="DA11" s="82">
        <f>IF(ISNUMBER($AV11),$AV11/100,"")</f>
        <v/>
      </c>
      <c r="DB11" s="82">
        <f>IF(ISNUMBER($AW11),$AW11/100,"")</f>
        <v/>
      </c>
      <c r="DC11" s="82">
        <f>IF(ISNUMBER($AX11),$AX11/100,"")</f>
        <v/>
      </c>
      <c r="DD11" s="77">
        <f>IFERROR(VALUE(LEFT(TRIM($AO11&amp;""),4)),"")</f>
        <v/>
      </c>
      <c r="DE11" s="78">
        <f>IF(AND($BY11=1,$BX11=1,OR(fDeal="All Deals",$BU11=fDeal),OR(fEntity="All Entities",$BV11=fEntity),OR(fPType="All Property Types",$BZ11=fPType),OR(fDefeased="Include",$CJ11=0)),1,0)</f>
        <v/>
      </c>
      <c r="DF11" s="83">
        <f>$DE11*N($I11)</f>
        <v/>
      </c>
      <c r="DG11" s="78">
        <f>IF($DE11=1,IF(COUNTIFS($F$8:$F11,$F11,$DE$8:$DE11,1)=1,1,0),0)</f>
        <v/>
      </c>
      <c r="DH11" s="83">
        <f>IF($DG11=1,SUMIFS($DF$8:$DF$1600,$F$8:$F$1600,$F11),0)</f>
        <v/>
      </c>
      <c r="DI11" s="78">
        <f>IF($DG11=1,COUNTIFS($F$8:$F$1600,$F11,$DE$8:$DE$1600,1),0)</f>
        <v/>
      </c>
      <c r="DJ11" s="84">
        <f>IF($DG11=1,$DH11+(100000-ROW())/mTieBreak,0)</f>
        <v/>
      </c>
    </row>
    <row r="12">
      <c r="B12" s="68" t="n">
        <v>5</v>
      </c>
      <c r="C12" s="69" t="inlineStr">
        <is>
          <t>UBS17C02</t>
        </is>
      </c>
      <c r="D12" s="69" t="inlineStr">
        <is>
          <t>5.000</t>
        </is>
      </c>
      <c r="E12" s="69" t="inlineStr">
        <is>
          <t>Starwood Capital Group Hotel Portfolio</t>
        </is>
      </c>
      <c r="F12" s="69" t="inlineStr">
        <is>
          <t>SPLIT_LOAN_01005</t>
        </is>
      </c>
      <c r="G12" s="70" t="n">
        <v>1005</v>
      </c>
      <c r="H12" s="71" t="n">
        <v>37500000</v>
      </c>
      <c r="I12" s="71" t="n">
        <v>22901990.62998751</v>
      </c>
      <c r="J12" s="72" t="n">
        <v>4.486</v>
      </c>
      <c r="K12" s="69" t="inlineStr">
        <is>
          <t>Fixed rate</t>
        </is>
      </c>
      <c r="L12" s="68" t="n">
        <v>120</v>
      </c>
      <c r="M12" s="68" t="n">
        <v>9</v>
      </c>
      <c r="N12" s="68" t="n">
        <v>120</v>
      </c>
      <c r="O12" s="68" t="n">
        <v>120</v>
      </c>
      <c r="P12" s="68" t="n">
        <v>9</v>
      </c>
      <c r="Q12" s="68" t="n">
        <v>111</v>
      </c>
      <c r="R12" s="69" t="inlineStr">
        <is>
          <t>IO</t>
        </is>
      </c>
      <c r="S12" s="69" t="inlineStr">
        <is>
          <t>Yes</t>
        </is>
      </c>
      <c r="T12" s="73" t="n">
        <v>42887</v>
      </c>
      <c r="U12" s="73" t="n">
        <v>46539</v>
      </c>
      <c r="V12" s="73" t="n"/>
      <c r="W12" s="69" t="n"/>
      <c r="X12" s="69" t="inlineStr">
        <is>
          <t>Current</t>
        </is>
      </c>
      <c r="Y12" s="68" t="n"/>
      <c r="Z12" s="69" t="inlineStr">
        <is>
          <t>Defeasance Not Allowable</t>
        </is>
      </c>
      <c r="AA12" s="69" t="inlineStr">
        <is>
          <t>Previously</t>
        </is>
      </c>
      <c r="AB12" s="69" t="inlineStr">
        <is>
          <t>Currently special serv</t>
        </is>
      </c>
      <c r="AC12" s="73" t="n">
        <v>45707</v>
      </c>
      <c r="AD12" s="69" t="inlineStr">
        <is>
          <t>Imminent Monetary Default (excluding Balloon/Maturity Default &amp; Single Tenant Bankruptcy/Vacate)</t>
        </is>
      </c>
      <c r="AE12" s="69" t="inlineStr">
        <is>
          <t>Full Payoff</t>
        </is>
      </c>
      <c r="AF12" s="69" t="inlineStr">
        <is>
          <t>CA-34.163590635% TX-19.337687968% WA-6.112540470% MI-5.907507857% IN-5.253965543% OH-4.946416514% VA-3.946881351% PA-3.729034132% OR-2.588539170% MN-2.416668521% KY-2.114400693% NJ-2.075957091% AZ-2.011884495% NC-1.755593456% IL-1.345527575% WY-1.204567776% CT-1.089236754%</t>
        </is>
      </c>
      <c r="AG12" s="69" t="n"/>
      <c r="AH12" s="69" t="inlineStr">
        <is>
          <t>San Jose-Sunnyvale-Santa Clara, CA-17.248384220% San Francisco-Oakland-Fremont, CA-8.060351933% Seattle-Tacoma-Bellevue, WA-6.112540470% Sacramento-Roseville-Folsom, CA-5.189892947% Dallas-Fort Worth-Arlington, TX-4.503667448% Virginia Beach-Chesapeake-Norfolk, VA-NC-3.946881351% Toledo, OH-3.767477733% Waco, TX-3.716219307% Chico, CA-3.664961535% Grand Rapids-Wyoming-Kentwood, MI-3.318968687% Tyler, TX-2.998604615% Ann Arbor, MI-2.588539170% Portland-Vancouver-Hillsboro, OR-WA-2.588539170% Louisville/Jefferson County, KY-IN-2.114400693% New York-Newark-Jersey City, NY-NJ-2.075957091% Minneapolis-St. Paul-Bloomington, MN-WI-2.050327878% Phoenix-Mesa-Chandler, AZ-2.011884495% Kokomo, IN-1.896553473% South Bend-Mishawaka, IN-MI-1.896553473% Wichita Falls, TX-1.806851664% Paris, TX-1.794036839% Morehead City, NC-1.755593456% Lufkin, TX-1.627447827% Harrisburg-Carlisle, PA-1.614633221% Indianapolis-Carmel-Greenwood, IN-1.460858597% Chicago-Naperville-Elgin, IL-IN-1.345527575% Cheyenne, WY-1.204567776% Akron, OH-1.178938781% Sunbury, PA-1.102051360% Norwich-New London-Willimantic, CT-1.089236754% Longview, TX-1.076422365% Selinsgrove, PA-1.012349551% Houston-Pasadena-The Woodlands, TX-0.930233982% Huntsville, TX-0.884203922% Mankato, MN-0.366340643%</t>
        </is>
      </c>
      <c r="AI12" s="69" t="inlineStr">
        <is>
          <t>West / Pacific North-42.864670275% South / Central West-19.337687968% Midwest / Central East-17.453417488% Northeast / Mid-Atlantic-5.804991223% South / Atlantic-5.702474807% West / Mountain-3.216452271% Midwest / Central West-2.416668521% South / Central East-2.114400693% Northeast / New England-1.089236754%</t>
        </is>
      </c>
      <c r="AJ12" s="69" t="inlineStr">
        <is>
          <t>HT</t>
        </is>
      </c>
      <c r="AK12" s="69" t="n"/>
      <c r="AL12" s="68" t="n">
        <v>65</v>
      </c>
      <c r="AM12" s="68" t="n">
        <v>6366</v>
      </c>
      <c r="AN12" s="68" t="n"/>
      <c r="AO12" s="69" t="n"/>
      <c r="AP12" s="70" t="n">
        <v>2017</v>
      </c>
      <c r="AQ12" s="74" t="n">
        <v>2.72</v>
      </c>
      <c r="AR12" s="74" t="n">
        <v>1.11</v>
      </c>
      <c r="AS12" s="74" t="n">
        <v>60.4</v>
      </c>
      <c r="AT12" s="74" t="n">
        <v>36.88</v>
      </c>
      <c r="AU12" s="74" t="n">
        <v>60.4</v>
      </c>
      <c r="AV12" s="74" t="n">
        <v>12.356331006</v>
      </c>
      <c r="AW12" s="74" t="n">
        <v>8.297445134</v>
      </c>
      <c r="AX12" s="75" t="n">
        <v>64</v>
      </c>
      <c r="AY12" s="71" t="n">
        <v>956000000</v>
      </c>
      <c r="AZ12" s="71" t="n">
        <v>956000000</v>
      </c>
      <c r="BA12" s="71" t="n">
        <v>71329392</v>
      </c>
      <c r="BB12" s="71" t="n">
        <v>29252658.6</v>
      </c>
      <c r="BC12" s="69" t="inlineStr">
        <is>
          <t>Refinance</t>
        </is>
      </c>
      <c r="BD12" s="69" t="inlineStr">
        <is>
          <t>Y</t>
        </is>
      </c>
      <c r="BE12" s="71" t="n">
        <v>329648199.53</v>
      </c>
      <c r="BF12" s="71" t="n"/>
      <c r="BG12" s="71" t="n"/>
      <c r="BH12" s="71" t="n">
        <v>0</v>
      </c>
      <c r="BI12" s="71" t="n">
        <v>0</v>
      </c>
      <c r="BJ12" s="69" t="inlineStr">
        <is>
          <t>Y</t>
        </is>
      </c>
      <c r="BK12" s="69" t="n"/>
      <c r="BL12" s="75" t="n"/>
      <c r="BM12" s="73" t="n"/>
      <c r="BN12" s="69" t="inlineStr">
        <is>
          <t>SCG Hotel Investors Holdings, L.P.</t>
        </is>
      </c>
      <c r="BO12" s="69" t="inlineStr">
        <is>
          <t>JPMorgan Chase / Barclays / GACC / Bank of America</t>
        </is>
      </c>
      <c r="BP12" s="69" t="inlineStr">
        <is>
          <t>Midland Loan Services</t>
        </is>
      </c>
      <c r="BQ12" s="69" t="inlineStr">
        <is>
          <t>K-Star Asset Management LLC</t>
        </is>
      </c>
      <c r="BR12" s="69" t="inlineStr">
        <is>
          <t>Partial Liquidation (Curtailment)</t>
        </is>
      </c>
      <c r="BS12" s="73" t="n">
        <v>46276</v>
      </c>
      <c r="BU12" s="76">
        <f>IF($C12="","",IFERROR(INDEX(dmName,MATCH($C12,dmID,0)),"Unmapped"))</f>
        <v/>
      </c>
      <c r="BV12" s="76">
        <f>IF($C12="","",IFERROR(INDEX(dmEntity,MATCH($C12,dmID,0)),"Unmapped"))</f>
        <v/>
      </c>
      <c r="BW12" s="77">
        <f>IF($C12="","",IFERROR(INDEX(dmVintage,MATCH($C12,dmID,0)),""))</f>
        <v/>
      </c>
      <c r="BX12" s="78">
        <f>IFERROR(INDEX(dmInclude,MATCH($C12,dmID,0)),0)</f>
        <v/>
      </c>
      <c r="BY12" s="78">
        <f>IF(N($I12)&gt;0,1,0)</f>
        <v/>
      </c>
      <c r="BZ12" s="76">
        <f>IF($AJ12="","Other / Leased Fee",IFERROR(INDEX(mapPTGroup,MATCH(LEFT(TRIM($AJ12),2),mapPTCode,0)),"Other / Leased Fee"))</f>
        <v/>
      </c>
      <c r="CA12" s="76">
        <f>IF(TRIM($AF12&amp;"")="","NR",LEFT(TRIM($AF12),2))</f>
        <v/>
      </c>
      <c r="CB12" s="76">
        <f>IFERROR(LOOKUP(2,1/(LEFT(TRIM($AI12&amp;""),LEN(mapRegion))=mapRegion),mapRegion),"Not Reported")</f>
        <v/>
      </c>
      <c r="CC12" s="76">
        <f>IF($BY12=0,"",IF(TRIM($W12&amp;"")="REO","REO",IF(TRIM($W12&amp;"")="FC","Foreclosure",IF(TRIM($W12&amp;"")="90+","90+ Days Delinquent",IF(TRIM($W12&amp;"")="60","60 Days Delinquent",IF(TRIM($W12&amp;"")="30","30 Days Delinquent",IF($X12="Non-Performing Matured Balloon","Non-Performing Matured Balloon",IF(OR($X12="Late Payment But Less Than 30 Days Delinquent",LEFT($X12&amp;"",20)="Payment Not Received"),"Late / In Grace (&lt;30 Days)",IF($X12="Performing Matured Balloon","Performing Matured Balloon","Current")))))))))</f>
        <v/>
      </c>
      <c r="CD12" s="78">
        <f>IF(OR($CC12="REO",$CC12="Foreclosure",$CC12="90+ Days Delinquent",$CC12="60 Days Delinquent",$CC12="30 Days Delinquent",$CC12="Non-Performing Matured Balloon"),1,0)</f>
        <v/>
      </c>
      <c r="CE12" s="76">
        <f>IF($AB12="Currently special serv","Currently Specially Serviced",IF($AB12="Returned to master serv","Previously Specially Serviced","Never Specially Serviced"))</f>
        <v/>
      </c>
      <c r="CF12" s="78">
        <f>IF($CE12="Currently Specially Serviced",1,0)</f>
        <v/>
      </c>
      <c r="CG12" s="76">
        <f>IF($AA12="Yes","Currently on Watchlist",IF($AA12="Previously","Previously on Watchlist","Never on Watchlist"))</f>
        <v/>
      </c>
      <c r="CH12" s="78">
        <f>IF($CG12="Currently on Watchlist",1,0)</f>
        <v/>
      </c>
      <c r="CI12" s="76">
        <f>IF($Z12="Full Defeasance","Fully Defeased",IF($Z12="Portion Of Loan Previously Defeased","Partially Defeased",IF($Z12="Defeasance Not Allowable","Not Defeased (Not Permitted)","Not Defeased")))</f>
        <v/>
      </c>
      <c r="CJ12" s="78">
        <f>IF($CI12="Fully Defeased",1,0)</f>
        <v/>
      </c>
      <c r="CK12" s="76">
        <f>IF($R12="IO","Full IO",IF(LEFT($R12&amp;"",7)="IO then","Partial IO","Amortizing"))</f>
        <v/>
      </c>
      <c r="CL12" s="78">
        <f>IF($CK12="Full IO",1,0)</f>
        <v/>
      </c>
      <c r="CM12" s="78">
        <f>IF($CK12="Partial IO",1,0)</f>
        <v/>
      </c>
      <c r="CN12" s="76">
        <f>IF(LEFT($F12&amp;"",10)="SPLIT_LOAN","Pari Passu Split","Standalone")</f>
        <v/>
      </c>
      <c r="CO12" s="78">
        <f>IF($CN12="Pari Passu Split",1,0)</f>
        <v/>
      </c>
      <c r="CP12" s="77">
        <f>IF(ISNUMBER($T12),YEAR($T12),"")</f>
        <v/>
      </c>
      <c r="CQ12" s="79">
        <f>IF(ISNUMBER($V12),$V12,IF(ISNUMBER($U12),$U12,""))</f>
        <v/>
      </c>
      <c r="CR12" s="77">
        <f>IF(ISNUMBER($CQ12),YEAR($CQ12),"")</f>
        <v/>
      </c>
      <c r="CS12" s="78">
        <f>IF(ISNUMBER($M12),MAX(0,$M12),IF(TRIM($M12&amp;"")="matured",0,""))</f>
        <v/>
      </c>
      <c r="CT12" s="78">
        <f>IF(AND(ISNUMBER($CS12),N($CS12)&lt;=mMatWindow),1,0)</f>
        <v/>
      </c>
      <c r="CU12" s="80">
        <f>IF(ISNUMBER($J12),$J12/100,"")</f>
        <v/>
      </c>
      <c r="CV12" s="81">
        <f>IF(ISNUMBER($AQ12),$AQ12,"")</f>
        <v/>
      </c>
      <c r="CW12" s="81">
        <f>IF(ISNUMBER($AR12),$AR12,"")</f>
        <v/>
      </c>
      <c r="CX12" s="82">
        <f>IF(ISNUMBER($AS12),$AS12/100,"")</f>
        <v/>
      </c>
      <c r="CY12" s="82">
        <f>IF(ISNUMBER($AT12),$AT12/100,"")</f>
        <v/>
      </c>
      <c r="CZ12" s="82">
        <f>IF(ISNUMBER($AU12),$AU12/100,"")</f>
        <v/>
      </c>
      <c r="DA12" s="82">
        <f>IF(ISNUMBER($AV12),$AV12/100,"")</f>
        <v/>
      </c>
      <c r="DB12" s="82">
        <f>IF(ISNUMBER($AW12),$AW12/100,"")</f>
        <v/>
      </c>
      <c r="DC12" s="82">
        <f>IF(ISNUMBER($AX12),$AX12/100,"")</f>
        <v/>
      </c>
      <c r="DD12" s="77">
        <f>IFERROR(VALUE(LEFT(TRIM($AO12&amp;""),4)),"")</f>
        <v/>
      </c>
      <c r="DE12" s="78">
        <f>IF(AND($BY12=1,$BX12=1,OR(fDeal="All Deals",$BU12=fDeal),OR(fEntity="All Entities",$BV12=fEntity),OR(fPType="All Property Types",$BZ12=fPType),OR(fDefeased="Include",$CJ12=0)),1,0)</f>
        <v/>
      </c>
      <c r="DF12" s="83">
        <f>$DE12*N($I12)</f>
        <v/>
      </c>
      <c r="DG12" s="78">
        <f>IF($DE12=1,IF(COUNTIFS($F$8:$F12,$F12,$DE$8:$DE12,1)=1,1,0),0)</f>
        <v/>
      </c>
      <c r="DH12" s="83">
        <f>IF($DG12=1,SUMIFS($DF$8:$DF$1600,$F$8:$F$1600,$F12),0)</f>
        <v/>
      </c>
      <c r="DI12" s="78">
        <f>IF($DG12=1,COUNTIFS($F$8:$F$1600,$F12,$DE$8:$DE$1600,1),0)</f>
        <v/>
      </c>
      <c r="DJ12" s="84">
        <f>IF($DG12=1,$DH12+(100000-ROW())/mTieBreak,0)</f>
        <v/>
      </c>
    </row>
    <row r="13">
      <c r="B13" s="68" t="n">
        <v>6</v>
      </c>
      <c r="C13" s="69" t="inlineStr">
        <is>
          <t>UBS17C02</t>
        </is>
      </c>
      <c r="D13" s="69" t="inlineStr">
        <is>
          <t>6.TR</t>
        </is>
      </c>
      <c r="E13" s="69" t="inlineStr">
        <is>
          <t>85 Broad Street - Trust</t>
        </is>
      </c>
      <c r="F13" s="69" t="inlineStr">
        <is>
          <t>SPLIT_LOAN_01025</t>
        </is>
      </c>
      <c r="G13" s="70" t="n">
        <v>1025</v>
      </c>
      <c r="H13" s="71" t="n">
        <v>34000000</v>
      </c>
      <c r="I13" s="71" t="n">
        <v>34000000</v>
      </c>
      <c r="J13" s="72" t="n">
        <v>3.41253</v>
      </c>
      <c r="K13" s="69" t="inlineStr">
        <is>
          <t>Fixed rate</t>
        </is>
      </c>
      <c r="L13" s="68" t="n">
        <v>120</v>
      </c>
      <c r="M13" s="68" t="n">
        <v>9</v>
      </c>
      <c r="N13" s="68" t="n">
        <v>120</v>
      </c>
      <c r="O13" s="68" t="n">
        <v>120</v>
      </c>
      <c r="P13" s="68" t="n">
        <v>9</v>
      </c>
      <c r="Q13" s="68" t="n">
        <v>111</v>
      </c>
      <c r="R13" s="69" t="inlineStr">
        <is>
          <t>IO</t>
        </is>
      </c>
      <c r="S13" s="69" t="inlineStr">
        <is>
          <t>Yes</t>
        </is>
      </c>
      <c r="T13" s="73" t="n">
        <v>42887</v>
      </c>
      <c r="U13" s="73" t="n">
        <v>46543</v>
      </c>
      <c r="V13" s="73" t="n"/>
      <c r="W13" s="69" t="n"/>
      <c r="X13" s="69" t="inlineStr">
        <is>
          <t>Current</t>
        </is>
      </c>
      <c r="Y13" s="68" t="n"/>
      <c r="Z13" s="69" t="inlineStr">
        <is>
          <t>No Defeasance Occurred</t>
        </is>
      </c>
      <c r="AA13" s="69" t="inlineStr">
        <is>
          <t>Previously</t>
        </is>
      </c>
      <c r="AB13" s="69" t="inlineStr">
        <is>
          <t>Currently special serv</t>
        </is>
      </c>
      <c r="AC13" s="73" t="n">
        <v>45814</v>
      </c>
      <c r="AD13" s="69" t="inlineStr">
        <is>
          <t>Other</t>
        </is>
      </c>
      <c r="AE13" s="69" t="inlineStr">
        <is>
          <t>Foreclosure</t>
        </is>
      </c>
      <c r="AF13" s="69" t="inlineStr">
        <is>
          <t>NY</t>
        </is>
      </c>
      <c r="AG13" s="69" t="inlineStr">
        <is>
          <t>New York</t>
        </is>
      </c>
      <c r="AH13" s="69" t="inlineStr">
        <is>
          <t>New York-Newark-Jersey City, NY-NJ</t>
        </is>
      </c>
      <c r="AI13" s="69" t="inlineStr">
        <is>
          <t>Northeast / Mid-Atlantic</t>
        </is>
      </c>
      <c r="AJ13" s="69" t="inlineStr">
        <is>
          <t>OF</t>
        </is>
      </c>
      <c r="AK13" s="69" t="inlineStr">
        <is>
          <t>CBD</t>
        </is>
      </c>
      <c r="AL13" s="68" t="n">
        <v>1</v>
      </c>
      <c r="AM13" s="68" t="n"/>
      <c r="AN13" s="68" t="n">
        <v>1118512</v>
      </c>
      <c r="AO13" s="69" t="inlineStr">
        <is>
          <t>1983</t>
        </is>
      </c>
      <c r="AP13" s="70" t="n">
        <v>2015</v>
      </c>
      <c r="AQ13" s="74" t="n">
        <v>4.11</v>
      </c>
      <c r="AR13" s="74" t="n">
        <v>2.23</v>
      </c>
      <c r="AS13" s="74" t="n">
        <v>25.9</v>
      </c>
      <c r="AT13" s="74" t="n">
        <v>50.45</v>
      </c>
      <c r="AU13" s="74" t="n">
        <v>25.9</v>
      </c>
      <c r="AV13" s="74" t="n">
        <v>14.218312379</v>
      </c>
      <c r="AW13" s="74" t="n">
        <v>9.854646828</v>
      </c>
      <c r="AX13" s="75" t="n">
        <v>100</v>
      </c>
      <c r="AY13" s="71" t="n">
        <v>652000000</v>
      </c>
      <c r="AZ13" s="71" t="n">
        <v>335000000</v>
      </c>
      <c r="BA13" s="71" t="n">
        <v>24028947.92</v>
      </c>
      <c r="BB13" s="71" t="n">
        <v>3218311.35</v>
      </c>
      <c r="BC13" s="69" t="inlineStr">
        <is>
          <t>Acquisition</t>
        </is>
      </c>
      <c r="BD13" s="69" t="inlineStr">
        <is>
          <t>N</t>
        </is>
      </c>
      <c r="BE13" s="71" t="n">
        <v>135000000</v>
      </c>
      <c r="BF13" s="71" t="n">
        <v>189600000</v>
      </c>
      <c r="BG13" s="71" t="n"/>
      <c r="BH13" s="71" t="n">
        <v>0</v>
      </c>
      <c r="BI13" s="71" t="n">
        <v>0</v>
      </c>
      <c r="BJ13" s="69" t="inlineStr">
        <is>
          <t>N</t>
        </is>
      </c>
      <c r="BK13" s="69" t="inlineStr">
        <is>
          <t>VINER FINANCE INC.</t>
        </is>
      </c>
      <c r="BL13" s="75" t="n">
        <v>24.66</v>
      </c>
      <c r="BM13" s="73" t="n">
        <v>46812</v>
      </c>
      <c r="BN13" s="69" t="inlineStr">
        <is>
          <t>ICR US LP</t>
        </is>
      </c>
      <c r="BO13" s="69" t="inlineStr">
        <is>
          <t>Natixis</t>
        </is>
      </c>
      <c r="BP13" s="69" t="inlineStr">
        <is>
          <t>Midland Loan Services</t>
        </is>
      </c>
      <c r="BQ13" s="69" t="inlineStr">
        <is>
          <t>CWCapital</t>
        </is>
      </c>
      <c r="BR13" s="69" t="n"/>
      <c r="BS13" s="73" t="n">
        <v>46276</v>
      </c>
      <c r="BU13" s="76">
        <f>IF($C13="","",IFERROR(INDEX(dmName,MATCH($C13,dmID,0)),"Unmapped"))</f>
        <v/>
      </c>
      <c r="BV13" s="76">
        <f>IF($C13="","",IFERROR(INDEX(dmEntity,MATCH($C13,dmID,0)),"Unmapped"))</f>
        <v/>
      </c>
      <c r="BW13" s="77">
        <f>IF($C13="","",IFERROR(INDEX(dmVintage,MATCH($C13,dmID,0)),""))</f>
        <v/>
      </c>
      <c r="BX13" s="78">
        <f>IFERROR(INDEX(dmInclude,MATCH($C13,dmID,0)),0)</f>
        <v/>
      </c>
      <c r="BY13" s="78">
        <f>IF(N($I13)&gt;0,1,0)</f>
        <v/>
      </c>
      <c r="BZ13" s="76">
        <f>IF($AJ13="","Other / Leased Fee",IFERROR(INDEX(mapPTGroup,MATCH(LEFT(TRIM($AJ13),2),mapPTCode,0)),"Other / Leased Fee"))</f>
        <v/>
      </c>
      <c r="CA13" s="76">
        <f>IF(TRIM($AF13&amp;"")="","NR",LEFT(TRIM($AF13),2))</f>
        <v/>
      </c>
      <c r="CB13" s="76">
        <f>IFERROR(LOOKUP(2,1/(LEFT(TRIM($AI13&amp;""),LEN(mapRegion))=mapRegion),mapRegion),"Not Reported")</f>
        <v/>
      </c>
      <c r="CC13" s="76">
        <f>IF($BY13=0,"",IF(TRIM($W13&amp;"")="REO","REO",IF(TRIM($W13&amp;"")="FC","Foreclosure",IF(TRIM($W13&amp;"")="90+","90+ Days Delinquent",IF(TRIM($W13&amp;"")="60","60 Days Delinquent",IF(TRIM($W13&amp;"")="30","30 Days Delinquent",IF($X13="Non-Performing Matured Balloon","Non-Performing Matured Balloon",IF(OR($X13="Late Payment But Less Than 30 Days Delinquent",LEFT($X13&amp;"",20)="Payment Not Received"),"Late / In Grace (&lt;30 Days)",IF($X13="Performing Matured Balloon","Performing Matured Balloon","Current")))))))))</f>
        <v/>
      </c>
      <c r="CD13" s="78">
        <f>IF(OR($CC13="REO",$CC13="Foreclosure",$CC13="90+ Days Delinquent",$CC13="60 Days Delinquent",$CC13="30 Days Delinquent",$CC13="Non-Performing Matured Balloon"),1,0)</f>
        <v/>
      </c>
      <c r="CE13" s="76">
        <f>IF($AB13="Currently special serv","Currently Specially Serviced",IF($AB13="Returned to master serv","Previously Specially Serviced","Never Specially Serviced"))</f>
        <v/>
      </c>
      <c r="CF13" s="78">
        <f>IF($CE13="Currently Specially Serviced",1,0)</f>
        <v/>
      </c>
      <c r="CG13" s="76">
        <f>IF($AA13="Yes","Currently on Watchlist",IF($AA13="Previously","Previously on Watchlist","Never on Watchlist"))</f>
        <v/>
      </c>
      <c r="CH13" s="78">
        <f>IF($CG13="Currently on Watchlist",1,0)</f>
        <v/>
      </c>
      <c r="CI13" s="76">
        <f>IF($Z13="Full Defeasance","Fully Defeased",IF($Z13="Portion Of Loan Previously Defeased","Partially Defeased",IF($Z13="Defeasance Not Allowable","Not Defeased (Not Permitted)","Not Defeased")))</f>
        <v/>
      </c>
      <c r="CJ13" s="78">
        <f>IF($CI13="Fully Defeased",1,0)</f>
        <v/>
      </c>
      <c r="CK13" s="76">
        <f>IF($R13="IO","Full IO",IF(LEFT($R13&amp;"",7)="IO then","Partial IO","Amortizing"))</f>
        <v/>
      </c>
      <c r="CL13" s="78">
        <f>IF($CK13="Full IO",1,0)</f>
        <v/>
      </c>
      <c r="CM13" s="78">
        <f>IF($CK13="Partial IO",1,0)</f>
        <v/>
      </c>
      <c r="CN13" s="76">
        <f>IF(LEFT($F13&amp;"",10)="SPLIT_LOAN","Pari Passu Split","Standalone")</f>
        <v/>
      </c>
      <c r="CO13" s="78">
        <f>IF($CN13="Pari Passu Split",1,0)</f>
        <v/>
      </c>
      <c r="CP13" s="77">
        <f>IF(ISNUMBER($T13),YEAR($T13),"")</f>
        <v/>
      </c>
      <c r="CQ13" s="79">
        <f>IF(ISNUMBER($V13),$V13,IF(ISNUMBER($U13),$U13,""))</f>
        <v/>
      </c>
      <c r="CR13" s="77">
        <f>IF(ISNUMBER($CQ13),YEAR($CQ13),"")</f>
        <v/>
      </c>
      <c r="CS13" s="78">
        <f>IF(ISNUMBER($M13),MAX(0,$M13),IF(TRIM($M13&amp;"")="matured",0,""))</f>
        <v/>
      </c>
      <c r="CT13" s="78">
        <f>IF(AND(ISNUMBER($CS13),N($CS13)&lt;=mMatWindow),1,0)</f>
        <v/>
      </c>
      <c r="CU13" s="80">
        <f>IF(ISNUMBER($J13),$J13/100,"")</f>
        <v/>
      </c>
      <c r="CV13" s="81">
        <f>IF(ISNUMBER($AQ13),$AQ13,"")</f>
        <v/>
      </c>
      <c r="CW13" s="81">
        <f>IF(ISNUMBER($AR13),$AR13,"")</f>
        <v/>
      </c>
      <c r="CX13" s="82">
        <f>IF(ISNUMBER($AS13),$AS13/100,"")</f>
        <v/>
      </c>
      <c r="CY13" s="82">
        <f>IF(ISNUMBER($AT13),$AT13/100,"")</f>
        <v/>
      </c>
      <c r="CZ13" s="82">
        <f>IF(ISNUMBER($AU13),$AU13/100,"")</f>
        <v/>
      </c>
      <c r="DA13" s="82">
        <f>IF(ISNUMBER($AV13),$AV13/100,"")</f>
        <v/>
      </c>
      <c r="DB13" s="82">
        <f>IF(ISNUMBER($AW13),$AW13/100,"")</f>
        <v/>
      </c>
      <c r="DC13" s="82">
        <f>IF(ISNUMBER($AX13),$AX13/100,"")</f>
        <v/>
      </c>
      <c r="DD13" s="77">
        <f>IFERROR(VALUE(LEFT(TRIM($AO13&amp;""),4)),"")</f>
        <v/>
      </c>
      <c r="DE13" s="78">
        <f>IF(AND($BY13=1,$BX13=1,OR(fDeal="All Deals",$BU13=fDeal),OR(fEntity="All Entities",$BV13=fEntity),OR(fPType="All Property Types",$BZ13=fPType),OR(fDefeased="Include",$CJ13=0)),1,0)</f>
        <v/>
      </c>
      <c r="DF13" s="83">
        <f>$DE13*N($I13)</f>
        <v/>
      </c>
      <c r="DG13" s="78">
        <f>IF($DE13=1,IF(COUNTIFS($F$8:$F13,$F13,$DE$8:$DE13,1)=1,1,0),0)</f>
        <v/>
      </c>
      <c r="DH13" s="83">
        <f>IF($DG13=1,SUMIFS($DF$8:$DF$1600,$F$8:$F$1600,$F13),0)</f>
        <v/>
      </c>
      <c r="DI13" s="78">
        <f>IF($DG13=1,COUNTIFS($F$8:$F$1600,$F13,$DE$8:$DE$1600,1),0)</f>
        <v/>
      </c>
      <c r="DJ13" s="84">
        <f>IF($DG13=1,$DH13+(100000-ROW())/mTieBreak,0)</f>
        <v/>
      </c>
    </row>
    <row r="14">
      <c r="B14" s="68" t="n">
        <v>7</v>
      </c>
      <c r="C14" s="69" t="inlineStr">
        <is>
          <t>UBS17C02</t>
        </is>
      </c>
      <c r="D14" s="69" t="inlineStr">
        <is>
          <t>7.000</t>
        </is>
      </c>
      <c r="E14" s="69" t="inlineStr">
        <is>
          <t>AHIP Northeast Portfolio III</t>
        </is>
      </c>
      <c r="F14" s="69" t="inlineStr">
        <is>
          <t>SPLIT_LOAN_01047</t>
        </is>
      </c>
      <c r="G14" s="70" t="n">
        <v>1047</v>
      </c>
      <c r="H14" s="71" t="n">
        <v>32400000</v>
      </c>
      <c r="I14" s="71" t="n">
        <v>0</v>
      </c>
      <c r="J14" s="72" t="n">
        <v>4.53</v>
      </c>
      <c r="K14" s="69" t="inlineStr">
        <is>
          <t>Fixed rate</t>
        </is>
      </c>
      <c r="L14" s="68" t="n">
        <v>120</v>
      </c>
      <c r="M14" s="68" t="n"/>
      <c r="N14" s="68" t="n">
        <v>420</v>
      </c>
      <c r="O14" s="68" t="n">
        <v>60</v>
      </c>
      <c r="P14" s="68" t="n"/>
      <c r="Q14" s="68" t="n"/>
      <c r="R14" s="69" t="inlineStr">
        <is>
          <t>IO then Amort</t>
        </is>
      </c>
      <c r="S14" s="69" t="inlineStr">
        <is>
          <t>No</t>
        </is>
      </c>
      <c r="T14" s="73" t="n">
        <v>42917</v>
      </c>
      <c r="U14" s="73" t="n">
        <v>46574</v>
      </c>
      <c r="V14" s="73" t="n"/>
      <c r="W14" s="69" t="n"/>
      <c r="X14" s="69" t="inlineStr">
        <is>
          <t>Current</t>
        </is>
      </c>
      <c r="Y14" s="68" t="n"/>
      <c r="Z14" s="69" t="inlineStr">
        <is>
          <t>No Defeasance Occurred</t>
        </is>
      </c>
      <c r="AA14" s="69" t="inlineStr">
        <is>
          <t>Previously</t>
        </is>
      </c>
      <c r="AB14" s="69" t="inlineStr">
        <is>
          <t>Currently special serv</t>
        </is>
      </c>
      <c r="AC14" s="73" t="n">
        <v>45317</v>
      </c>
      <c r="AD14" s="69" t="inlineStr">
        <is>
          <t>Imminent Monetary Default (excluding Balloon/Maturity Default &amp; Single Tenant Bankruptcy/Vacate)</t>
        </is>
      </c>
      <c r="AE14" s="69" t="inlineStr">
        <is>
          <t>TBD</t>
        </is>
      </c>
      <c r="AF14" s="69" t="inlineStr">
        <is>
          <t>MD-45.714284352% NY-30.285713735% NJ-24.000001914%</t>
        </is>
      </c>
      <c r="AG14" s="69" t="n"/>
      <c r="AH14" s="69" t="inlineStr">
        <is>
          <t>Baltimore-Columbia-Towson, MD-45.714284352% New York-Newark-Jersey City, NY-NJ-30.285713735% Atlantic City-Hammonton, NJ-24.000001914%</t>
        </is>
      </c>
      <c r="AI14" s="69" t="inlineStr">
        <is>
          <t>Northeast / Mid-Atlantic-54.285715648% South / Atlantic-45.714284352%</t>
        </is>
      </c>
      <c r="AJ14" s="69" t="inlineStr">
        <is>
          <t>HT</t>
        </is>
      </c>
      <c r="AK14" s="69" t="n"/>
      <c r="AL14" s="68" t="n">
        <v>4</v>
      </c>
      <c r="AM14" s="68" t="n">
        <v>491</v>
      </c>
      <c r="AN14" s="68" t="n"/>
      <c r="AO14" s="69" t="n"/>
      <c r="AP14" s="70" t="n">
        <v>2016</v>
      </c>
      <c r="AQ14" s="74" t="n">
        <v>1.94</v>
      </c>
      <c r="AR14" s="74" t="n">
        <v>0.53</v>
      </c>
      <c r="AS14" s="74" t="n">
        <v>59.9</v>
      </c>
      <c r="AT14" s="74" t="n"/>
      <c r="AU14" s="74" t="n">
        <v>54.8</v>
      </c>
      <c r="AV14" s="74" t="n">
        <v>11.828756698</v>
      </c>
      <c r="AW14" s="74" t="n"/>
      <c r="AX14" s="75" t="n">
        <v>70</v>
      </c>
      <c r="AY14" s="71" t="n">
        <v>87500000</v>
      </c>
      <c r="AZ14" s="71" t="n">
        <v>52000000</v>
      </c>
      <c r="BA14" s="71" t="n">
        <v>6198268.51</v>
      </c>
      <c r="BB14" s="71" t="n">
        <v>1706187.67</v>
      </c>
      <c r="BC14" s="69" t="inlineStr">
        <is>
          <t>Acquisition</t>
        </is>
      </c>
      <c r="BD14" s="69" t="inlineStr">
        <is>
          <t>N</t>
        </is>
      </c>
      <c r="BE14" s="71" t="n">
        <v>0</v>
      </c>
      <c r="BF14" s="71" t="n"/>
      <c r="BG14" s="71" t="n"/>
      <c r="BH14" s="71" t="n">
        <v>0</v>
      </c>
      <c r="BI14" s="71" t="n">
        <v>0</v>
      </c>
      <c r="BJ14" s="69" t="inlineStr">
        <is>
          <t>Y</t>
        </is>
      </c>
      <c r="BK14" s="69" t="n"/>
      <c r="BL14" s="75" t="n"/>
      <c r="BM14" s="73" t="n"/>
      <c r="BN14" s="69" t="inlineStr">
        <is>
          <t>American Hotel Income Properties REIT Inc.</t>
        </is>
      </c>
      <c r="BO14" s="69" t="inlineStr">
        <is>
          <t>GACC</t>
        </is>
      </c>
      <c r="BP14" s="69" t="inlineStr">
        <is>
          <t>Midland Loan Services</t>
        </is>
      </c>
      <c r="BQ14" s="69" t="inlineStr">
        <is>
          <t>Midland Loan Services</t>
        </is>
      </c>
      <c r="BR14" s="69" t="inlineStr">
        <is>
          <t>DPO</t>
        </is>
      </c>
      <c r="BS14" s="73" t="n">
        <v>46276</v>
      </c>
      <c r="BU14" s="76">
        <f>IF($C14="","",IFERROR(INDEX(dmName,MATCH($C14,dmID,0)),"Unmapped"))</f>
        <v/>
      </c>
      <c r="BV14" s="76">
        <f>IF($C14="","",IFERROR(INDEX(dmEntity,MATCH($C14,dmID,0)),"Unmapped"))</f>
        <v/>
      </c>
      <c r="BW14" s="77">
        <f>IF($C14="","",IFERROR(INDEX(dmVintage,MATCH($C14,dmID,0)),""))</f>
        <v/>
      </c>
      <c r="BX14" s="78">
        <f>IFERROR(INDEX(dmInclude,MATCH($C14,dmID,0)),0)</f>
        <v/>
      </c>
      <c r="BY14" s="78">
        <f>IF(N($I14)&gt;0,1,0)</f>
        <v/>
      </c>
      <c r="BZ14" s="76">
        <f>IF($AJ14="","Other / Leased Fee",IFERROR(INDEX(mapPTGroup,MATCH(LEFT(TRIM($AJ14),2),mapPTCode,0)),"Other / Leased Fee"))</f>
        <v/>
      </c>
      <c r="CA14" s="76">
        <f>IF(TRIM($AF14&amp;"")="","NR",LEFT(TRIM($AF14),2))</f>
        <v/>
      </c>
      <c r="CB14" s="76">
        <f>IFERROR(LOOKUP(2,1/(LEFT(TRIM($AI14&amp;""),LEN(mapRegion))=mapRegion),mapRegion),"Not Reported")</f>
        <v/>
      </c>
      <c r="CC14" s="76">
        <f>IF($BY14=0,"",IF(TRIM($W14&amp;"")="REO","REO",IF(TRIM($W14&amp;"")="FC","Foreclosure",IF(TRIM($W14&amp;"")="90+","90+ Days Delinquent",IF(TRIM($W14&amp;"")="60","60 Days Delinquent",IF(TRIM($W14&amp;"")="30","30 Days Delinquent",IF($X14="Non-Performing Matured Balloon","Non-Performing Matured Balloon",IF(OR($X14="Late Payment But Less Than 30 Days Delinquent",LEFT($X14&amp;"",20)="Payment Not Received"),"Late / In Grace (&lt;30 Days)",IF($X14="Performing Matured Balloon","Performing Matured Balloon","Current")))))))))</f>
        <v/>
      </c>
      <c r="CD14" s="78">
        <f>IF(OR($CC14="REO",$CC14="Foreclosure",$CC14="90+ Days Delinquent",$CC14="60 Days Delinquent",$CC14="30 Days Delinquent",$CC14="Non-Performing Matured Balloon"),1,0)</f>
        <v/>
      </c>
      <c r="CE14" s="76">
        <f>IF($AB14="Currently special serv","Currently Specially Serviced",IF($AB14="Returned to master serv","Previously Specially Serviced","Never Specially Serviced"))</f>
        <v/>
      </c>
      <c r="CF14" s="78">
        <f>IF($CE14="Currently Specially Serviced",1,0)</f>
        <v/>
      </c>
      <c r="CG14" s="76">
        <f>IF($AA14="Yes","Currently on Watchlist",IF($AA14="Previously","Previously on Watchlist","Never on Watchlist"))</f>
        <v/>
      </c>
      <c r="CH14" s="78">
        <f>IF($CG14="Currently on Watchlist",1,0)</f>
        <v/>
      </c>
      <c r="CI14" s="76">
        <f>IF($Z14="Full Defeasance","Fully Defeased",IF($Z14="Portion Of Loan Previously Defeased","Partially Defeased",IF($Z14="Defeasance Not Allowable","Not Defeased (Not Permitted)","Not Defeased")))</f>
        <v/>
      </c>
      <c r="CJ14" s="78">
        <f>IF($CI14="Fully Defeased",1,0)</f>
        <v/>
      </c>
      <c r="CK14" s="76">
        <f>IF($R14="IO","Full IO",IF(LEFT($R14&amp;"",7)="IO then","Partial IO","Amortizing"))</f>
        <v/>
      </c>
      <c r="CL14" s="78">
        <f>IF($CK14="Full IO",1,0)</f>
        <v/>
      </c>
      <c r="CM14" s="78">
        <f>IF($CK14="Partial IO",1,0)</f>
        <v/>
      </c>
      <c r="CN14" s="76">
        <f>IF(LEFT($F14&amp;"",10)="SPLIT_LOAN","Pari Passu Split","Standalone")</f>
        <v/>
      </c>
      <c r="CO14" s="78">
        <f>IF($CN14="Pari Passu Split",1,0)</f>
        <v/>
      </c>
      <c r="CP14" s="77">
        <f>IF(ISNUMBER($T14),YEAR($T14),"")</f>
        <v/>
      </c>
      <c r="CQ14" s="79">
        <f>IF(ISNUMBER($V14),$V14,IF(ISNUMBER($U14),$U14,""))</f>
        <v/>
      </c>
      <c r="CR14" s="77">
        <f>IF(ISNUMBER($CQ14),YEAR($CQ14),"")</f>
        <v/>
      </c>
      <c r="CS14" s="78">
        <f>IF(ISNUMBER($M14),MAX(0,$M14),IF(TRIM($M14&amp;"")="matured",0,""))</f>
        <v/>
      </c>
      <c r="CT14" s="78">
        <f>IF(AND(ISNUMBER($CS14),N($CS14)&lt;=mMatWindow),1,0)</f>
        <v/>
      </c>
      <c r="CU14" s="80">
        <f>IF(ISNUMBER($J14),$J14/100,"")</f>
        <v/>
      </c>
      <c r="CV14" s="81">
        <f>IF(ISNUMBER($AQ14),$AQ14,"")</f>
        <v/>
      </c>
      <c r="CW14" s="81">
        <f>IF(ISNUMBER($AR14),$AR14,"")</f>
        <v/>
      </c>
      <c r="CX14" s="82">
        <f>IF(ISNUMBER($AS14),$AS14/100,"")</f>
        <v/>
      </c>
      <c r="CY14" s="82">
        <f>IF(ISNUMBER($AT14),$AT14/100,"")</f>
        <v/>
      </c>
      <c r="CZ14" s="82">
        <f>IF(ISNUMBER($AU14),$AU14/100,"")</f>
        <v/>
      </c>
      <c r="DA14" s="82">
        <f>IF(ISNUMBER($AV14),$AV14/100,"")</f>
        <v/>
      </c>
      <c r="DB14" s="82">
        <f>IF(ISNUMBER($AW14),$AW14/100,"")</f>
        <v/>
      </c>
      <c r="DC14" s="82">
        <f>IF(ISNUMBER($AX14),$AX14/100,"")</f>
        <v/>
      </c>
      <c r="DD14" s="77">
        <f>IFERROR(VALUE(LEFT(TRIM($AO14&amp;""),4)),"")</f>
        <v/>
      </c>
      <c r="DE14" s="78">
        <f>IF(AND($BY14=1,$BX14=1,OR(fDeal="All Deals",$BU14=fDeal),OR(fEntity="All Entities",$BV14=fEntity),OR(fPType="All Property Types",$BZ14=fPType),OR(fDefeased="Include",$CJ14=0)),1,0)</f>
        <v/>
      </c>
      <c r="DF14" s="83">
        <f>$DE14*N($I14)</f>
        <v/>
      </c>
      <c r="DG14" s="78">
        <f>IF($DE14=1,IF(COUNTIFS($F$8:$F14,$F14,$DE$8:$DE14,1)=1,1,0),0)</f>
        <v/>
      </c>
      <c r="DH14" s="83">
        <f>IF($DG14=1,SUMIFS($DF$8:$DF$1600,$F$8:$F$1600,$F14),0)</f>
        <v/>
      </c>
      <c r="DI14" s="78">
        <f>IF($DG14=1,COUNTIFS($F$8:$F$1600,$F14,$DE$8:$DE$1600,1),0)</f>
        <v/>
      </c>
      <c r="DJ14" s="84">
        <f>IF($DG14=1,$DH14+(100000-ROW())/mTieBreak,0)</f>
        <v/>
      </c>
    </row>
    <row r="15">
      <c r="B15" s="68" t="n">
        <v>8</v>
      </c>
      <c r="C15" s="69" t="inlineStr">
        <is>
          <t>UBS17C02</t>
        </is>
      </c>
      <c r="D15" s="69" t="inlineStr">
        <is>
          <t>8.000</t>
        </is>
      </c>
      <c r="E15" s="69" t="inlineStr">
        <is>
          <t>510 Cottonwood</t>
        </is>
      </c>
      <c r="F15" s="69" t="inlineStr">
        <is>
          <t>LNUBS17C02-8.000</t>
        </is>
      </c>
      <c r="G15" s="70" t="n"/>
      <c r="H15" s="71" t="n">
        <v>32400000</v>
      </c>
      <c r="I15" s="71" t="n">
        <v>25782066.2099916</v>
      </c>
      <c r="J15" s="72" t="n">
        <v>4.3</v>
      </c>
      <c r="K15" s="69" t="inlineStr">
        <is>
          <t>Fixed rate</t>
        </is>
      </c>
      <c r="L15" s="68" t="n">
        <v>120</v>
      </c>
      <c r="M15" s="68" t="n">
        <v>10</v>
      </c>
      <c r="N15" s="68" t="n">
        <v>300</v>
      </c>
      <c r="O15" s="68" t="n"/>
      <c r="P15" s="68" t="n"/>
      <c r="Q15" s="68" t="n">
        <v>110</v>
      </c>
      <c r="R15" s="69" t="inlineStr">
        <is>
          <t>Formula</t>
        </is>
      </c>
      <c r="S15" s="69" t="inlineStr">
        <is>
          <t>No</t>
        </is>
      </c>
      <c r="T15" s="73" t="n">
        <v>42917</v>
      </c>
      <c r="U15" s="73" t="n">
        <v>46574</v>
      </c>
      <c r="V15" s="73" t="n"/>
      <c r="W15" s="69" t="n"/>
      <c r="X15" s="69" t="inlineStr">
        <is>
          <t>Late Payment But Less Than 30 Days Delinquent</t>
        </is>
      </c>
      <c r="Y15" s="68" t="n"/>
      <c r="Z15" s="69" t="inlineStr">
        <is>
          <t>No Defeasance Occurred</t>
        </is>
      </c>
      <c r="AA15" s="69" t="n"/>
      <c r="AB15" s="69" t="inlineStr">
        <is>
          <t>Never special serv</t>
        </is>
      </c>
      <c r="AC15" s="73" t="n"/>
      <c r="AD15" s="69" t="n"/>
      <c r="AE15" s="69" t="n"/>
      <c r="AF15" s="69" t="inlineStr">
        <is>
          <t>CA</t>
        </is>
      </c>
      <c r="AG15" s="69" t="inlineStr">
        <is>
          <t>Milpitas</t>
        </is>
      </c>
      <c r="AH15" s="69" t="inlineStr">
        <is>
          <t>San Jose-Sunnyvale-Santa Clara, CA</t>
        </is>
      </c>
      <c r="AI15" s="69" t="inlineStr">
        <is>
          <t>West / Pacific North</t>
        </is>
      </c>
      <c r="AJ15" s="69" t="inlineStr">
        <is>
          <t>IN</t>
        </is>
      </c>
      <c r="AK15" s="69" t="inlineStr">
        <is>
          <t>Flex</t>
        </is>
      </c>
      <c r="AL15" s="68" t="n">
        <v>1</v>
      </c>
      <c r="AM15" s="68" t="n"/>
      <c r="AN15" s="68" t="n">
        <v>180086</v>
      </c>
      <c r="AO15" s="69" t="inlineStr">
        <is>
          <t>1981-1985</t>
        </is>
      </c>
      <c r="AP15" s="70" t="n">
        <v>2008</v>
      </c>
      <c r="AQ15" s="74" t="n">
        <v>1.41</v>
      </c>
      <c r="AR15" s="74" t="n">
        <v>1.53</v>
      </c>
      <c r="AS15" s="74" t="n">
        <v>64.7</v>
      </c>
      <c r="AT15" s="74" t="n">
        <v>51.56</v>
      </c>
      <c r="AU15" s="74" t="n">
        <v>50</v>
      </c>
      <c r="AV15" s="74" t="n">
        <v>9.224720525</v>
      </c>
      <c r="AW15" s="74" t="n">
        <v>13.141187376</v>
      </c>
      <c r="AX15" s="75" t="n">
        <v>100</v>
      </c>
      <c r="AY15" s="71" t="n">
        <v>50000000</v>
      </c>
      <c r="AZ15" s="71" t="n">
        <v>50000000</v>
      </c>
      <c r="BA15" s="71" t="n">
        <v>2988809.45</v>
      </c>
      <c r="BB15" s="71" t="n">
        <v>3240738.23</v>
      </c>
      <c r="BC15" s="69" t="inlineStr">
        <is>
          <t>Acquisition</t>
        </is>
      </c>
      <c r="BD15" s="69" t="inlineStr">
        <is>
          <t>N</t>
        </is>
      </c>
      <c r="BE15" s="71" t="n"/>
      <c r="BF15" s="71" t="n"/>
      <c r="BG15" s="71" t="n"/>
      <c r="BH15" s="71" t="n">
        <v>0</v>
      </c>
      <c r="BI15" s="71" t="n">
        <v>176320.13</v>
      </c>
      <c r="BJ15" s="69" t="inlineStr">
        <is>
          <t>N</t>
        </is>
      </c>
      <c r="BK15" s="69" t="inlineStr">
        <is>
          <t>Johnson &amp; Johnson Vision</t>
        </is>
      </c>
      <c r="BL15" s="75" t="n">
        <v>100</v>
      </c>
      <c r="BM15" s="73" t="n">
        <v>48395</v>
      </c>
      <c r="BN15" s="69" t="inlineStr">
        <is>
          <t>Mounir Kardosh</t>
        </is>
      </c>
      <c r="BO15" s="69" t="inlineStr">
        <is>
          <t>GACC</t>
        </is>
      </c>
      <c r="BP15" s="69" t="inlineStr">
        <is>
          <t>Midland Loan Services</t>
        </is>
      </c>
      <c r="BQ15" s="69" t="inlineStr">
        <is>
          <t>Midland Loan Services</t>
        </is>
      </c>
      <c r="BR15" s="69" t="n"/>
      <c r="BS15" s="73" t="n">
        <v>46276</v>
      </c>
      <c r="BU15" s="76">
        <f>IF($C15="","",IFERROR(INDEX(dmName,MATCH($C15,dmID,0)),"Unmapped"))</f>
        <v/>
      </c>
      <c r="BV15" s="76">
        <f>IF($C15="","",IFERROR(INDEX(dmEntity,MATCH($C15,dmID,0)),"Unmapped"))</f>
        <v/>
      </c>
      <c r="BW15" s="77">
        <f>IF($C15="","",IFERROR(INDEX(dmVintage,MATCH($C15,dmID,0)),""))</f>
        <v/>
      </c>
      <c r="BX15" s="78">
        <f>IFERROR(INDEX(dmInclude,MATCH($C15,dmID,0)),0)</f>
        <v/>
      </c>
      <c r="BY15" s="78">
        <f>IF(N($I15)&gt;0,1,0)</f>
        <v/>
      </c>
      <c r="BZ15" s="76">
        <f>IF($AJ15="","Other / Leased Fee",IFERROR(INDEX(mapPTGroup,MATCH(LEFT(TRIM($AJ15),2),mapPTCode,0)),"Other / Leased Fee"))</f>
        <v/>
      </c>
      <c r="CA15" s="76">
        <f>IF(TRIM($AF15&amp;"")="","NR",LEFT(TRIM($AF15),2))</f>
        <v/>
      </c>
      <c r="CB15" s="76">
        <f>IFERROR(LOOKUP(2,1/(LEFT(TRIM($AI15&amp;""),LEN(mapRegion))=mapRegion),mapRegion),"Not Reported")</f>
        <v/>
      </c>
      <c r="CC15" s="76">
        <f>IF($BY15=0,"",IF(TRIM($W15&amp;"")="REO","REO",IF(TRIM($W15&amp;"")="FC","Foreclosure",IF(TRIM($W15&amp;"")="90+","90+ Days Delinquent",IF(TRIM($W15&amp;"")="60","60 Days Delinquent",IF(TRIM($W15&amp;"")="30","30 Days Delinquent",IF($X15="Non-Performing Matured Balloon","Non-Performing Matured Balloon",IF(OR($X15="Late Payment But Less Than 30 Days Delinquent",LEFT($X15&amp;"",20)="Payment Not Received"),"Late / In Grace (&lt;30 Days)",IF($X15="Performing Matured Balloon","Performing Matured Balloon","Current")))))))))</f>
        <v/>
      </c>
      <c r="CD15" s="78">
        <f>IF(OR($CC15="REO",$CC15="Foreclosure",$CC15="90+ Days Delinquent",$CC15="60 Days Delinquent",$CC15="30 Days Delinquent",$CC15="Non-Performing Matured Balloon"),1,0)</f>
        <v/>
      </c>
      <c r="CE15" s="76">
        <f>IF($AB15="Currently special serv","Currently Specially Serviced",IF($AB15="Returned to master serv","Previously Specially Serviced","Never Specially Serviced"))</f>
        <v/>
      </c>
      <c r="CF15" s="78">
        <f>IF($CE15="Currently Specially Serviced",1,0)</f>
        <v/>
      </c>
      <c r="CG15" s="76">
        <f>IF($AA15="Yes","Currently on Watchlist",IF($AA15="Previously","Previously on Watchlist","Never on Watchlist"))</f>
        <v/>
      </c>
      <c r="CH15" s="78">
        <f>IF($CG15="Currently on Watchlist",1,0)</f>
        <v/>
      </c>
      <c r="CI15" s="76">
        <f>IF($Z15="Full Defeasance","Fully Defeased",IF($Z15="Portion Of Loan Previously Defeased","Partially Defeased",IF($Z15="Defeasance Not Allowable","Not Defeased (Not Permitted)","Not Defeased")))</f>
        <v/>
      </c>
      <c r="CJ15" s="78">
        <f>IF($CI15="Fully Defeased",1,0)</f>
        <v/>
      </c>
      <c r="CK15" s="76">
        <f>IF($R15="IO","Full IO",IF(LEFT($R15&amp;"",7)="IO then","Partial IO","Amortizing"))</f>
        <v/>
      </c>
      <c r="CL15" s="78">
        <f>IF($CK15="Full IO",1,0)</f>
        <v/>
      </c>
      <c r="CM15" s="78">
        <f>IF($CK15="Partial IO",1,0)</f>
        <v/>
      </c>
      <c r="CN15" s="76">
        <f>IF(LEFT($F15&amp;"",10)="SPLIT_LOAN","Pari Passu Split","Standalone")</f>
        <v/>
      </c>
      <c r="CO15" s="78">
        <f>IF($CN15="Pari Passu Split",1,0)</f>
        <v/>
      </c>
      <c r="CP15" s="77">
        <f>IF(ISNUMBER($T15),YEAR($T15),"")</f>
        <v/>
      </c>
      <c r="CQ15" s="79">
        <f>IF(ISNUMBER($V15),$V15,IF(ISNUMBER($U15),$U15,""))</f>
        <v/>
      </c>
      <c r="CR15" s="77">
        <f>IF(ISNUMBER($CQ15),YEAR($CQ15),"")</f>
        <v/>
      </c>
      <c r="CS15" s="78">
        <f>IF(ISNUMBER($M15),MAX(0,$M15),IF(TRIM($M15&amp;"")="matured",0,""))</f>
        <v/>
      </c>
      <c r="CT15" s="78">
        <f>IF(AND(ISNUMBER($CS15),N($CS15)&lt;=mMatWindow),1,0)</f>
        <v/>
      </c>
      <c r="CU15" s="80">
        <f>IF(ISNUMBER($J15),$J15/100,"")</f>
        <v/>
      </c>
      <c r="CV15" s="81">
        <f>IF(ISNUMBER($AQ15),$AQ15,"")</f>
        <v/>
      </c>
      <c r="CW15" s="81">
        <f>IF(ISNUMBER($AR15),$AR15,"")</f>
        <v/>
      </c>
      <c r="CX15" s="82">
        <f>IF(ISNUMBER($AS15),$AS15/100,"")</f>
        <v/>
      </c>
      <c r="CY15" s="82">
        <f>IF(ISNUMBER($AT15),$AT15/100,"")</f>
        <v/>
      </c>
      <c r="CZ15" s="82">
        <f>IF(ISNUMBER($AU15),$AU15/100,"")</f>
        <v/>
      </c>
      <c r="DA15" s="82">
        <f>IF(ISNUMBER($AV15),$AV15/100,"")</f>
        <v/>
      </c>
      <c r="DB15" s="82">
        <f>IF(ISNUMBER($AW15),$AW15/100,"")</f>
        <v/>
      </c>
      <c r="DC15" s="82">
        <f>IF(ISNUMBER($AX15),$AX15/100,"")</f>
        <v/>
      </c>
      <c r="DD15" s="77">
        <f>IFERROR(VALUE(LEFT(TRIM($AO15&amp;""),4)),"")</f>
        <v/>
      </c>
      <c r="DE15" s="78">
        <f>IF(AND($BY15=1,$BX15=1,OR(fDeal="All Deals",$BU15=fDeal),OR(fEntity="All Entities",$BV15=fEntity),OR(fPType="All Property Types",$BZ15=fPType),OR(fDefeased="Include",$CJ15=0)),1,0)</f>
        <v/>
      </c>
      <c r="DF15" s="83">
        <f>$DE15*N($I15)</f>
        <v/>
      </c>
      <c r="DG15" s="78">
        <f>IF($DE15=1,IF(COUNTIFS($F$8:$F15,$F15,$DE$8:$DE15,1)=1,1,0),0)</f>
        <v/>
      </c>
      <c r="DH15" s="83">
        <f>IF($DG15=1,SUMIFS($DF$8:$DF$1600,$F$8:$F$1600,$F15),0)</f>
        <v/>
      </c>
      <c r="DI15" s="78">
        <f>IF($DG15=1,COUNTIFS($F$8:$F$1600,$F15,$DE$8:$DE$1600,1),0)</f>
        <v/>
      </c>
      <c r="DJ15" s="84">
        <f>IF($DG15=1,$DH15+(100000-ROW())/mTieBreak,0)</f>
        <v/>
      </c>
    </row>
    <row r="16">
      <c r="B16" s="68" t="n">
        <v>9</v>
      </c>
      <c r="C16" s="69" t="inlineStr">
        <is>
          <t>UBS17C02</t>
        </is>
      </c>
      <c r="D16" s="69" t="inlineStr">
        <is>
          <t>9.TR</t>
        </is>
      </c>
      <c r="E16" s="69" t="inlineStr">
        <is>
          <t>245 Park Avenue - Trust</t>
        </is>
      </c>
      <c r="F16" s="69" t="inlineStr">
        <is>
          <t>SPLIT_LOAN_00983</t>
        </is>
      </c>
      <c r="G16" s="70" t="n">
        <v>983</v>
      </c>
      <c r="H16" s="71" t="n">
        <v>32000000</v>
      </c>
      <c r="I16" s="71" t="n">
        <v>32000000</v>
      </c>
      <c r="J16" s="72" t="n">
        <v>3.6694</v>
      </c>
      <c r="K16" s="69" t="inlineStr">
        <is>
          <t>Fixed rate</t>
        </is>
      </c>
      <c r="L16" s="68" t="n">
        <v>120</v>
      </c>
      <c r="M16" s="68" t="n">
        <v>9</v>
      </c>
      <c r="N16" s="68" t="n">
        <v>120</v>
      </c>
      <c r="O16" s="68" t="n">
        <v>120</v>
      </c>
      <c r="P16" s="68" t="n">
        <v>9</v>
      </c>
      <c r="Q16" s="68" t="n">
        <v>111</v>
      </c>
      <c r="R16" s="69" t="inlineStr">
        <is>
          <t>IO</t>
        </is>
      </c>
      <c r="S16" s="69" t="inlineStr">
        <is>
          <t>Yes</t>
        </is>
      </c>
      <c r="T16" s="73" t="n">
        <v>42887</v>
      </c>
      <c r="U16" s="73" t="n">
        <v>46539</v>
      </c>
      <c r="V16" s="73" t="n"/>
      <c r="W16" s="69" t="n"/>
      <c r="X16" s="69" t="inlineStr">
        <is>
          <t>Current</t>
        </is>
      </c>
      <c r="Y16" s="68" t="n"/>
      <c r="Z16" s="69" t="inlineStr">
        <is>
          <t>No Defeasance Occurred</t>
        </is>
      </c>
      <c r="AA16" s="69" t="inlineStr">
        <is>
          <t>Previously</t>
        </is>
      </c>
      <c r="AB16" s="69" t="inlineStr">
        <is>
          <t>Returned to master serv</t>
        </is>
      </c>
      <c r="AC16" s="73" t="n"/>
      <c r="AD16" s="69" t="inlineStr">
        <is>
          <t>Other</t>
        </is>
      </c>
      <c r="AE16" s="69" t="inlineStr">
        <is>
          <t>Resolved</t>
        </is>
      </c>
      <c r="AF16" s="69" t="inlineStr">
        <is>
          <t>NY</t>
        </is>
      </c>
      <c r="AG16" s="69" t="inlineStr">
        <is>
          <t>New York</t>
        </is>
      </c>
      <c r="AH16" s="69" t="inlineStr">
        <is>
          <t>New York-Newark-Jersey City, NY-NJ</t>
        </is>
      </c>
      <c r="AI16" s="69" t="inlineStr">
        <is>
          <t>Northeast / Mid-Atlantic</t>
        </is>
      </c>
      <c r="AJ16" s="69" t="inlineStr">
        <is>
          <t>OF</t>
        </is>
      </c>
      <c r="AK16" s="69" t="inlineStr">
        <is>
          <t>CBD</t>
        </is>
      </c>
      <c r="AL16" s="68" t="n">
        <v>1</v>
      </c>
      <c r="AM16" s="68" t="n"/>
      <c r="AN16" s="68" t="n">
        <v>1723993</v>
      </c>
      <c r="AO16" s="69" t="inlineStr">
        <is>
          <t>1965</t>
        </is>
      </c>
      <c r="AP16" s="70" t="n">
        <v>2006</v>
      </c>
      <c r="AQ16" s="74" t="n">
        <v>2.73</v>
      </c>
      <c r="AR16" s="74" t="n">
        <v>2.14</v>
      </c>
      <c r="AS16" s="74" t="n">
        <v>48.9</v>
      </c>
      <c r="AT16" s="74" t="n">
        <v>48.87</v>
      </c>
      <c r="AU16" s="74" t="n">
        <v>48.9</v>
      </c>
      <c r="AV16" s="74" t="n">
        <v>10.144898333</v>
      </c>
      <c r="AW16" s="74" t="n">
        <v>6.597072723</v>
      </c>
      <c r="AX16" s="75" t="n">
        <v>97</v>
      </c>
      <c r="AY16" s="71" t="n">
        <v>2210000000</v>
      </c>
      <c r="AZ16" s="71" t="n">
        <v>2210000000</v>
      </c>
      <c r="BA16" s="71" t="n">
        <v>109564902</v>
      </c>
      <c r="BB16" s="71" t="n">
        <v>77461778.90000001</v>
      </c>
      <c r="BC16" s="69" t="inlineStr">
        <is>
          <t>Acquisition</t>
        </is>
      </c>
      <c r="BD16" s="69" t="inlineStr">
        <is>
          <t>N</t>
        </is>
      </c>
      <c r="BE16" s="71" t="n">
        <v>1048000000</v>
      </c>
      <c r="BF16" s="71" t="n">
        <v>120000000</v>
      </c>
      <c r="BG16" s="71" t="n">
        <v>568000000</v>
      </c>
      <c r="BH16" s="71" t="n">
        <v>0</v>
      </c>
      <c r="BI16" s="71" t="n">
        <v>0</v>
      </c>
      <c r="BJ16" s="69" t="inlineStr">
        <is>
          <t>N</t>
        </is>
      </c>
      <c r="BK16" s="69" t="inlineStr">
        <is>
          <t>Societe Generale</t>
        </is>
      </c>
      <c r="BL16" s="75" t="n">
        <v>30.86</v>
      </c>
      <c r="BM16" s="73" t="n">
        <v>48518</v>
      </c>
      <c r="BN16" s="69" t="inlineStr">
        <is>
          <t>HNA Group</t>
        </is>
      </c>
      <c r="BO16" s="69" t="inlineStr">
        <is>
          <t>JPMorgan Chase / Societe Generale / Natixis / GACC / Barclays</t>
        </is>
      </c>
      <c r="BP16" s="69" t="inlineStr">
        <is>
          <t>Midland Loan Services</t>
        </is>
      </c>
      <c r="BQ16" s="69" t="inlineStr">
        <is>
          <t>Aegon USA Realty</t>
        </is>
      </c>
      <c r="BR16" s="69" t="n"/>
      <c r="BS16" s="73" t="n">
        <v>46276</v>
      </c>
      <c r="BU16" s="76">
        <f>IF($C16="","",IFERROR(INDEX(dmName,MATCH($C16,dmID,0)),"Unmapped"))</f>
        <v/>
      </c>
      <c r="BV16" s="76">
        <f>IF($C16="","",IFERROR(INDEX(dmEntity,MATCH($C16,dmID,0)),"Unmapped"))</f>
        <v/>
      </c>
      <c r="BW16" s="77">
        <f>IF($C16="","",IFERROR(INDEX(dmVintage,MATCH($C16,dmID,0)),""))</f>
        <v/>
      </c>
      <c r="BX16" s="78">
        <f>IFERROR(INDEX(dmInclude,MATCH($C16,dmID,0)),0)</f>
        <v/>
      </c>
      <c r="BY16" s="78">
        <f>IF(N($I16)&gt;0,1,0)</f>
        <v/>
      </c>
      <c r="BZ16" s="76">
        <f>IF($AJ16="","Other / Leased Fee",IFERROR(INDEX(mapPTGroup,MATCH(LEFT(TRIM($AJ16),2),mapPTCode,0)),"Other / Leased Fee"))</f>
        <v/>
      </c>
      <c r="CA16" s="76">
        <f>IF(TRIM($AF16&amp;"")="","NR",LEFT(TRIM($AF16),2))</f>
        <v/>
      </c>
      <c r="CB16" s="76">
        <f>IFERROR(LOOKUP(2,1/(LEFT(TRIM($AI16&amp;""),LEN(mapRegion))=mapRegion),mapRegion),"Not Reported")</f>
        <v/>
      </c>
      <c r="CC16" s="76">
        <f>IF($BY16=0,"",IF(TRIM($W16&amp;"")="REO","REO",IF(TRIM($W16&amp;"")="FC","Foreclosure",IF(TRIM($W16&amp;"")="90+","90+ Days Delinquent",IF(TRIM($W16&amp;"")="60","60 Days Delinquent",IF(TRIM($W16&amp;"")="30","30 Days Delinquent",IF($X16="Non-Performing Matured Balloon","Non-Performing Matured Balloon",IF(OR($X16="Late Payment But Less Than 30 Days Delinquent",LEFT($X16&amp;"",20)="Payment Not Received"),"Late / In Grace (&lt;30 Days)",IF($X16="Performing Matured Balloon","Performing Matured Balloon","Current")))))))))</f>
        <v/>
      </c>
      <c r="CD16" s="78">
        <f>IF(OR($CC16="REO",$CC16="Foreclosure",$CC16="90+ Days Delinquent",$CC16="60 Days Delinquent",$CC16="30 Days Delinquent",$CC16="Non-Performing Matured Balloon"),1,0)</f>
        <v/>
      </c>
      <c r="CE16" s="76">
        <f>IF($AB16="Currently special serv","Currently Specially Serviced",IF($AB16="Returned to master serv","Previously Specially Serviced","Never Specially Serviced"))</f>
        <v/>
      </c>
      <c r="CF16" s="78">
        <f>IF($CE16="Currently Specially Serviced",1,0)</f>
        <v/>
      </c>
      <c r="CG16" s="76">
        <f>IF($AA16="Yes","Currently on Watchlist",IF($AA16="Previously","Previously on Watchlist","Never on Watchlist"))</f>
        <v/>
      </c>
      <c r="CH16" s="78">
        <f>IF($CG16="Currently on Watchlist",1,0)</f>
        <v/>
      </c>
      <c r="CI16" s="76">
        <f>IF($Z16="Full Defeasance","Fully Defeased",IF($Z16="Portion Of Loan Previously Defeased","Partially Defeased",IF($Z16="Defeasance Not Allowable","Not Defeased (Not Permitted)","Not Defeased")))</f>
        <v/>
      </c>
      <c r="CJ16" s="78">
        <f>IF($CI16="Fully Defeased",1,0)</f>
        <v/>
      </c>
      <c r="CK16" s="76">
        <f>IF($R16="IO","Full IO",IF(LEFT($R16&amp;"",7)="IO then","Partial IO","Amortizing"))</f>
        <v/>
      </c>
      <c r="CL16" s="78">
        <f>IF($CK16="Full IO",1,0)</f>
        <v/>
      </c>
      <c r="CM16" s="78">
        <f>IF($CK16="Partial IO",1,0)</f>
        <v/>
      </c>
      <c r="CN16" s="76">
        <f>IF(LEFT($F16&amp;"",10)="SPLIT_LOAN","Pari Passu Split","Standalone")</f>
        <v/>
      </c>
      <c r="CO16" s="78">
        <f>IF($CN16="Pari Passu Split",1,0)</f>
        <v/>
      </c>
      <c r="CP16" s="77">
        <f>IF(ISNUMBER($T16),YEAR($T16),"")</f>
        <v/>
      </c>
      <c r="CQ16" s="79">
        <f>IF(ISNUMBER($V16),$V16,IF(ISNUMBER($U16),$U16,""))</f>
        <v/>
      </c>
      <c r="CR16" s="77">
        <f>IF(ISNUMBER($CQ16),YEAR($CQ16),"")</f>
        <v/>
      </c>
      <c r="CS16" s="78">
        <f>IF(ISNUMBER($M16),MAX(0,$M16),IF(TRIM($M16&amp;"")="matured",0,""))</f>
        <v/>
      </c>
      <c r="CT16" s="78">
        <f>IF(AND(ISNUMBER($CS16),N($CS16)&lt;=mMatWindow),1,0)</f>
        <v/>
      </c>
      <c r="CU16" s="80">
        <f>IF(ISNUMBER($J16),$J16/100,"")</f>
        <v/>
      </c>
      <c r="CV16" s="81">
        <f>IF(ISNUMBER($AQ16),$AQ16,"")</f>
        <v/>
      </c>
      <c r="CW16" s="81">
        <f>IF(ISNUMBER($AR16),$AR16,"")</f>
        <v/>
      </c>
      <c r="CX16" s="82">
        <f>IF(ISNUMBER($AS16),$AS16/100,"")</f>
        <v/>
      </c>
      <c r="CY16" s="82">
        <f>IF(ISNUMBER($AT16),$AT16/100,"")</f>
        <v/>
      </c>
      <c r="CZ16" s="82">
        <f>IF(ISNUMBER($AU16),$AU16/100,"")</f>
        <v/>
      </c>
      <c r="DA16" s="82">
        <f>IF(ISNUMBER($AV16),$AV16/100,"")</f>
        <v/>
      </c>
      <c r="DB16" s="82">
        <f>IF(ISNUMBER($AW16),$AW16/100,"")</f>
        <v/>
      </c>
      <c r="DC16" s="82">
        <f>IF(ISNUMBER($AX16),$AX16/100,"")</f>
        <v/>
      </c>
      <c r="DD16" s="77">
        <f>IFERROR(VALUE(LEFT(TRIM($AO16&amp;""),4)),"")</f>
        <v/>
      </c>
      <c r="DE16" s="78">
        <f>IF(AND($BY16=1,$BX16=1,OR(fDeal="All Deals",$BU16=fDeal),OR(fEntity="All Entities",$BV16=fEntity),OR(fPType="All Property Types",$BZ16=fPType),OR(fDefeased="Include",$CJ16=0)),1,0)</f>
        <v/>
      </c>
      <c r="DF16" s="83">
        <f>$DE16*N($I16)</f>
        <v/>
      </c>
      <c r="DG16" s="78">
        <f>IF($DE16=1,IF(COUNTIFS($F$8:$F16,$F16,$DE$8:$DE16,1)=1,1,0),0)</f>
        <v/>
      </c>
      <c r="DH16" s="83">
        <f>IF($DG16=1,SUMIFS($DF$8:$DF$1600,$F$8:$F$1600,$F16),0)</f>
        <v/>
      </c>
      <c r="DI16" s="78">
        <f>IF($DG16=1,COUNTIFS($F$8:$F$1600,$F16,$DE$8:$DE$1600,1),0)</f>
        <v/>
      </c>
      <c r="DJ16" s="84">
        <f>IF($DG16=1,$DH16+(100000-ROW())/mTieBreak,0)</f>
        <v/>
      </c>
    </row>
    <row r="17">
      <c r="B17" s="68" t="n">
        <v>10</v>
      </c>
      <c r="C17" s="69" t="inlineStr">
        <is>
          <t>UBS17C02</t>
        </is>
      </c>
      <c r="D17" s="69" t="inlineStr">
        <is>
          <t>10.000</t>
        </is>
      </c>
      <c r="E17" s="69" t="inlineStr">
        <is>
          <t>Save Mart Portfolio</t>
        </is>
      </c>
      <c r="F17" s="69" t="inlineStr">
        <is>
          <t>SPLIT_LOAN_00994</t>
        </is>
      </c>
      <c r="G17" s="70" t="n">
        <v>994</v>
      </c>
      <c r="H17" s="71" t="n">
        <v>32000000</v>
      </c>
      <c r="I17" s="71" t="n">
        <v>0</v>
      </c>
      <c r="J17" s="72" t="n">
        <v>4.415376</v>
      </c>
      <c r="K17" s="69" t="inlineStr">
        <is>
          <t>Fixed rate</t>
        </is>
      </c>
      <c r="L17" s="68" t="n">
        <v>120</v>
      </c>
      <c r="M17" s="68" t="n"/>
      <c r="N17" s="68" t="n">
        <v>120</v>
      </c>
      <c r="O17" s="68" t="n">
        <v>120</v>
      </c>
      <c r="P17" s="68" t="n"/>
      <c r="Q17" s="68" t="n"/>
      <c r="R17" s="69" t="inlineStr">
        <is>
          <t>IO</t>
        </is>
      </c>
      <c r="S17" s="69" t="inlineStr">
        <is>
          <t>Yes</t>
        </is>
      </c>
      <c r="T17" s="73" t="n">
        <v>42887</v>
      </c>
      <c r="U17" s="73" t="n">
        <v>46544</v>
      </c>
      <c r="V17" s="73" t="n"/>
      <c r="W17" s="69" t="n"/>
      <c r="X17" s="69" t="inlineStr">
        <is>
          <t>Current</t>
        </is>
      </c>
      <c r="Y17" s="68" t="n"/>
      <c r="Z17" s="69" t="inlineStr">
        <is>
          <t>Defeasance Not Allowable</t>
        </is>
      </c>
      <c r="AA17" s="69" t="inlineStr">
        <is>
          <t>Previously</t>
        </is>
      </c>
      <c r="AB17" s="69" t="inlineStr">
        <is>
          <t>Never special serv</t>
        </is>
      </c>
      <c r="AC17" s="73" t="n"/>
      <c r="AD17" s="69" t="n"/>
      <c r="AE17" s="69" t="n"/>
      <c r="AF17" s="69" t="inlineStr">
        <is>
          <t>CA</t>
        </is>
      </c>
      <c r="AG17" s="69" t="n"/>
      <c r="AH17" s="69" t="inlineStr">
        <is>
          <t>San Francisco-Oakland-Fremont, CA-36.474338250% Sacramento-Roseville-Folsom, CA-15.358202344% San Jose-Sunnyvale-Santa Clara, CA-14.044011156% Fresno, CA-9.430425281% Salinas, CA-5.078564125% Stockton-Lodi, CA-5.067427063% Vallejo, CA-4.095706469% Modesto, CA-3.174102937% Truckee-Grass Valley, CA-3.071083531% Chico, CA-2.450184719% Santa Rosa-Petaluma, CA-1.355954125%</t>
        </is>
      </c>
      <c r="AI17" s="69" t="inlineStr">
        <is>
          <t>West / Pacific North-99.600000000% West / Pacific South-0.400000000%</t>
        </is>
      </c>
      <c r="AJ17" s="69" t="inlineStr">
        <is>
          <t>RT</t>
        </is>
      </c>
      <c r="AK17" s="69" t="inlineStr">
        <is>
          <t>Single Tenant</t>
        </is>
      </c>
      <c r="AL17" s="68" t="n">
        <v>33</v>
      </c>
      <c r="AM17" s="68" t="n"/>
      <c r="AN17" s="68" t="n">
        <v>1733239</v>
      </c>
      <c r="AO17" s="69" t="n"/>
      <c r="AP17" s="70" t="n">
        <v>2012</v>
      </c>
      <c r="AQ17" s="74" t="n">
        <v>3.02</v>
      </c>
      <c r="AR17" s="74" t="n">
        <v>2.76</v>
      </c>
      <c r="AS17" s="74" t="n">
        <v>38.1</v>
      </c>
      <c r="AT17" s="74" t="n"/>
      <c r="AU17" s="74" t="n">
        <v>38.1</v>
      </c>
      <c r="AV17" s="74" t="n">
        <v>13.497263768</v>
      </c>
      <c r="AW17" s="74" t="n"/>
      <c r="AX17" s="75" t="n">
        <v>100</v>
      </c>
      <c r="AY17" s="71" t="n">
        <v>361740000</v>
      </c>
      <c r="AZ17" s="71" t="n">
        <v>361740000</v>
      </c>
      <c r="BA17" s="71" t="n">
        <v>18626224</v>
      </c>
      <c r="BB17" s="71" t="n">
        <v>17085028</v>
      </c>
      <c r="BC17" s="69" t="inlineStr">
        <is>
          <t>Refinance</t>
        </is>
      </c>
      <c r="BD17" s="69" t="inlineStr">
        <is>
          <t>N</t>
        </is>
      </c>
      <c r="BE17" s="71" t="n">
        <v>0</v>
      </c>
      <c r="BF17" s="71" t="n">
        <v>0</v>
      </c>
      <c r="BG17" s="71" t="n"/>
      <c r="BH17" s="71" t="n">
        <v>0</v>
      </c>
      <c r="BI17" s="71" t="n">
        <v>0</v>
      </c>
      <c r="BJ17" s="69" t="inlineStr">
        <is>
          <t>N</t>
        </is>
      </c>
      <c r="BK17" s="69" t="inlineStr">
        <is>
          <t>Save Mart</t>
        </is>
      </c>
      <c r="BL17" s="75" t="n">
        <v>40.34</v>
      </c>
      <c r="BM17" s="73" t="n">
        <v>48334</v>
      </c>
      <c r="BN17" s="69" t="inlineStr">
        <is>
          <t>Standiford Partners, LLC</t>
        </is>
      </c>
      <c r="BO17" s="69" t="inlineStr">
        <is>
          <t>UBS / Cantor Commercial Real Estate Lending / GACC</t>
        </is>
      </c>
      <c r="BP17" s="69" t="inlineStr">
        <is>
          <t>Midland Loan Services</t>
        </is>
      </c>
      <c r="BQ17" s="69" t="inlineStr">
        <is>
          <t>Aegon USA Realty</t>
        </is>
      </c>
      <c r="BR17" s="69" t="inlineStr">
        <is>
          <t>Payoff With Yield Maintenance</t>
        </is>
      </c>
      <c r="BS17" s="73" t="n">
        <v>44176</v>
      </c>
      <c r="BU17" s="76">
        <f>IF($C17="","",IFERROR(INDEX(dmName,MATCH($C17,dmID,0)),"Unmapped"))</f>
        <v/>
      </c>
      <c r="BV17" s="76">
        <f>IF($C17="","",IFERROR(INDEX(dmEntity,MATCH($C17,dmID,0)),"Unmapped"))</f>
        <v/>
      </c>
      <c r="BW17" s="77">
        <f>IF($C17="","",IFERROR(INDEX(dmVintage,MATCH($C17,dmID,0)),""))</f>
        <v/>
      </c>
      <c r="BX17" s="78">
        <f>IFERROR(INDEX(dmInclude,MATCH($C17,dmID,0)),0)</f>
        <v/>
      </c>
      <c r="BY17" s="78">
        <f>IF(N($I17)&gt;0,1,0)</f>
        <v/>
      </c>
      <c r="BZ17" s="76">
        <f>IF($AJ17="","Other / Leased Fee",IFERROR(INDEX(mapPTGroup,MATCH(LEFT(TRIM($AJ17),2),mapPTCode,0)),"Other / Leased Fee"))</f>
        <v/>
      </c>
      <c r="CA17" s="76">
        <f>IF(TRIM($AF17&amp;"")="","NR",LEFT(TRIM($AF17),2))</f>
        <v/>
      </c>
      <c r="CB17" s="76">
        <f>IFERROR(LOOKUP(2,1/(LEFT(TRIM($AI17&amp;""),LEN(mapRegion))=mapRegion),mapRegion),"Not Reported")</f>
        <v/>
      </c>
      <c r="CC17" s="76">
        <f>IF($BY17=0,"",IF(TRIM($W17&amp;"")="REO","REO",IF(TRIM($W17&amp;"")="FC","Foreclosure",IF(TRIM($W17&amp;"")="90+","90+ Days Delinquent",IF(TRIM($W17&amp;"")="60","60 Days Delinquent",IF(TRIM($W17&amp;"")="30","30 Days Delinquent",IF($X17="Non-Performing Matured Balloon","Non-Performing Matured Balloon",IF(OR($X17="Late Payment But Less Than 30 Days Delinquent",LEFT($X17&amp;"",20)="Payment Not Received"),"Late / In Grace (&lt;30 Days)",IF($X17="Performing Matured Balloon","Performing Matured Balloon","Current")))))))))</f>
        <v/>
      </c>
      <c r="CD17" s="78">
        <f>IF(OR($CC17="REO",$CC17="Foreclosure",$CC17="90+ Days Delinquent",$CC17="60 Days Delinquent",$CC17="30 Days Delinquent",$CC17="Non-Performing Matured Balloon"),1,0)</f>
        <v/>
      </c>
      <c r="CE17" s="76">
        <f>IF($AB17="Currently special serv","Currently Specially Serviced",IF($AB17="Returned to master serv","Previously Specially Serviced","Never Specially Serviced"))</f>
        <v/>
      </c>
      <c r="CF17" s="78">
        <f>IF($CE17="Currently Specially Serviced",1,0)</f>
        <v/>
      </c>
      <c r="CG17" s="76">
        <f>IF($AA17="Yes","Currently on Watchlist",IF($AA17="Previously","Previously on Watchlist","Never on Watchlist"))</f>
        <v/>
      </c>
      <c r="CH17" s="78">
        <f>IF($CG17="Currently on Watchlist",1,0)</f>
        <v/>
      </c>
      <c r="CI17" s="76">
        <f>IF($Z17="Full Defeasance","Fully Defeased",IF($Z17="Portion Of Loan Previously Defeased","Partially Defeased",IF($Z17="Defeasance Not Allowable","Not Defeased (Not Permitted)","Not Defeased")))</f>
        <v/>
      </c>
      <c r="CJ17" s="78">
        <f>IF($CI17="Fully Defeased",1,0)</f>
        <v/>
      </c>
      <c r="CK17" s="76">
        <f>IF($R17="IO","Full IO",IF(LEFT($R17&amp;"",7)="IO then","Partial IO","Amortizing"))</f>
        <v/>
      </c>
      <c r="CL17" s="78">
        <f>IF($CK17="Full IO",1,0)</f>
        <v/>
      </c>
      <c r="CM17" s="78">
        <f>IF($CK17="Partial IO",1,0)</f>
        <v/>
      </c>
      <c r="CN17" s="76">
        <f>IF(LEFT($F17&amp;"",10)="SPLIT_LOAN","Pari Passu Split","Standalone")</f>
        <v/>
      </c>
      <c r="CO17" s="78">
        <f>IF($CN17="Pari Passu Split",1,0)</f>
        <v/>
      </c>
      <c r="CP17" s="77">
        <f>IF(ISNUMBER($T17),YEAR($T17),"")</f>
        <v/>
      </c>
      <c r="CQ17" s="79">
        <f>IF(ISNUMBER($V17),$V17,IF(ISNUMBER($U17),$U17,""))</f>
        <v/>
      </c>
      <c r="CR17" s="77">
        <f>IF(ISNUMBER($CQ17),YEAR($CQ17),"")</f>
        <v/>
      </c>
      <c r="CS17" s="78">
        <f>IF(ISNUMBER($M17),MAX(0,$M17),IF(TRIM($M17&amp;"")="matured",0,""))</f>
        <v/>
      </c>
      <c r="CT17" s="78">
        <f>IF(AND(ISNUMBER($CS17),N($CS17)&lt;=mMatWindow),1,0)</f>
        <v/>
      </c>
      <c r="CU17" s="80">
        <f>IF(ISNUMBER($J17),$J17/100,"")</f>
        <v/>
      </c>
      <c r="CV17" s="81">
        <f>IF(ISNUMBER($AQ17),$AQ17,"")</f>
        <v/>
      </c>
      <c r="CW17" s="81">
        <f>IF(ISNUMBER($AR17),$AR17,"")</f>
        <v/>
      </c>
      <c r="CX17" s="82">
        <f>IF(ISNUMBER($AS17),$AS17/100,"")</f>
        <v/>
      </c>
      <c r="CY17" s="82">
        <f>IF(ISNUMBER($AT17),$AT17/100,"")</f>
        <v/>
      </c>
      <c r="CZ17" s="82">
        <f>IF(ISNUMBER($AU17),$AU17/100,"")</f>
        <v/>
      </c>
      <c r="DA17" s="82">
        <f>IF(ISNUMBER($AV17),$AV17/100,"")</f>
        <v/>
      </c>
      <c r="DB17" s="82">
        <f>IF(ISNUMBER($AW17),$AW17/100,"")</f>
        <v/>
      </c>
      <c r="DC17" s="82">
        <f>IF(ISNUMBER($AX17),$AX17/100,"")</f>
        <v/>
      </c>
      <c r="DD17" s="77">
        <f>IFERROR(VALUE(LEFT(TRIM($AO17&amp;""),4)),"")</f>
        <v/>
      </c>
      <c r="DE17" s="78">
        <f>IF(AND($BY17=1,$BX17=1,OR(fDeal="All Deals",$BU17=fDeal),OR(fEntity="All Entities",$BV17=fEntity),OR(fPType="All Property Types",$BZ17=fPType),OR(fDefeased="Include",$CJ17=0)),1,0)</f>
        <v/>
      </c>
      <c r="DF17" s="83">
        <f>$DE17*N($I17)</f>
        <v/>
      </c>
      <c r="DG17" s="78">
        <f>IF($DE17=1,IF(COUNTIFS($F$8:$F17,$F17,$DE$8:$DE17,1)=1,1,0),0)</f>
        <v/>
      </c>
      <c r="DH17" s="83">
        <f>IF($DG17=1,SUMIFS($DF$8:$DF$1600,$F$8:$F$1600,$F17),0)</f>
        <v/>
      </c>
      <c r="DI17" s="78">
        <f>IF($DG17=1,COUNTIFS($F$8:$F$1600,$F17,$DE$8:$DE$1600,1),0)</f>
        <v/>
      </c>
      <c r="DJ17" s="84">
        <f>IF($DG17=1,$DH17+(100000-ROW())/mTieBreak,0)</f>
        <v/>
      </c>
    </row>
    <row r="18">
      <c r="B18" s="68" t="n">
        <v>11</v>
      </c>
      <c r="C18" s="69" t="inlineStr">
        <is>
          <t>UBS17C02</t>
        </is>
      </c>
      <c r="D18" s="69" t="inlineStr">
        <is>
          <t>11.000</t>
        </is>
      </c>
      <c r="E18" s="69" t="inlineStr">
        <is>
          <t>GM Logistics Center 2</t>
        </is>
      </c>
      <c r="F18" s="69" t="inlineStr">
        <is>
          <t>LNUBS17C02-11.000</t>
        </is>
      </c>
      <c r="G18" s="70" t="n"/>
      <c r="H18" s="71" t="n">
        <v>30940000</v>
      </c>
      <c r="I18" s="71" t="n">
        <v>0</v>
      </c>
      <c r="J18" s="72" t="n">
        <v>4.245</v>
      </c>
      <c r="K18" s="69" t="inlineStr">
        <is>
          <t>Fixed rate</t>
        </is>
      </c>
      <c r="L18" s="68" t="n">
        <v>120</v>
      </c>
      <c r="M18" s="68" t="n"/>
      <c r="N18" s="68" t="n">
        <v>360</v>
      </c>
      <c r="O18" s="68" t="n"/>
      <c r="P18" s="68" t="n"/>
      <c r="Q18" s="68" t="n"/>
      <c r="R18" s="69" t="n"/>
      <c r="S18" s="69" t="inlineStr">
        <is>
          <t>No</t>
        </is>
      </c>
      <c r="T18" s="73" t="n">
        <v>42917</v>
      </c>
      <c r="U18" s="73" t="n">
        <v>46569</v>
      </c>
      <c r="V18" s="73" t="n"/>
      <c r="W18" s="69" t="n"/>
      <c r="X18" s="69" t="inlineStr">
        <is>
          <t>Current</t>
        </is>
      </c>
      <c r="Y18" s="68" t="n"/>
      <c r="Z18" s="69" t="inlineStr">
        <is>
          <t>Defeasance Not Allowable</t>
        </is>
      </c>
      <c r="AA18" s="69" t="n"/>
      <c r="AB18" s="69" t="inlineStr">
        <is>
          <t>Never special serv</t>
        </is>
      </c>
      <c r="AC18" s="73" t="n"/>
      <c r="AD18" s="69" t="n"/>
      <c r="AE18" s="69" t="n"/>
      <c r="AF18" s="69" t="inlineStr">
        <is>
          <t>IN</t>
        </is>
      </c>
      <c r="AG18" s="69" t="inlineStr">
        <is>
          <t>Roanoke</t>
        </is>
      </c>
      <c r="AH18" s="69" t="inlineStr">
        <is>
          <t>Huntington, IN</t>
        </is>
      </c>
      <c r="AI18" s="69" t="inlineStr">
        <is>
          <t>Midwest / Central East</t>
        </is>
      </c>
      <c r="AJ18" s="69" t="inlineStr">
        <is>
          <t>IN</t>
        </is>
      </c>
      <c r="AK18" s="69" t="inlineStr">
        <is>
          <t>Warehouse/Distribution</t>
        </is>
      </c>
      <c r="AL18" s="68" t="n">
        <v>1</v>
      </c>
      <c r="AM18" s="68" t="n"/>
      <c r="AN18" s="68" t="n">
        <v>804810</v>
      </c>
      <c r="AO18" s="69" t="inlineStr">
        <is>
          <t>2017</t>
        </is>
      </c>
      <c r="AP18" s="70" t="n">
        <v>2017</v>
      </c>
      <c r="AQ18" s="74" t="n">
        <v>1.89</v>
      </c>
      <c r="AR18" s="74" t="n">
        <v>1.26</v>
      </c>
      <c r="AS18" s="74" t="n">
        <v>64.90000000000001</v>
      </c>
      <c r="AT18" s="74" t="n"/>
      <c r="AU18" s="74" t="n">
        <v>52.1</v>
      </c>
      <c r="AV18" s="74" t="n">
        <v>11.128030672</v>
      </c>
      <c r="AW18" s="74" t="n"/>
      <c r="AX18" s="75" t="n">
        <v>100</v>
      </c>
      <c r="AY18" s="71" t="n">
        <v>47600000</v>
      </c>
      <c r="AZ18" s="71" t="n">
        <v>47600000</v>
      </c>
      <c r="BA18" s="71" t="n">
        <v>3443012.69</v>
      </c>
      <c r="BB18" s="71" t="n">
        <v>3935736.22</v>
      </c>
      <c r="BC18" s="69" t="inlineStr">
        <is>
          <t>Recapitalization</t>
        </is>
      </c>
      <c r="BD18" s="69" t="inlineStr">
        <is>
          <t>N</t>
        </is>
      </c>
      <c r="BE18" s="71" t="n"/>
      <c r="BF18" s="71" t="n"/>
      <c r="BG18" s="71" t="n"/>
      <c r="BH18" s="71" t="n">
        <v>0</v>
      </c>
      <c r="BI18" s="71" t="n">
        <v>0</v>
      </c>
      <c r="BJ18" s="69" t="inlineStr">
        <is>
          <t>N</t>
        </is>
      </c>
      <c r="BK18" s="69" t="inlineStr">
        <is>
          <t>General Motors</t>
        </is>
      </c>
      <c r="BL18" s="75" t="n">
        <v>100</v>
      </c>
      <c r="BM18" s="73" t="n">
        <v>46538</v>
      </c>
      <c r="BN18" s="69" t="inlineStr">
        <is>
          <t>Nathaniel Hagedorn</t>
        </is>
      </c>
      <c r="BO18" s="69" t="inlineStr">
        <is>
          <t>Societe Generale</t>
        </is>
      </c>
      <c r="BP18" s="69" t="inlineStr">
        <is>
          <t>Midland Loan Services</t>
        </is>
      </c>
      <c r="BQ18" s="69" t="inlineStr">
        <is>
          <t>Midland Loan Services</t>
        </is>
      </c>
      <c r="BR18" s="69" t="inlineStr">
        <is>
          <t>Payoff With Yield Maintenance</t>
        </is>
      </c>
      <c r="BS18" s="73" t="n">
        <v>43476</v>
      </c>
      <c r="BU18" s="76">
        <f>IF($C18="","",IFERROR(INDEX(dmName,MATCH($C18,dmID,0)),"Unmapped"))</f>
        <v/>
      </c>
      <c r="BV18" s="76">
        <f>IF($C18="","",IFERROR(INDEX(dmEntity,MATCH($C18,dmID,0)),"Unmapped"))</f>
        <v/>
      </c>
      <c r="BW18" s="77">
        <f>IF($C18="","",IFERROR(INDEX(dmVintage,MATCH($C18,dmID,0)),""))</f>
        <v/>
      </c>
      <c r="BX18" s="78">
        <f>IFERROR(INDEX(dmInclude,MATCH($C18,dmID,0)),0)</f>
        <v/>
      </c>
      <c r="BY18" s="78">
        <f>IF(N($I18)&gt;0,1,0)</f>
        <v/>
      </c>
      <c r="BZ18" s="76">
        <f>IF($AJ18="","Other / Leased Fee",IFERROR(INDEX(mapPTGroup,MATCH(LEFT(TRIM($AJ18),2),mapPTCode,0)),"Other / Leased Fee"))</f>
        <v/>
      </c>
      <c r="CA18" s="76">
        <f>IF(TRIM($AF18&amp;"")="","NR",LEFT(TRIM($AF18),2))</f>
        <v/>
      </c>
      <c r="CB18" s="76">
        <f>IFERROR(LOOKUP(2,1/(LEFT(TRIM($AI18&amp;""),LEN(mapRegion))=mapRegion),mapRegion),"Not Reported")</f>
        <v/>
      </c>
      <c r="CC18" s="76">
        <f>IF($BY18=0,"",IF(TRIM($W18&amp;"")="REO","REO",IF(TRIM($W18&amp;"")="FC","Foreclosure",IF(TRIM($W18&amp;"")="90+","90+ Days Delinquent",IF(TRIM($W18&amp;"")="60","60 Days Delinquent",IF(TRIM($W18&amp;"")="30","30 Days Delinquent",IF($X18="Non-Performing Matured Balloon","Non-Performing Matured Balloon",IF(OR($X18="Late Payment But Less Than 30 Days Delinquent",LEFT($X18&amp;"",20)="Payment Not Received"),"Late / In Grace (&lt;30 Days)",IF($X18="Performing Matured Balloon","Performing Matured Balloon","Current")))))))))</f>
        <v/>
      </c>
      <c r="CD18" s="78">
        <f>IF(OR($CC18="REO",$CC18="Foreclosure",$CC18="90+ Days Delinquent",$CC18="60 Days Delinquent",$CC18="30 Days Delinquent",$CC18="Non-Performing Matured Balloon"),1,0)</f>
        <v/>
      </c>
      <c r="CE18" s="76">
        <f>IF($AB18="Currently special serv","Currently Specially Serviced",IF($AB18="Returned to master serv","Previously Specially Serviced","Never Specially Serviced"))</f>
        <v/>
      </c>
      <c r="CF18" s="78">
        <f>IF($CE18="Currently Specially Serviced",1,0)</f>
        <v/>
      </c>
      <c r="CG18" s="76">
        <f>IF($AA18="Yes","Currently on Watchlist",IF($AA18="Previously","Previously on Watchlist","Never on Watchlist"))</f>
        <v/>
      </c>
      <c r="CH18" s="78">
        <f>IF($CG18="Currently on Watchlist",1,0)</f>
        <v/>
      </c>
      <c r="CI18" s="76">
        <f>IF($Z18="Full Defeasance","Fully Defeased",IF($Z18="Portion Of Loan Previously Defeased","Partially Defeased",IF($Z18="Defeasance Not Allowable","Not Defeased (Not Permitted)","Not Defeased")))</f>
        <v/>
      </c>
      <c r="CJ18" s="78">
        <f>IF($CI18="Fully Defeased",1,0)</f>
        <v/>
      </c>
      <c r="CK18" s="76">
        <f>IF($R18="IO","Full IO",IF(LEFT($R18&amp;"",7)="IO then","Partial IO","Amortizing"))</f>
        <v/>
      </c>
      <c r="CL18" s="78">
        <f>IF($CK18="Full IO",1,0)</f>
        <v/>
      </c>
      <c r="CM18" s="78">
        <f>IF($CK18="Partial IO",1,0)</f>
        <v/>
      </c>
      <c r="CN18" s="76">
        <f>IF(LEFT($F18&amp;"",10)="SPLIT_LOAN","Pari Passu Split","Standalone")</f>
        <v/>
      </c>
      <c r="CO18" s="78">
        <f>IF($CN18="Pari Passu Split",1,0)</f>
        <v/>
      </c>
      <c r="CP18" s="77">
        <f>IF(ISNUMBER($T18),YEAR($T18),"")</f>
        <v/>
      </c>
      <c r="CQ18" s="79">
        <f>IF(ISNUMBER($V18),$V18,IF(ISNUMBER($U18),$U18,""))</f>
        <v/>
      </c>
      <c r="CR18" s="77">
        <f>IF(ISNUMBER($CQ18),YEAR($CQ18),"")</f>
        <v/>
      </c>
      <c r="CS18" s="78">
        <f>IF(ISNUMBER($M18),MAX(0,$M18),IF(TRIM($M18&amp;"")="matured",0,""))</f>
        <v/>
      </c>
      <c r="CT18" s="78">
        <f>IF(AND(ISNUMBER($CS18),N($CS18)&lt;=mMatWindow),1,0)</f>
        <v/>
      </c>
      <c r="CU18" s="80">
        <f>IF(ISNUMBER($J18),$J18/100,"")</f>
        <v/>
      </c>
      <c r="CV18" s="81">
        <f>IF(ISNUMBER($AQ18),$AQ18,"")</f>
        <v/>
      </c>
      <c r="CW18" s="81">
        <f>IF(ISNUMBER($AR18),$AR18,"")</f>
        <v/>
      </c>
      <c r="CX18" s="82">
        <f>IF(ISNUMBER($AS18),$AS18/100,"")</f>
        <v/>
      </c>
      <c r="CY18" s="82">
        <f>IF(ISNUMBER($AT18),$AT18/100,"")</f>
        <v/>
      </c>
      <c r="CZ18" s="82">
        <f>IF(ISNUMBER($AU18),$AU18/100,"")</f>
        <v/>
      </c>
      <c r="DA18" s="82">
        <f>IF(ISNUMBER($AV18),$AV18/100,"")</f>
        <v/>
      </c>
      <c r="DB18" s="82">
        <f>IF(ISNUMBER($AW18),$AW18/100,"")</f>
        <v/>
      </c>
      <c r="DC18" s="82">
        <f>IF(ISNUMBER($AX18),$AX18/100,"")</f>
        <v/>
      </c>
      <c r="DD18" s="77">
        <f>IFERROR(VALUE(LEFT(TRIM($AO18&amp;""),4)),"")</f>
        <v/>
      </c>
      <c r="DE18" s="78">
        <f>IF(AND($BY18=1,$BX18=1,OR(fDeal="All Deals",$BU18=fDeal),OR(fEntity="All Entities",$BV18=fEntity),OR(fPType="All Property Types",$BZ18=fPType),OR(fDefeased="Include",$CJ18=0)),1,0)</f>
        <v/>
      </c>
      <c r="DF18" s="83">
        <f>$DE18*N($I18)</f>
        <v/>
      </c>
      <c r="DG18" s="78">
        <f>IF($DE18=1,IF(COUNTIFS($F$8:$F18,$F18,$DE$8:$DE18,1)=1,1,0),0)</f>
        <v/>
      </c>
      <c r="DH18" s="83">
        <f>IF($DG18=1,SUMIFS($DF$8:$DF$1600,$F$8:$F$1600,$F18),0)</f>
        <v/>
      </c>
      <c r="DI18" s="78">
        <f>IF($DG18=1,COUNTIFS($F$8:$F$1600,$F18,$DE$8:$DE$1600,1),0)</f>
        <v/>
      </c>
      <c r="DJ18" s="84">
        <f>IF($DG18=1,$DH18+(100000-ROW())/mTieBreak,0)</f>
        <v/>
      </c>
    </row>
    <row r="19">
      <c r="B19" s="68" t="n">
        <v>12</v>
      </c>
      <c r="C19" s="69" t="inlineStr">
        <is>
          <t>UBS17C02</t>
        </is>
      </c>
      <c r="D19" s="69" t="inlineStr">
        <is>
          <t>12.000</t>
        </is>
      </c>
      <c r="E19" s="69" t="inlineStr">
        <is>
          <t>The Fillmore Philadelphia</t>
        </is>
      </c>
      <c r="F19" s="69" t="inlineStr">
        <is>
          <t>LNUBS17C02-12.000</t>
        </is>
      </c>
      <c r="G19" s="70" t="n"/>
      <c r="H19" s="71" t="n">
        <v>25250000</v>
      </c>
      <c r="I19" s="71" t="n">
        <v>21579545.20999026</v>
      </c>
      <c r="J19" s="72" t="n">
        <v>4.6</v>
      </c>
      <c r="K19" s="69" t="inlineStr">
        <is>
          <t>Fixed rate</t>
        </is>
      </c>
      <c r="L19" s="68" t="n">
        <v>120</v>
      </c>
      <c r="M19" s="68" t="n">
        <v>11</v>
      </c>
      <c r="N19" s="68" t="n">
        <v>372</v>
      </c>
      <c r="O19" s="68" t="n">
        <v>12</v>
      </c>
      <c r="P19" s="68" t="n">
        <v>0</v>
      </c>
      <c r="Q19" s="68" t="n">
        <v>109</v>
      </c>
      <c r="R19" s="69" t="inlineStr">
        <is>
          <t>IO then Amort</t>
        </is>
      </c>
      <c r="S19" s="69" t="inlineStr">
        <is>
          <t>No</t>
        </is>
      </c>
      <c r="T19" s="73" t="n">
        <v>42948</v>
      </c>
      <c r="U19" s="73" t="n">
        <v>46600</v>
      </c>
      <c r="V19" s="73" t="n"/>
      <c r="W19" s="69" t="n"/>
      <c r="X19" s="69" t="inlineStr">
        <is>
          <t>Current</t>
        </is>
      </c>
      <c r="Y19" s="68" t="n"/>
      <c r="Z19" s="69" t="inlineStr">
        <is>
          <t>No Defeasance Occurred</t>
        </is>
      </c>
      <c r="AA19" s="69" t="inlineStr">
        <is>
          <t>Previously</t>
        </is>
      </c>
      <c r="AB19" s="69" t="inlineStr">
        <is>
          <t>Never special serv</t>
        </is>
      </c>
      <c r="AC19" s="73" t="n"/>
      <c r="AD19" s="69" t="n"/>
      <c r="AE19" s="69" t="n"/>
      <c r="AF19" s="69" t="inlineStr">
        <is>
          <t>PA</t>
        </is>
      </c>
      <c r="AG19" s="69" t="inlineStr">
        <is>
          <t>Philadelphia</t>
        </is>
      </c>
      <c r="AH19" s="69" t="inlineStr">
        <is>
          <t>Philadelphia-Camden-Wilmington, PA-NJ-DE-MD</t>
        </is>
      </c>
      <c r="AI19" s="69" t="inlineStr">
        <is>
          <t>Northeast / Mid-Atlantic</t>
        </is>
      </c>
      <c r="AJ19" s="69" t="inlineStr">
        <is>
          <t>MX</t>
        </is>
      </c>
      <c r="AK19" s="69" t="n"/>
      <c r="AL19" s="68" t="n">
        <v>1</v>
      </c>
      <c r="AM19" s="68" t="n"/>
      <c r="AN19" s="68" t="n">
        <v>130966</v>
      </c>
      <c r="AO19" s="69" t="inlineStr">
        <is>
          <t>1893-1944</t>
        </is>
      </c>
      <c r="AP19" s="70" t="n">
        <v>2016</v>
      </c>
      <c r="AQ19" s="74" t="n">
        <v>1.51</v>
      </c>
      <c r="AR19" s="74" t="n">
        <v>1.87</v>
      </c>
      <c r="AS19" s="74" t="n">
        <v>67.90000000000001</v>
      </c>
      <c r="AT19" s="74" t="n">
        <v>58.01</v>
      </c>
      <c r="AU19" s="74" t="n">
        <v>56.6</v>
      </c>
      <c r="AV19" s="74" t="n">
        <v>9.278384158</v>
      </c>
      <c r="AW19" s="74" t="n">
        <v>11.380693782</v>
      </c>
      <c r="AX19" s="75" t="n">
        <v>99</v>
      </c>
      <c r="AY19" s="71" t="n">
        <v>37200000</v>
      </c>
      <c r="AZ19" s="71" t="n">
        <v>37200000</v>
      </c>
      <c r="BA19" s="71" t="n">
        <v>2342792</v>
      </c>
      <c r="BB19" s="71" t="n">
        <v>725119.97</v>
      </c>
      <c r="BC19" s="69" t="inlineStr">
        <is>
          <t>Refinance</t>
        </is>
      </c>
      <c r="BD19" s="69" t="inlineStr">
        <is>
          <t>N</t>
        </is>
      </c>
      <c r="BE19" s="71" t="n"/>
      <c r="BF19" s="71" t="n"/>
      <c r="BG19" s="71" t="n"/>
      <c r="BH19" s="71" t="n">
        <v>0</v>
      </c>
      <c r="BI19" s="71" t="n">
        <v>0</v>
      </c>
      <c r="BJ19" s="69" t="inlineStr">
        <is>
          <t>Y</t>
        </is>
      </c>
      <c r="BK19" s="69" t="inlineStr">
        <is>
          <t>Fillmore</t>
        </is>
      </c>
      <c r="BL19" s="75" t="n">
        <v>41.09</v>
      </c>
      <c r="BM19" s="73" t="n">
        <v>47756</v>
      </c>
      <c r="BN19" s="69" t="inlineStr">
        <is>
          <t>Michael Samschick</t>
        </is>
      </c>
      <c r="BO19" s="69" t="inlineStr">
        <is>
          <t>CIBC</t>
        </is>
      </c>
      <c r="BP19" s="69" t="inlineStr">
        <is>
          <t>Midland Loan Services</t>
        </is>
      </c>
      <c r="BQ19" s="69" t="inlineStr">
        <is>
          <t>Midland Loan Services</t>
        </is>
      </c>
      <c r="BR19" s="69" t="n"/>
      <c r="BS19" s="73" t="n">
        <v>46276</v>
      </c>
      <c r="BU19" s="76">
        <f>IF($C19="","",IFERROR(INDEX(dmName,MATCH($C19,dmID,0)),"Unmapped"))</f>
        <v/>
      </c>
      <c r="BV19" s="76">
        <f>IF($C19="","",IFERROR(INDEX(dmEntity,MATCH($C19,dmID,0)),"Unmapped"))</f>
        <v/>
      </c>
      <c r="BW19" s="77">
        <f>IF($C19="","",IFERROR(INDEX(dmVintage,MATCH($C19,dmID,0)),""))</f>
        <v/>
      </c>
      <c r="BX19" s="78">
        <f>IFERROR(INDEX(dmInclude,MATCH($C19,dmID,0)),0)</f>
        <v/>
      </c>
      <c r="BY19" s="78">
        <f>IF(N($I19)&gt;0,1,0)</f>
        <v/>
      </c>
      <c r="BZ19" s="76">
        <f>IF($AJ19="","Other / Leased Fee",IFERROR(INDEX(mapPTGroup,MATCH(LEFT(TRIM($AJ19),2),mapPTCode,0)),"Other / Leased Fee"))</f>
        <v/>
      </c>
      <c r="CA19" s="76">
        <f>IF(TRIM($AF19&amp;"")="","NR",LEFT(TRIM($AF19),2))</f>
        <v/>
      </c>
      <c r="CB19" s="76">
        <f>IFERROR(LOOKUP(2,1/(LEFT(TRIM($AI19&amp;""),LEN(mapRegion))=mapRegion),mapRegion),"Not Reported")</f>
        <v/>
      </c>
      <c r="CC19" s="76">
        <f>IF($BY19=0,"",IF(TRIM($W19&amp;"")="REO","REO",IF(TRIM($W19&amp;"")="FC","Foreclosure",IF(TRIM($W19&amp;"")="90+","90+ Days Delinquent",IF(TRIM($W19&amp;"")="60","60 Days Delinquent",IF(TRIM($W19&amp;"")="30","30 Days Delinquent",IF($X19="Non-Performing Matured Balloon","Non-Performing Matured Balloon",IF(OR($X19="Late Payment But Less Than 30 Days Delinquent",LEFT($X19&amp;"",20)="Payment Not Received"),"Late / In Grace (&lt;30 Days)",IF($X19="Performing Matured Balloon","Performing Matured Balloon","Current")))))))))</f>
        <v/>
      </c>
      <c r="CD19" s="78">
        <f>IF(OR($CC19="REO",$CC19="Foreclosure",$CC19="90+ Days Delinquent",$CC19="60 Days Delinquent",$CC19="30 Days Delinquent",$CC19="Non-Performing Matured Balloon"),1,0)</f>
        <v/>
      </c>
      <c r="CE19" s="76">
        <f>IF($AB19="Currently special serv","Currently Specially Serviced",IF($AB19="Returned to master serv","Previously Specially Serviced","Never Specially Serviced"))</f>
        <v/>
      </c>
      <c r="CF19" s="78">
        <f>IF($CE19="Currently Specially Serviced",1,0)</f>
        <v/>
      </c>
      <c r="CG19" s="76">
        <f>IF($AA19="Yes","Currently on Watchlist",IF($AA19="Previously","Previously on Watchlist","Never on Watchlist"))</f>
        <v/>
      </c>
      <c r="CH19" s="78">
        <f>IF($CG19="Currently on Watchlist",1,0)</f>
        <v/>
      </c>
      <c r="CI19" s="76">
        <f>IF($Z19="Full Defeasance","Fully Defeased",IF($Z19="Portion Of Loan Previously Defeased","Partially Defeased",IF($Z19="Defeasance Not Allowable","Not Defeased (Not Permitted)","Not Defeased")))</f>
        <v/>
      </c>
      <c r="CJ19" s="78">
        <f>IF($CI19="Fully Defeased",1,0)</f>
        <v/>
      </c>
      <c r="CK19" s="76">
        <f>IF($R19="IO","Full IO",IF(LEFT($R19&amp;"",7)="IO then","Partial IO","Amortizing"))</f>
        <v/>
      </c>
      <c r="CL19" s="78">
        <f>IF($CK19="Full IO",1,0)</f>
        <v/>
      </c>
      <c r="CM19" s="78">
        <f>IF($CK19="Partial IO",1,0)</f>
        <v/>
      </c>
      <c r="CN19" s="76">
        <f>IF(LEFT($F19&amp;"",10)="SPLIT_LOAN","Pari Passu Split","Standalone")</f>
        <v/>
      </c>
      <c r="CO19" s="78">
        <f>IF($CN19="Pari Passu Split",1,0)</f>
        <v/>
      </c>
      <c r="CP19" s="77">
        <f>IF(ISNUMBER($T19),YEAR($T19),"")</f>
        <v/>
      </c>
      <c r="CQ19" s="79">
        <f>IF(ISNUMBER($V19),$V19,IF(ISNUMBER($U19),$U19,""))</f>
        <v/>
      </c>
      <c r="CR19" s="77">
        <f>IF(ISNUMBER($CQ19),YEAR($CQ19),"")</f>
        <v/>
      </c>
      <c r="CS19" s="78">
        <f>IF(ISNUMBER($M19),MAX(0,$M19),IF(TRIM($M19&amp;"")="matured",0,""))</f>
        <v/>
      </c>
      <c r="CT19" s="78">
        <f>IF(AND(ISNUMBER($CS19),N($CS19)&lt;=mMatWindow),1,0)</f>
        <v/>
      </c>
      <c r="CU19" s="80">
        <f>IF(ISNUMBER($J19),$J19/100,"")</f>
        <v/>
      </c>
      <c r="CV19" s="81">
        <f>IF(ISNUMBER($AQ19),$AQ19,"")</f>
        <v/>
      </c>
      <c r="CW19" s="81">
        <f>IF(ISNUMBER($AR19),$AR19,"")</f>
        <v/>
      </c>
      <c r="CX19" s="82">
        <f>IF(ISNUMBER($AS19),$AS19/100,"")</f>
        <v/>
      </c>
      <c r="CY19" s="82">
        <f>IF(ISNUMBER($AT19),$AT19/100,"")</f>
        <v/>
      </c>
      <c r="CZ19" s="82">
        <f>IF(ISNUMBER($AU19),$AU19/100,"")</f>
        <v/>
      </c>
      <c r="DA19" s="82">
        <f>IF(ISNUMBER($AV19),$AV19/100,"")</f>
        <v/>
      </c>
      <c r="DB19" s="82">
        <f>IF(ISNUMBER($AW19),$AW19/100,"")</f>
        <v/>
      </c>
      <c r="DC19" s="82">
        <f>IF(ISNUMBER($AX19),$AX19/100,"")</f>
        <v/>
      </c>
      <c r="DD19" s="77">
        <f>IFERROR(VALUE(LEFT(TRIM($AO19&amp;""),4)),"")</f>
        <v/>
      </c>
      <c r="DE19" s="78">
        <f>IF(AND($BY19=1,$BX19=1,OR(fDeal="All Deals",$BU19=fDeal),OR(fEntity="All Entities",$BV19=fEntity),OR(fPType="All Property Types",$BZ19=fPType),OR(fDefeased="Include",$CJ19=0)),1,0)</f>
        <v/>
      </c>
      <c r="DF19" s="83">
        <f>$DE19*N($I19)</f>
        <v/>
      </c>
      <c r="DG19" s="78">
        <f>IF($DE19=1,IF(COUNTIFS($F$8:$F19,$F19,$DE$8:$DE19,1)=1,1,0),0)</f>
        <v/>
      </c>
      <c r="DH19" s="83">
        <f>IF($DG19=1,SUMIFS($DF$8:$DF$1600,$F$8:$F$1600,$F19),0)</f>
        <v/>
      </c>
      <c r="DI19" s="78">
        <f>IF($DG19=1,COUNTIFS($F$8:$F$1600,$F19,$DE$8:$DE$1600,1),0)</f>
        <v/>
      </c>
      <c r="DJ19" s="84">
        <f>IF($DG19=1,$DH19+(100000-ROW())/mTieBreak,0)</f>
        <v/>
      </c>
    </row>
    <row r="20">
      <c r="B20" s="68" t="n">
        <v>13</v>
      </c>
      <c r="C20" s="69" t="inlineStr">
        <is>
          <t>UBS17C02</t>
        </is>
      </c>
      <c r="D20" s="69" t="inlineStr">
        <is>
          <t>13.000</t>
        </is>
      </c>
      <c r="E20" s="69" t="inlineStr">
        <is>
          <t>Embassy Suites - San Luis Obispo</t>
        </is>
      </c>
      <c r="F20" s="69" t="inlineStr">
        <is>
          <t>LNUBS17C02-13.000</t>
        </is>
      </c>
      <c r="G20" s="70" t="n"/>
      <c r="H20" s="71" t="n">
        <v>24920000</v>
      </c>
      <c r="I20" s="71" t="n">
        <v>21929656.41000848</v>
      </c>
      <c r="J20" s="72" t="n">
        <v>4.81</v>
      </c>
      <c r="K20" s="69" t="inlineStr">
        <is>
          <t>Fixed rate</t>
        </is>
      </c>
      <c r="L20" s="68" t="n">
        <v>120</v>
      </c>
      <c r="M20" s="68" t="n">
        <v>11</v>
      </c>
      <c r="N20" s="68" t="n">
        <v>384</v>
      </c>
      <c r="O20" s="68" t="n">
        <v>24</v>
      </c>
      <c r="P20" s="68" t="n">
        <v>0</v>
      </c>
      <c r="Q20" s="68" t="n">
        <v>109</v>
      </c>
      <c r="R20" s="69" t="inlineStr">
        <is>
          <t>IO then Amort</t>
        </is>
      </c>
      <c r="S20" s="69" t="inlineStr">
        <is>
          <t>No</t>
        </is>
      </c>
      <c r="T20" s="73" t="n">
        <v>42948</v>
      </c>
      <c r="U20" s="73" t="n">
        <v>46600</v>
      </c>
      <c r="V20" s="73" t="n"/>
      <c r="W20" s="69" t="n"/>
      <c r="X20" s="69" t="inlineStr">
        <is>
          <t>Current</t>
        </is>
      </c>
      <c r="Y20" s="68" t="n"/>
      <c r="Z20" s="69" t="inlineStr">
        <is>
          <t>Full Defeasance</t>
        </is>
      </c>
      <c r="AA20" s="69" t="inlineStr">
        <is>
          <t>Previously</t>
        </is>
      </c>
      <c r="AB20" s="69" t="inlineStr">
        <is>
          <t>Never special serv</t>
        </is>
      </c>
      <c r="AC20" s="73" t="n"/>
      <c r="AD20" s="69" t="n"/>
      <c r="AE20" s="69" t="n"/>
      <c r="AF20" s="69" t="inlineStr">
        <is>
          <t>CA</t>
        </is>
      </c>
      <c r="AG20" s="69" t="inlineStr">
        <is>
          <t>San Luis Obispo</t>
        </is>
      </c>
      <c r="AH20" s="69" t="inlineStr">
        <is>
          <t>San Luis Obispo-Paso Robles, CA</t>
        </is>
      </c>
      <c r="AI20" s="69" t="inlineStr">
        <is>
          <t>West / Pacific South</t>
        </is>
      </c>
      <c r="AJ20" s="69" t="inlineStr">
        <is>
          <t>HT</t>
        </is>
      </c>
      <c r="AK20" s="69" t="inlineStr">
        <is>
          <t>Full Service</t>
        </is>
      </c>
      <c r="AL20" s="68" t="n">
        <v>1</v>
      </c>
      <c r="AM20" s="68" t="n">
        <v>195</v>
      </c>
      <c r="AN20" s="68" t="n"/>
      <c r="AO20" s="69" t="inlineStr">
        <is>
          <t>1986</t>
        </is>
      </c>
      <c r="AP20" s="70" t="n">
        <v>2017</v>
      </c>
      <c r="AQ20" s="74" t="n">
        <v>1.99</v>
      </c>
      <c r="AR20" s="74" t="n">
        <v>1.86</v>
      </c>
      <c r="AS20" s="74" t="n">
        <v>50.7</v>
      </c>
      <c r="AT20" s="74" t="n">
        <v>44.57</v>
      </c>
      <c r="AU20" s="74" t="n">
        <v>43.6</v>
      </c>
      <c r="AV20" s="74" t="n">
        <v>12.557211196</v>
      </c>
      <c r="AW20" s="74" t="n">
        <v>11.262460724</v>
      </c>
      <c r="AX20" s="75" t="n">
        <v>83</v>
      </c>
      <c r="AY20" s="71" t="n">
        <v>49200000</v>
      </c>
      <c r="AZ20" s="71" t="n">
        <v>49200000</v>
      </c>
      <c r="BA20" s="71" t="n">
        <v>3129257.03</v>
      </c>
      <c r="BB20" s="71" t="n">
        <v>2927151.28</v>
      </c>
      <c r="BC20" s="69" t="inlineStr">
        <is>
          <t>Refinance</t>
        </is>
      </c>
      <c r="BD20" s="69" t="inlineStr">
        <is>
          <t>N</t>
        </is>
      </c>
      <c r="BE20" s="71" t="n"/>
      <c r="BF20" s="71" t="n"/>
      <c r="BG20" s="71" t="n"/>
      <c r="BH20" s="71" t="n">
        <v>0</v>
      </c>
      <c r="BI20" s="71" t="n">
        <v>0</v>
      </c>
      <c r="BJ20" s="69" t="inlineStr">
        <is>
          <t>Y</t>
        </is>
      </c>
      <c r="BK20" s="69" t="n"/>
      <c r="BL20" s="75" t="n"/>
      <c r="BM20" s="73" t="n"/>
      <c r="BN20" s="69" t="inlineStr">
        <is>
          <t>Patrick M. Nesbitt Family Trust; Patrick M. Nesbitt</t>
        </is>
      </c>
      <c r="BO20" s="69" t="inlineStr">
        <is>
          <t>Societe Generale</t>
        </is>
      </c>
      <c r="BP20" s="69" t="inlineStr">
        <is>
          <t>Midland Loan Services</t>
        </is>
      </c>
      <c r="BQ20" s="69" t="inlineStr">
        <is>
          <t>Midland Loan Services</t>
        </is>
      </c>
      <c r="BR20" s="69" t="n"/>
      <c r="BS20" s="73" t="n">
        <v>46276</v>
      </c>
      <c r="BU20" s="76">
        <f>IF($C20="","",IFERROR(INDEX(dmName,MATCH($C20,dmID,0)),"Unmapped"))</f>
        <v/>
      </c>
      <c r="BV20" s="76">
        <f>IF($C20="","",IFERROR(INDEX(dmEntity,MATCH($C20,dmID,0)),"Unmapped"))</f>
        <v/>
      </c>
      <c r="BW20" s="77">
        <f>IF($C20="","",IFERROR(INDEX(dmVintage,MATCH($C20,dmID,0)),""))</f>
        <v/>
      </c>
      <c r="BX20" s="78">
        <f>IFERROR(INDEX(dmInclude,MATCH($C20,dmID,0)),0)</f>
        <v/>
      </c>
      <c r="BY20" s="78">
        <f>IF(N($I20)&gt;0,1,0)</f>
        <v/>
      </c>
      <c r="BZ20" s="76">
        <f>IF($AJ20="","Other / Leased Fee",IFERROR(INDEX(mapPTGroup,MATCH(LEFT(TRIM($AJ20),2),mapPTCode,0)),"Other / Leased Fee"))</f>
        <v/>
      </c>
      <c r="CA20" s="76">
        <f>IF(TRIM($AF20&amp;"")="","NR",LEFT(TRIM($AF20),2))</f>
        <v/>
      </c>
      <c r="CB20" s="76">
        <f>IFERROR(LOOKUP(2,1/(LEFT(TRIM($AI20&amp;""),LEN(mapRegion))=mapRegion),mapRegion),"Not Reported")</f>
        <v/>
      </c>
      <c r="CC20" s="76">
        <f>IF($BY20=0,"",IF(TRIM($W20&amp;"")="REO","REO",IF(TRIM($W20&amp;"")="FC","Foreclosure",IF(TRIM($W20&amp;"")="90+","90+ Days Delinquent",IF(TRIM($W20&amp;"")="60","60 Days Delinquent",IF(TRIM($W20&amp;"")="30","30 Days Delinquent",IF($X20="Non-Performing Matured Balloon","Non-Performing Matured Balloon",IF(OR($X20="Late Payment But Less Than 30 Days Delinquent",LEFT($X20&amp;"",20)="Payment Not Received"),"Late / In Grace (&lt;30 Days)",IF($X20="Performing Matured Balloon","Performing Matured Balloon","Current")))))))))</f>
        <v/>
      </c>
      <c r="CD20" s="78">
        <f>IF(OR($CC20="REO",$CC20="Foreclosure",$CC20="90+ Days Delinquent",$CC20="60 Days Delinquent",$CC20="30 Days Delinquent",$CC20="Non-Performing Matured Balloon"),1,0)</f>
        <v/>
      </c>
      <c r="CE20" s="76">
        <f>IF($AB20="Currently special serv","Currently Specially Serviced",IF($AB20="Returned to master serv","Previously Specially Serviced","Never Specially Serviced"))</f>
        <v/>
      </c>
      <c r="CF20" s="78">
        <f>IF($CE20="Currently Specially Serviced",1,0)</f>
        <v/>
      </c>
      <c r="CG20" s="76">
        <f>IF($AA20="Yes","Currently on Watchlist",IF($AA20="Previously","Previously on Watchlist","Never on Watchlist"))</f>
        <v/>
      </c>
      <c r="CH20" s="78">
        <f>IF($CG20="Currently on Watchlist",1,0)</f>
        <v/>
      </c>
      <c r="CI20" s="76">
        <f>IF($Z20="Full Defeasance","Fully Defeased",IF($Z20="Portion Of Loan Previously Defeased","Partially Defeased",IF($Z20="Defeasance Not Allowable","Not Defeased (Not Permitted)","Not Defeased")))</f>
        <v/>
      </c>
      <c r="CJ20" s="78">
        <f>IF($CI20="Fully Defeased",1,0)</f>
        <v/>
      </c>
      <c r="CK20" s="76">
        <f>IF($R20="IO","Full IO",IF(LEFT($R20&amp;"",7)="IO then","Partial IO","Amortizing"))</f>
        <v/>
      </c>
      <c r="CL20" s="78">
        <f>IF($CK20="Full IO",1,0)</f>
        <v/>
      </c>
      <c r="CM20" s="78">
        <f>IF($CK20="Partial IO",1,0)</f>
        <v/>
      </c>
      <c r="CN20" s="76">
        <f>IF(LEFT($F20&amp;"",10)="SPLIT_LOAN","Pari Passu Split","Standalone")</f>
        <v/>
      </c>
      <c r="CO20" s="78">
        <f>IF($CN20="Pari Passu Split",1,0)</f>
        <v/>
      </c>
      <c r="CP20" s="77">
        <f>IF(ISNUMBER($T20),YEAR($T20),"")</f>
        <v/>
      </c>
      <c r="CQ20" s="79">
        <f>IF(ISNUMBER($V20),$V20,IF(ISNUMBER($U20),$U20,""))</f>
        <v/>
      </c>
      <c r="CR20" s="77">
        <f>IF(ISNUMBER($CQ20),YEAR($CQ20),"")</f>
        <v/>
      </c>
      <c r="CS20" s="78">
        <f>IF(ISNUMBER($M20),MAX(0,$M20),IF(TRIM($M20&amp;"")="matured",0,""))</f>
        <v/>
      </c>
      <c r="CT20" s="78">
        <f>IF(AND(ISNUMBER($CS20),N($CS20)&lt;=mMatWindow),1,0)</f>
        <v/>
      </c>
      <c r="CU20" s="80">
        <f>IF(ISNUMBER($J20),$J20/100,"")</f>
        <v/>
      </c>
      <c r="CV20" s="81">
        <f>IF(ISNUMBER($AQ20),$AQ20,"")</f>
        <v/>
      </c>
      <c r="CW20" s="81">
        <f>IF(ISNUMBER($AR20),$AR20,"")</f>
        <v/>
      </c>
      <c r="CX20" s="82">
        <f>IF(ISNUMBER($AS20),$AS20/100,"")</f>
        <v/>
      </c>
      <c r="CY20" s="82">
        <f>IF(ISNUMBER($AT20),$AT20/100,"")</f>
        <v/>
      </c>
      <c r="CZ20" s="82">
        <f>IF(ISNUMBER($AU20),$AU20/100,"")</f>
        <v/>
      </c>
      <c r="DA20" s="82">
        <f>IF(ISNUMBER($AV20),$AV20/100,"")</f>
        <v/>
      </c>
      <c r="DB20" s="82">
        <f>IF(ISNUMBER($AW20),$AW20/100,"")</f>
        <v/>
      </c>
      <c r="DC20" s="82">
        <f>IF(ISNUMBER($AX20),$AX20/100,"")</f>
        <v/>
      </c>
      <c r="DD20" s="77">
        <f>IFERROR(VALUE(LEFT(TRIM($AO20&amp;""),4)),"")</f>
        <v/>
      </c>
      <c r="DE20" s="78">
        <f>IF(AND($BY20=1,$BX20=1,OR(fDeal="All Deals",$BU20=fDeal),OR(fEntity="All Entities",$BV20=fEntity),OR(fPType="All Property Types",$BZ20=fPType),OR(fDefeased="Include",$CJ20=0)),1,0)</f>
        <v/>
      </c>
      <c r="DF20" s="83">
        <f>$DE20*N($I20)</f>
        <v/>
      </c>
      <c r="DG20" s="78">
        <f>IF($DE20=1,IF(COUNTIFS($F$8:$F20,$F20,$DE$8:$DE20,1)=1,1,0),0)</f>
        <v/>
      </c>
      <c r="DH20" s="83">
        <f>IF($DG20=1,SUMIFS($DF$8:$DF$1600,$F$8:$F$1600,$F20),0)</f>
        <v/>
      </c>
      <c r="DI20" s="78">
        <f>IF($DG20=1,COUNTIFS($F$8:$F$1600,$F20,$DE$8:$DE$1600,1),0)</f>
        <v/>
      </c>
      <c r="DJ20" s="84">
        <f>IF($DG20=1,$DH20+(100000-ROW())/mTieBreak,0)</f>
        <v/>
      </c>
    </row>
    <row r="21">
      <c r="B21" s="68" t="n">
        <v>14</v>
      </c>
      <c r="C21" s="69" t="inlineStr">
        <is>
          <t>UBS17C02</t>
        </is>
      </c>
      <c r="D21" s="69" t="inlineStr">
        <is>
          <t>14.000</t>
        </is>
      </c>
      <c r="E21" s="69" t="inlineStr">
        <is>
          <t>IC Leased Fee Hotel Portfolio</t>
        </is>
      </c>
      <c r="F21" s="69" t="inlineStr">
        <is>
          <t>SPLIT_LOAN_01048</t>
        </is>
      </c>
      <c r="G21" s="70" t="n">
        <v>1048</v>
      </c>
      <c r="H21" s="71" t="n">
        <v>24000000</v>
      </c>
      <c r="I21" s="71" t="n">
        <v>0</v>
      </c>
      <c r="J21" s="72" t="n">
        <v>5.02</v>
      </c>
      <c r="K21" s="69" t="inlineStr">
        <is>
          <t>Fixed rate</t>
        </is>
      </c>
      <c r="L21" s="68" t="n">
        <v>120</v>
      </c>
      <c r="M21" s="68" t="n"/>
      <c r="N21" s="68" t="n">
        <v>120</v>
      </c>
      <c r="O21" s="68" t="n">
        <v>120</v>
      </c>
      <c r="P21" s="68" t="n"/>
      <c r="Q21" s="68" t="n"/>
      <c r="R21" s="69" t="inlineStr">
        <is>
          <t>IO</t>
        </is>
      </c>
      <c r="S21" s="69" t="inlineStr">
        <is>
          <t>Yes</t>
        </is>
      </c>
      <c r="T21" s="73" t="n">
        <v>42948</v>
      </c>
      <c r="U21" s="73" t="n">
        <v>46604</v>
      </c>
      <c r="V21" s="73" t="n"/>
      <c r="W21" s="69" t="n"/>
      <c r="X21" s="69" t="inlineStr">
        <is>
          <t>Current</t>
        </is>
      </c>
      <c r="Y21" s="68" t="n"/>
      <c r="Z21" s="69" t="inlineStr">
        <is>
          <t>No Defeasance Occurred</t>
        </is>
      </c>
      <c r="AA21" s="69" t="inlineStr">
        <is>
          <t>Previously</t>
        </is>
      </c>
      <c r="AB21" s="69" t="inlineStr">
        <is>
          <t>Currently special serv</t>
        </is>
      </c>
      <c r="AC21" s="73" t="n">
        <v>43622</v>
      </c>
      <c r="AD21" s="69" t="inlineStr">
        <is>
          <t>Payment Default (all payments excluding Balloon/Maturity Payment)</t>
        </is>
      </c>
      <c r="AE21" s="69" t="inlineStr">
        <is>
          <t>Note Sale</t>
        </is>
      </c>
      <c r="AF21" s="69" t="inlineStr">
        <is>
          <t>WI-25.762426958% MO-25.226126625% NY-13.447530625% CT-10.758024500% WY-10.653966208% NC-9.349235583% MT-4.802689500%</t>
        </is>
      </c>
      <c r="AG21" s="69" t="n"/>
      <c r="AH21" s="69" t="inlineStr">
        <is>
          <t>Appleton, WI-25.762426958% St. Louis, MO-IL-25.226126625% Albany-Schenectady-Troy, NY-13.447530625% Hartford-West Hartford-East Hartford, CT-10.758024500% Cheyenne, WY-10.653966208% Greensboro-High Point, NC-9.349235583% Billings, MT-4.802689500%</t>
        </is>
      </c>
      <c r="AI21" s="69" t="inlineStr">
        <is>
          <t>Midwest / Central East-25.762426958% Midwest / Central West-25.226126625% West / Mountain-15.456655708% Northeast / Mid-Atlantic-13.447530625% Northeast / New England-10.758024500% South / Atlantic-9.349235583%</t>
        </is>
      </c>
      <c r="AJ21" s="69" t="inlineStr">
        <is>
          <t>OT</t>
        </is>
      </c>
      <c r="AK21" s="69" t="n"/>
      <c r="AL21" s="68" t="n">
        <v>7</v>
      </c>
      <c r="AM21" s="68" t="n"/>
      <c r="AN21" s="68" t="n">
        <v>2133133</v>
      </c>
      <c r="AO21" s="69" t="n"/>
      <c r="AP21" s="70" t="n">
        <v>2016</v>
      </c>
      <c r="AQ21" s="74" t="n">
        <v>1.67</v>
      </c>
      <c r="AR21" s="74" t="n">
        <v>0.99</v>
      </c>
      <c r="AS21" s="74" t="n">
        <v>73.2</v>
      </c>
      <c r="AT21" s="74" t="n"/>
      <c r="AU21" s="74" t="n">
        <v>73.2</v>
      </c>
      <c r="AV21" s="74" t="n">
        <v>8.493247387</v>
      </c>
      <c r="AW21" s="74" t="n"/>
      <c r="AX21" s="75" t="n">
        <v>46</v>
      </c>
      <c r="AY21" s="71" t="n">
        <v>85300000</v>
      </c>
      <c r="AZ21" s="71" t="n">
        <v>82100000</v>
      </c>
      <c r="BA21" s="71" t="n">
        <v>5305306.98</v>
      </c>
      <c r="BB21" s="71" t="n">
        <v>5479995.9</v>
      </c>
      <c r="BC21" s="69" t="inlineStr">
        <is>
          <t>Refinance</t>
        </is>
      </c>
      <c r="BD21" s="69" t="inlineStr">
        <is>
          <t>N</t>
        </is>
      </c>
      <c r="BE21" s="71" t="n">
        <v>0</v>
      </c>
      <c r="BF21" s="71" t="n"/>
      <c r="BG21" s="71" t="n"/>
      <c r="BH21" s="71" t="n">
        <v>0</v>
      </c>
      <c r="BI21" s="71" t="n">
        <v>0</v>
      </c>
      <c r="BJ21" s="69" t="inlineStr">
        <is>
          <t>N</t>
        </is>
      </c>
      <c r="BK21" s="69" t="n"/>
      <c r="BL21" s="75" t="n"/>
      <c r="BM21" s="73" t="n"/>
      <c r="BN21" s="69" t="inlineStr">
        <is>
          <t>Joseph G. Gillespie, III</t>
        </is>
      </c>
      <c r="BO21" s="69" t="inlineStr">
        <is>
          <t>Natixis</t>
        </is>
      </c>
      <c r="BP21" s="69" t="inlineStr">
        <is>
          <t>Midland Loan Services</t>
        </is>
      </c>
      <c r="BQ21" s="69" t="inlineStr">
        <is>
          <t>Midland Loan Services</t>
        </is>
      </c>
      <c r="BR21" s="69" t="inlineStr">
        <is>
          <t>Payoff Prior To Maturity</t>
        </is>
      </c>
      <c r="BS21" s="73" t="n">
        <v>44753</v>
      </c>
      <c r="BU21" s="76">
        <f>IF($C21="","",IFERROR(INDEX(dmName,MATCH($C21,dmID,0)),"Unmapped"))</f>
        <v/>
      </c>
      <c r="BV21" s="76">
        <f>IF($C21="","",IFERROR(INDEX(dmEntity,MATCH($C21,dmID,0)),"Unmapped"))</f>
        <v/>
      </c>
      <c r="BW21" s="77">
        <f>IF($C21="","",IFERROR(INDEX(dmVintage,MATCH($C21,dmID,0)),""))</f>
        <v/>
      </c>
      <c r="BX21" s="78">
        <f>IFERROR(INDEX(dmInclude,MATCH($C21,dmID,0)),0)</f>
        <v/>
      </c>
      <c r="BY21" s="78">
        <f>IF(N($I21)&gt;0,1,0)</f>
        <v/>
      </c>
      <c r="BZ21" s="76">
        <f>IF($AJ21="","Other / Leased Fee",IFERROR(INDEX(mapPTGroup,MATCH(LEFT(TRIM($AJ21),2),mapPTCode,0)),"Other / Leased Fee"))</f>
        <v/>
      </c>
      <c r="CA21" s="76">
        <f>IF(TRIM($AF21&amp;"")="","NR",LEFT(TRIM($AF21),2))</f>
        <v/>
      </c>
      <c r="CB21" s="76">
        <f>IFERROR(LOOKUP(2,1/(LEFT(TRIM($AI21&amp;""),LEN(mapRegion))=mapRegion),mapRegion),"Not Reported")</f>
        <v/>
      </c>
      <c r="CC21" s="76">
        <f>IF($BY21=0,"",IF(TRIM($W21&amp;"")="REO","REO",IF(TRIM($W21&amp;"")="FC","Foreclosure",IF(TRIM($W21&amp;"")="90+","90+ Days Delinquent",IF(TRIM($W21&amp;"")="60","60 Days Delinquent",IF(TRIM($W21&amp;"")="30","30 Days Delinquent",IF($X21="Non-Performing Matured Balloon","Non-Performing Matured Balloon",IF(OR($X21="Late Payment But Less Than 30 Days Delinquent",LEFT($X21&amp;"",20)="Payment Not Received"),"Late / In Grace (&lt;30 Days)",IF($X21="Performing Matured Balloon","Performing Matured Balloon","Current")))))))))</f>
        <v/>
      </c>
      <c r="CD21" s="78">
        <f>IF(OR($CC21="REO",$CC21="Foreclosure",$CC21="90+ Days Delinquent",$CC21="60 Days Delinquent",$CC21="30 Days Delinquent",$CC21="Non-Performing Matured Balloon"),1,0)</f>
        <v/>
      </c>
      <c r="CE21" s="76">
        <f>IF($AB21="Currently special serv","Currently Specially Serviced",IF($AB21="Returned to master serv","Previously Specially Serviced","Never Specially Serviced"))</f>
        <v/>
      </c>
      <c r="CF21" s="78">
        <f>IF($CE21="Currently Specially Serviced",1,0)</f>
        <v/>
      </c>
      <c r="CG21" s="76">
        <f>IF($AA21="Yes","Currently on Watchlist",IF($AA21="Previously","Previously on Watchlist","Never on Watchlist"))</f>
        <v/>
      </c>
      <c r="CH21" s="78">
        <f>IF($CG21="Currently on Watchlist",1,0)</f>
        <v/>
      </c>
      <c r="CI21" s="76">
        <f>IF($Z21="Full Defeasance","Fully Defeased",IF($Z21="Portion Of Loan Previously Defeased","Partially Defeased",IF($Z21="Defeasance Not Allowable","Not Defeased (Not Permitted)","Not Defeased")))</f>
        <v/>
      </c>
      <c r="CJ21" s="78">
        <f>IF($CI21="Fully Defeased",1,0)</f>
        <v/>
      </c>
      <c r="CK21" s="76">
        <f>IF($R21="IO","Full IO",IF(LEFT($R21&amp;"",7)="IO then","Partial IO","Amortizing"))</f>
        <v/>
      </c>
      <c r="CL21" s="78">
        <f>IF($CK21="Full IO",1,0)</f>
        <v/>
      </c>
      <c r="CM21" s="78">
        <f>IF($CK21="Partial IO",1,0)</f>
        <v/>
      </c>
      <c r="CN21" s="76">
        <f>IF(LEFT($F21&amp;"",10)="SPLIT_LOAN","Pari Passu Split","Standalone")</f>
        <v/>
      </c>
      <c r="CO21" s="78">
        <f>IF($CN21="Pari Passu Split",1,0)</f>
        <v/>
      </c>
      <c r="CP21" s="77">
        <f>IF(ISNUMBER($T21),YEAR($T21),"")</f>
        <v/>
      </c>
      <c r="CQ21" s="79">
        <f>IF(ISNUMBER($V21),$V21,IF(ISNUMBER($U21),$U21,""))</f>
        <v/>
      </c>
      <c r="CR21" s="77">
        <f>IF(ISNUMBER($CQ21),YEAR($CQ21),"")</f>
        <v/>
      </c>
      <c r="CS21" s="78">
        <f>IF(ISNUMBER($M21),MAX(0,$M21),IF(TRIM($M21&amp;"")="matured",0,""))</f>
        <v/>
      </c>
      <c r="CT21" s="78">
        <f>IF(AND(ISNUMBER($CS21),N($CS21)&lt;=mMatWindow),1,0)</f>
        <v/>
      </c>
      <c r="CU21" s="80">
        <f>IF(ISNUMBER($J21),$J21/100,"")</f>
        <v/>
      </c>
      <c r="CV21" s="81">
        <f>IF(ISNUMBER($AQ21),$AQ21,"")</f>
        <v/>
      </c>
      <c r="CW21" s="81">
        <f>IF(ISNUMBER($AR21),$AR21,"")</f>
        <v/>
      </c>
      <c r="CX21" s="82">
        <f>IF(ISNUMBER($AS21),$AS21/100,"")</f>
        <v/>
      </c>
      <c r="CY21" s="82">
        <f>IF(ISNUMBER($AT21),$AT21/100,"")</f>
        <v/>
      </c>
      <c r="CZ21" s="82">
        <f>IF(ISNUMBER($AU21),$AU21/100,"")</f>
        <v/>
      </c>
      <c r="DA21" s="82">
        <f>IF(ISNUMBER($AV21),$AV21/100,"")</f>
        <v/>
      </c>
      <c r="DB21" s="82">
        <f>IF(ISNUMBER($AW21),$AW21/100,"")</f>
        <v/>
      </c>
      <c r="DC21" s="82">
        <f>IF(ISNUMBER($AX21),$AX21/100,"")</f>
        <v/>
      </c>
      <c r="DD21" s="77">
        <f>IFERROR(VALUE(LEFT(TRIM($AO21&amp;""),4)),"")</f>
        <v/>
      </c>
      <c r="DE21" s="78">
        <f>IF(AND($BY21=1,$BX21=1,OR(fDeal="All Deals",$BU21=fDeal),OR(fEntity="All Entities",$BV21=fEntity),OR(fPType="All Property Types",$BZ21=fPType),OR(fDefeased="Include",$CJ21=0)),1,0)</f>
        <v/>
      </c>
      <c r="DF21" s="83">
        <f>$DE21*N($I21)</f>
        <v/>
      </c>
      <c r="DG21" s="78">
        <f>IF($DE21=1,IF(COUNTIFS($F$8:$F21,$F21,$DE$8:$DE21,1)=1,1,0),0)</f>
        <v/>
      </c>
      <c r="DH21" s="83">
        <f>IF($DG21=1,SUMIFS($DF$8:$DF$1600,$F$8:$F$1600,$F21),0)</f>
        <v/>
      </c>
      <c r="DI21" s="78">
        <f>IF($DG21=1,COUNTIFS($F$8:$F$1600,$F21,$DE$8:$DE$1600,1),0)</f>
        <v/>
      </c>
      <c r="DJ21" s="84">
        <f>IF($DG21=1,$DH21+(100000-ROW())/mTieBreak,0)</f>
        <v/>
      </c>
    </row>
    <row r="22">
      <c r="B22" s="68" t="n">
        <v>15</v>
      </c>
      <c r="C22" s="69" t="inlineStr">
        <is>
          <t>UBS17C02</t>
        </is>
      </c>
      <c r="D22" s="69" t="inlineStr">
        <is>
          <t>15.000</t>
        </is>
      </c>
      <c r="E22" s="69" t="inlineStr">
        <is>
          <t>Rosdev Industrial Portfolio</t>
        </is>
      </c>
      <c r="F22" s="69" t="inlineStr">
        <is>
          <t>LNUBS17C02-15.000</t>
        </is>
      </c>
      <c r="G22" s="70" t="n"/>
      <c r="H22" s="71" t="n">
        <v>21000000</v>
      </c>
      <c r="I22" s="71" t="n">
        <v>18007734.040002</v>
      </c>
      <c r="J22" s="72" t="n">
        <v>4.41</v>
      </c>
      <c r="K22" s="69" t="inlineStr">
        <is>
          <t>Fixed rate</t>
        </is>
      </c>
      <c r="L22" s="68" t="n">
        <v>120</v>
      </c>
      <c r="M22" s="68" t="n">
        <v>9</v>
      </c>
      <c r="N22" s="68" t="n">
        <v>378</v>
      </c>
      <c r="O22" s="68" t="n">
        <v>18</v>
      </c>
      <c r="P22" s="68" t="n">
        <v>0</v>
      </c>
      <c r="Q22" s="68" t="n">
        <v>111</v>
      </c>
      <c r="R22" s="69" t="inlineStr">
        <is>
          <t>IO then Amort</t>
        </is>
      </c>
      <c r="S22" s="69" t="inlineStr">
        <is>
          <t>No</t>
        </is>
      </c>
      <c r="T22" s="73" t="n">
        <v>42887</v>
      </c>
      <c r="U22" s="73" t="n">
        <v>46539</v>
      </c>
      <c r="V22" s="73" t="n"/>
      <c r="W22" s="69" t="n"/>
      <c r="X22" s="69" t="inlineStr">
        <is>
          <t>Current</t>
        </is>
      </c>
      <c r="Y22" s="68" t="n"/>
      <c r="Z22" s="69" t="inlineStr">
        <is>
          <t>No Defeasance Occurred</t>
        </is>
      </c>
      <c r="AA22" s="69" t="inlineStr">
        <is>
          <t>Previously</t>
        </is>
      </c>
      <c r="AB22" s="69" t="inlineStr">
        <is>
          <t>Never special serv</t>
        </is>
      </c>
      <c r="AC22" s="73" t="n"/>
      <c r="AD22" s="69" t="n"/>
      <c r="AE22" s="69" t="n"/>
      <c r="AF22" s="69" t="inlineStr">
        <is>
          <t>IL-72.852233662% OH-11.111111123% TX-11.111111123% SC-4.925544091%</t>
        </is>
      </c>
      <c r="AG22" s="69" t="n"/>
      <c r="AH22" s="69" t="inlineStr">
        <is>
          <t>Chicago-Naperville-Elgin, IL-IN-72.852233662% Columbus, OH-11.111111123% Dallas-Fort Worth-Arlington, TX-11.111111123% Greenville-Anderson-Greer, SC-4.925544091%</t>
        </is>
      </c>
      <c r="AI22" s="69" t="inlineStr">
        <is>
          <t>Midwest / Central East-83.963344785% South / Central West-11.111111123% South / Atlantic-4.925544091%</t>
        </is>
      </c>
      <c r="AJ22" s="69" t="inlineStr">
        <is>
          <t>IN</t>
        </is>
      </c>
      <c r="AK22" s="69" t="inlineStr">
        <is>
          <t>Warehouse</t>
        </is>
      </c>
      <c r="AL22" s="68" t="n">
        <v>5</v>
      </c>
      <c r="AM22" s="68" t="n"/>
      <c r="AN22" s="68" t="n">
        <v>486991</v>
      </c>
      <c r="AO22" s="69" t="n"/>
      <c r="AP22" s="70" t="n">
        <v>2016</v>
      </c>
      <c r="AQ22" s="74" t="n">
        <v>1.38</v>
      </c>
      <c r="AR22" s="74" t="n">
        <v>1.64</v>
      </c>
      <c r="AS22" s="74" t="n">
        <v>72.40000000000001</v>
      </c>
      <c r="AT22" s="74" t="n">
        <v>62.06</v>
      </c>
      <c r="AU22" s="74" t="n">
        <v>60.9</v>
      </c>
      <c r="AV22" s="74" t="n">
        <v>8.293238333</v>
      </c>
      <c r="AW22" s="74" t="n">
        <v>11.31395258</v>
      </c>
      <c r="AX22" s="75" t="n">
        <v>100</v>
      </c>
      <c r="AY22" s="71" t="n">
        <v>29015000</v>
      </c>
      <c r="AZ22" s="71" t="n">
        <v>29015000</v>
      </c>
      <c r="BA22" s="71" t="n">
        <v>1741580.05</v>
      </c>
      <c r="BB22" s="71" t="n">
        <v>518381.94</v>
      </c>
      <c r="BC22" s="69" t="inlineStr">
        <is>
          <t>Acquisition</t>
        </is>
      </c>
      <c r="BD22" s="69" t="inlineStr">
        <is>
          <t>N</t>
        </is>
      </c>
      <c r="BE22" s="71" t="n"/>
      <c r="BF22" s="71" t="n"/>
      <c r="BG22" s="71" t="n"/>
      <c r="BH22" s="71" t="n">
        <v>0</v>
      </c>
      <c r="BI22" s="71" t="n">
        <v>0</v>
      </c>
      <c r="BJ22" s="69" t="inlineStr">
        <is>
          <t>N</t>
        </is>
      </c>
      <c r="BK22" s="69" t="inlineStr">
        <is>
          <t>Element Food Solutions</t>
        </is>
      </c>
      <c r="BL22" s="75" t="n">
        <v>67.92</v>
      </c>
      <c r="BM22" s="73" t="n">
        <v>47603</v>
      </c>
      <c r="BN22" s="69" t="inlineStr">
        <is>
          <t>Michel Rosenberg</t>
        </is>
      </c>
      <c r="BO22" s="69" t="inlineStr">
        <is>
          <t>CIBC</t>
        </is>
      </c>
      <c r="BP22" s="69" t="inlineStr">
        <is>
          <t>Midland Loan Services</t>
        </is>
      </c>
      <c r="BQ22" s="69" t="inlineStr">
        <is>
          <t>Midland Loan Services</t>
        </is>
      </c>
      <c r="BR22" s="69" t="n"/>
      <c r="BS22" s="73" t="n">
        <v>46276</v>
      </c>
      <c r="BU22" s="76">
        <f>IF($C22="","",IFERROR(INDEX(dmName,MATCH($C22,dmID,0)),"Unmapped"))</f>
        <v/>
      </c>
      <c r="BV22" s="76">
        <f>IF($C22="","",IFERROR(INDEX(dmEntity,MATCH($C22,dmID,0)),"Unmapped"))</f>
        <v/>
      </c>
      <c r="BW22" s="77">
        <f>IF($C22="","",IFERROR(INDEX(dmVintage,MATCH($C22,dmID,0)),""))</f>
        <v/>
      </c>
      <c r="BX22" s="78">
        <f>IFERROR(INDEX(dmInclude,MATCH($C22,dmID,0)),0)</f>
        <v/>
      </c>
      <c r="BY22" s="78">
        <f>IF(N($I22)&gt;0,1,0)</f>
        <v/>
      </c>
      <c r="BZ22" s="76">
        <f>IF($AJ22="","Other / Leased Fee",IFERROR(INDEX(mapPTGroup,MATCH(LEFT(TRIM($AJ22),2),mapPTCode,0)),"Other / Leased Fee"))</f>
        <v/>
      </c>
      <c r="CA22" s="76">
        <f>IF(TRIM($AF22&amp;"")="","NR",LEFT(TRIM($AF22),2))</f>
        <v/>
      </c>
      <c r="CB22" s="76">
        <f>IFERROR(LOOKUP(2,1/(LEFT(TRIM($AI22&amp;""),LEN(mapRegion))=mapRegion),mapRegion),"Not Reported")</f>
        <v/>
      </c>
      <c r="CC22" s="76">
        <f>IF($BY22=0,"",IF(TRIM($W22&amp;"")="REO","REO",IF(TRIM($W22&amp;"")="FC","Foreclosure",IF(TRIM($W22&amp;"")="90+","90+ Days Delinquent",IF(TRIM($W22&amp;"")="60","60 Days Delinquent",IF(TRIM($W22&amp;"")="30","30 Days Delinquent",IF($X22="Non-Performing Matured Balloon","Non-Performing Matured Balloon",IF(OR($X22="Late Payment But Less Than 30 Days Delinquent",LEFT($X22&amp;"",20)="Payment Not Received"),"Late / In Grace (&lt;30 Days)",IF($X22="Performing Matured Balloon","Performing Matured Balloon","Current")))))))))</f>
        <v/>
      </c>
      <c r="CD22" s="78">
        <f>IF(OR($CC22="REO",$CC22="Foreclosure",$CC22="90+ Days Delinquent",$CC22="60 Days Delinquent",$CC22="30 Days Delinquent",$CC22="Non-Performing Matured Balloon"),1,0)</f>
        <v/>
      </c>
      <c r="CE22" s="76">
        <f>IF($AB22="Currently special serv","Currently Specially Serviced",IF($AB22="Returned to master serv","Previously Specially Serviced","Never Specially Serviced"))</f>
        <v/>
      </c>
      <c r="CF22" s="78">
        <f>IF($CE22="Currently Specially Serviced",1,0)</f>
        <v/>
      </c>
      <c r="CG22" s="76">
        <f>IF($AA22="Yes","Currently on Watchlist",IF($AA22="Previously","Previously on Watchlist","Never on Watchlist"))</f>
        <v/>
      </c>
      <c r="CH22" s="78">
        <f>IF($CG22="Currently on Watchlist",1,0)</f>
        <v/>
      </c>
      <c r="CI22" s="76">
        <f>IF($Z22="Full Defeasance","Fully Defeased",IF($Z22="Portion Of Loan Previously Defeased","Partially Defeased",IF($Z22="Defeasance Not Allowable","Not Defeased (Not Permitted)","Not Defeased")))</f>
        <v/>
      </c>
      <c r="CJ22" s="78">
        <f>IF($CI22="Fully Defeased",1,0)</f>
        <v/>
      </c>
      <c r="CK22" s="76">
        <f>IF($R22="IO","Full IO",IF(LEFT($R22&amp;"",7)="IO then","Partial IO","Amortizing"))</f>
        <v/>
      </c>
      <c r="CL22" s="78">
        <f>IF($CK22="Full IO",1,0)</f>
        <v/>
      </c>
      <c r="CM22" s="78">
        <f>IF($CK22="Partial IO",1,0)</f>
        <v/>
      </c>
      <c r="CN22" s="76">
        <f>IF(LEFT($F22&amp;"",10)="SPLIT_LOAN","Pari Passu Split","Standalone")</f>
        <v/>
      </c>
      <c r="CO22" s="78">
        <f>IF($CN22="Pari Passu Split",1,0)</f>
        <v/>
      </c>
      <c r="CP22" s="77">
        <f>IF(ISNUMBER($T22),YEAR($T22),"")</f>
        <v/>
      </c>
      <c r="CQ22" s="79">
        <f>IF(ISNUMBER($V22),$V22,IF(ISNUMBER($U22),$U22,""))</f>
        <v/>
      </c>
      <c r="CR22" s="77">
        <f>IF(ISNUMBER($CQ22),YEAR($CQ22),"")</f>
        <v/>
      </c>
      <c r="CS22" s="78">
        <f>IF(ISNUMBER($M22),MAX(0,$M22),IF(TRIM($M22&amp;"")="matured",0,""))</f>
        <v/>
      </c>
      <c r="CT22" s="78">
        <f>IF(AND(ISNUMBER($CS22),N($CS22)&lt;=mMatWindow),1,0)</f>
        <v/>
      </c>
      <c r="CU22" s="80">
        <f>IF(ISNUMBER($J22),$J22/100,"")</f>
        <v/>
      </c>
      <c r="CV22" s="81">
        <f>IF(ISNUMBER($AQ22),$AQ22,"")</f>
        <v/>
      </c>
      <c r="CW22" s="81">
        <f>IF(ISNUMBER($AR22),$AR22,"")</f>
        <v/>
      </c>
      <c r="CX22" s="82">
        <f>IF(ISNUMBER($AS22),$AS22/100,"")</f>
        <v/>
      </c>
      <c r="CY22" s="82">
        <f>IF(ISNUMBER($AT22),$AT22/100,"")</f>
        <v/>
      </c>
      <c r="CZ22" s="82">
        <f>IF(ISNUMBER($AU22),$AU22/100,"")</f>
        <v/>
      </c>
      <c r="DA22" s="82">
        <f>IF(ISNUMBER($AV22),$AV22/100,"")</f>
        <v/>
      </c>
      <c r="DB22" s="82">
        <f>IF(ISNUMBER($AW22),$AW22/100,"")</f>
        <v/>
      </c>
      <c r="DC22" s="82">
        <f>IF(ISNUMBER($AX22),$AX22/100,"")</f>
        <v/>
      </c>
      <c r="DD22" s="77">
        <f>IFERROR(VALUE(LEFT(TRIM($AO22&amp;""),4)),"")</f>
        <v/>
      </c>
      <c r="DE22" s="78">
        <f>IF(AND($BY22=1,$BX22=1,OR(fDeal="All Deals",$BU22=fDeal),OR(fEntity="All Entities",$BV22=fEntity),OR(fPType="All Property Types",$BZ22=fPType),OR(fDefeased="Include",$CJ22=0)),1,0)</f>
        <v/>
      </c>
      <c r="DF22" s="83">
        <f>$DE22*N($I22)</f>
        <v/>
      </c>
      <c r="DG22" s="78">
        <f>IF($DE22=1,IF(COUNTIFS($F$8:$F22,$F22,$DE$8:$DE22,1)=1,1,0),0)</f>
        <v/>
      </c>
      <c r="DH22" s="83">
        <f>IF($DG22=1,SUMIFS($DF$8:$DF$1600,$F$8:$F$1600,$F22),0)</f>
        <v/>
      </c>
      <c r="DI22" s="78">
        <f>IF($DG22=1,COUNTIFS($F$8:$F$1600,$F22,$DE$8:$DE$1600,1),0)</f>
        <v/>
      </c>
      <c r="DJ22" s="84">
        <f>IF($DG22=1,$DH22+(100000-ROW())/mTieBreak,0)</f>
        <v/>
      </c>
    </row>
    <row r="23">
      <c r="B23" s="68" t="n">
        <v>16</v>
      </c>
      <c r="C23" s="69" t="inlineStr">
        <is>
          <t>UBS17C02</t>
        </is>
      </c>
      <c r="D23" s="69" t="inlineStr">
        <is>
          <t>16.000</t>
        </is>
      </c>
      <c r="E23" s="69" t="inlineStr">
        <is>
          <t>Breckenridge Portfolio</t>
        </is>
      </c>
      <c r="F23" s="69" t="inlineStr">
        <is>
          <t>LNUBS17C02-16.000</t>
        </is>
      </c>
      <c r="G23" s="70" t="n"/>
      <c r="H23" s="71" t="n">
        <v>18600000</v>
      </c>
      <c r="I23" s="71" t="n">
        <v>15748672.099995</v>
      </c>
      <c r="J23" s="72" t="n">
        <v>5.1717</v>
      </c>
      <c r="K23" s="69" t="inlineStr">
        <is>
          <t>Fixed rate</t>
        </is>
      </c>
      <c r="L23" s="68" t="n">
        <v>120</v>
      </c>
      <c r="M23" s="68" t="n">
        <v>11</v>
      </c>
      <c r="N23" s="68" t="n">
        <v>360</v>
      </c>
      <c r="O23" s="68" t="n"/>
      <c r="P23" s="68" t="n"/>
      <c r="Q23" s="68" t="n">
        <v>109</v>
      </c>
      <c r="R23" s="69" t="n"/>
      <c r="S23" s="69" t="inlineStr">
        <is>
          <t>No</t>
        </is>
      </c>
      <c r="T23" s="73" t="n">
        <v>42948</v>
      </c>
      <c r="U23" s="73" t="n">
        <v>46605</v>
      </c>
      <c r="V23" s="73" t="n"/>
      <c r="W23" s="69" t="n"/>
      <c r="X23" s="69" t="inlineStr">
        <is>
          <t>Late Payment But Less Than 30 Days Delinquent</t>
        </is>
      </c>
      <c r="Y23" s="68" t="n"/>
      <c r="Z23" s="69" t="inlineStr">
        <is>
          <t>No Defeasance Occurred</t>
        </is>
      </c>
      <c r="AA23" s="69" t="inlineStr">
        <is>
          <t>Previously</t>
        </is>
      </c>
      <c r="AB23" s="69" t="inlineStr">
        <is>
          <t>Never special serv</t>
        </is>
      </c>
      <c r="AC23" s="73" t="n"/>
      <c r="AD23" s="69" t="n"/>
      <c r="AE23" s="69" t="n"/>
      <c r="AF23" s="69" t="inlineStr">
        <is>
          <t>SC-38.354838652% GA-17.602150544% TX-16.639784961% NC-12.499999992% FL-9.023225843% AL-5.880000007%</t>
        </is>
      </c>
      <c r="AG23" s="69" t="n"/>
      <c r="AH23" s="69" t="inlineStr">
        <is>
          <t>Myrtle Beach-Conway-North Myrtle Beach, SC-9.655913980% Charleston-North Charleston, SC-9.467741924% Tampa-St. Petersburg-Clearwater, FL-9.023225843% Dallas-Fort Worth-Arlington, TX-8.134408620% Sumter, SC-7.397849440% New Bern, NC-6.322580623% Orangeburg, SC-6.284946212% Wilmington, NC-6.177419369% Athens-Clarke County, GA-6.102150546% Montgomery, AL-5.880000007% Warner Robins, GA-5.844085995% Albany, GA-5.655914003% Greenville-Anderson-Greer, SC-5.548387096%</t>
        </is>
      </c>
      <c r="AI23" s="69" t="inlineStr">
        <is>
          <t>South / Atlantic-77.480215032% South / Central West-16.639784961% South / Central East-5.880000007%</t>
        </is>
      </c>
      <c r="AJ23" s="69" t="inlineStr">
        <is>
          <t>RT</t>
        </is>
      </c>
      <c r="AK23" s="69" t="inlineStr">
        <is>
          <t>Single Tenant</t>
        </is>
      </c>
      <c r="AL23" s="68" t="n">
        <v>15</v>
      </c>
      <c r="AM23" s="68" t="n"/>
      <c r="AN23" s="68" t="n">
        <v>129918</v>
      </c>
      <c r="AO23" s="69" t="n"/>
      <c r="AP23" s="70" t="n">
        <v>2016</v>
      </c>
      <c r="AQ23" s="74" t="n">
        <v>1.3</v>
      </c>
      <c r="AR23" s="74" t="n">
        <v>1.26</v>
      </c>
      <c r="AS23" s="74" t="n">
        <v>68.7</v>
      </c>
      <c r="AT23" s="74" t="n">
        <v>58.18</v>
      </c>
      <c r="AU23" s="74" t="n">
        <v>56.8</v>
      </c>
      <c r="AV23" s="74" t="n">
        <v>8.530483870999999</v>
      </c>
      <c r="AW23" s="74" t="n">
        <v>9.770059978999999</v>
      </c>
      <c r="AX23" s="75" t="n">
        <v>100</v>
      </c>
      <c r="AY23" s="71" t="n">
        <v>27070000</v>
      </c>
      <c r="AZ23" s="71" t="n">
        <v>27070000</v>
      </c>
      <c r="BA23" s="71" t="n">
        <v>1586670</v>
      </c>
      <c r="BB23" s="71" t="n">
        <v>1539818.69</v>
      </c>
      <c r="BC23" s="69" t="inlineStr">
        <is>
          <t>Refinance</t>
        </is>
      </c>
      <c r="BD23" s="69" t="inlineStr">
        <is>
          <t>N</t>
        </is>
      </c>
      <c r="BE23" s="71" t="n"/>
      <c r="BF23" s="71" t="n"/>
      <c r="BG23" s="71" t="n"/>
      <c r="BH23" s="71" t="n">
        <v>0</v>
      </c>
      <c r="BI23" s="71" t="n">
        <v>101232.19</v>
      </c>
      <c r="BJ23" s="69" t="inlineStr">
        <is>
          <t>N</t>
        </is>
      </c>
      <c r="BK23" s="69" t="inlineStr">
        <is>
          <t>Dollar General</t>
        </is>
      </c>
      <c r="BL23" s="75" t="n">
        <v>53.47</v>
      </c>
      <c r="BM23" s="73" t="n">
        <v>47634</v>
      </c>
      <c r="BN23" s="69" t="inlineStr">
        <is>
          <t>William B. Brigham</t>
        </is>
      </c>
      <c r="BO23" s="69" t="inlineStr">
        <is>
          <t>UBS</t>
        </is>
      </c>
      <c r="BP23" s="69" t="inlineStr">
        <is>
          <t>Midland Loan Services</t>
        </is>
      </c>
      <c r="BQ23" s="69" t="inlineStr">
        <is>
          <t>Midland Loan Services</t>
        </is>
      </c>
      <c r="BR23" s="69" t="n"/>
      <c r="BS23" s="73" t="n">
        <v>46276</v>
      </c>
      <c r="BU23" s="76">
        <f>IF($C23="","",IFERROR(INDEX(dmName,MATCH($C23,dmID,0)),"Unmapped"))</f>
        <v/>
      </c>
      <c r="BV23" s="76">
        <f>IF($C23="","",IFERROR(INDEX(dmEntity,MATCH($C23,dmID,0)),"Unmapped"))</f>
        <v/>
      </c>
      <c r="BW23" s="77">
        <f>IF($C23="","",IFERROR(INDEX(dmVintage,MATCH($C23,dmID,0)),""))</f>
        <v/>
      </c>
      <c r="BX23" s="78">
        <f>IFERROR(INDEX(dmInclude,MATCH($C23,dmID,0)),0)</f>
        <v/>
      </c>
      <c r="BY23" s="78">
        <f>IF(N($I23)&gt;0,1,0)</f>
        <v/>
      </c>
      <c r="BZ23" s="76">
        <f>IF($AJ23="","Other / Leased Fee",IFERROR(INDEX(mapPTGroup,MATCH(LEFT(TRIM($AJ23),2),mapPTCode,0)),"Other / Leased Fee"))</f>
        <v/>
      </c>
      <c r="CA23" s="76">
        <f>IF(TRIM($AF23&amp;"")="","NR",LEFT(TRIM($AF23),2))</f>
        <v/>
      </c>
      <c r="CB23" s="76">
        <f>IFERROR(LOOKUP(2,1/(LEFT(TRIM($AI23&amp;""),LEN(mapRegion))=mapRegion),mapRegion),"Not Reported")</f>
        <v/>
      </c>
      <c r="CC23" s="76">
        <f>IF($BY23=0,"",IF(TRIM($W23&amp;"")="REO","REO",IF(TRIM($W23&amp;"")="FC","Foreclosure",IF(TRIM($W23&amp;"")="90+","90+ Days Delinquent",IF(TRIM($W23&amp;"")="60","60 Days Delinquent",IF(TRIM($W23&amp;"")="30","30 Days Delinquent",IF($X23="Non-Performing Matured Balloon","Non-Performing Matured Balloon",IF(OR($X23="Late Payment But Less Than 30 Days Delinquent",LEFT($X23&amp;"",20)="Payment Not Received"),"Late / In Grace (&lt;30 Days)",IF($X23="Performing Matured Balloon","Performing Matured Balloon","Current")))))))))</f>
        <v/>
      </c>
      <c r="CD23" s="78">
        <f>IF(OR($CC23="REO",$CC23="Foreclosure",$CC23="90+ Days Delinquent",$CC23="60 Days Delinquent",$CC23="30 Days Delinquent",$CC23="Non-Performing Matured Balloon"),1,0)</f>
        <v/>
      </c>
      <c r="CE23" s="76">
        <f>IF($AB23="Currently special serv","Currently Specially Serviced",IF($AB23="Returned to master serv","Previously Specially Serviced","Never Specially Serviced"))</f>
        <v/>
      </c>
      <c r="CF23" s="78">
        <f>IF($CE23="Currently Specially Serviced",1,0)</f>
        <v/>
      </c>
      <c r="CG23" s="76">
        <f>IF($AA23="Yes","Currently on Watchlist",IF($AA23="Previously","Previously on Watchlist","Never on Watchlist"))</f>
        <v/>
      </c>
      <c r="CH23" s="78">
        <f>IF($CG23="Currently on Watchlist",1,0)</f>
        <v/>
      </c>
      <c r="CI23" s="76">
        <f>IF($Z23="Full Defeasance","Fully Defeased",IF($Z23="Portion Of Loan Previously Defeased","Partially Defeased",IF($Z23="Defeasance Not Allowable","Not Defeased (Not Permitted)","Not Defeased")))</f>
        <v/>
      </c>
      <c r="CJ23" s="78">
        <f>IF($CI23="Fully Defeased",1,0)</f>
        <v/>
      </c>
      <c r="CK23" s="76">
        <f>IF($R23="IO","Full IO",IF(LEFT($R23&amp;"",7)="IO then","Partial IO","Amortizing"))</f>
        <v/>
      </c>
      <c r="CL23" s="78">
        <f>IF($CK23="Full IO",1,0)</f>
        <v/>
      </c>
      <c r="CM23" s="78">
        <f>IF($CK23="Partial IO",1,0)</f>
        <v/>
      </c>
      <c r="CN23" s="76">
        <f>IF(LEFT($F23&amp;"",10)="SPLIT_LOAN","Pari Passu Split","Standalone")</f>
        <v/>
      </c>
      <c r="CO23" s="78">
        <f>IF($CN23="Pari Passu Split",1,0)</f>
        <v/>
      </c>
      <c r="CP23" s="77">
        <f>IF(ISNUMBER($T23),YEAR($T23),"")</f>
        <v/>
      </c>
      <c r="CQ23" s="79">
        <f>IF(ISNUMBER($V23),$V23,IF(ISNUMBER($U23),$U23,""))</f>
        <v/>
      </c>
      <c r="CR23" s="77">
        <f>IF(ISNUMBER($CQ23),YEAR($CQ23),"")</f>
        <v/>
      </c>
      <c r="CS23" s="78">
        <f>IF(ISNUMBER($M23),MAX(0,$M23),IF(TRIM($M23&amp;"")="matured",0,""))</f>
        <v/>
      </c>
      <c r="CT23" s="78">
        <f>IF(AND(ISNUMBER($CS23),N($CS23)&lt;=mMatWindow),1,0)</f>
        <v/>
      </c>
      <c r="CU23" s="80">
        <f>IF(ISNUMBER($J23),$J23/100,"")</f>
        <v/>
      </c>
      <c r="CV23" s="81">
        <f>IF(ISNUMBER($AQ23),$AQ23,"")</f>
        <v/>
      </c>
      <c r="CW23" s="81">
        <f>IF(ISNUMBER($AR23),$AR23,"")</f>
        <v/>
      </c>
      <c r="CX23" s="82">
        <f>IF(ISNUMBER($AS23),$AS23/100,"")</f>
        <v/>
      </c>
      <c r="CY23" s="82">
        <f>IF(ISNUMBER($AT23),$AT23/100,"")</f>
        <v/>
      </c>
      <c r="CZ23" s="82">
        <f>IF(ISNUMBER($AU23),$AU23/100,"")</f>
        <v/>
      </c>
      <c r="DA23" s="82">
        <f>IF(ISNUMBER($AV23),$AV23/100,"")</f>
        <v/>
      </c>
      <c r="DB23" s="82">
        <f>IF(ISNUMBER($AW23),$AW23/100,"")</f>
        <v/>
      </c>
      <c r="DC23" s="82">
        <f>IF(ISNUMBER($AX23),$AX23/100,"")</f>
        <v/>
      </c>
      <c r="DD23" s="77">
        <f>IFERROR(VALUE(LEFT(TRIM($AO23&amp;""),4)),"")</f>
        <v/>
      </c>
      <c r="DE23" s="78">
        <f>IF(AND($BY23=1,$BX23=1,OR(fDeal="All Deals",$BU23=fDeal),OR(fEntity="All Entities",$BV23=fEntity),OR(fPType="All Property Types",$BZ23=fPType),OR(fDefeased="Include",$CJ23=0)),1,0)</f>
        <v/>
      </c>
      <c r="DF23" s="83">
        <f>$DE23*N($I23)</f>
        <v/>
      </c>
      <c r="DG23" s="78">
        <f>IF($DE23=1,IF(COUNTIFS($F$8:$F23,$F23,$DE$8:$DE23,1)=1,1,0),0)</f>
        <v/>
      </c>
      <c r="DH23" s="83">
        <f>IF($DG23=1,SUMIFS($DF$8:$DF$1600,$F$8:$F$1600,$F23),0)</f>
        <v/>
      </c>
      <c r="DI23" s="78">
        <f>IF($DG23=1,COUNTIFS($F$8:$F$1600,$F23,$DE$8:$DE$1600,1),0)</f>
        <v/>
      </c>
      <c r="DJ23" s="84">
        <f>IF($DG23=1,$DH23+(100000-ROW())/mTieBreak,0)</f>
        <v/>
      </c>
    </row>
    <row r="24">
      <c r="B24" s="68" t="n">
        <v>17</v>
      </c>
      <c r="C24" s="69" t="inlineStr">
        <is>
          <t>UBS17C02</t>
        </is>
      </c>
      <c r="D24" s="69" t="inlineStr">
        <is>
          <t>17.000</t>
        </is>
      </c>
      <c r="E24" s="69" t="inlineStr">
        <is>
          <t>Pioneer Pines Mobile Home Park</t>
        </is>
      </c>
      <c r="F24" s="69" t="inlineStr">
        <is>
          <t>LNUBS17C02-17.000</t>
        </is>
      </c>
      <c r="G24" s="70" t="n"/>
      <c r="H24" s="71" t="n">
        <v>16000000</v>
      </c>
      <c r="I24" s="71" t="n">
        <v>13315738.07</v>
      </c>
      <c r="J24" s="72" t="n">
        <v>4.6597</v>
      </c>
      <c r="K24" s="69" t="inlineStr">
        <is>
          <t>Fixed rate</t>
        </is>
      </c>
      <c r="L24" s="68" t="n">
        <v>120</v>
      </c>
      <c r="M24" s="68" t="n">
        <v>10</v>
      </c>
      <c r="N24" s="68" t="n">
        <v>360</v>
      </c>
      <c r="O24" s="68" t="n"/>
      <c r="P24" s="68" t="n"/>
      <c r="Q24" s="68" t="n">
        <v>110</v>
      </c>
      <c r="R24" s="69" t="n"/>
      <c r="S24" s="69" t="inlineStr">
        <is>
          <t>No</t>
        </is>
      </c>
      <c r="T24" s="73" t="n">
        <v>42917</v>
      </c>
      <c r="U24" s="73" t="n">
        <v>46574</v>
      </c>
      <c r="V24" s="73" t="n"/>
      <c r="W24" s="69" t="n"/>
      <c r="X24" s="69" t="inlineStr">
        <is>
          <t>Current</t>
        </is>
      </c>
      <c r="Y24" s="68" t="n"/>
      <c r="Z24" s="69" t="inlineStr">
        <is>
          <t>Defeasance Not Allowable</t>
        </is>
      </c>
      <c r="AA24" s="69" t="inlineStr">
        <is>
          <t>Yes</t>
        </is>
      </c>
      <c r="AB24" s="69" t="inlineStr">
        <is>
          <t>Never special serv</t>
        </is>
      </c>
      <c r="AC24" s="73" t="n"/>
      <c r="AD24" s="69" t="n"/>
      <c r="AE24" s="69" t="n"/>
      <c r="AF24" s="69" t="inlineStr">
        <is>
          <t>CA</t>
        </is>
      </c>
      <c r="AG24" s="69" t="inlineStr">
        <is>
          <t>Bakersfield</t>
        </is>
      </c>
      <c r="AH24" s="69" t="inlineStr">
        <is>
          <t>Bakersfield-Delano, CA</t>
        </is>
      </c>
      <c r="AI24" s="69" t="inlineStr">
        <is>
          <t>West / Pacific South</t>
        </is>
      </c>
      <c r="AJ24" s="69" t="inlineStr">
        <is>
          <t>MH</t>
        </is>
      </c>
      <c r="AK24" s="69" t="n"/>
      <c r="AL24" s="68" t="n">
        <v>1</v>
      </c>
      <c r="AM24" s="68" t="n">
        <v>337</v>
      </c>
      <c r="AN24" s="68" t="n"/>
      <c r="AO24" s="69" t="inlineStr">
        <is>
          <t>1971</t>
        </is>
      </c>
      <c r="AP24" s="70" t="n">
        <v>1971</v>
      </c>
      <c r="AQ24" s="74" t="n">
        <v>1.57</v>
      </c>
      <c r="AR24" s="74" t="n">
        <v>1.81</v>
      </c>
      <c r="AS24" s="74" t="n">
        <v>64.2</v>
      </c>
      <c r="AT24" s="74" t="n">
        <v>53.46</v>
      </c>
      <c r="AU24" s="74" t="n">
        <v>52.2</v>
      </c>
      <c r="AV24" s="74" t="n">
        <v>9.7084875</v>
      </c>
      <c r="AW24" s="74" t="n">
        <v>13.074087451</v>
      </c>
      <c r="AX24" s="75" t="n">
        <v>100</v>
      </c>
      <c r="AY24" s="71" t="n">
        <v>24910000</v>
      </c>
      <c r="AZ24" s="71" t="n">
        <v>24910000</v>
      </c>
      <c r="BA24" s="71" t="n">
        <v>1553358</v>
      </c>
      <c r="BB24" s="71" t="n">
        <v>447404.44</v>
      </c>
      <c r="BC24" s="69" t="inlineStr">
        <is>
          <t>Refinance</t>
        </is>
      </c>
      <c r="BD24" s="69" t="inlineStr">
        <is>
          <t>N</t>
        </is>
      </c>
      <c r="BE24" s="71" t="n"/>
      <c r="BF24" s="71" t="n"/>
      <c r="BG24" s="71" t="n"/>
      <c r="BH24" s="71" t="n">
        <v>0</v>
      </c>
      <c r="BI24" s="71" t="n">
        <v>0</v>
      </c>
      <c r="BJ24" s="69" t="inlineStr">
        <is>
          <t>N</t>
        </is>
      </c>
      <c r="BK24" s="69" t="n"/>
      <c r="BL24" s="75" t="n"/>
      <c r="BM24" s="73" t="n"/>
      <c r="BN24" s="69" t="inlineStr">
        <is>
          <t>Leslie A. Airington; Randall P. Thomas</t>
        </is>
      </c>
      <c r="BO24" s="69" t="inlineStr">
        <is>
          <t>UBS</t>
        </is>
      </c>
      <c r="BP24" s="69" t="inlineStr">
        <is>
          <t>Midland Loan Services</t>
        </is>
      </c>
      <c r="BQ24" s="69" t="inlineStr">
        <is>
          <t>Midland Loan Services</t>
        </is>
      </c>
      <c r="BR24" s="69" t="n"/>
      <c r="BS24" s="73" t="n">
        <v>46276</v>
      </c>
      <c r="BU24" s="76">
        <f>IF($C24="","",IFERROR(INDEX(dmName,MATCH($C24,dmID,0)),"Unmapped"))</f>
        <v/>
      </c>
      <c r="BV24" s="76">
        <f>IF($C24="","",IFERROR(INDEX(dmEntity,MATCH($C24,dmID,0)),"Unmapped"))</f>
        <v/>
      </c>
      <c r="BW24" s="77">
        <f>IF($C24="","",IFERROR(INDEX(dmVintage,MATCH($C24,dmID,0)),""))</f>
        <v/>
      </c>
      <c r="BX24" s="78">
        <f>IFERROR(INDEX(dmInclude,MATCH($C24,dmID,0)),0)</f>
        <v/>
      </c>
      <c r="BY24" s="78">
        <f>IF(N($I24)&gt;0,1,0)</f>
        <v/>
      </c>
      <c r="BZ24" s="76">
        <f>IF($AJ24="","Other / Leased Fee",IFERROR(INDEX(mapPTGroup,MATCH(LEFT(TRIM($AJ24),2),mapPTCode,0)),"Other / Leased Fee"))</f>
        <v/>
      </c>
      <c r="CA24" s="76">
        <f>IF(TRIM($AF24&amp;"")="","NR",LEFT(TRIM($AF24),2))</f>
        <v/>
      </c>
      <c r="CB24" s="76">
        <f>IFERROR(LOOKUP(2,1/(LEFT(TRIM($AI24&amp;""),LEN(mapRegion))=mapRegion),mapRegion),"Not Reported")</f>
        <v/>
      </c>
      <c r="CC24" s="76">
        <f>IF($BY24=0,"",IF(TRIM($W24&amp;"")="REO","REO",IF(TRIM($W24&amp;"")="FC","Foreclosure",IF(TRIM($W24&amp;"")="90+","90+ Days Delinquent",IF(TRIM($W24&amp;"")="60","60 Days Delinquent",IF(TRIM($W24&amp;"")="30","30 Days Delinquent",IF($X24="Non-Performing Matured Balloon","Non-Performing Matured Balloon",IF(OR($X24="Late Payment But Less Than 30 Days Delinquent",LEFT($X24&amp;"",20)="Payment Not Received"),"Late / In Grace (&lt;30 Days)",IF($X24="Performing Matured Balloon","Performing Matured Balloon","Current")))))))))</f>
        <v/>
      </c>
      <c r="CD24" s="78">
        <f>IF(OR($CC24="REO",$CC24="Foreclosure",$CC24="90+ Days Delinquent",$CC24="60 Days Delinquent",$CC24="30 Days Delinquent",$CC24="Non-Performing Matured Balloon"),1,0)</f>
        <v/>
      </c>
      <c r="CE24" s="76">
        <f>IF($AB24="Currently special serv","Currently Specially Serviced",IF($AB24="Returned to master serv","Previously Specially Serviced","Never Specially Serviced"))</f>
        <v/>
      </c>
      <c r="CF24" s="78">
        <f>IF($CE24="Currently Specially Serviced",1,0)</f>
        <v/>
      </c>
      <c r="CG24" s="76">
        <f>IF($AA24="Yes","Currently on Watchlist",IF($AA24="Previously","Previously on Watchlist","Never on Watchlist"))</f>
        <v/>
      </c>
      <c r="CH24" s="78">
        <f>IF($CG24="Currently on Watchlist",1,0)</f>
        <v/>
      </c>
      <c r="CI24" s="76">
        <f>IF($Z24="Full Defeasance","Fully Defeased",IF($Z24="Portion Of Loan Previously Defeased","Partially Defeased",IF($Z24="Defeasance Not Allowable","Not Defeased (Not Permitted)","Not Defeased")))</f>
        <v/>
      </c>
      <c r="CJ24" s="78">
        <f>IF($CI24="Fully Defeased",1,0)</f>
        <v/>
      </c>
      <c r="CK24" s="76">
        <f>IF($R24="IO","Full IO",IF(LEFT($R24&amp;"",7)="IO then","Partial IO","Amortizing"))</f>
        <v/>
      </c>
      <c r="CL24" s="78">
        <f>IF($CK24="Full IO",1,0)</f>
        <v/>
      </c>
      <c r="CM24" s="78">
        <f>IF($CK24="Partial IO",1,0)</f>
        <v/>
      </c>
      <c r="CN24" s="76">
        <f>IF(LEFT($F24&amp;"",10)="SPLIT_LOAN","Pari Passu Split","Standalone")</f>
        <v/>
      </c>
      <c r="CO24" s="78">
        <f>IF($CN24="Pari Passu Split",1,0)</f>
        <v/>
      </c>
      <c r="CP24" s="77">
        <f>IF(ISNUMBER($T24),YEAR($T24),"")</f>
        <v/>
      </c>
      <c r="CQ24" s="79">
        <f>IF(ISNUMBER($V24),$V24,IF(ISNUMBER($U24),$U24,""))</f>
        <v/>
      </c>
      <c r="CR24" s="77">
        <f>IF(ISNUMBER($CQ24),YEAR($CQ24),"")</f>
        <v/>
      </c>
      <c r="CS24" s="78">
        <f>IF(ISNUMBER($M24),MAX(0,$M24),IF(TRIM($M24&amp;"")="matured",0,""))</f>
        <v/>
      </c>
      <c r="CT24" s="78">
        <f>IF(AND(ISNUMBER($CS24),N($CS24)&lt;=mMatWindow),1,0)</f>
        <v/>
      </c>
      <c r="CU24" s="80">
        <f>IF(ISNUMBER($J24),$J24/100,"")</f>
        <v/>
      </c>
      <c r="CV24" s="81">
        <f>IF(ISNUMBER($AQ24),$AQ24,"")</f>
        <v/>
      </c>
      <c r="CW24" s="81">
        <f>IF(ISNUMBER($AR24),$AR24,"")</f>
        <v/>
      </c>
      <c r="CX24" s="82">
        <f>IF(ISNUMBER($AS24),$AS24/100,"")</f>
        <v/>
      </c>
      <c r="CY24" s="82">
        <f>IF(ISNUMBER($AT24),$AT24/100,"")</f>
        <v/>
      </c>
      <c r="CZ24" s="82">
        <f>IF(ISNUMBER($AU24),$AU24/100,"")</f>
        <v/>
      </c>
      <c r="DA24" s="82">
        <f>IF(ISNUMBER($AV24),$AV24/100,"")</f>
        <v/>
      </c>
      <c r="DB24" s="82">
        <f>IF(ISNUMBER($AW24),$AW24/100,"")</f>
        <v/>
      </c>
      <c r="DC24" s="82">
        <f>IF(ISNUMBER($AX24),$AX24/100,"")</f>
        <v/>
      </c>
      <c r="DD24" s="77">
        <f>IFERROR(VALUE(LEFT(TRIM($AO24&amp;""),4)),"")</f>
        <v/>
      </c>
      <c r="DE24" s="78">
        <f>IF(AND($BY24=1,$BX24=1,OR(fDeal="All Deals",$BU24=fDeal),OR(fEntity="All Entities",$BV24=fEntity),OR(fPType="All Property Types",$BZ24=fPType),OR(fDefeased="Include",$CJ24=0)),1,0)</f>
        <v/>
      </c>
      <c r="DF24" s="83">
        <f>$DE24*N($I24)</f>
        <v/>
      </c>
      <c r="DG24" s="78">
        <f>IF($DE24=1,IF(COUNTIFS($F$8:$F24,$F24,$DE$8:$DE24,1)=1,1,0),0)</f>
        <v/>
      </c>
      <c r="DH24" s="83">
        <f>IF($DG24=1,SUMIFS($DF$8:$DF$1600,$F$8:$F$1600,$F24),0)</f>
        <v/>
      </c>
      <c r="DI24" s="78">
        <f>IF($DG24=1,COUNTIFS($F$8:$F$1600,$F24,$DE$8:$DE$1600,1),0)</f>
        <v/>
      </c>
      <c r="DJ24" s="84">
        <f>IF($DG24=1,$DH24+(100000-ROW())/mTieBreak,0)</f>
        <v/>
      </c>
    </row>
    <row r="25">
      <c r="B25" s="68" t="n">
        <v>18</v>
      </c>
      <c r="C25" s="69" t="inlineStr">
        <is>
          <t>UBS17C02</t>
        </is>
      </c>
      <c r="D25" s="69" t="inlineStr">
        <is>
          <t>18.000</t>
        </is>
      </c>
      <c r="E25" s="69" t="inlineStr">
        <is>
          <t>South Main RVP</t>
        </is>
      </c>
      <c r="F25" s="69" t="inlineStr">
        <is>
          <t>LNUBS17C02-18.000</t>
        </is>
      </c>
      <c r="G25" s="70" t="n"/>
      <c r="H25" s="71" t="n">
        <v>15500000</v>
      </c>
      <c r="I25" s="71" t="n">
        <v>0</v>
      </c>
      <c r="J25" s="72" t="n">
        <v>5.94</v>
      </c>
      <c r="K25" s="69" t="inlineStr">
        <is>
          <t>Fixed rate</t>
        </is>
      </c>
      <c r="L25" s="68" t="n">
        <v>60</v>
      </c>
      <c r="M25" s="68" t="n"/>
      <c r="N25" s="68" t="n">
        <v>360</v>
      </c>
      <c r="O25" s="68" t="n"/>
      <c r="P25" s="68" t="n"/>
      <c r="Q25" s="68" t="n"/>
      <c r="R25" s="69" t="n"/>
      <c r="S25" s="69" t="inlineStr">
        <is>
          <t>No</t>
        </is>
      </c>
      <c r="T25" s="73" t="n">
        <v>42887</v>
      </c>
      <c r="U25" s="73" t="n">
        <v>44713</v>
      </c>
      <c r="V25" s="73" t="n"/>
      <c r="W25" s="69" t="n"/>
      <c r="X25" s="69" t="inlineStr">
        <is>
          <t>Current</t>
        </is>
      </c>
      <c r="Y25" s="68" t="n"/>
      <c r="Z25" s="69" t="inlineStr">
        <is>
          <t>No Defeasance Occurred</t>
        </is>
      </c>
      <c r="AA25" s="69" t="inlineStr">
        <is>
          <t>Previously</t>
        </is>
      </c>
      <c r="AB25" s="69" t="inlineStr">
        <is>
          <t>Never special serv</t>
        </is>
      </c>
      <c r="AC25" s="73" t="n"/>
      <c r="AD25" s="69" t="n"/>
      <c r="AE25" s="69" t="n"/>
      <c r="AF25" s="69" t="inlineStr">
        <is>
          <t>TX</t>
        </is>
      </c>
      <c r="AG25" s="69" t="inlineStr">
        <is>
          <t>Highlands</t>
        </is>
      </c>
      <c r="AH25" s="69" t="inlineStr">
        <is>
          <t>Houston-Pasadena-The Woodlands, TX</t>
        </is>
      </c>
      <c r="AI25" s="69" t="inlineStr">
        <is>
          <t>South / Central West</t>
        </is>
      </c>
      <c r="AJ25" s="69" t="inlineStr">
        <is>
          <t>MH</t>
        </is>
      </c>
      <c r="AK25" s="69" t="n"/>
      <c r="AL25" s="68" t="n">
        <v>1</v>
      </c>
      <c r="AM25" s="68" t="n">
        <v>436</v>
      </c>
      <c r="AN25" s="68" t="n"/>
      <c r="AO25" s="69" t="inlineStr">
        <is>
          <t>1975</t>
        </is>
      </c>
      <c r="AP25" s="70" t="n">
        <v>2016</v>
      </c>
      <c r="AQ25" s="74" t="n">
        <v>1.31</v>
      </c>
      <c r="AR25" s="74" t="n">
        <v>1</v>
      </c>
      <c r="AS25" s="74" t="n">
        <v>59.7</v>
      </c>
      <c r="AT25" s="74" t="n"/>
      <c r="AU25" s="74" t="n">
        <v>55.9</v>
      </c>
      <c r="AV25" s="74" t="n">
        <v>9.368008387</v>
      </c>
      <c r="AW25" s="74" t="n"/>
      <c r="AX25" s="75" t="n">
        <v>100</v>
      </c>
      <c r="AY25" s="71" t="n">
        <v>25900000</v>
      </c>
      <c r="AZ25" s="71" t="n">
        <v>25900000</v>
      </c>
      <c r="BA25" s="71" t="n">
        <v>1452041.3</v>
      </c>
      <c r="BB25" s="71" t="n">
        <v>1103539.52</v>
      </c>
      <c r="BC25" s="69" t="inlineStr">
        <is>
          <t>Refinance</t>
        </is>
      </c>
      <c r="BD25" s="69" t="inlineStr">
        <is>
          <t>N</t>
        </is>
      </c>
      <c r="BE25" s="71" t="n"/>
      <c r="BF25" s="71" t="n"/>
      <c r="BG25" s="71" t="n"/>
      <c r="BH25" s="71" t="n">
        <v>0</v>
      </c>
      <c r="BI25" s="71" t="n">
        <v>0</v>
      </c>
      <c r="BJ25" s="69" t="inlineStr">
        <is>
          <t>N</t>
        </is>
      </c>
      <c r="BK25" s="69" t="n"/>
      <c r="BL25" s="75" t="n"/>
      <c r="BM25" s="73" t="n"/>
      <c r="BN25" s="69" t="inlineStr">
        <is>
          <t>Barry L. Haase</t>
        </is>
      </c>
      <c r="BO25" s="69" t="inlineStr">
        <is>
          <t>Societe Generale</t>
        </is>
      </c>
      <c r="BP25" s="69" t="inlineStr">
        <is>
          <t>Midland Loan Services</t>
        </is>
      </c>
      <c r="BQ25" s="69" t="inlineStr">
        <is>
          <t>Midland Loan Services</t>
        </is>
      </c>
      <c r="BR25" s="69" t="inlineStr">
        <is>
          <t>Payoff Prior To Maturity</t>
        </is>
      </c>
      <c r="BS25" s="73" t="n">
        <v>44662</v>
      </c>
      <c r="BU25" s="76">
        <f>IF($C25="","",IFERROR(INDEX(dmName,MATCH($C25,dmID,0)),"Unmapped"))</f>
        <v/>
      </c>
      <c r="BV25" s="76">
        <f>IF($C25="","",IFERROR(INDEX(dmEntity,MATCH($C25,dmID,0)),"Unmapped"))</f>
        <v/>
      </c>
      <c r="BW25" s="77">
        <f>IF($C25="","",IFERROR(INDEX(dmVintage,MATCH($C25,dmID,0)),""))</f>
        <v/>
      </c>
      <c r="BX25" s="78">
        <f>IFERROR(INDEX(dmInclude,MATCH($C25,dmID,0)),0)</f>
        <v/>
      </c>
      <c r="BY25" s="78">
        <f>IF(N($I25)&gt;0,1,0)</f>
        <v/>
      </c>
      <c r="BZ25" s="76">
        <f>IF($AJ25="","Other / Leased Fee",IFERROR(INDEX(mapPTGroup,MATCH(LEFT(TRIM($AJ25),2),mapPTCode,0)),"Other / Leased Fee"))</f>
        <v/>
      </c>
      <c r="CA25" s="76">
        <f>IF(TRIM($AF25&amp;"")="","NR",LEFT(TRIM($AF25),2))</f>
        <v/>
      </c>
      <c r="CB25" s="76">
        <f>IFERROR(LOOKUP(2,1/(LEFT(TRIM($AI25&amp;""),LEN(mapRegion))=mapRegion),mapRegion),"Not Reported")</f>
        <v/>
      </c>
      <c r="CC25" s="76">
        <f>IF($BY25=0,"",IF(TRIM($W25&amp;"")="REO","REO",IF(TRIM($W25&amp;"")="FC","Foreclosure",IF(TRIM($W25&amp;"")="90+","90+ Days Delinquent",IF(TRIM($W25&amp;"")="60","60 Days Delinquent",IF(TRIM($W25&amp;"")="30","30 Days Delinquent",IF($X25="Non-Performing Matured Balloon","Non-Performing Matured Balloon",IF(OR($X25="Late Payment But Less Than 30 Days Delinquent",LEFT($X25&amp;"",20)="Payment Not Received"),"Late / In Grace (&lt;30 Days)",IF($X25="Performing Matured Balloon","Performing Matured Balloon","Current")))))))))</f>
        <v/>
      </c>
      <c r="CD25" s="78">
        <f>IF(OR($CC25="REO",$CC25="Foreclosure",$CC25="90+ Days Delinquent",$CC25="60 Days Delinquent",$CC25="30 Days Delinquent",$CC25="Non-Performing Matured Balloon"),1,0)</f>
        <v/>
      </c>
      <c r="CE25" s="76">
        <f>IF($AB25="Currently special serv","Currently Specially Serviced",IF($AB25="Returned to master serv","Previously Specially Serviced","Never Specially Serviced"))</f>
        <v/>
      </c>
      <c r="CF25" s="78">
        <f>IF($CE25="Currently Specially Serviced",1,0)</f>
        <v/>
      </c>
      <c r="CG25" s="76">
        <f>IF($AA25="Yes","Currently on Watchlist",IF($AA25="Previously","Previously on Watchlist","Never on Watchlist"))</f>
        <v/>
      </c>
      <c r="CH25" s="78">
        <f>IF($CG25="Currently on Watchlist",1,0)</f>
        <v/>
      </c>
      <c r="CI25" s="76">
        <f>IF($Z25="Full Defeasance","Fully Defeased",IF($Z25="Portion Of Loan Previously Defeased","Partially Defeased",IF($Z25="Defeasance Not Allowable","Not Defeased (Not Permitted)","Not Defeased")))</f>
        <v/>
      </c>
      <c r="CJ25" s="78">
        <f>IF($CI25="Fully Defeased",1,0)</f>
        <v/>
      </c>
      <c r="CK25" s="76">
        <f>IF($R25="IO","Full IO",IF(LEFT($R25&amp;"",7)="IO then","Partial IO","Amortizing"))</f>
        <v/>
      </c>
      <c r="CL25" s="78">
        <f>IF($CK25="Full IO",1,0)</f>
        <v/>
      </c>
      <c r="CM25" s="78">
        <f>IF($CK25="Partial IO",1,0)</f>
        <v/>
      </c>
      <c r="CN25" s="76">
        <f>IF(LEFT($F25&amp;"",10)="SPLIT_LOAN","Pari Passu Split","Standalone")</f>
        <v/>
      </c>
      <c r="CO25" s="78">
        <f>IF($CN25="Pari Passu Split",1,0)</f>
        <v/>
      </c>
      <c r="CP25" s="77">
        <f>IF(ISNUMBER($T25),YEAR($T25),"")</f>
        <v/>
      </c>
      <c r="CQ25" s="79">
        <f>IF(ISNUMBER($V25),$V25,IF(ISNUMBER($U25),$U25,""))</f>
        <v/>
      </c>
      <c r="CR25" s="77">
        <f>IF(ISNUMBER($CQ25),YEAR($CQ25),"")</f>
        <v/>
      </c>
      <c r="CS25" s="78">
        <f>IF(ISNUMBER($M25),MAX(0,$M25),IF(TRIM($M25&amp;"")="matured",0,""))</f>
        <v/>
      </c>
      <c r="CT25" s="78">
        <f>IF(AND(ISNUMBER($CS25),N($CS25)&lt;=mMatWindow),1,0)</f>
        <v/>
      </c>
      <c r="CU25" s="80">
        <f>IF(ISNUMBER($J25),$J25/100,"")</f>
        <v/>
      </c>
      <c r="CV25" s="81">
        <f>IF(ISNUMBER($AQ25),$AQ25,"")</f>
        <v/>
      </c>
      <c r="CW25" s="81">
        <f>IF(ISNUMBER($AR25),$AR25,"")</f>
        <v/>
      </c>
      <c r="CX25" s="82">
        <f>IF(ISNUMBER($AS25),$AS25/100,"")</f>
        <v/>
      </c>
      <c r="CY25" s="82">
        <f>IF(ISNUMBER($AT25),$AT25/100,"")</f>
        <v/>
      </c>
      <c r="CZ25" s="82">
        <f>IF(ISNUMBER($AU25),$AU25/100,"")</f>
        <v/>
      </c>
      <c r="DA25" s="82">
        <f>IF(ISNUMBER($AV25),$AV25/100,"")</f>
        <v/>
      </c>
      <c r="DB25" s="82">
        <f>IF(ISNUMBER($AW25),$AW25/100,"")</f>
        <v/>
      </c>
      <c r="DC25" s="82">
        <f>IF(ISNUMBER($AX25),$AX25/100,"")</f>
        <v/>
      </c>
      <c r="DD25" s="77">
        <f>IFERROR(VALUE(LEFT(TRIM($AO25&amp;""),4)),"")</f>
        <v/>
      </c>
      <c r="DE25" s="78">
        <f>IF(AND($BY25=1,$BX25=1,OR(fDeal="All Deals",$BU25=fDeal),OR(fEntity="All Entities",$BV25=fEntity),OR(fPType="All Property Types",$BZ25=fPType),OR(fDefeased="Include",$CJ25=0)),1,0)</f>
        <v/>
      </c>
      <c r="DF25" s="83">
        <f>$DE25*N($I25)</f>
        <v/>
      </c>
      <c r="DG25" s="78">
        <f>IF($DE25=1,IF(COUNTIFS($F$8:$F25,$F25,$DE$8:$DE25,1)=1,1,0),0)</f>
        <v/>
      </c>
      <c r="DH25" s="83">
        <f>IF($DG25=1,SUMIFS($DF$8:$DF$1600,$F$8:$F$1600,$F25),0)</f>
        <v/>
      </c>
      <c r="DI25" s="78">
        <f>IF($DG25=1,COUNTIFS($F$8:$F$1600,$F25,$DE$8:$DE$1600,1),0)</f>
        <v/>
      </c>
      <c r="DJ25" s="84">
        <f>IF($DG25=1,$DH25+(100000-ROW())/mTieBreak,0)</f>
        <v/>
      </c>
    </row>
    <row r="26">
      <c r="B26" s="68" t="n">
        <v>19</v>
      </c>
      <c r="C26" s="69" t="inlineStr">
        <is>
          <t>UBS17C02</t>
        </is>
      </c>
      <c r="D26" s="69" t="inlineStr">
        <is>
          <t>19.000</t>
        </is>
      </c>
      <c r="E26" s="69" t="inlineStr">
        <is>
          <t>DENT Tower</t>
        </is>
      </c>
      <c r="F26" s="69" t="inlineStr">
        <is>
          <t>LNUBS17C02-19.000</t>
        </is>
      </c>
      <c r="G26" s="70" t="n"/>
      <c r="H26" s="71" t="n">
        <v>14690000</v>
      </c>
      <c r="I26" s="71" t="n">
        <v>12902556.46999358</v>
      </c>
      <c r="J26" s="72" t="n">
        <v>4.726</v>
      </c>
      <c r="K26" s="69" t="inlineStr">
        <is>
          <t>Fixed rate</t>
        </is>
      </c>
      <c r="L26" s="68" t="n">
        <v>120</v>
      </c>
      <c r="M26" s="68" t="n">
        <v>11</v>
      </c>
      <c r="N26" s="68" t="n">
        <v>384</v>
      </c>
      <c r="O26" s="68" t="n">
        <v>24</v>
      </c>
      <c r="P26" s="68" t="n">
        <v>0</v>
      </c>
      <c r="Q26" s="68" t="n">
        <v>109</v>
      </c>
      <c r="R26" s="69" t="inlineStr">
        <is>
          <t>IO then Amort</t>
        </is>
      </c>
      <c r="S26" s="69" t="inlineStr">
        <is>
          <t>No</t>
        </is>
      </c>
      <c r="T26" s="73" t="n">
        <v>42948</v>
      </c>
      <c r="U26" s="73" t="n">
        <v>46605</v>
      </c>
      <c r="V26" s="73" t="n"/>
      <c r="W26" s="69" t="n"/>
      <c r="X26" s="69" t="inlineStr">
        <is>
          <t>Current</t>
        </is>
      </c>
      <c r="Y26" s="68" t="n"/>
      <c r="Z26" s="69" t="inlineStr">
        <is>
          <t>Full Defeasance</t>
        </is>
      </c>
      <c r="AA26" s="69" t="n"/>
      <c r="AB26" s="69" t="inlineStr">
        <is>
          <t>Never special serv</t>
        </is>
      </c>
      <c r="AC26" s="73" t="n"/>
      <c r="AD26" s="69" t="n"/>
      <c r="AE26" s="69" t="n"/>
      <c r="AF26" s="69" t="inlineStr">
        <is>
          <t>NY</t>
        </is>
      </c>
      <c r="AG26" s="69" t="inlineStr">
        <is>
          <t>Amherst</t>
        </is>
      </c>
      <c r="AH26" s="69" t="inlineStr">
        <is>
          <t>Buffalo-Cheektowaga, NY</t>
        </is>
      </c>
      <c r="AI26" s="69" t="inlineStr">
        <is>
          <t>Northeast / Mid-Atlantic</t>
        </is>
      </c>
      <c r="AJ26" s="69" t="inlineStr">
        <is>
          <t>OF</t>
        </is>
      </c>
      <c r="AK26" s="69" t="inlineStr">
        <is>
          <t>Medical</t>
        </is>
      </c>
      <c r="AL26" s="68" t="n">
        <v>1</v>
      </c>
      <c r="AM26" s="68" t="n"/>
      <c r="AN26" s="68" t="n">
        <v>69953</v>
      </c>
      <c r="AO26" s="69" t="inlineStr">
        <is>
          <t>1972</t>
        </is>
      </c>
      <c r="AP26" s="70" t="n">
        <v>2006</v>
      </c>
      <c r="AQ26" s="74" t="n">
        <v>1.59</v>
      </c>
      <c r="AR26" s="74" t="n">
        <v>1.64</v>
      </c>
      <c r="AS26" s="74" t="n">
        <v>65</v>
      </c>
      <c r="AT26" s="74" t="n">
        <v>57.09</v>
      </c>
      <c r="AU26" s="74" t="n">
        <v>55.9</v>
      </c>
      <c r="AV26" s="74" t="n">
        <v>9.937223145000001</v>
      </c>
      <c r="AW26" s="74" t="n">
        <v>11.663049982</v>
      </c>
      <c r="AX26" s="75" t="n">
        <v>97</v>
      </c>
      <c r="AY26" s="71" t="n">
        <v>22600000</v>
      </c>
      <c r="AZ26" s="71" t="n">
        <v>22600000</v>
      </c>
      <c r="BA26" s="71" t="n">
        <v>1459778.08</v>
      </c>
      <c r="BB26" s="71" t="n">
        <v>1504831.61</v>
      </c>
      <c r="BC26" s="69" t="inlineStr">
        <is>
          <t>Refinance</t>
        </is>
      </c>
      <c r="BD26" s="69" t="inlineStr">
        <is>
          <t>N</t>
        </is>
      </c>
      <c r="BE26" s="71" t="n"/>
      <c r="BF26" s="71" t="n"/>
      <c r="BG26" s="71" t="n"/>
      <c r="BH26" s="71" t="n">
        <v>0</v>
      </c>
      <c r="BI26" s="71" t="n">
        <v>0</v>
      </c>
      <c r="BJ26" s="69" t="inlineStr">
        <is>
          <t>N</t>
        </is>
      </c>
      <c r="BK26" s="69" t="inlineStr">
        <is>
          <t>Dent Neurologic Group LLP</t>
        </is>
      </c>
      <c r="BL26" s="75" t="n">
        <v>77.54000000000001</v>
      </c>
      <c r="BM26" s="73" t="n">
        <v>46387</v>
      </c>
      <c r="BN26" s="69" t="inlineStr">
        <is>
          <t>John R. Yurtchuk</t>
        </is>
      </c>
      <c r="BO26" s="69" t="inlineStr">
        <is>
          <t>GACC</t>
        </is>
      </c>
      <c r="BP26" s="69" t="inlineStr">
        <is>
          <t>Midland Loan Services</t>
        </is>
      </c>
      <c r="BQ26" s="69" t="inlineStr">
        <is>
          <t>Midland Loan Services</t>
        </is>
      </c>
      <c r="BR26" s="69" t="n"/>
      <c r="BS26" s="73" t="n">
        <v>46276</v>
      </c>
      <c r="BU26" s="76">
        <f>IF($C26="","",IFERROR(INDEX(dmName,MATCH($C26,dmID,0)),"Unmapped"))</f>
        <v/>
      </c>
      <c r="BV26" s="76">
        <f>IF($C26="","",IFERROR(INDEX(dmEntity,MATCH($C26,dmID,0)),"Unmapped"))</f>
        <v/>
      </c>
      <c r="BW26" s="77">
        <f>IF($C26="","",IFERROR(INDEX(dmVintage,MATCH($C26,dmID,0)),""))</f>
        <v/>
      </c>
      <c r="BX26" s="78">
        <f>IFERROR(INDEX(dmInclude,MATCH($C26,dmID,0)),0)</f>
        <v/>
      </c>
      <c r="BY26" s="78">
        <f>IF(N($I26)&gt;0,1,0)</f>
        <v/>
      </c>
      <c r="BZ26" s="76">
        <f>IF($AJ26="","Other / Leased Fee",IFERROR(INDEX(mapPTGroup,MATCH(LEFT(TRIM($AJ26),2),mapPTCode,0)),"Other / Leased Fee"))</f>
        <v/>
      </c>
      <c r="CA26" s="76">
        <f>IF(TRIM($AF26&amp;"")="","NR",LEFT(TRIM($AF26),2))</f>
        <v/>
      </c>
      <c r="CB26" s="76">
        <f>IFERROR(LOOKUP(2,1/(LEFT(TRIM($AI26&amp;""),LEN(mapRegion))=mapRegion),mapRegion),"Not Reported")</f>
        <v/>
      </c>
      <c r="CC26" s="76">
        <f>IF($BY26=0,"",IF(TRIM($W26&amp;"")="REO","REO",IF(TRIM($W26&amp;"")="FC","Foreclosure",IF(TRIM($W26&amp;"")="90+","90+ Days Delinquent",IF(TRIM($W26&amp;"")="60","60 Days Delinquent",IF(TRIM($W26&amp;"")="30","30 Days Delinquent",IF($X26="Non-Performing Matured Balloon","Non-Performing Matured Balloon",IF(OR($X26="Late Payment But Less Than 30 Days Delinquent",LEFT($X26&amp;"",20)="Payment Not Received"),"Late / In Grace (&lt;30 Days)",IF($X26="Performing Matured Balloon","Performing Matured Balloon","Current")))))))))</f>
        <v/>
      </c>
      <c r="CD26" s="78">
        <f>IF(OR($CC26="REO",$CC26="Foreclosure",$CC26="90+ Days Delinquent",$CC26="60 Days Delinquent",$CC26="30 Days Delinquent",$CC26="Non-Performing Matured Balloon"),1,0)</f>
        <v/>
      </c>
      <c r="CE26" s="76">
        <f>IF($AB26="Currently special serv","Currently Specially Serviced",IF($AB26="Returned to master serv","Previously Specially Serviced","Never Specially Serviced"))</f>
        <v/>
      </c>
      <c r="CF26" s="78">
        <f>IF($CE26="Currently Specially Serviced",1,0)</f>
        <v/>
      </c>
      <c r="CG26" s="76">
        <f>IF($AA26="Yes","Currently on Watchlist",IF($AA26="Previously","Previously on Watchlist","Never on Watchlist"))</f>
        <v/>
      </c>
      <c r="CH26" s="78">
        <f>IF($CG26="Currently on Watchlist",1,0)</f>
        <v/>
      </c>
      <c r="CI26" s="76">
        <f>IF($Z26="Full Defeasance","Fully Defeased",IF($Z26="Portion Of Loan Previously Defeased","Partially Defeased",IF($Z26="Defeasance Not Allowable","Not Defeased (Not Permitted)","Not Defeased")))</f>
        <v/>
      </c>
      <c r="CJ26" s="78">
        <f>IF($CI26="Fully Defeased",1,0)</f>
        <v/>
      </c>
      <c r="CK26" s="76">
        <f>IF($R26="IO","Full IO",IF(LEFT($R26&amp;"",7)="IO then","Partial IO","Amortizing"))</f>
        <v/>
      </c>
      <c r="CL26" s="78">
        <f>IF($CK26="Full IO",1,0)</f>
        <v/>
      </c>
      <c r="CM26" s="78">
        <f>IF($CK26="Partial IO",1,0)</f>
        <v/>
      </c>
      <c r="CN26" s="76">
        <f>IF(LEFT($F26&amp;"",10)="SPLIT_LOAN","Pari Passu Split","Standalone")</f>
        <v/>
      </c>
      <c r="CO26" s="78">
        <f>IF($CN26="Pari Passu Split",1,0)</f>
        <v/>
      </c>
      <c r="CP26" s="77">
        <f>IF(ISNUMBER($T26),YEAR($T26),"")</f>
        <v/>
      </c>
      <c r="CQ26" s="79">
        <f>IF(ISNUMBER($V26),$V26,IF(ISNUMBER($U26),$U26,""))</f>
        <v/>
      </c>
      <c r="CR26" s="77">
        <f>IF(ISNUMBER($CQ26),YEAR($CQ26),"")</f>
        <v/>
      </c>
      <c r="CS26" s="78">
        <f>IF(ISNUMBER($M26),MAX(0,$M26),IF(TRIM($M26&amp;"")="matured",0,""))</f>
        <v/>
      </c>
      <c r="CT26" s="78">
        <f>IF(AND(ISNUMBER($CS26),N($CS26)&lt;=mMatWindow),1,0)</f>
        <v/>
      </c>
      <c r="CU26" s="80">
        <f>IF(ISNUMBER($J26),$J26/100,"")</f>
        <v/>
      </c>
      <c r="CV26" s="81">
        <f>IF(ISNUMBER($AQ26),$AQ26,"")</f>
        <v/>
      </c>
      <c r="CW26" s="81">
        <f>IF(ISNUMBER($AR26),$AR26,"")</f>
        <v/>
      </c>
      <c r="CX26" s="82">
        <f>IF(ISNUMBER($AS26),$AS26/100,"")</f>
        <v/>
      </c>
      <c r="CY26" s="82">
        <f>IF(ISNUMBER($AT26),$AT26/100,"")</f>
        <v/>
      </c>
      <c r="CZ26" s="82">
        <f>IF(ISNUMBER($AU26),$AU26/100,"")</f>
        <v/>
      </c>
      <c r="DA26" s="82">
        <f>IF(ISNUMBER($AV26),$AV26/100,"")</f>
        <v/>
      </c>
      <c r="DB26" s="82">
        <f>IF(ISNUMBER($AW26),$AW26/100,"")</f>
        <v/>
      </c>
      <c r="DC26" s="82">
        <f>IF(ISNUMBER($AX26),$AX26/100,"")</f>
        <v/>
      </c>
      <c r="DD26" s="77">
        <f>IFERROR(VALUE(LEFT(TRIM($AO26&amp;""),4)),"")</f>
        <v/>
      </c>
      <c r="DE26" s="78">
        <f>IF(AND($BY26=1,$BX26=1,OR(fDeal="All Deals",$BU26=fDeal),OR(fEntity="All Entities",$BV26=fEntity),OR(fPType="All Property Types",$BZ26=fPType),OR(fDefeased="Include",$CJ26=0)),1,0)</f>
        <v/>
      </c>
      <c r="DF26" s="83">
        <f>$DE26*N($I26)</f>
        <v/>
      </c>
      <c r="DG26" s="78">
        <f>IF($DE26=1,IF(COUNTIFS($F$8:$F26,$F26,$DE$8:$DE26,1)=1,1,0),0)</f>
        <v/>
      </c>
      <c r="DH26" s="83">
        <f>IF($DG26=1,SUMIFS($DF$8:$DF$1600,$F$8:$F$1600,$F26),0)</f>
        <v/>
      </c>
      <c r="DI26" s="78">
        <f>IF($DG26=1,COUNTIFS($F$8:$F$1600,$F26,$DE$8:$DE$1600,1),0)</f>
        <v/>
      </c>
      <c r="DJ26" s="84">
        <f>IF($DG26=1,$DH26+(100000-ROW())/mTieBreak,0)</f>
        <v/>
      </c>
    </row>
    <row r="27">
      <c r="B27" s="68" t="n">
        <v>20</v>
      </c>
      <c r="C27" s="69" t="inlineStr">
        <is>
          <t>UBS17C02</t>
        </is>
      </c>
      <c r="D27" s="69" t="inlineStr">
        <is>
          <t>20.000</t>
        </is>
      </c>
      <c r="E27" s="69" t="inlineStr">
        <is>
          <t>Thompson Square</t>
        </is>
      </c>
      <c r="F27" s="69" t="inlineStr">
        <is>
          <t>LNUBS17C02-20.000</t>
        </is>
      </c>
      <c r="G27" s="70" t="n"/>
      <c r="H27" s="71" t="n">
        <v>14300000</v>
      </c>
      <c r="I27" s="71" t="n">
        <v>12476440.1299967</v>
      </c>
      <c r="J27" s="72" t="n">
        <v>4.95</v>
      </c>
      <c r="K27" s="69" t="inlineStr">
        <is>
          <t>Fixed rate</t>
        </is>
      </c>
      <c r="L27" s="68" t="n">
        <v>120</v>
      </c>
      <c r="M27" s="68" t="n">
        <v>5</v>
      </c>
      <c r="N27" s="68" t="n">
        <v>384</v>
      </c>
      <c r="O27" s="68" t="n">
        <v>24</v>
      </c>
      <c r="P27" s="68" t="n">
        <v>0</v>
      </c>
      <c r="Q27" s="68" t="n">
        <v>115</v>
      </c>
      <c r="R27" s="69" t="inlineStr">
        <is>
          <t>IO then Amort</t>
        </is>
      </c>
      <c r="S27" s="69" t="inlineStr">
        <is>
          <t>No</t>
        </is>
      </c>
      <c r="T27" s="73" t="n">
        <v>42767</v>
      </c>
      <c r="U27" s="73" t="n">
        <v>46419</v>
      </c>
      <c r="V27" s="73" t="n"/>
      <c r="W27" s="69" t="n"/>
      <c r="X27" s="69" t="inlineStr">
        <is>
          <t>Current</t>
        </is>
      </c>
      <c r="Y27" s="68" t="n"/>
      <c r="Z27" s="69" t="inlineStr">
        <is>
          <t>Full Defeasance</t>
        </is>
      </c>
      <c r="AA27" s="69" t="inlineStr">
        <is>
          <t>Previously</t>
        </is>
      </c>
      <c r="AB27" s="69" t="inlineStr">
        <is>
          <t>Never special serv</t>
        </is>
      </c>
      <c r="AC27" s="73" t="n"/>
      <c r="AD27" s="69" t="n"/>
      <c r="AE27" s="69" t="n"/>
      <c r="AF27" s="69" t="inlineStr">
        <is>
          <t>NY</t>
        </is>
      </c>
      <c r="AG27" s="69" t="inlineStr">
        <is>
          <t>Monticello</t>
        </is>
      </c>
      <c r="AH27" s="69" t="inlineStr">
        <is>
          <t>Monticello, NY</t>
        </is>
      </c>
      <c r="AI27" s="69" t="inlineStr">
        <is>
          <t>Northeast / Mid-Atlantic</t>
        </is>
      </c>
      <c r="AJ27" s="69" t="inlineStr">
        <is>
          <t>RT</t>
        </is>
      </c>
      <c r="AK27" s="69" t="inlineStr">
        <is>
          <t>Anchored</t>
        </is>
      </c>
      <c r="AL27" s="68" t="n">
        <v>1</v>
      </c>
      <c r="AM27" s="68" t="n"/>
      <c r="AN27" s="68" t="n">
        <v>117944</v>
      </c>
      <c r="AO27" s="69" t="inlineStr">
        <is>
          <t>1975</t>
        </is>
      </c>
      <c r="AP27" s="70" t="n">
        <v>2015</v>
      </c>
      <c r="AQ27" s="74" t="n">
        <v>1.54</v>
      </c>
      <c r="AR27" s="74" t="n">
        <v>1.85</v>
      </c>
      <c r="AS27" s="74" t="n">
        <v>73</v>
      </c>
      <c r="AT27" s="74" t="n">
        <v>63.66</v>
      </c>
      <c r="AU27" s="74" t="n">
        <v>63</v>
      </c>
      <c r="AV27" s="74" t="n">
        <v>9.886092308</v>
      </c>
      <c r="AW27" s="74" t="n">
        <v>13.573520991</v>
      </c>
      <c r="AX27" s="75" t="n">
        <v>100</v>
      </c>
      <c r="AY27" s="71" t="n">
        <v>19600000</v>
      </c>
      <c r="AZ27" s="71" t="n">
        <v>19600000</v>
      </c>
      <c r="BA27" s="71" t="n">
        <v>1413711.2</v>
      </c>
      <c r="BB27" s="71" t="n">
        <v>1693492.22</v>
      </c>
      <c r="BC27" s="69" t="inlineStr">
        <is>
          <t>Acquisition</t>
        </is>
      </c>
      <c r="BD27" s="69" t="inlineStr">
        <is>
          <t>N</t>
        </is>
      </c>
      <c r="BE27" s="71" t="n"/>
      <c r="BF27" s="71" t="n"/>
      <c r="BG27" s="71" t="n"/>
      <c r="BH27" s="71" t="n">
        <v>0</v>
      </c>
      <c r="BI27" s="71" t="n">
        <v>0</v>
      </c>
      <c r="BJ27" s="69" t="inlineStr">
        <is>
          <t>N</t>
        </is>
      </c>
      <c r="BK27" s="69" t="inlineStr">
        <is>
          <t>ShopRite</t>
        </is>
      </c>
      <c r="BL27" s="75" t="n">
        <v>44.07</v>
      </c>
      <c r="BM27" s="73" t="n">
        <v>49368</v>
      </c>
      <c r="BN27" s="69" t="inlineStr">
        <is>
          <t>Robert Heidenberg</t>
        </is>
      </c>
      <c r="BO27" s="69" t="inlineStr">
        <is>
          <t>CIBC</t>
        </is>
      </c>
      <c r="BP27" s="69" t="inlineStr">
        <is>
          <t>Midland Loan Services</t>
        </is>
      </c>
      <c r="BQ27" s="69" t="inlineStr">
        <is>
          <t>Midland Loan Services</t>
        </is>
      </c>
      <c r="BR27" s="69" t="n"/>
      <c r="BS27" s="73" t="n">
        <v>46276</v>
      </c>
      <c r="BU27" s="76">
        <f>IF($C27="","",IFERROR(INDEX(dmName,MATCH($C27,dmID,0)),"Unmapped"))</f>
        <v/>
      </c>
      <c r="BV27" s="76">
        <f>IF($C27="","",IFERROR(INDEX(dmEntity,MATCH($C27,dmID,0)),"Unmapped"))</f>
        <v/>
      </c>
      <c r="BW27" s="77">
        <f>IF($C27="","",IFERROR(INDEX(dmVintage,MATCH($C27,dmID,0)),""))</f>
        <v/>
      </c>
      <c r="BX27" s="78">
        <f>IFERROR(INDEX(dmInclude,MATCH($C27,dmID,0)),0)</f>
        <v/>
      </c>
      <c r="BY27" s="78">
        <f>IF(N($I27)&gt;0,1,0)</f>
        <v/>
      </c>
      <c r="BZ27" s="76">
        <f>IF($AJ27="","Other / Leased Fee",IFERROR(INDEX(mapPTGroup,MATCH(LEFT(TRIM($AJ27),2),mapPTCode,0)),"Other / Leased Fee"))</f>
        <v/>
      </c>
      <c r="CA27" s="76">
        <f>IF(TRIM($AF27&amp;"")="","NR",LEFT(TRIM($AF27),2))</f>
        <v/>
      </c>
      <c r="CB27" s="76">
        <f>IFERROR(LOOKUP(2,1/(LEFT(TRIM($AI27&amp;""),LEN(mapRegion))=mapRegion),mapRegion),"Not Reported")</f>
        <v/>
      </c>
      <c r="CC27" s="76">
        <f>IF($BY27=0,"",IF(TRIM($W27&amp;"")="REO","REO",IF(TRIM($W27&amp;"")="FC","Foreclosure",IF(TRIM($W27&amp;"")="90+","90+ Days Delinquent",IF(TRIM($W27&amp;"")="60","60 Days Delinquent",IF(TRIM($W27&amp;"")="30","30 Days Delinquent",IF($X27="Non-Performing Matured Balloon","Non-Performing Matured Balloon",IF(OR($X27="Late Payment But Less Than 30 Days Delinquent",LEFT($X27&amp;"",20)="Payment Not Received"),"Late / In Grace (&lt;30 Days)",IF($X27="Performing Matured Balloon","Performing Matured Balloon","Current")))))))))</f>
        <v/>
      </c>
      <c r="CD27" s="78">
        <f>IF(OR($CC27="REO",$CC27="Foreclosure",$CC27="90+ Days Delinquent",$CC27="60 Days Delinquent",$CC27="30 Days Delinquent",$CC27="Non-Performing Matured Balloon"),1,0)</f>
        <v/>
      </c>
      <c r="CE27" s="76">
        <f>IF($AB27="Currently special serv","Currently Specially Serviced",IF($AB27="Returned to master serv","Previously Specially Serviced","Never Specially Serviced"))</f>
        <v/>
      </c>
      <c r="CF27" s="78">
        <f>IF($CE27="Currently Specially Serviced",1,0)</f>
        <v/>
      </c>
      <c r="CG27" s="76">
        <f>IF($AA27="Yes","Currently on Watchlist",IF($AA27="Previously","Previously on Watchlist","Never on Watchlist"))</f>
        <v/>
      </c>
      <c r="CH27" s="78">
        <f>IF($CG27="Currently on Watchlist",1,0)</f>
        <v/>
      </c>
      <c r="CI27" s="76">
        <f>IF($Z27="Full Defeasance","Fully Defeased",IF($Z27="Portion Of Loan Previously Defeased","Partially Defeased",IF($Z27="Defeasance Not Allowable","Not Defeased (Not Permitted)","Not Defeased")))</f>
        <v/>
      </c>
      <c r="CJ27" s="78">
        <f>IF($CI27="Fully Defeased",1,0)</f>
        <v/>
      </c>
      <c r="CK27" s="76">
        <f>IF($R27="IO","Full IO",IF(LEFT($R27&amp;"",7)="IO then","Partial IO","Amortizing"))</f>
        <v/>
      </c>
      <c r="CL27" s="78">
        <f>IF($CK27="Full IO",1,0)</f>
        <v/>
      </c>
      <c r="CM27" s="78">
        <f>IF($CK27="Partial IO",1,0)</f>
        <v/>
      </c>
      <c r="CN27" s="76">
        <f>IF(LEFT($F27&amp;"",10)="SPLIT_LOAN","Pari Passu Split","Standalone")</f>
        <v/>
      </c>
      <c r="CO27" s="78">
        <f>IF($CN27="Pari Passu Split",1,0)</f>
        <v/>
      </c>
      <c r="CP27" s="77">
        <f>IF(ISNUMBER($T27),YEAR($T27),"")</f>
        <v/>
      </c>
      <c r="CQ27" s="79">
        <f>IF(ISNUMBER($V27),$V27,IF(ISNUMBER($U27),$U27,""))</f>
        <v/>
      </c>
      <c r="CR27" s="77">
        <f>IF(ISNUMBER($CQ27),YEAR($CQ27),"")</f>
        <v/>
      </c>
      <c r="CS27" s="78">
        <f>IF(ISNUMBER($M27),MAX(0,$M27),IF(TRIM($M27&amp;"")="matured",0,""))</f>
        <v/>
      </c>
      <c r="CT27" s="78">
        <f>IF(AND(ISNUMBER($CS27),N($CS27)&lt;=mMatWindow),1,0)</f>
        <v/>
      </c>
      <c r="CU27" s="80">
        <f>IF(ISNUMBER($J27),$J27/100,"")</f>
        <v/>
      </c>
      <c r="CV27" s="81">
        <f>IF(ISNUMBER($AQ27),$AQ27,"")</f>
        <v/>
      </c>
      <c r="CW27" s="81">
        <f>IF(ISNUMBER($AR27),$AR27,"")</f>
        <v/>
      </c>
      <c r="CX27" s="82">
        <f>IF(ISNUMBER($AS27),$AS27/100,"")</f>
        <v/>
      </c>
      <c r="CY27" s="82">
        <f>IF(ISNUMBER($AT27),$AT27/100,"")</f>
        <v/>
      </c>
      <c r="CZ27" s="82">
        <f>IF(ISNUMBER($AU27),$AU27/100,"")</f>
        <v/>
      </c>
      <c r="DA27" s="82">
        <f>IF(ISNUMBER($AV27),$AV27/100,"")</f>
        <v/>
      </c>
      <c r="DB27" s="82">
        <f>IF(ISNUMBER($AW27),$AW27/100,"")</f>
        <v/>
      </c>
      <c r="DC27" s="82">
        <f>IF(ISNUMBER($AX27),$AX27/100,"")</f>
        <v/>
      </c>
      <c r="DD27" s="77">
        <f>IFERROR(VALUE(LEFT(TRIM($AO27&amp;""),4)),"")</f>
        <v/>
      </c>
      <c r="DE27" s="78">
        <f>IF(AND($BY27=1,$BX27=1,OR(fDeal="All Deals",$BU27=fDeal),OR(fEntity="All Entities",$BV27=fEntity),OR(fPType="All Property Types",$BZ27=fPType),OR(fDefeased="Include",$CJ27=0)),1,0)</f>
        <v/>
      </c>
      <c r="DF27" s="83">
        <f>$DE27*N($I27)</f>
        <v/>
      </c>
      <c r="DG27" s="78">
        <f>IF($DE27=1,IF(COUNTIFS($F$8:$F27,$F27,$DE$8:$DE27,1)=1,1,0),0)</f>
        <v/>
      </c>
      <c r="DH27" s="83">
        <f>IF($DG27=1,SUMIFS($DF$8:$DF$1600,$F$8:$F$1600,$F27),0)</f>
        <v/>
      </c>
      <c r="DI27" s="78">
        <f>IF($DG27=1,COUNTIFS($F$8:$F$1600,$F27,$DE$8:$DE$1600,1),0)</f>
        <v/>
      </c>
      <c r="DJ27" s="84">
        <f>IF($DG27=1,$DH27+(100000-ROW())/mTieBreak,0)</f>
        <v/>
      </c>
    </row>
    <row r="28">
      <c r="B28" s="68" t="n">
        <v>21</v>
      </c>
      <c r="C28" s="69" t="inlineStr">
        <is>
          <t>UBS17C02</t>
        </is>
      </c>
      <c r="D28" s="69" t="inlineStr">
        <is>
          <t>21.000</t>
        </is>
      </c>
      <c r="E28" s="69" t="inlineStr">
        <is>
          <t>Marketplace at Delta Township</t>
        </is>
      </c>
      <c r="F28" s="69" t="inlineStr">
        <is>
          <t>LNUBS17C02-21.000</t>
        </is>
      </c>
      <c r="G28" s="70" t="n"/>
      <c r="H28" s="71" t="n">
        <v>13700000</v>
      </c>
      <c r="I28" s="71" t="n">
        <v>12254481.1899974</v>
      </c>
      <c r="J28" s="72" t="n">
        <v>4.71</v>
      </c>
      <c r="K28" s="69" t="inlineStr">
        <is>
          <t>Fixed rate</t>
        </is>
      </c>
      <c r="L28" s="68" t="n">
        <v>120</v>
      </c>
      <c r="M28" s="68" t="n">
        <v>9</v>
      </c>
      <c r="N28" s="68" t="n">
        <v>396</v>
      </c>
      <c r="O28" s="68" t="n">
        <v>36</v>
      </c>
      <c r="P28" s="68" t="n">
        <v>0</v>
      </c>
      <c r="Q28" s="68" t="n">
        <v>111</v>
      </c>
      <c r="R28" s="69" t="inlineStr">
        <is>
          <t>IO then Amort</t>
        </is>
      </c>
      <c r="S28" s="69" t="inlineStr">
        <is>
          <t>No</t>
        </is>
      </c>
      <c r="T28" s="73" t="n">
        <v>42887</v>
      </c>
      <c r="U28" s="73" t="n">
        <v>46544</v>
      </c>
      <c r="V28" s="73" t="n"/>
      <c r="W28" s="69" t="n"/>
      <c r="X28" s="69" t="inlineStr">
        <is>
          <t>Current</t>
        </is>
      </c>
      <c r="Y28" s="68" t="n"/>
      <c r="Z28" s="69" t="inlineStr">
        <is>
          <t>No Defeasance Occurred</t>
        </is>
      </c>
      <c r="AA28" s="69" t="inlineStr">
        <is>
          <t>Previously</t>
        </is>
      </c>
      <c r="AB28" s="69" t="inlineStr">
        <is>
          <t>Returned to master serv</t>
        </is>
      </c>
      <c r="AC28" s="73" t="n"/>
      <c r="AD28" s="69" t="inlineStr">
        <is>
          <t>Payment Default (all payments excluding Balloon/Maturity Payment)</t>
        </is>
      </c>
      <c r="AE28" s="69" t="inlineStr">
        <is>
          <t>Resolved</t>
        </is>
      </c>
      <c r="AF28" s="69" t="inlineStr">
        <is>
          <t>MI</t>
        </is>
      </c>
      <c r="AG28" s="69" t="inlineStr">
        <is>
          <t>Lansing</t>
        </is>
      </c>
      <c r="AH28" s="69" t="inlineStr">
        <is>
          <t>Lansing-East Lansing, MI</t>
        </is>
      </c>
      <c r="AI28" s="69" t="inlineStr">
        <is>
          <t>Midwest / Central East</t>
        </is>
      </c>
      <c r="AJ28" s="69" t="inlineStr">
        <is>
          <t>RT</t>
        </is>
      </c>
      <c r="AK28" s="69" t="inlineStr">
        <is>
          <t>Anchored</t>
        </is>
      </c>
      <c r="AL28" s="68" t="n">
        <v>1</v>
      </c>
      <c r="AM28" s="68" t="n"/>
      <c r="AN28" s="68" t="n">
        <v>174353</v>
      </c>
      <c r="AO28" s="69" t="inlineStr">
        <is>
          <t>1999, 2001, 2002, 2005, 2013</t>
        </is>
      </c>
      <c r="AP28" s="70" t="n">
        <v>2013</v>
      </c>
      <c r="AQ28" s="74" t="n">
        <v>1.85</v>
      </c>
      <c r="AR28" s="74" t="n">
        <v>1.39</v>
      </c>
      <c r="AS28" s="74" t="n">
        <v>60.5</v>
      </c>
      <c r="AT28" s="74" t="n">
        <v>71.66</v>
      </c>
      <c r="AU28" s="74" t="n">
        <v>53.2</v>
      </c>
      <c r="AV28" s="74" t="n">
        <v>11.552211679</v>
      </c>
      <c r="AW28" s="74" t="n">
        <v>11.341325499</v>
      </c>
      <c r="AX28" s="75" t="n">
        <v>88</v>
      </c>
      <c r="AY28" s="71" t="n">
        <v>22630000</v>
      </c>
      <c r="AZ28" s="71" t="n">
        <v>17100000</v>
      </c>
      <c r="BA28" s="71" t="n">
        <v>1582653</v>
      </c>
      <c r="BB28" s="71" t="n">
        <v>1186966.2</v>
      </c>
      <c r="BC28" s="69" t="inlineStr">
        <is>
          <t>Acquisition</t>
        </is>
      </c>
      <c r="BD28" s="69" t="inlineStr">
        <is>
          <t>N</t>
        </is>
      </c>
      <c r="BE28" s="71" t="n"/>
      <c r="BF28" s="71" t="n"/>
      <c r="BG28" s="71" t="n"/>
      <c r="BH28" s="71" t="n">
        <v>0</v>
      </c>
      <c r="BI28" s="71" t="n">
        <v>0</v>
      </c>
      <c r="BJ28" s="69" t="inlineStr">
        <is>
          <t>Y</t>
        </is>
      </c>
      <c r="BK28" s="69" t="inlineStr">
        <is>
          <t>Michaels Stores</t>
        </is>
      </c>
      <c r="BL28" s="75" t="n">
        <v>13.91</v>
      </c>
      <c r="BM28" s="73" t="n">
        <v>46538</v>
      </c>
      <c r="BN28" s="69" t="inlineStr">
        <is>
          <t>Gary J. Dragul</t>
        </is>
      </c>
      <c r="BO28" s="69" t="inlineStr">
        <is>
          <t>RMF</t>
        </is>
      </c>
      <c r="BP28" s="69" t="inlineStr">
        <is>
          <t>Midland Loan Services</t>
        </is>
      </c>
      <c r="BQ28" s="69" t="inlineStr">
        <is>
          <t>Midland Loan Services</t>
        </is>
      </c>
      <c r="BR28" s="69" t="n"/>
      <c r="BS28" s="73" t="n">
        <v>46276</v>
      </c>
      <c r="BU28" s="76">
        <f>IF($C28="","",IFERROR(INDEX(dmName,MATCH($C28,dmID,0)),"Unmapped"))</f>
        <v/>
      </c>
      <c r="BV28" s="76">
        <f>IF($C28="","",IFERROR(INDEX(dmEntity,MATCH($C28,dmID,0)),"Unmapped"))</f>
        <v/>
      </c>
      <c r="BW28" s="77">
        <f>IF($C28="","",IFERROR(INDEX(dmVintage,MATCH($C28,dmID,0)),""))</f>
        <v/>
      </c>
      <c r="BX28" s="78">
        <f>IFERROR(INDEX(dmInclude,MATCH($C28,dmID,0)),0)</f>
        <v/>
      </c>
      <c r="BY28" s="78">
        <f>IF(N($I28)&gt;0,1,0)</f>
        <v/>
      </c>
      <c r="BZ28" s="76">
        <f>IF($AJ28="","Other / Leased Fee",IFERROR(INDEX(mapPTGroup,MATCH(LEFT(TRIM($AJ28),2),mapPTCode,0)),"Other / Leased Fee"))</f>
        <v/>
      </c>
      <c r="CA28" s="76">
        <f>IF(TRIM($AF28&amp;"")="","NR",LEFT(TRIM($AF28),2))</f>
        <v/>
      </c>
      <c r="CB28" s="76">
        <f>IFERROR(LOOKUP(2,1/(LEFT(TRIM($AI28&amp;""),LEN(mapRegion))=mapRegion),mapRegion),"Not Reported")</f>
        <v/>
      </c>
      <c r="CC28" s="76">
        <f>IF($BY28=0,"",IF(TRIM($W28&amp;"")="REO","REO",IF(TRIM($W28&amp;"")="FC","Foreclosure",IF(TRIM($W28&amp;"")="90+","90+ Days Delinquent",IF(TRIM($W28&amp;"")="60","60 Days Delinquent",IF(TRIM($W28&amp;"")="30","30 Days Delinquent",IF($X28="Non-Performing Matured Balloon","Non-Performing Matured Balloon",IF(OR($X28="Late Payment But Less Than 30 Days Delinquent",LEFT($X28&amp;"",20)="Payment Not Received"),"Late / In Grace (&lt;30 Days)",IF($X28="Performing Matured Balloon","Performing Matured Balloon","Current")))))))))</f>
        <v/>
      </c>
      <c r="CD28" s="78">
        <f>IF(OR($CC28="REO",$CC28="Foreclosure",$CC28="90+ Days Delinquent",$CC28="60 Days Delinquent",$CC28="30 Days Delinquent",$CC28="Non-Performing Matured Balloon"),1,0)</f>
        <v/>
      </c>
      <c r="CE28" s="76">
        <f>IF($AB28="Currently special serv","Currently Specially Serviced",IF($AB28="Returned to master serv","Previously Specially Serviced","Never Specially Serviced"))</f>
        <v/>
      </c>
      <c r="CF28" s="78">
        <f>IF($CE28="Currently Specially Serviced",1,0)</f>
        <v/>
      </c>
      <c r="CG28" s="76">
        <f>IF($AA28="Yes","Currently on Watchlist",IF($AA28="Previously","Previously on Watchlist","Never on Watchlist"))</f>
        <v/>
      </c>
      <c r="CH28" s="78">
        <f>IF($CG28="Currently on Watchlist",1,0)</f>
        <v/>
      </c>
      <c r="CI28" s="76">
        <f>IF($Z28="Full Defeasance","Fully Defeased",IF($Z28="Portion Of Loan Previously Defeased","Partially Defeased",IF($Z28="Defeasance Not Allowable","Not Defeased (Not Permitted)","Not Defeased")))</f>
        <v/>
      </c>
      <c r="CJ28" s="78">
        <f>IF($CI28="Fully Defeased",1,0)</f>
        <v/>
      </c>
      <c r="CK28" s="76">
        <f>IF($R28="IO","Full IO",IF(LEFT($R28&amp;"",7)="IO then","Partial IO","Amortizing"))</f>
        <v/>
      </c>
      <c r="CL28" s="78">
        <f>IF($CK28="Full IO",1,0)</f>
        <v/>
      </c>
      <c r="CM28" s="78">
        <f>IF($CK28="Partial IO",1,0)</f>
        <v/>
      </c>
      <c r="CN28" s="76">
        <f>IF(LEFT($F28&amp;"",10)="SPLIT_LOAN","Pari Passu Split","Standalone")</f>
        <v/>
      </c>
      <c r="CO28" s="78">
        <f>IF($CN28="Pari Passu Split",1,0)</f>
        <v/>
      </c>
      <c r="CP28" s="77">
        <f>IF(ISNUMBER($T28),YEAR($T28),"")</f>
        <v/>
      </c>
      <c r="CQ28" s="79">
        <f>IF(ISNUMBER($V28),$V28,IF(ISNUMBER($U28),$U28,""))</f>
        <v/>
      </c>
      <c r="CR28" s="77">
        <f>IF(ISNUMBER($CQ28),YEAR($CQ28),"")</f>
        <v/>
      </c>
      <c r="CS28" s="78">
        <f>IF(ISNUMBER($M28),MAX(0,$M28),IF(TRIM($M28&amp;"")="matured",0,""))</f>
        <v/>
      </c>
      <c r="CT28" s="78">
        <f>IF(AND(ISNUMBER($CS28),N($CS28)&lt;=mMatWindow),1,0)</f>
        <v/>
      </c>
      <c r="CU28" s="80">
        <f>IF(ISNUMBER($J28),$J28/100,"")</f>
        <v/>
      </c>
      <c r="CV28" s="81">
        <f>IF(ISNUMBER($AQ28),$AQ28,"")</f>
        <v/>
      </c>
      <c r="CW28" s="81">
        <f>IF(ISNUMBER($AR28),$AR28,"")</f>
        <v/>
      </c>
      <c r="CX28" s="82">
        <f>IF(ISNUMBER($AS28),$AS28/100,"")</f>
        <v/>
      </c>
      <c r="CY28" s="82">
        <f>IF(ISNUMBER($AT28),$AT28/100,"")</f>
        <v/>
      </c>
      <c r="CZ28" s="82">
        <f>IF(ISNUMBER($AU28),$AU28/100,"")</f>
        <v/>
      </c>
      <c r="DA28" s="82">
        <f>IF(ISNUMBER($AV28),$AV28/100,"")</f>
        <v/>
      </c>
      <c r="DB28" s="82">
        <f>IF(ISNUMBER($AW28),$AW28/100,"")</f>
        <v/>
      </c>
      <c r="DC28" s="82">
        <f>IF(ISNUMBER($AX28),$AX28/100,"")</f>
        <v/>
      </c>
      <c r="DD28" s="77">
        <f>IFERROR(VALUE(LEFT(TRIM($AO28&amp;""),4)),"")</f>
        <v/>
      </c>
      <c r="DE28" s="78">
        <f>IF(AND($BY28=1,$BX28=1,OR(fDeal="All Deals",$BU28=fDeal),OR(fEntity="All Entities",$BV28=fEntity),OR(fPType="All Property Types",$BZ28=fPType),OR(fDefeased="Include",$CJ28=0)),1,0)</f>
        <v/>
      </c>
      <c r="DF28" s="83">
        <f>$DE28*N($I28)</f>
        <v/>
      </c>
      <c r="DG28" s="78">
        <f>IF($DE28=1,IF(COUNTIFS($F$8:$F28,$F28,$DE$8:$DE28,1)=1,1,0),0)</f>
        <v/>
      </c>
      <c r="DH28" s="83">
        <f>IF($DG28=1,SUMIFS($DF$8:$DF$1600,$F$8:$F$1600,$F28),0)</f>
        <v/>
      </c>
      <c r="DI28" s="78">
        <f>IF($DG28=1,COUNTIFS($F$8:$F$1600,$F28,$DE$8:$DE$1600,1),0)</f>
        <v/>
      </c>
      <c r="DJ28" s="84">
        <f>IF($DG28=1,$DH28+(100000-ROW())/mTieBreak,0)</f>
        <v/>
      </c>
    </row>
    <row r="29">
      <c r="B29" s="68" t="n">
        <v>22</v>
      </c>
      <c r="C29" s="69" t="inlineStr">
        <is>
          <t>UBS17C02</t>
        </is>
      </c>
      <c r="D29" s="69" t="inlineStr">
        <is>
          <t>22.000</t>
        </is>
      </c>
      <c r="E29" s="69" t="inlineStr">
        <is>
          <t>The Retreat</t>
        </is>
      </c>
      <c r="F29" s="69" t="inlineStr">
        <is>
          <t>LNUBS17C02-22.000</t>
        </is>
      </c>
      <c r="G29" s="70" t="n"/>
      <c r="H29" s="71" t="n">
        <v>13500000</v>
      </c>
      <c r="I29" s="71" t="n">
        <v>11179852.9400025</v>
      </c>
      <c r="J29" s="72" t="n">
        <v>4.43</v>
      </c>
      <c r="K29" s="69" t="inlineStr">
        <is>
          <t>Fixed rate</t>
        </is>
      </c>
      <c r="L29" s="68" t="n">
        <v>120</v>
      </c>
      <c r="M29" s="68" t="n">
        <v>11</v>
      </c>
      <c r="N29" s="68" t="n">
        <v>360</v>
      </c>
      <c r="O29" s="68" t="n"/>
      <c r="P29" s="68" t="n"/>
      <c r="Q29" s="68" t="n">
        <v>109</v>
      </c>
      <c r="R29" s="69" t="n"/>
      <c r="S29" s="69" t="inlineStr">
        <is>
          <t>No</t>
        </is>
      </c>
      <c r="T29" s="73" t="n">
        <v>42948</v>
      </c>
      <c r="U29" s="73" t="n">
        <v>46604</v>
      </c>
      <c r="V29" s="73" t="n"/>
      <c r="W29" s="69" t="n"/>
      <c r="X29" s="69" t="inlineStr">
        <is>
          <t>Current</t>
        </is>
      </c>
      <c r="Y29" s="68" t="n"/>
      <c r="Z29" s="69" t="inlineStr">
        <is>
          <t>Full Defeasance</t>
        </is>
      </c>
      <c r="AA29" s="69" t="n"/>
      <c r="AB29" s="69" t="inlineStr">
        <is>
          <t>Never special serv</t>
        </is>
      </c>
      <c r="AC29" s="73" t="n"/>
      <c r="AD29" s="69" t="n"/>
      <c r="AE29" s="69" t="n"/>
      <c r="AF29" s="69" t="inlineStr">
        <is>
          <t>NC</t>
        </is>
      </c>
      <c r="AG29" s="69" t="inlineStr">
        <is>
          <t>Greensboro</t>
        </is>
      </c>
      <c r="AH29" s="69" t="inlineStr">
        <is>
          <t>Greensboro-High Point, NC</t>
        </is>
      </c>
      <c r="AI29" s="69" t="inlineStr">
        <is>
          <t>South / Atlantic</t>
        </is>
      </c>
      <c r="AJ29" s="69" t="inlineStr">
        <is>
          <t>MF</t>
        </is>
      </c>
      <c r="AK29" s="69" t="inlineStr">
        <is>
          <t>Garden</t>
        </is>
      </c>
      <c r="AL29" s="68" t="n">
        <v>1</v>
      </c>
      <c r="AM29" s="68" t="n">
        <v>503</v>
      </c>
      <c r="AN29" s="68" t="n"/>
      <c r="AO29" s="69" t="inlineStr">
        <is>
          <t>1987</t>
        </is>
      </c>
      <c r="AP29" s="70" t="n">
        <v>2014</v>
      </c>
      <c r="AQ29" s="74" t="n">
        <v>1.62</v>
      </c>
      <c r="AR29" s="74" t="n">
        <v>2.9</v>
      </c>
      <c r="AS29" s="74" t="n">
        <v>55.8</v>
      </c>
      <c r="AT29" s="74" t="n">
        <v>46.2</v>
      </c>
      <c r="AU29" s="74" t="n">
        <v>45</v>
      </c>
      <c r="AV29" s="74" t="n">
        <v>9.765827481000001</v>
      </c>
      <c r="AW29" s="74" t="n">
        <v>19.459667508</v>
      </c>
      <c r="AX29" s="75" t="n">
        <v>96</v>
      </c>
      <c r="AY29" s="71" t="n">
        <v>24200000</v>
      </c>
      <c r="AZ29" s="71" t="n">
        <v>24200000</v>
      </c>
      <c r="BA29" s="71" t="n">
        <v>1318386.71</v>
      </c>
      <c r="BB29" s="71" t="n">
        <v>2358055.48</v>
      </c>
      <c r="BC29" s="69" t="inlineStr">
        <is>
          <t>Refinance</t>
        </is>
      </c>
      <c r="BD29" s="69" t="inlineStr">
        <is>
          <t>N</t>
        </is>
      </c>
      <c r="BE29" s="71" t="n"/>
      <c r="BF29" s="71" t="n"/>
      <c r="BG29" s="71" t="n"/>
      <c r="BH29" s="71" t="n">
        <v>0</v>
      </c>
      <c r="BI29" s="71" t="n">
        <v>0</v>
      </c>
      <c r="BJ29" s="69" t="inlineStr">
        <is>
          <t>N</t>
        </is>
      </c>
      <c r="BK29" s="69" t="n"/>
      <c r="BL29" s="75" t="n"/>
      <c r="BM29" s="73" t="n"/>
      <c r="BN29" s="69" t="inlineStr">
        <is>
          <t>Scott Asner; Michael Gortenburg</t>
        </is>
      </c>
      <c r="BO29" s="69" t="inlineStr">
        <is>
          <t>Natixis</t>
        </is>
      </c>
      <c r="BP29" s="69" t="inlineStr">
        <is>
          <t>Midland Loan Services</t>
        </is>
      </c>
      <c r="BQ29" s="69" t="inlineStr">
        <is>
          <t>Midland Loan Services</t>
        </is>
      </c>
      <c r="BR29" s="69" t="n"/>
      <c r="BS29" s="73" t="n">
        <v>46276</v>
      </c>
      <c r="BU29" s="76">
        <f>IF($C29="","",IFERROR(INDEX(dmName,MATCH($C29,dmID,0)),"Unmapped"))</f>
        <v/>
      </c>
      <c r="BV29" s="76">
        <f>IF($C29="","",IFERROR(INDEX(dmEntity,MATCH($C29,dmID,0)),"Unmapped"))</f>
        <v/>
      </c>
      <c r="BW29" s="77">
        <f>IF($C29="","",IFERROR(INDEX(dmVintage,MATCH($C29,dmID,0)),""))</f>
        <v/>
      </c>
      <c r="BX29" s="78">
        <f>IFERROR(INDEX(dmInclude,MATCH($C29,dmID,0)),0)</f>
        <v/>
      </c>
      <c r="BY29" s="78">
        <f>IF(N($I29)&gt;0,1,0)</f>
        <v/>
      </c>
      <c r="BZ29" s="76">
        <f>IF($AJ29="","Other / Leased Fee",IFERROR(INDEX(mapPTGroup,MATCH(LEFT(TRIM($AJ29),2),mapPTCode,0)),"Other / Leased Fee"))</f>
        <v/>
      </c>
      <c r="CA29" s="76">
        <f>IF(TRIM($AF29&amp;"")="","NR",LEFT(TRIM($AF29),2))</f>
        <v/>
      </c>
      <c r="CB29" s="76">
        <f>IFERROR(LOOKUP(2,1/(LEFT(TRIM($AI29&amp;""),LEN(mapRegion))=mapRegion),mapRegion),"Not Reported")</f>
        <v/>
      </c>
      <c r="CC29" s="76">
        <f>IF($BY29=0,"",IF(TRIM($W29&amp;"")="REO","REO",IF(TRIM($W29&amp;"")="FC","Foreclosure",IF(TRIM($W29&amp;"")="90+","90+ Days Delinquent",IF(TRIM($W29&amp;"")="60","60 Days Delinquent",IF(TRIM($W29&amp;"")="30","30 Days Delinquent",IF($X29="Non-Performing Matured Balloon","Non-Performing Matured Balloon",IF(OR($X29="Late Payment But Less Than 30 Days Delinquent",LEFT($X29&amp;"",20)="Payment Not Received"),"Late / In Grace (&lt;30 Days)",IF($X29="Performing Matured Balloon","Performing Matured Balloon","Current")))))))))</f>
        <v/>
      </c>
      <c r="CD29" s="78">
        <f>IF(OR($CC29="REO",$CC29="Foreclosure",$CC29="90+ Days Delinquent",$CC29="60 Days Delinquent",$CC29="30 Days Delinquent",$CC29="Non-Performing Matured Balloon"),1,0)</f>
        <v/>
      </c>
      <c r="CE29" s="76">
        <f>IF($AB29="Currently special serv","Currently Specially Serviced",IF($AB29="Returned to master serv","Previously Specially Serviced","Never Specially Serviced"))</f>
        <v/>
      </c>
      <c r="CF29" s="78">
        <f>IF($CE29="Currently Specially Serviced",1,0)</f>
        <v/>
      </c>
      <c r="CG29" s="76">
        <f>IF($AA29="Yes","Currently on Watchlist",IF($AA29="Previously","Previously on Watchlist","Never on Watchlist"))</f>
        <v/>
      </c>
      <c r="CH29" s="78">
        <f>IF($CG29="Currently on Watchlist",1,0)</f>
        <v/>
      </c>
      <c r="CI29" s="76">
        <f>IF($Z29="Full Defeasance","Fully Defeased",IF($Z29="Portion Of Loan Previously Defeased","Partially Defeased",IF($Z29="Defeasance Not Allowable","Not Defeased (Not Permitted)","Not Defeased")))</f>
        <v/>
      </c>
      <c r="CJ29" s="78">
        <f>IF($CI29="Fully Defeased",1,0)</f>
        <v/>
      </c>
      <c r="CK29" s="76">
        <f>IF($R29="IO","Full IO",IF(LEFT($R29&amp;"",7)="IO then","Partial IO","Amortizing"))</f>
        <v/>
      </c>
      <c r="CL29" s="78">
        <f>IF($CK29="Full IO",1,0)</f>
        <v/>
      </c>
      <c r="CM29" s="78">
        <f>IF($CK29="Partial IO",1,0)</f>
        <v/>
      </c>
      <c r="CN29" s="76">
        <f>IF(LEFT($F29&amp;"",10)="SPLIT_LOAN","Pari Passu Split","Standalone")</f>
        <v/>
      </c>
      <c r="CO29" s="78">
        <f>IF($CN29="Pari Passu Split",1,0)</f>
        <v/>
      </c>
      <c r="CP29" s="77">
        <f>IF(ISNUMBER($T29),YEAR($T29),"")</f>
        <v/>
      </c>
      <c r="CQ29" s="79">
        <f>IF(ISNUMBER($V29),$V29,IF(ISNUMBER($U29),$U29,""))</f>
        <v/>
      </c>
      <c r="CR29" s="77">
        <f>IF(ISNUMBER($CQ29),YEAR($CQ29),"")</f>
        <v/>
      </c>
      <c r="CS29" s="78">
        <f>IF(ISNUMBER($M29),MAX(0,$M29),IF(TRIM($M29&amp;"")="matured",0,""))</f>
        <v/>
      </c>
      <c r="CT29" s="78">
        <f>IF(AND(ISNUMBER($CS29),N($CS29)&lt;=mMatWindow),1,0)</f>
        <v/>
      </c>
      <c r="CU29" s="80">
        <f>IF(ISNUMBER($J29),$J29/100,"")</f>
        <v/>
      </c>
      <c r="CV29" s="81">
        <f>IF(ISNUMBER($AQ29),$AQ29,"")</f>
        <v/>
      </c>
      <c r="CW29" s="81">
        <f>IF(ISNUMBER($AR29),$AR29,"")</f>
        <v/>
      </c>
      <c r="CX29" s="82">
        <f>IF(ISNUMBER($AS29),$AS29/100,"")</f>
        <v/>
      </c>
      <c r="CY29" s="82">
        <f>IF(ISNUMBER($AT29),$AT29/100,"")</f>
        <v/>
      </c>
      <c r="CZ29" s="82">
        <f>IF(ISNUMBER($AU29),$AU29/100,"")</f>
        <v/>
      </c>
      <c r="DA29" s="82">
        <f>IF(ISNUMBER($AV29),$AV29/100,"")</f>
        <v/>
      </c>
      <c r="DB29" s="82">
        <f>IF(ISNUMBER($AW29),$AW29/100,"")</f>
        <v/>
      </c>
      <c r="DC29" s="82">
        <f>IF(ISNUMBER($AX29),$AX29/100,"")</f>
        <v/>
      </c>
      <c r="DD29" s="77">
        <f>IFERROR(VALUE(LEFT(TRIM($AO29&amp;""),4)),"")</f>
        <v/>
      </c>
      <c r="DE29" s="78">
        <f>IF(AND($BY29=1,$BX29=1,OR(fDeal="All Deals",$BU29=fDeal),OR(fEntity="All Entities",$BV29=fEntity),OR(fPType="All Property Types",$BZ29=fPType),OR(fDefeased="Include",$CJ29=0)),1,0)</f>
        <v/>
      </c>
      <c r="DF29" s="83">
        <f>$DE29*N($I29)</f>
        <v/>
      </c>
      <c r="DG29" s="78">
        <f>IF($DE29=1,IF(COUNTIFS($F$8:$F29,$F29,$DE$8:$DE29,1)=1,1,0),0)</f>
        <v/>
      </c>
      <c r="DH29" s="83">
        <f>IF($DG29=1,SUMIFS($DF$8:$DF$1600,$F$8:$F$1600,$F29),0)</f>
        <v/>
      </c>
      <c r="DI29" s="78">
        <f>IF($DG29=1,COUNTIFS($F$8:$F$1600,$F29,$DE$8:$DE$1600,1),0)</f>
        <v/>
      </c>
      <c r="DJ29" s="84">
        <f>IF($DG29=1,$DH29+(100000-ROW())/mTieBreak,0)</f>
        <v/>
      </c>
    </row>
    <row r="30">
      <c r="B30" s="68" t="n">
        <v>23</v>
      </c>
      <c r="C30" s="69" t="inlineStr">
        <is>
          <t>UBS17C02</t>
        </is>
      </c>
      <c r="D30" s="69" t="inlineStr">
        <is>
          <t>23.000</t>
        </is>
      </c>
      <c r="E30" s="69" t="inlineStr">
        <is>
          <t>DoubleTree St Augustine</t>
        </is>
      </c>
      <c r="F30" s="69" t="inlineStr">
        <is>
          <t>LNUBS17C02-23.000</t>
        </is>
      </c>
      <c r="G30" s="70" t="n"/>
      <c r="H30" s="71" t="n">
        <v>13171200</v>
      </c>
      <c r="I30" s="71" t="n">
        <v>10917678.30999364</v>
      </c>
      <c r="J30" s="72" t="n">
        <v>4.53</v>
      </c>
      <c r="K30" s="69" t="inlineStr">
        <is>
          <t>Fixed rate</t>
        </is>
      </c>
      <c r="L30" s="68" t="n">
        <v>120</v>
      </c>
      <c r="M30" s="68" t="n">
        <v>10</v>
      </c>
      <c r="N30" s="68" t="n">
        <v>360</v>
      </c>
      <c r="O30" s="68" t="n"/>
      <c r="P30" s="68" t="n"/>
      <c r="Q30" s="68" t="n">
        <v>110</v>
      </c>
      <c r="R30" s="69" t="n"/>
      <c r="S30" s="69" t="inlineStr">
        <is>
          <t>No</t>
        </is>
      </c>
      <c r="T30" s="73" t="n">
        <v>42917</v>
      </c>
      <c r="U30" s="73" t="n">
        <v>46574</v>
      </c>
      <c r="V30" s="73" t="n"/>
      <c r="W30" s="69" t="n"/>
      <c r="X30" s="69" t="inlineStr">
        <is>
          <t>Current</t>
        </is>
      </c>
      <c r="Y30" s="68" t="n"/>
      <c r="Z30" s="69" t="inlineStr">
        <is>
          <t>Full Defeasance</t>
        </is>
      </c>
      <c r="AA30" s="69" t="inlineStr">
        <is>
          <t>Previously</t>
        </is>
      </c>
      <c r="AB30" s="69" t="inlineStr">
        <is>
          <t>Never special serv</t>
        </is>
      </c>
      <c r="AC30" s="73" t="n"/>
      <c r="AD30" s="69" t="n"/>
      <c r="AE30" s="69" t="n"/>
      <c r="AF30" s="69" t="inlineStr">
        <is>
          <t>FL</t>
        </is>
      </c>
      <c r="AG30" s="69" t="inlineStr">
        <is>
          <t>St. Augustine</t>
        </is>
      </c>
      <c r="AH30" s="69" t="inlineStr">
        <is>
          <t>Jacksonville, FL</t>
        </is>
      </c>
      <c r="AI30" s="69" t="inlineStr">
        <is>
          <t>South / Atlantic</t>
        </is>
      </c>
      <c r="AJ30" s="69" t="inlineStr">
        <is>
          <t>HT</t>
        </is>
      </c>
      <c r="AK30" s="69" t="inlineStr">
        <is>
          <t>Full Service</t>
        </is>
      </c>
      <c r="AL30" s="68" t="n">
        <v>1</v>
      </c>
      <c r="AM30" s="68" t="n">
        <v>97</v>
      </c>
      <c r="AN30" s="68" t="n"/>
      <c r="AO30" s="69" t="inlineStr">
        <is>
          <t>1972</t>
        </is>
      </c>
      <c r="AP30" s="70" t="n">
        <v>2014</v>
      </c>
      <c r="AQ30" s="74" t="n">
        <v>1.87</v>
      </c>
      <c r="AR30" s="74" t="n">
        <v>3.18</v>
      </c>
      <c r="AS30" s="74" t="n">
        <v>70</v>
      </c>
      <c r="AT30" s="74" t="n">
        <v>58.07</v>
      </c>
      <c r="AU30" s="74" t="n">
        <v>56.7</v>
      </c>
      <c r="AV30" s="74" t="n">
        <v>11.410016855</v>
      </c>
      <c r="AW30" s="74" t="n">
        <v>21.539772956</v>
      </c>
      <c r="AX30" s="75" t="n">
        <v>90</v>
      </c>
      <c r="AY30" s="71" t="n">
        <v>18800000</v>
      </c>
      <c r="AZ30" s="71" t="n">
        <v>18800000</v>
      </c>
      <c r="BA30" s="71" t="n">
        <v>1502836.14</v>
      </c>
      <c r="BB30" s="71" t="n">
        <v>2554552.44</v>
      </c>
      <c r="BC30" s="69" t="inlineStr">
        <is>
          <t>Acquisition</t>
        </is>
      </c>
      <c r="BD30" s="69" t="inlineStr">
        <is>
          <t>N</t>
        </is>
      </c>
      <c r="BE30" s="71" t="n"/>
      <c r="BF30" s="71" t="n"/>
      <c r="BG30" s="71" t="n"/>
      <c r="BH30" s="71" t="n">
        <v>0</v>
      </c>
      <c r="BI30" s="71" t="n">
        <v>0</v>
      </c>
      <c r="BJ30" s="69" t="inlineStr">
        <is>
          <t>N</t>
        </is>
      </c>
      <c r="BK30" s="69" t="n"/>
      <c r="BL30" s="75" t="n"/>
      <c r="BM30" s="73" t="n"/>
      <c r="BN30" s="69" t="inlineStr">
        <is>
          <t>Driftwood Acquisition &amp; Development L.P.</t>
        </is>
      </c>
      <c r="BO30" s="69" t="inlineStr">
        <is>
          <t>GACC</t>
        </is>
      </c>
      <c r="BP30" s="69" t="inlineStr">
        <is>
          <t>Midland Loan Services</t>
        </is>
      </c>
      <c r="BQ30" s="69" t="inlineStr">
        <is>
          <t>Midland Loan Services</t>
        </is>
      </c>
      <c r="BR30" s="69" t="n"/>
      <c r="BS30" s="73" t="n">
        <v>46276</v>
      </c>
      <c r="BU30" s="76">
        <f>IF($C30="","",IFERROR(INDEX(dmName,MATCH($C30,dmID,0)),"Unmapped"))</f>
        <v/>
      </c>
      <c r="BV30" s="76">
        <f>IF($C30="","",IFERROR(INDEX(dmEntity,MATCH($C30,dmID,0)),"Unmapped"))</f>
        <v/>
      </c>
      <c r="BW30" s="77">
        <f>IF($C30="","",IFERROR(INDEX(dmVintage,MATCH($C30,dmID,0)),""))</f>
        <v/>
      </c>
      <c r="BX30" s="78">
        <f>IFERROR(INDEX(dmInclude,MATCH($C30,dmID,0)),0)</f>
        <v/>
      </c>
      <c r="BY30" s="78">
        <f>IF(N($I30)&gt;0,1,0)</f>
        <v/>
      </c>
      <c r="BZ30" s="76">
        <f>IF($AJ30="","Other / Leased Fee",IFERROR(INDEX(mapPTGroup,MATCH(LEFT(TRIM($AJ30),2),mapPTCode,0)),"Other / Leased Fee"))</f>
        <v/>
      </c>
      <c r="CA30" s="76">
        <f>IF(TRIM($AF30&amp;"")="","NR",LEFT(TRIM($AF30),2))</f>
        <v/>
      </c>
      <c r="CB30" s="76">
        <f>IFERROR(LOOKUP(2,1/(LEFT(TRIM($AI30&amp;""),LEN(mapRegion))=mapRegion),mapRegion),"Not Reported")</f>
        <v/>
      </c>
      <c r="CC30" s="76">
        <f>IF($BY30=0,"",IF(TRIM($W30&amp;"")="REO","REO",IF(TRIM($W30&amp;"")="FC","Foreclosure",IF(TRIM($W30&amp;"")="90+","90+ Days Delinquent",IF(TRIM($W30&amp;"")="60","60 Days Delinquent",IF(TRIM($W30&amp;"")="30","30 Days Delinquent",IF($X30="Non-Performing Matured Balloon","Non-Performing Matured Balloon",IF(OR($X30="Late Payment But Less Than 30 Days Delinquent",LEFT($X30&amp;"",20)="Payment Not Received"),"Late / In Grace (&lt;30 Days)",IF($X30="Performing Matured Balloon","Performing Matured Balloon","Current")))))))))</f>
        <v/>
      </c>
      <c r="CD30" s="78">
        <f>IF(OR($CC30="REO",$CC30="Foreclosure",$CC30="90+ Days Delinquent",$CC30="60 Days Delinquent",$CC30="30 Days Delinquent",$CC30="Non-Performing Matured Balloon"),1,0)</f>
        <v/>
      </c>
      <c r="CE30" s="76">
        <f>IF($AB30="Currently special serv","Currently Specially Serviced",IF($AB30="Returned to master serv","Previously Specially Serviced","Never Specially Serviced"))</f>
        <v/>
      </c>
      <c r="CF30" s="78">
        <f>IF($CE30="Currently Specially Serviced",1,0)</f>
        <v/>
      </c>
      <c r="CG30" s="76">
        <f>IF($AA30="Yes","Currently on Watchlist",IF($AA30="Previously","Previously on Watchlist","Never on Watchlist"))</f>
        <v/>
      </c>
      <c r="CH30" s="78">
        <f>IF($CG30="Currently on Watchlist",1,0)</f>
        <v/>
      </c>
      <c r="CI30" s="76">
        <f>IF($Z30="Full Defeasance","Fully Defeased",IF($Z30="Portion Of Loan Previously Defeased","Partially Defeased",IF($Z30="Defeasance Not Allowable","Not Defeased (Not Permitted)","Not Defeased")))</f>
        <v/>
      </c>
      <c r="CJ30" s="78">
        <f>IF($CI30="Fully Defeased",1,0)</f>
        <v/>
      </c>
      <c r="CK30" s="76">
        <f>IF($R30="IO","Full IO",IF(LEFT($R30&amp;"",7)="IO then","Partial IO","Amortizing"))</f>
        <v/>
      </c>
      <c r="CL30" s="78">
        <f>IF($CK30="Full IO",1,0)</f>
        <v/>
      </c>
      <c r="CM30" s="78">
        <f>IF($CK30="Partial IO",1,0)</f>
        <v/>
      </c>
      <c r="CN30" s="76">
        <f>IF(LEFT($F30&amp;"",10)="SPLIT_LOAN","Pari Passu Split","Standalone")</f>
        <v/>
      </c>
      <c r="CO30" s="78">
        <f>IF($CN30="Pari Passu Split",1,0)</f>
        <v/>
      </c>
      <c r="CP30" s="77">
        <f>IF(ISNUMBER($T30),YEAR($T30),"")</f>
        <v/>
      </c>
      <c r="CQ30" s="79">
        <f>IF(ISNUMBER($V30),$V30,IF(ISNUMBER($U30),$U30,""))</f>
        <v/>
      </c>
      <c r="CR30" s="77">
        <f>IF(ISNUMBER($CQ30),YEAR($CQ30),"")</f>
        <v/>
      </c>
      <c r="CS30" s="78">
        <f>IF(ISNUMBER($M30),MAX(0,$M30),IF(TRIM($M30&amp;"")="matured",0,""))</f>
        <v/>
      </c>
      <c r="CT30" s="78">
        <f>IF(AND(ISNUMBER($CS30),N($CS30)&lt;=mMatWindow),1,0)</f>
        <v/>
      </c>
      <c r="CU30" s="80">
        <f>IF(ISNUMBER($J30),$J30/100,"")</f>
        <v/>
      </c>
      <c r="CV30" s="81">
        <f>IF(ISNUMBER($AQ30),$AQ30,"")</f>
        <v/>
      </c>
      <c r="CW30" s="81">
        <f>IF(ISNUMBER($AR30),$AR30,"")</f>
        <v/>
      </c>
      <c r="CX30" s="82">
        <f>IF(ISNUMBER($AS30),$AS30/100,"")</f>
        <v/>
      </c>
      <c r="CY30" s="82">
        <f>IF(ISNUMBER($AT30),$AT30/100,"")</f>
        <v/>
      </c>
      <c r="CZ30" s="82">
        <f>IF(ISNUMBER($AU30),$AU30/100,"")</f>
        <v/>
      </c>
      <c r="DA30" s="82">
        <f>IF(ISNUMBER($AV30),$AV30/100,"")</f>
        <v/>
      </c>
      <c r="DB30" s="82">
        <f>IF(ISNUMBER($AW30),$AW30/100,"")</f>
        <v/>
      </c>
      <c r="DC30" s="82">
        <f>IF(ISNUMBER($AX30),$AX30/100,"")</f>
        <v/>
      </c>
      <c r="DD30" s="77">
        <f>IFERROR(VALUE(LEFT(TRIM($AO30&amp;""),4)),"")</f>
        <v/>
      </c>
      <c r="DE30" s="78">
        <f>IF(AND($BY30=1,$BX30=1,OR(fDeal="All Deals",$BU30=fDeal),OR(fEntity="All Entities",$BV30=fEntity),OR(fPType="All Property Types",$BZ30=fPType),OR(fDefeased="Include",$CJ30=0)),1,0)</f>
        <v/>
      </c>
      <c r="DF30" s="83">
        <f>$DE30*N($I30)</f>
        <v/>
      </c>
      <c r="DG30" s="78">
        <f>IF($DE30=1,IF(COUNTIFS($F$8:$F30,$F30,$DE$8:$DE30,1)=1,1,0),0)</f>
        <v/>
      </c>
      <c r="DH30" s="83">
        <f>IF($DG30=1,SUMIFS($DF$8:$DF$1600,$F$8:$F$1600,$F30),0)</f>
        <v/>
      </c>
      <c r="DI30" s="78">
        <f>IF($DG30=1,COUNTIFS($F$8:$F$1600,$F30,$DE$8:$DE$1600,1),0)</f>
        <v/>
      </c>
      <c r="DJ30" s="84">
        <f>IF($DG30=1,$DH30+(100000-ROW())/mTieBreak,0)</f>
        <v/>
      </c>
    </row>
    <row r="31">
      <c r="B31" s="68" t="n">
        <v>24</v>
      </c>
      <c r="C31" s="69" t="inlineStr">
        <is>
          <t>UBS17C02</t>
        </is>
      </c>
      <c r="D31" s="69" t="inlineStr">
        <is>
          <t>24.000</t>
        </is>
      </c>
      <c r="E31" s="69" t="inlineStr">
        <is>
          <t>Sheraton - Orlando North</t>
        </is>
      </c>
      <c r="F31" s="69" t="inlineStr">
        <is>
          <t>LNUBS17C02-24.000</t>
        </is>
      </c>
      <c r="G31" s="70" t="n"/>
      <c r="H31" s="71" t="n">
        <v>13000000</v>
      </c>
      <c r="I31" s="71" t="n">
        <v>10179569.860005</v>
      </c>
      <c r="J31" s="72" t="n">
        <v>5.353</v>
      </c>
      <c r="K31" s="69" t="inlineStr">
        <is>
          <t>Fixed rate</t>
        </is>
      </c>
      <c r="L31" s="68" t="n">
        <v>120</v>
      </c>
      <c r="M31" s="68" t="n">
        <v>10</v>
      </c>
      <c r="N31" s="68" t="n">
        <v>300</v>
      </c>
      <c r="O31" s="68" t="n"/>
      <c r="P31" s="68" t="n"/>
      <c r="Q31" s="68" t="n">
        <v>110</v>
      </c>
      <c r="R31" s="69" t="n"/>
      <c r="S31" s="69" t="inlineStr">
        <is>
          <t>No</t>
        </is>
      </c>
      <c r="T31" s="73" t="n">
        <v>42917</v>
      </c>
      <c r="U31" s="73" t="n">
        <v>46574</v>
      </c>
      <c r="V31" s="73" t="n"/>
      <c r="W31" s="69" t="n"/>
      <c r="X31" s="69" t="inlineStr">
        <is>
          <t>Current</t>
        </is>
      </c>
      <c r="Y31" s="68" t="n"/>
      <c r="Z31" s="69" t="inlineStr">
        <is>
          <t>Defeasance Not Allowable</t>
        </is>
      </c>
      <c r="AA31" s="69" t="inlineStr">
        <is>
          <t>Yes</t>
        </is>
      </c>
      <c r="AB31" s="69" t="inlineStr">
        <is>
          <t>Never special serv</t>
        </is>
      </c>
      <c r="AC31" s="73" t="n"/>
      <c r="AD31" s="69" t="n"/>
      <c r="AE31" s="69" t="n"/>
      <c r="AF31" s="69" t="inlineStr">
        <is>
          <t>FL</t>
        </is>
      </c>
      <c r="AG31" s="69" t="inlineStr">
        <is>
          <t>Maitland</t>
        </is>
      </c>
      <c r="AH31" s="69" t="inlineStr">
        <is>
          <t>Orlando-Kissimmee-Sanford, FL</t>
        </is>
      </c>
      <c r="AI31" s="69" t="inlineStr">
        <is>
          <t>South / Atlantic</t>
        </is>
      </c>
      <c r="AJ31" s="69" t="inlineStr">
        <is>
          <t>HT</t>
        </is>
      </c>
      <c r="AK31" s="69" t="inlineStr">
        <is>
          <t>Full Service</t>
        </is>
      </c>
      <c r="AL31" s="68" t="n">
        <v>1</v>
      </c>
      <c r="AM31" s="68" t="n">
        <v>389</v>
      </c>
      <c r="AN31" s="68" t="n"/>
      <c r="AO31" s="69" t="inlineStr">
        <is>
          <t>1985</t>
        </is>
      </c>
      <c r="AP31" s="70" t="n">
        <v>1985</v>
      </c>
      <c r="AQ31" s="74" t="n">
        <v>2.79</v>
      </c>
      <c r="AR31" s="74" t="n">
        <v>0.37</v>
      </c>
      <c r="AS31" s="74" t="n">
        <v>46</v>
      </c>
      <c r="AT31" s="74" t="n">
        <v>36.1</v>
      </c>
      <c r="AU31" s="74" t="n">
        <v>34.9</v>
      </c>
      <c r="AV31" s="74" t="n">
        <v>20.289376923</v>
      </c>
      <c r="AW31" s="74" t="n">
        <v>3.42406737</v>
      </c>
      <c r="AX31" s="75" t="n">
        <v>59</v>
      </c>
      <c r="AY31" s="71" t="n">
        <v>28200000</v>
      </c>
      <c r="AZ31" s="71" t="n">
        <v>28200000</v>
      </c>
      <c r="BA31" s="71" t="n">
        <v>2637619</v>
      </c>
      <c r="BB31" s="71" t="n">
        <v>348555.33</v>
      </c>
      <c r="BC31" s="69" t="inlineStr">
        <is>
          <t>Acquisition</t>
        </is>
      </c>
      <c r="BD31" s="69" t="inlineStr">
        <is>
          <t>Y</t>
        </is>
      </c>
      <c r="BE31" s="71" t="n"/>
      <c r="BF31" s="71" t="n"/>
      <c r="BG31" s="71" t="n"/>
      <c r="BH31" s="71" t="n">
        <v>0</v>
      </c>
      <c r="BI31" s="71" t="n">
        <v>0</v>
      </c>
      <c r="BJ31" s="69" t="inlineStr">
        <is>
          <t>Y</t>
        </is>
      </c>
      <c r="BK31" s="69" t="n"/>
      <c r="BL31" s="75" t="n"/>
      <c r="BM31" s="73" t="n"/>
      <c r="BN31" s="69" t="inlineStr">
        <is>
          <t>Joao Woiler; Pedro Miranda</t>
        </is>
      </c>
      <c r="BO31" s="69" t="inlineStr">
        <is>
          <t>UBS</t>
        </is>
      </c>
      <c r="BP31" s="69" t="inlineStr">
        <is>
          <t>Midland Loan Services</t>
        </is>
      </c>
      <c r="BQ31" s="69" t="inlineStr">
        <is>
          <t>Midland Loan Services</t>
        </is>
      </c>
      <c r="BR31" s="69" t="n"/>
      <c r="BS31" s="73" t="n">
        <v>46276</v>
      </c>
      <c r="BU31" s="76">
        <f>IF($C31="","",IFERROR(INDEX(dmName,MATCH($C31,dmID,0)),"Unmapped"))</f>
        <v/>
      </c>
      <c r="BV31" s="76">
        <f>IF($C31="","",IFERROR(INDEX(dmEntity,MATCH($C31,dmID,0)),"Unmapped"))</f>
        <v/>
      </c>
      <c r="BW31" s="77">
        <f>IF($C31="","",IFERROR(INDEX(dmVintage,MATCH($C31,dmID,0)),""))</f>
        <v/>
      </c>
      <c r="BX31" s="78">
        <f>IFERROR(INDEX(dmInclude,MATCH($C31,dmID,0)),0)</f>
        <v/>
      </c>
      <c r="BY31" s="78">
        <f>IF(N($I31)&gt;0,1,0)</f>
        <v/>
      </c>
      <c r="BZ31" s="76">
        <f>IF($AJ31="","Other / Leased Fee",IFERROR(INDEX(mapPTGroup,MATCH(LEFT(TRIM($AJ31),2),mapPTCode,0)),"Other / Leased Fee"))</f>
        <v/>
      </c>
      <c r="CA31" s="76">
        <f>IF(TRIM($AF31&amp;"")="","NR",LEFT(TRIM($AF31),2))</f>
        <v/>
      </c>
      <c r="CB31" s="76">
        <f>IFERROR(LOOKUP(2,1/(LEFT(TRIM($AI31&amp;""),LEN(mapRegion))=mapRegion),mapRegion),"Not Reported")</f>
        <v/>
      </c>
      <c r="CC31" s="76">
        <f>IF($BY31=0,"",IF(TRIM($W31&amp;"")="REO","REO",IF(TRIM($W31&amp;"")="FC","Foreclosure",IF(TRIM($W31&amp;"")="90+","90+ Days Delinquent",IF(TRIM($W31&amp;"")="60","60 Days Delinquent",IF(TRIM($W31&amp;"")="30","30 Days Delinquent",IF($X31="Non-Performing Matured Balloon","Non-Performing Matured Balloon",IF(OR($X31="Late Payment But Less Than 30 Days Delinquent",LEFT($X31&amp;"",20)="Payment Not Received"),"Late / In Grace (&lt;30 Days)",IF($X31="Performing Matured Balloon","Performing Matured Balloon","Current")))))))))</f>
        <v/>
      </c>
      <c r="CD31" s="78">
        <f>IF(OR($CC31="REO",$CC31="Foreclosure",$CC31="90+ Days Delinquent",$CC31="60 Days Delinquent",$CC31="30 Days Delinquent",$CC31="Non-Performing Matured Balloon"),1,0)</f>
        <v/>
      </c>
      <c r="CE31" s="76">
        <f>IF($AB31="Currently special serv","Currently Specially Serviced",IF($AB31="Returned to master serv","Previously Specially Serviced","Never Specially Serviced"))</f>
        <v/>
      </c>
      <c r="CF31" s="78">
        <f>IF($CE31="Currently Specially Serviced",1,0)</f>
        <v/>
      </c>
      <c r="CG31" s="76">
        <f>IF($AA31="Yes","Currently on Watchlist",IF($AA31="Previously","Previously on Watchlist","Never on Watchlist"))</f>
        <v/>
      </c>
      <c r="CH31" s="78">
        <f>IF($CG31="Currently on Watchlist",1,0)</f>
        <v/>
      </c>
      <c r="CI31" s="76">
        <f>IF($Z31="Full Defeasance","Fully Defeased",IF($Z31="Portion Of Loan Previously Defeased","Partially Defeased",IF($Z31="Defeasance Not Allowable","Not Defeased (Not Permitted)","Not Defeased")))</f>
        <v/>
      </c>
      <c r="CJ31" s="78">
        <f>IF($CI31="Fully Defeased",1,0)</f>
        <v/>
      </c>
      <c r="CK31" s="76">
        <f>IF($R31="IO","Full IO",IF(LEFT($R31&amp;"",7)="IO then","Partial IO","Amortizing"))</f>
        <v/>
      </c>
      <c r="CL31" s="78">
        <f>IF($CK31="Full IO",1,0)</f>
        <v/>
      </c>
      <c r="CM31" s="78">
        <f>IF($CK31="Partial IO",1,0)</f>
        <v/>
      </c>
      <c r="CN31" s="76">
        <f>IF(LEFT($F31&amp;"",10)="SPLIT_LOAN","Pari Passu Split","Standalone")</f>
        <v/>
      </c>
      <c r="CO31" s="78">
        <f>IF($CN31="Pari Passu Split",1,0)</f>
        <v/>
      </c>
      <c r="CP31" s="77">
        <f>IF(ISNUMBER($T31),YEAR($T31),"")</f>
        <v/>
      </c>
      <c r="CQ31" s="79">
        <f>IF(ISNUMBER($V31),$V31,IF(ISNUMBER($U31),$U31,""))</f>
        <v/>
      </c>
      <c r="CR31" s="77">
        <f>IF(ISNUMBER($CQ31),YEAR($CQ31),"")</f>
        <v/>
      </c>
      <c r="CS31" s="78">
        <f>IF(ISNUMBER($M31),MAX(0,$M31),IF(TRIM($M31&amp;"")="matured",0,""))</f>
        <v/>
      </c>
      <c r="CT31" s="78">
        <f>IF(AND(ISNUMBER($CS31),N($CS31)&lt;=mMatWindow),1,0)</f>
        <v/>
      </c>
      <c r="CU31" s="80">
        <f>IF(ISNUMBER($J31),$J31/100,"")</f>
        <v/>
      </c>
      <c r="CV31" s="81">
        <f>IF(ISNUMBER($AQ31),$AQ31,"")</f>
        <v/>
      </c>
      <c r="CW31" s="81">
        <f>IF(ISNUMBER($AR31),$AR31,"")</f>
        <v/>
      </c>
      <c r="CX31" s="82">
        <f>IF(ISNUMBER($AS31),$AS31/100,"")</f>
        <v/>
      </c>
      <c r="CY31" s="82">
        <f>IF(ISNUMBER($AT31),$AT31/100,"")</f>
        <v/>
      </c>
      <c r="CZ31" s="82">
        <f>IF(ISNUMBER($AU31),$AU31/100,"")</f>
        <v/>
      </c>
      <c r="DA31" s="82">
        <f>IF(ISNUMBER($AV31),$AV31/100,"")</f>
        <v/>
      </c>
      <c r="DB31" s="82">
        <f>IF(ISNUMBER($AW31),$AW31/100,"")</f>
        <v/>
      </c>
      <c r="DC31" s="82">
        <f>IF(ISNUMBER($AX31),$AX31/100,"")</f>
        <v/>
      </c>
      <c r="DD31" s="77">
        <f>IFERROR(VALUE(LEFT(TRIM($AO31&amp;""),4)),"")</f>
        <v/>
      </c>
      <c r="DE31" s="78">
        <f>IF(AND($BY31=1,$BX31=1,OR(fDeal="All Deals",$BU31=fDeal),OR(fEntity="All Entities",$BV31=fEntity),OR(fPType="All Property Types",$BZ31=fPType),OR(fDefeased="Include",$CJ31=0)),1,0)</f>
        <v/>
      </c>
      <c r="DF31" s="83">
        <f>$DE31*N($I31)</f>
        <v/>
      </c>
      <c r="DG31" s="78">
        <f>IF($DE31=1,IF(COUNTIFS($F$8:$F31,$F31,$DE$8:$DE31,1)=1,1,0),0)</f>
        <v/>
      </c>
      <c r="DH31" s="83">
        <f>IF($DG31=1,SUMIFS($DF$8:$DF$1600,$F$8:$F$1600,$F31),0)</f>
        <v/>
      </c>
      <c r="DI31" s="78">
        <f>IF($DG31=1,COUNTIFS($F$8:$F$1600,$F31,$DE$8:$DE$1600,1),0)</f>
        <v/>
      </c>
      <c r="DJ31" s="84">
        <f>IF($DG31=1,$DH31+(100000-ROW())/mTieBreak,0)</f>
        <v/>
      </c>
    </row>
    <row r="32">
      <c r="B32" s="68" t="n">
        <v>25</v>
      </c>
      <c r="C32" s="69" t="inlineStr">
        <is>
          <t>UBS17C02</t>
        </is>
      </c>
      <c r="D32" s="69" t="inlineStr">
        <is>
          <t>25.000</t>
        </is>
      </c>
      <c r="E32" s="69" t="inlineStr">
        <is>
          <t>1200 State Fair</t>
        </is>
      </c>
      <c r="F32" s="69" t="inlineStr">
        <is>
          <t>LNUBS17C02-25.000</t>
        </is>
      </c>
      <c r="G32" s="70" t="n"/>
      <c r="H32" s="71" t="n">
        <v>13000000</v>
      </c>
      <c r="I32" s="71" t="n">
        <v>10029833.690006</v>
      </c>
      <c r="J32" s="72" t="n">
        <v>4.9</v>
      </c>
      <c r="K32" s="69" t="inlineStr">
        <is>
          <t>Fixed rate</t>
        </is>
      </c>
      <c r="L32" s="68" t="n">
        <v>120</v>
      </c>
      <c r="M32" s="68" t="n">
        <v>10</v>
      </c>
      <c r="N32" s="68" t="n">
        <v>300</v>
      </c>
      <c r="O32" s="68" t="n"/>
      <c r="P32" s="68" t="n"/>
      <c r="Q32" s="68" t="n">
        <v>110</v>
      </c>
      <c r="R32" s="69" t="n"/>
      <c r="S32" s="69" t="inlineStr">
        <is>
          <t>No</t>
        </is>
      </c>
      <c r="T32" s="73" t="n">
        <v>42917</v>
      </c>
      <c r="U32" s="73" t="n">
        <v>46574</v>
      </c>
      <c r="V32" s="73" t="n"/>
      <c r="W32" s="69" t="n"/>
      <c r="X32" s="69" t="inlineStr">
        <is>
          <t>Current</t>
        </is>
      </c>
      <c r="Y32" s="68" t="n"/>
      <c r="Z32" s="69" t="inlineStr">
        <is>
          <t>Full Defeasance</t>
        </is>
      </c>
      <c r="AA32" s="69" t="inlineStr">
        <is>
          <t>Previously</t>
        </is>
      </c>
      <c r="AB32" s="69" t="inlineStr">
        <is>
          <t>Never special serv</t>
        </is>
      </c>
      <c r="AC32" s="73" t="n"/>
      <c r="AD32" s="69" t="n"/>
      <c r="AE32" s="69" t="n"/>
      <c r="AF32" s="69" t="inlineStr">
        <is>
          <t>NY</t>
        </is>
      </c>
      <c r="AG32" s="69" t="inlineStr">
        <is>
          <t>Geddes</t>
        </is>
      </c>
      <c r="AH32" s="69" t="inlineStr">
        <is>
          <t>Syracuse, NY</t>
        </is>
      </c>
      <c r="AI32" s="69" t="inlineStr">
        <is>
          <t>Northeast / Mid-Atlantic</t>
        </is>
      </c>
      <c r="AJ32" s="69" t="inlineStr">
        <is>
          <t>IN</t>
        </is>
      </c>
      <c r="AK32" s="69" t="inlineStr">
        <is>
          <t>Warehouse</t>
        </is>
      </c>
      <c r="AL32" s="68" t="n">
        <v>1</v>
      </c>
      <c r="AM32" s="68" t="n"/>
      <c r="AN32" s="68" t="n">
        <v>548536</v>
      </c>
      <c r="AO32" s="69" t="inlineStr">
        <is>
          <t>1958-1988</t>
        </is>
      </c>
      <c r="AP32" s="70" t="n">
        <v>2017</v>
      </c>
      <c r="AQ32" s="74" t="n">
        <v>1.61</v>
      </c>
      <c r="AR32" s="74" t="n">
        <v>1.95</v>
      </c>
      <c r="AS32" s="74" t="n">
        <v>64.90000000000001</v>
      </c>
      <c r="AT32" s="74" t="n">
        <v>50.15</v>
      </c>
      <c r="AU32" s="74" t="n">
        <v>48.4</v>
      </c>
      <c r="AV32" s="74" t="n">
        <v>11.163753769</v>
      </c>
      <c r="AW32" s="74" t="n">
        <v>17.551678865</v>
      </c>
      <c r="AX32" s="75" t="n">
        <v>97</v>
      </c>
      <c r="AY32" s="71" t="n">
        <v>20000000</v>
      </c>
      <c r="AZ32" s="71" t="n">
        <v>20000000</v>
      </c>
      <c r="BA32" s="71" t="n">
        <v>1451287.99</v>
      </c>
      <c r="BB32" s="71" t="n">
        <v>1760404.2</v>
      </c>
      <c r="BC32" s="69" t="inlineStr">
        <is>
          <t>Refinance</t>
        </is>
      </c>
      <c r="BD32" s="69" t="inlineStr">
        <is>
          <t>N</t>
        </is>
      </c>
      <c r="BE32" s="71" t="n"/>
      <c r="BF32" s="71" t="n"/>
      <c r="BG32" s="71" t="n"/>
      <c r="BH32" s="71" t="n">
        <v>0</v>
      </c>
      <c r="BI32" s="71" t="n">
        <v>0</v>
      </c>
      <c r="BJ32" s="69" t="inlineStr">
        <is>
          <t>N</t>
        </is>
      </c>
      <c r="BK32" s="69" t="inlineStr">
        <is>
          <t>WB Mason Warehouse/Office</t>
        </is>
      </c>
      <c r="BL32" s="75" t="n">
        <v>48.35</v>
      </c>
      <c r="BM32" s="73" t="n">
        <v>47149</v>
      </c>
      <c r="BN32" s="69" t="inlineStr">
        <is>
          <t>James P. Ranalli, Jr.; James P. Ranalli III</t>
        </is>
      </c>
      <c r="BO32" s="69" t="inlineStr">
        <is>
          <t>GACC</t>
        </is>
      </c>
      <c r="BP32" s="69" t="inlineStr">
        <is>
          <t>Midland Loan Services</t>
        </is>
      </c>
      <c r="BQ32" s="69" t="inlineStr">
        <is>
          <t>Midland Loan Services</t>
        </is>
      </c>
      <c r="BR32" s="69" t="n"/>
      <c r="BS32" s="73" t="n">
        <v>46276</v>
      </c>
      <c r="BU32" s="76">
        <f>IF($C32="","",IFERROR(INDEX(dmName,MATCH($C32,dmID,0)),"Unmapped"))</f>
        <v/>
      </c>
      <c r="BV32" s="76">
        <f>IF($C32="","",IFERROR(INDEX(dmEntity,MATCH($C32,dmID,0)),"Unmapped"))</f>
        <v/>
      </c>
      <c r="BW32" s="77">
        <f>IF($C32="","",IFERROR(INDEX(dmVintage,MATCH($C32,dmID,0)),""))</f>
        <v/>
      </c>
      <c r="BX32" s="78">
        <f>IFERROR(INDEX(dmInclude,MATCH($C32,dmID,0)),0)</f>
        <v/>
      </c>
      <c r="BY32" s="78">
        <f>IF(N($I32)&gt;0,1,0)</f>
        <v/>
      </c>
      <c r="BZ32" s="76">
        <f>IF($AJ32="","Other / Leased Fee",IFERROR(INDEX(mapPTGroup,MATCH(LEFT(TRIM($AJ32),2),mapPTCode,0)),"Other / Leased Fee"))</f>
        <v/>
      </c>
      <c r="CA32" s="76">
        <f>IF(TRIM($AF32&amp;"")="","NR",LEFT(TRIM($AF32),2))</f>
        <v/>
      </c>
      <c r="CB32" s="76">
        <f>IFERROR(LOOKUP(2,1/(LEFT(TRIM($AI32&amp;""),LEN(mapRegion))=mapRegion),mapRegion),"Not Reported")</f>
        <v/>
      </c>
      <c r="CC32" s="76">
        <f>IF($BY32=0,"",IF(TRIM($W32&amp;"")="REO","REO",IF(TRIM($W32&amp;"")="FC","Foreclosure",IF(TRIM($W32&amp;"")="90+","90+ Days Delinquent",IF(TRIM($W32&amp;"")="60","60 Days Delinquent",IF(TRIM($W32&amp;"")="30","30 Days Delinquent",IF($X32="Non-Performing Matured Balloon","Non-Performing Matured Balloon",IF(OR($X32="Late Payment But Less Than 30 Days Delinquent",LEFT($X32&amp;"",20)="Payment Not Received"),"Late / In Grace (&lt;30 Days)",IF($X32="Performing Matured Balloon","Performing Matured Balloon","Current")))))))))</f>
        <v/>
      </c>
      <c r="CD32" s="78">
        <f>IF(OR($CC32="REO",$CC32="Foreclosure",$CC32="90+ Days Delinquent",$CC32="60 Days Delinquent",$CC32="30 Days Delinquent",$CC32="Non-Performing Matured Balloon"),1,0)</f>
        <v/>
      </c>
      <c r="CE32" s="76">
        <f>IF($AB32="Currently special serv","Currently Specially Serviced",IF($AB32="Returned to master serv","Previously Specially Serviced","Never Specially Serviced"))</f>
        <v/>
      </c>
      <c r="CF32" s="78">
        <f>IF($CE32="Currently Specially Serviced",1,0)</f>
        <v/>
      </c>
      <c r="CG32" s="76">
        <f>IF($AA32="Yes","Currently on Watchlist",IF($AA32="Previously","Previously on Watchlist","Never on Watchlist"))</f>
        <v/>
      </c>
      <c r="CH32" s="78">
        <f>IF($CG32="Currently on Watchlist",1,0)</f>
        <v/>
      </c>
      <c r="CI32" s="76">
        <f>IF($Z32="Full Defeasance","Fully Defeased",IF($Z32="Portion Of Loan Previously Defeased","Partially Defeased",IF($Z32="Defeasance Not Allowable","Not Defeased (Not Permitted)","Not Defeased")))</f>
        <v/>
      </c>
      <c r="CJ32" s="78">
        <f>IF($CI32="Fully Defeased",1,0)</f>
        <v/>
      </c>
      <c r="CK32" s="76">
        <f>IF($R32="IO","Full IO",IF(LEFT($R32&amp;"",7)="IO then","Partial IO","Amortizing"))</f>
        <v/>
      </c>
      <c r="CL32" s="78">
        <f>IF($CK32="Full IO",1,0)</f>
        <v/>
      </c>
      <c r="CM32" s="78">
        <f>IF($CK32="Partial IO",1,0)</f>
        <v/>
      </c>
      <c r="CN32" s="76">
        <f>IF(LEFT($F32&amp;"",10)="SPLIT_LOAN","Pari Passu Split","Standalone")</f>
        <v/>
      </c>
      <c r="CO32" s="78">
        <f>IF($CN32="Pari Passu Split",1,0)</f>
        <v/>
      </c>
      <c r="CP32" s="77">
        <f>IF(ISNUMBER($T32),YEAR($T32),"")</f>
        <v/>
      </c>
      <c r="CQ32" s="79">
        <f>IF(ISNUMBER($V32),$V32,IF(ISNUMBER($U32),$U32,""))</f>
        <v/>
      </c>
      <c r="CR32" s="77">
        <f>IF(ISNUMBER($CQ32),YEAR($CQ32),"")</f>
        <v/>
      </c>
      <c r="CS32" s="78">
        <f>IF(ISNUMBER($M32),MAX(0,$M32),IF(TRIM($M32&amp;"")="matured",0,""))</f>
        <v/>
      </c>
      <c r="CT32" s="78">
        <f>IF(AND(ISNUMBER($CS32),N($CS32)&lt;=mMatWindow),1,0)</f>
        <v/>
      </c>
      <c r="CU32" s="80">
        <f>IF(ISNUMBER($J32),$J32/100,"")</f>
        <v/>
      </c>
      <c r="CV32" s="81">
        <f>IF(ISNUMBER($AQ32),$AQ32,"")</f>
        <v/>
      </c>
      <c r="CW32" s="81">
        <f>IF(ISNUMBER($AR32),$AR32,"")</f>
        <v/>
      </c>
      <c r="CX32" s="82">
        <f>IF(ISNUMBER($AS32),$AS32/100,"")</f>
        <v/>
      </c>
      <c r="CY32" s="82">
        <f>IF(ISNUMBER($AT32),$AT32/100,"")</f>
        <v/>
      </c>
      <c r="CZ32" s="82">
        <f>IF(ISNUMBER($AU32),$AU32/100,"")</f>
        <v/>
      </c>
      <c r="DA32" s="82">
        <f>IF(ISNUMBER($AV32),$AV32/100,"")</f>
        <v/>
      </c>
      <c r="DB32" s="82">
        <f>IF(ISNUMBER($AW32),$AW32/100,"")</f>
        <v/>
      </c>
      <c r="DC32" s="82">
        <f>IF(ISNUMBER($AX32),$AX32/100,"")</f>
        <v/>
      </c>
      <c r="DD32" s="77">
        <f>IFERROR(VALUE(LEFT(TRIM($AO32&amp;""),4)),"")</f>
        <v/>
      </c>
      <c r="DE32" s="78">
        <f>IF(AND($BY32=1,$BX32=1,OR(fDeal="All Deals",$BU32=fDeal),OR(fEntity="All Entities",$BV32=fEntity),OR(fPType="All Property Types",$BZ32=fPType),OR(fDefeased="Include",$CJ32=0)),1,0)</f>
        <v/>
      </c>
      <c r="DF32" s="83">
        <f>$DE32*N($I32)</f>
        <v/>
      </c>
      <c r="DG32" s="78">
        <f>IF($DE32=1,IF(COUNTIFS($F$8:$F32,$F32,$DE$8:$DE32,1)=1,1,0),0)</f>
        <v/>
      </c>
      <c r="DH32" s="83">
        <f>IF($DG32=1,SUMIFS($DF$8:$DF$1600,$F$8:$F$1600,$F32),0)</f>
        <v/>
      </c>
      <c r="DI32" s="78">
        <f>IF($DG32=1,COUNTIFS($F$8:$F$1600,$F32,$DE$8:$DE$1600,1),0)</f>
        <v/>
      </c>
      <c r="DJ32" s="84">
        <f>IF($DG32=1,$DH32+(100000-ROW())/mTieBreak,0)</f>
        <v/>
      </c>
    </row>
    <row r="33">
      <c r="B33" s="68" t="n">
        <v>26</v>
      </c>
      <c r="C33" s="69" t="inlineStr">
        <is>
          <t>UBS17C02</t>
        </is>
      </c>
      <c r="D33" s="69" t="inlineStr">
        <is>
          <t>26.000</t>
        </is>
      </c>
      <c r="E33" s="69" t="inlineStr">
        <is>
          <t>114 W Adams</t>
        </is>
      </c>
      <c r="F33" s="69" t="inlineStr">
        <is>
          <t>LNUBS17C02-26.000</t>
        </is>
      </c>
      <c r="G33" s="70" t="n"/>
      <c r="H33" s="71" t="n">
        <v>12280000</v>
      </c>
      <c r="I33" s="71" t="n">
        <v>10255292.91000528</v>
      </c>
      <c r="J33" s="72" t="n">
        <v>4.85</v>
      </c>
      <c r="K33" s="69" t="inlineStr">
        <is>
          <t>Fixed rate</t>
        </is>
      </c>
      <c r="L33" s="68" t="n">
        <v>120</v>
      </c>
      <c r="M33" s="68" t="n">
        <v>9</v>
      </c>
      <c r="N33" s="68" t="n">
        <v>360</v>
      </c>
      <c r="O33" s="68" t="n"/>
      <c r="P33" s="68" t="n"/>
      <c r="Q33" s="68" t="n">
        <v>111</v>
      </c>
      <c r="R33" s="69" t="n"/>
      <c r="S33" s="69" t="inlineStr">
        <is>
          <t>No</t>
        </is>
      </c>
      <c r="T33" s="73" t="n">
        <v>42887</v>
      </c>
      <c r="U33" s="73" t="n">
        <v>46544</v>
      </c>
      <c r="V33" s="73" t="n"/>
      <c r="W33" s="69" t="n"/>
      <c r="X33" s="69" t="inlineStr">
        <is>
          <t>Current</t>
        </is>
      </c>
      <c r="Y33" s="68" t="n"/>
      <c r="Z33" s="69" t="inlineStr">
        <is>
          <t>Defeasance Not Allowable</t>
        </is>
      </c>
      <c r="AA33" s="69" t="inlineStr">
        <is>
          <t>Yes</t>
        </is>
      </c>
      <c r="AB33" s="69" t="inlineStr">
        <is>
          <t>Never special serv</t>
        </is>
      </c>
      <c r="AC33" s="73" t="n"/>
      <c r="AD33" s="69" t="n"/>
      <c r="AE33" s="69" t="n"/>
      <c r="AF33" s="69" t="inlineStr">
        <is>
          <t>MI</t>
        </is>
      </c>
      <c r="AG33" s="69" t="inlineStr">
        <is>
          <t>Detroit</t>
        </is>
      </c>
      <c r="AH33" s="69" t="inlineStr">
        <is>
          <t>Detroit-Warren-Dearborn, MI</t>
        </is>
      </c>
      <c r="AI33" s="69" t="inlineStr">
        <is>
          <t>Midwest / Central East</t>
        </is>
      </c>
      <c r="AJ33" s="69" t="inlineStr">
        <is>
          <t>MF</t>
        </is>
      </c>
      <c r="AK33" s="69" t="inlineStr">
        <is>
          <t>High Rise</t>
        </is>
      </c>
      <c r="AL33" s="68" t="n">
        <v>1</v>
      </c>
      <c r="AM33" s="68" t="n">
        <v>116</v>
      </c>
      <c r="AN33" s="68" t="n"/>
      <c r="AO33" s="69" t="inlineStr">
        <is>
          <t>1937</t>
        </is>
      </c>
      <c r="AP33" s="70" t="n">
        <v>2016</v>
      </c>
      <c r="AQ33" s="74" t="n">
        <v>1.44</v>
      </c>
      <c r="AR33" s="74" t="n">
        <v>0.53</v>
      </c>
      <c r="AS33" s="74" t="n">
        <v>72.90000000000001</v>
      </c>
      <c r="AT33" s="74" t="n">
        <v>61.04</v>
      </c>
      <c r="AU33" s="74" t="n">
        <v>59.8</v>
      </c>
      <c r="AV33" s="74" t="n">
        <v>9.115399023</v>
      </c>
      <c r="AW33" s="74" t="n">
        <v>4.033763966</v>
      </c>
      <c r="AX33" s="75" t="n">
        <v>70</v>
      </c>
      <c r="AY33" s="71" t="n">
        <v>16800000</v>
      </c>
      <c r="AZ33" s="71" t="n">
        <v>16800000</v>
      </c>
      <c r="BA33" s="71" t="n">
        <v>1119371</v>
      </c>
      <c r="BB33" s="71" t="n">
        <v>413674.31</v>
      </c>
      <c r="BC33" s="69" t="inlineStr">
        <is>
          <t>Refinance</t>
        </is>
      </c>
      <c r="BD33" s="69" t="inlineStr">
        <is>
          <t>N</t>
        </is>
      </c>
      <c r="BE33" s="71" t="n"/>
      <c r="BF33" s="71" t="n"/>
      <c r="BG33" s="71" t="n"/>
      <c r="BH33" s="71" t="n">
        <v>0</v>
      </c>
      <c r="BI33" s="71" t="n">
        <v>0</v>
      </c>
      <c r="BJ33" s="69" t="inlineStr">
        <is>
          <t>N</t>
        </is>
      </c>
      <c r="BK33" s="69" t="inlineStr">
        <is>
          <t>Tirana Grille</t>
        </is>
      </c>
      <c r="BL33" s="75" t="n">
        <v>100</v>
      </c>
      <c r="BM33" s="73" t="n">
        <v>47341</v>
      </c>
      <c r="BN33" s="69" t="inlineStr">
        <is>
          <t>Joe Barbat; David D. Ebner</t>
        </is>
      </c>
      <c r="BO33" s="69" t="inlineStr">
        <is>
          <t>UBS</t>
        </is>
      </c>
      <c r="BP33" s="69" t="inlineStr">
        <is>
          <t>Midland Loan Services</t>
        </is>
      </c>
      <c r="BQ33" s="69" t="inlineStr">
        <is>
          <t>Midland Loan Services</t>
        </is>
      </c>
      <c r="BR33" s="69" t="n"/>
      <c r="BS33" s="73" t="n">
        <v>46276</v>
      </c>
      <c r="BU33" s="76">
        <f>IF($C33="","",IFERROR(INDEX(dmName,MATCH($C33,dmID,0)),"Unmapped"))</f>
        <v/>
      </c>
      <c r="BV33" s="76">
        <f>IF($C33="","",IFERROR(INDEX(dmEntity,MATCH($C33,dmID,0)),"Unmapped"))</f>
        <v/>
      </c>
      <c r="BW33" s="77">
        <f>IF($C33="","",IFERROR(INDEX(dmVintage,MATCH($C33,dmID,0)),""))</f>
        <v/>
      </c>
      <c r="BX33" s="78">
        <f>IFERROR(INDEX(dmInclude,MATCH($C33,dmID,0)),0)</f>
        <v/>
      </c>
      <c r="BY33" s="78">
        <f>IF(N($I33)&gt;0,1,0)</f>
        <v/>
      </c>
      <c r="BZ33" s="76">
        <f>IF($AJ33="","Other / Leased Fee",IFERROR(INDEX(mapPTGroup,MATCH(LEFT(TRIM($AJ33),2),mapPTCode,0)),"Other / Leased Fee"))</f>
        <v/>
      </c>
      <c r="CA33" s="76">
        <f>IF(TRIM($AF33&amp;"")="","NR",LEFT(TRIM($AF33),2))</f>
        <v/>
      </c>
      <c r="CB33" s="76">
        <f>IFERROR(LOOKUP(2,1/(LEFT(TRIM($AI33&amp;""),LEN(mapRegion))=mapRegion),mapRegion),"Not Reported")</f>
        <v/>
      </c>
      <c r="CC33" s="76">
        <f>IF($BY33=0,"",IF(TRIM($W33&amp;"")="REO","REO",IF(TRIM($W33&amp;"")="FC","Foreclosure",IF(TRIM($W33&amp;"")="90+","90+ Days Delinquent",IF(TRIM($W33&amp;"")="60","60 Days Delinquent",IF(TRIM($W33&amp;"")="30","30 Days Delinquent",IF($X33="Non-Performing Matured Balloon","Non-Performing Matured Balloon",IF(OR($X33="Late Payment But Less Than 30 Days Delinquent",LEFT($X33&amp;"",20)="Payment Not Received"),"Late / In Grace (&lt;30 Days)",IF($X33="Performing Matured Balloon","Performing Matured Balloon","Current")))))))))</f>
        <v/>
      </c>
      <c r="CD33" s="78">
        <f>IF(OR($CC33="REO",$CC33="Foreclosure",$CC33="90+ Days Delinquent",$CC33="60 Days Delinquent",$CC33="30 Days Delinquent",$CC33="Non-Performing Matured Balloon"),1,0)</f>
        <v/>
      </c>
      <c r="CE33" s="76">
        <f>IF($AB33="Currently special serv","Currently Specially Serviced",IF($AB33="Returned to master serv","Previously Specially Serviced","Never Specially Serviced"))</f>
        <v/>
      </c>
      <c r="CF33" s="78">
        <f>IF($CE33="Currently Specially Serviced",1,0)</f>
        <v/>
      </c>
      <c r="CG33" s="76">
        <f>IF($AA33="Yes","Currently on Watchlist",IF($AA33="Previously","Previously on Watchlist","Never on Watchlist"))</f>
        <v/>
      </c>
      <c r="CH33" s="78">
        <f>IF($CG33="Currently on Watchlist",1,0)</f>
        <v/>
      </c>
      <c r="CI33" s="76">
        <f>IF($Z33="Full Defeasance","Fully Defeased",IF($Z33="Portion Of Loan Previously Defeased","Partially Defeased",IF($Z33="Defeasance Not Allowable","Not Defeased (Not Permitted)","Not Defeased")))</f>
        <v/>
      </c>
      <c r="CJ33" s="78">
        <f>IF($CI33="Fully Defeased",1,0)</f>
        <v/>
      </c>
      <c r="CK33" s="76">
        <f>IF($R33="IO","Full IO",IF(LEFT($R33&amp;"",7)="IO then","Partial IO","Amortizing"))</f>
        <v/>
      </c>
      <c r="CL33" s="78">
        <f>IF($CK33="Full IO",1,0)</f>
        <v/>
      </c>
      <c r="CM33" s="78">
        <f>IF($CK33="Partial IO",1,0)</f>
        <v/>
      </c>
      <c r="CN33" s="76">
        <f>IF(LEFT($F33&amp;"",10)="SPLIT_LOAN","Pari Passu Split","Standalone")</f>
        <v/>
      </c>
      <c r="CO33" s="78">
        <f>IF($CN33="Pari Passu Split",1,0)</f>
        <v/>
      </c>
      <c r="CP33" s="77">
        <f>IF(ISNUMBER($T33),YEAR($T33),"")</f>
        <v/>
      </c>
      <c r="CQ33" s="79">
        <f>IF(ISNUMBER($V33),$V33,IF(ISNUMBER($U33),$U33,""))</f>
        <v/>
      </c>
      <c r="CR33" s="77">
        <f>IF(ISNUMBER($CQ33),YEAR($CQ33),"")</f>
        <v/>
      </c>
      <c r="CS33" s="78">
        <f>IF(ISNUMBER($M33),MAX(0,$M33),IF(TRIM($M33&amp;"")="matured",0,""))</f>
        <v/>
      </c>
      <c r="CT33" s="78">
        <f>IF(AND(ISNUMBER($CS33),N($CS33)&lt;=mMatWindow),1,0)</f>
        <v/>
      </c>
      <c r="CU33" s="80">
        <f>IF(ISNUMBER($J33),$J33/100,"")</f>
        <v/>
      </c>
      <c r="CV33" s="81">
        <f>IF(ISNUMBER($AQ33),$AQ33,"")</f>
        <v/>
      </c>
      <c r="CW33" s="81">
        <f>IF(ISNUMBER($AR33),$AR33,"")</f>
        <v/>
      </c>
      <c r="CX33" s="82">
        <f>IF(ISNUMBER($AS33),$AS33/100,"")</f>
        <v/>
      </c>
      <c r="CY33" s="82">
        <f>IF(ISNUMBER($AT33),$AT33/100,"")</f>
        <v/>
      </c>
      <c r="CZ33" s="82">
        <f>IF(ISNUMBER($AU33),$AU33/100,"")</f>
        <v/>
      </c>
      <c r="DA33" s="82">
        <f>IF(ISNUMBER($AV33),$AV33/100,"")</f>
        <v/>
      </c>
      <c r="DB33" s="82">
        <f>IF(ISNUMBER($AW33),$AW33/100,"")</f>
        <v/>
      </c>
      <c r="DC33" s="82">
        <f>IF(ISNUMBER($AX33),$AX33/100,"")</f>
        <v/>
      </c>
      <c r="DD33" s="77">
        <f>IFERROR(VALUE(LEFT(TRIM($AO33&amp;""),4)),"")</f>
        <v/>
      </c>
      <c r="DE33" s="78">
        <f>IF(AND($BY33=1,$BX33=1,OR(fDeal="All Deals",$BU33=fDeal),OR(fEntity="All Entities",$BV33=fEntity),OR(fPType="All Property Types",$BZ33=fPType),OR(fDefeased="Include",$CJ33=0)),1,0)</f>
        <v/>
      </c>
      <c r="DF33" s="83">
        <f>$DE33*N($I33)</f>
        <v/>
      </c>
      <c r="DG33" s="78">
        <f>IF($DE33=1,IF(COUNTIFS($F$8:$F33,$F33,$DE$8:$DE33,1)=1,1,0),0)</f>
        <v/>
      </c>
      <c r="DH33" s="83">
        <f>IF($DG33=1,SUMIFS($DF$8:$DF$1600,$F$8:$F$1600,$F33),0)</f>
        <v/>
      </c>
      <c r="DI33" s="78">
        <f>IF($DG33=1,COUNTIFS($F$8:$F$1600,$F33,$DE$8:$DE$1600,1),0)</f>
        <v/>
      </c>
      <c r="DJ33" s="84">
        <f>IF($DG33=1,$DH33+(100000-ROW())/mTieBreak,0)</f>
        <v/>
      </c>
    </row>
    <row r="34">
      <c r="B34" s="68" t="n">
        <v>27</v>
      </c>
      <c r="C34" s="69" t="inlineStr">
        <is>
          <t>UBS17C02</t>
        </is>
      </c>
      <c r="D34" s="69" t="inlineStr">
        <is>
          <t>27.000</t>
        </is>
      </c>
      <c r="E34" s="69" t="inlineStr">
        <is>
          <t>Concorde Portfolio</t>
        </is>
      </c>
      <c r="F34" s="69" t="inlineStr">
        <is>
          <t>SPLIT_LOAN_00996</t>
        </is>
      </c>
      <c r="G34" s="70" t="n">
        <v>996</v>
      </c>
      <c r="H34" s="71" t="n">
        <v>12000000</v>
      </c>
      <c r="I34" s="71" t="n">
        <v>10292458.359996</v>
      </c>
      <c r="J34" s="72" t="n">
        <v>5.11</v>
      </c>
      <c r="K34" s="69" t="inlineStr">
        <is>
          <t>Fixed rate</t>
        </is>
      </c>
      <c r="L34" s="68" t="n">
        <v>120</v>
      </c>
      <c r="M34" s="68" t="n">
        <v>6</v>
      </c>
      <c r="N34" s="68" t="n">
        <v>372</v>
      </c>
      <c r="O34" s="68" t="n">
        <v>12</v>
      </c>
      <c r="P34" s="68" t="n">
        <v>0</v>
      </c>
      <c r="Q34" s="68" t="n">
        <v>114</v>
      </c>
      <c r="R34" s="69" t="inlineStr">
        <is>
          <t>IO then Amort</t>
        </is>
      </c>
      <c r="S34" s="69" t="inlineStr">
        <is>
          <t>No</t>
        </is>
      </c>
      <c r="T34" s="73" t="n">
        <v>42795</v>
      </c>
      <c r="U34" s="73" t="n">
        <v>46447</v>
      </c>
      <c r="V34" s="73" t="n"/>
      <c r="W34" s="69" t="n"/>
      <c r="X34" s="69" t="inlineStr">
        <is>
          <t>Current</t>
        </is>
      </c>
      <c r="Y34" s="68" t="n"/>
      <c r="Z34" s="69" t="inlineStr">
        <is>
          <t>No Defeasance Occurred</t>
        </is>
      </c>
      <c r="AA34" s="69" t="inlineStr">
        <is>
          <t>Previously</t>
        </is>
      </c>
      <c r="AB34" s="69" t="inlineStr">
        <is>
          <t>Never special serv</t>
        </is>
      </c>
      <c r="AC34" s="73" t="n"/>
      <c r="AD34" s="69" t="n"/>
      <c r="AE34" s="69" t="n"/>
      <c r="AF34" s="69" t="inlineStr">
        <is>
          <t>TX</t>
        </is>
      </c>
      <c r="AG34" s="69" t="n"/>
      <c r="AH34" s="69" t="inlineStr">
        <is>
          <t>Houston-Pasadena-The Woodlands, TX</t>
        </is>
      </c>
      <c r="AI34" s="69" t="inlineStr">
        <is>
          <t>South / Central West</t>
        </is>
      </c>
      <c r="AJ34" s="69" t="inlineStr">
        <is>
          <t>RT-95.333333362% OF-4.666666638%</t>
        </is>
      </c>
      <c r="AK34" s="69" t="n"/>
      <c r="AL34" s="68" t="n">
        <v>7</v>
      </c>
      <c r="AM34" s="68" t="n"/>
      <c r="AN34" s="68" t="n">
        <v>185591</v>
      </c>
      <c r="AO34" s="69" t="n"/>
      <c r="AP34" s="70" t="n">
        <v>2014</v>
      </c>
      <c r="AQ34" s="74" t="n">
        <v>1.36</v>
      </c>
      <c r="AR34" s="74" t="n">
        <v>1.46</v>
      </c>
      <c r="AS34" s="74" t="n">
        <v>67.7</v>
      </c>
      <c r="AT34" s="74" t="n">
        <v>58.04</v>
      </c>
      <c r="AU34" s="74" t="n">
        <v>57.3</v>
      </c>
      <c r="AV34" s="74" t="n">
        <v>8.839128067000001</v>
      </c>
      <c r="AW34" s="74" t="n">
        <v>9.9162698</v>
      </c>
      <c r="AX34" s="75" t="n">
        <v>83</v>
      </c>
      <c r="AY34" s="71" t="n">
        <v>44330000</v>
      </c>
      <c r="AZ34" s="71" t="n">
        <v>44330000</v>
      </c>
      <c r="BA34" s="71" t="n">
        <v>2651738.42</v>
      </c>
      <c r="BB34" s="71" t="n">
        <v>715087.87</v>
      </c>
      <c r="BC34" s="69" t="inlineStr">
        <is>
          <t>Refinance</t>
        </is>
      </c>
      <c r="BD34" s="69" t="inlineStr">
        <is>
          <t>N</t>
        </is>
      </c>
      <c r="BE34" s="71" t="n">
        <v>15438687.54</v>
      </c>
      <c r="BF34" s="71" t="n"/>
      <c r="BG34" s="71" t="n"/>
      <c r="BH34" s="71" t="n">
        <v>0</v>
      </c>
      <c r="BI34" s="71" t="n">
        <v>0</v>
      </c>
      <c r="BJ34" s="69" t="inlineStr">
        <is>
          <t>N</t>
        </is>
      </c>
      <c r="BK34" s="69" t="inlineStr">
        <is>
          <t>Behavior TLC</t>
        </is>
      </c>
      <c r="BL34" s="75" t="n">
        <v>7.32</v>
      </c>
      <c r="BM34" s="73" t="n">
        <v>48852</v>
      </c>
      <c r="BN34" s="69" t="inlineStr">
        <is>
          <t>Alan Hassenflu</t>
        </is>
      </c>
      <c r="BO34" s="69" t="inlineStr">
        <is>
          <t>CIBC</t>
        </is>
      </c>
      <c r="BP34" s="69" t="inlineStr">
        <is>
          <t>Midland Loan Services</t>
        </is>
      </c>
      <c r="BQ34" s="69" t="inlineStr">
        <is>
          <t>CWCapital</t>
        </is>
      </c>
      <c r="BR34" s="69" t="n"/>
      <c r="BS34" s="73" t="n">
        <v>46276</v>
      </c>
      <c r="BU34" s="76">
        <f>IF($C34="","",IFERROR(INDEX(dmName,MATCH($C34,dmID,0)),"Unmapped"))</f>
        <v/>
      </c>
      <c r="BV34" s="76">
        <f>IF($C34="","",IFERROR(INDEX(dmEntity,MATCH($C34,dmID,0)),"Unmapped"))</f>
        <v/>
      </c>
      <c r="BW34" s="77">
        <f>IF($C34="","",IFERROR(INDEX(dmVintage,MATCH($C34,dmID,0)),""))</f>
        <v/>
      </c>
      <c r="BX34" s="78">
        <f>IFERROR(INDEX(dmInclude,MATCH($C34,dmID,0)),0)</f>
        <v/>
      </c>
      <c r="BY34" s="78">
        <f>IF(N($I34)&gt;0,1,0)</f>
        <v/>
      </c>
      <c r="BZ34" s="76">
        <f>IF($AJ34="","Other / Leased Fee",IFERROR(INDEX(mapPTGroup,MATCH(LEFT(TRIM($AJ34),2),mapPTCode,0)),"Other / Leased Fee"))</f>
        <v/>
      </c>
      <c r="CA34" s="76">
        <f>IF(TRIM($AF34&amp;"")="","NR",LEFT(TRIM($AF34),2))</f>
        <v/>
      </c>
      <c r="CB34" s="76">
        <f>IFERROR(LOOKUP(2,1/(LEFT(TRIM($AI34&amp;""),LEN(mapRegion))=mapRegion),mapRegion),"Not Reported")</f>
        <v/>
      </c>
      <c r="CC34" s="76">
        <f>IF($BY34=0,"",IF(TRIM($W34&amp;"")="REO","REO",IF(TRIM($W34&amp;"")="FC","Foreclosure",IF(TRIM($W34&amp;"")="90+","90+ Days Delinquent",IF(TRIM($W34&amp;"")="60","60 Days Delinquent",IF(TRIM($W34&amp;"")="30","30 Days Delinquent",IF($X34="Non-Performing Matured Balloon","Non-Performing Matured Balloon",IF(OR($X34="Late Payment But Less Than 30 Days Delinquent",LEFT($X34&amp;"",20)="Payment Not Received"),"Late / In Grace (&lt;30 Days)",IF($X34="Performing Matured Balloon","Performing Matured Balloon","Current")))))))))</f>
        <v/>
      </c>
      <c r="CD34" s="78">
        <f>IF(OR($CC34="REO",$CC34="Foreclosure",$CC34="90+ Days Delinquent",$CC34="60 Days Delinquent",$CC34="30 Days Delinquent",$CC34="Non-Performing Matured Balloon"),1,0)</f>
        <v/>
      </c>
      <c r="CE34" s="76">
        <f>IF($AB34="Currently special serv","Currently Specially Serviced",IF($AB34="Returned to master serv","Previously Specially Serviced","Never Specially Serviced"))</f>
        <v/>
      </c>
      <c r="CF34" s="78">
        <f>IF($CE34="Currently Specially Serviced",1,0)</f>
        <v/>
      </c>
      <c r="CG34" s="76">
        <f>IF($AA34="Yes","Currently on Watchlist",IF($AA34="Previously","Previously on Watchlist","Never on Watchlist"))</f>
        <v/>
      </c>
      <c r="CH34" s="78">
        <f>IF($CG34="Currently on Watchlist",1,0)</f>
        <v/>
      </c>
      <c r="CI34" s="76">
        <f>IF($Z34="Full Defeasance","Fully Defeased",IF($Z34="Portion Of Loan Previously Defeased","Partially Defeased",IF($Z34="Defeasance Not Allowable","Not Defeased (Not Permitted)","Not Defeased")))</f>
        <v/>
      </c>
      <c r="CJ34" s="78">
        <f>IF($CI34="Fully Defeased",1,0)</f>
        <v/>
      </c>
      <c r="CK34" s="76">
        <f>IF($R34="IO","Full IO",IF(LEFT($R34&amp;"",7)="IO then","Partial IO","Amortizing"))</f>
        <v/>
      </c>
      <c r="CL34" s="78">
        <f>IF($CK34="Full IO",1,0)</f>
        <v/>
      </c>
      <c r="CM34" s="78">
        <f>IF($CK34="Partial IO",1,0)</f>
        <v/>
      </c>
      <c r="CN34" s="76">
        <f>IF(LEFT($F34&amp;"",10)="SPLIT_LOAN","Pari Passu Split","Standalone")</f>
        <v/>
      </c>
      <c r="CO34" s="78">
        <f>IF($CN34="Pari Passu Split",1,0)</f>
        <v/>
      </c>
      <c r="CP34" s="77">
        <f>IF(ISNUMBER($T34),YEAR($T34),"")</f>
        <v/>
      </c>
      <c r="CQ34" s="79">
        <f>IF(ISNUMBER($V34),$V34,IF(ISNUMBER($U34),$U34,""))</f>
        <v/>
      </c>
      <c r="CR34" s="77">
        <f>IF(ISNUMBER($CQ34),YEAR($CQ34),"")</f>
        <v/>
      </c>
      <c r="CS34" s="78">
        <f>IF(ISNUMBER($M34),MAX(0,$M34),IF(TRIM($M34&amp;"")="matured",0,""))</f>
        <v/>
      </c>
      <c r="CT34" s="78">
        <f>IF(AND(ISNUMBER($CS34),N($CS34)&lt;=mMatWindow),1,0)</f>
        <v/>
      </c>
      <c r="CU34" s="80">
        <f>IF(ISNUMBER($J34),$J34/100,"")</f>
        <v/>
      </c>
      <c r="CV34" s="81">
        <f>IF(ISNUMBER($AQ34),$AQ34,"")</f>
        <v/>
      </c>
      <c r="CW34" s="81">
        <f>IF(ISNUMBER($AR34),$AR34,"")</f>
        <v/>
      </c>
      <c r="CX34" s="82">
        <f>IF(ISNUMBER($AS34),$AS34/100,"")</f>
        <v/>
      </c>
      <c r="CY34" s="82">
        <f>IF(ISNUMBER($AT34),$AT34/100,"")</f>
        <v/>
      </c>
      <c r="CZ34" s="82">
        <f>IF(ISNUMBER($AU34),$AU34/100,"")</f>
        <v/>
      </c>
      <c r="DA34" s="82">
        <f>IF(ISNUMBER($AV34),$AV34/100,"")</f>
        <v/>
      </c>
      <c r="DB34" s="82">
        <f>IF(ISNUMBER($AW34),$AW34/100,"")</f>
        <v/>
      </c>
      <c r="DC34" s="82">
        <f>IF(ISNUMBER($AX34),$AX34/100,"")</f>
        <v/>
      </c>
      <c r="DD34" s="77">
        <f>IFERROR(VALUE(LEFT(TRIM($AO34&amp;""),4)),"")</f>
        <v/>
      </c>
      <c r="DE34" s="78">
        <f>IF(AND($BY34=1,$BX34=1,OR(fDeal="All Deals",$BU34=fDeal),OR(fEntity="All Entities",$BV34=fEntity),OR(fPType="All Property Types",$BZ34=fPType),OR(fDefeased="Include",$CJ34=0)),1,0)</f>
        <v/>
      </c>
      <c r="DF34" s="83">
        <f>$DE34*N($I34)</f>
        <v/>
      </c>
      <c r="DG34" s="78">
        <f>IF($DE34=1,IF(COUNTIFS($F$8:$F34,$F34,$DE$8:$DE34,1)=1,1,0),0)</f>
        <v/>
      </c>
      <c r="DH34" s="83">
        <f>IF($DG34=1,SUMIFS($DF$8:$DF$1600,$F$8:$F$1600,$F34),0)</f>
        <v/>
      </c>
      <c r="DI34" s="78">
        <f>IF($DG34=1,COUNTIFS($F$8:$F$1600,$F34,$DE$8:$DE$1600,1),0)</f>
        <v/>
      </c>
      <c r="DJ34" s="84">
        <f>IF($DG34=1,$DH34+(100000-ROW())/mTieBreak,0)</f>
        <v/>
      </c>
    </row>
    <row r="35">
      <c r="B35" s="68" t="n">
        <v>28</v>
      </c>
      <c r="C35" s="69" t="inlineStr">
        <is>
          <t>UBS17C02</t>
        </is>
      </c>
      <c r="D35" s="69" t="inlineStr">
        <is>
          <t>28.000</t>
        </is>
      </c>
      <c r="E35" s="69" t="inlineStr">
        <is>
          <t>Skagit Valley</t>
        </is>
      </c>
      <c r="F35" s="69" t="inlineStr">
        <is>
          <t>LNUBS17C02-28.000</t>
        </is>
      </c>
      <c r="G35" s="70" t="n"/>
      <c r="H35" s="71" t="n">
        <v>11300000</v>
      </c>
      <c r="I35" s="71" t="n">
        <v>0</v>
      </c>
      <c r="J35" s="72" t="n">
        <v>4.29</v>
      </c>
      <c r="K35" s="69" t="inlineStr">
        <is>
          <t>Fixed rate</t>
        </is>
      </c>
      <c r="L35" s="68" t="n">
        <v>60</v>
      </c>
      <c r="M35" s="68" t="n"/>
      <c r="N35" s="68" t="n">
        <v>384</v>
      </c>
      <c r="O35" s="68" t="n">
        <v>24</v>
      </c>
      <c r="P35" s="68" t="n"/>
      <c r="Q35" s="68" t="n"/>
      <c r="R35" s="69" t="inlineStr">
        <is>
          <t>IO then Amort</t>
        </is>
      </c>
      <c r="S35" s="69" t="inlineStr">
        <is>
          <t>No</t>
        </is>
      </c>
      <c r="T35" s="73" t="n">
        <v>42917</v>
      </c>
      <c r="U35" s="73" t="n">
        <v>44748</v>
      </c>
      <c r="V35" s="73" t="n"/>
      <c r="W35" s="69" t="n"/>
      <c r="X35" s="69" t="inlineStr">
        <is>
          <t>Current</t>
        </is>
      </c>
      <c r="Y35" s="68" t="n"/>
      <c r="Z35" s="69" t="inlineStr">
        <is>
          <t>Defeasance Not Allowable</t>
        </is>
      </c>
      <c r="AA35" s="69" t="n"/>
      <c r="AB35" s="69" t="inlineStr">
        <is>
          <t>Never special serv</t>
        </is>
      </c>
      <c r="AC35" s="73" t="n"/>
      <c r="AD35" s="69" t="n"/>
      <c r="AE35" s="69" t="n"/>
      <c r="AF35" s="69" t="inlineStr">
        <is>
          <t>WA</t>
        </is>
      </c>
      <c r="AG35" s="69" t="inlineStr">
        <is>
          <t>Mount Vernon</t>
        </is>
      </c>
      <c r="AH35" s="69" t="inlineStr">
        <is>
          <t>Mount Vernon-Anacortes, WA</t>
        </is>
      </c>
      <c r="AI35" s="69" t="inlineStr">
        <is>
          <t>West / Pacific North</t>
        </is>
      </c>
      <c r="AJ35" s="69" t="inlineStr">
        <is>
          <t>RT</t>
        </is>
      </c>
      <c r="AK35" s="69" t="inlineStr">
        <is>
          <t>Anchored</t>
        </is>
      </c>
      <c r="AL35" s="68" t="n">
        <v>1</v>
      </c>
      <c r="AM35" s="68" t="n"/>
      <c r="AN35" s="68" t="n">
        <v>173592</v>
      </c>
      <c r="AO35" s="69" t="inlineStr">
        <is>
          <t>1973-1993</t>
        </is>
      </c>
      <c r="AP35" s="70" t="n">
        <v>2016</v>
      </c>
      <c r="AQ35" s="74" t="n">
        <v>1.75</v>
      </c>
      <c r="AR35" s="74" t="n">
        <v>1.87</v>
      </c>
      <c r="AS35" s="74" t="n">
        <v>63.5</v>
      </c>
      <c r="AT35" s="74" t="n"/>
      <c r="AU35" s="74" t="n">
        <v>60.3</v>
      </c>
      <c r="AV35" s="74" t="n">
        <v>10.372734513</v>
      </c>
      <c r="AW35" s="74" t="n"/>
      <c r="AX35" s="75" t="n">
        <v>95</v>
      </c>
      <c r="AY35" s="71" t="n">
        <v>17800000</v>
      </c>
      <c r="AZ35" s="71" t="n">
        <v>17800000</v>
      </c>
      <c r="BA35" s="71" t="n">
        <v>1172119</v>
      </c>
      <c r="BB35" s="71" t="n">
        <v>1251756.26</v>
      </c>
      <c r="BC35" s="69" t="inlineStr">
        <is>
          <t>Acquisition</t>
        </is>
      </c>
      <c r="BD35" s="69" t="inlineStr">
        <is>
          <t>N</t>
        </is>
      </c>
      <c r="BE35" s="71" t="n"/>
      <c r="BF35" s="71" t="n"/>
      <c r="BG35" s="71" t="n"/>
      <c r="BH35" s="71" t="n">
        <v>0</v>
      </c>
      <c r="BI35" s="71" t="n">
        <v>0</v>
      </c>
      <c r="BJ35" s="69" t="inlineStr">
        <is>
          <t>N</t>
        </is>
      </c>
      <c r="BK35" s="69" t="inlineStr">
        <is>
          <t>Hobby Lobby</t>
        </is>
      </c>
      <c r="BL35" s="75" t="n">
        <v>36</v>
      </c>
      <c r="BM35" s="73" t="n">
        <v>45350</v>
      </c>
      <c r="BN35" s="69" t="inlineStr">
        <is>
          <t>Jahan Moslehi; Andy Chien</t>
        </is>
      </c>
      <c r="BO35" s="69" t="inlineStr">
        <is>
          <t>UBS</t>
        </is>
      </c>
      <c r="BP35" s="69" t="inlineStr">
        <is>
          <t>Midland Loan Services</t>
        </is>
      </c>
      <c r="BQ35" s="69" t="inlineStr">
        <is>
          <t>Midland Loan Services</t>
        </is>
      </c>
      <c r="BR35" s="69" t="inlineStr">
        <is>
          <t>Payoff Prior To Maturity</t>
        </is>
      </c>
      <c r="BS35" s="73" t="n">
        <v>44662</v>
      </c>
      <c r="BU35" s="76">
        <f>IF($C35="","",IFERROR(INDEX(dmName,MATCH($C35,dmID,0)),"Unmapped"))</f>
        <v/>
      </c>
      <c r="BV35" s="76">
        <f>IF($C35="","",IFERROR(INDEX(dmEntity,MATCH($C35,dmID,0)),"Unmapped"))</f>
        <v/>
      </c>
      <c r="BW35" s="77">
        <f>IF($C35="","",IFERROR(INDEX(dmVintage,MATCH($C35,dmID,0)),""))</f>
        <v/>
      </c>
      <c r="BX35" s="78">
        <f>IFERROR(INDEX(dmInclude,MATCH($C35,dmID,0)),0)</f>
        <v/>
      </c>
      <c r="BY35" s="78">
        <f>IF(N($I35)&gt;0,1,0)</f>
        <v/>
      </c>
      <c r="BZ35" s="76">
        <f>IF($AJ35="","Other / Leased Fee",IFERROR(INDEX(mapPTGroup,MATCH(LEFT(TRIM($AJ35),2),mapPTCode,0)),"Other / Leased Fee"))</f>
        <v/>
      </c>
      <c r="CA35" s="76">
        <f>IF(TRIM($AF35&amp;"")="","NR",LEFT(TRIM($AF35),2))</f>
        <v/>
      </c>
      <c r="CB35" s="76">
        <f>IFERROR(LOOKUP(2,1/(LEFT(TRIM($AI35&amp;""),LEN(mapRegion))=mapRegion),mapRegion),"Not Reported")</f>
        <v/>
      </c>
      <c r="CC35" s="76">
        <f>IF($BY35=0,"",IF(TRIM($W35&amp;"")="REO","REO",IF(TRIM($W35&amp;"")="FC","Foreclosure",IF(TRIM($W35&amp;"")="90+","90+ Days Delinquent",IF(TRIM($W35&amp;"")="60","60 Days Delinquent",IF(TRIM($W35&amp;"")="30","30 Days Delinquent",IF($X35="Non-Performing Matured Balloon","Non-Performing Matured Balloon",IF(OR($X35="Late Payment But Less Than 30 Days Delinquent",LEFT($X35&amp;"",20)="Payment Not Received"),"Late / In Grace (&lt;30 Days)",IF($X35="Performing Matured Balloon","Performing Matured Balloon","Current")))))))))</f>
        <v/>
      </c>
      <c r="CD35" s="78">
        <f>IF(OR($CC35="REO",$CC35="Foreclosure",$CC35="90+ Days Delinquent",$CC35="60 Days Delinquent",$CC35="30 Days Delinquent",$CC35="Non-Performing Matured Balloon"),1,0)</f>
        <v/>
      </c>
      <c r="CE35" s="76">
        <f>IF($AB35="Currently special serv","Currently Specially Serviced",IF($AB35="Returned to master serv","Previously Specially Serviced","Never Specially Serviced"))</f>
        <v/>
      </c>
      <c r="CF35" s="78">
        <f>IF($CE35="Currently Specially Serviced",1,0)</f>
        <v/>
      </c>
      <c r="CG35" s="76">
        <f>IF($AA35="Yes","Currently on Watchlist",IF($AA35="Previously","Previously on Watchlist","Never on Watchlist"))</f>
        <v/>
      </c>
      <c r="CH35" s="78">
        <f>IF($CG35="Currently on Watchlist",1,0)</f>
        <v/>
      </c>
      <c r="CI35" s="76">
        <f>IF($Z35="Full Defeasance","Fully Defeased",IF($Z35="Portion Of Loan Previously Defeased","Partially Defeased",IF($Z35="Defeasance Not Allowable","Not Defeased (Not Permitted)","Not Defeased")))</f>
        <v/>
      </c>
      <c r="CJ35" s="78">
        <f>IF($CI35="Fully Defeased",1,0)</f>
        <v/>
      </c>
      <c r="CK35" s="76">
        <f>IF($R35="IO","Full IO",IF(LEFT($R35&amp;"",7)="IO then","Partial IO","Amortizing"))</f>
        <v/>
      </c>
      <c r="CL35" s="78">
        <f>IF($CK35="Full IO",1,0)</f>
        <v/>
      </c>
      <c r="CM35" s="78">
        <f>IF($CK35="Partial IO",1,0)</f>
        <v/>
      </c>
      <c r="CN35" s="76">
        <f>IF(LEFT($F35&amp;"",10)="SPLIT_LOAN","Pari Passu Split","Standalone")</f>
        <v/>
      </c>
      <c r="CO35" s="78">
        <f>IF($CN35="Pari Passu Split",1,0)</f>
        <v/>
      </c>
      <c r="CP35" s="77">
        <f>IF(ISNUMBER($T35),YEAR($T35),"")</f>
        <v/>
      </c>
      <c r="CQ35" s="79">
        <f>IF(ISNUMBER($V35),$V35,IF(ISNUMBER($U35),$U35,""))</f>
        <v/>
      </c>
      <c r="CR35" s="77">
        <f>IF(ISNUMBER($CQ35),YEAR($CQ35),"")</f>
        <v/>
      </c>
      <c r="CS35" s="78">
        <f>IF(ISNUMBER($M35),MAX(0,$M35),IF(TRIM($M35&amp;"")="matured",0,""))</f>
        <v/>
      </c>
      <c r="CT35" s="78">
        <f>IF(AND(ISNUMBER($CS35),N($CS35)&lt;=mMatWindow),1,0)</f>
        <v/>
      </c>
      <c r="CU35" s="80">
        <f>IF(ISNUMBER($J35),$J35/100,"")</f>
        <v/>
      </c>
      <c r="CV35" s="81">
        <f>IF(ISNUMBER($AQ35),$AQ35,"")</f>
        <v/>
      </c>
      <c r="CW35" s="81">
        <f>IF(ISNUMBER($AR35),$AR35,"")</f>
        <v/>
      </c>
      <c r="CX35" s="82">
        <f>IF(ISNUMBER($AS35),$AS35/100,"")</f>
        <v/>
      </c>
      <c r="CY35" s="82">
        <f>IF(ISNUMBER($AT35),$AT35/100,"")</f>
        <v/>
      </c>
      <c r="CZ35" s="82">
        <f>IF(ISNUMBER($AU35),$AU35/100,"")</f>
        <v/>
      </c>
      <c r="DA35" s="82">
        <f>IF(ISNUMBER($AV35),$AV35/100,"")</f>
        <v/>
      </c>
      <c r="DB35" s="82">
        <f>IF(ISNUMBER($AW35),$AW35/100,"")</f>
        <v/>
      </c>
      <c r="DC35" s="82">
        <f>IF(ISNUMBER($AX35),$AX35/100,"")</f>
        <v/>
      </c>
      <c r="DD35" s="77">
        <f>IFERROR(VALUE(LEFT(TRIM($AO35&amp;""),4)),"")</f>
        <v/>
      </c>
      <c r="DE35" s="78">
        <f>IF(AND($BY35=1,$BX35=1,OR(fDeal="All Deals",$BU35=fDeal),OR(fEntity="All Entities",$BV35=fEntity),OR(fPType="All Property Types",$BZ35=fPType),OR(fDefeased="Include",$CJ35=0)),1,0)</f>
        <v/>
      </c>
      <c r="DF35" s="83">
        <f>$DE35*N($I35)</f>
        <v/>
      </c>
      <c r="DG35" s="78">
        <f>IF($DE35=1,IF(COUNTIFS($F$8:$F35,$F35,$DE$8:$DE35,1)=1,1,0),0)</f>
        <v/>
      </c>
      <c r="DH35" s="83">
        <f>IF($DG35=1,SUMIFS($DF$8:$DF$1600,$F$8:$F$1600,$F35),0)</f>
        <v/>
      </c>
      <c r="DI35" s="78">
        <f>IF($DG35=1,COUNTIFS($F$8:$F$1600,$F35,$DE$8:$DE$1600,1),0)</f>
        <v/>
      </c>
      <c r="DJ35" s="84">
        <f>IF($DG35=1,$DH35+(100000-ROW())/mTieBreak,0)</f>
        <v/>
      </c>
    </row>
    <row r="36">
      <c r="B36" s="68" t="n">
        <v>29</v>
      </c>
      <c r="C36" s="69" t="inlineStr">
        <is>
          <t>UBS17C02</t>
        </is>
      </c>
      <c r="D36" s="69" t="inlineStr">
        <is>
          <t>29.000</t>
        </is>
      </c>
      <c r="E36" s="69" t="inlineStr">
        <is>
          <t>Vista Del Sol Apartments</t>
        </is>
      </c>
      <c r="F36" s="69" t="inlineStr">
        <is>
          <t>LNUBS17C02-29.000</t>
        </is>
      </c>
      <c r="G36" s="70" t="n"/>
      <c r="H36" s="71" t="n">
        <v>11100000</v>
      </c>
      <c r="I36" s="71" t="n">
        <v>9725862.949995901</v>
      </c>
      <c r="J36" s="72" t="n">
        <v>4.7</v>
      </c>
      <c r="K36" s="69" t="inlineStr">
        <is>
          <t>Fixed rate</t>
        </is>
      </c>
      <c r="L36" s="68" t="n">
        <v>120</v>
      </c>
      <c r="M36" s="68" t="n">
        <v>10</v>
      </c>
      <c r="N36" s="68" t="n">
        <v>384</v>
      </c>
      <c r="O36" s="68" t="n">
        <v>24</v>
      </c>
      <c r="P36" s="68" t="n">
        <v>0</v>
      </c>
      <c r="Q36" s="68" t="n">
        <v>110</v>
      </c>
      <c r="R36" s="69" t="inlineStr">
        <is>
          <t>IO then Amort</t>
        </is>
      </c>
      <c r="S36" s="69" t="inlineStr">
        <is>
          <t>No</t>
        </is>
      </c>
      <c r="T36" s="73" t="n">
        <v>42917</v>
      </c>
      <c r="U36" s="73" t="n">
        <v>46574</v>
      </c>
      <c r="V36" s="73" t="n"/>
      <c r="W36" s="69" t="n"/>
      <c r="X36" s="69" t="inlineStr">
        <is>
          <t>Current</t>
        </is>
      </c>
      <c r="Y36" s="68" t="n"/>
      <c r="Z36" s="69" t="inlineStr">
        <is>
          <t>No Defeasance Occurred</t>
        </is>
      </c>
      <c r="AA36" s="69" t="inlineStr">
        <is>
          <t>Previously</t>
        </is>
      </c>
      <c r="AB36" s="69" t="inlineStr">
        <is>
          <t>Never special serv</t>
        </is>
      </c>
      <c r="AC36" s="73" t="n"/>
      <c r="AD36" s="69" t="n"/>
      <c r="AE36" s="69" t="n"/>
      <c r="AF36" s="69" t="inlineStr">
        <is>
          <t>TX</t>
        </is>
      </c>
      <c r="AG36" s="69" t="inlineStr">
        <is>
          <t>Pasadena</t>
        </is>
      </c>
      <c r="AH36" s="69" t="inlineStr">
        <is>
          <t>Houston-Pasadena-The Woodlands, TX</t>
        </is>
      </c>
      <c r="AI36" s="69" t="inlineStr">
        <is>
          <t>South / Central West</t>
        </is>
      </c>
      <c r="AJ36" s="69" t="inlineStr">
        <is>
          <t>MF</t>
        </is>
      </c>
      <c r="AK36" s="69" t="inlineStr">
        <is>
          <t>Garden</t>
        </is>
      </c>
      <c r="AL36" s="68" t="n">
        <v>1</v>
      </c>
      <c r="AM36" s="68" t="n">
        <v>264</v>
      </c>
      <c r="AN36" s="68" t="n"/>
      <c r="AO36" s="69" t="inlineStr">
        <is>
          <t>1972</t>
        </is>
      </c>
      <c r="AP36" s="70" t="n">
        <v>2017</v>
      </c>
      <c r="AQ36" s="74" t="n">
        <v>1.45</v>
      </c>
      <c r="AR36" s="74" t="n">
        <v>1.52</v>
      </c>
      <c r="AS36" s="74" t="n">
        <v>71</v>
      </c>
      <c r="AT36" s="74" t="n">
        <v>62.23</v>
      </c>
      <c r="AU36" s="74" t="n">
        <v>61</v>
      </c>
      <c r="AV36" s="74" t="n">
        <v>8.996207206999999</v>
      </c>
      <c r="AW36" s="74" t="n">
        <v>10.788253807</v>
      </c>
      <c r="AX36" s="75" t="n">
        <v>86</v>
      </c>
      <c r="AY36" s="71" t="n">
        <v>15630000</v>
      </c>
      <c r="AZ36" s="71" t="n">
        <v>15630000</v>
      </c>
      <c r="BA36" s="71" t="n">
        <v>998579</v>
      </c>
      <c r="BB36" s="71" t="n">
        <v>1049250.78</v>
      </c>
      <c r="BC36" s="69" t="inlineStr">
        <is>
          <t>Refinance</t>
        </is>
      </c>
      <c r="BD36" s="69" t="inlineStr">
        <is>
          <t>N</t>
        </is>
      </c>
      <c r="BE36" s="71" t="n"/>
      <c r="BF36" s="71" t="n"/>
      <c r="BG36" s="71" t="n"/>
      <c r="BH36" s="71" t="n">
        <v>0</v>
      </c>
      <c r="BI36" s="71" t="n">
        <v>0</v>
      </c>
      <c r="BJ36" s="69" t="inlineStr">
        <is>
          <t>N</t>
        </is>
      </c>
      <c r="BK36" s="69" t="n"/>
      <c r="BL36" s="75" t="n"/>
      <c r="BM36" s="73" t="n"/>
      <c r="BN36" s="69" t="inlineStr">
        <is>
          <t>Trey C. Stone</t>
        </is>
      </c>
      <c r="BO36" s="69" t="inlineStr">
        <is>
          <t>RMF</t>
        </is>
      </c>
      <c r="BP36" s="69" t="inlineStr">
        <is>
          <t>Midland Loan Services</t>
        </is>
      </c>
      <c r="BQ36" s="69" t="inlineStr">
        <is>
          <t>Midland Loan Services</t>
        </is>
      </c>
      <c r="BR36" s="69" t="n"/>
      <c r="BS36" s="73" t="n">
        <v>46276</v>
      </c>
      <c r="BU36" s="76">
        <f>IF($C36="","",IFERROR(INDEX(dmName,MATCH($C36,dmID,0)),"Unmapped"))</f>
        <v/>
      </c>
      <c r="BV36" s="76">
        <f>IF($C36="","",IFERROR(INDEX(dmEntity,MATCH($C36,dmID,0)),"Unmapped"))</f>
        <v/>
      </c>
      <c r="BW36" s="77">
        <f>IF($C36="","",IFERROR(INDEX(dmVintage,MATCH($C36,dmID,0)),""))</f>
        <v/>
      </c>
      <c r="BX36" s="78">
        <f>IFERROR(INDEX(dmInclude,MATCH($C36,dmID,0)),0)</f>
        <v/>
      </c>
      <c r="BY36" s="78">
        <f>IF(N($I36)&gt;0,1,0)</f>
        <v/>
      </c>
      <c r="BZ36" s="76">
        <f>IF($AJ36="","Other / Leased Fee",IFERROR(INDEX(mapPTGroup,MATCH(LEFT(TRIM($AJ36),2),mapPTCode,0)),"Other / Leased Fee"))</f>
        <v/>
      </c>
      <c r="CA36" s="76">
        <f>IF(TRIM($AF36&amp;"")="","NR",LEFT(TRIM($AF36),2))</f>
        <v/>
      </c>
      <c r="CB36" s="76">
        <f>IFERROR(LOOKUP(2,1/(LEFT(TRIM($AI36&amp;""),LEN(mapRegion))=mapRegion),mapRegion),"Not Reported")</f>
        <v/>
      </c>
      <c r="CC36" s="76">
        <f>IF($BY36=0,"",IF(TRIM($W36&amp;"")="REO","REO",IF(TRIM($W36&amp;"")="FC","Foreclosure",IF(TRIM($W36&amp;"")="90+","90+ Days Delinquent",IF(TRIM($W36&amp;"")="60","60 Days Delinquent",IF(TRIM($W36&amp;"")="30","30 Days Delinquent",IF($X36="Non-Performing Matured Balloon","Non-Performing Matured Balloon",IF(OR($X36="Late Payment But Less Than 30 Days Delinquent",LEFT($X36&amp;"",20)="Payment Not Received"),"Late / In Grace (&lt;30 Days)",IF($X36="Performing Matured Balloon","Performing Matured Balloon","Current")))))))))</f>
        <v/>
      </c>
      <c r="CD36" s="78">
        <f>IF(OR($CC36="REO",$CC36="Foreclosure",$CC36="90+ Days Delinquent",$CC36="60 Days Delinquent",$CC36="30 Days Delinquent",$CC36="Non-Performing Matured Balloon"),1,0)</f>
        <v/>
      </c>
      <c r="CE36" s="76">
        <f>IF($AB36="Currently special serv","Currently Specially Serviced",IF($AB36="Returned to master serv","Previously Specially Serviced","Never Specially Serviced"))</f>
        <v/>
      </c>
      <c r="CF36" s="78">
        <f>IF($CE36="Currently Specially Serviced",1,0)</f>
        <v/>
      </c>
      <c r="CG36" s="76">
        <f>IF($AA36="Yes","Currently on Watchlist",IF($AA36="Previously","Previously on Watchlist","Never on Watchlist"))</f>
        <v/>
      </c>
      <c r="CH36" s="78">
        <f>IF($CG36="Currently on Watchlist",1,0)</f>
        <v/>
      </c>
      <c r="CI36" s="76">
        <f>IF($Z36="Full Defeasance","Fully Defeased",IF($Z36="Portion Of Loan Previously Defeased","Partially Defeased",IF($Z36="Defeasance Not Allowable","Not Defeased (Not Permitted)","Not Defeased")))</f>
        <v/>
      </c>
      <c r="CJ36" s="78">
        <f>IF($CI36="Fully Defeased",1,0)</f>
        <v/>
      </c>
      <c r="CK36" s="76">
        <f>IF($R36="IO","Full IO",IF(LEFT($R36&amp;"",7)="IO then","Partial IO","Amortizing"))</f>
        <v/>
      </c>
      <c r="CL36" s="78">
        <f>IF($CK36="Full IO",1,0)</f>
        <v/>
      </c>
      <c r="CM36" s="78">
        <f>IF($CK36="Partial IO",1,0)</f>
        <v/>
      </c>
      <c r="CN36" s="76">
        <f>IF(LEFT($F36&amp;"",10)="SPLIT_LOAN","Pari Passu Split","Standalone")</f>
        <v/>
      </c>
      <c r="CO36" s="78">
        <f>IF($CN36="Pari Passu Split",1,0)</f>
        <v/>
      </c>
      <c r="CP36" s="77">
        <f>IF(ISNUMBER($T36),YEAR($T36),"")</f>
        <v/>
      </c>
      <c r="CQ36" s="79">
        <f>IF(ISNUMBER($V36),$V36,IF(ISNUMBER($U36),$U36,""))</f>
        <v/>
      </c>
      <c r="CR36" s="77">
        <f>IF(ISNUMBER($CQ36),YEAR($CQ36),"")</f>
        <v/>
      </c>
      <c r="CS36" s="78">
        <f>IF(ISNUMBER($M36),MAX(0,$M36),IF(TRIM($M36&amp;"")="matured",0,""))</f>
        <v/>
      </c>
      <c r="CT36" s="78">
        <f>IF(AND(ISNUMBER($CS36),N($CS36)&lt;=mMatWindow),1,0)</f>
        <v/>
      </c>
      <c r="CU36" s="80">
        <f>IF(ISNUMBER($J36),$J36/100,"")</f>
        <v/>
      </c>
      <c r="CV36" s="81">
        <f>IF(ISNUMBER($AQ36),$AQ36,"")</f>
        <v/>
      </c>
      <c r="CW36" s="81">
        <f>IF(ISNUMBER($AR36),$AR36,"")</f>
        <v/>
      </c>
      <c r="CX36" s="82">
        <f>IF(ISNUMBER($AS36),$AS36/100,"")</f>
        <v/>
      </c>
      <c r="CY36" s="82">
        <f>IF(ISNUMBER($AT36),$AT36/100,"")</f>
        <v/>
      </c>
      <c r="CZ36" s="82">
        <f>IF(ISNUMBER($AU36),$AU36/100,"")</f>
        <v/>
      </c>
      <c r="DA36" s="82">
        <f>IF(ISNUMBER($AV36),$AV36/100,"")</f>
        <v/>
      </c>
      <c r="DB36" s="82">
        <f>IF(ISNUMBER($AW36),$AW36/100,"")</f>
        <v/>
      </c>
      <c r="DC36" s="82">
        <f>IF(ISNUMBER($AX36),$AX36/100,"")</f>
        <v/>
      </c>
      <c r="DD36" s="77">
        <f>IFERROR(VALUE(LEFT(TRIM($AO36&amp;""),4)),"")</f>
        <v/>
      </c>
      <c r="DE36" s="78">
        <f>IF(AND($BY36=1,$BX36=1,OR(fDeal="All Deals",$BU36=fDeal),OR(fEntity="All Entities",$BV36=fEntity),OR(fPType="All Property Types",$BZ36=fPType),OR(fDefeased="Include",$CJ36=0)),1,0)</f>
        <v/>
      </c>
      <c r="DF36" s="83">
        <f>$DE36*N($I36)</f>
        <v/>
      </c>
      <c r="DG36" s="78">
        <f>IF($DE36=1,IF(COUNTIFS($F$8:$F36,$F36,$DE$8:$DE36,1)=1,1,0),0)</f>
        <v/>
      </c>
      <c r="DH36" s="83">
        <f>IF($DG36=1,SUMIFS($DF$8:$DF$1600,$F$8:$F$1600,$F36),0)</f>
        <v/>
      </c>
      <c r="DI36" s="78">
        <f>IF($DG36=1,COUNTIFS($F$8:$F$1600,$F36,$DE$8:$DE$1600,1),0)</f>
        <v/>
      </c>
      <c r="DJ36" s="84">
        <f>IF($DG36=1,$DH36+(100000-ROW())/mTieBreak,0)</f>
        <v/>
      </c>
    </row>
    <row r="37">
      <c r="B37" s="68" t="n">
        <v>30</v>
      </c>
      <c r="C37" s="69" t="inlineStr">
        <is>
          <t>UBS17C02</t>
        </is>
      </c>
      <c r="D37" s="69" t="inlineStr">
        <is>
          <t>30.000</t>
        </is>
      </c>
      <c r="E37" s="69" t="inlineStr">
        <is>
          <t>The Arbor</t>
        </is>
      </c>
      <c r="F37" s="69" t="inlineStr">
        <is>
          <t>LNUBS17C02-30.000</t>
        </is>
      </c>
      <c r="G37" s="70" t="n"/>
      <c r="H37" s="71" t="n">
        <v>10740000</v>
      </c>
      <c r="I37" s="71" t="n">
        <v>9462377.509999262</v>
      </c>
      <c r="J37" s="72" t="n">
        <v>4.94</v>
      </c>
      <c r="K37" s="69" t="inlineStr">
        <is>
          <t>Fixed rate</t>
        </is>
      </c>
      <c r="L37" s="68" t="n">
        <v>120</v>
      </c>
      <c r="M37" s="68" t="n">
        <v>10</v>
      </c>
      <c r="N37" s="68" t="n">
        <v>384</v>
      </c>
      <c r="O37" s="68" t="n">
        <v>24</v>
      </c>
      <c r="P37" s="68" t="n">
        <v>0</v>
      </c>
      <c r="Q37" s="68" t="n">
        <v>110</v>
      </c>
      <c r="R37" s="69" t="inlineStr">
        <is>
          <t>IO then Amort</t>
        </is>
      </c>
      <c r="S37" s="69" t="inlineStr">
        <is>
          <t>No</t>
        </is>
      </c>
      <c r="T37" s="73" t="n">
        <v>42917</v>
      </c>
      <c r="U37" s="73" t="n">
        <v>46574</v>
      </c>
      <c r="V37" s="73" t="n"/>
      <c r="W37" s="69" t="n"/>
      <c r="X37" s="69" t="inlineStr">
        <is>
          <t>Current</t>
        </is>
      </c>
      <c r="Y37" s="68" t="n"/>
      <c r="Z37" s="69" t="inlineStr">
        <is>
          <t>No Defeasance Occurred</t>
        </is>
      </c>
      <c r="AA37" s="69" t="inlineStr">
        <is>
          <t>Previously</t>
        </is>
      </c>
      <c r="AB37" s="69" t="inlineStr">
        <is>
          <t>Never special serv</t>
        </is>
      </c>
      <c r="AC37" s="73" t="n"/>
      <c r="AD37" s="69" t="n"/>
      <c r="AE37" s="69" t="n"/>
      <c r="AF37" s="69" t="inlineStr">
        <is>
          <t>OH</t>
        </is>
      </c>
      <c r="AG37" s="69" t="inlineStr">
        <is>
          <t>Kettering</t>
        </is>
      </c>
      <c r="AH37" s="69" t="inlineStr">
        <is>
          <t>Dayton-Kettering-Beavercreek, OH</t>
        </is>
      </c>
      <c r="AI37" s="69" t="inlineStr">
        <is>
          <t>Midwest / Central East</t>
        </is>
      </c>
      <c r="AJ37" s="69" t="inlineStr">
        <is>
          <t>MX</t>
        </is>
      </c>
      <c r="AK37" s="69" t="inlineStr">
        <is>
          <t>Office/Retail</t>
        </is>
      </c>
      <c r="AL37" s="68" t="n">
        <v>1</v>
      </c>
      <c r="AM37" s="68" t="n"/>
      <c r="AN37" s="68" t="n">
        <v>86749</v>
      </c>
      <c r="AO37" s="69" t="inlineStr">
        <is>
          <t>1987</t>
        </is>
      </c>
      <c r="AP37" s="70" t="n">
        <v>2012</v>
      </c>
      <c r="AQ37" s="74" t="n">
        <v>1.38</v>
      </c>
      <c r="AR37" s="74" t="n">
        <v>1.52</v>
      </c>
      <c r="AS37" s="74" t="n">
        <v>69.5</v>
      </c>
      <c r="AT37" s="74" t="n">
        <v>61.25</v>
      </c>
      <c r="AU37" s="74" t="n">
        <v>60.1</v>
      </c>
      <c r="AV37" s="74" t="n">
        <v>8.815837989</v>
      </c>
      <c r="AW37" s="74" t="n">
        <v>11.060484523</v>
      </c>
      <c r="AX37" s="75" t="n">
        <v>100</v>
      </c>
      <c r="AY37" s="71" t="n">
        <v>15450000</v>
      </c>
      <c r="AZ37" s="71" t="n">
        <v>15450000</v>
      </c>
      <c r="BA37" s="71" t="n">
        <v>946821</v>
      </c>
      <c r="BB37" s="71" t="n">
        <v>1046584.8</v>
      </c>
      <c r="BC37" s="69" t="inlineStr">
        <is>
          <t>Refinance</t>
        </is>
      </c>
      <c r="BD37" s="69" t="inlineStr">
        <is>
          <t>N</t>
        </is>
      </c>
      <c r="BE37" s="71" t="n"/>
      <c r="BF37" s="71" t="n"/>
      <c r="BG37" s="71" t="n"/>
      <c r="BH37" s="71" t="n">
        <v>0</v>
      </c>
      <c r="BI37" s="71" t="n">
        <v>0</v>
      </c>
      <c r="BJ37" s="69" t="inlineStr">
        <is>
          <t>N</t>
        </is>
      </c>
      <c r="BK37" s="69" t="inlineStr">
        <is>
          <t>Kettering Health Network</t>
        </is>
      </c>
      <c r="BL37" s="75" t="n">
        <v>27.77</v>
      </c>
      <c r="BM37" s="73" t="n">
        <v>46812</v>
      </c>
      <c r="BN37" s="69" t="inlineStr">
        <is>
          <t>Daniel A. Abramson</t>
        </is>
      </c>
      <c r="BO37" s="69" t="inlineStr">
        <is>
          <t>RMF</t>
        </is>
      </c>
      <c r="BP37" s="69" t="inlineStr">
        <is>
          <t>Midland Loan Services</t>
        </is>
      </c>
      <c r="BQ37" s="69" t="inlineStr">
        <is>
          <t>Midland Loan Services</t>
        </is>
      </c>
      <c r="BR37" s="69" t="n"/>
      <c r="BS37" s="73" t="n">
        <v>46276</v>
      </c>
      <c r="BU37" s="76">
        <f>IF($C37="","",IFERROR(INDEX(dmName,MATCH($C37,dmID,0)),"Unmapped"))</f>
        <v/>
      </c>
      <c r="BV37" s="76">
        <f>IF($C37="","",IFERROR(INDEX(dmEntity,MATCH($C37,dmID,0)),"Unmapped"))</f>
        <v/>
      </c>
      <c r="BW37" s="77">
        <f>IF($C37="","",IFERROR(INDEX(dmVintage,MATCH($C37,dmID,0)),""))</f>
        <v/>
      </c>
      <c r="BX37" s="78">
        <f>IFERROR(INDEX(dmInclude,MATCH($C37,dmID,0)),0)</f>
        <v/>
      </c>
      <c r="BY37" s="78">
        <f>IF(N($I37)&gt;0,1,0)</f>
        <v/>
      </c>
      <c r="BZ37" s="76">
        <f>IF($AJ37="","Other / Leased Fee",IFERROR(INDEX(mapPTGroup,MATCH(LEFT(TRIM($AJ37),2),mapPTCode,0)),"Other / Leased Fee"))</f>
        <v/>
      </c>
      <c r="CA37" s="76">
        <f>IF(TRIM($AF37&amp;"")="","NR",LEFT(TRIM($AF37),2))</f>
        <v/>
      </c>
      <c r="CB37" s="76">
        <f>IFERROR(LOOKUP(2,1/(LEFT(TRIM($AI37&amp;""),LEN(mapRegion))=mapRegion),mapRegion),"Not Reported")</f>
        <v/>
      </c>
      <c r="CC37" s="76">
        <f>IF($BY37=0,"",IF(TRIM($W37&amp;"")="REO","REO",IF(TRIM($W37&amp;"")="FC","Foreclosure",IF(TRIM($W37&amp;"")="90+","90+ Days Delinquent",IF(TRIM($W37&amp;"")="60","60 Days Delinquent",IF(TRIM($W37&amp;"")="30","30 Days Delinquent",IF($X37="Non-Performing Matured Balloon","Non-Performing Matured Balloon",IF(OR($X37="Late Payment But Less Than 30 Days Delinquent",LEFT($X37&amp;"",20)="Payment Not Received"),"Late / In Grace (&lt;30 Days)",IF($X37="Performing Matured Balloon","Performing Matured Balloon","Current")))))))))</f>
        <v/>
      </c>
      <c r="CD37" s="78">
        <f>IF(OR($CC37="REO",$CC37="Foreclosure",$CC37="90+ Days Delinquent",$CC37="60 Days Delinquent",$CC37="30 Days Delinquent",$CC37="Non-Performing Matured Balloon"),1,0)</f>
        <v/>
      </c>
      <c r="CE37" s="76">
        <f>IF($AB37="Currently special serv","Currently Specially Serviced",IF($AB37="Returned to master serv","Previously Specially Serviced","Never Specially Serviced"))</f>
        <v/>
      </c>
      <c r="CF37" s="78">
        <f>IF($CE37="Currently Specially Serviced",1,0)</f>
        <v/>
      </c>
      <c r="CG37" s="76">
        <f>IF($AA37="Yes","Currently on Watchlist",IF($AA37="Previously","Previously on Watchlist","Never on Watchlist"))</f>
        <v/>
      </c>
      <c r="CH37" s="78">
        <f>IF($CG37="Currently on Watchlist",1,0)</f>
        <v/>
      </c>
      <c r="CI37" s="76">
        <f>IF($Z37="Full Defeasance","Fully Defeased",IF($Z37="Portion Of Loan Previously Defeased","Partially Defeased",IF($Z37="Defeasance Not Allowable","Not Defeased (Not Permitted)","Not Defeased")))</f>
        <v/>
      </c>
      <c r="CJ37" s="78">
        <f>IF($CI37="Fully Defeased",1,0)</f>
        <v/>
      </c>
      <c r="CK37" s="76">
        <f>IF($R37="IO","Full IO",IF(LEFT($R37&amp;"",7)="IO then","Partial IO","Amortizing"))</f>
        <v/>
      </c>
      <c r="CL37" s="78">
        <f>IF($CK37="Full IO",1,0)</f>
        <v/>
      </c>
      <c r="CM37" s="78">
        <f>IF($CK37="Partial IO",1,0)</f>
        <v/>
      </c>
      <c r="CN37" s="76">
        <f>IF(LEFT($F37&amp;"",10)="SPLIT_LOAN","Pari Passu Split","Standalone")</f>
        <v/>
      </c>
      <c r="CO37" s="78">
        <f>IF($CN37="Pari Passu Split",1,0)</f>
        <v/>
      </c>
      <c r="CP37" s="77">
        <f>IF(ISNUMBER($T37),YEAR($T37),"")</f>
        <v/>
      </c>
      <c r="CQ37" s="79">
        <f>IF(ISNUMBER($V37),$V37,IF(ISNUMBER($U37),$U37,""))</f>
        <v/>
      </c>
      <c r="CR37" s="77">
        <f>IF(ISNUMBER($CQ37),YEAR($CQ37),"")</f>
        <v/>
      </c>
      <c r="CS37" s="78">
        <f>IF(ISNUMBER($M37),MAX(0,$M37),IF(TRIM($M37&amp;"")="matured",0,""))</f>
        <v/>
      </c>
      <c r="CT37" s="78">
        <f>IF(AND(ISNUMBER($CS37),N($CS37)&lt;=mMatWindow),1,0)</f>
        <v/>
      </c>
      <c r="CU37" s="80">
        <f>IF(ISNUMBER($J37),$J37/100,"")</f>
        <v/>
      </c>
      <c r="CV37" s="81">
        <f>IF(ISNUMBER($AQ37),$AQ37,"")</f>
        <v/>
      </c>
      <c r="CW37" s="81">
        <f>IF(ISNUMBER($AR37),$AR37,"")</f>
        <v/>
      </c>
      <c r="CX37" s="82">
        <f>IF(ISNUMBER($AS37),$AS37/100,"")</f>
        <v/>
      </c>
      <c r="CY37" s="82">
        <f>IF(ISNUMBER($AT37),$AT37/100,"")</f>
        <v/>
      </c>
      <c r="CZ37" s="82">
        <f>IF(ISNUMBER($AU37),$AU37/100,"")</f>
        <v/>
      </c>
      <c r="DA37" s="82">
        <f>IF(ISNUMBER($AV37),$AV37/100,"")</f>
        <v/>
      </c>
      <c r="DB37" s="82">
        <f>IF(ISNUMBER($AW37),$AW37/100,"")</f>
        <v/>
      </c>
      <c r="DC37" s="82">
        <f>IF(ISNUMBER($AX37),$AX37/100,"")</f>
        <v/>
      </c>
      <c r="DD37" s="77">
        <f>IFERROR(VALUE(LEFT(TRIM($AO37&amp;""),4)),"")</f>
        <v/>
      </c>
      <c r="DE37" s="78">
        <f>IF(AND($BY37=1,$BX37=1,OR(fDeal="All Deals",$BU37=fDeal),OR(fEntity="All Entities",$BV37=fEntity),OR(fPType="All Property Types",$BZ37=fPType),OR(fDefeased="Include",$CJ37=0)),1,0)</f>
        <v/>
      </c>
      <c r="DF37" s="83">
        <f>$DE37*N($I37)</f>
        <v/>
      </c>
      <c r="DG37" s="78">
        <f>IF($DE37=1,IF(COUNTIFS($F$8:$F37,$F37,$DE$8:$DE37,1)=1,1,0),0)</f>
        <v/>
      </c>
      <c r="DH37" s="83">
        <f>IF($DG37=1,SUMIFS($DF$8:$DF$1600,$F$8:$F$1600,$F37),0)</f>
        <v/>
      </c>
      <c r="DI37" s="78">
        <f>IF($DG37=1,COUNTIFS($F$8:$F$1600,$F37,$DE$8:$DE$1600,1),0)</f>
        <v/>
      </c>
      <c r="DJ37" s="84">
        <f>IF($DG37=1,$DH37+(100000-ROW())/mTieBreak,0)</f>
        <v/>
      </c>
    </row>
    <row r="38">
      <c r="B38" s="68" t="n">
        <v>31</v>
      </c>
      <c r="C38" s="69" t="inlineStr">
        <is>
          <t>UBS17C02</t>
        </is>
      </c>
      <c r="D38" s="69" t="inlineStr">
        <is>
          <t>31.000</t>
        </is>
      </c>
      <c r="E38" s="69" t="inlineStr">
        <is>
          <t>Nine Mile Plaza</t>
        </is>
      </c>
      <c r="F38" s="69" t="inlineStr">
        <is>
          <t>LNUBS17C02-31.000</t>
        </is>
      </c>
      <c r="G38" s="70" t="n"/>
      <c r="H38" s="71" t="n">
        <v>10500000</v>
      </c>
      <c r="I38" s="71" t="n">
        <v>8799814.720000502</v>
      </c>
      <c r="J38" s="72" t="n">
        <v>4.8905</v>
      </c>
      <c r="K38" s="69" t="inlineStr">
        <is>
          <t>Fixed rate</t>
        </is>
      </c>
      <c r="L38" s="68" t="n">
        <v>120</v>
      </c>
      <c r="M38" s="68" t="n">
        <v>10</v>
      </c>
      <c r="N38" s="68" t="n">
        <v>360</v>
      </c>
      <c r="O38" s="68" t="n"/>
      <c r="P38" s="68" t="n"/>
      <c r="Q38" s="68" t="n">
        <v>110</v>
      </c>
      <c r="R38" s="69" t="n"/>
      <c r="S38" s="69" t="inlineStr">
        <is>
          <t>No</t>
        </is>
      </c>
      <c r="T38" s="73" t="n">
        <v>42917</v>
      </c>
      <c r="U38" s="73" t="n">
        <v>46574</v>
      </c>
      <c r="V38" s="73" t="n"/>
      <c r="W38" s="69" t="n"/>
      <c r="X38" s="69" t="inlineStr">
        <is>
          <t>Current</t>
        </is>
      </c>
      <c r="Y38" s="68" t="n"/>
      <c r="Z38" s="69" t="inlineStr">
        <is>
          <t>Defeasance Not Allowable</t>
        </is>
      </c>
      <c r="AA38" s="69" t="inlineStr">
        <is>
          <t>Yes</t>
        </is>
      </c>
      <c r="AB38" s="69" t="inlineStr">
        <is>
          <t>Never special serv</t>
        </is>
      </c>
      <c r="AC38" s="73" t="n"/>
      <c r="AD38" s="69" t="n"/>
      <c r="AE38" s="69" t="n"/>
      <c r="AF38" s="69" t="inlineStr">
        <is>
          <t>FL</t>
        </is>
      </c>
      <c r="AG38" s="69" t="inlineStr">
        <is>
          <t>Pensacola</t>
        </is>
      </c>
      <c r="AH38" s="69" t="inlineStr">
        <is>
          <t>Pensacola-Ferry Pass-Brent, FL</t>
        </is>
      </c>
      <c r="AI38" s="69" t="inlineStr">
        <is>
          <t>South / Atlantic</t>
        </is>
      </c>
      <c r="AJ38" s="69" t="inlineStr">
        <is>
          <t>RT</t>
        </is>
      </c>
      <c r="AK38" s="69" t="inlineStr">
        <is>
          <t>Anchored</t>
        </is>
      </c>
      <c r="AL38" s="68" t="n">
        <v>1</v>
      </c>
      <c r="AM38" s="68" t="n"/>
      <c r="AN38" s="68" t="n">
        <v>143671</v>
      </c>
      <c r="AO38" s="69" t="inlineStr">
        <is>
          <t>1985</t>
        </is>
      </c>
      <c r="AP38" s="70" t="n">
        <v>2016</v>
      </c>
      <c r="AQ38" s="74" t="n">
        <v>1.46</v>
      </c>
      <c r="AR38" s="74" t="n">
        <v>1.59</v>
      </c>
      <c r="AS38" s="74" t="n">
        <v>72.3</v>
      </c>
      <c r="AT38" s="74" t="n">
        <v>60.69</v>
      </c>
      <c r="AU38" s="74" t="n">
        <v>59.3</v>
      </c>
      <c r="AV38" s="74" t="n">
        <v>9.304952381</v>
      </c>
      <c r="AW38" s="74" t="n">
        <v>10.616740576</v>
      </c>
      <c r="AX38" s="75" t="n">
        <v>91</v>
      </c>
      <c r="AY38" s="71" t="n">
        <v>14500000</v>
      </c>
      <c r="AZ38" s="71" t="n">
        <v>14500000</v>
      </c>
      <c r="BA38" s="71" t="n">
        <v>977020</v>
      </c>
      <c r="BB38" s="71" t="n">
        <v>1060692.02</v>
      </c>
      <c r="BC38" s="69" t="inlineStr">
        <is>
          <t>Refinance</t>
        </is>
      </c>
      <c r="BD38" s="69" t="inlineStr">
        <is>
          <t>N</t>
        </is>
      </c>
      <c r="BE38" s="71" t="n"/>
      <c r="BF38" s="71" t="n"/>
      <c r="BG38" s="71" t="n"/>
      <c r="BH38" s="71" t="n">
        <v>0</v>
      </c>
      <c r="BI38" s="71" t="n">
        <v>0</v>
      </c>
      <c r="BJ38" s="69" t="inlineStr">
        <is>
          <t>N</t>
        </is>
      </c>
      <c r="BK38" s="69" t="inlineStr">
        <is>
          <t>ALDI #LOX -206</t>
        </is>
      </c>
      <c r="BL38" s="75" t="n">
        <v>32.28</v>
      </c>
      <c r="BM38" s="73" t="n">
        <v>49399</v>
      </c>
      <c r="BN38" s="69" t="inlineStr">
        <is>
          <t>Alton Darby</t>
        </is>
      </c>
      <c r="BO38" s="69" t="inlineStr">
        <is>
          <t>UBS</t>
        </is>
      </c>
      <c r="BP38" s="69" t="inlineStr">
        <is>
          <t>Midland Loan Services</t>
        </is>
      </c>
      <c r="BQ38" s="69" t="inlineStr">
        <is>
          <t>Midland Loan Services</t>
        </is>
      </c>
      <c r="BR38" s="69" t="n"/>
      <c r="BS38" s="73" t="n">
        <v>46276</v>
      </c>
      <c r="BU38" s="76">
        <f>IF($C38="","",IFERROR(INDEX(dmName,MATCH($C38,dmID,0)),"Unmapped"))</f>
        <v/>
      </c>
      <c r="BV38" s="76">
        <f>IF($C38="","",IFERROR(INDEX(dmEntity,MATCH($C38,dmID,0)),"Unmapped"))</f>
        <v/>
      </c>
      <c r="BW38" s="77">
        <f>IF($C38="","",IFERROR(INDEX(dmVintage,MATCH($C38,dmID,0)),""))</f>
        <v/>
      </c>
      <c r="BX38" s="78">
        <f>IFERROR(INDEX(dmInclude,MATCH($C38,dmID,0)),0)</f>
        <v/>
      </c>
      <c r="BY38" s="78">
        <f>IF(N($I38)&gt;0,1,0)</f>
        <v/>
      </c>
      <c r="BZ38" s="76">
        <f>IF($AJ38="","Other / Leased Fee",IFERROR(INDEX(mapPTGroup,MATCH(LEFT(TRIM($AJ38),2),mapPTCode,0)),"Other / Leased Fee"))</f>
        <v/>
      </c>
      <c r="CA38" s="76">
        <f>IF(TRIM($AF38&amp;"")="","NR",LEFT(TRIM($AF38),2))</f>
        <v/>
      </c>
      <c r="CB38" s="76">
        <f>IFERROR(LOOKUP(2,1/(LEFT(TRIM($AI38&amp;""),LEN(mapRegion))=mapRegion),mapRegion),"Not Reported")</f>
        <v/>
      </c>
      <c r="CC38" s="76">
        <f>IF($BY38=0,"",IF(TRIM($W38&amp;"")="REO","REO",IF(TRIM($W38&amp;"")="FC","Foreclosure",IF(TRIM($W38&amp;"")="90+","90+ Days Delinquent",IF(TRIM($W38&amp;"")="60","60 Days Delinquent",IF(TRIM($W38&amp;"")="30","30 Days Delinquent",IF($X38="Non-Performing Matured Balloon","Non-Performing Matured Balloon",IF(OR($X38="Late Payment But Less Than 30 Days Delinquent",LEFT($X38&amp;"",20)="Payment Not Received"),"Late / In Grace (&lt;30 Days)",IF($X38="Performing Matured Balloon","Performing Matured Balloon","Current")))))))))</f>
        <v/>
      </c>
      <c r="CD38" s="78">
        <f>IF(OR($CC38="REO",$CC38="Foreclosure",$CC38="90+ Days Delinquent",$CC38="60 Days Delinquent",$CC38="30 Days Delinquent",$CC38="Non-Performing Matured Balloon"),1,0)</f>
        <v/>
      </c>
      <c r="CE38" s="76">
        <f>IF($AB38="Currently special serv","Currently Specially Serviced",IF($AB38="Returned to master serv","Previously Specially Serviced","Never Specially Serviced"))</f>
        <v/>
      </c>
      <c r="CF38" s="78">
        <f>IF($CE38="Currently Specially Serviced",1,0)</f>
        <v/>
      </c>
      <c r="CG38" s="76">
        <f>IF($AA38="Yes","Currently on Watchlist",IF($AA38="Previously","Previously on Watchlist","Never on Watchlist"))</f>
        <v/>
      </c>
      <c r="CH38" s="78">
        <f>IF($CG38="Currently on Watchlist",1,0)</f>
        <v/>
      </c>
      <c r="CI38" s="76">
        <f>IF($Z38="Full Defeasance","Fully Defeased",IF($Z38="Portion Of Loan Previously Defeased","Partially Defeased",IF($Z38="Defeasance Not Allowable","Not Defeased (Not Permitted)","Not Defeased")))</f>
        <v/>
      </c>
      <c r="CJ38" s="78">
        <f>IF($CI38="Fully Defeased",1,0)</f>
        <v/>
      </c>
      <c r="CK38" s="76">
        <f>IF($R38="IO","Full IO",IF(LEFT($R38&amp;"",7)="IO then","Partial IO","Amortizing"))</f>
        <v/>
      </c>
      <c r="CL38" s="78">
        <f>IF($CK38="Full IO",1,0)</f>
        <v/>
      </c>
      <c r="CM38" s="78">
        <f>IF($CK38="Partial IO",1,0)</f>
        <v/>
      </c>
      <c r="CN38" s="76">
        <f>IF(LEFT($F38&amp;"",10)="SPLIT_LOAN","Pari Passu Split","Standalone")</f>
        <v/>
      </c>
      <c r="CO38" s="78">
        <f>IF($CN38="Pari Passu Split",1,0)</f>
        <v/>
      </c>
      <c r="CP38" s="77">
        <f>IF(ISNUMBER($T38),YEAR($T38),"")</f>
        <v/>
      </c>
      <c r="CQ38" s="79">
        <f>IF(ISNUMBER($V38),$V38,IF(ISNUMBER($U38),$U38,""))</f>
        <v/>
      </c>
      <c r="CR38" s="77">
        <f>IF(ISNUMBER($CQ38),YEAR($CQ38),"")</f>
        <v/>
      </c>
      <c r="CS38" s="78">
        <f>IF(ISNUMBER($M38),MAX(0,$M38),IF(TRIM($M38&amp;"")="matured",0,""))</f>
        <v/>
      </c>
      <c r="CT38" s="78">
        <f>IF(AND(ISNUMBER($CS38),N($CS38)&lt;=mMatWindow),1,0)</f>
        <v/>
      </c>
      <c r="CU38" s="80">
        <f>IF(ISNUMBER($J38),$J38/100,"")</f>
        <v/>
      </c>
      <c r="CV38" s="81">
        <f>IF(ISNUMBER($AQ38),$AQ38,"")</f>
        <v/>
      </c>
      <c r="CW38" s="81">
        <f>IF(ISNUMBER($AR38),$AR38,"")</f>
        <v/>
      </c>
      <c r="CX38" s="82">
        <f>IF(ISNUMBER($AS38),$AS38/100,"")</f>
        <v/>
      </c>
      <c r="CY38" s="82">
        <f>IF(ISNUMBER($AT38),$AT38/100,"")</f>
        <v/>
      </c>
      <c r="CZ38" s="82">
        <f>IF(ISNUMBER($AU38),$AU38/100,"")</f>
        <v/>
      </c>
      <c r="DA38" s="82">
        <f>IF(ISNUMBER($AV38),$AV38/100,"")</f>
        <v/>
      </c>
      <c r="DB38" s="82">
        <f>IF(ISNUMBER($AW38),$AW38/100,"")</f>
        <v/>
      </c>
      <c r="DC38" s="82">
        <f>IF(ISNUMBER($AX38),$AX38/100,"")</f>
        <v/>
      </c>
      <c r="DD38" s="77">
        <f>IFERROR(VALUE(LEFT(TRIM($AO38&amp;""),4)),"")</f>
        <v/>
      </c>
      <c r="DE38" s="78">
        <f>IF(AND($BY38=1,$BX38=1,OR(fDeal="All Deals",$BU38=fDeal),OR(fEntity="All Entities",$BV38=fEntity),OR(fPType="All Property Types",$BZ38=fPType),OR(fDefeased="Include",$CJ38=0)),1,0)</f>
        <v/>
      </c>
      <c r="DF38" s="83">
        <f>$DE38*N($I38)</f>
        <v/>
      </c>
      <c r="DG38" s="78">
        <f>IF($DE38=1,IF(COUNTIFS($F$8:$F38,$F38,$DE$8:$DE38,1)=1,1,0),0)</f>
        <v/>
      </c>
      <c r="DH38" s="83">
        <f>IF($DG38=1,SUMIFS($DF$8:$DF$1600,$F$8:$F$1600,$F38),0)</f>
        <v/>
      </c>
      <c r="DI38" s="78">
        <f>IF($DG38=1,COUNTIFS($F$8:$F$1600,$F38,$DE$8:$DE$1600,1),0)</f>
        <v/>
      </c>
      <c r="DJ38" s="84">
        <f>IF($DG38=1,$DH38+(100000-ROW())/mTieBreak,0)</f>
        <v/>
      </c>
    </row>
    <row r="39">
      <c r="B39" s="68" t="n">
        <v>32</v>
      </c>
      <c r="C39" s="69" t="inlineStr">
        <is>
          <t>UBS17C02</t>
        </is>
      </c>
      <c r="D39" s="69" t="inlineStr">
        <is>
          <t>32.000</t>
        </is>
      </c>
      <c r="E39" s="69" t="inlineStr">
        <is>
          <t>Ionis Pharmaceutical - Faraday Ave</t>
        </is>
      </c>
      <c r="F39" s="69" t="inlineStr">
        <is>
          <t>LNUBS17C02-32.000</t>
        </is>
      </c>
      <c r="G39" s="70" t="n"/>
      <c r="H39" s="71" t="n">
        <v>9100000</v>
      </c>
      <c r="I39" s="71" t="n">
        <v>8450911.770000702</v>
      </c>
      <c r="J39" s="72" t="n">
        <v>4.211</v>
      </c>
      <c r="K39" s="69" t="inlineStr">
        <is>
          <t>Fixed rate</t>
        </is>
      </c>
      <c r="L39" s="68" t="n">
        <v>120</v>
      </c>
      <c r="M39" s="68" t="n">
        <v>11</v>
      </c>
      <c r="N39" s="68" t="n">
        <v>420</v>
      </c>
      <c r="O39" s="68" t="n">
        <v>60</v>
      </c>
      <c r="P39" s="68" t="n">
        <v>0</v>
      </c>
      <c r="Q39" s="68" t="n">
        <v>109</v>
      </c>
      <c r="R39" s="69" t="inlineStr">
        <is>
          <t>IO then Amort</t>
        </is>
      </c>
      <c r="S39" s="69" t="inlineStr">
        <is>
          <t>No</t>
        </is>
      </c>
      <c r="T39" s="73" t="n">
        <v>42948</v>
      </c>
      <c r="U39" s="73" t="n">
        <v>46605</v>
      </c>
      <c r="V39" s="73" t="n"/>
      <c r="W39" s="69" t="n"/>
      <c r="X39" s="69" t="inlineStr">
        <is>
          <t>Current</t>
        </is>
      </c>
      <c r="Y39" s="68" t="n"/>
      <c r="Z39" s="69" t="inlineStr">
        <is>
          <t>No Defeasance Occurred</t>
        </is>
      </c>
      <c r="AA39" s="69" t="inlineStr">
        <is>
          <t>Previously</t>
        </is>
      </c>
      <c r="AB39" s="69" t="inlineStr">
        <is>
          <t>Never special serv</t>
        </is>
      </c>
      <c r="AC39" s="73" t="n"/>
      <c r="AD39" s="69" t="n"/>
      <c r="AE39" s="69" t="n"/>
      <c r="AF39" s="69" t="inlineStr">
        <is>
          <t>CA</t>
        </is>
      </c>
      <c r="AG39" s="69" t="inlineStr">
        <is>
          <t>Carlsbad</t>
        </is>
      </c>
      <c r="AH39" s="69" t="inlineStr">
        <is>
          <t>San Diego-Chula Vista-Carlsbad, CA</t>
        </is>
      </c>
      <c r="AI39" s="69" t="inlineStr">
        <is>
          <t>West / Pacific South</t>
        </is>
      </c>
      <c r="AJ39" s="69" t="inlineStr">
        <is>
          <t>MX</t>
        </is>
      </c>
      <c r="AK39" s="69" t="inlineStr">
        <is>
          <t>Office/R&amp;D/Industrial</t>
        </is>
      </c>
      <c r="AL39" s="68" t="n">
        <v>1</v>
      </c>
      <c r="AM39" s="68" t="n"/>
      <c r="AN39" s="68" t="n">
        <v>28704</v>
      </c>
      <c r="AO39" s="69" t="inlineStr">
        <is>
          <t>1986</t>
        </is>
      </c>
      <c r="AP39" s="70" t="n">
        <v>2016</v>
      </c>
      <c r="AQ39" s="74" t="n">
        <v>1.61</v>
      </c>
      <c r="AR39" s="74" t="n">
        <v>1.87</v>
      </c>
      <c r="AS39" s="74" t="n">
        <v>62.8</v>
      </c>
      <c r="AT39" s="74" t="n">
        <v>58.28</v>
      </c>
      <c r="AU39" s="74" t="n">
        <v>57.2</v>
      </c>
      <c r="AV39" s="74" t="n">
        <v>9.469076922999999</v>
      </c>
      <c r="AW39" s="74" t="n">
        <v>11.800549185</v>
      </c>
      <c r="AX39" s="75" t="n">
        <v>100</v>
      </c>
      <c r="AY39" s="71" t="n">
        <v>14500000</v>
      </c>
      <c r="AZ39" s="71" t="n">
        <v>14500000</v>
      </c>
      <c r="BA39" s="71" t="n">
        <v>861686</v>
      </c>
      <c r="BB39" s="71" t="n">
        <v>998240</v>
      </c>
      <c r="BC39" s="69" t="inlineStr">
        <is>
          <t>Acquisition</t>
        </is>
      </c>
      <c r="BD39" s="69" t="inlineStr">
        <is>
          <t>N</t>
        </is>
      </c>
      <c r="BE39" s="71" t="n"/>
      <c r="BF39" s="71" t="n"/>
      <c r="BG39" s="71" t="n"/>
      <c r="BH39" s="71" t="n">
        <v>0</v>
      </c>
      <c r="BI39" s="71" t="n">
        <v>0</v>
      </c>
      <c r="BJ39" s="69" t="inlineStr">
        <is>
          <t>N</t>
        </is>
      </c>
      <c r="BK39" s="69" t="inlineStr">
        <is>
          <t>IONIS PHARMACEUTICALS INC</t>
        </is>
      </c>
      <c r="BL39" s="75" t="n">
        <v>100</v>
      </c>
      <c r="BM39" s="73" t="n">
        <v>48412</v>
      </c>
      <c r="BN39" s="69" t="inlineStr">
        <is>
          <t>Ionis Pharmaceuticals, Inc.</t>
        </is>
      </c>
      <c r="BO39" s="69" t="inlineStr">
        <is>
          <t>UBS</t>
        </is>
      </c>
      <c r="BP39" s="69" t="inlineStr">
        <is>
          <t>Midland Loan Services</t>
        </is>
      </c>
      <c r="BQ39" s="69" t="inlineStr">
        <is>
          <t>Midland Loan Services</t>
        </is>
      </c>
      <c r="BR39" s="69" t="n"/>
      <c r="BS39" s="73" t="n">
        <v>46276</v>
      </c>
      <c r="BU39" s="76">
        <f>IF($C39="","",IFERROR(INDEX(dmName,MATCH($C39,dmID,0)),"Unmapped"))</f>
        <v/>
      </c>
      <c r="BV39" s="76">
        <f>IF($C39="","",IFERROR(INDEX(dmEntity,MATCH($C39,dmID,0)),"Unmapped"))</f>
        <v/>
      </c>
      <c r="BW39" s="77">
        <f>IF($C39="","",IFERROR(INDEX(dmVintage,MATCH($C39,dmID,0)),""))</f>
        <v/>
      </c>
      <c r="BX39" s="78">
        <f>IFERROR(INDEX(dmInclude,MATCH($C39,dmID,0)),0)</f>
        <v/>
      </c>
      <c r="BY39" s="78">
        <f>IF(N($I39)&gt;0,1,0)</f>
        <v/>
      </c>
      <c r="BZ39" s="76">
        <f>IF($AJ39="","Other / Leased Fee",IFERROR(INDEX(mapPTGroup,MATCH(LEFT(TRIM($AJ39),2),mapPTCode,0)),"Other / Leased Fee"))</f>
        <v/>
      </c>
      <c r="CA39" s="76">
        <f>IF(TRIM($AF39&amp;"")="","NR",LEFT(TRIM($AF39),2))</f>
        <v/>
      </c>
      <c r="CB39" s="76">
        <f>IFERROR(LOOKUP(2,1/(LEFT(TRIM($AI39&amp;""),LEN(mapRegion))=mapRegion),mapRegion),"Not Reported")</f>
        <v/>
      </c>
      <c r="CC39" s="76">
        <f>IF($BY39=0,"",IF(TRIM($W39&amp;"")="REO","REO",IF(TRIM($W39&amp;"")="FC","Foreclosure",IF(TRIM($W39&amp;"")="90+","90+ Days Delinquent",IF(TRIM($W39&amp;"")="60","60 Days Delinquent",IF(TRIM($W39&amp;"")="30","30 Days Delinquent",IF($X39="Non-Performing Matured Balloon","Non-Performing Matured Balloon",IF(OR($X39="Late Payment But Less Than 30 Days Delinquent",LEFT($X39&amp;"",20)="Payment Not Received"),"Late / In Grace (&lt;30 Days)",IF($X39="Performing Matured Balloon","Performing Matured Balloon","Current")))))))))</f>
        <v/>
      </c>
      <c r="CD39" s="78">
        <f>IF(OR($CC39="REO",$CC39="Foreclosure",$CC39="90+ Days Delinquent",$CC39="60 Days Delinquent",$CC39="30 Days Delinquent",$CC39="Non-Performing Matured Balloon"),1,0)</f>
        <v/>
      </c>
      <c r="CE39" s="76">
        <f>IF($AB39="Currently special serv","Currently Specially Serviced",IF($AB39="Returned to master serv","Previously Specially Serviced","Never Specially Serviced"))</f>
        <v/>
      </c>
      <c r="CF39" s="78">
        <f>IF($CE39="Currently Specially Serviced",1,0)</f>
        <v/>
      </c>
      <c r="CG39" s="76">
        <f>IF($AA39="Yes","Currently on Watchlist",IF($AA39="Previously","Previously on Watchlist","Never on Watchlist"))</f>
        <v/>
      </c>
      <c r="CH39" s="78">
        <f>IF($CG39="Currently on Watchlist",1,0)</f>
        <v/>
      </c>
      <c r="CI39" s="76">
        <f>IF($Z39="Full Defeasance","Fully Defeased",IF($Z39="Portion Of Loan Previously Defeased","Partially Defeased",IF($Z39="Defeasance Not Allowable","Not Defeased (Not Permitted)","Not Defeased")))</f>
        <v/>
      </c>
      <c r="CJ39" s="78">
        <f>IF($CI39="Fully Defeased",1,0)</f>
        <v/>
      </c>
      <c r="CK39" s="76">
        <f>IF($R39="IO","Full IO",IF(LEFT($R39&amp;"",7)="IO then","Partial IO","Amortizing"))</f>
        <v/>
      </c>
      <c r="CL39" s="78">
        <f>IF($CK39="Full IO",1,0)</f>
        <v/>
      </c>
      <c r="CM39" s="78">
        <f>IF($CK39="Partial IO",1,0)</f>
        <v/>
      </c>
      <c r="CN39" s="76">
        <f>IF(LEFT($F39&amp;"",10)="SPLIT_LOAN","Pari Passu Split","Standalone")</f>
        <v/>
      </c>
      <c r="CO39" s="78">
        <f>IF($CN39="Pari Passu Split",1,0)</f>
        <v/>
      </c>
      <c r="CP39" s="77">
        <f>IF(ISNUMBER($T39),YEAR($T39),"")</f>
        <v/>
      </c>
      <c r="CQ39" s="79">
        <f>IF(ISNUMBER($V39),$V39,IF(ISNUMBER($U39),$U39,""))</f>
        <v/>
      </c>
      <c r="CR39" s="77">
        <f>IF(ISNUMBER($CQ39),YEAR($CQ39),"")</f>
        <v/>
      </c>
      <c r="CS39" s="78">
        <f>IF(ISNUMBER($M39),MAX(0,$M39),IF(TRIM($M39&amp;"")="matured",0,""))</f>
        <v/>
      </c>
      <c r="CT39" s="78">
        <f>IF(AND(ISNUMBER($CS39),N($CS39)&lt;=mMatWindow),1,0)</f>
        <v/>
      </c>
      <c r="CU39" s="80">
        <f>IF(ISNUMBER($J39),$J39/100,"")</f>
        <v/>
      </c>
      <c r="CV39" s="81">
        <f>IF(ISNUMBER($AQ39),$AQ39,"")</f>
        <v/>
      </c>
      <c r="CW39" s="81">
        <f>IF(ISNUMBER($AR39),$AR39,"")</f>
        <v/>
      </c>
      <c r="CX39" s="82">
        <f>IF(ISNUMBER($AS39),$AS39/100,"")</f>
        <v/>
      </c>
      <c r="CY39" s="82">
        <f>IF(ISNUMBER($AT39),$AT39/100,"")</f>
        <v/>
      </c>
      <c r="CZ39" s="82">
        <f>IF(ISNUMBER($AU39),$AU39/100,"")</f>
        <v/>
      </c>
      <c r="DA39" s="82">
        <f>IF(ISNUMBER($AV39),$AV39/100,"")</f>
        <v/>
      </c>
      <c r="DB39" s="82">
        <f>IF(ISNUMBER($AW39),$AW39/100,"")</f>
        <v/>
      </c>
      <c r="DC39" s="82">
        <f>IF(ISNUMBER($AX39),$AX39/100,"")</f>
        <v/>
      </c>
      <c r="DD39" s="77">
        <f>IFERROR(VALUE(LEFT(TRIM($AO39&amp;""),4)),"")</f>
        <v/>
      </c>
      <c r="DE39" s="78">
        <f>IF(AND($BY39=1,$BX39=1,OR(fDeal="All Deals",$BU39=fDeal),OR(fEntity="All Entities",$BV39=fEntity),OR(fPType="All Property Types",$BZ39=fPType),OR(fDefeased="Include",$CJ39=0)),1,0)</f>
        <v/>
      </c>
      <c r="DF39" s="83">
        <f>$DE39*N($I39)</f>
        <v/>
      </c>
      <c r="DG39" s="78">
        <f>IF($DE39=1,IF(COUNTIFS($F$8:$F39,$F39,$DE$8:$DE39,1)=1,1,0),0)</f>
        <v/>
      </c>
      <c r="DH39" s="83">
        <f>IF($DG39=1,SUMIFS($DF$8:$DF$1600,$F$8:$F$1600,$F39),0)</f>
        <v/>
      </c>
      <c r="DI39" s="78">
        <f>IF($DG39=1,COUNTIFS($F$8:$F$1600,$F39,$DE$8:$DE$1600,1),0)</f>
        <v/>
      </c>
      <c r="DJ39" s="84">
        <f>IF($DG39=1,$DH39+(100000-ROW())/mTieBreak,0)</f>
        <v/>
      </c>
    </row>
    <row r="40">
      <c r="B40" s="68" t="n">
        <v>33</v>
      </c>
      <c r="C40" s="69" t="inlineStr">
        <is>
          <t>UBS17C02</t>
        </is>
      </c>
      <c r="D40" s="69" t="inlineStr">
        <is>
          <t>33.000</t>
        </is>
      </c>
      <c r="E40" s="69" t="inlineStr">
        <is>
          <t>Comfort Inn Westport</t>
        </is>
      </c>
      <c r="F40" s="69" t="inlineStr">
        <is>
          <t>LNUBS17C02-33.000</t>
        </is>
      </c>
      <c r="G40" s="70" t="n"/>
      <c r="H40" s="71" t="n">
        <v>8925000</v>
      </c>
      <c r="I40" s="71" t="n">
        <v>0</v>
      </c>
      <c r="J40" s="72" t="n">
        <v>4.32</v>
      </c>
      <c r="K40" s="69" t="inlineStr">
        <is>
          <t>Fixed rate</t>
        </is>
      </c>
      <c r="L40" s="68" t="n">
        <v>120</v>
      </c>
      <c r="M40" s="68" t="n"/>
      <c r="N40" s="68" t="n">
        <v>360</v>
      </c>
      <c r="O40" s="68" t="n"/>
      <c r="P40" s="68" t="n"/>
      <c r="Q40" s="68" t="n"/>
      <c r="R40" s="69" t="n"/>
      <c r="S40" s="69" t="inlineStr">
        <is>
          <t>No</t>
        </is>
      </c>
      <c r="T40" s="73" t="n">
        <v>42644</v>
      </c>
      <c r="U40" s="73" t="n">
        <v>46300</v>
      </c>
      <c r="V40" s="73" t="n"/>
      <c r="W40" s="69" t="n"/>
      <c r="X40" s="69" t="inlineStr">
        <is>
          <t>Current</t>
        </is>
      </c>
      <c r="Y40" s="68" t="n"/>
      <c r="Z40" s="69" t="inlineStr">
        <is>
          <t>Full Defeasance</t>
        </is>
      </c>
      <c r="AA40" s="69" t="inlineStr">
        <is>
          <t>Previously</t>
        </is>
      </c>
      <c r="AB40" s="69" t="inlineStr">
        <is>
          <t>Never special serv</t>
        </is>
      </c>
      <c r="AC40" s="73" t="n"/>
      <c r="AD40" s="69" t="n"/>
      <c r="AE40" s="69" t="n"/>
      <c r="AF40" s="69" t="inlineStr">
        <is>
          <t>MO</t>
        </is>
      </c>
      <c r="AG40" s="69" t="inlineStr">
        <is>
          <t>Maryland Heights</t>
        </is>
      </c>
      <c r="AH40" s="69" t="inlineStr">
        <is>
          <t>St. Louis, MO-IL</t>
        </is>
      </c>
      <c r="AI40" s="69" t="inlineStr">
        <is>
          <t>Midwest / Central West</t>
        </is>
      </c>
      <c r="AJ40" s="69" t="inlineStr">
        <is>
          <t>HT</t>
        </is>
      </c>
      <c r="AK40" s="69" t="inlineStr">
        <is>
          <t>Limited Service</t>
        </is>
      </c>
      <c r="AL40" s="68" t="n">
        <v>1</v>
      </c>
      <c r="AM40" s="68" t="n">
        <v>170</v>
      </c>
      <c r="AN40" s="68" t="n"/>
      <c r="AO40" s="69" t="inlineStr">
        <is>
          <t>1973</t>
        </is>
      </c>
      <c r="AP40" s="70" t="n">
        <v>2015</v>
      </c>
      <c r="AQ40" s="74" t="n">
        <v>1.73</v>
      </c>
      <c r="AR40" s="74" t="n">
        <v>0.11</v>
      </c>
      <c r="AS40" s="74" t="n">
        <v>61.2</v>
      </c>
      <c r="AT40" s="74" t="n"/>
      <c r="AU40" s="74" t="n">
        <v>49.8</v>
      </c>
      <c r="AV40" s="74" t="n">
        <v>10.325757871</v>
      </c>
      <c r="AW40" s="74" t="n"/>
      <c r="AX40" s="75" t="n">
        <v>61</v>
      </c>
      <c r="AY40" s="71" t="n">
        <v>14400000</v>
      </c>
      <c r="AZ40" s="71" t="n">
        <v>14400000</v>
      </c>
      <c r="BA40" s="71" t="n">
        <v>921573.89</v>
      </c>
      <c r="BB40" s="71" t="n">
        <v>58245.99</v>
      </c>
      <c r="BC40" s="69" t="inlineStr">
        <is>
          <t>Refinance</t>
        </is>
      </c>
      <c r="BD40" s="69" t="inlineStr">
        <is>
          <t>N</t>
        </is>
      </c>
      <c r="BE40" s="71" t="n"/>
      <c r="BF40" s="71" t="n"/>
      <c r="BG40" s="71" t="n"/>
      <c r="BH40" s="71" t="n">
        <v>0</v>
      </c>
      <c r="BI40" s="71" t="n">
        <v>0</v>
      </c>
      <c r="BJ40" s="69" t="inlineStr">
        <is>
          <t>Y</t>
        </is>
      </c>
      <c r="BK40" s="69" t="n"/>
      <c r="BL40" s="75" t="n"/>
      <c r="BM40" s="73" t="n"/>
      <c r="BN40" s="69" t="inlineStr">
        <is>
          <t>Atit Jariwala</t>
        </is>
      </c>
      <c r="BO40" s="69" t="inlineStr">
        <is>
          <t>Natixis</t>
        </is>
      </c>
      <c r="BP40" s="69" t="inlineStr">
        <is>
          <t>Midland Loan Services</t>
        </is>
      </c>
      <c r="BQ40" s="69" t="inlineStr">
        <is>
          <t>Midland Loan Services</t>
        </is>
      </c>
      <c r="BR40" s="69" t="inlineStr">
        <is>
          <t>Payoff Prior To Maturity</t>
        </is>
      </c>
      <c r="BS40" s="73" t="n">
        <v>46216</v>
      </c>
      <c r="BU40" s="76">
        <f>IF($C40="","",IFERROR(INDEX(dmName,MATCH($C40,dmID,0)),"Unmapped"))</f>
        <v/>
      </c>
      <c r="BV40" s="76">
        <f>IF($C40="","",IFERROR(INDEX(dmEntity,MATCH($C40,dmID,0)),"Unmapped"))</f>
        <v/>
      </c>
      <c r="BW40" s="77">
        <f>IF($C40="","",IFERROR(INDEX(dmVintage,MATCH($C40,dmID,0)),""))</f>
        <v/>
      </c>
      <c r="BX40" s="78">
        <f>IFERROR(INDEX(dmInclude,MATCH($C40,dmID,0)),0)</f>
        <v/>
      </c>
      <c r="BY40" s="78">
        <f>IF(N($I40)&gt;0,1,0)</f>
        <v/>
      </c>
      <c r="BZ40" s="76">
        <f>IF($AJ40="","Other / Leased Fee",IFERROR(INDEX(mapPTGroup,MATCH(LEFT(TRIM($AJ40),2),mapPTCode,0)),"Other / Leased Fee"))</f>
        <v/>
      </c>
      <c r="CA40" s="76">
        <f>IF(TRIM($AF40&amp;"")="","NR",LEFT(TRIM($AF40),2))</f>
        <v/>
      </c>
      <c r="CB40" s="76">
        <f>IFERROR(LOOKUP(2,1/(LEFT(TRIM($AI40&amp;""),LEN(mapRegion))=mapRegion),mapRegion),"Not Reported")</f>
        <v/>
      </c>
      <c r="CC40" s="76">
        <f>IF($BY40=0,"",IF(TRIM($W40&amp;"")="REO","REO",IF(TRIM($W40&amp;"")="FC","Foreclosure",IF(TRIM($W40&amp;"")="90+","90+ Days Delinquent",IF(TRIM($W40&amp;"")="60","60 Days Delinquent",IF(TRIM($W40&amp;"")="30","30 Days Delinquent",IF($X40="Non-Performing Matured Balloon","Non-Performing Matured Balloon",IF(OR($X40="Late Payment But Less Than 30 Days Delinquent",LEFT($X40&amp;"",20)="Payment Not Received"),"Late / In Grace (&lt;30 Days)",IF($X40="Performing Matured Balloon","Performing Matured Balloon","Current")))))))))</f>
        <v/>
      </c>
      <c r="CD40" s="78">
        <f>IF(OR($CC40="REO",$CC40="Foreclosure",$CC40="90+ Days Delinquent",$CC40="60 Days Delinquent",$CC40="30 Days Delinquent",$CC40="Non-Performing Matured Balloon"),1,0)</f>
        <v/>
      </c>
      <c r="CE40" s="76">
        <f>IF($AB40="Currently special serv","Currently Specially Serviced",IF($AB40="Returned to master serv","Previously Specially Serviced","Never Specially Serviced"))</f>
        <v/>
      </c>
      <c r="CF40" s="78">
        <f>IF($CE40="Currently Specially Serviced",1,0)</f>
        <v/>
      </c>
      <c r="CG40" s="76">
        <f>IF($AA40="Yes","Currently on Watchlist",IF($AA40="Previously","Previously on Watchlist","Never on Watchlist"))</f>
        <v/>
      </c>
      <c r="CH40" s="78">
        <f>IF($CG40="Currently on Watchlist",1,0)</f>
        <v/>
      </c>
      <c r="CI40" s="76">
        <f>IF($Z40="Full Defeasance","Fully Defeased",IF($Z40="Portion Of Loan Previously Defeased","Partially Defeased",IF($Z40="Defeasance Not Allowable","Not Defeased (Not Permitted)","Not Defeased")))</f>
        <v/>
      </c>
      <c r="CJ40" s="78">
        <f>IF($CI40="Fully Defeased",1,0)</f>
        <v/>
      </c>
      <c r="CK40" s="76">
        <f>IF($R40="IO","Full IO",IF(LEFT($R40&amp;"",7)="IO then","Partial IO","Amortizing"))</f>
        <v/>
      </c>
      <c r="CL40" s="78">
        <f>IF($CK40="Full IO",1,0)</f>
        <v/>
      </c>
      <c r="CM40" s="78">
        <f>IF($CK40="Partial IO",1,0)</f>
        <v/>
      </c>
      <c r="CN40" s="76">
        <f>IF(LEFT($F40&amp;"",10)="SPLIT_LOAN","Pari Passu Split","Standalone")</f>
        <v/>
      </c>
      <c r="CO40" s="78">
        <f>IF($CN40="Pari Passu Split",1,0)</f>
        <v/>
      </c>
      <c r="CP40" s="77">
        <f>IF(ISNUMBER($T40),YEAR($T40),"")</f>
        <v/>
      </c>
      <c r="CQ40" s="79">
        <f>IF(ISNUMBER($V40),$V40,IF(ISNUMBER($U40),$U40,""))</f>
        <v/>
      </c>
      <c r="CR40" s="77">
        <f>IF(ISNUMBER($CQ40),YEAR($CQ40),"")</f>
        <v/>
      </c>
      <c r="CS40" s="78">
        <f>IF(ISNUMBER($M40),MAX(0,$M40),IF(TRIM($M40&amp;"")="matured",0,""))</f>
        <v/>
      </c>
      <c r="CT40" s="78">
        <f>IF(AND(ISNUMBER($CS40),N($CS40)&lt;=mMatWindow),1,0)</f>
        <v/>
      </c>
      <c r="CU40" s="80">
        <f>IF(ISNUMBER($J40),$J40/100,"")</f>
        <v/>
      </c>
      <c r="CV40" s="81">
        <f>IF(ISNUMBER($AQ40),$AQ40,"")</f>
        <v/>
      </c>
      <c r="CW40" s="81">
        <f>IF(ISNUMBER($AR40),$AR40,"")</f>
        <v/>
      </c>
      <c r="CX40" s="82">
        <f>IF(ISNUMBER($AS40),$AS40/100,"")</f>
        <v/>
      </c>
      <c r="CY40" s="82">
        <f>IF(ISNUMBER($AT40),$AT40/100,"")</f>
        <v/>
      </c>
      <c r="CZ40" s="82">
        <f>IF(ISNUMBER($AU40),$AU40/100,"")</f>
        <v/>
      </c>
      <c r="DA40" s="82">
        <f>IF(ISNUMBER($AV40),$AV40/100,"")</f>
        <v/>
      </c>
      <c r="DB40" s="82">
        <f>IF(ISNUMBER($AW40),$AW40/100,"")</f>
        <v/>
      </c>
      <c r="DC40" s="82">
        <f>IF(ISNUMBER($AX40),$AX40/100,"")</f>
        <v/>
      </c>
      <c r="DD40" s="77">
        <f>IFERROR(VALUE(LEFT(TRIM($AO40&amp;""),4)),"")</f>
        <v/>
      </c>
      <c r="DE40" s="78">
        <f>IF(AND($BY40=1,$BX40=1,OR(fDeal="All Deals",$BU40=fDeal),OR(fEntity="All Entities",$BV40=fEntity),OR(fPType="All Property Types",$BZ40=fPType),OR(fDefeased="Include",$CJ40=0)),1,0)</f>
        <v/>
      </c>
      <c r="DF40" s="83">
        <f>$DE40*N($I40)</f>
        <v/>
      </c>
      <c r="DG40" s="78">
        <f>IF($DE40=1,IF(COUNTIFS($F$8:$F40,$F40,$DE$8:$DE40,1)=1,1,0),0)</f>
        <v/>
      </c>
      <c r="DH40" s="83">
        <f>IF($DG40=1,SUMIFS($DF$8:$DF$1600,$F$8:$F$1600,$F40),0)</f>
        <v/>
      </c>
      <c r="DI40" s="78">
        <f>IF($DG40=1,COUNTIFS($F$8:$F$1600,$F40,$DE$8:$DE$1600,1),0)</f>
        <v/>
      </c>
      <c r="DJ40" s="84">
        <f>IF($DG40=1,$DH40+(100000-ROW())/mTieBreak,0)</f>
        <v/>
      </c>
    </row>
    <row r="41">
      <c r="B41" s="68" t="n">
        <v>34</v>
      </c>
      <c r="C41" s="69" t="inlineStr">
        <is>
          <t>UBS17C02</t>
        </is>
      </c>
      <c r="D41" s="69" t="inlineStr">
        <is>
          <t>34.000</t>
        </is>
      </c>
      <c r="E41" s="69" t="inlineStr">
        <is>
          <t>Commonwealth Business Center</t>
        </is>
      </c>
      <c r="F41" s="69" t="inlineStr">
        <is>
          <t>LNUBS17C02-34.000</t>
        </is>
      </c>
      <c r="G41" s="70" t="n"/>
      <c r="H41" s="71" t="n">
        <v>8000000</v>
      </c>
      <c r="I41" s="71" t="n">
        <v>6869332.78</v>
      </c>
      <c r="J41" s="72" t="n">
        <v>4.85</v>
      </c>
      <c r="K41" s="69" t="inlineStr">
        <is>
          <t>Fixed rate</t>
        </is>
      </c>
      <c r="L41" s="68" t="n">
        <v>120</v>
      </c>
      <c r="M41" s="68" t="n">
        <v>10</v>
      </c>
      <c r="N41" s="68" t="n">
        <v>372</v>
      </c>
      <c r="O41" s="68" t="n">
        <v>12</v>
      </c>
      <c r="P41" s="68" t="n">
        <v>0</v>
      </c>
      <c r="Q41" s="68" t="n">
        <v>110</v>
      </c>
      <c r="R41" s="69" t="inlineStr">
        <is>
          <t>IO then Amort</t>
        </is>
      </c>
      <c r="S41" s="69" t="inlineStr">
        <is>
          <t>No</t>
        </is>
      </c>
      <c r="T41" s="73" t="n">
        <v>42917</v>
      </c>
      <c r="U41" s="73" t="n">
        <v>46573</v>
      </c>
      <c r="V41" s="73" t="n"/>
      <c r="W41" s="69" t="n"/>
      <c r="X41" s="69" t="inlineStr">
        <is>
          <t>Current</t>
        </is>
      </c>
      <c r="Y41" s="68" t="n"/>
      <c r="Z41" s="69" t="inlineStr">
        <is>
          <t>No Defeasance Occurred</t>
        </is>
      </c>
      <c r="AA41" s="69" t="inlineStr">
        <is>
          <t>Previously</t>
        </is>
      </c>
      <c r="AB41" s="69" t="inlineStr">
        <is>
          <t>Never special serv</t>
        </is>
      </c>
      <c r="AC41" s="73" t="n"/>
      <c r="AD41" s="69" t="n"/>
      <c r="AE41" s="69" t="n"/>
      <c r="AF41" s="69" t="inlineStr">
        <is>
          <t>KY</t>
        </is>
      </c>
      <c r="AG41" s="69" t="inlineStr">
        <is>
          <t>Louisville</t>
        </is>
      </c>
      <c r="AH41" s="69" t="inlineStr">
        <is>
          <t>Louisville/Jefferson County, KY-IN</t>
        </is>
      </c>
      <c r="AI41" s="69" t="inlineStr">
        <is>
          <t>South / Central East</t>
        </is>
      </c>
      <c r="AJ41" s="69" t="inlineStr">
        <is>
          <t>MX</t>
        </is>
      </c>
      <c r="AK41" s="69" t="inlineStr">
        <is>
          <t>Office/Industrial</t>
        </is>
      </c>
      <c r="AL41" s="68" t="n">
        <v>1</v>
      </c>
      <c r="AM41" s="68" t="n"/>
      <c r="AN41" s="68" t="n">
        <v>126374</v>
      </c>
      <c r="AO41" s="69" t="inlineStr">
        <is>
          <t>1984-1985</t>
        </is>
      </c>
      <c r="AP41" s="70" t="n">
        <v>2016</v>
      </c>
      <c r="AQ41" s="74" t="n">
        <v>1.48</v>
      </c>
      <c r="AR41" s="74" t="n">
        <v>1.48</v>
      </c>
      <c r="AS41" s="74" t="n">
        <v>72.7</v>
      </c>
      <c r="AT41" s="74" t="n">
        <v>62.45</v>
      </c>
      <c r="AU41" s="74" t="n">
        <v>61.1</v>
      </c>
      <c r="AV41" s="74" t="n">
        <v>9.38989125</v>
      </c>
      <c r="AW41" s="74" t="n">
        <v>10.939772669</v>
      </c>
      <c r="AX41" s="75" t="n">
        <v>83</v>
      </c>
      <c r="AY41" s="71" t="n">
        <v>11000000</v>
      </c>
      <c r="AZ41" s="71" t="n">
        <v>11000000</v>
      </c>
      <c r="BA41" s="71" t="n">
        <v>751191.3</v>
      </c>
      <c r="BB41" s="71" t="n">
        <v>751489.39</v>
      </c>
      <c r="BC41" s="69" t="inlineStr">
        <is>
          <t>Refinance</t>
        </is>
      </c>
      <c r="BD41" s="69" t="inlineStr">
        <is>
          <t>N</t>
        </is>
      </c>
      <c r="BE41" s="71" t="n"/>
      <c r="BF41" s="71" t="n"/>
      <c r="BG41" s="71" t="n"/>
      <c r="BH41" s="71" t="n">
        <v>0</v>
      </c>
      <c r="BI41" s="71" t="n">
        <v>0</v>
      </c>
      <c r="BJ41" s="69" t="inlineStr">
        <is>
          <t>N</t>
        </is>
      </c>
      <c r="BK41" s="69" t="inlineStr">
        <is>
          <t>WSP USA Inc.</t>
        </is>
      </c>
      <c r="BL41" s="75" t="n">
        <v>13.53</v>
      </c>
      <c r="BM41" s="73" t="n">
        <v>47177</v>
      </c>
      <c r="BN41" s="69" t="inlineStr">
        <is>
          <t>Jerry M.Wise; Ronald Z.Harris</t>
        </is>
      </c>
      <c r="BO41" s="69" t="inlineStr">
        <is>
          <t>Natixis</t>
        </is>
      </c>
      <c r="BP41" s="69" t="inlineStr">
        <is>
          <t>Midland Loan Services</t>
        </is>
      </c>
      <c r="BQ41" s="69" t="inlineStr">
        <is>
          <t>Midland Loan Services</t>
        </is>
      </c>
      <c r="BR41" s="69" t="n"/>
      <c r="BS41" s="73" t="n">
        <v>46276</v>
      </c>
      <c r="BU41" s="76">
        <f>IF($C41="","",IFERROR(INDEX(dmName,MATCH($C41,dmID,0)),"Unmapped"))</f>
        <v/>
      </c>
      <c r="BV41" s="76">
        <f>IF($C41="","",IFERROR(INDEX(dmEntity,MATCH($C41,dmID,0)),"Unmapped"))</f>
        <v/>
      </c>
      <c r="BW41" s="77">
        <f>IF($C41="","",IFERROR(INDEX(dmVintage,MATCH($C41,dmID,0)),""))</f>
        <v/>
      </c>
      <c r="BX41" s="78">
        <f>IFERROR(INDEX(dmInclude,MATCH($C41,dmID,0)),0)</f>
        <v/>
      </c>
      <c r="BY41" s="78">
        <f>IF(N($I41)&gt;0,1,0)</f>
        <v/>
      </c>
      <c r="BZ41" s="76">
        <f>IF($AJ41="","Other / Leased Fee",IFERROR(INDEX(mapPTGroup,MATCH(LEFT(TRIM($AJ41),2),mapPTCode,0)),"Other / Leased Fee"))</f>
        <v/>
      </c>
      <c r="CA41" s="76">
        <f>IF(TRIM($AF41&amp;"")="","NR",LEFT(TRIM($AF41),2))</f>
        <v/>
      </c>
      <c r="CB41" s="76">
        <f>IFERROR(LOOKUP(2,1/(LEFT(TRIM($AI41&amp;""),LEN(mapRegion))=mapRegion),mapRegion),"Not Reported")</f>
        <v/>
      </c>
      <c r="CC41" s="76">
        <f>IF($BY41=0,"",IF(TRIM($W41&amp;"")="REO","REO",IF(TRIM($W41&amp;"")="FC","Foreclosure",IF(TRIM($W41&amp;"")="90+","90+ Days Delinquent",IF(TRIM($W41&amp;"")="60","60 Days Delinquent",IF(TRIM($W41&amp;"")="30","30 Days Delinquent",IF($X41="Non-Performing Matured Balloon","Non-Performing Matured Balloon",IF(OR($X41="Late Payment But Less Than 30 Days Delinquent",LEFT($X41&amp;"",20)="Payment Not Received"),"Late / In Grace (&lt;30 Days)",IF($X41="Performing Matured Balloon","Performing Matured Balloon","Current")))))))))</f>
        <v/>
      </c>
      <c r="CD41" s="78">
        <f>IF(OR($CC41="REO",$CC41="Foreclosure",$CC41="90+ Days Delinquent",$CC41="60 Days Delinquent",$CC41="30 Days Delinquent",$CC41="Non-Performing Matured Balloon"),1,0)</f>
        <v/>
      </c>
      <c r="CE41" s="76">
        <f>IF($AB41="Currently special serv","Currently Specially Serviced",IF($AB41="Returned to master serv","Previously Specially Serviced","Never Specially Serviced"))</f>
        <v/>
      </c>
      <c r="CF41" s="78">
        <f>IF($CE41="Currently Specially Serviced",1,0)</f>
        <v/>
      </c>
      <c r="CG41" s="76">
        <f>IF($AA41="Yes","Currently on Watchlist",IF($AA41="Previously","Previously on Watchlist","Never on Watchlist"))</f>
        <v/>
      </c>
      <c r="CH41" s="78">
        <f>IF($CG41="Currently on Watchlist",1,0)</f>
        <v/>
      </c>
      <c r="CI41" s="76">
        <f>IF($Z41="Full Defeasance","Fully Defeased",IF($Z41="Portion Of Loan Previously Defeased","Partially Defeased",IF($Z41="Defeasance Not Allowable","Not Defeased (Not Permitted)","Not Defeased")))</f>
        <v/>
      </c>
      <c r="CJ41" s="78">
        <f>IF($CI41="Fully Defeased",1,0)</f>
        <v/>
      </c>
      <c r="CK41" s="76">
        <f>IF($R41="IO","Full IO",IF(LEFT($R41&amp;"",7)="IO then","Partial IO","Amortizing"))</f>
        <v/>
      </c>
      <c r="CL41" s="78">
        <f>IF($CK41="Full IO",1,0)</f>
        <v/>
      </c>
      <c r="CM41" s="78">
        <f>IF($CK41="Partial IO",1,0)</f>
        <v/>
      </c>
      <c r="CN41" s="76">
        <f>IF(LEFT($F41&amp;"",10)="SPLIT_LOAN","Pari Passu Split","Standalone")</f>
        <v/>
      </c>
      <c r="CO41" s="78">
        <f>IF($CN41="Pari Passu Split",1,0)</f>
        <v/>
      </c>
      <c r="CP41" s="77">
        <f>IF(ISNUMBER($T41),YEAR($T41),"")</f>
        <v/>
      </c>
      <c r="CQ41" s="79">
        <f>IF(ISNUMBER($V41),$V41,IF(ISNUMBER($U41),$U41,""))</f>
        <v/>
      </c>
      <c r="CR41" s="77">
        <f>IF(ISNUMBER($CQ41),YEAR($CQ41),"")</f>
        <v/>
      </c>
      <c r="CS41" s="78">
        <f>IF(ISNUMBER($M41),MAX(0,$M41),IF(TRIM($M41&amp;"")="matured",0,""))</f>
        <v/>
      </c>
      <c r="CT41" s="78">
        <f>IF(AND(ISNUMBER($CS41),N($CS41)&lt;=mMatWindow),1,0)</f>
        <v/>
      </c>
      <c r="CU41" s="80">
        <f>IF(ISNUMBER($J41),$J41/100,"")</f>
        <v/>
      </c>
      <c r="CV41" s="81">
        <f>IF(ISNUMBER($AQ41),$AQ41,"")</f>
        <v/>
      </c>
      <c r="CW41" s="81">
        <f>IF(ISNUMBER($AR41),$AR41,"")</f>
        <v/>
      </c>
      <c r="CX41" s="82">
        <f>IF(ISNUMBER($AS41),$AS41/100,"")</f>
        <v/>
      </c>
      <c r="CY41" s="82">
        <f>IF(ISNUMBER($AT41),$AT41/100,"")</f>
        <v/>
      </c>
      <c r="CZ41" s="82">
        <f>IF(ISNUMBER($AU41),$AU41/100,"")</f>
        <v/>
      </c>
      <c r="DA41" s="82">
        <f>IF(ISNUMBER($AV41),$AV41/100,"")</f>
        <v/>
      </c>
      <c r="DB41" s="82">
        <f>IF(ISNUMBER($AW41),$AW41/100,"")</f>
        <v/>
      </c>
      <c r="DC41" s="82">
        <f>IF(ISNUMBER($AX41),$AX41/100,"")</f>
        <v/>
      </c>
      <c r="DD41" s="77">
        <f>IFERROR(VALUE(LEFT(TRIM($AO41&amp;""),4)),"")</f>
        <v/>
      </c>
      <c r="DE41" s="78">
        <f>IF(AND($BY41=1,$BX41=1,OR(fDeal="All Deals",$BU41=fDeal),OR(fEntity="All Entities",$BV41=fEntity),OR(fPType="All Property Types",$BZ41=fPType),OR(fDefeased="Include",$CJ41=0)),1,0)</f>
        <v/>
      </c>
      <c r="DF41" s="83">
        <f>$DE41*N($I41)</f>
        <v/>
      </c>
      <c r="DG41" s="78">
        <f>IF($DE41=1,IF(COUNTIFS($F$8:$F41,$F41,$DE$8:$DE41,1)=1,1,0),0)</f>
        <v/>
      </c>
      <c r="DH41" s="83">
        <f>IF($DG41=1,SUMIFS($DF$8:$DF$1600,$F$8:$F$1600,$F41),0)</f>
        <v/>
      </c>
      <c r="DI41" s="78">
        <f>IF($DG41=1,COUNTIFS($F$8:$F$1600,$F41,$DE$8:$DE$1600,1),0)</f>
        <v/>
      </c>
      <c r="DJ41" s="84">
        <f>IF($DG41=1,$DH41+(100000-ROW())/mTieBreak,0)</f>
        <v/>
      </c>
    </row>
    <row r="42">
      <c r="B42" s="68" t="n">
        <v>35</v>
      </c>
      <c r="C42" s="69" t="inlineStr">
        <is>
          <t>UBS17C02</t>
        </is>
      </c>
      <c r="D42" s="69" t="inlineStr">
        <is>
          <t>35.000</t>
        </is>
      </c>
      <c r="E42" s="69" t="inlineStr">
        <is>
          <t>Millikan 73 (Nike)</t>
        </is>
      </c>
      <c r="F42" s="69" t="inlineStr">
        <is>
          <t>LNUBS17C02-35.000</t>
        </is>
      </c>
      <c r="G42" s="70" t="n"/>
      <c r="H42" s="71" t="n">
        <v>7750000</v>
      </c>
      <c r="I42" s="71" t="n">
        <v>7750000</v>
      </c>
      <c r="J42" s="72" t="n">
        <v>4.16</v>
      </c>
      <c r="K42" s="69" t="inlineStr">
        <is>
          <t>Fixed rate</t>
        </is>
      </c>
      <c r="L42" s="68" t="n">
        <v>120</v>
      </c>
      <c r="M42" s="68" t="n">
        <v>9</v>
      </c>
      <c r="N42" s="68" t="n">
        <v>120</v>
      </c>
      <c r="O42" s="68" t="n">
        <v>120</v>
      </c>
      <c r="P42" s="68" t="n">
        <v>9</v>
      </c>
      <c r="Q42" s="68" t="n">
        <v>111</v>
      </c>
      <c r="R42" s="69" t="inlineStr">
        <is>
          <t>IO</t>
        </is>
      </c>
      <c r="S42" s="69" t="inlineStr">
        <is>
          <t>Yes</t>
        </is>
      </c>
      <c r="T42" s="73" t="n">
        <v>42887</v>
      </c>
      <c r="U42" s="73" t="n">
        <v>46539</v>
      </c>
      <c r="V42" s="73" t="n"/>
      <c r="W42" s="69" t="n"/>
      <c r="X42" s="69" t="inlineStr">
        <is>
          <t>Current</t>
        </is>
      </c>
      <c r="Y42" s="68" t="n"/>
      <c r="Z42" s="69" t="inlineStr">
        <is>
          <t>Full Defeasance</t>
        </is>
      </c>
      <c r="AA42" s="69" t="n"/>
      <c r="AB42" s="69" t="inlineStr">
        <is>
          <t>Never special serv</t>
        </is>
      </c>
      <c r="AC42" s="73" t="n"/>
      <c r="AD42" s="69" t="n"/>
      <c r="AE42" s="69" t="n"/>
      <c r="AF42" s="69" t="inlineStr">
        <is>
          <t>OR</t>
        </is>
      </c>
      <c r="AG42" s="69" t="inlineStr">
        <is>
          <t>Beaverton</t>
        </is>
      </c>
      <c r="AH42" s="69" t="inlineStr">
        <is>
          <t>Portland-Vancouver-Hillsboro, OR-WA</t>
        </is>
      </c>
      <c r="AI42" s="69" t="inlineStr">
        <is>
          <t>West / Pacific North</t>
        </is>
      </c>
      <c r="AJ42" s="69" t="inlineStr">
        <is>
          <t>IN</t>
        </is>
      </c>
      <c r="AK42" s="69" t="inlineStr">
        <is>
          <t>Flex</t>
        </is>
      </c>
      <c r="AL42" s="68" t="n">
        <v>1</v>
      </c>
      <c r="AM42" s="68" t="n"/>
      <c r="AN42" s="68" t="n">
        <v>103316</v>
      </c>
      <c r="AO42" s="69" t="inlineStr">
        <is>
          <t>1976</t>
        </is>
      </c>
      <c r="AP42" s="70" t="n">
        <v>1976</v>
      </c>
      <c r="AQ42" s="74" t="n">
        <v>3.19</v>
      </c>
      <c r="AR42" s="74" t="n">
        <v>3.61</v>
      </c>
      <c r="AS42" s="74" t="n">
        <v>51.3</v>
      </c>
      <c r="AT42" s="74" t="n">
        <v>51.32</v>
      </c>
      <c r="AU42" s="74" t="n">
        <v>51.3</v>
      </c>
      <c r="AV42" s="74" t="n">
        <v>13.451428129</v>
      </c>
      <c r="AW42" s="74" t="n">
        <v>15.152378839</v>
      </c>
      <c r="AX42" s="75" t="n">
        <v>100</v>
      </c>
      <c r="AY42" s="71" t="n">
        <v>15100000</v>
      </c>
      <c r="AZ42" s="71" t="n">
        <v>15100000</v>
      </c>
      <c r="BA42" s="71" t="n">
        <v>1042485.68</v>
      </c>
      <c r="BB42" s="71" t="n">
        <v>1180681.02</v>
      </c>
      <c r="BC42" s="69" t="inlineStr">
        <is>
          <t>Refinance</t>
        </is>
      </c>
      <c r="BD42" s="69" t="inlineStr">
        <is>
          <t>N</t>
        </is>
      </c>
      <c r="BE42" s="71" t="n"/>
      <c r="BF42" s="71" t="n"/>
      <c r="BG42" s="71" t="n"/>
      <c r="BH42" s="71" t="n">
        <v>0</v>
      </c>
      <c r="BI42" s="71" t="n">
        <v>0</v>
      </c>
      <c r="BJ42" s="69" t="inlineStr">
        <is>
          <t>N</t>
        </is>
      </c>
      <c r="BK42" s="69" t="inlineStr">
        <is>
          <t>Nike IHM Inc</t>
        </is>
      </c>
      <c r="BL42" s="75" t="n">
        <v>100</v>
      </c>
      <c r="BM42" s="73" t="n">
        <v>46538</v>
      </c>
      <c r="BN42" s="69" t="inlineStr">
        <is>
          <t>William D. Felton</t>
        </is>
      </c>
      <c r="BO42" s="69" t="inlineStr">
        <is>
          <t>Societe Generale</t>
        </is>
      </c>
      <c r="BP42" s="69" t="inlineStr">
        <is>
          <t>Midland Loan Services</t>
        </is>
      </c>
      <c r="BQ42" s="69" t="inlineStr">
        <is>
          <t>Midland Loan Services</t>
        </is>
      </c>
      <c r="BR42" s="69" t="n"/>
      <c r="BS42" s="73" t="n">
        <v>46276</v>
      </c>
      <c r="BU42" s="76">
        <f>IF($C42="","",IFERROR(INDEX(dmName,MATCH($C42,dmID,0)),"Unmapped"))</f>
        <v/>
      </c>
      <c r="BV42" s="76">
        <f>IF($C42="","",IFERROR(INDEX(dmEntity,MATCH($C42,dmID,0)),"Unmapped"))</f>
        <v/>
      </c>
      <c r="BW42" s="77">
        <f>IF($C42="","",IFERROR(INDEX(dmVintage,MATCH($C42,dmID,0)),""))</f>
        <v/>
      </c>
      <c r="BX42" s="78">
        <f>IFERROR(INDEX(dmInclude,MATCH($C42,dmID,0)),0)</f>
        <v/>
      </c>
      <c r="BY42" s="78">
        <f>IF(N($I42)&gt;0,1,0)</f>
        <v/>
      </c>
      <c r="BZ42" s="76">
        <f>IF($AJ42="","Other / Leased Fee",IFERROR(INDEX(mapPTGroup,MATCH(LEFT(TRIM($AJ42),2),mapPTCode,0)),"Other / Leased Fee"))</f>
        <v/>
      </c>
      <c r="CA42" s="76">
        <f>IF(TRIM($AF42&amp;"")="","NR",LEFT(TRIM($AF42),2))</f>
        <v/>
      </c>
      <c r="CB42" s="76">
        <f>IFERROR(LOOKUP(2,1/(LEFT(TRIM($AI42&amp;""),LEN(mapRegion))=mapRegion),mapRegion),"Not Reported")</f>
        <v/>
      </c>
      <c r="CC42" s="76">
        <f>IF($BY42=0,"",IF(TRIM($W42&amp;"")="REO","REO",IF(TRIM($W42&amp;"")="FC","Foreclosure",IF(TRIM($W42&amp;"")="90+","90+ Days Delinquent",IF(TRIM($W42&amp;"")="60","60 Days Delinquent",IF(TRIM($W42&amp;"")="30","30 Days Delinquent",IF($X42="Non-Performing Matured Balloon","Non-Performing Matured Balloon",IF(OR($X42="Late Payment But Less Than 30 Days Delinquent",LEFT($X42&amp;"",20)="Payment Not Received"),"Late / In Grace (&lt;30 Days)",IF($X42="Performing Matured Balloon","Performing Matured Balloon","Current")))))))))</f>
        <v/>
      </c>
      <c r="CD42" s="78">
        <f>IF(OR($CC42="REO",$CC42="Foreclosure",$CC42="90+ Days Delinquent",$CC42="60 Days Delinquent",$CC42="30 Days Delinquent",$CC42="Non-Performing Matured Balloon"),1,0)</f>
        <v/>
      </c>
      <c r="CE42" s="76">
        <f>IF($AB42="Currently special serv","Currently Specially Serviced",IF($AB42="Returned to master serv","Previously Specially Serviced","Never Specially Serviced"))</f>
        <v/>
      </c>
      <c r="CF42" s="78">
        <f>IF($CE42="Currently Specially Serviced",1,0)</f>
        <v/>
      </c>
      <c r="CG42" s="76">
        <f>IF($AA42="Yes","Currently on Watchlist",IF($AA42="Previously","Previously on Watchlist","Never on Watchlist"))</f>
        <v/>
      </c>
      <c r="CH42" s="78">
        <f>IF($CG42="Currently on Watchlist",1,0)</f>
        <v/>
      </c>
      <c r="CI42" s="76">
        <f>IF($Z42="Full Defeasance","Fully Defeased",IF($Z42="Portion Of Loan Previously Defeased","Partially Defeased",IF($Z42="Defeasance Not Allowable","Not Defeased (Not Permitted)","Not Defeased")))</f>
        <v/>
      </c>
      <c r="CJ42" s="78">
        <f>IF($CI42="Fully Defeased",1,0)</f>
        <v/>
      </c>
      <c r="CK42" s="76">
        <f>IF($R42="IO","Full IO",IF(LEFT($R42&amp;"",7)="IO then","Partial IO","Amortizing"))</f>
        <v/>
      </c>
      <c r="CL42" s="78">
        <f>IF($CK42="Full IO",1,0)</f>
        <v/>
      </c>
      <c r="CM42" s="78">
        <f>IF($CK42="Partial IO",1,0)</f>
        <v/>
      </c>
      <c r="CN42" s="76">
        <f>IF(LEFT($F42&amp;"",10)="SPLIT_LOAN","Pari Passu Split","Standalone")</f>
        <v/>
      </c>
      <c r="CO42" s="78">
        <f>IF($CN42="Pari Passu Split",1,0)</f>
        <v/>
      </c>
      <c r="CP42" s="77">
        <f>IF(ISNUMBER($T42),YEAR($T42),"")</f>
        <v/>
      </c>
      <c r="CQ42" s="79">
        <f>IF(ISNUMBER($V42),$V42,IF(ISNUMBER($U42),$U42,""))</f>
        <v/>
      </c>
      <c r="CR42" s="77">
        <f>IF(ISNUMBER($CQ42),YEAR($CQ42),"")</f>
        <v/>
      </c>
      <c r="CS42" s="78">
        <f>IF(ISNUMBER($M42),MAX(0,$M42),IF(TRIM($M42&amp;"")="matured",0,""))</f>
        <v/>
      </c>
      <c r="CT42" s="78">
        <f>IF(AND(ISNUMBER($CS42),N($CS42)&lt;=mMatWindow),1,0)</f>
        <v/>
      </c>
      <c r="CU42" s="80">
        <f>IF(ISNUMBER($J42),$J42/100,"")</f>
        <v/>
      </c>
      <c r="CV42" s="81">
        <f>IF(ISNUMBER($AQ42),$AQ42,"")</f>
        <v/>
      </c>
      <c r="CW42" s="81">
        <f>IF(ISNUMBER($AR42),$AR42,"")</f>
        <v/>
      </c>
      <c r="CX42" s="82">
        <f>IF(ISNUMBER($AS42),$AS42/100,"")</f>
        <v/>
      </c>
      <c r="CY42" s="82">
        <f>IF(ISNUMBER($AT42),$AT42/100,"")</f>
        <v/>
      </c>
      <c r="CZ42" s="82">
        <f>IF(ISNUMBER($AU42),$AU42/100,"")</f>
        <v/>
      </c>
      <c r="DA42" s="82">
        <f>IF(ISNUMBER($AV42),$AV42/100,"")</f>
        <v/>
      </c>
      <c r="DB42" s="82">
        <f>IF(ISNUMBER($AW42),$AW42/100,"")</f>
        <v/>
      </c>
      <c r="DC42" s="82">
        <f>IF(ISNUMBER($AX42),$AX42/100,"")</f>
        <v/>
      </c>
      <c r="DD42" s="77">
        <f>IFERROR(VALUE(LEFT(TRIM($AO42&amp;""),4)),"")</f>
        <v/>
      </c>
      <c r="DE42" s="78">
        <f>IF(AND($BY42=1,$BX42=1,OR(fDeal="All Deals",$BU42=fDeal),OR(fEntity="All Entities",$BV42=fEntity),OR(fPType="All Property Types",$BZ42=fPType),OR(fDefeased="Include",$CJ42=0)),1,0)</f>
        <v/>
      </c>
      <c r="DF42" s="83">
        <f>$DE42*N($I42)</f>
        <v/>
      </c>
      <c r="DG42" s="78">
        <f>IF($DE42=1,IF(COUNTIFS($F$8:$F42,$F42,$DE$8:$DE42,1)=1,1,0),0)</f>
        <v/>
      </c>
      <c r="DH42" s="83">
        <f>IF($DG42=1,SUMIFS($DF$8:$DF$1600,$F$8:$F$1600,$F42),0)</f>
        <v/>
      </c>
      <c r="DI42" s="78">
        <f>IF($DG42=1,COUNTIFS($F$8:$F$1600,$F42,$DE$8:$DE$1600,1),0)</f>
        <v/>
      </c>
      <c r="DJ42" s="84">
        <f>IF($DG42=1,$DH42+(100000-ROW())/mTieBreak,0)</f>
        <v/>
      </c>
    </row>
    <row r="43">
      <c r="B43" s="68" t="n">
        <v>36</v>
      </c>
      <c r="C43" s="69" t="inlineStr">
        <is>
          <t>UBS17C02</t>
        </is>
      </c>
      <c r="D43" s="69" t="inlineStr">
        <is>
          <t>36.000</t>
        </is>
      </c>
      <c r="E43" s="69" t="inlineStr">
        <is>
          <t>Holiday Inn Express Jacksonville Beach</t>
        </is>
      </c>
      <c r="F43" s="69" t="inlineStr">
        <is>
          <t>LNUBS17C02-36.000</t>
        </is>
      </c>
      <c r="G43" s="70" t="n"/>
      <c r="H43" s="71" t="n">
        <v>7700000</v>
      </c>
      <c r="I43" s="71" t="n">
        <v>5934151.619996601</v>
      </c>
      <c r="J43" s="72" t="n">
        <v>4.7702</v>
      </c>
      <c r="K43" s="69" t="inlineStr">
        <is>
          <t>Fixed rate</t>
        </is>
      </c>
      <c r="L43" s="68" t="n">
        <v>120</v>
      </c>
      <c r="M43" s="68" t="n">
        <v>11</v>
      </c>
      <c r="N43" s="68" t="n">
        <v>300</v>
      </c>
      <c r="O43" s="68" t="n"/>
      <c r="P43" s="68" t="n"/>
      <c r="Q43" s="68" t="n">
        <v>109</v>
      </c>
      <c r="R43" s="69" t="n"/>
      <c r="S43" s="69" t="inlineStr">
        <is>
          <t>No</t>
        </is>
      </c>
      <c r="T43" s="73" t="n">
        <v>42948</v>
      </c>
      <c r="U43" s="73" t="n">
        <v>46605</v>
      </c>
      <c r="V43" s="73" t="n"/>
      <c r="W43" s="69" t="n"/>
      <c r="X43" s="69" t="inlineStr">
        <is>
          <t>Current</t>
        </is>
      </c>
      <c r="Y43" s="68" t="n"/>
      <c r="Z43" s="69" t="inlineStr">
        <is>
          <t>Defeasance Not Allowable</t>
        </is>
      </c>
      <c r="AA43" s="69" t="inlineStr">
        <is>
          <t>Yes</t>
        </is>
      </c>
      <c r="AB43" s="69" t="inlineStr">
        <is>
          <t>Never special serv</t>
        </is>
      </c>
      <c r="AC43" s="73" t="n"/>
      <c r="AD43" s="69" t="n"/>
      <c r="AE43" s="69" t="n"/>
      <c r="AF43" s="69" t="inlineStr">
        <is>
          <t>FL</t>
        </is>
      </c>
      <c r="AG43" s="69" t="inlineStr">
        <is>
          <t>Jacksonville Beach</t>
        </is>
      </c>
      <c r="AH43" s="69" t="inlineStr">
        <is>
          <t>Jacksonville, FL</t>
        </is>
      </c>
      <c r="AI43" s="69" t="inlineStr">
        <is>
          <t>South / Atlantic</t>
        </is>
      </c>
      <c r="AJ43" s="69" t="inlineStr">
        <is>
          <t>HT</t>
        </is>
      </c>
      <c r="AK43" s="69" t="inlineStr">
        <is>
          <t>Limited Service</t>
        </is>
      </c>
      <c r="AL43" s="68" t="n">
        <v>1</v>
      </c>
      <c r="AM43" s="68" t="n">
        <v>82</v>
      </c>
      <c r="AN43" s="68" t="n"/>
      <c r="AO43" s="69" t="inlineStr">
        <is>
          <t>2008</t>
        </is>
      </c>
      <c r="AP43" s="70" t="n">
        <v>2008</v>
      </c>
      <c r="AQ43" s="74" t="n">
        <v>2.08</v>
      </c>
      <c r="AR43" s="74" t="n">
        <v>1.62</v>
      </c>
      <c r="AS43" s="74" t="n">
        <v>63.6</v>
      </c>
      <c r="AT43" s="74" t="n">
        <v>49.04</v>
      </c>
      <c r="AU43" s="74" t="n">
        <v>47.2</v>
      </c>
      <c r="AV43" s="74" t="n">
        <v>14.270493506</v>
      </c>
      <c r="AW43" s="74" t="n">
        <v>11.343553605</v>
      </c>
      <c r="AX43" s="75" t="n">
        <v>87</v>
      </c>
      <c r="AY43" s="71" t="n">
        <v>12100000</v>
      </c>
      <c r="AZ43" s="71" t="n">
        <v>12100000</v>
      </c>
      <c r="BA43" s="71" t="n">
        <v>1098828</v>
      </c>
      <c r="BB43" s="71" t="n">
        <v>213409.03</v>
      </c>
      <c r="BC43" s="69" t="inlineStr">
        <is>
          <t>Refinance</t>
        </is>
      </c>
      <c r="BD43" s="69" t="inlineStr">
        <is>
          <t>N</t>
        </is>
      </c>
      <c r="BE43" s="71" t="n"/>
      <c r="BF43" s="71" t="n"/>
      <c r="BG43" s="71" t="n"/>
      <c r="BH43" s="71" t="n">
        <v>0</v>
      </c>
      <c r="BI43" s="71" t="n">
        <v>0</v>
      </c>
      <c r="BJ43" s="69" t="inlineStr">
        <is>
          <t>N</t>
        </is>
      </c>
      <c r="BK43" s="69" t="n"/>
      <c r="BL43" s="75" t="n"/>
      <c r="BM43" s="73" t="n"/>
      <c r="BN43" s="69" t="inlineStr">
        <is>
          <t>Nilesh Patel; Prahlad Patel</t>
        </is>
      </c>
      <c r="BO43" s="69" t="inlineStr">
        <is>
          <t>UBS</t>
        </is>
      </c>
      <c r="BP43" s="69" t="inlineStr">
        <is>
          <t>Midland Loan Services</t>
        </is>
      </c>
      <c r="BQ43" s="69" t="inlineStr">
        <is>
          <t>Midland Loan Services</t>
        </is>
      </c>
      <c r="BR43" s="69" t="n"/>
      <c r="BS43" s="73" t="n">
        <v>46276</v>
      </c>
      <c r="BU43" s="76">
        <f>IF($C43="","",IFERROR(INDEX(dmName,MATCH($C43,dmID,0)),"Unmapped"))</f>
        <v/>
      </c>
      <c r="BV43" s="76">
        <f>IF($C43="","",IFERROR(INDEX(dmEntity,MATCH($C43,dmID,0)),"Unmapped"))</f>
        <v/>
      </c>
      <c r="BW43" s="77">
        <f>IF($C43="","",IFERROR(INDEX(dmVintage,MATCH($C43,dmID,0)),""))</f>
        <v/>
      </c>
      <c r="BX43" s="78">
        <f>IFERROR(INDEX(dmInclude,MATCH($C43,dmID,0)),0)</f>
        <v/>
      </c>
      <c r="BY43" s="78">
        <f>IF(N($I43)&gt;0,1,0)</f>
        <v/>
      </c>
      <c r="BZ43" s="76">
        <f>IF($AJ43="","Other / Leased Fee",IFERROR(INDEX(mapPTGroup,MATCH(LEFT(TRIM($AJ43),2),mapPTCode,0)),"Other / Leased Fee"))</f>
        <v/>
      </c>
      <c r="CA43" s="76">
        <f>IF(TRIM($AF43&amp;"")="","NR",LEFT(TRIM($AF43),2))</f>
        <v/>
      </c>
      <c r="CB43" s="76">
        <f>IFERROR(LOOKUP(2,1/(LEFT(TRIM($AI43&amp;""),LEN(mapRegion))=mapRegion),mapRegion),"Not Reported")</f>
        <v/>
      </c>
      <c r="CC43" s="76">
        <f>IF($BY43=0,"",IF(TRIM($W43&amp;"")="REO","REO",IF(TRIM($W43&amp;"")="FC","Foreclosure",IF(TRIM($W43&amp;"")="90+","90+ Days Delinquent",IF(TRIM($W43&amp;"")="60","60 Days Delinquent",IF(TRIM($W43&amp;"")="30","30 Days Delinquent",IF($X43="Non-Performing Matured Balloon","Non-Performing Matured Balloon",IF(OR($X43="Late Payment But Less Than 30 Days Delinquent",LEFT($X43&amp;"",20)="Payment Not Received"),"Late / In Grace (&lt;30 Days)",IF($X43="Performing Matured Balloon","Performing Matured Balloon","Current")))))))))</f>
        <v/>
      </c>
      <c r="CD43" s="78">
        <f>IF(OR($CC43="REO",$CC43="Foreclosure",$CC43="90+ Days Delinquent",$CC43="60 Days Delinquent",$CC43="30 Days Delinquent",$CC43="Non-Performing Matured Balloon"),1,0)</f>
        <v/>
      </c>
      <c r="CE43" s="76">
        <f>IF($AB43="Currently special serv","Currently Specially Serviced",IF($AB43="Returned to master serv","Previously Specially Serviced","Never Specially Serviced"))</f>
        <v/>
      </c>
      <c r="CF43" s="78">
        <f>IF($CE43="Currently Specially Serviced",1,0)</f>
        <v/>
      </c>
      <c r="CG43" s="76">
        <f>IF($AA43="Yes","Currently on Watchlist",IF($AA43="Previously","Previously on Watchlist","Never on Watchlist"))</f>
        <v/>
      </c>
      <c r="CH43" s="78">
        <f>IF($CG43="Currently on Watchlist",1,0)</f>
        <v/>
      </c>
      <c r="CI43" s="76">
        <f>IF($Z43="Full Defeasance","Fully Defeased",IF($Z43="Portion Of Loan Previously Defeased","Partially Defeased",IF($Z43="Defeasance Not Allowable","Not Defeased (Not Permitted)","Not Defeased")))</f>
        <v/>
      </c>
      <c r="CJ43" s="78">
        <f>IF($CI43="Fully Defeased",1,0)</f>
        <v/>
      </c>
      <c r="CK43" s="76">
        <f>IF($R43="IO","Full IO",IF(LEFT($R43&amp;"",7)="IO then","Partial IO","Amortizing"))</f>
        <v/>
      </c>
      <c r="CL43" s="78">
        <f>IF($CK43="Full IO",1,0)</f>
        <v/>
      </c>
      <c r="CM43" s="78">
        <f>IF($CK43="Partial IO",1,0)</f>
        <v/>
      </c>
      <c r="CN43" s="76">
        <f>IF(LEFT($F43&amp;"",10)="SPLIT_LOAN","Pari Passu Split","Standalone")</f>
        <v/>
      </c>
      <c r="CO43" s="78">
        <f>IF($CN43="Pari Passu Split",1,0)</f>
        <v/>
      </c>
      <c r="CP43" s="77">
        <f>IF(ISNUMBER($T43),YEAR($T43),"")</f>
        <v/>
      </c>
      <c r="CQ43" s="79">
        <f>IF(ISNUMBER($V43),$V43,IF(ISNUMBER($U43),$U43,""))</f>
        <v/>
      </c>
      <c r="CR43" s="77">
        <f>IF(ISNUMBER($CQ43),YEAR($CQ43),"")</f>
        <v/>
      </c>
      <c r="CS43" s="78">
        <f>IF(ISNUMBER($M43),MAX(0,$M43),IF(TRIM($M43&amp;"")="matured",0,""))</f>
        <v/>
      </c>
      <c r="CT43" s="78">
        <f>IF(AND(ISNUMBER($CS43),N($CS43)&lt;=mMatWindow),1,0)</f>
        <v/>
      </c>
      <c r="CU43" s="80">
        <f>IF(ISNUMBER($J43),$J43/100,"")</f>
        <v/>
      </c>
      <c r="CV43" s="81">
        <f>IF(ISNUMBER($AQ43),$AQ43,"")</f>
        <v/>
      </c>
      <c r="CW43" s="81">
        <f>IF(ISNUMBER($AR43),$AR43,"")</f>
        <v/>
      </c>
      <c r="CX43" s="82">
        <f>IF(ISNUMBER($AS43),$AS43/100,"")</f>
        <v/>
      </c>
      <c r="CY43" s="82">
        <f>IF(ISNUMBER($AT43),$AT43/100,"")</f>
        <v/>
      </c>
      <c r="CZ43" s="82">
        <f>IF(ISNUMBER($AU43),$AU43/100,"")</f>
        <v/>
      </c>
      <c r="DA43" s="82">
        <f>IF(ISNUMBER($AV43),$AV43/100,"")</f>
        <v/>
      </c>
      <c r="DB43" s="82">
        <f>IF(ISNUMBER($AW43),$AW43/100,"")</f>
        <v/>
      </c>
      <c r="DC43" s="82">
        <f>IF(ISNUMBER($AX43),$AX43/100,"")</f>
        <v/>
      </c>
      <c r="DD43" s="77">
        <f>IFERROR(VALUE(LEFT(TRIM($AO43&amp;""),4)),"")</f>
        <v/>
      </c>
      <c r="DE43" s="78">
        <f>IF(AND($BY43=1,$BX43=1,OR(fDeal="All Deals",$BU43=fDeal),OR(fEntity="All Entities",$BV43=fEntity),OR(fPType="All Property Types",$BZ43=fPType),OR(fDefeased="Include",$CJ43=0)),1,0)</f>
        <v/>
      </c>
      <c r="DF43" s="83">
        <f>$DE43*N($I43)</f>
        <v/>
      </c>
      <c r="DG43" s="78">
        <f>IF($DE43=1,IF(COUNTIFS($F$8:$F43,$F43,$DE$8:$DE43,1)=1,1,0),0)</f>
        <v/>
      </c>
      <c r="DH43" s="83">
        <f>IF($DG43=1,SUMIFS($DF$8:$DF$1600,$F$8:$F$1600,$F43),0)</f>
        <v/>
      </c>
      <c r="DI43" s="78">
        <f>IF($DG43=1,COUNTIFS($F$8:$F$1600,$F43,$DE$8:$DE$1600,1),0)</f>
        <v/>
      </c>
      <c r="DJ43" s="84">
        <f>IF($DG43=1,$DH43+(100000-ROW())/mTieBreak,0)</f>
        <v/>
      </c>
    </row>
    <row r="44">
      <c r="B44" s="68" t="n">
        <v>37</v>
      </c>
      <c r="C44" s="69" t="inlineStr">
        <is>
          <t>UBS17C02</t>
        </is>
      </c>
      <c r="D44" s="69" t="inlineStr">
        <is>
          <t>37.000</t>
        </is>
      </c>
      <c r="E44" s="69" t="inlineStr">
        <is>
          <t>Hilltop Village Apartments</t>
        </is>
      </c>
      <c r="F44" s="69" t="inlineStr">
        <is>
          <t>LNUBS17C02-37.000</t>
        </is>
      </c>
      <c r="G44" s="70" t="n"/>
      <c r="H44" s="71" t="n">
        <v>7500000</v>
      </c>
      <c r="I44" s="71" t="n">
        <v>6318734.94</v>
      </c>
      <c r="J44" s="72" t="n">
        <v>5</v>
      </c>
      <c r="K44" s="69" t="inlineStr">
        <is>
          <t>Fixed rate</t>
        </is>
      </c>
      <c r="L44" s="68" t="n">
        <v>120</v>
      </c>
      <c r="M44" s="68" t="n">
        <v>11</v>
      </c>
      <c r="N44" s="68" t="n">
        <v>360</v>
      </c>
      <c r="O44" s="68" t="n"/>
      <c r="P44" s="68" t="n"/>
      <c r="Q44" s="68" t="n">
        <v>109</v>
      </c>
      <c r="R44" s="69" t="n"/>
      <c r="S44" s="69" t="inlineStr">
        <is>
          <t>No</t>
        </is>
      </c>
      <c r="T44" s="73" t="n">
        <v>42948</v>
      </c>
      <c r="U44" s="73" t="n">
        <v>46605</v>
      </c>
      <c r="V44" s="73" t="n"/>
      <c r="W44" s="69" t="n"/>
      <c r="X44" s="69" t="inlineStr">
        <is>
          <t>Current</t>
        </is>
      </c>
      <c r="Y44" s="68" t="n"/>
      <c r="Z44" s="69" t="inlineStr">
        <is>
          <t>Full Defeasance</t>
        </is>
      </c>
      <c r="AA44" s="69" t="inlineStr">
        <is>
          <t>Yes</t>
        </is>
      </c>
      <c r="AB44" s="69" t="inlineStr">
        <is>
          <t>Never special serv</t>
        </is>
      </c>
      <c r="AC44" s="73" t="n"/>
      <c r="AD44" s="69" t="n"/>
      <c r="AE44" s="69" t="n"/>
      <c r="AF44" s="69" t="inlineStr">
        <is>
          <t>TX</t>
        </is>
      </c>
      <c r="AG44" s="69" t="inlineStr">
        <is>
          <t>Sherman</t>
        </is>
      </c>
      <c r="AH44" s="69" t="inlineStr">
        <is>
          <t>Sherman-Denison, TX</t>
        </is>
      </c>
      <c r="AI44" s="69" t="inlineStr">
        <is>
          <t>South / Central West</t>
        </is>
      </c>
      <c r="AJ44" s="69" t="inlineStr">
        <is>
          <t>MF</t>
        </is>
      </c>
      <c r="AK44" s="69" t="inlineStr">
        <is>
          <t>Garden</t>
        </is>
      </c>
      <c r="AL44" s="68" t="n">
        <v>1</v>
      </c>
      <c r="AM44" s="68" t="n">
        <v>248</v>
      </c>
      <c r="AN44" s="68" t="n"/>
      <c r="AO44" s="69" t="inlineStr">
        <is>
          <t>1970</t>
        </is>
      </c>
      <c r="AP44" s="70" t="n">
        <v>1970</v>
      </c>
      <c r="AQ44" s="74" t="n">
        <v>1.54</v>
      </c>
      <c r="AR44" s="74" t="n">
        <v>1.05</v>
      </c>
      <c r="AS44" s="74" t="n">
        <v>58.8</v>
      </c>
      <c r="AT44" s="74" t="n">
        <v>49.56</v>
      </c>
      <c r="AU44" s="74" t="n">
        <v>48.4</v>
      </c>
      <c r="AV44" s="74" t="n">
        <v>9.901933333000001</v>
      </c>
      <c r="AW44" s="74" t="n">
        <v>8.802195934</v>
      </c>
      <c r="AX44" s="75" t="n">
        <v>81</v>
      </c>
      <c r="AY44" s="71" t="n">
        <v>12750000</v>
      </c>
      <c r="AZ44" s="71" t="n">
        <v>12750000</v>
      </c>
      <c r="BA44" s="71" t="n">
        <v>742645</v>
      </c>
      <c r="BB44" s="71" t="n">
        <v>127105.86</v>
      </c>
      <c r="BC44" s="69" t="inlineStr">
        <is>
          <t>Refinance</t>
        </is>
      </c>
      <c r="BD44" s="69" t="inlineStr">
        <is>
          <t>N</t>
        </is>
      </c>
      <c r="BE44" s="71" t="n"/>
      <c r="BF44" s="71" t="n"/>
      <c r="BG44" s="71" t="n"/>
      <c r="BH44" s="71" t="n">
        <v>0</v>
      </c>
      <c r="BI44" s="71" t="n">
        <v>0</v>
      </c>
      <c r="BJ44" s="69" t="inlineStr">
        <is>
          <t>N</t>
        </is>
      </c>
      <c r="BK44" s="69" t="n"/>
      <c r="BL44" s="75" t="n"/>
      <c r="BM44" s="73" t="n"/>
      <c r="BN44" s="69" t="inlineStr">
        <is>
          <t>Chaim Puretz</t>
        </is>
      </c>
      <c r="BO44" s="69" t="inlineStr">
        <is>
          <t>UBS</t>
        </is>
      </c>
      <c r="BP44" s="69" t="inlineStr">
        <is>
          <t>Midland Loan Services</t>
        </is>
      </c>
      <c r="BQ44" s="69" t="inlineStr">
        <is>
          <t>Midland Loan Services</t>
        </is>
      </c>
      <c r="BR44" s="69" t="n"/>
      <c r="BS44" s="73" t="n">
        <v>46276</v>
      </c>
      <c r="BU44" s="76">
        <f>IF($C44="","",IFERROR(INDEX(dmName,MATCH($C44,dmID,0)),"Unmapped"))</f>
        <v/>
      </c>
      <c r="BV44" s="76">
        <f>IF($C44="","",IFERROR(INDEX(dmEntity,MATCH($C44,dmID,0)),"Unmapped"))</f>
        <v/>
      </c>
      <c r="BW44" s="77">
        <f>IF($C44="","",IFERROR(INDEX(dmVintage,MATCH($C44,dmID,0)),""))</f>
        <v/>
      </c>
      <c r="BX44" s="78">
        <f>IFERROR(INDEX(dmInclude,MATCH($C44,dmID,0)),0)</f>
        <v/>
      </c>
      <c r="BY44" s="78">
        <f>IF(N($I44)&gt;0,1,0)</f>
        <v/>
      </c>
      <c r="BZ44" s="76">
        <f>IF($AJ44="","Other / Leased Fee",IFERROR(INDEX(mapPTGroup,MATCH(LEFT(TRIM($AJ44),2),mapPTCode,0)),"Other / Leased Fee"))</f>
        <v/>
      </c>
      <c r="CA44" s="76">
        <f>IF(TRIM($AF44&amp;"")="","NR",LEFT(TRIM($AF44),2))</f>
        <v/>
      </c>
      <c r="CB44" s="76">
        <f>IFERROR(LOOKUP(2,1/(LEFT(TRIM($AI44&amp;""),LEN(mapRegion))=mapRegion),mapRegion),"Not Reported")</f>
        <v/>
      </c>
      <c r="CC44" s="76">
        <f>IF($BY44=0,"",IF(TRIM($W44&amp;"")="REO","REO",IF(TRIM($W44&amp;"")="FC","Foreclosure",IF(TRIM($W44&amp;"")="90+","90+ Days Delinquent",IF(TRIM($W44&amp;"")="60","60 Days Delinquent",IF(TRIM($W44&amp;"")="30","30 Days Delinquent",IF($X44="Non-Performing Matured Balloon","Non-Performing Matured Balloon",IF(OR($X44="Late Payment But Less Than 30 Days Delinquent",LEFT($X44&amp;"",20)="Payment Not Received"),"Late / In Grace (&lt;30 Days)",IF($X44="Performing Matured Balloon","Performing Matured Balloon","Current")))))))))</f>
        <v/>
      </c>
      <c r="CD44" s="78">
        <f>IF(OR($CC44="REO",$CC44="Foreclosure",$CC44="90+ Days Delinquent",$CC44="60 Days Delinquent",$CC44="30 Days Delinquent",$CC44="Non-Performing Matured Balloon"),1,0)</f>
        <v/>
      </c>
      <c r="CE44" s="76">
        <f>IF($AB44="Currently special serv","Currently Specially Serviced",IF($AB44="Returned to master serv","Previously Specially Serviced","Never Specially Serviced"))</f>
        <v/>
      </c>
      <c r="CF44" s="78">
        <f>IF($CE44="Currently Specially Serviced",1,0)</f>
        <v/>
      </c>
      <c r="CG44" s="76">
        <f>IF($AA44="Yes","Currently on Watchlist",IF($AA44="Previously","Previously on Watchlist","Never on Watchlist"))</f>
        <v/>
      </c>
      <c r="CH44" s="78">
        <f>IF($CG44="Currently on Watchlist",1,0)</f>
        <v/>
      </c>
      <c r="CI44" s="76">
        <f>IF($Z44="Full Defeasance","Fully Defeased",IF($Z44="Portion Of Loan Previously Defeased","Partially Defeased",IF($Z44="Defeasance Not Allowable","Not Defeased (Not Permitted)","Not Defeased")))</f>
        <v/>
      </c>
      <c r="CJ44" s="78">
        <f>IF($CI44="Fully Defeased",1,0)</f>
        <v/>
      </c>
      <c r="CK44" s="76">
        <f>IF($R44="IO","Full IO",IF(LEFT($R44&amp;"",7)="IO then","Partial IO","Amortizing"))</f>
        <v/>
      </c>
      <c r="CL44" s="78">
        <f>IF($CK44="Full IO",1,0)</f>
        <v/>
      </c>
      <c r="CM44" s="78">
        <f>IF($CK44="Partial IO",1,0)</f>
        <v/>
      </c>
      <c r="CN44" s="76">
        <f>IF(LEFT($F44&amp;"",10)="SPLIT_LOAN","Pari Passu Split","Standalone")</f>
        <v/>
      </c>
      <c r="CO44" s="78">
        <f>IF($CN44="Pari Passu Split",1,0)</f>
        <v/>
      </c>
      <c r="CP44" s="77">
        <f>IF(ISNUMBER($T44),YEAR($T44),"")</f>
        <v/>
      </c>
      <c r="CQ44" s="79">
        <f>IF(ISNUMBER($V44),$V44,IF(ISNUMBER($U44),$U44,""))</f>
        <v/>
      </c>
      <c r="CR44" s="77">
        <f>IF(ISNUMBER($CQ44),YEAR($CQ44),"")</f>
        <v/>
      </c>
      <c r="CS44" s="78">
        <f>IF(ISNUMBER($M44),MAX(0,$M44),IF(TRIM($M44&amp;"")="matured",0,""))</f>
        <v/>
      </c>
      <c r="CT44" s="78">
        <f>IF(AND(ISNUMBER($CS44),N($CS44)&lt;=mMatWindow),1,0)</f>
        <v/>
      </c>
      <c r="CU44" s="80">
        <f>IF(ISNUMBER($J44),$J44/100,"")</f>
        <v/>
      </c>
      <c r="CV44" s="81">
        <f>IF(ISNUMBER($AQ44),$AQ44,"")</f>
        <v/>
      </c>
      <c r="CW44" s="81">
        <f>IF(ISNUMBER($AR44),$AR44,"")</f>
        <v/>
      </c>
      <c r="CX44" s="82">
        <f>IF(ISNUMBER($AS44),$AS44/100,"")</f>
        <v/>
      </c>
      <c r="CY44" s="82">
        <f>IF(ISNUMBER($AT44),$AT44/100,"")</f>
        <v/>
      </c>
      <c r="CZ44" s="82">
        <f>IF(ISNUMBER($AU44),$AU44/100,"")</f>
        <v/>
      </c>
      <c r="DA44" s="82">
        <f>IF(ISNUMBER($AV44),$AV44/100,"")</f>
        <v/>
      </c>
      <c r="DB44" s="82">
        <f>IF(ISNUMBER($AW44),$AW44/100,"")</f>
        <v/>
      </c>
      <c r="DC44" s="82">
        <f>IF(ISNUMBER($AX44),$AX44/100,"")</f>
        <v/>
      </c>
      <c r="DD44" s="77">
        <f>IFERROR(VALUE(LEFT(TRIM($AO44&amp;""),4)),"")</f>
        <v/>
      </c>
      <c r="DE44" s="78">
        <f>IF(AND($BY44=1,$BX44=1,OR(fDeal="All Deals",$BU44=fDeal),OR(fEntity="All Entities",$BV44=fEntity),OR(fPType="All Property Types",$BZ44=fPType),OR(fDefeased="Include",$CJ44=0)),1,0)</f>
        <v/>
      </c>
      <c r="DF44" s="83">
        <f>$DE44*N($I44)</f>
        <v/>
      </c>
      <c r="DG44" s="78">
        <f>IF($DE44=1,IF(COUNTIFS($F$8:$F44,$F44,$DE$8:$DE44,1)=1,1,0),0)</f>
        <v/>
      </c>
      <c r="DH44" s="83">
        <f>IF($DG44=1,SUMIFS($DF$8:$DF$1600,$F$8:$F$1600,$F44),0)</f>
        <v/>
      </c>
      <c r="DI44" s="78">
        <f>IF($DG44=1,COUNTIFS($F$8:$F$1600,$F44,$DE$8:$DE$1600,1),0)</f>
        <v/>
      </c>
      <c r="DJ44" s="84">
        <f>IF($DG44=1,$DH44+(100000-ROW())/mTieBreak,0)</f>
        <v/>
      </c>
    </row>
    <row r="45">
      <c r="B45" s="68" t="n">
        <v>38</v>
      </c>
      <c r="C45" s="69" t="inlineStr">
        <is>
          <t>UBS17C02</t>
        </is>
      </c>
      <c r="D45" s="69" t="inlineStr">
        <is>
          <t>38.000</t>
        </is>
      </c>
      <c r="E45" s="69" t="inlineStr">
        <is>
          <t>Quality Suites Buckhead</t>
        </is>
      </c>
      <c r="F45" s="69" t="inlineStr">
        <is>
          <t>LNUBS17C02-38.000</t>
        </is>
      </c>
      <c r="G45" s="70" t="n"/>
      <c r="H45" s="71" t="n">
        <v>7250000</v>
      </c>
      <c r="I45" s="71" t="n">
        <v>5728856.520000749</v>
      </c>
      <c r="J45" s="72" t="n">
        <v>5.639</v>
      </c>
      <c r="K45" s="69" t="inlineStr">
        <is>
          <t>Fixed rate</t>
        </is>
      </c>
      <c r="L45" s="68" t="n">
        <v>120</v>
      </c>
      <c r="M45" s="68" t="n">
        <v>10</v>
      </c>
      <c r="N45" s="68" t="n">
        <v>300</v>
      </c>
      <c r="O45" s="68" t="n"/>
      <c r="P45" s="68" t="n"/>
      <c r="Q45" s="68" t="n">
        <v>110</v>
      </c>
      <c r="R45" s="69" t="n"/>
      <c r="S45" s="69" t="inlineStr">
        <is>
          <t>No</t>
        </is>
      </c>
      <c r="T45" s="73" t="n">
        <v>42917</v>
      </c>
      <c r="U45" s="73" t="n">
        <v>46574</v>
      </c>
      <c r="V45" s="73" t="n"/>
      <c r="W45" s="69" t="n"/>
      <c r="X45" s="69" t="inlineStr">
        <is>
          <t>Current</t>
        </is>
      </c>
      <c r="Y45" s="68" t="n"/>
      <c r="Z45" s="69" t="inlineStr">
        <is>
          <t>Full Defeasance</t>
        </is>
      </c>
      <c r="AA45" s="69" t="inlineStr">
        <is>
          <t>Previously</t>
        </is>
      </c>
      <c r="AB45" s="69" t="inlineStr">
        <is>
          <t>Never special serv</t>
        </is>
      </c>
      <c r="AC45" s="73" t="n"/>
      <c r="AD45" s="69" t="n"/>
      <c r="AE45" s="69" t="n"/>
      <c r="AF45" s="69" t="inlineStr">
        <is>
          <t>GA</t>
        </is>
      </c>
      <c r="AG45" s="69" t="inlineStr">
        <is>
          <t>Atlanta</t>
        </is>
      </c>
      <c r="AH45" s="69" t="inlineStr">
        <is>
          <t>Atlanta-Sandy Springs-Roswell, GA</t>
        </is>
      </c>
      <c r="AI45" s="69" t="inlineStr">
        <is>
          <t>South / Atlantic</t>
        </is>
      </c>
      <c r="AJ45" s="69" t="inlineStr">
        <is>
          <t>HT</t>
        </is>
      </c>
      <c r="AK45" s="69" t="inlineStr">
        <is>
          <t>Limited Service</t>
        </is>
      </c>
      <c r="AL45" s="68" t="n">
        <v>1</v>
      </c>
      <c r="AM45" s="68" t="n">
        <v>88</v>
      </c>
      <c r="AN45" s="68" t="n"/>
      <c r="AO45" s="69" t="inlineStr">
        <is>
          <t>1990</t>
        </is>
      </c>
      <c r="AP45" s="70" t="n">
        <v>2015</v>
      </c>
      <c r="AQ45" s="74" t="n">
        <v>1.81</v>
      </c>
      <c r="AR45" s="74" t="n">
        <v>1.34</v>
      </c>
      <c r="AS45" s="74" t="n">
        <v>63</v>
      </c>
      <c r="AT45" s="74" t="n">
        <v>49.82</v>
      </c>
      <c r="AU45" s="74" t="n">
        <v>48.2</v>
      </c>
      <c r="AV45" s="74" t="n">
        <v>13.539172414</v>
      </c>
      <c r="AW45" s="74" t="n">
        <v>7.784862449</v>
      </c>
      <c r="AX45" s="75" t="n">
        <v>85</v>
      </c>
      <c r="AY45" s="71" t="n">
        <v>11500000</v>
      </c>
      <c r="AZ45" s="71" t="n">
        <v>11500000</v>
      </c>
      <c r="BA45" s="71" t="n">
        <v>981590</v>
      </c>
      <c r="BB45" s="71" t="n">
        <v>724460.16</v>
      </c>
      <c r="BC45" s="69" t="inlineStr">
        <is>
          <t>Refinance</t>
        </is>
      </c>
      <c r="BD45" s="69" t="inlineStr">
        <is>
          <t>N</t>
        </is>
      </c>
      <c r="BE45" s="71" t="n"/>
      <c r="BF45" s="71" t="n"/>
      <c r="BG45" s="71" t="n"/>
      <c r="BH45" s="71" t="n">
        <v>0</v>
      </c>
      <c r="BI45" s="71" t="n">
        <v>0</v>
      </c>
      <c r="BJ45" s="69" t="inlineStr">
        <is>
          <t>N</t>
        </is>
      </c>
      <c r="BK45" s="69" t="n"/>
      <c r="BL45" s="75" t="n"/>
      <c r="BM45" s="73" t="n"/>
      <c r="BN45" s="69" t="inlineStr">
        <is>
          <t>Sheila Dixit</t>
        </is>
      </c>
      <c r="BO45" s="69" t="inlineStr">
        <is>
          <t>UBS</t>
        </is>
      </c>
      <c r="BP45" s="69" t="inlineStr">
        <is>
          <t>Midland Loan Services</t>
        </is>
      </c>
      <c r="BQ45" s="69" t="inlineStr">
        <is>
          <t>Midland Loan Services</t>
        </is>
      </c>
      <c r="BR45" s="69" t="n"/>
      <c r="BS45" s="73" t="n">
        <v>46276</v>
      </c>
      <c r="BU45" s="76">
        <f>IF($C45="","",IFERROR(INDEX(dmName,MATCH($C45,dmID,0)),"Unmapped"))</f>
        <v/>
      </c>
      <c r="BV45" s="76">
        <f>IF($C45="","",IFERROR(INDEX(dmEntity,MATCH($C45,dmID,0)),"Unmapped"))</f>
        <v/>
      </c>
      <c r="BW45" s="77">
        <f>IF($C45="","",IFERROR(INDEX(dmVintage,MATCH($C45,dmID,0)),""))</f>
        <v/>
      </c>
      <c r="BX45" s="78">
        <f>IFERROR(INDEX(dmInclude,MATCH($C45,dmID,0)),0)</f>
        <v/>
      </c>
      <c r="BY45" s="78">
        <f>IF(N($I45)&gt;0,1,0)</f>
        <v/>
      </c>
      <c r="BZ45" s="76">
        <f>IF($AJ45="","Other / Leased Fee",IFERROR(INDEX(mapPTGroup,MATCH(LEFT(TRIM($AJ45),2),mapPTCode,0)),"Other / Leased Fee"))</f>
        <v/>
      </c>
      <c r="CA45" s="76">
        <f>IF(TRIM($AF45&amp;"")="","NR",LEFT(TRIM($AF45),2))</f>
        <v/>
      </c>
      <c r="CB45" s="76">
        <f>IFERROR(LOOKUP(2,1/(LEFT(TRIM($AI45&amp;""),LEN(mapRegion))=mapRegion),mapRegion),"Not Reported")</f>
        <v/>
      </c>
      <c r="CC45" s="76">
        <f>IF($BY45=0,"",IF(TRIM($W45&amp;"")="REO","REO",IF(TRIM($W45&amp;"")="FC","Foreclosure",IF(TRIM($W45&amp;"")="90+","90+ Days Delinquent",IF(TRIM($W45&amp;"")="60","60 Days Delinquent",IF(TRIM($W45&amp;"")="30","30 Days Delinquent",IF($X45="Non-Performing Matured Balloon","Non-Performing Matured Balloon",IF(OR($X45="Late Payment But Less Than 30 Days Delinquent",LEFT($X45&amp;"",20)="Payment Not Received"),"Late / In Grace (&lt;30 Days)",IF($X45="Performing Matured Balloon","Performing Matured Balloon","Current")))))))))</f>
        <v/>
      </c>
      <c r="CD45" s="78">
        <f>IF(OR($CC45="REO",$CC45="Foreclosure",$CC45="90+ Days Delinquent",$CC45="60 Days Delinquent",$CC45="30 Days Delinquent",$CC45="Non-Performing Matured Balloon"),1,0)</f>
        <v/>
      </c>
      <c r="CE45" s="76">
        <f>IF($AB45="Currently special serv","Currently Specially Serviced",IF($AB45="Returned to master serv","Previously Specially Serviced","Never Specially Serviced"))</f>
        <v/>
      </c>
      <c r="CF45" s="78">
        <f>IF($CE45="Currently Specially Serviced",1,0)</f>
        <v/>
      </c>
      <c r="CG45" s="76">
        <f>IF($AA45="Yes","Currently on Watchlist",IF($AA45="Previously","Previously on Watchlist","Never on Watchlist"))</f>
        <v/>
      </c>
      <c r="CH45" s="78">
        <f>IF($CG45="Currently on Watchlist",1,0)</f>
        <v/>
      </c>
      <c r="CI45" s="76">
        <f>IF($Z45="Full Defeasance","Fully Defeased",IF($Z45="Portion Of Loan Previously Defeased","Partially Defeased",IF($Z45="Defeasance Not Allowable","Not Defeased (Not Permitted)","Not Defeased")))</f>
        <v/>
      </c>
      <c r="CJ45" s="78">
        <f>IF($CI45="Fully Defeased",1,0)</f>
        <v/>
      </c>
      <c r="CK45" s="76">
        <f>IF($R45="IO","Full IO",IF(LEFT($R45&amp;"",7)="IO then","Partial IO","Amortizing"))</f>
        <v/>
      </c>
      <c r="CL45" s="78">
        <f>IF($CK45="Full IO",1,0)</f>
        <v/>
      </c>
      <c r="CM45" s="78">
        <f>IF($CK45="Partial IO",1,0)</f>
        <v/>
      </c>
      <c r="CN45" s="76">
        <f>IF(LEFT($F45&amp;"",10)="SPLIT_LOAN","Pari Passu Split","Standalone")</f>
        <v/>
      </c>
      <c r="CO45" s="78">
        <f>IF($CN45="Pari Passu Split",1,0)</f>
        <v/>
      </c>
      <c r="CP45" s="77">
        <f>IF(ISNUMBER($T45),YEAR($T45),"")</f>
        <v/>
      </c>
      <c r="CQ45" s="79">
        <f>IF(ISNUMBER($V45),$V45,IF(ISNUMBER($U45),$U45,""))</f>
        <v/>
      </c>
      <c r="CR45" s="77">
        <f>IF(ISNUMBER($CQ45),YEAR($CQ45),"")</f>
        <v/>
      </c>
      <c r="CS45" s="78">
        <f>IF(ISNUMBER($M45),MAX(0,$M45),IF(TRIM($M45&amp;"")="matured",0,""))</f>
        <v/>
      </c>
      <c r="CT45" s="78">
        <f>IF(AND(ISNUMBER($CS45),N($CS45)&lt;=mMatWindow),1,0)</f>
        <v/>
      </c>
      <c r="CU45" s="80">
        <f>IF(ISNUMBER($J45),$J45/100,"")</f>
        <v/>
      </c>
      <c r="CV45" s="81">
        <f>IF(ISNUMBER($AQ45),$AQ45,"")</f>
        <v/>
      </c>
      <c r="CW45" s="81">
        <f>IF(ISNUMBER($AR45),$AR45,"")</f>
        <v/>
      </c>
      <c r="CX45" s="82">
        <f>IF(ISNUMBER($AS45),$AS45/100,"")</f>
        <v/>
      </c>
      <c r="CY45" s="82">
        <f>IF(ISNUMBER($AT45),$AT45/100,"")</f>
        <v/>
      </c>
      <c r="CZ45" s="82">
        <f>IF(ISNUMBER($AU45),$AU45/100,"")</f>
        <v/>
      </c>
      <c r="DA45" s="82">
        <f>IF(ISNUMBER($AV45),$AV45/100,"")</f>
        <v/>
      </c>
      <c r="DB45" s="82">
        <f>IF(ISNUMBER($AW45),$AW45/100,"")</f>
        <v/>
      </c>
      <c r="DC45" s="82">
        <f>IF(ISNUMBER($AX45),$AX45/100,"")</f>
        <v/>
      </c>
      <c r="DD45" s="77">
        <f>IFERROR(VALUE(LEFT(TRIM($AO45&amp;""),4)),"")</f>
        <v/>
      </c>
      <c r="DE45" s="78">
        <f>IF(AND($BY45=1,$BX45=1,OR(fDeal="All Deals",$BU45=fDeal),OR(fEntity="All Entities",$BV45=fEntity),OR(fPType="All Property Types",$BZ45=fPType),OR(fDefeased="Include",$CJ45=0)),1,0)</f>
        <v/>
      </c>
      <c r="DF45" s="83">
        <f>$DE45*N($I45)</f>
        <v/>
      </c>
      <c r="DG45" s="78">
        <f>IF($DE45=1,IF(COUNTIFS($F$8:$F45,$F45,$DE$8:$DE45,1)=1,1,0),0)</f>
        <v/>
      </c>
      <c r="DH45" s="83">
        <f>IF($DG45=1,SUMIFS($DF$8:$DF$1600,$F$8:$F$1600,$F45),0)</f>
        <v/>
      </c>
      <c r="DI45" s="78">
        <f>IF($DG45=1,COUNTIFS($F$8:$F$1600,$F45,$DE$8:$DE$1600,1),0)</f>
        <v/>
      </c>
      <c r="DJ45" s="84">
        <f>IF($DG45=1,$DH45+(100000-ROW())/mTieBreak,0)</f>
        <v/>
      </c>
    </row>
    <row r="46">
      <c r="B46" s="68" t="n">
        <v>39</v>
      </c>
      <c r="C46" s="69" t="inlineStr">
        <is>
          <t>UBS17C02</t>
        </is>
      </c>
      <c r="D46" s="69" t="inlineStr">
        <is>
          <t>39.000</t>
        </is>
      </c>
      <c r="E46" s="69" t="inlineStr">
        <is>
          <t>Westchester Market</t>
        </is>
      </c>
      <c r="F46" s="69" t="inlineStr">
        <is>
          <t>LNUBS17C02-39.000</t>
        </is>
      </c>
      <c r="G46" s="70" t="n"/>
      <c r="H46" s="71" t="n">
        <v>7100000</v>
      </c>
      <c r="I46" s="71" t="n">
        <v>5970669.7600007</v>
      </c>
      <c r="J46" s="72" t="n">
        <v>5.005</v>
      </c>
      <c r="K46" s="69" t="inlineStr">
        <is>
          <t>Fixed rate</t>
        </is>
      </c>
      <c r="L46" s="68" t="n">
        <v>120</v>
      </c>
      <c r="M46" s="68" t="n">
        <v>10</v>
      </c>
      <c r="N46" s="68" t="n">
        <v>360</v>
      </c>
      <c r="O46" s="68" t="n"/>
      <c r="P46" s="68" t="n"/>
      <c r="Q46" s="68" t="n">
        <v>110</v>
      </c>
      <c r="R46" s="69" t="n"/>
      <c r="S46" s="69" t="inlineStr">
        <is>
          <t>No</t>
        </is>
      </c>
      <c r="T46" s="73" t="n">
        <v>42917</v>
      </c>
      <c r="U46" s="73" t="n">
        <v>46574</v>
      </c>
      <c r="V46" s="73" t="n"/>
      <c r="W46" s="69" t="n"/>
      <c r="X46" s="69" t="inlineStr">
        <is>
          <t>Current</t>
        </is>
      </c>
      <c r="Y46" s="68" t="n"/>
      <c r="Z46" s="69" t="inlineStr">
        <is>
          <t>Defeasance Not Allowable</t>
        </is>
      </c>
      <c r="AA46" s="69" t="inlineStr">
        <is>
          <t>Yes</t>
        </is>
      </c>
      <c r="AB46" s="69" t="inlineStr">
        <is>
          <t>Never special serv</t>
        </is>
      </c>
      <c r="AC46" s="73" t="n"/>
      <c r="AD46" s="69" t="n"/>
      <c r="AE46" s="69" t="n"/>
      <c r="AF46" s="69" t="inlineStr">
        <is>
          <t>TX</t>
        </is>
      </c>
      <c r="AG46" s="69" t="inlineStr">
        <is>
          <t>Grand Prairie</t>
        </is>
      </c>
      <c r="AH46" s="69" t="inlineStr">
        <is>
          <t>Dallas-Fort Worth-Arlington, TX</t>
        </is>
      </c>
      <c r="AI46" s="69" t="inlineStr">
        <is>
          <t>South / Central West</t>
        </is>
      </c>
      <c r="AJ46" s="69" t="inlineStr">
        <is>
          <t>RT</t>
        </is>
      </c>
      <c r="AK46" s="69" t="inlineStr">
        <is>
          <t>Shadow Anchored</t>
        </is>
      </c>
      <c r="AL46" s="68" t="n">
        <v>1</v>
      </c>
      <c r="AM46" s="68" t="n"/>
      <c r="AN46" s="68" t="n">
        <v>58866</v>
      </c>
      <c r="AO46" s="69" t="inlineStr">
        <is>
          <t>1989</t>
        </is>
      </c>
      <c r="AP46" s="70" t="n">
        <v>1989</v>
      </c>
      <c r="AQ46" s="74" t="n">
        <v>1.86</v>
      </c>
      <c r="AR46" s="74" t="n">
        <v>1.73</v>
      </c>
      <c r="AS46" s="74" t="n">
        <v>56.7</v>
      </c>
      <c r="AT46" s="74" t="n">
        <v>47.77</v>
      </c>
      <c r="AU46" s="74" t="n">
        <v>46.7</v>
      </c>
      <c r="AV46" s="74" t="n">
        <v>11.965464789</v>
      </c>
      <c r="AW46" s="74" t="n">
        <v>16.790448816</v>
      </c>
      <c r="AX46" s="75" t="n">
        <v>91</v>
      </c>
      <c r="AY46" s="71" t="n">
        <v>12500000</v>
      </c>
      <c r="AZ46" s="71" t="n">
        <v>12500000</v>
      </c>
      <c r="BA46" s="71" t="n">
        <v>849548</v>
      </c>
      <c r="BB46" s="71" t="n">
        <v>790107.8100000001</v>
      </c>
      <c r="BC46" s="69" t="inlineStr">
        <is>
          <t>Refinance</t>
        </is>
      </c>
      <c r="BD46" s="69" t="inlineStr">
        <is>
          <t>N</t>
        </is>
      </c>
      <c r="BE46" s="71" t="n"/>
      <c r="BF46" s="71" t="n"/>
      <c r="BG46" s="71" t="n"/>
      <c r="BH46" s="71" t="n">
        <v>0</v>
      </c>
      <c r="BI46" s="71" t="n">
        <v>0</v>
      </c>
      <c r="BJ46" s="69" t="inlineStr">
        <is>
          <t>Y</t>
        </is>
      </c>
      <c r="BK46" s="69" t="inlineStr">
        <is>
          <t>Spec's Family Partners</t>
        </is>
      </c>
      <c r="BL46" s="75" t="n">
        <v>18.07</v>
      </c>
      <c r="BM46" s="73" t="n">
        <v>48944</v>
      </c>
      <c r="BN46" s="69" t="inlineStr">
        <is>
          <t>William E. Gravlee</t>
        </is>
      </c>
      <c r="BO46" s="69" t="inlineStr">
        <is>
          <t>UBS</t>
        </is>
      </c>
      <c r="BP46" s="69" t="inlineStr">
        <is>
          <t>Midland Loan Services</t>
        </is>
      </c>
      <c r="BQ46" s="69" t="inlineStr">
        <is>
          <t>Midland Loan Services</t>
        </is>
      </c>
      <c r="BR46" s="69" t="n"/>
      <c r="BS46" s="73" t="n">
        <v>46276</v>
      </c>
      <c r="BU46" s="76">
        <f>IF($C46="","",IFERROR(INDEX(dmName,MATCH($C46,dmID,0)),"Unmapped"))</f>
        <v/>
      </c>
      <c r="BV46" s="76">
        <f>IF($C46="","",IFERROR(INDEX(dmEntity,MATCH($C46,dmID,0)),"Unmapped"))</f>
        <v/>
      </c>
      <c r="BW46" s="77">
        <f>IF($C46="","",IFERROR(INDEX(dmVintage,MATCH($C46,dmID,0)),""))</f>
        <v/>
      </c>
      <c r="BX46" s="78">
        <f>IFERROR(INDEX(dmInclude,MATCH($C46,dmID,0)),0)</f>
        <v/>
      </c>
      <c r="BY46" s="78">
        <f>IF(N($I46)&gt;0,1,0)</f>
        <v/>
      </c>
      <c r="BZ46" s="76">
        <f>IF($AJ46="","Other / Leased Fee",IFERROR(INDEX(mapPTGroup,MATCH(LEFT(TRIM($AJ46),2),mapPTCode,0)),"Other / Leased Fee"))</f>
        <v/>
      </c>
      <c r="CA46" s="76">
        <f>IF(TRIM($AF46&amp;"")="","NR",LEFT(TRIM($AF46),2))</f>
        <v/>
      </c>
      <c r="CB46" s="76">
        <f>IFERROR(LOOKUP(2,1/(LEFT(TRIM($AI46&amp;""),LEN(mapRegion))=mapRegion),mapRegion),"Not Reported")</f>
        <v/>
      </c>
      <c r="CC46" s="76">
        <f>IF($BY46=0,"",IF(TRIM($W46&amp;"")="REO","REO",IF(TRIM($W46&amp;"")="FC","Foreclosure",IF(TRIM($W46&amp;"")="90+","90+ Days Delinquent",IF(TRIM($W46&amp;"")="60","60 Days Delinquent",IF(TRIM($W46&amp;"")="30","30 Days Delinquent",IF($X46="Non-Performing Matured Balloon","Non-Performing Matured Balloon",IF(OR($X46="Late Payment But Less Than 30 Days Delinquent",LEFT($X46&amp;"",20)="Payment Not Received"),"Late / In Grace (&lt;30 Days)",IF($X46="Performing Matured Balloon","Performing Matured Balloon","Current")))))))))</f>
        <v/>
      </c>
      <c r="CD46" s="78">
        <f>IF(OR($CC46="REO",$CC46="Foreclosure",$CC46="90+ Days Delinquent",$CC46="60 Days Delinquent",$CC46="30 Days Delinquent",$CC46="Non-Performing Matured Balloon"),1,0)</f>
        <v/>
      </c>
      <c r="CE46" s="76">
        <f>IF($AB46="Currently special serv","Currently Specially Serviced",IF($AB46="Returned to master serv","Previously Specially Serviced","Never Specially Serviced"))</f>
        <v/>
      </c>
      <c r="CF46" s="78">
        <f>IF($CE46="Currently Specially Serviced",1,0)</f>
        <v/>
      </c>
      <c r="CG46" s="76">
        <f>IF($AA46="Yes","Currently on Watchlist",IF($AA46="Previously","Previously on Watchlist","Never on Watchlist"))</f>
        <v/>
      </c>
      <c r="CH46" s="78">
        <f>IF($CG46="Currently on Watchlist",1,0)</f>
        <v/>
      </c>
      <c r="CI46" s="76">
        <f>IF($Z46="Full Defeasance","Fully Defeased",IF($Z46="Portion Of Loan Previously Defeased","Partially Defeased",IF($Z46="Defeasance Not Allowable","Not Defeased (Not Permitted)","Not Defeased")))</f>
        <v/>
      </c>
      <c r="CJ46" s="78">
        <f>IF($CI46="Fully Defeased",1,0)</f>
        <v/>
      </c>
      <c r="CK46" s="76">
        <f>IF($R46="IO","Full IO",IF(LEFT($R46&amp;"",7)="IO then","Partial IO","Amortizing"))</f>
        <v/>
      </c>
      <c r="CL46" s="78">
        <f>IF($CK46="Full IO",1,0)</f>
        <v/>
      </c>
      <c r="CM46" s="78">
        <f>IF($CK46="Partial IO",1,0)</f>
        <v/>
      </c>
      <c r="CN46" s="76">
        <f>IF(LEFT($F46&amp;"",10)="SPLIT_LOAN","Pari Passu Split","Standalone")</f>
        <v/>
      </c>
      <c r="CO46" s="78">
        <f>IF($CN46="Pari Passu Split",1,0)</f>
        <v/>
      </c>
      <c r="CP46" s="77">
        <f>IF(ISNUMBER($T46),YEAR($T46),"")</f>
        <v/>
      </c>
      <c r="CQ46" s="79">
        <f>IF(ISNUMBER($V46),$V46,IF(ISNUMBER($U46),$U46,""))</f>
        <v/>
      </c>
      <c r="CR46" s="77">
        <f>IF(ISNUMBER($CQ46),YEAR($CQ46),"")</f>
        <v/>
      </c>
      <c r="CS46" s="78">
        <f>IF(ISNUMBER($M46),MAX(0,$M46),IF(TRIM($M46&amp;"")="matured",0,""))</f>
        <v/>
      </c>
      <c r="CT46" s="78">
        <f>IF(AND(ISNUMBER($CS46),N($CS46)&lt;=mMatWindow),1,0)</f>
        <v/>
      </c>
      <c r="CU46" s="80">
        <f>IF(ISNUMBER($J46),$J46/100,"")</f>
        <v/>
      </c>
      <c r="CV46" s="81">
        <f>IF(ISNUMBER($AQ46),$AQ46,"")</f>
        <v/>
      </c>
      <c r="CW46" s="81">
        <f>IF(ISNUMBER($AR46),$AR46,"")</f>
        <v/>
      </c>
      <c r="CX46" s="82">
        <f>IF(ISNUMBER($AS46),$AS46/100,"")</f>
        <v/>
      </c>
      <c r="CY46" s="82">
        <f>IF(ISNUMBER($AT46),$AT46/100,"")</f>
        <v/>
      </c>
      <c r="CZ46" s="82">
        <f>IF(ISNUMBER($AU46),$AU46/100,"")</f>
        <v/>
      </c>
      <c r="DA46" s="82">
        <f>IF(ISNUMBER($AV46),$AV46/100,"")</f>
        <v/>
      </c>
      <c r="DB46" s="82">
        <f>IF(ISNUMBER($AW46),$AW46/100,"")</f>
        <v/>
      </c>
      <c r="DC46" s="82">
        <f>IF(ISNUMBER($AX46),$AX46/100,"")</f>
        <v/>
      </c>
      <c r="DD46" s="77">
        <f>IFERROR(VALUE(LEFT(TRIM($AO46&amp;""),4)),"")</f>
        <v/>
      </c>
      <c r="DE46" s="78">
        <f>IF(AND($BY46=1,$BX46=1,OR(fDeal="All Deals",$BU46=fDeal),OR(fEntity="All Entities",$BV46=fEntity),OR(fPType="All Property Types",$BZ46=fPType),OR(fDefeased="Include",$CJ46=0)),1,0)</f>
        <v/>
      </c>
      <c r="DF46" s="83">
        <f>$DE46*N($I46)</f>
        <v/>
      </c>
      <c r="DG46" s="78">
        <f>IF($DE46=1,IF(COUNTIFS($F$8:$F46,$F46,$DE$8:$DE46,1)=1,1,0),0)</f>
        <v/>
      </c>
      <c r="DH46" s="83">
        <f>IF($DG46=1,SUMIFS($DF$8:$DF$1600,$F$8:$F$1600,$F46),0)</f>
        <v/>
      </c>
      <c r="DI46" s="78">
        <f>IF($DG46=1,COUNTIFS($F$8:$F$1600,$F46,$DE$8:$DE$1600,1),0)</f>
        <v/>
      </c>
      <c r="DJ46" s="84">
        <f>IF($DG46=1,$DH46+(100000-ROW())/mTieBreak,0)</f>
        <v/>
      </c>
    </row>
    <row r="47">
      <c r="B47" s="68" t="n">
        <v>40</v>
      </c>
      <c r="C47" s="69" t="inlineStr">
        <is>
          <t>UBS17C02</t>
        </is>
      </c>
      <c r="D47" s="69" t="inlineStr">
        <is>
          <t>40.000</t>
        </is>
      </c>
      <c r="E47" s="69" t="inlineStr">
        <is>
          <t>Holiday Inn Express &amp; Suites Saint Augustine</t>
        </is>
      </c>
      <c r="F47" s="69" t="inlineStr">
        <is>
          <t>SPLIT_LOAN_01049</t>
        </is>
      </c>
      <c r="G47" s="70" t="n">
        <v>1049</v>
      </c>
      <c r="H47" s="71" t="n">
        <v>6800000</v>
      </c>
      <c r="I47" s="71" t="n">
        <v>5839989.390002401</v>
      </c>
      <c r="J47" s="72" t="n">
        <v>4.917647</v>
      </c>
      <c r="K47" s="69" t="inlineStr">
        <is>
          <t>Formula</t>
        </is>
      </c>
      <c r="L47" s="68" t="n">
        <v>120</v>
      </c>
      <c r="M47" s="68" t="n">
        <v>11</v>
      </c>
      <c r="N47" s="68" t="n">
        <v>360</v>
      </c>
      <c r="O47" s="68" t="n"/>
      <c r="P47" s="68" t="n"/>
      <c r="Q47" s="68" t="n">
        <v>109</v>
      </c>
      <c r="R47" s="69" t="inlineStr">
        <is>
          <t>Sched</t>
        </is>
      </c>
      <c r="S47" s="69" t="inlineStr">
        <is>
          <t>No</t>
        </is>
      </c>
      <c r="T47" s="73" t="n">
        <v>42948</v>
      </c>
      <c r="U47" s="73" t="n">
        <v>46600</v>
      </c>
      <c r="V47" s="73" t="n"/>
      <c r="W47" s="69" t="n"/>
      <c r="X47" s="69" t="inlineStr">
        <is>
          <t>Current</t>
        </is>
      </c>
      <c r="Y47" s="68" t="n"/>
      <c r="Z47" s="69" t="inlineStr">
        <is>
          <t>No Defeasance Occurred</t>
        </is>
      </c>
      <c r="AA47" s="69" t="inlineStr">
        <is>
          <t>Yes</t>
        </is>
      </c>
      <c r="AB47" s="69" t="inlineStr">
        <is>
          <t>Never special serv</t>
        </is>
      </c>
      <c r="AC47" s="73" t="n"/>
      <c r="AD47" s="69" t="n"/>
      <c r="AE47" s="69" t="n"/>
      <c r="AF47" s="69" t="inlineStr">
        <is>
          <t>FL</t>
        </is>
      </c>
      <c r="AG47" s="69" t="inlineStr">
        <is>
          <t>Saint Augustine</t>
        </is>
      </c>
      <c r="AH47" s="69" t="inlineStr">
        <is>
          <t>Jacksonville, FL</t>
        </is>
      </c>
      <c r="AI47" s="69" t="inlineStr">
        <is>
          <t>South / Atlantic</t>
        </is>
      </c>
      <c r="AJ47" s="69" t="inlineStr">
        <is>
          <t>HT</t>
        </is>
      </c>
      <c r="AK47" s="69" t="inlineStr">
        <is>
          <t>Limited Service</t>
        </is>
      </c>
      <c r="AL47" s="68" t="n">
        <v>1</v>
      </c>
      <c r="AM47" s="68" t="n">
        <v>82</v>
      </c>
      <c r="AN47" s="68" t="n"/>
      <c r="AO47" s="69" t="inlineStr">
        <is>
          <t>2010</t>
        </is>
      </c>
      <c r="AP47" s="70" t="n">
        <v>2015</v>
      </c>
      <c r="AQ47" s="74" t="n">
        <v>2.45</v>
      </c>
      <c r="AR47" s="74" t="n">
        <v>1.34</v>
      </c>
      <c r="AS47" s="74" t="n">
        <v>57.6</v>
      </c>
      <c r="AT47" s="74" t="n">
        <v>49.49</v>
      </c>
      <c r="AU47" s="74" t="n">
        <v>48.4</v>
      </c>
      <c r="AV47" s="74" t="n">
        <v>15.112862059</v>
      </c>
      <c r="AW47" s="74" t="n">
        <v>9.775335910000001</v>
      </c>
      <c r="AX47" s="75" t="n">
        <v>73</v>
      </c>
      <c r="AY47" s="71" t="n">
        <v>11800000</v>
      </c>
      <c r="AZ47" s="71" t="n">
        <v>11800000</v>
      </c>
      <c r="BA47" s="71" t="n">
        <v>1027674.62</v>
      </c>
      <c r="BB47" s="71" t="n">
        <v>570878.58</v>
      </c>
      <c r="BC47" s="69" t="inlineStr">
        <is>
          <t>Refinance</t>
        </is>
      </c>
      <c r="BD47" s="69" t="inlineStr">
        <is>
          <t>N</t>
        </is>
      </c>
      <c r="BE47" s="71" t="n"/>
      <c r="BF47" s="71" t="n">
        <v>1030586.36</v>
      </c>
      <c r="BG47" s="71" t="n"/>
      <c r="BH47" s="71" t="n">
        <v>0</v>
      </c>
      <c r="BI47" s="71" t="n">
        <v>0</v>
      </c>
      <c r="BJ47" s="69" t="inlineStr">
        <is>
          <t>N</t>
        </is>
      </c>
      <c r="BK47" s="69" t="n"/>
      <c r="BL47" s="75" t="n"/>
      <c r="BM47" s="73" t="n"/>
      <c r="BN47" s="69" t="inlineStr">
        <is>
          <t>Anil Patel</t>
        </is>
      </c>
      <c r="BO47" s="69" t="inlineStr">
        <is>
          <t>CIBC</t>
        </is>
      </c>
      <c r="BP47" s="69" t="inlineStr">
        <is>
          <t>Midland Loan Services</t>
        </is>
      </c>
      <c r="BQ47" s="69" t="inlineStr">
        <is>
          <t>Midland Loan Services</t>
        </is>
      </c>
      <c r="BR47" s="69" t="n"/>
      <c r="BS47" s="73" t="n">
        <v>46276</v>
      </c>
      <c r="BU47" s="76">
        <f>IF($C47="","",IFERROR(INDEX(dmName,MATCH($C47,dmID,0)),"Unmapped"))</f>
        <v/>
      </c>
      <c r="BV47" s="76">
        <f>IF($C47="","",IFERROR(INDEX(dmEntity,MATCH($C47,dmID,0)),"Unmapped"))</f>
        <v/>
      </c>
      <c r="BW47" s="77">
        <f>IF($C47="","",IFERROR(INDEX(dmVintage,MATCH($C47,dmID,0)),""))</f>
        <v/>
      </c>
      <c r="BX47" s="78">
        <f>IFERROR(INDEX(dmInclude,MATCH($C47,dmID,0)),0)</f>
        <v/>
      </c>
      <c r="BY47" s="78">
        <f>IF(N($I47)&gt;0,1,0)</f>
        <v/>
      </c>
      <c r="BZ47" s="76">
        <f>IF($AJ47="","Other / Leased Fee",IFERROR(INDEX(mapPTGroup,MATCH(LEFT(TRIM($AJ47),2),mapPTCode,0)),"Other / Leased Fee"))</f>
        <v/>
      </c>
      <c r="CA47" s="76">
        <f>IF(TRIM($AF47&amp;"")="","NR",LEFT(TRIM($AF47),2))</f>
        <v/>
      </c>
      <c r="CB47" s="76">
        <f>IFERROR(LOOKUP(2,1/(LEFT(TRIM($AI47&amp;""),LEN(mapRegion))=mapRegion),mapRegion),"Not Reported")</f>
        <v/>
      </c>
      <c r="CC47" s="76">
        <f>IF($BY47=0,"",IF(TRIM($W47&amp;"")="REO","REO",IF(TRIM($W47&amp;"")="FC","Foreclosure",IF(TRIM($W47&amp;"")="90+","90+ Days Delinquent",IF(TRIM($W47&amp;"")="60","60 Days Delinquent",IF(TRIM($W47&amp;"")="30","30 Days Delinquent",IF($X47="Non-Performing Matured Balloon","Non-Performing Matured Balloon",IF(OR($X47="Late Payment But Less Than 30 Days Delinquent",LEFT($X47&amp;"",20)="Payment Not Received"),"Late / In Grace (&lt;30 Days)",IF($X47="Performing Matured Balloon","Performing Matured Balloon","Current")))))))))</f>
        <v/>
      </c>
      <c r="CD47" s="78">
        <f>IF(OR($CC47="REO",$CC47="Foreclosure",$CC47="90+ Days Delinquent",$CC47="60 Days Delinquent",$CC47="30 Days Delinquent",$CC47="Non-Performing Matured Balloon"),1,0)</f>
        <v/>
      </c>
      <c r="CE47" s="76">
        <f>IF($AB47="Currently special serv","Currently Specially Serviced",IF($AB47="Returned to master serv","Previously Specially Serviced","Never Specially Serviced"))</f>
        <v/>
      </c>
      <c r="CF47" s="78">
        <f>IF($CE47="Currently Specially Serviced",1,0)</f>
        <v/>
      </c>
      <c r="CG47" s="76">
        <f>IF($AA47="Yes","Currently on Watchlist",IF($AA47="Previously","Previously on Watchlist","Never on Watchlist"))</f>
        <v/>
      </c>
      <c r="CH47" s="78">
        <f>IF($CG47="Currently on Watchlist",1,0)</f>
        <v/>
      </c>
      <c r="CI47" s="76">
        <f>IF($Z47="Full Defeasance","Fully Defeased",IF($Z47="Portion Of Loan Previously Defeased","Partially Defeased",IF($Z47="Defeasance Not Allowable","Not Defeased (Not Permitted)","Not Defeased")))</f>
        <v/>
      </c>
      <c r="CJ47" s="78">
        <f>IF($CI47="Fully Defeased",1,0)</f>
        <v/>
      </c>
      <c r="CK47" s="76">
        <f>IF($R47="IO","Full IO",IF(LEFT($R47&amp;"",7)="IO then","Partial IO","Amortizing"))</f>
        <v/>
      </c>
      <c r="CL47" s="78">
        <f>IF($CK47="Full IO",1,0)</f>
        <v/>
      </c>
      <c r="CM47" s="78">
        <f>IF($CK47="Partial IO",1,0)</f>
        <v/>
      </c>
      <c r="CN47" s="76">
        <f>IF(LEFT($F47&amp;"",10)="SPLIT_LOAN","Pari Passu Split","Standalone")</f>
        <v/>
      </c>
      <c r="CO47" s="78">
        <f>IF($CN47="Pari Passu Split",1,0)</f>
        <v/>
      </c>
      <c r="CP47" s="77">
        <f>IF(ISNUMBER($T47),YEAR($T47),"")</f>
        <v/>
      </c>
      <c r="CQ47" s="79">
        <f>IF(ISNUMBER($V47),$V47,IF(ISNUMBER($U47),$U47,""))</f>
        <v/>
      </c>
      <c r="CR47" s="77">
        <f>IF(ISNUMBER($CQ47),YEAR($CQ47),"")</f>
        <v/>
      </c>
      <c r="CS47" s="78">
        <f>IF(ISNUMBER($M47),MAX(0,$M47),IF(TRIM($M47&amp;"")="matured",0,""))</f>
        <v/>
      </c>
      <c r="CT47" s="78">
        <f>IF(AND(ISNUMBER($CS47),N($CS47)&lt;=mMatWindow),1,0)</f>
        <v/>
      </c>
      <c r="CU47" s="80">
        <f>IF(ISNUMBER($J47),$J47/100,"")</f>
        <v/>
      </c>
      <c r="CV47" s="81">
        <f>IF(ISNUMBER($AQ47),$AQ47,"")</f>
        <v/>
      </c>
      <c r="CW47" s="81">
        <f>IF(ISNUMBER($AR47),$AR47,"")</f>
        <v/>
      </c>
      <c r="CX47" s="82">
        <f>IF(ISNUMBER($AS47),$AS47/100,"")</f>
        <v/>
      </c>
      <c r="CY47" s="82">
        <f>IF(ISNUMBER($AT47),$AT47/100,"")</f>
        <v/>
      </c>
      <c r="CZ47" s="82">
        <f>IF(ISNUMBER($AU47),$AU47/100,"")</f>
        <v/>
      </c>
      <c r="DA47" s="82">
        <f>IF(ISNUMBER($AV47),$AV47/100,"")</f>
        <v/>
      </c>
      <c r="DB47" s="82">
        <f>IF(ISNUMBER($AW47),$AW47/100,"")</f>
        <v/>
      </c>
      <c r="DC47" s="82">
        <f>IF(ISNUMBER($AX47),$AX47/100,"")</f>
        <v/>
      </c>
      <c r="DD47" s="77">
        <f>IFERROR(VALUE(LEFT(TRIM($AO47&amp;""),4)),"")</f>
        <v/>
      </c>
      <c r="DE47" s="78">
        <f>IF(AND($BY47=1,$BX47=1,OR(fDeal="All Deals",$BU47=fDeal),OR(fEntity="All Entities",$BV47=fEntity),OR(fPType="All Property Types",$BZ47=fPType),OR(fDefeased="Include",$CJ47=0)),1,0)</f>
        <v/>
      </c>
      <c r="DF47" s="83">
        <f>$DE47*N($I47)</f>
        <v/>
      </c>
      <c r="DG47" s="78">
        <f>IF($DE47=1,IF(COUNTIFS($F$8:$F47,$F47,$DE$8:$DE47,1)=1,1,0),0)</f>
        <v/>
      </c>
      <c r="DH47" s="83">
        <f>IF($DG47=1,SUMIFS($DF$8:$DF$1600,$F$8:$F$1600,$F47),0)</f>
        <v/>
      </c>
      <c r="DI47" s="78">
        <f>IF($DG47=1,COUNTIFS($F$8:$F$1600,$F47,$DE$8:$DE$1600,1),0)</f>
        <v/>
      </c>
      <c r="DJ47" s="84">
        <f>IF($DG47=1,$DH47+(100000-ROW())/mTieBreak,0)</f>
        <v/>
      </c>
    </row>
    <row r="48">
      <c r="B48" s="68" t="n">
        <v>41</v>
      </c>
      <c r="C48" s="69" t="inlineStr">
        <is>
          <t>UBS17C02</t>
        </is>
      </c>
      <c r="D48" s="69" t="inlineStr">
        <is>
          <t>41.000</t>
        </is>
      </c>
      <c r="E48" s="69" t="inlineStr">
        <is>
          <t>Fairfield Inn &amp; Suites Columbus East</t>
        </is>
      </c>
      <c r="F48" s="69" t="inlineStr">
        <is>
          <t>LNUBS17C02-41.000</t>
        </is>
      </c>
      <c r="G48" s="70" t="n"/>
      <c r="H48" s="71" t="n">
        <v>6750000</v>
      </c>
      <c r="I48" s="71" t="n">
        <v>0</v>
      </c>
      <c r="J48" s="72" t="n">
        <v>5.492</v>
      </c>
      <c r="K48" s="69" t="inlineStr">
        <is>
          <t>Fixed rate</t>
        </is>
      </c>
      <c r="L48" s="68" t="n">
        <v>120</v>
      </c>
      <c r="M48" s="68" t="n"/>
      <c r="N48" s="68" t="n">
        <v>300</v>
      </c>
      <c r="O48" s="68" t="n"/>
      <c r="P48" s="68" t="n"/>
      <c r="Q48" s="68" t="n"/>
      <c r="R48" s="69" t="n"/>
      <c r="S48" s="69" t="inlineStr">
        <is>
          <t>No</t>
        </is>
      </c>
      <c r="T48" s="73" t="n">
        <v>42948</v>
      </c>
      <c r="U48" s="73" t="n">
        <v>46604</v>
      </c>
      <c r="V48" s="73" t="n"/>
      <c r="W48" s="69" t="n"/>
      <c r="X48" s="69" t="inlineStr">
        <is>
          <t>Current</t>
        </is>
      </c>
      <c r="Y48" s="68" t="n"/>
      <c r="Z48" s="69" t="inlineStr">
        <is>
          <t>No Defeasance Occurred</t>
        </is>
      </c>
      <c r="AA48" s="69" t="inlineStr">
        <is>
          <t>Previously</t>
        </is>
      </c>
      <c r="AB48" s="69" t="inlineStr">
        <is>
          <t>Currently special serv</t>
        </is>
      </c>
      <c r="AC48" s="73" t="n">
        <v>44141</v>
      </c>
      <c r="AD48" s="69" t="inlineStr">
        <is>
          <t>Other</t>
        </is>
      </c>
      <c r="AE48" s="69" t="inlineStr">
        <is>
          <t>Resolved</t>
        </is>
      </c>
      <c r="AF48" s="69" t="inlineStr">
        <is>
          <t>OH</t>
        </is>
      </c>
      <c r="AG48" s="69" t="inlineStr">
        <is>
          <t>Reynoldsburg</t>
        </is>
      </c>
      <c r="AH48" s="69" t="inlineStr">
        <is>
          <t>Columbus, OH</t>
        </is>
      </c>
      <c r="AI48" s="69" t="inlineStr">
        <is>
          <t>Midwest / Central East</t>
        </is>
      </c>
      <c r="AJ48" s="69" t="inlineStr">
        <is>
          <t>HT</t>
        </is>
      </c>
      <c r="AK48" s="69" t="inlineStr">
        <is>
          <t>Limited Service</t>
        </is>
      </c>
      <c r="AL48" s="68" t="n">
        <v>1</v>
      </c>
      <c r="AM48" s="68" t="n">
        <v>83</v>
      </c>
      <c r="AN48" s="68" t="n"/>
      <c r="AO48" s="69" t="inlineStr">
        <is>
          <t>2002</t>
        </is>
      </c>
      <c r="AP48" s="70" t="n">
        <v>2016</v>
      </c>
      <c r="AQ48" s="74" t="n">
        <v>1.85</v>
      </c>
      <c r="AR48" s="74" t="n">
        <v>0.09</v>
      </c>
      <c r="AS48" s="74" t="n">
        <v>55.3</v>
      </c>
      <c r="AT48" s="74" t="n"/>
      <c r="AU48" s="74" t="n">
        <v>42.1</v>
      </c>
      <c r="AV48" s="74" t="n">
        <v>13.643343407</v>
      </c>
      <c r="AW48" s="74" t="n"/>
      <c r="AX48" s="75" t="n">
        <v>51</v>
      </c>
      <c r="AY48" s="71" t="n">
        <v>12200000</v>
      </c>
      <c r="AZ48" s="71" t="n">
        <v>7000000</v>
      </c>
      <c r="BA48" s="71" t="n">
        <v>920925.6800000001</v>
      </c>
      <c r="BB48" s="71" t="n">
        <v>44861.73</v>
      </c>
      <c r="BC48" s="69" t="inlineStr">
        <is>
          <t>Refinance</t>
        </is>
      </c>
      <c r="BD48" s="69" t="inlineStr">
        <is>
          <t>N</t>
        </is>
      </c>
      <c r="BE48" s="71" t="n"/>
      <c r="BF48" s="71" t="n"/>
      <c r="BG48" s="71" t="n"/>
      <c r="BH48" s="71" t="n">
        <v>0</v>
      </c>
      <c r="BI48" s="71" t="n">
        <v>0</v>
      </c>
      <c r="BJ48" s="69" t="inlineStr">
        <is>
          <t>N</t>
        </is>
      </c>
      <c r="BK48" s="69" t="n"/>
      <c r="BL48" s="75" t="n"/>
      <c r="BM48" s="73" t="n"/>
      <c r="BN48" s="69" t="inlineStr">
        <is>
          <t>Amar Pandey</t>
        </is>
      </c>
      <c r="BO48" s="69" t="inlineStr">
        <is>
          <t>Natixis</t>
        </is>
      </c>
      <c r="BP48" s="69" t="inlineStr">
        <is>
          <t>Midland Loan Services</t>
        </is>
      </c>
      <c r="BQ48" s="69" t="inlineStr">
        <is>
          <t>Midland Loan Services</t>
        </is>
      </c>
      <c r="BR48" s="69" t="inlineStr">
        <is>
          <t>DPO</t>
        </is>
      </c>
      <c r="BS48" s="73" t="n">
        <v>46276</v>
      </c>
      <c r="BU48" s="76">
        <f>IF($C48="","",IFERROR(INDEX(dmName,MATCH($C48,dmID,0)),"Unmapped"))</f>
        <v/>
      </c>
      <c r="BV48" s="76">
        <f>IF($C48="","",IFERROR(INDEX(dmEntity,MATCH($C48,dmID,0)),"Unmapped"))</f>
        <v/>
      </c>
      <c r="BW48" s="77">
        <f>IF($C48="","",IFERROR(INDEX(dmVintage,MATCH($C48,dmID,0)),""))</f>
        <v/>
      </c>
      <c r="BX48" s="78">
        <f>IFERROR(INDEX(dmInclude,MATCH($C48,dmID,0)),0)</f>
        <v/>
      </c>
      <c r="BY48" s="78">
        <f>IF(N($I48)&gt;0,1,0)</f>
        <v/>
      </c>
      <c r="BZ48" s="76">
        <f>IF($AJ48="","Other / Leased Fee",IFERROR(INDEX(mapPTGroup,MATCH(LEFT(TRIM($AJ48),2),mapPTCode,0)),"Other / Leased Fee"))</f>
        <v/>
      </c>
      <c r="CA48" s="76">
        <f>IF(TRIM($AF48&amp;"")="","NR",LEFT(TRIM($AF48),2))</f>
        <v/>
      </c>
      <c r="CB48" s="76">
        <f>IFERROR(LOOKUP(2,1/(LEFT(TRIM($AI48&amp;""),LEN(mapRegion))=mapRegion),mapRegion),"Not Reported")</f>
        <v/>
      </c>
      <c r="CC48" s="76">
        <f>IF($BY48=0,"",IF(TRIM($W48&amp;"")="REO","REO",IF(TRIM($W48&amp;"")="FC","Foreclosure",IF(TRIM($W48&amp;"")="90+","90+ Days Delinquent",IF(TRIM($W48&amp;"")="60","60 Days Delinquent",IF(TRIM($W48&amp;"")="30","30 Days Delinquent",IF($X48="Non-Performing Matured Balloon","Non-Performing Matured Balloon",IF(OR($X48="Late Payment But Less Than 30 Days Delinquent",LEFT($X48&amp;"",20)="Payment Not Received"),"Late / In Grace (&lt;30 Days)",IF($X48="Performing Matured Balloon","Performing Matured Balloon","Current")))))))))</f>
        <v/>
      </c>
      <c r="CD48" s="78">
        <f>IF(OR($CC48="REO",$CC48="Foreclosure",$CC48="90+ Days Delinquent",$CC48="60 Days Delinquent",$CC48="30 Days Delinquent",$CC48="Non-Performing Matured Balloon"),1,0)</f>
        <v/>
      </c>
      <c r="CE48" s="76">
        <f>IF($AB48="Currently special serv","Currently Specially Serviced",IF($AB48="Returned to master serv","Previously Specially Serviced","Never Specially Serviced"))</f>
        <v/>
      </c>
      <c r="CF48" s="78">
        <f>IF($CE48="Currently Specially Serviced",1,0)</f>
        <v/>
      </c>
      <c r="CG48" s="76">
        <f>IF($AA48="Yes","Currently on Watchlist",IF($AA48="Previously","Previously on Watchlist","Never on Watchlist"))</f>
        <v/>
      </c>
      <c r="CH48" s="78">
        <f>IF($CG48="Currently on Watchlist",1,0)</f>
        <v/>
      </c>
      <c r="CI48" s="76">
        <f>IF($Z48="Full Defeasance","Fully Defeased",IF($Z48="Portion Of Loan Previously Defeased","Partially Defeased",IF($Z48="Defeasance Not Allowable","Not Defeased (Not Permitted)","Not Defeased")))</f>
        <v/>
      </c>
      <c r="CJ48" s="78">
        <f>IF($CI48="Fully Defeased",1,0)</f>
        <v/>
      </c>
      <c r="CK48" s="76">
        <f>IF($R48="IO","Full IO",IF(LEFT($R48&amp;"",7)="IO then","Partial IO","Amortizing"))</f>
        <v/>
      </c>
      <c r="CL48" s="78">
        <f>IF($CK48="Full IO",1,0)</f>
        <v/>
      </c>
      <c r="CM48" s="78">
        <f>IF($CK48="Partial IO",1,0)</f>
        <v/>
      </c>
      <c r="CN48" s="76">
        <f>IF(LEFT($F48&amp;"",10)="SPLIT_LOAN","Pari Passu Split","Standalone")</f>
        <v/>
      </c>
      <c r="CO48" s="78">
        <f>IF($CN48="Pari Passu Split",1,0)</f>
        <v/>
      </c>
      <c r="CP48" s="77">
        <f>IF(ISNUMBER($T48),YEAR($T48),"")</f>
        <v/>
      </c>
      <c r="CQ48" s="79">
        <f>IF(ISNUMBER($V48),$V48,IF(ISNUMBER($U48),$U48,""))</f>
        <v/>
      </c>
      <c r="CR48" s="77">
        <f>IF(ISNUMBER($CQ48),YEAR($CQ48),"")</f>
        <v/>
      </c>
      <c r="CS48" s="78">
        <f>IF(ISNUMBER($M48),MAX(0,$M48),IF(TRIM($M48&amp;"")="matured",0,""))</f>
        <v/>
      </c>
      <c r="CT48" s="78">
        <f>IF(AND(ISNUMBER($CS48),N($CS48)&lt;=mMatWindow),1,0)</f>
        <v/>
      </c>
      <c r="CU48" s="80">
        <f>IF(ISNUMBER($J48),$J48/100,"")</f>
        <v/>
      </c>
      <c r="CV48" s="81">
        <f>IF(ISNUMBER($AQ48),$AQ48,"")</f>
        <v/>
      </c>
      <c r="CW48" s="81">
        <f>IF(ISNUMBER($AR48),$AR48,"")</f>
        <v/>
      </c>
      <c r="CX48" s="82">
        <f>IF(ISNUMBER($AS48),$AS48/100,"")</f>
        <v/>
      </c>
      <c r="CY48" s="82">
        <f>IF(ISNUMBER($AT48),$AT48/100,"")</f>
        <v/>
      </c>
      <c r="CZ48" s="82">
        <f>IF(ISNUMBER($AU48),$AU48/100,"")</f>
        <v/>
      </c>
      <c r="DA48" s="82">
        <f>IF(ISNUMBER($AV48),$AV48/100,"")</f>
        <v/>
      </c>
      <c r="DB48" s="82">
        <f>IF(ISNUMBER($AW48),$AW48/100,"")</f>
        <v/>
      </c>
      <c r="DC48" s="82">
        <f>IF(ISNUMBER($AX48),$AX48/100,"")</f>
        <v/>
      </c>
      <c r="DD48" s="77">
        <f>IFERROR(VALUE(LEFT(TRIM($AO48&amp;""),4)),"")</f>
        <v/>
      </c>
      <c r="DE48" s="78">
        <f>IF(AND($BY48=1,$BX48=1,OR(fDeal="All Deals",$BU48=fDeal),OR(fEntity="All Entities",$BV48=fEntity),OR(fPType="All Property Types",$BZ48=fPType),OR(fDefeased="Include",$CJ48=0)),1,0)</f>
        <v/>
      </c>
      <c r="DF48" s="83">
        <f>$DE48*N($I48)</f>
        <v/>
      </c>
      <c r="DG48" s="78">
        <f>IF($DE48=1,IF(COUNTIFS($F$8:$F48,$F48,$DE$8:$DE48,1)=1,1,0),0)</f>
        <v/>
      </c>
      <c r="DH48" s="83">
        <f>IF($DG48=1,SUMIFS($DF$8:$DF$1600,$F$8:$F$1600,$F48),0)</f>
        <v/>
      </c>
      <c r="DI48" s="78">
        <f>IF($DG48=1,COUNTIFS($F$8:$F$1600,$F48,$DE$8:$DE$1600,1),0)</f>
        <v/>
      </c>
      <c r="DJ48" s="84">
        <f>IF($DG48=1,$DH48+(100000-ROW())/mTieBreak,0)</f>
        <v/>
      </c>
    </row>
    <row r="49">
      <c r="B49" s="68" t="n">
        <v>42</v>
      </c>
      <c r="C49" s="69" t="inlineStr">
        <is>
          <t>UBS17C02</t>
        </is>
      </c>
      <c r="D49" s="69" t="inlineStr">
        <is>
          <t>42.000</t>
        </is>
      </c>
      <c r="E49" s="69" t="inlineStr">
        <is>
          <t>Autumn Ridge and Tompkins Green Apartments</t>
        </is>
      </c>
      <c r="F49" s="69" t="inlineStr">
        <is>
          <t>LNUBS17C02-42.000</t>
        </is>
      </c>
      <c r="G49" s="70" t="n"/>
      <c r="H49" s="71" t="n">
        <v>6325000</v>
      </c>
      <c r="I49" s="71" t="n">
        <v>4871762.639998926</v>
      </c>
      <c r="J49" s="72" t="n">
        <v>4.85</v>
      </c>
      <c r="K49" s="69" t="inlineStr">
        <is>
          <t>Fixed rate</t>
        </is>
      </c>
      <c r="L49" s="68" t="n">
        <v>120</v>
      </c>
      <c r="M49" s="68" t="n">
        <v>10</v>
      </c>
      <c r="N49" s="68" t="n">
        <v>300</v>
      </c>
      <c r="O49" s="68" t="n"/>
      <c r="P49" s="68" t="n"/>
      <c r="Q49" s="68" t="n">
        <v>110</v>
      </c>
      <c r="R49" s="69" t="n"/>
      <c r="S49" s="69" t="inlineStr">
        <is>
          <t>No</t>
        </is>
      </c>
      <c r="T49" s="73" t="n">
        <v>42917</v>
      </c>
      <c r="U49" s="73" t="n">
        <v>46574</v>
      </c>
      <c r="V49" s="73" t="n"/>
      <c r="W49" s="69" t="n"/>
      <c r="X49" s="69" t="inlineStr">
        <is>
          <t>Current</t>
        </is>
      </c>
      <c r="Y49" s="68" t="n"/>
      <c r="Z49" s="69" t="inlineStr">
        <is>
          <t>Defeasance Not Allowable</t>
        </is>
      </c>
      <c r="AA49" s="69" t="inlineStr">
        <is>
          <t>Yes</t>
        </is>
      </c>
      <c r="AB49" s="69" t="inlineStr">
        <is>
          <t>Never special serv</t>
        </is>
      </c>
      <c r="AC49" s="73" t="n"/>
      <c r="AD49" s="69" t="n"/>
      <c r="AE49" s="69" t="n"/>
      <c r="AF49" s="69" t="inlineStr">
        <is>
          <t>TX</t>
        </is>
      </c>
      <c r="AG49" s="69" t="inlineStr">
        <is>
          <t>Baytown</t>
        </is>
      </c>
      <c r="AH49" s="69" t="inlineStr">
        <is>
          <t>Houston-Pasadena-The Woodlands, TX</t>
        </is>
      </c>
      <c r="AI49" s="69" t="inlineStr">
        <is>
          <t>South / Central West</t>
        </is>
      </c>
      <c r="AJ49" s="69" t="inlineStr">
        <is>
          <t>MF</t>
        </is>
      </c>
      <c r="AK49" s="69" t="inlineStr">
        <is>
          <t>Garden</t>
        </is>
      </c>
      <c r="AL49" s="68" t="n">
        <v>1</v>
      </c>
      <c r="AM49" s="68" t="n">
        <v>199</v>
      </c>
      <c r="AN49" s="68" t="n"/>
      <c r="AO49" s="69" t="inlineStr">
        <is>
          <t>1968-1970</t>
        </is>
      </c>
      <c r="AP49" s="70" t="n">
        <v>1970</v>
      </c>
      <c r="AQ49" s="74" t="n">
        <v>1.48</v>
      </c>
      <c r="AR49" s="74" t="n">
        <v>1.32</v>
      </c>
      <c r="AS49" s="74" t="n">
        <v>68.90000000000001</v>
      </c>
      <c r="AT49" s="74" t="n">
        <v>53.19</v>
      </c>
      <c r="AU49" s="74" t="n">
        <v>51.3</v>
      </c>
      <c r="AV49" s="74" t="n">
        <v>10.227968379</v>
      </c>
      <c r="AW49" s="74" t="n">
        <v>10.054967497</v>
      </c>
      <c r="AX49" s="75" t="n">
        <v>62</v>
      </c>
      <c r="AY49" s="71" t="n">
        <v>9160000</v>
      </c>
      <c r="AZ49" s="71" t="n">
        <v>9160000</v>
      </c>
      <c r="BA49" s="71" t="n">
        <v>646919</v>
      </c>
      <c r="BB49" s="71" t="n">
        <v>574960.91</v>
      </c>
      <c r="BC49" s="69" t="inlineStr">
        <is>
          <t>Refinance</t>
        </is>
      </c>
      <c r="BD49" s="69" t="inlineStr">
        <is>
          <t>N</t>
        </is>
      </c>
      <c r="BE49" s="71" t="n"/>
      <c r="BF49" s="71" t="n"/>
      <c r="BG49" s="71" t="n"/>
      <c r="BH49" s="71" t="n">
        <v>0</v>
      </c>
      <c r="BI49" s="71" t="n">
        <v>0</v>
      </c>
      <c r="BJ49" s="69" t="inlineStr">
        <is>
          <t>N</t>
        </is>
      </c>
      <c r="BK49" s="69" t="inlineStr">
        <is>
          <t>Terry Rivon Tax Service</t>
        </is>
      </c>
      <c r="BL49" s="75" t="n"/>
      <c r="BM49" s="73" t="n">
        <v>43100</v>
      </c>
      <c r="BN49" s="69" t="inlineStr">
        <is>
          <t>John P. Boerschig</t>
        </is>
      </c>
      <c r="BO49" s="69" t="inlineStr">
        <is>
          <t>RMF</t>
        </is>
      </c>
      <c r="BP49" s="69" t="inlineStr">
        <is>
          <t>Midland Loan Services</t>
        </is>
      </c>
      <c r="BQ49" s="69" t="inlineStr">
        <is>
          <t>Midland Loan Services</t>
        </is>
      </c>
      <c r="BR49" s="69" t="n"/>
      <c r="BS49" s="73" t="n">
        <v>46276</v>
      </c>
      <c r="BU49" s="76">
        <f>IF($C49="","",IFERROR(INDEX(dmName,MATCH($C49,dmID,0)),"Unmapped"))</f>
        <v/>
      </c>
      <c r="BV49" s="76">
        <f>IF($C49="","",IFERROR(INDEX(dmEntity,MATCH($C49,dmID,0)),"Unmapped"))</f>
        <v/>
      </c>
      <c r="BW49" s="77">
        <f>IF($C49="","",IFERROR(INDEX(dmVintage,MATCH($C49,dmID,0)),""))</f>
        <v/>
      </c>
      <c r="BX49" s="78">
        <f>IFERROR(INDEX(dmInclude,MATCH($C49,dmID,0)),0)</f>
        <v/>
      </c>
      <c r="BY49" s="78">
        <f>IF(N($I49)&gt;0,1,0)</f>
        <v/>
      </c>
      <c r="BZ49" s="76">
        <f>IF($AJ49="","Other / Leased Fee",IFERROR(INDEX(mapPTGroup,MATCH(LEFT(TRIM($AJ49),2),mapPTCode,0)),"Other / Leased Fee"))</f>
        <v/>
      </c>
      <c r="CA49" s="76">
        <f>IF(TRIM($AF49&amp;"")="","NR",LEFT(TRIM($AF49),2))</f>
        <v/>
      </c>
      <c r="CB49" s="76">
        <f>IFERROR(LOOKUP(2,1/(LEFT(TRIM($AI49&amp;""),LEN(mapRegion))=mapRegion),mapRegion),"Not Reported")</f>
        <v/>
      </c>
      <c r="CC49" s="76">
        <f>IF($BY49=0,"",IF(TRIM($W49&amp;"")="REO","REO",IF(TRIM($W49&amp;"")="FC","Foreclosure",IF(TRIM($W49&amp;"")="90+","90+ Days Delinquent",IF(TRIM($W49&amp;"")="60","60 Days Delinquent",IF(TRIM($W49&amp;"")="30","30 Days Delinquent",IF($X49="Non-Performing Matured Balloon","Non-Performing Matured Balloon",IF(OR($X49="Late Payment But Less Than 30 Days Delinquent",LEFT($X49&amp;"",20)="Payment Not Received"),"Late / In Grace (&lt;30 Days)",IF($X49="Performing Matured Balloon","Performing Matured Balloon","Current")))))))))</f>
        <v/>
      </c>
      <c r="CD49" s="78">
        <f>IF(OR($CC49="REO",$CC49="Foreclosure",$CC49="90+ Days Delinquent",$CC49="60 Days Delinquent",$CC49="30 Days Delinquent",$CC49="Non-Performing Matured Balloon"),1,0)</f>
        <v/>
      </c>
      <c r="CE49" s="76">
        <f>IF($AB49="Currently special serv","Currently Specially Serviced",IF($AB49="Returned to master serv","Previously Specially Serviced","Never Specially Serviced"))</f>
        <v/>
      </c>
      <c r="CF49" s="78">
        <f>IF($CE49="Currently Specially Serviced",1,0)</f>
        <v/>
      </c>
      <c r="CG49" s="76">
        <f>IF($AA49="Yes","Currently on Watchlist",IF($AA49="Previously","Previously on Watchlist","Never on Watchlist"))</f>
        <v/>
      </c>
      <c r="CH49" s="78">
        <f>IF($CG49="Currently on Watchlist",1,0)</f>
        <v/>
      </c>
      <c r="CI49" s="76">
        <f>IF($Z49="Full Defeasance","Fully Defeased",IF($Z49="Portion Of Loan Previously Defeased","Partially Defeased",IF($Z49="Defeasance Not Allowable","Not Defeased (Not Permitted)","Not Defeased")))</f>
        <v/>
      </c>
      <c r="CJ49" s="78">
        <f>IF($CI49="Fully Defeased",1,0)</f>
        <v/>
      </c>
      <c r="CK49" s="76">
        <f>IF($R49="IO","Full IO",IF(LEFT($R49&amp;"",7)="IO then","Partial IO","Amortizing"))</f>
        <v/>
      </c>
      <c r="CL49" s="78">
        <f>IF($CK49="Full IO",1,0)</f>
        <v/>
      </c>
      <c r="CM49" s="78">
        <f>IF($CK49="Partial IO",1,0)</f>
        <v/>
      </c>
      <c r="CN49" s="76">
        <f>IF(LEFT($F49&amp;"",10)="SPLIT_LOAN","Pari Passu Split","Standalone")</f>
        <v/>
      </c>
      <c r="CO49" s="78">
        <f>IF($CN49="Pari Passu Split",1,0)</f>
        <v/>
      </c>
      <c r="CP49" s="77">
        <f>IF(ISNUMBER($T49),YEAR($T49),"")</f>
        <v/>
      </c>
      <c r="CQ49" s="79">
        <f>IF(ISNUMBER($V49),$V49,IF(ISNUMBER($U49),$U49,""))</f>
        <v/>
      </c>
      <c r="CR49" s="77">
        <f>IF(ISNUMBER($CQ49),YEAR($CQ49),"")</f>
        <v/>
      </c>
      <c r="CS49" s="78">
        <f>IF(ISNUMBER($M49),MAX(0,$M49),IF(TRIM($M49&amp;"")="matured",0,""))</f>
        <v/>
      </c>
      <c r="CT49" s="78">
        <f>IF(AND(ISNUMBER($CS49),N($CS49)&lt;=mMatWindow),1,0)</f>
        <v/>
      </c>
      <c r="CU49" s="80">
        <f>IF(ISNUMBER($J49),$J49/100,"")</f>
        <v/>
      </c>
      <c r="CV49" s="81">
        <f>IF(ISNUMBER($AQ49),$AQ49,"")</f>
        <v/>
      </c>
      <c r="CW49" s="81">
        <f>IF(ISNUMBER($AR49),$AR49,"")</f>
        <v/>
      </c>
      <c r="CX49" s="82">
        <f>IF(ISNUMBER($AS49),$AS49/100,"")</f>
        <v/>
      </c>
      <c r="CY49" s="82">
        <f>IF(ISNUMBER($AT49),$AT49/100,"")</f>
        <v/>
      </c>
      <c r="CZ49" s="82">
        <f>IF(ISNUMBER($AU49),$AU49/100,"")</f>
        <v/>
      </c>
      <c r="DA49" s="82">
        <f>IF(ISNUMBER($AV49),$AV49/100,"")</f>
        <v/>
      </c>
      <c r="DB49" s="82">
        <f>IF(ISNUMBER($AW49),$AW49/100,"")</f>
        <v/>
      </c>
      <c r="DC49" s="82">
        <f>IF(ISNUMBER($AX49),$AX49/100,"")</f>
        <v/>
      </c>
      <c r="DD49" s="77">
        <f>IFERROR(VALUE(LEFT(TRIM($AO49&amp;""),4)),"")</f>
        <v/>
      </c>
      <c r="DE49" s="78">
        <f>IF(AND($BY49=1,$BX49=1,OR(fDeal="All Deals",$BU49=fDeal),OR(fEntity="All Entities",$BV49=fEntity),OR(fPType="All Property Types",$BZ49=fPType),OR(fDefeased="Include",$CJ49=0)),1,0)</f>
        <v/>
      </c>
      <c r="DF49" s="83">
        <f>$DE49*N($I49)</f>
        <v/>
      </c>
      <c r="DG49" s="78">
        <f>IF($DE49=1,IF(COUNTIFS($F$8:$F49,$F49,$DE$8:$DE49,1)=1,1,0),0)</f>
        <v/>
      </c>
      <c r="DH49" s="83">
        <f>IF($DG49=1,SUMIFS($DF$8:$DF$1600,$F$8:$F$1600,$F49),0)</f>
        <v/>
      </c>
      <c r="DI49" s="78">
        <f>IF($DG49=1,COUNTIFS($F$8:$F$1600,$F49,$DE$8:$DE$1600,1),0)</f>
        <v/>
      </c>
      <c r="DJ49" s="84">
        <f>IF($DG49=1,$DH49+(100000-ROW())/mTieBreak,0)</f>
        <v/>
      </c>
    </row>
    <row r="50">
      <c r="B50" s="68" t="n">
        <v>43</v>
      </c>
      <c r="C50" s="69" t="inlineStr">
        <is>
          <t>UBS17C02</t>
        </is>
      </c>
      <c r="D50" s="69" t="inlineStr">
        <is>
          <t>43.000</t>
        </is>
      </c>
      <c r="E50" s="69" t="inlineStr">
        <is>
          <t>ACG Conlon MHC Portfolio III</t>
        </is>
      </c>
      <c r="F50" s="69" t="inlineStr">
        <is>
          <t>LNUBS17C02-43.000</t>
        </is>
      </c>
      <c r="G50" s="70" t="n"/>
      <c r="H50" s="71" t="n">
        <v>6300000</v>
      </c>
      <c r="I50" s="71" t="n">
        <v>5568029.2299996</v>
      </c>
      <c r="J50" s="72" t="n">
        <v>5.08</v>
      </c>
      <c r="K50" s="69" t="inlineStr">
        <is>
          <t>Fixed rate</t>
        </is>
      </c>
      <c r="L50" s="68" t="n">
        <v>120</v>
      </c>
      <c r="M50" s="68" t="n">
        <v>10</v>
      </c>
      <c r="N50" s="68" t="n">
        <v>384</v>
      </c>
      <c r="O50" s="68" t="n">
        <v>24</v>
      </c>
      <c r="P50" s="68" t="n">
        <v>0</v>
      </c>
      <c r="Q50" s="68" t="n">
        <v>110</v>
      </c>
      <c r="R50" s="69" t="inlineStr">
        <is>
          <t>IO then Amort</t>
        </is>
      </c>
      <c r="S50" s="69" t="inlineStr">
        <is>
          <t>No</t>
        </is>
      </c>
      <c r="T50" s="73" t="n">
        <v>42917</v>
      </c>
      <c r="U50" s="73" t="n">
        <v>46574</v>
      </c>
      <c r="V50" s="73" t="n"/>
      <c r="W50" s="69" t="n"/>
      <c r="X50" s="69" t="inlineStr">
        <is>
          <t>Current</t>
        </is>
      </c>
      <c r="Y50" s="68" t="n"/>
      <c r="Z50" s="69" t="inlineStr">
        <is>
          <t>Full Defeasance</t>
        </is>
      </c>
      <c r="AA50" s="69" t="n"/>
      <c r="AB50" s="69" t="inlineStr">
        <is>
          <t>Never special serv</t>
        </is>
      </c>
      <c r="AC50" s="73" t="n"/>
      <c r="AD50" s="69" t="n"/>
      <c r="AE50" s="69" t="n"/>
      <c r="AF50" s="69" t="inlineStr">
        <is>
          <t>SC</t>
        </is>
      </c>
      <c r="AG50" s="69" t="n"/>
      <c r="AH50" s="69" t="inlineStr">
        <is>
          <t>Columbia, SC</t>
        </is>
      </c>
      <c r="AI50" s="69" t="inlineStr">
        <is>
          <t>South / Atlantic</t>
        </is>
      </c>
      <c r="AJ50" s="69" t="inlineStr">
        <is>
          <t>MH</t>
        </is>
      </c>
      <c r="AK50" s="69" t="n"/>
      <c r="AL50" s="68" t="n">
        <v>2</v>
      </c>
      <c r="AM50" s="68" t="n">
        <v>335</v>
      </c>
      <c r="AN50" s="68" t="n"/>
      <c r="AO50" s="69" t="n"/>
      <c r="AP50" s="70" t="n">
        <v>1974</v>
      </c>
      <c r="AQ50" s="74" t="n">
        <v>1.54</v>
      </c>
      <c r="AR50" s="74" t="n">
        <v>2.12</v>
      </c>
      <c r="AS50" s="74" t="n">
        <v>70.8</v>
      </c>
      <c r="AT50" s="74" t="n">
        <v>62.56</v>
      </c>
      <c r="AU50" s="74" t="n">
        <v>61.4</v>
      </c>
      <c r="AV50" s="74" t="n">
        <v>10.023952381</v>
      </c>
      <c r="AW50" s="74" t="n">
        <v>11.914198769</v>
      </c>
      <c r="AX50" s="75" t="n">
        <v>94</v>
      </c>
      <c r="AY50" s="71" t="n">
        <v>8900000</v>
      </c>
      <c r="AZ50" s="71" t="n">
        <v>8900000</v>
      </c>
      <c r="BA50" s="71" t="n">
        <v>631509</v>
      </c>
      <c r="BB50" s="71" t="n">
        <v>688842.22</v>
      </c>
      <c r="BC50" s="69" t="inlineStr">
        <is>
          <t>Various</t>
        </is>
      </c>
      <c r="BD50" s="69" t="inlineStr">
        <is>
          <t>N</t>
        </is>
      </c>
      <c r="BE50" s="71" t="n"/>
      <c r="BF50" s="71" t="n"/>
      <c r="BG50" s="71" t="n"/>
      <c r="BH50" s="71" t="n">
        <v>0</v>
      </c>
      <c r="BI50" s="71" t="n">
        <v>0</v>
      </c>
      <c r="BJ50" s="69" t="inlineStr">
        <is>
          <t>N</t>
        </is>
      </c>
      <c r="BK50" s="69" t="n"/>
      <c r="BL50" s="75" t="n"/>
      <c r="BM50" s="73" t="n"/>
      <c r="BN50" s="69" t="inlineStr">
        <is>
          <t>Michael Conlon</t>
        </is>
      </c>
      <c r="BO50" s="69" t="inlineStr">
        <is>
          <t>RMF</t>
        </is>
      </c>
      <c r="BP50" s="69" t="inlineStr">
        <is>
          <t>Midland Loan Services</t>
        </is>
      </c>
      <c r="BQ50" s="69" t="inlineStr">
        <is>
          <t>Midland Loan Services</t>
        </is>
      </c>
      <c r="BR50" s="69" t="n"/>
      <c r="BS50" s="73" t="n">
        <v>46276</v>
      </c>
      <c r="BU50" s="76">
        <f>IF($C50="","",IFERROR(INDEX(dmName,MATCH($C50,dmID,0)),"Unmapped"))</f>
        <v/>
      </c>
      <c r="BV50" s="76">
        <f>IF($C50="","",IFERROR(INDEX(dmEntity,MATCH($C50,dmID,0)),"Unmapped"))</f>
        <v/>
      </c>
      <c r="BW50" s="77">
        <f>IF($C50="","",IFERROR(INDEX(dmVintage,MATCH($C50,dmID,0)),""))</f>
        <v/>
      </c>
      <c r="BX50" s="78">
        <f>IFERROR(INDEX(dmInclude,MATCH($C50,dmID,0)),0)</f>
        <v/>
      </c>
      <c r="BY50" s="78">
        <f>IF(N($I50)&gt;0,1,0)</f>
        <v/>
      </c>
      <c r="BZ50" s="76">
        <f>IF($AJ50="","Other / Leased Fee",IFERROR(INDEX(mapPTGroup,MATCH(LEFT(TRIM($AJ50),2),mapPTCode,0)),"Other / Leased Fee"))</f>
        <v/>
      </c>
      <c r="CA50" s="76">
        <f>IF(TRIM($AF50&amp;"")="","NR",LEFT(TRIM($AF50),2))</f>
        <v/>
      </c>
      <c r="CB50" s="76">
        <f>IFERROR(LOOKUP(2,1/(LEFT(TRIM($AI50&amp;""),LEN(mapRegion))=mapRegion),mapRegion),"Not Reported")</f>
        <v/>
      </c>
      <c r="CC50" s="76">
        <f>IF($BY50=0,"",IF(TRIM($W50&amp;"")="REO","REO",IF(TRIM($W50&amp;"")="FC","Foreclosure",IF(TRIM($W50&amp;"")="90+","90+ Days Delinquent",IF(TRIM($W50&amp;"")="60","60 Days Delinquent",IF(TRIM($W50&amp;"")="30","30 Days Delinquent",IF($X50="Non-Performing Matured Balloon","Non-Performing Matured Balloon",IF(OR($X50="Late Payment But Less Than 30 Days Delinquent",LEFT($X50&amp;"",20)="Payment Not Received"),"Late / In Grace (&lt;30 Days)",IF($X50="Performing Matured Balloon","Performing Matured Balloon","Current")))))))))</f>
        <v/>
      </c>
      <c r="CD50" s="78">
        <f>IF(OR($CC50="REO",$CC50="Foreclosure",$CC50="90+ Days Delinquent",$CC50="60 Days Delinquent",$CC50="30 Days Delinquent",$CC50="Non-Performing Matured Balloon"),1,0)</f>
        <v/>
      </c>
      <c r="CE50" s="76">
        <f>IF($AB50="Currently special serv","Currently Specially Serviced",IF($AB50="Returned to master serv","Previously Specially Serviced","Never Specially Serviced"))</f>
        <v/>
      </c>
      <c r="CF50" s="78">
        <f>IF($CE50="Currently Specially Serviced",1,0)</f>
        <v/>
      </c>
      <c r="CG50" s="76">
        <f>IF($AA50="Yes","Currently on Watchlist",IF($AA50="Previously","Previously on Watchlist","Never on Watchlist"))</f>
        <v/>
      </c>
      <c r="CH50" s="78">
        <f>IF($CG50="Currently on Watchlist",1,0)</f>
        <v/>
      </c>
      <c r="CI50" s="76">
        <f>IF($Z50="Full Defeasance","Fully Defeased",IF($Z50="Portion Of Loan Previously Defeased","Partially Defeased",IF($Z50="Defeasance Not Allowable","Not Defeased (Not Permitted)","Not Defeased")))</f>
        <v/>
      </c>
      <c r="CJ50" s="78">
        <f>IF($CI50="Fully Defeased",1,0)</f>
        <v/>
      </c>
      <c r="CK50" s="76">
        <f>IF($R50="IO","Full IO",IF(LEFT($R50&amp;"",7)="IO then","Partial IO","Amortizing"))</f>
        <v/>
      </c>
      <c r="CL50" s="78">
        <f>IF($CK50="Full IO",1,0)</f>
        <v/>
      </c>
      <c r="CM50" s="78">
        <f>IF($CK50="Partial IO",1,0)</f>
        <v/>
      </c>
      <c r="CN50" s="76">
        <f>IF(LEFT($F50&amp;"",10)="SPLIT_LOAN","Pari Passu Split","Standalone")</f>
        <v/>
      </c>
      <c r="CO50" s="78">
        <f>IF($CN50="Pari Passu Split",1,0)</f>
        <v/>
      </c>
      <c r="CP50" s="77">
        <f>IF(ISNUMBER($T50),YEAR($T50),"")</f>
        <v/>
      </c>
      <c r="CQ50" s="79">
        <f>IF(ISNUMBER($V50),$V50,IF(ISNUMBER($U50),$U50,""))</f>
        <v/>
      </c>
      <c r="CR50" s="77">
        <f>IF(ISNUMBER($CQ50),YEAR($CQ50),"")</f>
        <v/>
      </c>
      <c r="CS50" s="78">
        <f>IF(ISNUMBER($M50),MAX(0,$M50),IF(TRIM($M50&amp;"")="matured",0,""))</f>
        <v/>
      </c>
      <c r="CT50" s="78">
        <f>IF(AND(ISNUMBER($CS50),N($CS50)&lt;=mMatWindow),1,0)</f>
        <v/>
      </c>
      <c r="CU50" s="80">
        <f>IF(ISNUMBER($J50),$J50/100,"")</f>
        <v/>
      </c>
      <c r="CV50" s="81">
        <f>IF(ISNUMBER($AQ50),$AQ50,"")</f>
        <v/>
      </c>
      <c r="CW50" s="81">
        <f>IF(ISNUMBER($AR50),$AR50,"")</f>
        <v/>
      </c>
      <c r="CX50" s="82">
        <f>IF(ISNUMBER($AS50),$AS50/100,"")</f>
        <v/>
      </c>
      <c r="CY50" s="82">
        <f>IF(ISNUMBER($AT50),$AT50/100,"")</f>
        <v/>
      </c>
      <c r="CZ50" s="82">
        <f>IF(ISNUMBER($AU50),$AU50/100,"")</f>
        <v/>
      </c>
      <c r="DA50" s="82">
        <f>IF(ISNUMBER($AV50),$AV50/100,"")</f>
        <v/>
      </c>
      <c r="DB50" s="82">
        <f>IF(ISNUMBER($AW50),$AW50/100,"")</f>
        <v/>
      </c>
      <c r="DC50" s="82">
        <f>IF(ISNUMBER($AX50),$AX50/100,"")</f>
        <v/>
      </c>
      <c r="DD50" s="77">
        <f>IFERROR(VALUE(LEFT(TRIM($AO50&amp;""),4)),"")</f>
        <v/>
      </c>
      <c r="DE50" s="78">
        <f>IF(AND($BY50=1,$BX50=1,OR(fDeal="All Deals",$BU50=fDeal),OR(fEntity="All Entities",$BV50=fEntity),OR(fPType="All Property Types",$BZ50=fPType),OR(fDefeased="Include",$CJ50=0)),1,0)</f>
        <v/>
      </c>
      <c r="DF50" s="83">
        <f>$DE50*N($I50)</f>
        <v/>
      </c>
      <c r="DG50" s="78">
        <f>IF($DE50=1,IF(COUNTIFS($F$8:$F50,$F50,$DE$8:$DE50,1)=1,1,0),0)</f>
        <v/>
      </c>
      <c r="DH50" s="83">
        <f>IF($DG50=1,SUMIFS($DF$8:$DF$1600,$F$8:$F$1600,$F50),0)</f>
        <v/>
      </c>
      <c r="DI50" s="78">
        <f>IF($DG50=1,COUNTIFS($F$8:$F$1600,$F50,$DE$8:$DE$1600,1),0)</f>
        <v/>
      </c>
      <c r="DJ50" s="84">
        <f>IF($DG50=1,$DH50+(100000-ROW())/mTieBreak,0)</f>
        <v/>
      </c>
    </row>
    <row r="51">
      <c r="B51" s="68" t="n">
        <v>44</v>
      </c>
      <c r="C51" s="69" t="inlineStr">
        <is>
          <t>UBS17C02</t>
        </is>
      </c>
      <c r="D51" s="69" t="inlineStr">
        <is>
          <t>44.000</t>
        </is>
      </c>
      <c r="E51" s="69" t="inlineStr">
        <is>
          <t>Danube Apartments</t>
        </is>
      </c>
      <c r="F51" s="69" t="inlineStr">
        <is>
          <t>LNUBS17C02-44.000</t>
        </is>
      </c>
      <c r="G51" s="70" t="n"/>
      <c r="H51" s="71" t="n">
        <v>6200000</v>
      </c>
      <c r="I51" s="71" t="n">
        <v>5243686.559998801</v>
      </c>
      <c r="J51" s="72" t="n">
        <v>5.2</v>
      </c>
      <c r="K51" s="69" t="inlineStr">
        <is>
          <t>Fixed rate</t>
        </is>
      </c>
      <c r="L51" s="68" t="n">
        <v>120</v>
      </c>
      <c r="M51" s="68" t="n">
        <v>10</v>
      </c>
      <c r="N51" s="68" t="n">
        <v>360</v>
      </c>
      <c r="O51" s="68" t="n"/>
      <c r="P51" s="68" t="n"/>
      <c r="Q51" s="68" t="n">
        <v>110</v>
      </c>
      <c r="R51" s="69" t="n"/>
      <c r="S51" s="69" t="inlineStr">
        <is>
          <t>No</t>
        </is>
      </c>
      <c r="T51" s="73" t="n">
        <v>42917</v>
      </c>
      <c r="U51" s="73" t="n">
        <v>46574</v>
      </c>
      <c r="V51" s="73" t="n"/>
      <c r="W51" s="69" t="n"/>
      <c r="X51" s="69" t="inlineStr">
        <is>
          <t>Current</t>
        </is>
      </c>
      <c r="Y51" s="68" t="n"/>
      <c r="Z51" s="69" t="inlineStr">
        <is>
          <t>No Defeasance Occurred</t>
        </is>
      </c>
      <c r="AA51" s="69" t="n"/>
      <c r="AB51" s="69" t="inlineStr">
        <is>
          <t>Never special serv</t>
        </is>
      </c>
      <c r="AC51" s="73" t="n"/>
      <c r="AD51" s="69" t="n"/>
      <c r="AE51" s="69" t="n"/>
      <c r="AF51" s="69" t="inlineStr">
        <is>
          <t>FL</t>
        </is>
      </c>
      <c r="AG51" s="69" t="inlineStr">
        <is>
          <t>Orlando</t>
        </is>
      </c>
      <c r="AH51" s="69" t="inlineStr">
        <is>
          <t>Orlando-Kissimmee-Sanford, FL</t>
        </is>
      </c>
      <c r="AI51" s="69" t="inlineStr">
        <is>
          <t>South / Atlantic</t>
        </is>
      </c>
      <c r="AJ51" s="69" t="inlineStr">
        <is>
          <t>MF</t>
        </is>
      </c>
      <c r="AK51" s="69" t="inlineStr">
        <is>
          <t>Garden</t>
        </is>
      </c>
      <c r="AL51" s="68" t="n">
        <v>1</v>
      </c>
      <c r="AM51" s="68" t="n">
        <v>126</v>
      </c>
      <c r="AN51" s="68" t="n"/>
      <c r="AO51" s="69" t="inlineStr">
        <is>
          <t>1984</t>
        </is>
      </c>
      <c r="AP51" s="70" t="n">
        <v>1984</v>
      </c>
      <c r="AQ51" s="74" t="n">
        <v>1.5</v>
      </c>
      <c r="AR51" s="74" t="n">
        <v>1.83</v>
      </c>
      <c r="AS51" s="74" t="n">
        <v>58.4</v>
      </c>
      <c r="AT51" s="74" t="n">
        <v>49.47</v>
      </c>
      <c r="AU51" s="74" t="n">
        <v>48.4</v>
      </c>
      <c r="AV51" s="74" t="n">
        <v>9.885580644999999</v>
      </c>
      <c r="AW51" s="74" t="n">
        <v>16.470750304</v>
      </c>
      <c r="AX51" s="75" t="n">
        <v>89</v>
      </c>
      <c r="AY51" s="71" t="n">
        <v>10600000</v>
      </c>
      <c r="AZ51" s="71" t="n">
        <v>10600000</v>
      </c>
      <c r="BA51" s="71" t="n">
        <v>612906</v>
      </c>
      <c r="BB51" s="71" t="n">
        <v>748500.48</v>
      </c>
      <c r="BC51" s="69" t="inlineStr">
        <is>
          <t>Refinance</t>
        </is>
      </c>
      <c r="BD51" s="69" t="inlineStr">
        <is>
          <t>N</t>
        </is>
      </c>
      <c r="BE51" s="71" t="n"/>
      <c r="BF51" s="71" t="n"/>
      <c r="BG51" s="71" t="n"/>
      <c r="BH51" s="71" t="n">
        <v>0</v>
      </c>
      <c r="BI51" s="71" t="n">
        <v>0</v>
      </c>
      <c r="BJ51" s="69" t="inlineStr">
        <is>
          <t>N</t>
        </is>
      </c>
      <c r="BK51" s="69" t="n"/>
      <c r="BL51" s="75" t="n"/>
      <c r="BM51" s="73" t="n"/>
      <c r="BN51" s="69" t="inlineStr">
        <is>
          <t>Sushil Batra; Rma Batra</t>
        </is>
      </c>
      <c r="BO51" s="69" t="inlineStr">
        <is>
          <t>RMF</t>
        </is>
      </c>
      <c r="BP51" s="69" t="inlineStr">
        <is>
          <t>Midland Loan Services</t>
        </is>
      </c>
      <c r="BQ51" s="69" t="inlineStr">
        <is>
          <t>Midland Loan Services</t>
        </is>
      </c>
      <c r="BR51" s="69" t="n"/>
      <c r="BS51" s="73" t="n">
        <v>46276</v>
      </c>
      <c r="BU51" s="76">
        <f>IF($C51="","",IFERROR(INDEX(dmName,MATCH($C51,dmID,0)),"Unmapped"))</f>
        <v/>
      </c>
      <c r="BV51" s="76">
        <f>IF($C51="","",IFERROR(INDEX(dmEntity,MATCH($C51,dmID,0)),"Unmapped"))</f>
        <v/>
      </c>
      <c r="BW51" s="77">
        <f>IF($C51="","",IFERROR(INDEX(dmVintage,MATCH($C51,dmID,0)),""))</f>
        <v/>
      </c>
      <c r="BX51" s="78">
        <f>IFERROR(INDEX(dmInclude,MATCH($C51,dmID,0)),0)</f>
        <v/>
      </c>
      <c r="BY51" s="78">
        <f>IF(N($I51)&gt;0,1,0)</f>
        <v/>
      </c>
      <c r="BZ51" s="76">
        <f>IF($AJ51="","Other / Leased Fee",IFERROR(INDEX(mapPTGroup,MATCH(LEFT(TRIM($AJ51),2),mapPTCode,0)),"Other / Leased Fee"))</f>
        <v/>
      </c>
      <c r="CA51" s="76">
        <f>IF(TRIM($AF51&amp;"")="","NR",LEFT(TRIM($AF51),2))</f>
        <v/>
      </c>
      <c r="CB51" s="76">
        <f>IFERROR(LOOKUP(2,1/(LEFT(TRIM($AI51&amp;""),LEN(mapRegion))=mapRegion),mapRegion),"Not Reported")</f>
        <v/>
      </c>
      <c r="CC51" s="76">
        <f>IF($BY51=0,"",IF(TRIM($W51&amp;"")="REO","REO",IF(TRIM($W51&amp;"")="FC","Foreclosure",IF(TRIM($W51&amp;"")="90+","90+ Days Delinquent",IF(TRIM($W51&amp;"")="60","60 Days Delinquent",IF(TRIM($W51&amp;"")="30","30 Days Delinquent",IF($X51="Non-Performing Matured Balloon","Non-Performing Matured Balloon",IF(OR($X51="Late Payment But Less Than 30 Days Delinquent",LEFT($X51&amp;"",20)="Payment Not Received"),"Late / In Grace (&lt;30 Days)",IF($X51="Performing Matured Balloon","Performing Matured Balloon","Current")))))))))</f>
        <v/>
      </c>
      <c r="CD51" s="78">
        <f>IF(OR($CC51="REO",$CC51="Foreclosure",$CC51="90+ Days Delinquent",$CC51="60 Days Delinquent",$CC51="30 Days Delinquent",$CC51="Non-Performing Matured Balloon"),1,0)</f>
        <v/>
      </c>
      <c r="CE51" s="76">
        <f>IF($AB51="Currently special serv","Currently Specially Serviced",IF($AB51="Returned to master serv","Previously Specially Serviced","Never Specially Serviced"))</f>
        <v/>
      </c>
      <c r="CF51" s="78">
        <f>IF($CE51="Currently Specially Serviced",1,0)</f>
        <v/>
      </c>
      <c r="CG51" s="76">
        <f>IF($AA51="Yes","Currently on Watchlist",IF($AA51="Previously","Previously on Watchlist","Never on Watchlist"))</f>
        <v/>
      </c>
      <c r="CH51" s="78">
        <f>IF($CG51="Currently on Watchlist",1,0)</f>
        <v/>
      </c>
      <c r="CI51" s="76">
        <f>IF($Z51="Full Defeasance","Fully Defeased",IF($Z51="Portion Of Loan Previously Defeased","Partially Defeased",IF($Z51="Defeasance Not Allowable","Not Defeased (Not Permitted)","Not Defeased")))</f>
        <v/>
      </c>
      <c r="CJ51" s="78">
        <f>IF($CI51="Fully Defeased",1,0)</f>
        <v/>
      </c>
      <c r="CK51" s="76">
        <f>IF($R51="IO","Full IO",IF(LEFT($R51&amp;"",7)="IO then","Partial IO","Amortizing"))</f>
        <v/>
      </c>
      <c r="CL51" s="78">
        <f>IF($CK51="Full IO",1,0)</f>
        <v/>
      </c>
      <c r="CM51" s="78">
        <f>IF($CK51="Partial IO",1,0)</f>
        <v/>
      </c>
      <c r="CN51" s="76">
        <f>IF(LEFT($F51&amp;"",10)="SPLIT_LOAN","Pari Passu Split","Standalone")</f>
        <v/>
      </c>
      <c r="CO51" s="78">
        <f>IF($CN51="Pari Passu Split",1,0)</f>
        <v/>
      </c>
      <c r="CP51" s="77">
        <f>IF(ISNUMBER($T51),YEAR($T51),"")</f>
        <v/>
      </c>
      <c r="CQ51" s="79">
        <f>IF(ISNUMBER($V51),$V51,IF(ISNUMBER($U51),$U51,""))</f>
        <v/>
      </c>
      <c r="CR51" s="77">
        <f>IF(ISNUMBER($CQ51),YEAR($CQ51),"")</f>
        <v/>
      </c>
      <c r="CS51" s="78">
        <f>IF(ISNUMBER($M51),MAX(0,$M51),IF(TRIM($M51&amp;"")="matured",0,""))</f>
        <v/>
      </c>
      <c r="CT51" s="78">
        <f>IF(AND(ISNUMBER($CS51),N($CS51)&lt;=mMatWindow),1,0)</f>
        <v/>
      </c>
      <c r="CU51" s="80">
        <f>IF(ISNUMBER($J51),$J51/100,"")</f>
        <v/>
      </c>
      <c r="CV51" s="81">
        <f>IF(ISNUMBER($AQ51),$AQ51,"")</f>
        <v/>
      </c>
      <c r="CW51" s="81">
        <f>IF(ISNUMBER($AR51),$AR51,"")</f>
        <v/>
      </c>
      <c r="CX51" s="82">
        <f>IF(ISNUMBER($AS51),$AS51/100,"")</f>
        <v/>
      </c>
      <c r="CY51" s="82">
        <f>IF(ISNUMBER($AT51),$AT51/100,"")</f>
        <v/>
      </c>
      <c r="CZ51" s="82">
        <f>IF(ISNUMBER($AU51),$AU51/100,"")</f>
        <v/>
      </c>
      <c r="DA51" s="82">
        <f>IF(ISNUMBER($AV51),$AV51/100,"")</f>
        <v/>
      </c>
      <c r="DB51" s="82">
        <f>IF(ISNUMBER($AW51),$AW51/100,"")</f>
        <v/>
      </c>
      <c r="DC51" s="82">
        <f>IF(ISNUMBER($AX51),$AX51/100,"")</f>
        <v/>
      </c>
      <c r="DD51" s="77">
        <f>IFERROR(VALUE(LEFT(TRIM($AO51&amp;""),4)),"")</f>
        <v/>
      </c>
      <c r="DE51" s="78">
        <f>IF(AND($BY51=1,$BX51=1,OR(fDeal="All Deals",$BU51=fDeal),OR(fEntity="All Entities",$BV51=fEntity),OR(fPType="All Property Types",$BZ51=fPType),OR(fDefeased="Include",$CJ51=0)),1,0)</f>
        <v/>
      </c>
      <c r="DF51" s="83">
        <f>$DE51*N($I51)</f>
        <v/>
      </c>
      <c r="DG51" s="78">
        <f>IF($DE51=1,IF(COUNTIFS($F$8:$F51,$F51,$DE$8:$DE51,1)=1,1,0),0)</f>
        <v/>
      </c>
      <c r="DH51" s="83">
        <f>IF($DG51=1,SUMIFS($DF$8:$DF$1600,$F$8:$F$1600,$F51),0)</f>
        <v/>
      </c>
      <c r="DI51" s="78">
        <f>IF($DG51=1,COUNTIFS($F$8:$F$1600,$F51,$DE$8:$DE$1600,1),0)</f>
        <v/>
      </c>
      <c r="DJ51" s="84">
        <f>IF($DG51=1,$DH51+(100000-ROW())/mTieBreak,0)</f>
        <v/>
      </c>
    </row>
    <row r="52">
      <c r="B52" s="68" t="n">
        <v>45</v>
      </c>
      <c r="C52" s="69" t="inlineStr">
        <is>
          <t>UBS17C02</t>
        </is>
      </c>
      <c r="D52" s="69" t="inlineStr">
        <is>
          <t>45.000</t>
        </is>
      </c>
      <c r="E52" s="69" t="inlineStr">
        <is>
          <t>Tuscany Mobile Home Park</t>
        </is>
      </c>
      <c r="F52" s="69" t="inlineStr">
        <is>
          <t>LNUBS17C02-45.000</t>
        </is>
      </c>
      <c r="G52" s="70" t="n"/>
      <c r="H52" s="71" t="n">
        <v>6100000</v>
      </c>
      <c r="I52" s="71" t="n">
        <v>5060988.990003001</v>
      </c>
      <c r="J52" s="72" t="n">
        <v>4.5597</v>
      </c>
      <c r="K52" s="69" t="inlineStr">
        <is>
          <t>Fixed rate</t>
        </is>
      </c>
      <c r="L52" s="68" t="n">
        <v>120</v>
      </c>
      <c r="M52" s="68" t="n">
        <v>10</v>
      </c>
      <c r="N52" s="68" t="n">
        <v>360</v>
      </c>
      <c r="O52" s="68" t="n"/>
      <c r="P52" s="68" t="n"/>
      <c r="Q52" s="68" t="n">
        <v>110</v>
      </c>
      <c r="R52" s="69" t="n"/>
      <c r="S52" s="69" t="inlineStr">
        <is>
          <t>No</t>
        </is>
      </c>
      <c r="T52" s="73" t="n">
        <v>42917</v>
      </c>
      <c r="U52" s="73" t="n">
        <v>46574</v>
      </c>
      <c r="V52" s="73" t="n"/>
      <c r="W52" s="69" t="n"/>
      <c r="X52" s="69" t="inlineStr">
        <is>
          <t>Current</t>
        </is>
      </c>
      <c r="Y52" s="68" t="n"/>
      <c r="Z52" s="69" t="inlineStr">
        <is>
          <t>Defeasance Not Allowable</t>
        </is>
      </c>
      <c r="AA52" s="69" t="inlineStr">
        <is>
          <t>Yes</t>
        </is>
      </c>
      <c r="AB52" s="69" t="inlineStr">
        <is>
          <t>Never special serv</t>
        </is>
      </c>
      <c r="AC52" s="73" t="n"/>
      <c r="AD52" s="69" t="n"/>
      <c r="AE52" s="69" t="n"/>
      <c r="AF52" s="69" t="inlineStr">
        <is>
          <t>AZ</t>
        </is>
      </c>
      <c r="AG52" s="69" t="inlineStr">
        <is>
          <t>Yuma</t>
        </is>
      </c>
      <c r="AH52" s="69" t="inlineStr">
        <is>
          <t>Yuma, AZ</t>
        </is>
      </c>
      <c r="AI52" s="69" t="inlineStr">
        <is>
          <t>West / Mountain</t>
        </is>
      </c>
      <c r="AJ52" s="69" t="inlineStr">
        <is>
          <t>MH</t>
        </is>
      </c>
      <c r="AK52" s="69" t="n"/>
      <c r="AL52" s="68" t="n">
        <v>1</v>
      </c>
      <c r="AM52" s="68" t="n">
        <v>125</v>
      </c>
      <c r="AN52" s="68" t="n"/>
      <c r="AO52" s="69" t="inlineStr">
        <is>
          <t>1998</t>
        </is>
      </c>
      <c r="AP52" s="70" t="n">
        <v>1998</v>
      </c>
      <c r="AQ52" s="74" t="n">
        <v>1.52</v>
      </c>
      <c r="AR52" s="74" t="n">
        <v>1.52</v>
      </c>
      <c r="AS52" s="74" t="n">
        <v>62.2</v>
      </c>
      <c r="AT52" s="74" t="n">
        <v>51.64</v>
      </c>
      <c r="AU52" s="74" t="n">
        <v>50.4</v>
      </c>
      <c r="AV52" s="74" t="n">
        <v>9.333983607</v>
      </c>
      <c r="AW52" s="74" t="n">
        <v>12.235556553</v>
      </c>
      <c r="AX52" s="75" t="n">
        <v>98</v>
      </c>
      <c r="AY52" s="71" t="n">
        <v>9800000</v>
      </c>
      <c r="AZ52" s="71" t="n">
        <v>9800000</v>
      </c>
      <c r="BA52" s="71" t="n">
        <v>569373</v>
      </c>
      <c r="BB52" s="71" t="n">
        <v>567643.3100000001</v>
      </c>
      <c r="BC52" s="69" t="inlineStr">
        <is>
          <t>Refinance</t>
        </is>
      </c>
      <c r="BD52" s="69" t="inlineStr">
        <is>
          <t>N</t>
        </is>
      </c>
      <c r="BE52" s="71" t="n"/>
      <c r="BF52" s="71" t="n"/>
      <c r="BG52" s="71" t="n"/>
      <c r="BH52" s="71" t="n">
        <v>0</v>
      </c>
      <c r="BI52" s="71" t="n">
        <v>0</v>
      </c>
      <c r="BJ52" s="69" t="inlineStr">
        <is>
          <t>N</t>
        </is>
      </c>
      <c r="BK52" s="69" t="n"/>
      <c r="BL52" s="75" t="n"/>
      <c r="BM52" s="73" t="n"/>
      <c r="BN52" s="69" t="inlineStr">
        <is>
          <t>Leslie A. Airington; Randall P. Thomas</t>
        </is>
      </c>
      <c r="BO52" s="69" t="inlineStr">
        <is>
          <t>UBS</t>
        </is>
      </c>
      <c r="BP52" s="69" t="inlineStr">
        <is>
          <t>Midland Loan Services</t>
        </is>
      </c>
      <c r="BQ52" s="69" t="inlineStr">
        <is>
          <t>Midland Loan Services</t>
        </is>
      </c>
      <c r="BR52" s="69" t="n"/>
      <c r="BS52" s="73" t="n">
        <v>46276</v>
      </c>
      <c r="BU52" s="76">
        <f>IF($C52="","",IFERROR(INDEX(dmName,MATCH($C52,dmID,0)),"Unmapped"))</f>
        <v/>
      </c>
      <c r="BV52" s="76">
        <f>IF($C52="","",IFERROR(INDEX(dmEntity,MATCH($C52,dmID,0)),"Unmapped"))</f>
        <v/>
      </c>
      <c r="BW52" s="77">
        <f>IF($C52="","",IFERROR(INDEX(dmVintage,MATCH($C52,dmID,0)),""))</f>
        <v/>
      </c>
      <c r="BX52" s="78">
        <f>IFERROR(INDEX(dmInclude,MATCH($C52,dmID,0)),0)</f>
        <v/>
      </c>
      <c r="BY52" s="78">
        <f>IF(N($I52)&gt;0,1,0)</f>
        <v/>
      </c>
      <c r="BZ52" s="76">
        <f>IF($AJ52="","Other / Leased Fee",IFERROR(INDEX(mapPTGroup,MATCH(LEFT(TRIM($AJ52),2),mapPTCode,0)),"Other / Leased Fee"))</f>
        <v/>
      </c>
      <c r="CA52" s="76">
        <f>IF(TRIM($AF52&amp;"")="","NR",LEFT(TRIM($AF52),2))</f>
        <v/>
      </c>
      <c r="CB52" s="76">
        <f>IFERROR(LOOKUP(2,1/(LEFT(TRIM($AI52&amp;""),LEN(mapRegion))=mapRegion),mapRegion),"Not Reported")</f>
        <v/>
      </c>
      <c r="CC52" s="76">
        <f>IF($BY52=0,"",IF(TRIM($W52&amp;"")="REO","REO",IF(TRIM($W52&amp;"")="FC","Foreclosure",IF(TRIM($W52&amp;"")="90+","90+ Days Delinquent",IF(TRIM($W52&amp;"")="60","60 Days Delinquent",IF(TRIM($W52&amp;"")="30","30 Days Delinquent",IF($X52="Non-Performing Matured Balloon","Non-Performing Matured Balloon",IF(OR($X52="Late Payment But Less Than 30 Days Delinquent",LEFT($X52&amp;"",20)="Payment Not Received"),"Late / In Grace (&lt;30 Days)",IF($X52="Performing Matured Balloon","Performing Matured Balloon","Current")))))))))</f>
        <v/>
      </c>
      <c r="CD52" s="78">
        <f>IF(OR($CC52="REO",$CC52="Foreclosure",$CC52="90+ Days Delinquent",$CC52="60 Days Delinquent",$CC52="30 Days Delinquent",$CC52="Non-Performing Matured Balloon"),1,0)</f>
        <v/>
      </c>
      <c r="CE52" s="76">
        <f>IF($AB52="Currently special serv","Currently Specially Serviced",IF($AB52="Returned to master serv","Previously Specially Serviced","Never Specially Serviced"))</f>
        <v/>
      </c>
      <c r="CF52" s="78">
        <f>IF($CE52="Currently Specially Serviced",1,0)</f>
        <v/>
      </c>
      <c r="CG52" s="76">
        <f>IF($AA52="Yes","Currently on Watchlist",IF($AA52="Previously","Previously on Watchlist","Never on Watchlist"))</f>
        <v/>
      </c>
      <c r="CH52" s="78">
        <f>IF($CG52="Currently on Watchlist",1,0)</f>
        <v/>
      </c>
      <c r="CI52" s="76">
        <f>IF($Z52="Full Defeasance","Fully Defeased",IF($Z52="Portion Of Loan Previously Defeased","Partially Defeased",IF($Z52="Defeasance Not Allowable","Not Defeased (Not Permitted)","Not Defeased")))</f>
        <v/>
      </c>
      <c r="CJ52" s="78">
        <f>IF($CI52="Fully Defeased",1,0)</f>
        <v/>
      </c>
      <c r="CK52" s="76">
        <f>IF($R52="IO","Full IO",IF(LEFT($R52&amp;"",7)="IO then","Partial IO","Amortizing"))</f>
        <v/>
      </c>
      <c r="CL52" s="78">
        <f>IF($CK52="Full IO",1,0)</f>
        <v/>
      </c>
      <c r="CM52" s="78">
        <f>IF($CK52="Partial IO",1,0)</f>
        <v/>
      </c>
      <c r="CN52" s="76">
        <f>IF(LEFT($F52&amp;"",10)="SPLIT_LOAN","Pari Passu Split","Standalone")</f>
        <v/>
      </c>
      <c r="CO52" s="78">
        <f>IF($CN52="Pari Passu Split",1,0)</f>
        <v/>
      </c>
      <c r="CP52" s="77">
        <f>IF(ISNUMBER($T52),YEAR($T52),"")</f>
        <v/>
      </c>
      <c r="CQ52" s="79">
        <f>IF(ISNUMBER($V52),$V52,IF(ISNUMBER($U52),$U52,""))</f>
        <v/>
      </c>
      <c r="CR52" s="77">
        <f>IF(ISNUMBER($CQ52),YEAR($CQ52),"")</f>
        <v/>
      </c>
      <c r="CS52" s="78">
        <f>IF(ISNUMBER($M52),MAX(0,$M52),IF(TRIM($M52&amp;"")="matured",0,""))</f>
        <v/>
      </c>
      <c r="CT52" s="78">
        <f>IF(AND(ISNUMBER($CS52),N($CS52)&lt;=mMatWindow),1,0)</f>
        <v/>
      </c>
      <c r="CU52" s="80">
        <f>IF(ISNUMBER($J52),$J52/100,"")</f>
        <v/>
      </c>
      <c r="CV52" s="81">
        <f>IF(ISNUMBER($AQ52),$AQ52,"")</f>
        <v/>
      </c>
      <c r="CW52" s="81">
        <f>IF(ISNUMBER($AR52),$AR52,"")</f>
        <v/>
      </c>
      <c r="CX52" s="82">
        <f>IF(ISNUMBER($AS52),$AS52/100,"")</f>
        <v/>
      </c>
      <c r="CY52" s="82">
        <f>IF(ISNUMBER($AT52),$AT52/100,"")</f>
        <v/>
      </c>
      <c r="CZ52" s="82">
        <f>IF(ISNUMBER($AU52),$AU52/100,"")</f>
        <v/>
      </c>
      <c r="DA52" s="82">
        <f>IF(ISNUMBER($AV52),$AV52/100,"")</f>
        <v/>
      </c>
      <c r="DB52" s="82">
        <f>IF(ISNUMBER($AW52),$AW52/100,"")</f>
        <v/>
      </c>
      <c r="DC52" s="82">
        <f>IF(ISNUMBER($AX52),$AX52/100,"")</f>
        <v/>
      </c>
      <c r="DD52" s="77">
        <f>IFERROR(VALUE(LEFT(TRIM($AO52&amp;""),4)),"")</f>
        <v/>
      </c>
      <c r="DE52" s="78">
        <f>IF(AND($BY52=1,$BX52=1,OR(fDeal="All Deals",$BU52=fDeal),OR(fEntity="All Entities",$BV52=fEntity),OR(fPType="All Property Types",$BZ52=fPType),OR(fDefeased="Include",$CJ52=0)),1,0)</f>
        <v/>
      </c>
      <c r="DF52" s="83">
        <f>$DE52*N($I52)</f>
        <v/>
      </c>
      <c r="DG52" s="78">
        <f>IF($DE52=1,IF(COUNTIFS($F$8:$F52,$F52,$DE$8:$DE52,1)=1,1,0),0)</f>
        <v/>
      </c>
      <c r="DH52" s="83">
        <f>IF($DG52=1,SUMIFS($DF$8:$DF$1600,$F$8:$F$1600,$F52),0)</f>
        <v/>
      </c>
      <c r="DI52" s="78">
        <f>IF($DG52=1,COUNTIFS($F$8:$F$1600,$F52,$DE$8:$DE$1600,1),0)</f>
        <v/>
      </c>
      <c r="DJ52" s="84">
        <f>IF($DG52=1,$DH52+(100000-ROW())/mTieBreak,0)</f>
        <v/>
      </c>
    </row>
    <row r="53">
      <c r="B53" s="68" t="n">
        <v>46</v>
      </c>
      <c r="C53" s="69" t="inlineStr">
        <is>
          <t>UBS17C02</t>
        </is>
      </c>
      <c r="D53" s="69" t="inlineStr">
        <is>
          <t>46.000</t>
        </is>
      </c>
      <c r="E53" s="69" t="inlineStr">
        <is>
          <t>Hampton Inn &amp; Suites - Binghamton/Vestal</t>
        </is>
      </c>
      <c r="F53" s="69" t="inlineStr">
        <is>
          <t>LNUBS17C02-46.000</t>
        </is>
      </c>
      <c r="G53" s="70" t="n"/>
      <c r="H53" s="71" t="n">
        <v>6000000</v>
      </c>
      <c r="I53" s="71" t="n">
        <v>0</v>
      </c>
      <c r="J53" s="72" t="n">
        <v>5.45</v>
      </c>
      <c r="K53" s="69" t="inlineStr">
        <is>
          <t>Fixed rate</t>
        </is>
      </c>
      <c r="L53" s="68" t="n">
        <v>120</v>
      </c>
      <c r="M53" s="68" t="n"/>
      <c r="N53" s="68" t="n">
        <v>360</v>
      </c>
      <c r="O53" s="68" t="n"/>
      <c r="P53" s="68" t="n"/>
      <c r="Q53" s="68" t="n"/>
      <c r="R53" s="69" t="n"/>
      <c r="S53" s="69" t="inlineStr">
        <is>
          <t>No</t>
        </is>
      </c>
      <c r="T53" s="73" t="n">
        <v>42917</v>
      </c>
      <c r="U53" s="73" t="n">
        <v>46574</v>
      </c>
      <c r="V53" s="73" t="n"/>
      <c r="W53" s="69" t="n"/>
      <c r="X53" s="69" t="inlineStr">
        <is>
          <t>Current</t>
        </is>
      </c>
      <c r="Y53" s="68" t="n"/>
      <c r="Z53" s="69" t="inlineStr">
        <is>
          <t>No Defeasance Occurred</t>
        </is>
      </c>
      <c r="AA53" s="69" t="inlineStr">
        <is>
          <t>Previously</t>
        </is>
      </c>
      <c r="AB53" s="69" t="inlineStr">
        <is>
          <t>Currently special serv</t>
        </is>
      </c>
      <c r="AC53" s="73" t="n">
        <v>44033</v>
      </c>
      <c r="AD53" s="69" t="inlineStr">
        <is>
          <t>Other</t>
        </is>
      </c>
      <c r="AE53" s="69" t="inlineStr">
        <is>
          <t>Resolved</t>
        </is>
      </c>
      <c r="AF53" s="69" t="inlineStr">
        <is>
          <t>NY</t>
        </is>
      </c>
      <c r="AG53" s="69" t="inlineStr">
        <is>
          <t>Vestal</t>
        </is>
      </c>
      <c r="AH53" s="69" t="inlineStr">
        <is>
          <t>Binghamton, NY</t>
        </is>
      </c>
      <c r="AI53" s="69" t="inlineStr">
        <is>
          <t>Northeast / Mid-Atlantic</t>
        </is>
      </c>
      <c r="AJ53" s="69" t="inlineStr">
        <is>
          <t>HT</t>
        </is>
      </c>
      <c r="AK53" s="69" t="inlineStr">
        <is>
          <t>Limited Service</t>
        </is>
      </c>
      <c r="AL53" s="68" t="n">
        <v>1</v>
      </c>
      <c r="AM53" s="68" t="n">
        <v>79</v>
      </c>
      <c r="AN53" s="68" t="n"/>
      <c r="AO53" s="69" t="inlineStr">
        <is>
          <t>1999</t>
        </is>
      </c>
      <c r="AP53" s="70" t="n">
        <v>2007</v>
      </c>
      <c r="AQ53" s="74" t="n">
        <v>1.48</v>
      </c>
      <c r="AR53" s="74" t="n">
        <v>1.09</v>
      </c>
      <c r="AS53" s="74" t="n">
        <v>61.8</v>
      </c>
      <c r="AT53" s="74" t="n"/>
      <c r="AU53" s="74" t="n">
        <v>51.6</v>
      </c>
      <c r="AV53" s="74" t="n">
        <v>10.002986</v>
      </c>
      <c r="AW53" s="74" t="n"/>
      <c r="AX53" s="75" t="n">
        <v>70</v>
      </c>
      <c r="AY53" s="71" t="n">
        <v>9700000</v>
      </c>
      <c r="AZ53" s="71" t="n">
        <v>8800000</v>
      </c>
      <c r="BA53" s="71" t="n">
        <v>600179.16</v>
      </c>
      <c r="BB53" s="71" t="n">
        <v>441623.84</v>
      </c>
      <c r="BC53" s="69" t="inlineStr">
        <is>
          <t>Refinance</t>
        </is>
      </c>
      <c r="BD53" s="69" t="inlineStr">
        <is>
          <t>N</t>
        </is>
      </c>
      <c r="BE53" s="71" t="n"/>
      <c r="BF53" s="71" t="n"/>
      <c r="BG53" s="71" t="n"/>
      <c r="BH53" s="71" t="n">
        <v>0</v>
      </c>
      <c r="BI53" s="71" t="n">
        <v>0</v>
      </c>
      <c r="BJ53" s="69" t="inlineStr">
        <is>
          <t>Y</t>
        </is>
      </c>
      <c r="BK53" s="69" t="n"/>
      <c r="BL53" s="75" t="n"/>
      <c r="BM53" s="73" t="n"/>
      <c r="BN53" s="69" t="inlineStr">
        <is>
          <t>George J. Tsunis; Olga J. Tsunis</t>
        </is>
      </c>
      <c r="BO53" s="69" t="inlineStr">
        <is>
          <t>RMF</t>
        </is>
      </c>
      <c r="BP53" s="69" t="inlineStr">
        <is>
          <t>Midland Loan Services</t>
        </is>
      </c>
      <c r="BQ53" s="69" t="inlineStr">
        <is>
          <t>Midland Loan Services</t>
        </is>
      </c>
      <c r="BR53" s="69" t="inlineStr">
        <is>
          <t>Payoff Prior To Maturity</t>
        </is>
      </c>
      <c r="BS53" s="73" t="n">
        <v>46092</v>
      </c>
      <c r="BU53" s="76">
        <f>IF($C53="","",IFERROR(INDEX(dmName,MATCH($C53,dmID,0)),"Unmapped"))</f>
        <v/>
      </c>
      <c r="BV53" s="76">
        <f>IF($C53="","",IFERROR(INDEX(dmEntity,MATCH($C53,dmID,0)),"Unmapped"))</f>
        <v/>
      </c>
      <c r="BW53" s="77">
        <f>IF($C53="","",IFERROR(INDEX(dmVintage,MATCH($C53,dmID,0)),""))</f>
        <v/>
      </c>
      <c r="BX53" s="78">
        <f>IFERROR(INDEX(dmInclude,MATCH($C53,dmID,0)),0)</f>
        <v/>
      </c>
      <c r="BY53" s="78">
        <f>IF(N($I53)&gt;0,1,0)</f>
        <v/>
      </c>
      <c r="BZ53" s="76">
        <f>IF($AJ53="","Other / Leased Fee",IFERROR(INDEX(mapPTGroup,MATCH(LEFT(TRIM($AJ53),2),mapPTCode,0)),"Other / Leased Fee"))</f>
        <v/>
      </c>
      <c r="CA53" s="76">
        <f>IF(TRIM($AF53&amp;"")="","NR",LEFT(TRIM($AF53),2))</f>
        <v/>
      </c>
      <c r="CB53" s="76">
        <f>IFERROR(LOOKUP(2,1/(LEFT(TRIM($AI53&amp;""),LEN(mapRegion))=mapRegion),mapRegion),"Not Reported")</f>
        <v/>
      </c>
      <c r="CC53" s="76">
        <f>IF($BY53=0,"",IF(TRIM($W53&amp;"")="REO","REO",IF(TRIM($W53&amp;"")="FC","Foreclosure",IF(TRIM($W53&amp;"")="90+","90+ Days Delinquent",IF(TRIM($W53&amp;"")="60","60 Days Delinquent",IF(TRIM($W53&amp;"")="30","30 Days Delinquent",IF($X53="Non-Performing Matured Balloon","Non-Performing Matured Balloon",IF(OR($X53="Late Payment But Less Than 30 Days Delinquent",LEFT($X53&amp;"",20)="Payment Not Received"),"Late / In Grace (&lt;30 Days)",IF($X53="Performing Matured Balloon","Performing Matured Balloon","Current")))))))))</f>
        <v/>
      </c>
      <c r="CD53" s="78">
        <f>IF(OR($CC53="REO",$CC53="Foreclosure",$CC53="90+ Days Delinquent",$CC53="60 Days Delinquent",$CC53="30 Days Delinquent",$CC53="Non-Performing Matured Balloon"),1,0)</f>
        <v/>
      </c>
      <c r="CE53" s="76">
        <f>IF($AB53="Currently special serv","Currently Specially Serviced",IF($AB53="Returned to master serv","Previously Specially Serviced","Never Specially Serviced"))</f>
        <v/>
      </c>
      <c r="CF53" s="78">
        <f>IF($CE53="Currently Specially Serviced",1,0)</f>
        <v/>
      </c>
      <c r="CG53" s="76">
        <f>IF($AA53="Yes","Currently on Watchlist",IF($AA53="Previously","Previously on Watchlist","Never on Watchlist"))</f>
        <v/>
      </c>
      <c r="CH53" s="78">
        <f>IF($CG53="Currently on Watchlist",1,0)</f>
        <v/>
      </c>
      <c r="CI53" s="76">
        <f>IF($Z53="Full Defeasance","Fully Defeased",IF($Z53="Portion Of Loan Previously Defeased","Partially Defeased",IF($Z53="Defeasance Not Allowable","Not Defeased (Not Permitted)","Not Defeased")))</f>
        <v/>
      </c>
      <c r="CJ53" s="78">
        <f>IF($CI53="Fully Defeased",1,0)</f>
        <v/>
      </c>
      <c r="CK53" s="76">
        <f>IF($R53="IO","Full IO",IF(LEFT($R53&amp;"",7)="IO then","Partial IO","Amortizing"))</f>
        <v/>
      </c>
      <c r="CL53" s="78">
        <f>IF($CK53="Full IO",1,0)</f>
        <v/>
      </c>
      <c r="CM53" s="78">
        <f>IF($CK53="Partial IO",1,0)</f>
        <v/>
      </c>
      <c r="CN53" s="76">
        <f>IF(LEFT($F53&amp;"",10)="SPLIT_LOAN","Pari Passu Split","Standalone")</f>
        <v/>
      </c>
      <c r="CO53" s="78">
        <f>IF($CN53="Pari Passu Split",1,0)</f>
        <v/>
      </c>
      <c r="CP53" s="77">
        <f>IF(ISNUMBER($T53),YEAR($T53),"")</f>
        <v/>
      </c>
      <c r="CQ53" s="79">
        <f>IF(ISNUMBER($V53),$V53,IF(ISNUMBER($U53),$U53,""))</f>
        <v/>
      </c>
      <c r="CR53" s="77">
        <f>IF(ISNUMBER($CQ53),YEAR($CQ53),"")</f>
        <v/>
      </c>
      <c r="CS53" s="78">
        <f>IF(ISNUMBER($M53),MAX(0,$M53),IF(TRIM($M53&amp;"")="matured",0,""))</f>
        <v/>
      </c>
      <c r="CT53" s="78">
        <f>IF(AND(ISNUMBER($CS53),N($CS53)&lt;=mMatWindow),1,0)</f>
        <v/>
      </c>
      <c r="CU53" s="80">
        <f>IF(ISNUMBER($J53),$J53/100,"")</f>
        <v/>
      </c>
      <c r="CV53" s="81">
        <f>IF(ISNUMBER($AQ53),$AQ53,"")</f>
        <v/>
      </c>
      <c r="CW53" s="81">
        <f>IF(ISNUMBER($AR53),$AR53,"")</f>
        <v/>
      </c>
      <c r="CX53" s="82">
        <f>IF(ISNUMBER($AS53),$AS53/100,"")</f>
        <v/>
      </c>
      <c r="CY53" s="82">
        <f>IF(ISNUMBER($AT53),$AT53/100,"")</f>
        <v/>
      </c>
      <c r="CZ53" s="82">
        <f>IF(ISNUMBER($AU53),$AU53/100,"")</f>
        <v/>
      </c>
      <c r="DA53" s="82">
        <f>IF(ISNUMBER($AV53),$AV53/100,"")</f>
        <v/>
      </c>
      <c r="DB53" s="82">
        <f>IF(ISNUMBER($AW53),$AW53/100,"")</f>
        <v/>
      </c>
      <c r="DC53" s="82">
        <f>IF(ISNUMBER($AX53),$AX53/100,"")</f>
        <v/>
      </c>
      <c r="DD53" s="77">
        <f>IFERROR(VALUE(LEFT(TRIM($AO53&amp;""),4)),"")</f>
        <v/>
      </c>
      <c r="DE53" s="78">
        <f>IF(AND($BY53=1,$BX53=1,OR(fDeal="All Deals",$BU53=fDeal),OR(fEntity="All Entities",$BV53=fEntity),OR(fPType="All Property Types",$BZ53=fPType),OR(fDefeased="Include",$CJ53=0)),1,0)</f>
        <v/>
      </c>
      <c r="DF53" s="83">
        <f>$DE53*N($I53)</f>
        <v/>
      </c>
      <c r="DG53" s="78">
        <f>IF($DE53=1,IF(COUNTIFS($F$8:$F53,$F53,$DE$8:$DE53,1)=1,1,0),0)</f>
        <v/>
      </c>
      <c r="DH53" s="83">
        <f>IF($DG53=1,SUMIFS($DF$8:$DF$1600,$F$8:$F$1600,$F53),0)</f>
        <v/>
      </c>
      <c r="DI53" s="78">
        <f>IF($DG53=1,COUNTIFS($F$8:$F$1600,$F53,$DE$8:$DE$1600,1),0)</f>
        <v/>
      </c>
      <c r="DJ53" s="84">
        <f>IF($DG53=1,$DH53+(100000-ROW())/mTieBreak,0)</f>
        <v/>
      </c>
    </row>
    <row r="54">
      <c r="B54" s="68" t="n">
        <v>47</v>
      </c>
      <c r="C54" s="69" t="inlineStr">
        <is>
          <t>UBS17C02</t>
        </is>
      </c>
      <c r="D54" s="69" t="inlineStr">
        <is>
          <t>47.000</t>
        </is>
      </c>
      <c r="E54" s="69" t="inlineStr">
        <is>
          <t>El Dorado Retail</t>
        </is>
      </c>
      <c r="F54" s="69" t="inlineStr">
        <is>
          <t>LNUBS17C02-47.000</t>
        </is>
      </c>
      <c r="G54" s="70" t="n"/>
      <c r="H54" s="71" t="n">
        <v>5850000</v>
      </c>
      <c r="I54" s="71" t="n">
        <v>4967457.409997551</v>
      </c>
      <c r="J54" s="72" t="n">
        <v>5.2722</v>
      </c>
      <c r="K54" s="69" t="inlineStr">
        <is>
          <t>Fixed rate</t>
        </is>
      </c>
      <c r="L54" s="68" t="n">
        <v>120</v>
      </c>
      <c r="M54" s="68" t="n">
        <v>11</v>
      </c>
      <c r="N54" s="68" t="n">
        <v>360</v>
      </c>
      <c r="O54" s="68" t="n"/>
      <c r="P54" s="68" t="n"/>
      <c r="Q54" s="68" t="n">
        <v>109</v>
      </c>
      <c r="R54" s="69" t="n"/>
      <c r="S54" s="69" t="inlineStr">
        <is>
          <t>No</t>
        </is>
      </c>
      <c r="T54" s="73" t="n">
        <v>42948</v>
      </c>
      <c r="U54" s="73" t="n">
        <v>46605</v>
      </c>
      <c r="V54" s="73" t="n"/>
      <c r="W54" s="69" t="n"/>
      <c r="X54" s="69" t="inlineStr">
        <is>
          <t>Current</t>
        </is>
      </c>
      <c r="Y54" s="68" t="n"/>
      <c r="Z54" s="69" t="inlineStr">
        <is>
          <t>Defeasance Not Allowable</t>
        </is>
      </c>
      <c r="AA54" s="69" t="inlineStr">
        <is>
          <t>Previously</t>
        </is>
      </c>
      <c r="AB54" s="69" t="inlineStr">
        <is>
          <t>Never special serv</t>
        </is>
      </c>
      <c r="AC54" s="73" t="n"/>
      <c r="AD54" s="69" t="n"/>
      <c r="AE54" s="69" t="n"/>
      <c r="AF54" s="69" t="inlineStr">
        <is>
          <t>CA</t>
        </is>
      </c>
      <c r="AG54" s="69" t="inlineStr">
        <is>
          <t>El Centro</t>
        </is>
      </c>
      <c r="AH54" s="69" t="inlineStr">
        <is>
          <t>El Centro, CA</t>
        </is>
      </c>
      <c r="AI54" s="69" t="inlineStr">
        <is>
          <t>West / Pacific South</t>
        </is>
      </c>
      <c r="AJ54" s="69" t="inlineStr">
        <is>
          <t>RT</t>
        </is>
      </c>
      <c r="AK54" s="69" t="inlineStr">
        <is>
          <t>Anchored</t>
        </is>
      </c>
      <c r="AL54" s="68" t="n">
        <v>1</v>
      </c>
      <c r="AM54" s="68" t="n"/>
      <c r="AN54" s="68" t="n">
        <v>62106</v>
      </c>
      <c r="AO54" s="69" t="inlineStr">
        <is>
          <t>1986</t>
        </is>
      </c>
      <c r="AP54" s="70" t="n">
        <v>1986</v>
      </c>
      <c r="AQ54" s="74" t="n">
        <v>1.55</v>
      </c>
      <c r="AR54" s="74" t="n">
        <v>1.42</v>
      </c>
      <c r="AS54" s="74" t="n">
        <v>61.6</v>
      </c>
      <c r="AT54" s="74" t="n">
        <v>52.29</v>
      </c>
      <c r="AU54" s="74" t="n">
        <v>51.1</v>
      </c>
      <c r="AV54" s="74" t="n">
        <v>10.32382906</v>
      </c>
      <c r="AW54" s="74" t="n">
        <v>14.261403199</v>
      </c>
      <c r="AX54" s="75" t="n">
        <v>88</v>
      </c>
      <c r="AY54" s="71" t="n">
        <v>9500000</v>
      </c>
      <c r="AZ54" s="71" t="n">
        <v>9500000</v>
      </c>
      <c r="BA54" s="71" t="n">
        <v>603944</v>
      </c>
      <c r="BB54" s="71" t="n">
        <v>553538.52</v>
      </c>
      <c r="BC54" s="69" t="inlineStr">
        <is>
          <t>Refinance</t>
        </is>
      </c>
      <c r="BD54" s="69" t="inlineStr">
        <is>
          <t>N</t>
        </is>
      </c>
      <c r="BE54" s="71" t="n"/>
      <c r="BF54" s="71" t="n"/>
      <c r="BG54" s="71" t="n"/>
      <c r="BH54" s="71" t="n">
        <v>0</v>
      </c>
      <c r="BI54" s="71" t="n">
        <v>0</v>
      </c>
      <c r="BJ54" s="69" t="inlineStr">
        <is>
          <t>Y</t>
        </is>
      </c>
      <c r="BK54" s="69" t="inlineStr">
        <is>
          <t>Harbor Freight Tools Inc</t>
        </is>
      </c>
      <c r="BL54" s="75" t="n">
        <v>39.07</v>
      </c>
      <c r="BM54" s="73" t="n">
        <v>46904</v>
      </c>
      <c r="BN54" s="69" t="inlineStr">
        <is>
          <t>Faramarz Lavaei; Mehran Verdi</t>
        </is>
      </c>
      <c r="BO54" s="69" t="inlineStr">
        <is>
          <t>UBS</t>
        </is>
      </c>
      <c r="BP54" s="69" t="inlineStr">
        <is>
          <t>Midland Loan Services</t>
        </is>
      </c>
      <c r="BQ54" s="69" t="inlineStr">
        <is>
          <t>Midland Loan Services</t>
        </is>
      </c>
      <c r="BR54" s="69" t="n"/>
      <c r="BS54" s="73" t="n">
        <v>46276</v>
      </c>
      <c r="BU54" s="76">
        <f>IF($C54="","",IFERROR(INDEX(dmName,MATCH($C54,dmID,0)),"Unmapped"))</f>
        <v/>
      </c>
      <c r="BV54" s="76">
        <f>IF($C54="","",IFERROR(INDEX(dmEntity,MATCH($C54,dmID,0)),"Unmapped"))</f>
        <v/>
      </c>
      <c r="BW54" s="77">
        <f>IF($C54="","",IFERROR(INDEX(dmVintage,MATCH($C54,dmID,0)),""))</f>
        <v/>
      </c>
      <c r="BX54" s="78">
        <f>IFERROR(INDEX(dmInclude,MATCH($C54,dmID,0)),0)</f>
        <v/>
      </c>
      <c r="BY54" s="78">
        <f>IF(N($I54)&gt;0,1,0)</f>
        <v/>
      </c>
      <c r="BZ54" s="76">
        <f>IF($AJ54="","Other / Leased Fee",IFERROR(INDEX(mapPTGroup,MATCH(LEFT(TRIM($AJ54),2),mapPTCode,0)),"Other / Leased Fee"))</f>
        <v/>
      </c>
      <c r="CA54" s="76">
        <f>IF(TRIM($AF54&amp;"")="","NR",LEFT(TRIM($AF54),2))</f>
        <v/>
      </c>
      <c r="CB54" s="76">
        <f>IFERROR(LOOKUP(2,1/(LEFT(TRIM($AI54&amp;""),LEN(mapRegion))=mapRegion),mapRegion),"Not Reported")</f>
        <v/>
      </c>
      <c r="CC54" s="76">
        <f>IF($BY54=0,"",IF(TRIM($W54&amp;"")="REO","REO",IF(TRIM($W54&amp;"")="FC","Foreclosure",IF(TRIM($W54&amp;"")="90+","90+ Days Delinquent",IF(TRIM($W54&amp;"")="60","60 Days Delinquent",IF(TRIM($W54&amp;"")="30","30 Days Delinquent",IF($X54="Non-Performing Matured Balloon","Non-Performing Matured Balloon",IF(OR($X54="Late Payment But Less Than 30 Days Delinquent",LEFT($X54&amp;"",20)="Payment Not Received"),"Late / In Grace (&lt;30 Days)",IF($X54="Performing Matured Balloon","Performing Matured Balloon","Current")))))))))</f>
        <v/>
      </c>
      <c r="CD54" s="78">
        <f>IF(OR($CC54="REO",$CC54="Foreclosure",$CC54="90+ Days Delinquent",$CC54="60 Days Delinquent",$CC54="30 Days Delinquent",$CC54="Non-Performing Matured Balloon"),1,0)</f>
        <v/>
      </c>
      <c r="CE54" s="76">
        <f>IF($AB54="Currently special serv","Currently Specially Serviced",IF($AB54="Returned to master serv","Previously Specially Serviced","Never Specially Serviced"))</f>
        <v/>
      </c>
      <c r="CF54" s="78">
        <f>IF($CE54="Currently Specially Serviced",1,0)</f>
        <v/>
      </c>
      <c r="CG54" s="76">
        <f>IF($AA54="Yes","Currently on Watchlist",IF($AA54="Previously","Previously on Watchlist","Never on Watchlist"))</f>
        <v/>
      </c>
      <c r="CH54" s="78">
        <f>IF($CG54="Currently on Watchlist",1,0)</f>
        <v/>
      </c>
      <c r="CI54" s="76">
        <f>IF($Z54="Full Defeasance","Fully Defeased",IF($Z54="Portion Of Loan Previously Defeased","Partially Defeased",IF($Z54="Defeasance Not Allowable","Not Defeased (Not Permitted)","Not Defeased")))</f>
        <v/>
      </c>
      <c r="CJ54" s="78">
        <f>IF($CI54="Fully Defeased",1,0)</f>
        <v/>
      </c>
      <c r="CK54" s="76">
        <f>IF($R54="IO","Full IO",IF(LEFT($R54&amp;"",7)="IO then","Partial IO","Amortizing"))</f>
        <v/>
      </c>
      <c r="CL54" s="78">
        <f>IF($CK54="Full IO",1,0)</f>
        <v/>
      </c>
      <c r="CM54" s="78">
        <f>IF($CK54="Partial IO",1,0)</f>
        <v/>
      </c>
      <c r="CN54" s="76">
        <f>IF(LEFT($F54&amp;"",10)="SPLIT_LOAN","Pari Passu Split","Standalone")</f>
        <v/>
      </c>
      <c r="CO54" s="78">
        <f>IF($CN54="Pari Passu Split",1,0)</f>
        <v/>
      </c>
      <c r="CP54" s="77">
        <f>IF(ISNUMBER($T54),YEAR($T54),"")</f>
        <v/>
      </c>
      <c r="CQ54" s="79">
        <f>IF(ISNUMBER($V54),$V54,IF(ISNUMBER($U54),$U54,""))</f>
        <v/>
      </c>
      <c r="CR54" s="77">
        <f>IF(ISNUMBER($CQ54),YEAR($CQ54),"")</f>
        <v/>
      </c>
      <c r="CS54" s="78">
        <f>IF(ISNUMBER($M54),MAX(0,$M54),IF(TRIM($M54&amp;"")="matured",0,""))</f>
        <v/>
      </c>
      <c r="CT54" s="78">
        <f>IF(AND(ISNUMBER($CS54),N($CS54)&lt;=mMatWindow),1,0)</f>
        <v/>
      </c>
      <c r="CU54" s="80">
        <f>IF(ISNUMBER($J54),$J54/100,"")</f>
        <v/>
      </c>
      <c r="CV54" s="81">
        <f>IF(ISNUMBER($AQ54),$AQ54,"")</f>
        <v/>
      </c>
      <c r="CW54" s="81">
        <f>IF(ISNUMBER($AR54),$AR54,"")</f>
        <v/>
      </c>
      <c r="CX54" s="82">
        <f>IF(ISNUMBER($AS54),$AS54/100,"")</f>
        <v/>
      </c>
      <c r="CY54" s="82">
        <f>IF(ISNUMBER($AT54),$AT54/100,"")</f>
        <v/>
      </c>
      <c r="CZ54" s="82">
        <f>IF(ISNUMBER($AU54),$AU54/100,"")</f>
        <v/>
      </c>
      <c r="DA54" s="82">
        <f>IF(ISNUMBER($AV54),$AV54/100,"")</f>
        <v/>
      </c>
      <c r="DB54" s="82">
        <f>IF(ISNUMBER($AW54),$AW54/100,"")</f>
        <v/>
      </c>
      <c r="DC54" s="82">
        <f>IF(ISNUMBER($AX54),$AX54/100,"")</f>
        <v/>
      </c>
      <c r="DD54" s="77">
        <f>IFERROR(VALUE(LEFT(TRIM($AO54&amp;""),4)),"")</f>
        <v/>
      </c>
      <c r="DE54" s="78">
        <f>IF(AND($BY54=1,$BX54=1,OR(fDeal="All Deals",$BU54=fDeal),OR(fEntity="All Entities",$BV54=fEntity),OR(fPType="All Property Types",$BZ54=fPType),OR(fDefeased="Include",$CJ54=0)),1,0)</f>
        <v/>
      </c>
      <c r="DF54" s="83">
        <f>$DE54*N($I54)</f>
        <v/>
      </c>
      <c r="DG54" s="78">
        <f>IF($DE54=1,IF(COUNTIFS($F$8:$F54,$F54,$DE$8:$DE54,1)=1,1,0),0)</f>
        <v/>
      </c>
      <c r="DH54" s="83">
        <f>IF($DG54=1,SUMIFS($DF$8:$DF$1600,$F$8:$F$1600,$F54),0)</f>
        <v/>
      </c>
      <c r="DI54" s="78">
        <f>IF($DG54=1,COUNTIFS($F$8:$F$1600,$F54,$DE$8:$DE$1600,1),0)</f>
        <v/>
      </c>
      <c r="DJ54" s="84">
        <f>IF($DG54=1,$DH54+(100000-ROW())/mTieBreak,0)</f>
        <v/>
      </c>
    </row>
    <row r="55">
      <c r="B55" s="68" t="n">
        <v>48</v>
      </c>
      <c r="C55" s="69" t="inlineStr">
        <is>
          <t>UBS17C02</t>
        </is>
      </c>
      <c r="D55" s="69" t="inlineStr">
        <is>
          <t>48.000</t>
        </is>
      </c>
      <c r="E55" s="69" t="inlineStr">
        <is>
          <t>Wisconsin MHC Portfolio</t>
        </is>
      </c>
      <c r="F55" s="69" t="inlineStr">
        <is>
          <t>LNUBS17C02-48.000</t>
        </is>
      </c>
      <c r="G55" s="70" t="n"/>
      <c r="H55" s="71" t="n">
        <v>5800000</v>
      </c>
      <c r="I55" s="71" t="n">
        <v>5112346.9800014</v>
      </c>
      <c r="J55" s="72" t="n">
        <v>4.96</v>
      </c>
      <c r="K55" s="69" t="inlineStr">
        <is>
          <t>Fixed rate</t>
        </is>
      </c>
      <c r="L55" s="68" t="n">
        <v>120</v>
      </c>
      <c r="M55" s="68" t="n">
        <v>10</v>
      </c>
      <c r="N55" s="68" t="n">
        <v>384</v>
      </c>
      <c r="O55" s="68" t="n">
        <v>24</v>
      </c>
      <c r="P55" s="68" t="n">
        <v>0</v>
      </c>
      <c r="Q55" s="68" t="n">
        <v>110</v>
      </c>
      <c r="R55" s="69" t="inlineStr">
        <is>
          <t>IO then Amort</t>
        </is>
      </c>
      <c r="S55" s="69" t="inlineStr">
        <is>
          <t>No</t>
        </is>
      </c>
      <c r="T55" s="73" t="n">
        <v>42917</v>
      </c>
      <c r="U55" s="73" t="n">
        <v>46574</v>
      </c>
      <c r="V55" s="73" t="n"/>
      <c r="W55" s="69" t="n"/>
      <c r="X55" s="69" t="inlineStr">
        <is>
          <t>Current</t>
        </is>
      </c>
      <c r="Y55" s="68" t="n"/>
      <c r="Z55" s="69" t="inlineStr">
        <is>
          <t>No Defeasance Occurred</t>
        </is>
      </c>
      <c r="AA55" s="69" t="inlineStr">
        <is>
          <t>Previously</t>
        </is>
      </c>
      <c r="AB55" s="69" t="inlineStr">
        <is>
          <t>Never special serv</t>
        </is>
      </c>
      <c r="AC55" s="73" t="n"/>
      <c r="AD55" s="69" t="n"/>
      <c r="AE55" s="69" t="n"/>
      <c r="AF55" s="69" t="inlineStr">
        <is>
          <t>WI</t>
        </is>
      </c>
      <c r="AG55" s="69" t="n"/>
      <c r="AH55" s="69" t="inlineStr">
        <is>
          <t>Menomonie, WI-25.000000049%</t>
        </is>
      </c>
      <c r="AI55" s="69" t="inlineStr">
        <is>
          <t>Midwest / Central East</t>
        </is>
      </c>
      <c r="AJ55" s="69" t="inlineStr">
        <is>
          <t>MH</t>
        </is>
      </c>
      <c r="AK55" s="69" t="n"/>
      <c r="AL55" s="68" t="n">
        <v>3</v>
      </c>
      <c r="AM55" s="68" t="n">
        <v>244</v>
      </c>
      <c r="AN55" s="68" t="n"/>
      <c r="AO55" s="69" t="n"/>
      <c r="AP55" s="70" t="n">
        <v>1982</v>
      </c>
      <c r="AQ55" s="74" t="n">
        <v>1.43</v>
      </c>
      <c r="AR55" s="74" t="n">
        <v>2.18</v>
      </c>
      <c r="AS55" s="74" t="n">
        <v>69.2</v>
      </c>
      <c r="AT55" s="74" t="n">
        <v>61.01</v>
      </c>
      <c r="AU55" s="74" t="n">
        <v>59.8</v>
      </c>
      <c r="AV55" s="74" t="n">
        <v>9.149155172</v>
      </c>
      <c r="AW55" s="74" t="n">
        <v>15.860196172</v>
      </c>
      <c r="AX55" s="75" t="n">
        <v>97</v>
      </c>
      <c r="AY55" s="71" t="n">
        <v>8380000</v>
      </c>
      <c r="AZ55" s="71" t="n">
        <v>8380000</v>
      </c>
      <c r="BA55" s="71" t="n">
        <v>530651</v>
      </c>
      <c r="BB55" s="71" t="n">
        <v>810828.26</v>
      </c>
      <c r="BC55" s="69" t="inlineStr">
        <is>
          <t>Refinance</t>
        </is>
      </c>
      <c r="BD55" s="69" t="inlineStr">
        <is>
          <t>N</t>
        </is>
      </c>
      <c r="BE55" s="71" t="n"/>
      <c r="BF55" s="71" t="n"/>
      <c r="BG55" s="71" t="n"/>
      <c r="BH55" s="71" t="n">
        <v>0</v>
      </c>
      <c r="BI55" s="71" t="n">
        <v>0</v>
      </c>
      <c r="BJ55" s="69" t="inlineStr">
        <is>
          <t>N</t>
        </is>
      </c>
      <c r="BK55" s="69" t="n"/>
      <c r="BL55" s="75" t="n"/>
      <c r="BM55" s="73" t="n"/>
      <c r="BN55" s="69" t="inlineStr">
        <is>
          <t>Richard J. Rand</t>
        </is>
      </c>
      <c r="BO55" s="69" t="inlineStr">
        <is>
          <t>RMF</t>
        </is>
      </c>
      <c r="BP55" s="69" t="inlineStr">
        <is>
          <t>Midland Loan Services</t>
        </is>
      </c>
      <c r="BQ55" s="69" t="inlineStr">
        <is>
          <t>Midland Loan Services</t>
        </is>
      </c>
      <c r="BR55" s="69" t="n"/>
      <c r="BS55" s="73" t="n">
        <v>46276</v>
      </c>
      <c r="BU55" s="76">
        <f>IF($C55="","",IFERROR(INDEX(dmName,MATCH($C55,dmID,0)),"Unmapped"))</f>
        <v/>
      </c>
      <c r="BV55" s="76">
        <f>IF($C55="","",IFERROR(INDEX(dmEntity,MATCH($C55,dmID,0)),"Unmapped"))</f>
        <v/>
      </c>
      <c r="BW55" s="77">
        <f>IF($C55="","",IFERROR(INDEX(dmVintage,MATCH($C55,dmID,0)),""))</f>
        <v/>
      </c>
      <c r="BX55" s="78">
        <f>IFERROR(INDEX(dmInclude,MATCH($C55,dmID,0)),0)</f>
        <v/>
      </c>
      <c r="BY55" s="78">
        <f>IF(N($I55)&gt;0,1,0)</f>
        <v/>
      </c>
      <c r="BZ55" s="76">
        <f>IF($AJ55="","Other / Leased Fee",IFERROR(INDEX(mapPTGroup,MATCH(LEFT(TRIM($AJ55),2),mapPTCode,0)),"Other / Leased Fee"))</f>
        <v/>
      </c>
      <c r="CA55" s="76">
        <f>IF(TRIM($AF55&amp;"")="","NR",LEFT(TRIM($AF55),2))</f>
        <v/>
      </c>
      <c r="CB55" s="76">
        <f>IFERROR(LOOKUP(2,1/(LEFT(TRIM($AI55&amp;""),LEN(mapRegion))=mapRegion),mapRegion),"Not Reported")</f>
        <v/>
      </c>
      <c r="CC55" s="76">
        <f>IF($BY55=0,"",IF(TRIM($W55&amp;"")="REO","REO",IF(TRIM($W55&amp;"")="FC","Foreclosure",IF(TRIM($W55&amp;"")="90+","90+ Days Delinquent",IF(TRIM($W55&amp;"")="60","60 Days Delinquent",IF(TRIM($W55&amp;"")="30","30 Days Delinquent",IF($X55="Non-Performing Matured Balloon","Non-Performing Matured Balloon",IF(OR($X55="Late Payment But Less Than 30 Days Delinquent",LEFT($X55&amp;"",20)="Payment Not Received"),"Late / In Grace (&lt;30 Days)",IF($X55="Performing Matured Balloon","Performing Matured Balloon","Current")))))))))</f>
        <v/>
      </c>
      <c r="CD55" s="78">
        <f>IF(OR($CC55="REO",$CC55="Foreclosure",$CC55="90+ Days Delinquent",$CC55="60 Days Delinquent",$CC55="30 Days Delinquent",$CC55="Non-Performing Matured Balloon"),1,0)</f>
        <v/>
      </c>
      <c r="CE55" s="76">
        <f>IF($AB55="Currently special serv","Currently Specially Serviced",IF($AB55="Returned to master serv","Previously Specially Serviced","Never Specially Serviced"))</f>
        <v/>
      </c>
      <c r="CF55" s="78">
        <f>IF($CE55="Currently Specially Serviced",1,0)</f>
        <v/>
      </c>
      <c r="CG55" s="76">
        <f>IF($AA55="Yes","Currently on Watchlist",IF($AA55="Previously","Previously on Watchlist","Never on Watchlist"))</f>
        <v/>
      </c>
      <c r="CH55" s="78">
        <f>IF($CG55="Currently on Watchlist",1,0)</f>
        <v/>
      </c>
      <c r="CI55" s="76">
        <f>IF($Z55="Full Defeasance","Fully Defeased",IF($Z55="Portion Of Loan Previously Defeased","Partially Defeased",IF($Z55="Defeasance Not Allowable","Not Defeased (Not Permitted)","Not Defeased")))</f>
        <v/>
      </c>
      <c r="CJ55" s="78">
        <f>IF($CI55="Fully Defeased",1,0)</f>
        <v/>
      </c>
      <c r="CK55" s="76">
        <f>IF($R55="IO","Full IO",IF(LEFT($R55&amp;"",7)="IO then","Partial IO","Amortizing"))</f>
        <v/>
      </c>
      <c r="CL55" s="78">
        <f>IF($CK55="Full IO",1,0)</f>
        <v/>
      </c>
      <c r="CM55" s="78">
        <f>IF($CK55="Partial IO",1,0)</f>
        <v/>
      </c>
      <c r="CN55" s="76">
        <f>IF(LEFT($F55&amp;"",10)="SPLIT_LOAN","Pari Passu Split","Standalone")</f>
        <v/>
      </c>
      <c r="CO55" s="78">
        <f>IF($CN55="Pari Passu Split",1,0)</f>
        <v/>
      </c>
      <c r="CP55" s="77">
        <f>IF(ISNUMBER($T55),YEAR($T55),"")</f>
        <v/>
      </c>
      <c r="CQ55" s="79">
        <f>IF(ISNUMBER($V55),$V55,IF(ISNUMBER($U55),$U55,""))</f>
        <v/>
      </c>
      <c r="CR55" s="77">
        <f>IF(ISNUMBER($CQ55),YEAR($CQ55),"")</f>
        <v/>
      </c>
      <c r="CS55" s="78">
        <f>IF(ISNUMBER($M55),MAX(0,$M55),IF(TRIM($M55&amp;"")="matured",0,""))</f>
        <v/>
      </c>
      <c r="CT55" s="78">
        <f>IF(AND(ISNUMBER($CS55),N($CS55)&lt;=mMatWindow),1,0)</f>
        <v/>
      </c>
      <c r="CU55" s="80">
        <f>IF(ISNUMBER($J55),$J55/100,"")</f>
        <v/>
      </c>
      <c r="CV55" s="81">
        <f>IF(ISNUMBER($AQ55),$AQ55,"")</f>
        <v/>
      </c>
      <c r="CW55" s="81">
        <f>IF(ISNUMBER($AR55),$AR55,"")</f>
        <v/>
      </c>
      <c r="CX55" s="82">
        <f>IF(ISNUMBER($AS55),$AS55/100,"")</f>
        <v/>
      </c>
      <c r="CY55" s="82">
        <f>IF(ISNUMBER($AT55),$AT55/100,"")</f>
        <v/>
      </c>
      <c r="CZ55" s="82">
        <f>IF(ISNUMBER($AU55),$AU55/100,"")</f>
        <v/>
      </c>
      <c r="DA55" s="82">
        <f>IF(ISNUMBER($AV55),$AV55/100,"")</f>
        <v/>
      </c>
      <c r="DB55" s="82">
        <f>IF(ISNUMBER($AW55),$AW55/100,"")</f>
        <v/>
      </c>
      <c r="DC55" s="82">
        <f>IF(ISNUMBER($AX55),$AX55/100,"")</f>
        <v/>
      </c>
      <c r="DD55" s="77">
        <f>IFERROR(VALUE(LEFT(TRIM($AO55&amp;""),4)),"")</f>
        <v/>
      </c>
      <c r="DE55" s="78">
        <f>IF(AND($BY55=1,$BX55=1,OR(fDeal="All Deals",$BU55=fDeal),OR(fEntity="All Entities",$BV55=fEntity),OR(fPType="All Property Types",$BZ55=fPType),OR(fDefeased="Include",$CJ55=0)),1,0)</f>
        <v/>
      </c>
      <c r="DF55" s="83">
        <f>$DE55*N($I55)</f>
        <v/>
      </c>
      <c r="DG55" s="78">
        <f>IF($DE55=1,IF(COUNTIFS($F$8:$F55,$F55,$DE$8:$DE55,1)=1,1,0),0)</f>
        <v/>
      </c>
      <c r="DH55" s="83">
        <f>IF($DG55=1,SUMIFS($DF$8:$DF$1600,$F$8:$F$1600,$F55),0)</f>
        <v/>
      </c>
      <c r="DI55" s="78">
        <f>IF($DG55=1,COUNTIFS($F$8:$F$1600,$F55,$DE$8:$DE$1600,1),0)</f>
        <v/>
      </c>
      <c r="DJ55" s="84">
        <f>IF($DG55=1,$DH55+(100000-ROW())/mTieBreak,0)</f>
        <v/>
      </c>
    </row>
    <row r="56">
      <c r="B56" s="68" t="n">
        <v>49</v>
      </c>
      <c r="C56" s="69" t="inlineStr">
        <is>
          <t>UBS17C02</t>
        </is>
      </c>
      <c r="D56" s="69" t="inlineStr">
        <is>
          <t>49.000</t>
        </is>
      </c>
      <c r="E56" s="69" t="inlineStr">
        <is>
          <t>Courtyard Tulsa</t>
        </is>
      </c>
      <c r="F56" s="69" t="inlineStr">
        <is>
          <t>LNUBS17C02-49.000</t>
        </is>
      </c>
      <c r="G56" s="70" t="n"/>
      <c r="H56" s="71" t="n">
        <v>5750000</v>
      </c>
      <c r="I56" s="71" t="n">
        <v>4923116.92000275</v>
      </c>
      <c r="J56" s="72" t="n">
        <v>5.91</v>
      </c>
      <c r="K56" s="69" t="inlineStr">
        <is>
          <t>Fixed rate</t>
        </is>
      </c>
      <c r="L56" s="68" t="n">
        <v>120</v>
      </c>
      <c r="M56" s="68" t="n">
        <v>6</v>
      </c>
      <c r="N56" s="68" t="n">
        <v>360</v>
      </c>
      <c r="O56" s="68" t="n"/>
      <c r="P56" s="68" t="n"/>
      <c r="Q56" s="68" t="n">
        <v>114</v>
      </c>
      <c r="R56" s="69" t="n"/>
      <c r="S56" s="69" t="inlineStr">
        <is>
          <t>No</t>
        </is>
      </c>
      <c r="T56" s="73" t="n">
        <v>42795</v>
      </c>
      <c r="U56" s="73" t="n">
        <v>46452</v>
      </c>
      <c r="V56" s="73" t="n"/>
      <c r="W56" s="69" t="n"/>
      <c r="X56" s="69" t="inlineStr">
        <is>
          <t>Current</t>
        </is>
      </c>
      <c r="Y56" s="68" t="n"/>
      <c r="Z56" s="69" t="inlineStr">
        <is>
          <t>No Defeasance Occurred</t>
        </is>
      </c>
      <c r="AA56" s="69" t="inlineStr">
        <is>
          <t>Yes</t>
        </is>
      </c>
      <c r="AB56" s="69" t="inlineStr">
        <is>
          <t>Returned to master serv</t>
        </is>
      </c>
      <c r="AC56" s="73" t="n"/>
      <c r="AD56" s="69" t="inlineStr">
        <is>
          <t>Other</t>
        </is>
      </c>
      <c r="AE56" s="69" t="inlineStr">
        <is>
          <t>Resolved</t>
        </is>
      </c>
      <c r="AF56" s="69" t="inlineStr">
        <is>
          <t>OK</t>
        </is>
      </c>
      <c r="AG56" s="69" t="inlineStr">
        <is>
          <t>Tulsa</t>
        </is>
      </c>
      <c r="AH56" s="69" t="inlineStr">
        <is>
          <t>Tulsa, OK</t>
        </is>
      </c>
      <c r="AI56" s="69" t="inlineStr">
        <is>
          <t>South / Central West</t>
        </is>
      </c>
      <c r="AJ56" s="69" t="inlineStr">
        <is>
          <t>HT</t>
        </is>
      </c>
      <c r="AK56" s="69" t="inlineStr">
        <is>
          <t>Select Service</t>
        </is>
      </c>
      <c r="AL56" s="68" t="n">
        <v>1</v>
      </c>
      <c r="AM56" s="68" t="n">
        <v>122</v>
      </c>
      <c r="AN56" s="68" t="n"/>
      <c r="AO56" s="69" t="inlineStr">
        <is>
          <t>1997</t>
        </is>
      </c>
      <c r="AP56" s="70" t="n">
        <v>2013</v>
      </c>
      <c r="AQ56" s="74" t="n">
        <v>1.58</v>
      </c>
      <c r="AR56" s="74" t="n">
        <v>1.73</v>
      </c>
      <c r="AS56" s="74" t="n">
        <v>60.2</v>
      </c>
      <c r="AT56" s="74" t="n">
        <v>67.44</v>
      </c>
      <c r="AU56" s="74" t="n">
        <v>51.2</v>
      </c>
      <c r="AV56" s="74" t="n">
        <v>11.266951826</v>
      </c>
      <c r="AW56" s="74" t="n">
        <v>11.875002148</v>
      </c>
      <c r="AX56" s="75" t="n">
        <v>64</v>
      </c>
      <c r="AY56" s="71" t="n">
        <v>9500000</v>
      </c>
      <c r="AZ56" s="71" t="n">
        <v>7300000</v>
      </c>
      <c r="BA56" s="71" t="n">
        <v>647849.73</v>
      </c>
      <c r="BB56" s="71" t="n">
        <v>710777.21</v>
      </c>
      <c r="BC56" s="69" t="inlineStr">
        <is>
          <t>Acquisition</t>
        </is>
      </c>
      <c r="BD56" s="69" t="inlineStr">
        <is>
          <t>N</t>
        </is>
      </c>
      <c r="BE56" s="71" t="n"/>
      <c r="BF56" s="71" t="n"/>
      <c r="BG56" s="71" t="n"/>
      <c r="BH56" s="71" t="n">
        <v>0</v>
      </c>
      <c r="BI56" s="71" t="n">
        <v>0</v>
      </c>
      <c r="BJ56" s="69" t="inlineStr">
        <is>
          <t>N</t>
        </is>
      </c>
      <c r="BK56" s="69" t="n"/>
      <c r="BL56" s="75" t="n"/>
      <c r="BM56" s="73" t="n"/>
      <c r="BN56" s="69" t="inlineStr">
        <is>
          <t>David H. Lesser</t>
        </is>
      </c>
      <c r="BO56" s="69" t="inlineStr">
        <is>
          <t>RMF</t>
        </is>
      </c>
      <c r="BP56" s="69" t="inlineStr">
        <is>
          <t>Midland Loan Services</t>
        </is>
      </c>
      <c r="BQ56" s="69" t="inlineStr">
        <is>
          <t>Midland Loan Services</t>
        </is>
      </c>
      <c r="BR56" s="69" t="n"/>
      <c r="BS56" s="73" t="n">
        <v>46276</v>
      </c>
      <c r="BU56" s="76">
        <f>IF($C56="","",IFERROR(INDEX(dmName,MATCH($C56,dmID,0)),"Unmapped"))</f>
        <v/>
      </c>
      <c r="BV56" s="76">
        <f>IF($C56="","",IFERROR(INDEX(dmEntity,MATCH($C56,dmID,0)),"Unmapped"))</f>
        <v/>
      </c>
      <c r="BW56" s="77">
        <f>IF($C56="","",IFERROR(INDEX(dmVintage,MATCH($C56,dmID,0)),""))</f>
        <v/>
      </c>
      <c r="BX56" s="78">
        <f>IFERROR(INDEX(dmInclude,MATCH($C56,dmID,0)),0)</f>
        <v/>
      </c>
      <c r="BY56" s="78">
        <f>IF(N($I56)&gt;0,1,0)</f>
        <v/>
      </c>
      <c r="BZ56" s="76">
        <f>IF($AJ56="","Other / Leased Fee",IFERROR(INDEX(mapPTGroup,MATCH(LEFT(TRIM($AJ56),2),mapPTCode,0)),"Other / Leased Fee"))</f>
        <v/>
      </c>
      <c r="CA56" s="76">
        <f>IF(TRIM($AF56&amp;"")="","NR",LEFT(TRIM($AF56),2))</f>
        <v/>
      </c>
      <c r="CB56" s="76">
        <f>IFERROR(LOOKUP(2,1/(LEFT(TRIM($AI56&amp;""),LEN(mapRegion))=mapRegion),mapRegion),"Not Reported")</f>
        <v/>
      </c>
      <c r="CC56" s="76">
        <f>IF($BY56=0,"",IF(TRIM($W56&amp;"")="REO","REO",IF(TRIM($W56&amp;"")="FC","Foreclosure",IF(TRIM($W56&amp;"")="90+","90+ Days Delinquent",IF(TRIM($W56&amp;"")="60","60 Days Delinquent",IF(TRIM($W56&amp;"")="30","30 Days Delinquent",IF($X56="Non-Performing Matured Balloon","Non-Performing Matured Balloon",IF(OR($X56="Late Payment But Less Than 30 Days Delinquent",LEFT($X56&amp;"",20)="Payment Not Received"),"Late / In Grace (&lt;30 Days)",IF($X56="Performing Matured Balloon","Performing Matured Balloon","Current")))))))))</f>
        <v/>
      </c>
      <c r="CD56" s="78">
        <f>IF(OR($CC56="REO",$CC56="Foreclosure",$CC56="90+ Days Delinquent",$CC56="60 Days Delinquent",$CC56="30 Days Delinquent",$CC56="Non-Performing Matured Balloon"),1,0)</f>
        <v/>
      </c>
      <c r="CE56" s="76">
        <f>IF($AB56="Currently special serv","Currently Specially Serviced",IF($AB56="Returned to master serv","Previously Specially Serviced","Never Specially Serviced"))</f>
        <v/>
      </c>
      <c r="CF56" s="78">
        <f>IF($CE56="Currently Specially Serviced",1,0)</f>
        <v/>
      </c>
      <c r="CG56" s="76">
        <f>IF($AA56="Yes","Currently on Watchlist",IF($AA56="Previously","Previously on Watchlist","Never on Watchlist"))</f>
        <v/>
      </c>
      <c r="CH56" s="78">
        <f>IF($CG56="Currently on Watchlist",1,0)</f>
        <v/>
      </c>
      <c r="CI56" s="76">
        <f>IF($Z56="Full Defeasance","Fully Defeased",IF($Z56="Portion Of Loan Previously Defeased","Partially Defeased",IF($Z56="Defeasance Not Allowable","Not Defeased (Not Permitted)","Not Defeased")))</f>
        <v/>
      </c>
      <c r="CJ56" s="78">
        <f>IF($CI56="Fully Defeased",1,0)</f>
        <v/>
      </c>
      <c r="CK56" s="76">
        <f>IF($R56="IO","Full IO",IF(LEFT($R56&amp;"",7)="IO then","Partial IO","Amortizing"))</f>
        <v/>
      </c>
      <c r="CL56" s="78">
        <f>IF($CK56="Full IO",1,0)</f>
        <v/>
      </c>
      <c r="CM56" s="78">
        <f>IF($CK56="Partial IO",1,0)</f>
        <v/>
      </c>
      <c r="CN56" s="76">
        <f>IF(LEFT($F56&amp;"",10)="SPLIT_LOAN","Pari Passu Split","Standalone")</f>
        <v/>
      </c>
      <c r="CO56" s="78">
        <f>IF($CN56="Pari Passu Split",1,0)</f>
        <v/>
      </c>
      <c r="CP56" s="77">
        <f>IF(ISNUMBER($T56),YEAR($T56),"")</f>
        <v/>
      </c>
      <c r="CQ56" s="79">
        <f>IF(ISNUMBER($V56),$V56,IF(ISNUMBER($U56),$U56,""))</f>
        <v/>
      </c>
      <c r="CR56" s="77">
        <f>IF(ISNUMBER($CQ56),YEAR($CQ56),"")</f>
        <v/>
      </c>
      <c r="CS56" s="78">
        <f>IF(ISNUMBER($M56),MAX(0,$M56),IF(TRIM($M56&amp;"")="matured",0,""))</f>
        <v/>
      </c>
      <c r="CT56" s="78">
        <f>IF(AND(ISNUMBER($CS56),N($CS56)&lt;=mMatWindow),1,0)</f>
        <v/>
      </c>
      <c r="CU56" s="80">
        <f>IF(ISNUMBER($J56),$J56/100,"")</f>
        <v/>
      </c>
      <c r="CV56" s="81">
        <f>IF(ISNUMBER($AQ56),$AQ56,"")</f>
        <v/>
      </c>
      <c r="CW56" s="81">
        <f>IF(ISNUMBER($AR56),$AR56,"")</f>
        <v/>
      </c>
      <c r="CX56" s="82">
        <f>IF(ISNUMBER($AS56),$AS56/100,"")</f>
        <v/>
      </c>
      <c r="CY56" s="82">
        <f>IF(ISNUMBER($AT56),$AT56/100,"")</f>
        <v/>
      </c>
      <c r="CZ56" s="82">
        <f>IF(ISNUMBER($AU56),$AU56/100,"")</f>
        <v/>
      </c>
      <c r="DA56" s="82">
        <f>IF(ISNUMBER($AV56),$AV56/100,"")</f>
        <v/>
      </c>
      <c r="DB56" s="82">
        <f>IF(ISNUMBER($AW56),$AW56/100,"")</f>
        <v/>
      </c>
      <c r="DC56" s="82">
        <f>IF(ISNUMBER($AX56),$AX56/100,"")</f>
        <v/>
      </c>
      <c r="DD56" s="77">
        <f>IFERROR(VALUE(LEFT(TRIM($AO56&amp;""),4)),"")</f>
        <v/>
      </c>
      <c r="DE56" s="78">
        <f>IF(AND($BY56=1,$BX56=1,OR(fDeal="All Deals",$BU56=fDeal),OR(fEntity="All Entities",$BV56=fEntity),OR(fPType="All Property Types",$BZ56=fPType),OR(fDefeased="Include",$CJ56=0)),1,0)</f>
        <v/>
      </c>
      <c r="DF56" s="83">
        <f>$DE56*N($I56)</f>
        <v/>
      </c>
      <c r="DG56" s="78">
        <f>IF($DE56=1,IF(COUNTIFS($F$8:$F56,$F56,$DE$8:$DE56,1)=1,1,0),0)</f>
        <v/>
      </c>
      <c r="DH56" s="83">
        <f>IF($DG56=1,SUMIFS($DF$8:$DF$1600,$F$8:$F$1600,$F56),0)</f>
        <v/>
      </c>
      <c r="DI56" s="78">
        <f>IF($DG56=1,COUNTIFS($F$8:$F$1600,$F56,$DE$8:$DE$1600,1),0)</f>
        <v/>
      </c>
      <c r="DJ56" s="84">
        <f>IF($DG56=1,$DH56+(100000-ROW())/mTieBreak,0)</f>
        <v/>
      </c>
    </row>
    <row r="57">
      <c r="B57" s="68" t="n">
        <v>50</v>
      </c>
      <c r="C57" s="69" t="inlineStr">
        <is>
          <t>UBS17C02</t>
        </is>
      </c>
      <c r="D57" s="69" t="inlineStr">
        <is>
          <t>50.000</t>
        </is>
      </c>
      <c r="E57" s="69" t="inlineStr">
        <is>
          <t>Cedar Creek Apartments</t>
        </is>
      </c>
      <c r="F57" s="69" t="inlineStr">
        <is>
          <t>LNUBS17C02-50.000</t>
        </is>
      </c>
      <c r="G57" s="70" t="n"/>
      <c r="H57" s="71" t="n">
        <v>5500000</v>
      </c>
      <c r="I57" s="71" t="n">
        <v>4846820.150001501</v>
      </c>
      <c r="J57" s="72" t="n">
        <v>4.95</v>
      </c>
      <c r="K57" s="69" t="inlineStr">
        <is>
          <t>Fixed rate</t>
        </is>
      </c>
      <c r="L57" s="68" t="n">
        <v>120</v>
      </c>
      <c r="M57" s="68" t="n">
        <v>10</v>
      </c>
      <c r="N57" s="68" t="n">
        <v>384</v>
      </c>
      <c r="O57" s="68" t="n">
        <v>24</v>
      </c>
      <c r="P57" s="68" t="n">
        <v>0</v>
      </c>
      <c r="Q57" s="68" t="n">
        <v>110</v>
      </c>
      <c r="R57" s="69" t="inlineStr">
        <is>
          <t>IO then Amort</t>
        </is>
      </c>
      <c r="S57" s="69" t="inlineStr">
        <is>
          <t>No</t>
        </is>
      </c>
      <c r="T57" s="73" t="n">
        <v>42917</v>
      </c>
      <c r="U57" s="73" t="n">
        <v>46574</v>
      </c>
      <c r="V57" s="73" t="n"/>
      <c r="W57" s="69" t="n"/>
      <c r="X57" s="69" t="inlineStr">
        <is>
          <t>Current</t>
        </is>
      </c>
      <c r="Y57" s="68" t="n"/>
      <c r="Z57" s="69" t="inlineStr">
        <is>
          <t>Full Defeasance</t>
        </is>
      </c>
      <c r="AA57" s="69" t="inlineStr">
        <is>
          <t>Previously</t>
        </is>
      </c>
      <c r="AB57" s="69" t="inlineStr">
        <is>
          <t>Never special serv</t>
        </is>
      </c>
      <c r="AC57" s="73" t="n"/>
      <c r="AD57" s="69" t="n"/>
      <c r="AE57" s="69" t="n"/>
      <c r="AF57" s="69" t="inlineStr">
        <is>
          <t>AL</t>
        </is>
      </c>
      <c r="AG57" s="69" t="inlineStr">
        <is>
          <t>Montgomery</t>
        </is>
      </c>
      <c r="AH57" s="69" t="inlineStr">
        <is>
          <t>Montgomery, AL</t>
        </is>
      </c>
      <c r="AI57" s="69" t="inlineStr">
        <is>
          <t>South / Central East</t>
        </is>
      </c>
      <c r="AJ57" s="69" t="inlineStr">
        <is>
          <t>MF</t>
        </is>
      </c>
      <c r="AK57" s="69" t="inlineStr">
        <is>
          <t>Garden</t>
        </is>
      </c>
      <c r="AL57" s="68" t="n">
        <v>1</v>
      </c>
      <c r="AM57" s="68" t="n">
        <v>127</v>
      </c>
      <c r="AN57" s="68" t="n"/>
      <c r="AO57" s="69" t="inlineStr">
        <is>
          <t>1981</t>
        </is>
      </c>
      <c r="AP57" s="70" t="n">
        <v>2006</v>
      </c>
      <c r="AQ57" s="74" t="n">
        <v>1.45</v>
      </c>
      <c r="AR57" s="74" t="n">
        <v>0.24</v>
      </c>
      <c r="AS57" s="74" t="n">
        <v>67.3</v>
      </c>
      <c r="AT57" s="74" t="n">
        <v>59.29</v>
      </c>
      <c r="AU57" s="74" t="n">
        <v>58.1</v>
      </c>
      <c r="AV57" s="74" t="n">
        <v>9.3116</v>
      </c>
      <c r="AW57" s="74" t="n">
        <v>11.947890619</v>
      </c>
      <c r="AX57" s="75" t="n">
        <v>90</v>
      </c>
      <c r="AY57" s="71" t="n">
        <v>8175000</v>
      </c>
      <c r="AZ57" s="71" t="n">
        <v>8175000</v>
      </c>
      <c r="BA57" s="71" t="n">
        <v>512138</v>
      </c>
      <c r="BB57" s="71" t="n">
        <v>84559.07000000001</v>
      </c>
      <c r="BC57" s="69" t="inlineStr">
        <is>
          <t>Refinance</t>
        </is>
      </c>
      <c r="BD57" s="69" t="inlineStr">
        <is>
          <t>N</t>
        </is>
      </c>
      <c r="BE57" s="71" t="n"/>
      <c r="BF57" s="71" t="n"/>
      <c r="BG57" s="71" t="n"/>
      <c r="BH57" s="71" t="n">
        <v>0</v>
      </c>
      <c r="BI57" s="71" t="n">
        <v>0</v>
      </c>
      <c r="BJ57" s="69" t="inlineStr">
        <is>
          <t>N</t>
        </is>
      </c>
      <c r="BK57" s="69" t="n"/>
      <c r="BL57" s="75" t="n"/>
      <c r="BM57" s="73" t="n"/>
      <c r="BN57" s="69" t="inlineStr">
        <is>
          <t>Neville Isaacson; Clyde Isaacson; Lee Weisner</t>
        </is>
      </c>
      <c r="BO57" s="69" t="inlineStr">
        <is>
          <t>RMF</t>
        </is>
      </c>
      <c r="BP57" s="69" t="inlineStr">
        <is>
          <t>Midland Loan Services</t>
        </is>
      </c>
      <c r="BQ57" s="69" t="inlineStr">
        <is>
          <t>Midland Loan Services</t>
        </is>
      </c>
      <c r="BR57" s="69" t="n"/>
      <c r="BS57" s="73" t="n">
        <v>46276</v>
      </c>
      <c r="BU57" s="76">
        <f>IF($C57="","",IFERROR(INDEX(dmName,MATCH($C57,dmID,0)),"Unmapped"))</f>
        <v/>
      </c>
      <c r="BV57" s="76">
        <f>IF($C57="","",IFERROR(INDEX(dmEntity,MATCH($C57,dmID,0)),"Unmapped"))</f>
        <v/>
      </c>
      <c r="BW57" s="77">
        <f>IF($C57="","",IFERROR(INDEX(dmVintage,MATCH($C57,dmID,0)),""))</f>
        <v/>
      </c>
      <c r="BX57" s="78">
        <f>IFERROR(INDEX(dmInclude,MATCH($C57,dmID,0)),0)</f>
        <v/>
      </c>
      <c r="BY57" s="78">
        <f>IF(N($I57)&gt;0,1,0)</f>
        <v/>
      </c>
      <c r="BZ57" s="76">
        <f>IF($AJ57="","Other / Leased Fee",IFERROR(INDEX(mapPTGroup,MATCH(LEFT(TRIM($AJ57),2),mapPTCode,0)),"Other / Leased Fee"))</f>
        <v/>
      </c>
      <c r="CA57" s="76">
        <f>IF(TRIM($AF57&amp;"")="","NR",LEFT(TRIM($AF57),2))</f>
        <v/>
      </c>
      <c r="CB57" s="76">
        <f>IFERROR(LOOKUP(2,1/(LEFT(TRIM($AI57&amp;""),LEN(mapRegion))=mapRegion),mapRegion),"Not Reported")</f>
        <v/>
      </c>
      <c r="CC57" s="76">
        <f>IF($BY57=0,"",IF(TRIM($W57&amp;"")="REO","REO",IF(TRIM($W57&amp;"")="FC","Foreclosure",IF(TRIM($W57&amp;"")="90+","90+ Days Delinquent",IF(TRIM($W57&amp;"")="60","60 Days Delinquent",IF(TRIM($W57&amp;"")="30","30 Days Delinquent",IF($X57="Non-Performing Matured Balloon","Non-Performing Matured Balloon",IF(OR($X57="Late Payment But Less Than 30 Days Delinquent",LEFT($X57&amp;"",20)="Payment Not Received"),"Late / In Grace (&lt;30 Days)",IF($X57="Performing Matured Balloon","Performing Matured Balloon","Current")))))))))</f>
        <v/>
      </c>
      <c r="CD57" s="78">
        <f>IF(OR($CC57="REO",$CC57="Foreclosure",$CC57="90+ Days Delinquent",$CC57="60 Days Delinquent",$CC57="30 Days Delinquent",$CC57="Non-Performing Matured Balloon"),1,0)</f>
        <v/>
      </c>
      <c r="CE57" s="76">
        <f>IF($AB57="Currently special serv","Currently Specially Serviced",IF($AB57="Returned to master serv","Previously Specially Serviced","Never Specially Serviced"))</f>
        <v/>
      </c>
      <c r="CF57" s="78">
        <f>IF($CE57="Currently Specially Serviced",1,0)</f>
        <v/>
      </c>
      <c r="CG57" s="76">
        <f>IF($AA57="Yes","Currently on Watchlist",IF($AA57="Previously","Previously on Watchlist","Never on Watchlist"))</f>
        <v/>
      </c>
      <c r="CH57" s="78">
        <f>IF($CG57="Currently on Watchlist",1,0)</f>
        <v/>
      </c>
      <c r="CI57" s="76">
        <f>IF($Z57="Full Defeasance","Fully Defeased",IF($Z57="Portion Of Loan Previously Defeased","Partially Defeased",IF($Z57="Defeasance Not Allowable","Not Defeased (Not Permitted)","Not Defeased")))</f>
        <v/>
      </c>
      <c r="CJ57" s="78">
        <f>IF($CI57="Fully Defeased",1,0)</f>
        <v/>
      </c>
      <c r="CK57" s="76">
        <f>IF($R57="IO","Full IO",IF(LEFT($R57&amp;"",7)="IO then","Partial IO","Amortizing"))</f>
        <v/>
      </c>
      <c r="CL57" s="78">
        <f>IF($CK57="Full IO",1,0)</f>
        <v/>
      </c>
      <c r="CM57" s="78">
        <f>IF($CK57="Partial IO",1,0)</f>
        <v/>
      </c>
      <c r="CN57" s="76">
        <f>IF(LEFT($F57&amp;"",10)="SPLIT_LOAN","Pari Passu Split","Standalone")</f>
        <v/>
      </c>
      <c r="CO57" s="78">
        <f>IF($CN57="Pari Passu Split",1,0)</f>
        <v/>
      </c>
      <c r="CP57" s="77">
        <f>IF(ISNUMBER($T57),YEAR($T57),"")</f>
        <v/>
      </c>
      <c r="CQ57" s="79">
        <f>IF(ISNUMBER($V57),$V57,IF(ISNUMBER($U57),$U57,""))</f>
        <v/>
      </c>
      <c r="CR57" s="77">
        <f>IF(ISNUMBER($CQ57),YEAR($CQ57),"")</f>
        <v/>
      </c>
      <c r="CS57" s="78">
        <f>IF(ISNUMBER($M57),MAX(0,$M57),IF(TRIM($M57&amp;"")="matured",0,""))</f>
        <v/>
      </c>
      <c r="CT57" s="78">
        <f>IF(AND(ISNUMBER($CS57),N($CS57)&lt;=mMatWindow),1,0)</f>
        <v/>
      </c>
      <c r="CU57" s="80">
        <f>IF(ISNUMBER($J57),$J57/100,"")</f>
        <v/>
      </c>
      <c r="CV57" s="81">
        <f>IF(ISNUMBER($AQ57),$AQ57,"")</f>
        <v/>
      </c>
      <c r="CW57" s="81">
        <f>IF(ISNUMBER($AR57),$AR57,"")</f>
        <v/>
      </c>
      <c r="CX57" s="82">
        <f>IF(ISNUMBER($AS57),$AS57/100,"")</f>
        <v/>
      </c>
      <c r="CY57" s="82">
        <f>IF(ISNUMBER($AT57),$AT57/100,"")</f>
        <v/>
      </c>
      <c r="CZ57" s="82">
        <f>IF(ISNUMBER($AU57),$AU57/100,"")</f>
        <v/>
      </c>
      <c r="DA57" s="82">
        <f>IF(ISNUMBER($AV57),$AV57/100,"")</f>
        <v/>
      </c>
      <c r="DB57" s="82">
        <f>IF(ISNUMBER($AW57),$AW57/100,"")</f>
        <v/>
      </c>
      <c r="DC57" s="82">
        <f>IF(ISNUMBER($AX57),$AX57/100,"")</f>
        <v/>
      </c>
      <c r="DD57" s="77">
        <f>IFERROR(VALUE(LEFT(TRIM($AO57&amp;""),4)),"")</f>
        <v/>
      </c>
      <c r="DE57" s="78">
        <f>IF(AND($BY57=1,$BX57=1,OR(fDeal="All Deals",$BU57=fDeal),OR(fEntity="All Entities",$BV57=fEntity),OR(fPType="All Property Types",$BZ57=fPType),OR(fDefeased="Include",$CJ57=0)),1,0)</f>
        <v/>
      </c>
      <c r="DF57" s="83">
        <f>$DE57*N($I57)</f>
        <v/>
      </c>
      <c r="DG57" s="78">
        <f>IF($DE57=1,IF(COUNTIFS($F$8:$F57,$F57,$DE$8:$DE57,1)=1,1,0),0)</f>
        <v/>
      </c>
      <c r="DH57" s="83">
        <f>IF($DG57=1,SUMIFS($DF$8:$DF$1600,$F$8:$F$1600,$F57),0)</f>
        <v/>
      </c>
      <c r="DI57" s="78">
        <f>IF($DG57=1,COUNTIFS($F$8:$F$1600,$F57,$DE$8:$DE$1600,1),0)</f>
        <v/>
      </c>
      <c r="DJ57" s="84">
        <f>IF($DG57=1,$DH57+(100000-ROW())/mTieBreak,0)</f>
        <v/>
      </c>
    </row>
    <row r="58">
      <c r="B58" s="68" t="n">
        <v>51</v>
      </c>
      <c r="C58" s="69" t="inlineStr">
        <is>
          <t>UBS17C02</t>
        </is>
      </c>
      <c r="D58" s="69" t="inlineStr">
        <is>
          <t>51.000</t>
        </is>
      </c>
      <c r="E58" s="69" t="inlineStr">
        <is>
          <t>Comfort Inn &amp; Suites Fayetteville</t>
        </is>
      </c>
      <c r="F58" s="69" t="inlineStr">
        <is>
          <t>LNUBS17C02-51.000</t>
        </is>
      </c>
      <c r="G58" s="70" t="n"/>
      <c r="H58" s="71" t="n">
        <v>4750000</v>
      </c>
      <c r="I58" s="71" t="n">
        <v>3672803.82999825</v>
      </c>
      <c r="J58" s="72" t="n">
        <v>4.87</v>
      </c>
      <c r="K58" s="69" t="inlineStr">
        <is>
          <t>Fixed rate</t>
        </is>
      </c>
      <c r="L58" s="68" t="n">
        <v>120</v>
      </c>
      <c r="M58" s="68" t="n">
        <v>11</v>
      </c>
      <c r="N58" s="68" t="n">
        <v>300</v>
      </c>
      <c r="O58" s="68" t="n"/>
      <c r="P58" s="68" t="n"/>
      <c r="Q58" s="68" t="n">
        <v>109</v>
      </c>
      <c r="R58" s="69" t="n"/>
      <c r="S58" s="69" t="inlineStr">
        <is>
          <t>No</t>
        </is>
      </c>
      <c r="T58" s="73" t="n">
        <v>42948</v>
      </c>
      <c r="U58" s="73" t="n">
        <v>46600</v>
      </c>
      <c r="V58" s="73" t="n"/>
      <c r="W58" s="69" t="n"/>
      <c r="X58" s="69" t="inlineStr">
        <is>
          <t>Current</t>
        </is>
      </c>
      <c r="Y58" s="68" t="n"/>
      <c r="Z58" s="69" t="inlineStr">
        <is>
          <t>No Defeasance Occurred</t>
        </is>
      </c>
      <c r="AA58" s="69" t="inlineStr">
        <is>
          <t>Yes</t>
        </is>
      </c>
      <c r="AB58" s="69" t="inlineStr">
        <is>
          <t>Never special serv</t>
        </is>
      </c>
      <c r="AC58" s="73" t="n"/>
      <c r="AD58" s="69" t="n"/>
      <c r="AE58" s="69" t="n"/>
      <c r="AF58" s="69" t="inlineStr">
        <is>
          <t>AR</t>
        </is>
      </c>
      <c r="AG58" s="69" t="inlineStr">
        <is>
          <t>Fayetteville</t>
        </is>
      </c>
      <c r="AH58" s="69" t="inlineStr">
        <is>
          <t>Fayetteville-Springdale-Rogers, AR</t>
        </is>
      </c>
      <c r="AI58" s="69" t="inlineStr">
        <is>
          <t>South / Central West</t>
        </is>
      </c>
      <c r="AJ58" s="69" t="inlineStr">
        <is>
          <t>HT</t>
        </is>
      </c>
      <c r="AK58" s="69" t="inlineStr">
        <is>
          <t>Limited Service</t>
        </is>
      </c>
      <c r="AL58" s="68" t="n">
        <v>1</v>
      </c>
      <c r="AM58" s="68" t="n">
        <v>65</v>
      </c>
      <c r="AN58" s="68" t="n"/>
      <c r="AO58" s="69" t="inlineStr">
        <is>
          <t>2003</t>
        </is>
      </c>
      <c r="AP58" s="70" t="n">
        <v>2003</v>
      </c>
      <c r="AQ58" s="74" t="n">
        <v>2.16</v>
      </c>
      <c r="AR58" s="74" t="n">
        <v>1.17</v>
      </c>
      <c r="AS58" s="74" t="n">
        <v>63.3</v>
      </c>
      <c r="AT58" s="74" t="n">
        <v>48.97</v>
      </c>
      <c r="AU58" s="74" t="n">
        <v>47.1</v>
      </c>
      <c r="AV58" s="74" t="n">
        <v>14.949970737</v>
      </c>
      <c r="AW58" s="74" t="n">
        <v>9.098147776999999</v>
      </c>
      <c r="AX58" s="75" t="n">
        <v>63</v>
      </c>
      <c r="AY58" s="71" t="n">
        <v>7500000</v>
      </c>
      <c r="AZ58" s="71" t="n">
        <v>7500000</v>
      </c>
      <c r="BA58" s="71" t="n">
        <v>710123.61</v>
      </c>
      <c r="BB58" s="71" t="n">
        <v>384774.58</v>
      </c>
      <c r="BC58" s="69" t="inlineStr">
        <is>
          <t>Refinance</t>
        </is>
      </c>
      <c r="BD58" s="69" t="inlineStr">
        <is>
          <t>N</t>
        </is>
      </c>
      <c r="BE58" s="71" t="n"/>
      <c r="BF58" s="71" t="n"/>
      <c r="BG58" s="71" t="n"/>
      <c r="BH58" s="71" t="n">
        <v>0</v>
      </c>
      <c r="BI58" s="71" t="n">
        <v>0</v>
      </c>
      <c r="BJ58" s="69" t="inlineStr">
        <is>
          <t>N</t>
        </is>
      </c>
      <c r="BK58" s="69" t="n"/>
      <c r="BL58" s="75" t="n"/>
      <c r="BM58" s="73" t="n"/>
      <c r="BN58" s="69" t="inlineStr">
        <is>
          <t>Ramesh J. Patel; Ishver Govind; Balubhai L. Patel</t>
        </is>
      </c>
      <c r="BO58" s="69" t="inlineStr">
        <is>
          <t>Societe Generale</t>
        </is>
      </c>
      <c r="BP58" s="69" t="inlineStr">
        <is>
          <t>Midland Loan Services</t>
        </is>
      </c>
      <c r="BQ58" s="69" t="inlineStr">
        <is>
          <t>Midland Loan Services</t>
        </is>
      </c>
      <c r="BR58" s="69" t="n"/>
      <c r="BS58" s="73" t="n">
        <v>46276</v>
      </c>
      <c r="BU58" s="76">
        <f>IF($C58="","",IFERROR(INDEX(dmName,MATCH($C58,dmID,0)),"Unmapped"))</f>
        <v/>
      </c>
      <c r="BV58" s="76">
        <f>IF($C58="","",IFERROR(INDEX(dmEntity,MATCH($C58,dmID,0)),"Unmapped"))</f>
        <v/>
      </c>
      <c r="BW58" s="77">
        <f>IF($C58="","",IFERROR(INDEX(dmVintage,MATCH($C58,dmID,0)),""))</f>
        <v/>
      </c>
      <c r="BX58" s="78">
        <f>IFERROR(INDEX(dmInclude,MATCH($C58,dmID,0)),0)</f>
        <v/>
      </c>
      <c r="BY58" s="78">
        <f>IF(N($I58)&gt;0,1,0)</f>
        <v/>
      </c>
      <c r="BZ58" s="76">
        <f>IF($AJ58="","Other / Leased Fee",IFERROR(INDEX(mapPTGroup,MATCH(LEFT(TRIM($AJ58),2),mapPTCode,0)),"Other / Leased Fee"))</f>
        <v/>
      </c>
      <c r="CA58" s="76">
        <f>IF(TRIM($AF58&amp;"")="","NR",LEFT(TRIM($AF58),2))</f>
        <v/>
      </c>
      <c r="CB58" s="76">
        <f>IFERROR(LOOKUP(2,1/(LEFT(TRIM($AI58&amp;""),LEN(mapRegion))=mapRegion),mapRegion),"Not Reported")</f>
        <v/>
      </c>
      <c r="CC58" s="76">
        <f>IF($BY58=0,"",IF(TRIM($W58&amp;"")="REO","REO",IF(TRIM($W58&amp;"")="FC","Foreclosure",IF(TRIM($W58&amp;"")="90+","90+ Days Delinquent",IF(TRIM($W58&amp;"")="60","60 Days Delinquent",IF(TRIM($W58&amp;"")="30","30 Days Delinquent",IF($X58="Non-Performing Matured Balloon","Non-Performing Matured Balloon",IF(OR($X58="Late Payment But Less Than 30 Days Delinquent",LEFT($X58&amp;"",20)="Payment Not Received"),"Late / In Grace (&lt;30 Days)",IF($X58="Performing Matured Balloon","Performing Matured Balloon","Current")))))))))</f>
        <v/>
      </c>
      <c r="CD58" s="78">
        <f>IF(OR($CC58="REO",$CC58="Foreclosure",$CC58="90+ Days Delinquent",$CC58="60 Days Delinquent",$CC58="30 Days Delinquent",$CC58="Non-Performing Matured Balloon"),1,0)</f>
        <v/>
      </c>
      <c r="CE58" s="76">
        <f>IF($AB58="Currently special serv","Currently Specially Serviced",IF($AB58="Returned to master serv","Previously Specially Serviced","Never Specially Serviced"))</f>
        <v/>
      </c>
      <c r="CF58" s="78">
        <f>IF($CE58="Currently Specially Serviced",1,0)</f>
        <v/>
      </c>
      <c r="CG58" s="76">
        <f>IF($AA58="Yes","Currently on Watchlist",IF($AA58="Previously","Previously on Watchlist","Never on Watchlist"))</f>
        <v/>
      </c>
      <c r="CH58" s="78">
        <f>IF($CG58="Currently on Watchlist",1,0)</f>
        <v/>
      </c>
      <c r="CI58" s="76">
        <f>IF($Z58="Full Defeasance","Fully Defeased",IF($Z58="Portion Of Loan Previously Defeased","Partially Defeased",IF($Z58="Defeasance Not Allowable","Not Defeased (Not Permitted)","Not Defeased")))</f>
        <v/>
      </c>
      <c r="CJ58" s="78">
        <f>IF($CI58="Fully Defeased",1,0)</f>
        <v/>
      </c>
      <c r="CK58" s="76">
        <f>IF($R58="IO","Full IO",IF(LEFT($R58&amp;"",7)="IO then","Partial IO","Amortizing"))</f>
        <v/>
      </c>
      <c r="CL58" s="78">
        <f>IF($CK58="Full IO",1,0)</f>
        <v/>
      </c>
      <c r="CM58" s="78">
        <f>IF($CK58="Partial IO",1,0)</f>
        <v/>
      </c>
      <c r="CN58" s="76">
        <f>IF(LEFT($F58&amp;"",10)="SPLIT_LOAN","Pari Passu Split","Standalone")</f>
        <v/>
      </c>
      <c r="CO58" s="78">
        <f>IF($CN58="Pari Passu Split",1,0)</f>
        <v/>
      </c>
      <c r="CP58" s="77">
        <f>IF(ISNUMBER($T58),YEAR($T58),"")</f>
        <v/>
      </c>
      <c r="CQ58" s="79">
        <f>IF(ISNUMBER($V58),$V58,IF(ISNUMBER($U58),$U58,""))</f>
        <v/>
      </c>
      <c r="CR58" s="77">
        <f>IF(ISNUMBER($CQ58),YEAR($CQ58),"")</f>
        <v/>
      </c>
      <c r="CS58" s="78">
        <f>IF(ISNUMBER($M58),MAX(0,$M58),IF(TRIM($M58&amp;"")="matured",0,""))</f>
        <v/>
      </c>
      <c r="CT58" s="78">
        <f>IF(AND(ISNUMBER($CS58),N($CS58)&lt;=mMatWindow),1,0)</f>
        <v/>
      </c>
      <c r="CU58" s="80">
        <f>IF(ISNUMBER($J58),$J58/100,"")</f>
        <v/>
      </c>
      <c r="CV58" s="81">
        <f>IF(ISNUMBER($AQ58),$AQ58,"")</f>
        <v/>
      </c>
      <c r="CW58" s="81">
        <f>IF(ISNUMBER($AR58),$AR58,"")</f>
        <v/>
      </c>
      <c r="CX58" s="82">
        <f>IF(ISNUMBER($AS58),$AS58/100,"")</f>
        <v/>
      </c>
      <c r="CY58" s="82">
        <f>IF(ISNUMBER($AT58),$AT58/100,"")</f>
        <v/>
      </c>
      <c r="CZ58" s="82">
        <f>IF(ISNUMBER($AU58),$AU58/100,"")</f>
        <v/>
      </c>
      <c r="DA58" s="82">
        <f>IF(ISNUMBER($AV58),$AV58/100,"")</f>
        <v/>
      </c>
      <c r="DB58" s="82">
        <f>IF(ISNUMBER($AW58),$AW58/100,"")</f>
        <v/>
      </c>
      <c r="DC58" s="82">
        <f>IF(ISNUMBER($AX58),$AX58/100,"")</f>
        <v/>
      </c>
      <c r="DD58" s="77">
        <f>IFERROR(VALUE(LEFT(TRIM($AO58&amp;""),4)),"")</f>
        <v/>
      </c>
      <c r="DE58" s="78">
        <f>IF(AND($BY58=1,$BX58=1,OR(fDeal="All Deals",$BU58=fDeal),OR(fEntity="All Entities",$BV58=fEntity),OR(fPType="All Property Types",$BZ58=fPType),OR(fDefeased="Include",$CJ58=0)),1,0)</f>
        <v/>
      </c>
      <c r="DF58" s="83">
        <f>$DE58*N($I58)</f>
        <v/>
      </c>
      <c r="DG58" s="78">
        <f>IF($DE58=1,IF(COUNTIFS($F$8:$F58,$F58,$DE$8:$DE58,1)=1,1,0),0)</f>
        <v/>
      </c>
      <c r="DH58" s="83">
        <f>IF($DG58=1,SUMIFS($DF$8:$DF$1600,$F$8:$F$1600,$F58),0)</f>
        <v/>
      </c>
      <c r="DI58" s="78">
        <f>IF($DG58=1,COUNTIFS($F$8:$F$1600,$F58,$DE$8:$DE$1600,1),0)</f>
        <v/>
      </c>
      <c r="DJ58" s="84">
        <f>IF($DG58=1,$DH58+(100000-ROW())/mTieBreak,0)</f>
        <v/>
      </c>
    </row>
    <row r="59">
      <c r="B59" s="68" t="n">
        <v>52</v>
      </c>
      <c r="C59" s="69" t="inlineStr">
        <is>
          <t>UBS17C02</t>
        </is>
      </c>
      <c r="D59" s="69" t="inlineStr">
        <is>
          <t>52.000</t>
        </is>
      </c>
      <c r="E59" s="69" t="inlineStr">
        <is>
          <t>Walgreens Grand Rapids</t>
        </is>
      </c>
      <c r="F59" s="69" t="inlineStr">
        <is>
          <t>LNUBS17C02-52.000</t>
        </is>
      </c>
      <c r="G59" s="70" t="n"/>
      <c r="H59" s="71" t="n">
        <v>4500000</v>
      </c>
      <c r="I59" s="71" t="n">
        <v>0</v>
      </c>
      <c r="J59" s="72" t="n">
        <v>4.1064</v>
      </c>
      <c r="K59" s="69" t="inlineStr">
        <is>
          <t>Fixed rate</t>
        </is>
      </c>
      <c r="L59" s="68" t="n">
        <v>120</v>
      </c>
      <c r="M59" s="68" t="n"/>
      <c r="N59" s="68" t="n">
        <v>120</v>
      </c>
      <c r="O59" s="68" t="n">
        <v>120</v>
      </c>
      <c r="P59" s="68" t="n"/>
      <c r="Q59" s="68" t="n"/>
      <c r="R59" s="69" t="inlineStr">
        <is>
          <t>IO</t>
        </is>
      </c>
      <c r="S59" s="69" t="inlineStr">
        <is>
          <t>Yes</t>
        </is>
      </c>
      <c r="T59" s="73" t="n">
        <v>42917</v>
      </c>
      <c r="U59" s="73" t="n">
        <v>48395</v>
      </c>
      <c r="V59" s="73" t="n">
        <v>46574</v>
      </c>
      <c r="W59" s="69" t="n"/>
      <c r="X59" s="69" t="inlineStr">
        <is>
          <t>Current</t>
        </is>
      </c>
      <c r="Y59" s="68" t="n"/>
      <c r="Z59" s="69" t="inlineStr">
        <is>
          <t>Defeasance Not Allowable</t>
        </is>
      </c>
      <c r="AA59" s="69" t="inlineStr">
        <is>
          <t>Previously</t>
        </is>
      </c>
      <c r="AB59" s="69" t="inlineStr">
        <is>
          <t>Never special serv</t>
        </is>
      </c>
      <c r="AC59" s="73" t="n"/>
      <c r="AD59" s="69" t="n"/>
      <c r="AE59" s="69" t="n"/>
      <c r="AF59" s="69" t="inlineStr">
        <is>
          <t>MI</t>
        </is>
      </c>
      <c r="AG59" s="69" t="inlineStr">
        <is>
          <t>Walker</t>
        </is>
      </c>
      <c r="AH59" s="69" t="inlineStr">
        <is>
          <t>Grand Rapids-Wyoming-Kentwood, MI</t>
        </is>
      </c>
      <c r="AI59" s="69" t="inlineStr">
        <is>
          <t>Midwest / Central East</t>
        </is>
      </c>
      <c r="AJ59" s="69" t="inlineStr">
        <is>
          <t>RT</t>
        </is>
      </c>
      <c r="AK59" s="69" t="inlineStr">
        <is>
          <t>Single Tenant</t>
        </is>
      </c>
      <c r="AL59" s="68" t="n">
        <v>1</v>
      </c>
      <c r="AM59" s="68" t="n"/>
      <c r="AN59" s="68" t="n">
        <v>14552</v>
      </c>
      <c r="AO59" s="69" t="inlineStr">
        <is>
          <t>2007</t>
        </is>
      </c>
      <c r="AP59" s="70" t="n">
        <v>2007</v>
      </c>
      <c r="AQ59" s="74" t="n">
        <v>2.61</v>
      </c>
      <c r="AR59" s="74" t="n">
        <v>2.14</v>
      </c>
      <c r="AS59" s="74" t="n">
        <v>56.4</v>
      </c>
      <c r="AT59" s="74" t="n"/>
      <c r="AU59" s="74" t="n">
        <v>56.4</v>
      </c>
      <c r="AV59" s="74" t="n">
        <v>10.8846</v>
      </c>
      <c r="AW59" s="74" t="n"/>
      <c r="AX59" s="75" t="n">
        <v>100</v>
      </c>
      <c r="AY59" s="71" t="n">
        <v>7975000</v>
      </c>
      <c r="AZ59" s="71" t="n">
        <v>7975000</v>
      </c>
      <c r="BA59" s="71" t="n">
        <v>489807</v>
      </c>
      <c r="BB59" s="71" t="n">
        <v>401145.94</v>
      </c>
      <c r="BC59" s="69" t="inlineStr">
        <is>
          <t>Acquisition</t>
        </is>
      </c>
      <c r="BD59" s="69" t="inlineStr">
        <is>
          <t>N</t>
        </is>
      </c>
      <c r="BE59" s="71" t="n"/>
      <c r="BF59" s="71" t="n"/>
      <c r="BG59" s="71" t="n"/>
      <c r="BH59" s="71" t="n">
        <v>0</v>
      </c>
      <c r="BI59" s="71" t="n">
        <v>0</v>
      </c>
      <c r="BJ59" s="69" t="inlineStr">
        <is>
          <t>N</t>
        </is>
      </c>
      <c r="BK59" s="69" t="inlineStr">
        <is>
          <t>Alpine Avenue</t>
        </is>
      </c>
      <c r="BL59" s="75" t="n">
        <v>100</v>
      </c>
      <c r="BM59" s="73" t="n">
        <v>66657</v>
      </c>
      <c r="BN59" s="69" t="inlineStr">
        <is>
          <t>CF Real Estate Holdings, LLC</t>
        </is>
      </c>
      <c r="BO59" s="69" t="inlineStr">
        <is>
          <t>UBS</t>
        </is>
      </c>
      <c r="BP59" s="69" t="inlineStr">
        <is>
          <t>Midland Loan Services</t>
        </is>
      </c>
      <c r="BQ59" s="69" t="inlineStr">
        <is>
          <t>Midland Loan Services</t>
        </is>
      </c>
      <c r="BR59" s="69" t="inlineStr">
        <is>
          <t>Payoff With Penalty</t>
        </is>
      </c>
      <c r="BS59" s="73" t="n">
        <v>45608</v>
      </c>
      <c r="BU59" s="76">
        <f>IF($C59="","",IFERROR(INDEX(dmName,MATCH($C59,dmID,0)),"Unmapped"))</f>
        <v/>
      </c>
      <c r="BV59" s="76">
        <f>IF($C59="","",IFERROR(INDEX(dmEntity,MATCH($C59,dmID,0)),"Unmapped"))</f>
        <v/>
      </c>
      <c r="BW59" s="77">
        <f>IF($C59="","",IFERROR(INDEX(dmVintage,MATCH($C59,dmID,0)),""))</f>
        <v/>
      </c>
      <c r="BX59" s="78">
        <f>IFERROR(INDEX(dmInclude,MATCH($C59,dmID,0)),0)</f>
        <v/>
      </c>
      <c r="BY59" s="78">
        <f>IF(N($I59)&gt;0,1,0)</f>
        <v/>
      </c>
      <c r="BZ59" s="76">
        <f>IF($AJ59="","Other / Leased Fee",IFERROR(INDEX(mapPTGroup,MATCH(LEFT(TRIM($AJ59),2),mapPTCode,0)),"Other / Leased Fee"))</f>
        <v/>
      </c>
      <c r="CA59" s="76">
        <f>IF(TRIM($AF59&amp;"")="","NR",LEFT(TRIM($AF59),2))</f>
        <v/>
      </c>
      <c r="CB59" s="76">
        <f>IFERROR(LOOKUP(2,1/(LEFT(TRIM($AI59&amp;""),LEN(mapRegion))=mapRegion),mapRegion),"Not Reported")</f>
        <v/>
      </c>
      <c r="CC59" s="76">
        <f>IF($BY59=0,"",IF(TRIM($W59&amp;"")="REO","REO",IF(TRIM($W59&amp;"")="FC","Foreclosure",IF(TRIM($W59&amp;"")="90+","90+ Days Delinquent",IF(TRIM($W59&amp;"")="60","60 Days Delinquent",IF(TRIM($W59&amp;"")="30","30 Days Delinquent",IF($X59="Non-Performing Matured Balloon","Non-Performing Matured Balloon",IF(OR($X59="Late Payment But Less Than 30 Days Delinquent",LEFT($X59&amp;"",20)="Payment Not Received"),"Late / In Grace (&lt;30 Days)",IF($X59="Performing Matured Balloon","Performing Matured Balloon","Current")))))))))</f>
        <v/>
      </c>
      <c r="CD59" s="78">
        <f>IF(OR($CC59="REO",$CC59="Foreclosure",$CC59="90+ Days Delinquent",$CC59="60 Days Delinquent",$CC59="30 Days Delinquent",$CC59="Non-Performing Matured Balloon"),1,0)</f>
        <v/>
      </c>
      <c r="CE59" s="76">
        <f>IF($AB59="Currently special serv","Currently Specially Serviced",IF($AB59="Returned to master serv","Previously Specially Serviced","Never Specially Serviced"))</f>
        <v/>
      </c>
      <c r="CF59" s="78">
        <f>IF($CE59="Currently Specially Serviced",1,0)</f>
        <v/>
      </c>
      <c r="CG59" s="76">
        <f>IF($AA59="Yes","Currently on Watchlist",IF($AA59="Previously","Previously on Watchlist","Never on Watchlist"))</f>
        <v/>
      </c>
      <c r="CH59" s="78">
        <f>IF($CG59="Currently on Watchlist",1,0)</f>
        <v/>
      </c>
      <c r="CI59" s="76">
        <f>IF($Z59="Full Defeasance","Fully Defeased",IF($Z59="Portion Of Loan Previously Defeased","Partially Defeased",IF($Z59="Defeasance Not Allowable","Not Defeased (Not Permitted)","Not Defeased")))</f>
        <v/>
      </c>
      <c r="CJ59" s="78">
        <f>IF($CI59="Fully Defeased",1,0)</f>
        <v/>
      </c>
      <c r="CK59" s="76">
        <f>IF($R59="IO","Full IO",IF(LEFT($R59&amp;"",7)="IO then","Partial IO","Amortizing"))</f>
        <v/>
      </c>
      <c r="CL59" s="78">
        <f>IF($CK59="Full IO",1,0)</f>
        <v/>
      </c>
      <c r="CM59" s="78">
        <f>IF($CK59="Partial IO",1,0)</f>
        <v/>
      </c>
      <c r="CN59" s="76">
        <f>IF(LEFT($F59&amp;"",10)="SPLIT_LOAN","Pari Passu Split","Standalone")</f>
        <v/>
      </c>
      <c r="CO59" s="78">
        <f>IF($CN59="Pari Passu Split",1,0)</f>
        <v/>
      </c>
      <c r="CP59" s="77">
        <f>IF(ISNUMBER($T59),YEAR($T59),"")</f>
        <v/>
      </c>
      <c r="CQ59" s="79">
        <f>IF(ISNUMBER($V59),$V59,IF(ISNUMBER($U59),$U59,""))</f>
        <v/>
      </c>
      <c r="CR59" s="77">
        <f>IF(ISNUMBER($CQ59),YEAR($CQ59),"")</f>
        <v/>
      </c>
      <c r="CS59" s="78">
        <f>IF(ISNUMBER($M59),MAX(0,$M59),IF(TRIM($M59&amp;"")="matured",0,""))</f>
        <v/>
      </c>
      <c r="CT59" s="78">
        <f>IF(AND(ISNUMBER($CS59),N($CS59)&lt;=mMatWindow),1,0)</f>
        <v/>
      </c>
      <c r="CU59" s="80">
        <f>IF(ISNUMBER($J59),$J59/100,"")</f>
        <v/>
      </c>
      <c r="CV59" s="81">
        <f>IF(ISNUMBER($AQ59),$AQ59,"")</f>
        <v/>
      </c>
      <c r="CW59" s="81">
        <f>IF(ISNUMBER($AR59),$AR59,"")</f>
        <v/>
      </c>
      <c r="CX59" s="82">
        <f>IF(ISNUMBER($AS59),$AS59/100,"")</f>
        <v/>
      </c>
      <c r="CY59" s="82">
        <f>IF(ISNUMBER($AT59),$AT59/100,"")</f>
        <v/>
      </c>
      <c r="CZ59" s="82">
        <f>IF(ISNUMBER($AU59),$AU59/100,"")</f>
        <v/>
      </c>
      <c r="DA59" s="82">
        <f>IF(ISNUMBER($AV59),$AV59/100,"")</f>
        <v/>
      </c>
      <c r="DB59" s="82">
        <f>IF(ISNUMBER($AW59),$AW59/100,"")</f>
        <v/>
      </c>
      <c r="DC59" s="82">
        <f>IF(ISNUMBER($AX59),$AX59/100,"")</f>
        <v/>
      </c>
      <c r="DD59" s="77">
        <f>IFERROR(VALUE(LEFT(TRIM($AO59&amp;""),4)),"")</f>
        <v/>
      </c>
      <c r="DE59" s="78">
        <f>IF(AND($BY59=1,$BX59=1,OR(fDeal="All Deals",$BU59=fDeal),OR(fEntity="All Entities",$BV59=fEntity),OR(fPType="All Property Types",$BZ59=fPType),OR(fDefeased="Include",$CJ59=0)),1,0)</f>
        <v/>
      </c>
      <c r="DF59" s="83">
        <f>$DE59*N($I59)</f>
        <v/>
      </c>
      <c r="DG59" s="78">
        <f>IF($DE59=1,IF(COUNTIFS($F$8:$F59,$F59,$DE$8:$DE59,1)=1,1,0),0)</f>
        <v/>
      </c>
      <c r="DH59" s="83">
        <f>IF($DG59=1,SUMIFS($DF$8:$DF$1600,$F$8:$F$1600,$F59),0)</f>
        <v/>
      </c>
      <c r="DI59" s="78">
        <f>IF($DG59=1,COUNTIFS($F$8:$F$1600,$F59,$DE$8:$DE$1600,1),0)</f>
        <v/>
      </c>
      <c r="DJ59" s="84">
        <f>IF($DG59=1,$DH59+(100000-ROW())/mTieBreak,0)</f>
        <v/>
      </c>
    </row>
    <row r="60">
      <c r="B60" s="68" t="n">
        <v>53</v>
      </c>
      <c r="C60" s="69" t="inlineStr">
        <is>
          <t>UBS17C02</t>
        </is>
      </c>
      <c r="D60" s="69" t="inlineStr">
        <is>
          <t>53.000</t>
        </is>
      </c>
      <c r="E60" s="69" t="inlineStr">
        <is>
          <t>Huffman Self Storage</t>
        </is>
      </c>
      <c r="F60" s="69" t="inlineStr">
        <is>
          <t>LNUBS17C02-53.000</t>
        </is>
      </c>
      <c r="G60" s="70" t="n"/>
      <c r="H60" s="71" t="n">
        <v>4330000</v>
      </c>
      <c r="I60" s="71" t="n">
        <v>3785337.85000068</v>
      </c>
      <c r="J60" s="72" t="n">
        <v>4.69</v>
      </c>
      <c r="K60" s="69" t="inlineStr">
        <is>
          <t>Fixed rate</t>
        </is>
      </c>
      <c r="L60" s="68" t="n">
        <v>120</v>
      </c>
      <c r="M60" s="68" t="n">
        <v>9</v>
      </c>
      <c r="N60" s="68" t="n">
        <v>384</v>
      </c>
      <c r="O60" s="68" t="n">
        <v>24</v>
      </c>
      <c r="P60" s="68" t="n">
        <v>0</v>
      </c>
      <c r="Q60" s="68" t="n">
        <v>111</v>
      </c>
      <c r="R60" s="69" t="inlineStr">
        <is>
          <t>IO then Amort</t>
        </is>
      </c>
      <c r="S60" s="69" t="inlineStr">
        <is>
          <t>No</t>
        </is>
      </c>
      <c r="T60" s="73" t="n">
        <v>42887</v>
      </c>
      <c r="U60" s="73" t="n">
        <v>46544</v>
      </c>
      <c r="V60" s="73" t="n"/>
      <c r="W60" s="69" t="n"/>
      <c r="X60" s="69" t="inlineStr">
        <is>
          <t>Current</t>
        </is>
      </c>
      <c r="Y60" s="68" t="n"/>
      <c r="Z60" s="69" t="inlineStr">
        <is>
          <t>Full Defeasance</t>
        </is>
      </c>
      <c r="AA60" s="69" t="inlineStr">
        <is>
          <t>Yes</t>
        </is>
      </c>
      <c r="AB60" s="69" t="inlineStr">
        <is>
          <t>Never special serv</t>
        </is>
      </c>
      <c r="AC60" s="73" t="n"/>
      <c r="AD60" s="69" t="n"/>
      <c r="AE60" s="69" t="n"/>
      <c r="AF60" s="69" t="inlineStr">
        <is>
          <t>TX</t>
        </is>
      </c>
      <c r="AG60" s="69" t="inlineStr">
        <is>
          <t>Huffman</t>
        </is>
      </c>
      <c r="AH60" s="69" t="n"/>
      <c r="AI60" s="69" t="inlineStr">
        <is>
          <t>South / Central West</t>
        </is>
      </c>
      <c r="AJ60" s="69" t="inlineStr">
        <is>
          <t>SS</t>
        </is>
      </c>
      <c r="AK60" s="69" t="n"/>
      <c r="AL60" s="68" t="n">
        <v>1</v>
      </c>
      <c r="AM60" s="68" t="n"/>
      <c r="AN60" s="68" t="n">
        <v>60125</v>
      </c>
      <c r="AO60" s="69" t="inlineStr">
        <is>
          <t>1996-2004</t>
        </is>
      </c>
      <c r="AP60" s="70" t="n">
        <v>2004</v>
      </c>
      <c r="AQ60" s="74" t="n">
        <v>1.43</v>
      </c>
      <c r="AR60" s="74" t="n">
        <v>1.41</v>
      </c>
      <c r="AS60" s="74" t="n">
        <v>66.09999999999999</v>
      </c>
      <c r="AT60" s="74" t="n">
        <v>57.79</v>
      </c>
      <c r="AU60" s="74" t="n">
        <v>56.7</v>
      </c>
      <c r="AV60" s="74" t="n">
        <v>8.889468822</v>
      </c>
      <c r="AW60" s="74" t="n">
        <v>9.863315899</v>
      </c>
      <c r="AX60" s="75" t="n">
        <v>77</v>
      </c>
      <c r="AY60" s="71" t="n">
        <v>6550000</v>
      </c>
      <c r="AZ60" s="71" t="n">
        <v>6550000</v>
      </c>
      <c r="BA60" s="71" t="n">
        <v>384914</v>
      </c>
      <c r="BB60" s="71" t="n">
        <v>379568.11</v>
      </c>
      <c r="BC60" s="69" t="inlineStr">
        <is>
          <t>Acquisition</t>
        </is>
      </c>
      <c r="BD60" s="69" t="inlineStr">
        <is>
          <t>N</t>
        </is>
      </c>
      <c r="BE60" s="71" t="n"/>
      <c r="BF60" s="71" t="n"/>
      <c r="BG60" s="71" t="n"/>
      <c r="BH60" s="71" t="n">
        <v>0</v>
      </c>
      <c r="BI60" s="71" t="n">
        <v>0</v>
      </c>
      <c r="BJ60" s="69" t="inlineStr">
        <is>
          <t>N</t>
        </is>
      </c>
      <c r="BK60" s="69" t="n"/>
      <c r="BL60" s="75" t="n"/>
      <c r="BM60" s="73" t="n"/>
      <c r="BN60" s="69" t="inlineStr">
        <is>
          <t>Toby Whitehead; Jeffery Reimert</t>
        </is>
      </c>
      <c r="BO60" s="69" t="inlineStr">
        <is>
          <t>RMF</t>
        </is>
      </c>
      <c r="BP60" s="69" t="inlineStr">
        <is>
          <t>Midland Loan Services</t>
        </is>
      </c>
      <c r="BQ60" s="69" t="inlineStr">
        <is>
          <t>Midland Loan Services</t>
        </is>
      </c>
      <c r="BR60" s="69" t="n"/>
      <c r="BS60" s="73" t="n">
        <v>46276</v>
      </c>
      <c r="BU60" s="76">
        <f>IF($C60="","",IFERROR(INDEX(dmName,MATCH($C60,dmID,0)),"Unmapped"))</f>
        <v/>
      </c>
      <c r="BV60" s="76">
        <f>IF($C60="","",IFERROR(INDEX(dmEntity,MATCH($C60,dmID,0)),"Unmapped"))</f>
        <v/>
      </c>
      <c r="BW60" s="77">
        <f>IF($C60="","",IFERROR(INDEX(dmVintage,MATCH($C60,dmID,0)),""))</f>
        <v/>
      </c>
      <c r="BX60" s="78">
        <f>IFERROR(INDEX(dmInclude,MATCH($C60,dmID,0)),0)</f>
        <v/>
      </c>
      <c r="BY60" s="78">
        <f>IF(N($I60)&gt;0,1,0)</f>
        <v/>
      </c>
      <c r="BZ60" s="76">
        <f>IF($AJ60="","Other / Leased Fee",IFERROR(INDEX(mapPTGroup,MATCH(LEFT(TRIM($AJ60),2),mapPTCode,0)),"Other / Leased Fee"))</f>
        <v/>
      </c>
      <c r="CA60" s="76">
        <f>IF(TRIM($AF60&amp;"")="","NR",LEFT(TRIM($AF60),2))</f>
        <v/>
      </c>
      <c r="CB60" s="76">
        <f>IFERROR(LOOKUP(2,1/(LEFT(TRIM($AI60&amp;""),LEN(mapRegion))=mapRegion),mapRegion),"Not Reported")</f>
        <v/>
      </c>
      <c r="CC60" s="76">
        <f>IF($BY60=0,"",IF(TRIM($W60&amp;"")="REO","REO",IF(TRIM($W60&amp;"")="FC","Foreclosure",IF(TRIM($W60&amp;"")="90+","90+ Days Delinquent",IF(TRIM($W60&amp;"")="60","60 Days Delinquent",IF(TRIM($W60&amp;"")="30","30 Days Delinquent",IF($X60="Non-Performing Matured Balloon","Non-Performing Matured Balloon",IF(OR($X60="Late Payment But Less Than 30 Days Delinquent",LEFT($X60&amp;"",20)="Payment Not Received"),"Late / In Grace (&lt;30 Days)",IF($X60="Performing Matured Balloon","Performing Matured Balloon","Current")))))))))</f>
        <v/>
      </c>
      <c r="CD60" s="78">
        <f>IF(OR($CC60="REO",$CC60="Foreclosure",$CC60="90+ Days Delinquent",$CC60="60 Days Delinquent",$CC60="30 Days Delinquent",$CC60="Non-Performing Matured Balloon"),1,0)</f>
        <v/>
      </c>
      <c r="CE60" s="76">
        <f>IF($AB60="Currently special serv","Currently Specially Serviced",IF($AB60="Returned to master serv","Previously Specially Serviced","Never Specially Serviced"))</f>
        <v/>
      </c>
      <c r="CF60" s="78">
        <f>IF($CE60="Currently Specially Serviced",1,0)</f>
        <v/>
      </c>
      <c r="CG60" s="76">
        <f>IF($AA60="Yes","Currently on Watchlist",IF($AA60="Previously","Previously on Watchlist","Never on Watchlist"))</f>
        <v/>
      </c>
      <c r="CH60" s="78">
        <f>IF($CG60="Currently on Watchlist",1,0)</f>
        <v/>
      </c>
      <c r="CI60" s="76">
        <f>IF($Z60="Full Defeasance","Fully Defeased",IF($Z60="Portion Of Loan Previously Defeased","Partially Defeased",IF($Z60="Defeasance Not Allowable","Not Defeased (Not Permitted)","Not Defeased")))</f>
        <v/>
      </c>
      <c r="CJ60" s="78">
        <f>IF($CI60="Fully Defeased",1,0)</f>
        <v/>
      </c>
      <c r="CK60" s="76">
        <f>IF($R60="IO","Full IO",IF(LEFT($R60&amp;"",7)="IO then","Partial IO","Amortizing"))</f>
        <v/>
      </c>
      <c r="CL60" s="78">
        <f>IF($CK60="Full IO",1,0)</f>
        <v/>
      </c>
      <c r="CM60" s="78">
        <f>IF($CK60="Partial IO",1,0)</f>
        <v/>
      </c>
      <c r="CN60" s="76">
        <f>IF(LEFT($F60&amp;"",10)="SPLIT_LOAN","Pari Passu Split","Standalone")</f>
        <v/>
      </c>
      <c r="CO60" s="78">
        <f>IF($CN60="Pari Passu Split",1,0)</f>
        <v/>
      </c>
      <c r="CP60" s="77">
        <f>IF(ISNUMBER($T60),YEAR($T60),"")</f>
        <v/>
      </c>
      <c r="CQ60" s="79">
        <f>IF(ISNUMBER($V60),$V60,IF(ISNUMBER($U60),$U60,""))</f>
        <v/>
      </c>
      <c r="CR60" s="77">
        <f>IF(ISNUMBER($CQ60),YEAR($CQ60),"")</f>
        <v/>
      </c>
      <c r="CS60" s="78">
        <f>IF(ISNUMBER($M60),MAX(0,$M60),IF(TRIM($M60&amp;"")="matured",0,""))</f>
        <v/>
      </c>
      <c r="CT60" s="78">
        <f>IF(AND(ISNUMBER($CS60),N($CS60)&lt;=mMatWindow),1,0)</f>
        <v/>
      </c>
      <c r="CU60" s="80">
        <f>IF(ISNUMBER($J60),$J60/100,"")</f>
        <v/>
      </c>
      <c r="CV60" s="81">
        <f>IF(ISNUMBER($AQ60),$AQ60,"")</f>
        <v/>
      </c>
      <c r="CW60" s="81">
        <f>IF(ISNUMBER($AR60),$AR60,"")</f>
        <v/>
      </c>
      <c r="CX60" s="82">
        <f>IF(ISNUMBER($AS60),$AS60/100,"")</f>
        <v/>
      </c>
      <c r="CY60" s="82">
        <f>IF(ISNUMBER($AT60),$AT60/100,"")</f>
        <v/>
      </c>
      <c r="CZ60" s="82">
        <f>IF(ISNUMBER($AU60),$AU60/100,"")</f>
        <v/>
      </c>
      <c r="DA60" s="82">
        <f>IF(ISNUMBER($AV60),$AV60/100,"")</f>
        <v/>
      </c>
      <c r="DB60" s="82">
        <f>IF(ISNUMBER($AW60),$AW60/100,"")</f>
        <v/>
      </c>
      <c r="DC60" s="82">
        <f>IF(ISNUMBER($AX60),$AX60/100,"")</f>
        <v/>
      </c>
      <c r="DD60" s="77">
        <f>IFERROR(VALUE(LEFT(TRIM($AO60&amp;""),4)),"")</f>
        <v/>
      </c>
      <c r="DE60" s="78">
        <f>IF(AND($BY60=1,$BX60=1,OR(fDeal="All Deals",$BU60=fDeal),OR(fEntity="All Entities",$BV60=fEntity),OR(fPType="All Property Types",$BZ60=fPType),OR(fDefeased="Include",$CJ60=0)),1,0)</f>
        <v/>
      </c>
      <c r="DF60" s="83">
        <f>$DE60*N($I60)</f>
        <v/>
      </c>
      <c r="DG60" s="78">
        <f>IF($DE60=1,IF(COUNTIFS($F$8:$F60,$F60,$DE$8:$DE60,1)=1,1,0),0)</f>
        <v/>
      </c>
      <c r="DH60" s="83">
        <f>IF($DG60=1,SUMIFS($DF$8:$DF$1600,$F$8:$F$1600,$F60),0)</f>
        <v/>
      </c>
      <c r="DI60" s="78">
        <f>IF($DG60=1,COUNTIFS($F$8:$F$1600,$F60,$DE$8:$DE$1600,1),0)</f>
        <v/>
      </c>
      <c r="DJ60" s="84">
        <f>IF($DG60=1,$DH60+(100000-ROW())/mTieBreak,0)</f>
        <v/>
      </c>
    </row>
    <row r="61">
      <c r="B61" s="68" t="n">
        <v>54</v>
      </c>
      <c r="C61" s="69" t="inlineStr">
        <is>
          <t>UBS17C02</t>
        </is>
      </c>
      <c r="D61" s="69" t="inlineStr">
        <is>
          <t>54.000</t>
        </is>
      </c>
      <c r="E61" s="69" t="inlineStr">
        <is>
          <t>Desert Sky Retail</t>
        </is>
      </c>
      <c r="F61" s="69" t="inlineStr">
        <is>
          <t>LNUBS17C02-54.000</t>
        </is>
      </c>
      <c r="G61" s="70" t="n"/>
      <c r="H61" s="71" t="n">
        <v>4200000</v>
      </c>
      <c r="I61" s="71" t="n">
        <v>3697263.4799982</v>
      </c>
      <c r="J61" s="72" t="n">
        <v>4.825</v>
      </c>
      <c r="K61" s="69" t="inlineStr">
        <is>
          <t>Fixed rate</t>
        </is>
      </c>
      <c r="L61" s="68" t="n">
        <v>120</v>
      </c>
      <c r="M61" s="68" t="n">
        <v>11</v>
      </c>
      <c r="N61" s="68" t="n">
        <v>384</v>
      </c>
      <c r="O61" s="68" t="n">
        <v>24</v>
      </c>
      <c r="P61" s="68" t="n">
        <v>0</v>
      </c>
      <c r="Q61" s="68" t="n">
        <v>109</v>
      </c>
      <c r="R61" s="69" t="inlineStr">
        <is>
          <t>IO then Amort</t>
        </is>
      </c>
      <c r="S61" s="69" t="inlineStr">
        <is>
          <t>No</t>
        </is>
      </c>
      <c r="T61" s="73" t="n">
        <v>42948</v>
      </c>
      <c r="U61" s="73" t="n">
        <v>46604</v>
      </c>
      <c r="V61" s="73" t="n"/>
      <c r="W61" s="69" t="n"/>
      <c r="X61" s="69" t="inlineStr">
        <is>
          <t>Current</t>
        </is>
      </c>
      <c r="Y61" s="68" t="n"/>
      <c r="Z61" s="69" t="inlineStr">
        <is>
          <t>No Defeasance Occurred</t>
        </is>
      </c>
      <c r="AA61" s="69" t="inlineStr">
        <is>
          <t>Yes</t>
        </is>
      </c>
      <c r="AB61" s="69" t="inlineStr">
        <is>
          <t>Never special serv</t>
        </is>
      </c>
      <c r="AC61" s="73" t="n"/>
      <c r="AD61" s="69" t="n"/>
      <c r="AE61" s="69" t="n"/>
      <c r="AF61" s="69" t="inlineStr">
        <is>
          <t>AZ</t>
        </is>
      </c>
      <c r="AG61" s="69" t="inlineStr">
        <is>
          <t>Phoenix</t>
        </is>
      </c>
      <c r="AH61" s="69" t="inlineStr">
        <is>
          <t>Phoenix-Mesa-Chandler, AZ</t>
        </is>
      </c>
      <c r="AI61" s="69" t="inlineStr">
        <is>
          <t>West / Mountain</t>
        </is>
      </c>
      <c r="AJ61" s="69" t="inlineStr">
        <is>
          <t>RT</t>
        </is>
      </c>
      <c r="AK61" s="69" t="inlineStr">
        <is>
          <t>Shadow Anchored</t>
        </is>
      </c>
      <c r="AL61" s="68" t="n">
        <v>1</v>
      </c>
      <c r="AM61" s="68" t="n"/>
      <c r="AN61" s="68" t="n">
        <v>15735</v>
      </c>
      <c r="AO61" s="69" t="inlineStr">
        <is>
          <t>2006</t>
        </is>
      </c>
      <c r="AP61" s="70" t="n">
        <v>2006</v>
      </c>
      <c r="AQ61" s="74" t="n">
        <v>1.49</v>
      </c>
      <c r="AR61" s="74" t="n">
        <v>1.79</v>
      </c>
      <c r="AS61" s="74" t="n">
        <v>69.7</v>
      </c>
      <c r="AT61" s="74" t="n">
        <v>61.31</v>
      </c>
      <c r="AU61" s="74" t="n">
        <v>60</v>
      </c>
      <c r="AV61" s="74" t="n">
        <v>9.391937381</v>
      </c>
      <c r="AW61" s="74" t="n">
        <v>13.01977429</v>
      </c>
      <c r="AX61" s="75" t="n">
        <v>100</v>
      </c>
      <c r="AY61" s="71" t="n">
        <v>6030000</v>
      </c>
      <c r="AZ61" s="71" t="n">
        <v>6030000</v>
      </c>
      <c r="BA61" s="71" t="n">
        <v>394461.37</v>
      </c>
      <c r="BB61" s="71" t="n">
        <v>473813.74</v>
      </c>
      <c r="BC61" s="69" t="inlineStr">
        <is>
          <t>Refinance</t>
        </is>
      </c>
      <c r="BD61" s="69" t="inlineStr">
        <is>
          <t>N</t>
        </is>
      </c>
      <c r="BE61" s="71" t="n"/>
      <c r="BF61" s="71" t="n"/>
      <c r="BG61" s="71" t="n"/>
      <c r="BH61" s="71" t="n">
        <v>0</v>
      </c>
      <c r="BI61" s="71" t="n">
        <v>0</v>
      </c>
      <c r="BJ61" s="69" t="inlineStr">
        <is>
          <t>N</t>
        </is>
      </c>
      <c r="BK61" s="69" t="inlineStr">
        <is>
          <t>Western DentaL Arizona Inc. #521-517</t>
        </is>
      </c>
      <c r="BL61" s="75" t="n">
        <v>28.6</v>
      </c>
      <c r="BM61" s="73" t="n">
        <v>46387</v>
      </c>
      <c r="BN61" s="69" t="inlineStr">
        <is>
          <t>Michael H. Mugel; Michael H. Mugel Trust, Dated April 2,2004</t>
        </is>
      </c>
      <c r="BO61" s="69" t="inlineStr">
        <is>
          <t>Natixis</t>
        </is>
      </c>
      <c r="BP61" s="69" t="inlineStr">
        <is>
          <t>Midland Loan Services</t>
        </is>
      </c>
      <c r="BQ61" s="69" t="inlineStr">
        <is>
          <t>Midland Loan Services</t>
        </is>
      </c>
      <c r="BR61" s="69" t="n"/>
      <c r="BS61" s="73" t="n">
        <v>46276</v>
      </c>
      <c r="BU61" s="76">
        <f>IF($C61="","",IFERROR(INDEX(dmName,MATCH($C61,dmID,0)),"Unmapped"))</f>
        <v/>
      </c>
      <c r="BV61" s="76">
        <f>IF($C61="","",IFERROR(INDEX(dmEntity,MATCH($C61,dmID,0)),"Unmapped"))</f>
        <v/>
      </c>
      <c r="BW61" s="77">
        <f>IF($C61="","",IFERROR(INDEX(dmVintage,MATCH($C61,dmID,0)),""))</f>
        <v/>
      </c>
      <c r="BX61" s="78">
        <f>IFERROR(INDEX(dmInclude,MATCH($C61,dmID,0)),0)</f>
        <v/>
      </c>
      <c r="BY61" s="78">
        <f>IF(N($I61)&gt;0,1,0)</f>
        <v/>
      </c>
      <c r="BZ61" s="76">
        <f>IF($AJ61="","Other / Leased Fee",IFERROR(INDEX(mapPTGroup,MATCH(LEFT(TRIM($AJ61),2),mapPTCode,0)),"Other / Leased Fee"))</f>
        <v/>
      </c>
      <c r="CA61" s="76">
        <f>IF(TRIM($AF61&amp;"")="","NR",LEFT(TRIM($AF61),2))</f>
        <v/>
      </c>
      <c r="CB61" s="76">
        <f>IFERROR(LOOKUP(2,1/(LEFT(TRIM($AI61&amp;""),LEN(mapRegion))=mapRegion),mapRegion),"Not Reported")</f>
        <v/>
      </c>
      <c r="CC61" s="76">
        <f>IF($BY61=0,"",IF(TRIM($W61&amp;"")="REO","REO",IF(TRIM($W61&amp;"")="FC","Foreclosure",IF(TRIM($W61&amp;"")="90+","90+ Days Delinquent",IF(TRIM($W61&amp;"")="60","60 Days Delinquent",IF(TRIM($W61&amp;"")="30","30 Days Delinquent",IF($X61="Non-Performing Matured Balloon","Non-Performing Matured Balloon",IF(OR($X61="Late Payment But Less Than 30 Days Delinquent",LEFT($X61&amp;"",20)="Payment Not Received"),"Late / In Grace (&lt;30 Days)",IF($X61="Performing Matured Balloon","Performing Matured Balloon","Current")))))))))</f>
        <v/>
      </c>
      <c r="CD61" s="78">
        <f>IF(OR($CC61="REO",$CC61="Foreclosure",$CC61="90+ Days Delinquent",$CC61="60 Days Delinquent",$CC61="30 Days Delinquent",$CC61="Non-Performing Matured Balloon"),1,0)</f>
        <v/>
      </c>
      <c r="CE61" s="76">
        <f>IF($AB61="Currently special serv","Currently Specially Serviced",IF($AB61="Returned to master serv","Previously Specially Serviced","Never Specially Serviced"))</f>
        <v/>
      </c>
      <c r="CF61" s="78">
        <f>IF($CE61="Currently Specially Serviced",1,0)</f>
        <v/>
      </c>
      <c r="CG61" s="76">
        <f>IF($AA61="Yes","Currently on Watchlist",IF($AA61="Previously","Previously on Watchlist","Never on Watchlist"))</f>
        <v/>
      </c>
      <c r="CH61" s="78">
        <f>IF($CG61="Currently on Watchlist",1,0)</f>
        <v/>
      </c>
      <c r="CI61" s="76">
        <f>IF($Z61="Full Defeasance","Fully Defeased",IF($Z61="Portion Of Loan Previously Defeased","Partially Defeased",IF($Z61="Defeasance Not Allowable","Not Defeased (Not Permitted)","Not Defeased")))</f>
        <v/>
      </c>
      <c r="CJ61" s="78">
        <f>IF($CI61="Fully Defeased",1,0)</f>
        <v/>
      </c>
      <c r="CK61" s="76">
        <f>IF($R61="IO","Full IO",IF(LEFT($R61&amp;"",7)="IO then","Partial IO","Amortizing"))</f>
        <v/>
      </c>
      <c r="CL61" s="78">
        <f>IF($CK61="Full IO",1,0)</f>
        <v/>
      </c>
      <c r="CM61" s="78">
        <f>IF($CK61="Partial IO",1,0)</f>
        <v/>
      </c>
      <c r="CN61" s="76">
        <f>IF(LEFT($F61&amp;"",10)="SPLIT_LOAN","Pari Passu Split","Standalone")</f>
        <v/>
      </c>
      <c r="CO61" s="78">
        <f>IF($CN61="Pari Passu Split",1,0)</f>
        <v/>
      </c>
      <c r="CP61" s="77">
        <f>IF(ISNUMBER($T61),YEAR($T61),"")</f>
        <v/>
      </c>
      <c r="CQ61" s="79">
        <f>IF(ISNUMBER($V61),$V61,IF(ISNUMBER($U61),$U61,""))</f>
        <v/>
      </c>
      <c r="CR61" s="77">
        <f>IF(ISNUMBER($CQ61),YEAR($CQ61),"")</f>
        <v/>
      </c>
      <c r="CS61" s="78">
        <f>IF(ISNUMBER($M61),MAX(0,$M61),IF(TRIM($M61&amp;"")="matured",0,""))</f>
        <v/>
      </c>
      <c r="CT61" s="78">
        <f>IF(AND(ISNUMBER($CS61),N($CS61)&lt;=mMatWindow),1,0)</f>
        <v/>
      </c>
      <c r="CU61" s="80">
        <f>IF(ISNUMBER($J61),$J61/100,"")</f>
        <v/>
      </c>
      <c r="CV61" s="81">
        <f>IF(ISNUMBER($AQ61),$AQ61,"")</f>
        <v/>
      </c>
      <c r="CW61" s="81">
        <f>IF(ISNUMBER($AR61),$AR61,"")</f>
        <v/>
      </c>
      <c r="CX61" s="82">
        <f>IF(ISNUMBER($AS61),$AS61/100,"")</f>
        <v/>
      </c>
      <c r="CY61" s="82">
        <f>IF(ISNUMBER($AT61),$AT61/100,"")</f>
        <v/>
      </c>
      <c r="CZ61" s="82">
        <f>IF(ISNUMBER($AU61),$AU61/100,"")</f>
        <v/>
      </c>
      <c r="DA61" s="82">
        <f>IF(ISNUMBER($AV61),$AV61/100,"")</f>
        <v/>
      </c>
      <c r="DB61" s="82">
        <f>IF(ISNUMBER($AW61),$AW61/100,"")</f>
        <v/>
      </c>
      <c r="DC61" s="82">
        <f>IF(ISNUMBER($AX61),$AX61/100,"")</f>
        <v/>
      </c>
      <c r="DD61" s="77">
        <f>IFERROR(VALUE(LEFT(TRIM($AO61&amp;""),4)),"")</f>
        <v/>
      </c>
      <c r="DE61" s="78">
        <f>IF(AND($BY61=1,$BX61=1,OR(fDeal="All Deals",$BU61=fDeal),OR(fEntity="All Entities",$BV61=fEntity),OR(fPType="All Property Types",$BZ61=fPType),OR(fDefeased="Include",$CJ61=0)),1,0)</f>
        <v/>
      </c>
      <c r="DF61" s="83">
        <f>$DE61*N($I61)</f>
        <v/>
      </c>
      <c r="DG61" s="78">
        <f>IF($DE61=1,IF(COUNTIFS($F$8:$F61,$F61,$DE$8:$DE61,1)=1,1,0),0)</f>
        <v/>
      </c>
      <c r="DH61" s="83">
        <f>IF($DG61=1,SUMIFS($DF$8:$DF$1600,$F$8:$F$1600,$F61),0)</f>
        <v/>
      </c>
      <c r="DI61" s="78">
        <f>IF($DG61=1,COUNTIFS($F$8:$F$1600,$F61,$DE$8:$DE$1600,1),0)</f>
        <v/>
      </c>
      <c r="DJ61" s="84">
        <f>IF($DG61=1,$DH61+(100000-ROW())/mTieBreak,0)</f>
        <v/>
      </c>
    </row>
    <row r="62">
      <c r="B62" s="68" t="n">
        <v>55</v>
      </c>
      <c r="C62" s="69" t="inlineStr">
        <is>
          <t>UBS17C02</t>
        </is>
      </c>
      <c r="D62" s="69" t="inlineStr">
        <is>
          <t>55.000</t>
        </is>
      </c>
      <c r="E62" s="69" t="inlineStr">
        <is>
          <t>Aspen Court</t>
        </is>
      </c>
      <c r="F62" s="69" t="inlineStr">
        <is>
          <t>LNUBS17C02-55.000</t>
        </is>
      </c>
      <c r="G62" s="70" t="n"/>
      <c r="H62" s="71" t="n">
        <v>4000000</v>
      </c>
      <c r="I62" s="71" t="n">
        <v>3380447.13</v>
      </c>
      <c r="J62" s="72" t="n">
        <v>5.25</v>
      </c>
      <c r="K62" s="69" t="inlineStr">
        <is>
          <t>Fixed rate</t>
        </is>
      </c>
      <c r="L62" s="68" t="n">
        <v>120</v>
      </c>
      <c r="M62" s="68" t="n">
        <v>9</v>
      </c>
      <c r="N62" s="68" t="n">
        <v>360</v>
      </c>
      <c r="O62" s="68" t="n"/>
      <c r="P62" s="68" t="n"/>
      <c r="Q62" s="68" t="n">
        <v>111</v>
      </c>
      <c r="R62" s="69" t="n"/>
      <c r="S62" s="69" t="inlineStr">
        <is>
          <t>No</t>
        </is>
      </c>
      <c r="T62" s="73" t="n">
        <v>42887</v>
      </c>
      <c r="U62" s="73" t="n">
        <v>46544</v>
      </c>
      <c r="V62" s="73" t="n"/>
      <c r="W62" s="69" t="n"/>
      <c r="X62" s="69" t="inlineStr">
        <is>
          <t>Current</t>
        </is>
      </c>
      <c r="Y62" s="68" t="n"/>
      <c r="Z62" s="69" t="inlineStr">
        <is>
          <t>Full Defeasance</t>
        </is>
      </c>
      <c r="AA62" s="69" t="inlineStr">
        <is>
          <t>Yes</t>
        </is>
      </c>
      <c r="AB62" s="69" t="inlineStr">
        <is>
          <t>Never special serv</t>
        </is>
      </c>
      <c r="AC62" s="73" t="n"/>
      <c r="AD62" s="69" t="n"/>
      <c r="AE62" s="69" t="n"/>
      <c r="AF62" s="69" t="inlineStr">
        <is>
          <t>NJ</t>
        </is>
      </c>
      <c r="AG62" s="69" t="inlineStr">
        <is>
          <t>Eatontown</t>
        </is>
      </c>
      <c r="AH62" s="69" t="inlineStr">
        <is>
          <t>New York-Newark-Jersey City, NY-NJ</t>
        </is>
      </c>
      <c r="AI62" s="69" t="inlineStr">
        <is>
          <t>Northeast / Mid-Atlantic</t>
        </is>
      </c>
      <c r="AJ62" s="69" t="inlineStr">
        <is>
          <t>OF</t>
        </is>
      </c>
      <c r="AK62" s="69" t="inlineStr">
        <is>
          <t>Medical</t>
        </is>
      </c>
      <c r="AL62" s="68" t="n">
        <v>1</v>
      </c>
      <c r="AM62" s="68" t="n"/>
      <c r="AN62" s="68" t="n">
        <v>27773</v>
      </c>
      <c r="AO62" s="69" t="inlineStr">
        <is>
          <t>1967</t>
        </is>
      </c>
      <c r="AP62" s="70" t="n">
        <v>1982</v>
      </c>
      <c r="AQ62" s="74" t="n">
        <v>1.49</v>
      </c>
      <c r="AR62" s="74" t="n">
        <v>1.46</v>
      </c>
      <c r="AS62" s="74" t="n">
        <v>62.4</v>
      </c>
      <c r="AT62" s="74" t="n">
        <v>52.82</v>
      </c>
      <c r="AU62" s="74" t="n">
        <v>51.8</v>
      </c>
      <c r="AV62" s="74" t="n">
        <v>9.890525</v>
      </c>
      <c r="AW62" s="74" t="n">
        <v>11.447149892</v>
      </c>
      <c r="AX62" s="75" t="n">
        <v>71</v>
      </c>
      <c r="AY62" s="71" t="n">
        <v>6400000</v>
      </c>
      <c r="AZ62" s="71" t="n">
        <v>6400000</v>
      </c>
      <c r="BA62" s="71" t="n">
        <v>395621</v>
      </c>
      <c r="BB62" s="71" t="n">
        <v>386964.85</v>
      </c>
      <c r="BC62" s="69" t="inlineStr">
        <is>
          <t>Refinance</t>
        </is>
      </c>
      <c r="BD62" s="69" t="inlineStr">
        <is>
          <t>N</t>
        </is>
      </c>
      <c r="BE62" s="71" t="n"/>
      <c r="BF62" s="71" t="n"/>
      <c r="BG62" s="71" t="n"/>
      <c r="BH62" s="71" t="n">
        <v>0</v>
      </c>
      <c r="BI62" s="71" t="n">
        <v>0</v>
      </c>
      <c r="BJ62" s="69" t="inlineStr">
        <is>
          <t>N</t>
        </is>
      </c>
      <c r="BK62" s="69" t="inlineStr">
        <is>
          <t>ADVANCED ENDOSCOPY</t>
        </is>
      </c>
      <c r="BL62" s="75" t="n">
        <v>51.22</v>
      </c>
      <c r="BM62" s="73" t="n">
        <v>48579</v>
      </c>
      <c r="BN62" s="69" t="inlineStr">
        <is>
          <t>David I. Portman; Robert Portman</t>
        </is>
      </c>
      <c r="BO62" s="69" t="inlineStr">
        <is>
          <t>UBS</t>
        </is>
      </c>
      <c r="BP62" s="69" t="inlineStr">
        <is>
          <t>Midland Loan Services</t>
        </is>
      </c>
      <c r="BQ62" s="69" t="inlineStr">
        <is>
          <t>Midland Loan Services</t>
        </is>
      </c>
      <c r="BR62" s="69" t="n"/>
      <c r="BS62" s="73" t="n">
        <v>46276</v>
      </c>
      <c r="BU62" s="76">
        <f>IF($C62="","",IFERROR(INDEX(dmName,MATCH($C62,dmID,0)),"Unmapped"))</f>
        <v/>
      </c>
      <c r="BV62" s="76">
        <f>IF($C62="","",IFERROR(INDEX(dmEntity,MATCH($C62,dmID,0)),"Unmapped"))</f>
        <v/>
      </c>
      <c r="BW62" s="77">
        <f>IF($C62="","",IFERROR(INDEX(dmVintage,MATCH($C62,dmID,0)),""))</f>
        <v/>
      </c>
      <c r="BX62" s="78">
        <f>IFERROR(INDEX(dmInclude,MATCH($C62,dmID,0)),0)</f>
        <v/>
      </c>
      <c r="BY62" s="78">
        <f>IF(N($I62)&gt;0,1,0)</f>
        <v/>
      </c>
      <c r="BZ62" s="76">
        <f>IF($AJ62="","Other / Leased Fee",IFERROR(INDEX(mapPTGroup,MATCH(LEFT(TRIM($AJ62),2),mapPTCode,0)),"Other / Leased Fee"))</f>
        <v/>
      </c>
      <c r="CA62" s="76">
        <f>IF(TRIM($AF62&amp;"")="","NR",LEFT(TRIM($AF62),2))</f>
        <v/>
      </c>
      <c r="CB62" s="76">
        <f>IFERROR(LOOKUP(2,1/(LEFT(TRIM($AI62&amp;""),LEN(mapRegion))=mapRegion),mapRegion),"Not Reported")</f>
        <v/>
      </c>
      <c r="CC62" s="76">
        <f>IF($BY62=0,"",IF(TRIM($W62&amp;"")="REO","REO",IF(TRIM($W62&amp;"")="FC","Foreclosure",IF(TRIM($W62&amp;"")="90+","90+ Days Delinquent",IF(TRIM($W62&amp;"")="60","60 Days Delinquent",IF(TRIM($W62&amp;"")="30","30 Days Delinquent",IF($X62="Non-Performing Matured Balloon","Non-Performing Matured Balloon",IF(OR($X62="Late Payment But Less Than 30 Days Delinquent",LEFT($X62&amp;"",20)="Payment Not Received"),"Late / In Grace (&lt;30 Days)",IF($X62="Performing Matured Balloon","Performing Matured Balloon","Current")))))))))</f>
        <v/>
      </c>
      <c r="CD62" s="78">
        <f>IF(OR($CC62="REO",$CC62="Foreclosure",$CC62="90+ Days Delinquent",$CC62="60 Days Delinquent",$CC62="30 Days Delinquent",$CC62="Non-Performing Matured Balloon"),1,0)</f>
        <v/>
      </c>
      <c r="CE62" s="76">
        <f>IF($AB62="Currently special serv","Currently Specially Serviced",IF($AB62="Returned to master serv","Previously Specially Serviced","Never Specially Serviced"))</f>
        <v/>
      </c>
      <c r="CF62" s="78">
        <f>IF($CE62="Currently Specially Serviced",1,0)</f>
        <v/>
      </c>
      <c r="CG62" s="76">
        <f>IF($AA62="Yes","Currently on Watchlist",IF($AA62="Previously","Previously on Watchlist","Never on Watchlist"))</f>
        <v/>
      </c>
      <c r="CH62" s="78">
        <f>IF($CG62="Currently on Watchlist",1,0)</f>
        <v/>
      </c>
      <c r="CI62" s="76">
        <f>IF($Z62="Full Defeasance","Fully Defeased",IF($Z62="Portion Of Loan Previously Defeased","Partially Defeased",IF($Z62="Defeasance Not Allowable","Not Defeased (Not Permitted)","Not Defeased")))</f>
        <v/>
      </c>
      <c r="CJ62" s="78">
        <f>IF($CI62="Fully Defeased",1,0)</f>
        <v/>
      </c>
      <c r="CK62" s="76">
        <f>IF($R62="IO","Full IO",IF(LEFT($R62&amp;"",7)="IO then","Partial IO","Amortizing"))</f>
        <v/>
      </c>
      <c r="CL62" s="78">
        <f>IF($CK62="Full IO",1,0)</f>
        <v/>
      </c>
      <c r="CM62" s="78">
        <f>IF($CK62="Partial IO",1,0)</f>
        <v/>
      </c>
      <c r="CN62" s="76">
        <f>IF(LEFT($F62&amp;"",10)="SPLIT_LOAN","Pari Passu Split","Standalone")</f>
        <v/>
      </c>
      <c r="CO62" s="78">
        <f>IF($CN62="Pari Passu Split",1,0)</f>
        <v/>
      </c>
      <c r="CP62" s="77">
        <f>IF(ISNUMBER($T62),YEAR($T62),"")</f>
        <v/>
      </c>
      <c r="CQ62" s="79">
        <f>IF(ISNUMBER($V62),$V62,IF(ISNUMBER($U62),$U62,""))</f>
        <v/>
      </c>
      <c r="CR62" s="77">
        <f>IF(ISNUMBER($CQ62),YEAR($CQ62),"")</f>
        <v/>
      </c>
      <c r="CS62" s="78">
        <f>IF(ISNUMBER($M62),MAX(0,$M62),IF(TRIM($M62&amp;"")="matured",0,""))</f>
        <v/>
      </c>
      <c r="CT62" s="78">
        <f>IF(AND(ISNUMBER($CS62),N($CS62)&lt;=mMatWindow),1,0)</f>
        <v/>
      </c>
      <c r="CU62" s="80">
        <f>IF(ISNUMBER($J62),$J62/100,"")</f>
        <v/>
      </c>
      <c r="CV62" s="81">
        <f>IF(ISNUMBER($AQ62),$AQ62,"")</f>
        <v/>
      </c>
      <c r="CW62" s="81">
        <f>IF(ISNUMBER($AR62),$AR62,"")</f>
        <v/>
      </c>
      <c r="CX62" s="82">
        <f>IF(ISNUMBER($AS62),$AS62/100,"")</f>
        <v/>
      </c>
      <c r="CY62" s="82">
        <f>IF(ISNUMBER($AT62),$AT62/100,"")</f>
        <v/>
      </c>
      <c r="CZ62" s="82">
        <f>IF(ISNUMBER($AU62),$AU62/100,"")</f>
        <v/>
      </c>
      <c r="DA62" s="82">
        <f>IF(ISNUMBER($AV62),$AV62/100,"")</f>
        <v/>
      </c>
      <c r="DB62" s="82">
        <f>IF(ISNUMBER($AW62),$AW62/100,"")</f>
        <v/>
      </c>
      <c r="DC62" s="82">
        <f>IF(ISNUMBER($AX62),$AX62/100,"")</f>
        <v/>
      </c>
      <c r="DD62" s="77">
        <f>IFERROR(VALUE(LEFT(TRIM($AO62&amp;""),4)),"")</f>
        <v/>
      </c>
      <c r="DE62" s="78">
        <f>IF(AND($BY62=1,$BX62=1,OR(fDeal="All Deals",$BU62=fDeal),OR(fEntity="All Entities",$BV62=fEntity),OR(fPType="All Property Types",$BZ62=fPType),OR(fDefeased="Include",$CJ62=0)),1,0)</f>
        <v/>
      </c>
      <c r="DF62" s="83">
        <f>$DE62*N($I62)</f>
        <v/>
      </c>
      <c r="DG62" s="78">
        <f>IF($DE62=1,IF(COUNTIFS($F$8:$F62,$F62,$DE$8:$DE62,1)=1,1,0),0)</f>
        <v/>
      </c>
      <c r="DH62" s="83">
        <f>IF($DG62=1,SUMIFS($DF$8:$DF$1600,$F$8:$F$1600,$F62),0)</f>
        <v/>
      </c>
      <c r="DI62" s="78">
        <f>IF($DG62=1,COUNTIFS($F$8:$F$1600,$F62,$DE$8:$DE$1600,1),0)</f>
        <v/>
      </c>
      <c r="DJ62" s="84">
        <f>IF($DG62=1,$DH62+(100000-ROW())/mTieBreak,0)</f>
        <v/>
      </c>
    </row>
    <row r="63">
      <c r="B63" s="68" t="n">
        <v>56</v>
      </c>
      <c r="C63" s="69" t="inlineStr">
        <is>
          <t>UBS17C02</t>
        </is>
      </c>
      <c r="D63" s="69" t="inlineStr">
        <is>
          <t>56.000</t>
        </is>
      </c>
      <c r="E63" s="69" t="inlineStr">
        <is>
          <t>Canton Corners</t>
        </is>
      </c>
      <c r="F63" s="69" t="inlineStr">
        <is>
          <t>LNUBS17C02-56.000</t>
        </is>
      </c>
      <c r="G63" s="70" t="n"/>
      <c r="H63" s="71" t="n">
        <v>4000000</v>
      </c>
      <c r="I63" s="71" t="n">
        <v>3335406.46</v>
      </c>
      <c r="J63" s="72" t="n">
        <v>4.8</v>
      </c>
      <c r="K63" s="69" t="inlineStr">
        <is>
          <t>Fixed rate</t>
        </is>
      </c>
      <c r="L63" s="68" t="n">
        <v>120</v>
      </c>
      <c r="M63" s="68" t="n">
        <v>9</v>
      </c>
      <c r="N63" s="68" t="n">
        <v>360</v>
      </c>
      <c r="O63" s="68" t="n"/>
      <c r="P63" s="68" t="n"/>
      <c r="Q63" s="68" t="n">
        <v>111</v>
      </c>
      <c r="R63" s="69" t="n"/>
      <c r="S63" s="69" t="inlineStr">
        <is>
          <t>No</t>
        </is>
      </c>
      <c r="T63" s="73" t="n">
        <v>42887</v>
      </c>
      <c r="U63" s="73" t="n">
        <v>46544</v>
      </c>
      <c r="V63" s="73" t="n"/>
      <c r="W63" s="69" t="n"/>
      <c r="X63" s="69" t="inlineStr">
        <is>
          <t>Current</t>
        </is>
      </c>
      <c r="Y63" s="68" t="n"/>
      <c r="Z63" s="69" t="inlineStr">
        <is>
          <t>Defeasance Not Allowable</t>
        </is>
      </c>
      <c r="AA63" s="69" t="inlineStr">
        <is>
          <t>Yes</t>
        </is>
      </c>
      <c r="AB63" s="69" t="inlineStr">
        <is>
          <t>Never special serv</t>
        </is>
      </c>
      <c r="AC63" s="73" t="n"/>
      <c r="AD63" s="69" t="n"/>
      <c r="AE63" s="69" t="n"/>
      <c r="AF63" s="69" t="inlineStr">
        <is>
          <t>MI</t>
        </is>
      </c>
      <c r="AG63" s="69" t="inlineStr">
        <is>
          <t>Canton</t>
        </is>
      </c>
      <c r="AH63" s="69" t="inlineStr">
        <is>
          <t>Detroit-Warren-Dearborn, MI</t>
        </is>
      </c>
      <c r="AI63" s="69" t="inlineStr">
        <is>
          <t>Midwest / Central East</t>
        </is>
      </c>
      <c r="AJ63" s="69" t="inlineStr">
        <is>
          <t>RT</t>
        </is>
      </c>
      <c r="AK63" s="69" t="inlineStr">
        <is>
          <t>Unanchored</t>
        </is>
      </c>
      <c r="AL63" s="68" t="n">
        <v>1</v>
      </c>
      <c r="AM63" s="68" t="n"/>
      <c r="AN63" s="68" t="n">
        <v>20258</v>
      </c>
      <c r="AO63" s="69" t="inlineStr">
        <is>
          <t>1973</t>
        </is>
      </c>
      <c r="AP63" s="70" t="n">
        <v>2015</v>
      </c>
      <c r="AQ63" s="74" t="n">
        <v>1.44</v>
      </c>
      <c r="AR63" s="74" t="n">
        <v>1.35</v>
      </c>
      <c r="AS63" s="74" t="n">
        <v>68.2</v>
      </c>
      <c r="AT63" s="74" t="n">
        <v>57.02</v>
      </c>
      <c r="AU63" s="74" t="n">
        <v>55.8</v>
      </c>
      <c r="AV63" s="74" t="n">
        <v>9.0351</v>
      </c>
      <c r="AW63" s="74" t="n">
        <v>10.198038652</v>
      </c>
      <c r="AX63" s="75" t="n">
        <v>100</v>
      </c>
      <c r="AY63" s="71" t="n">
        <v>5850000</v>
      </c>
      <c r="AZ63" s="71" t="n">
        <v>5850000</v>
      </c>
      <c r="BA63" s="71" t="n">
        <v>361404</v>
      </c>
      <c r="BB63" s="71" t="n">
        <v>340146.04</v>
      </c>
      <c r="BC63" s="69" t="inlineStr">
        <is>
          <t>Refinance</t>
        </is>
      </c>
      <c r="BD63" s="69" t="inlineStr">
        <is>
          <t>N</t>
        </is>
      </c>
      <c r="BE63" s="71" t="n"/>
      <c r="BF63" s="71" t="n"/>
      <c r="BG63" s="71" t="n"/>
      <c r="BH63" s="71" t="n">
        <v>0</v>
      </c>
      <c r="BI63" s="71" t="n">
        <v>0</v>
      </c>
      <c r="BJ63" s="69" t="inlineStr">
        <is>
          <t>N</t>
        </is>
      </c>
      <c r="BK63" s="69" t="inlineStr">
        <is>
          <t>Signature Nails</t>
        </is>
      </c>
      <c r="BL63" s="75" t="n">
        <v>19.44</v>
      </c>
      <c r="BM63" s="73" t="n">
        <v>49552</v>
      </c>
      <c r="BN63" s="69" t="inlineStr">
        <is>
          <t>Joe Barbat</t>
        </is>
      </c>
      <c r="BO63" s="69" t="inlineStr">
        <is>
          <t>UBS</t>
        </is>
      </c>
      <c r="BP63" s="69" t="inlineStr">
        <is>
          <t>Midland Loan Services</t>
        </is>
      </c>
      <c r="BQ63" s="69" t="inlineStr">
        <is>
          <t>Midland Loan Services</t>
        </is>
      </c>
      <c r="BR63" s="69" t="n"/>
      <c r="BS63" s="73" t="n">
        <v>46276</v>
      </c>
      <c r="BU63" s="76">
        <f>IF($C63="","",IFERROR(INDEX(dmName,MATCH($C63,dmID,0)),"Unmapped"))</f>
        <v/>
      </c>
      <c r="BV63" s="76">
        <f>IF($C63="","",IFERROR(INDEX(dmEntity,MATCH($C63,dmID,0)),"Unmapped"))</f>
        <v/>
      </c>
      <c r="BW63" s="77">
        <f>IF($C63="","",IFERROR(INDEX(dmVintage,MATCH($C63,dmID,0)),""))</f>
        <v/>
      </c>
      <c r="BX63" s="78">
        <f>IFERROR(INDEX(dmInclude,MATCH($C63,dmID,0)),0)</f>
        <v/>
      </c>
      <c r="BY63" s="78">
        <f>IF(N($I63)&gt;0,1,0)</f>
        <v/>
      </c>
      <c r="BZ63" s="76">
        <f>IF($AJ63="","Other / Leased Fee",IFERROR(INDEX(mapPTGroup,MATCH(LEFT(TRIM($AJ63),2),mapPTCode,0)),"Other / Leased Fee"))</f>
        <v/>
      </c>
      <c r="CA63" s="76">
        <f>IF(TRIM($AF63&amp;"")="","NR",LEFT(TRIM($AF63),2))</f>
        <v/>
      </c>
      <c r="CB63" s="76">
        <f>IFERROR(LOOKUP(2,1/(LEFT(TRIM($AI63&amp;""),LEN(mapRegion))=mapRegion),mapRegion),"Not Reported")</f>
        <v/>
      </c>
      <c r="CC63" s="76">
        <f>IF($BY63=0,"",IF(TRIM($W63&amp;"")="REO","REO",IF(TRIM($W63&amp;"")="FC","Foreclosure",IF(TRIM($W63&amp;"")="90+","90+ Days Delinquent",IF(TRIM($W63&amp;"")="60","60 Days Delinquent",IF(TRIM($W63&amp;"")="30","30 Days Delinquent",IF($X63="Non-Performing Matured Balloon","Non-Performing Matured Balloon",IF(OR($X63="Late Payment But Less Than 30 Days Delinquent",LEFT($X63&amp;"",20)="Payment Not Received"),"Late / In Grace (&lt;30 Days)",IF($X63="Performing Matured Balloon","Performing Matured Balloon","Current")))))))))</f>
        <v/>
      </c>
      <c r="CD63" s="78">
        <f>IF(OR($CC63="REO",$CC63="Foreclosure",$CC63="90+ Days Delinquent",$CC63="60 Days Delinquent",$CC63="30 Days Delinquent",$CC63="Non-Performing Matured Balloon"),1,0)</f>
        <v/>
      </c>
      <c r="CE63" s="76">
        <f>IF($AB63="Currently special serv","Currently Specially Serviced",IF($AB63="Returned to master serv","Previously Specially Serviced","Never Specially Serviced"))</f>
        <v/>
      </c>
      <c r="CF63" s="78">
        <f>IF($CE63="Currently Specially Serviced",1,0)</f>
        <v/>
      </c>
      <c r="CG63" s="76">
        <f>IF($AA63="Yes","Currently on Watchlist",IF($AA63="Previously","Previously on Watchlist","Never on Watchlist"))</f>
        <v/>
      </c>
      <c r="CH63" s="78">
        <f>IF($CG63="Currently on Watchlist",1,0)</f>
        <v/>
      </c>
      <c r="CI63" s="76">
        <f>IF($Z63="Full Defeasance","Fully Defeased",IF($Z63="Portion Of Loan Previously Defeased","Partially Defeased",IF($Z63="Defeasance Not Allowable","Not Defeased (Not Permitted)","Not Defeased")))</f>
        <v/>
      </c>
      <c r="CJ63" s="78">
        <f>IF($CI63="Fully Defeased",1,0)</f>
        <v/>
      </c>
      <c r="CK63" s="76">
        <f>IF($R63="IO","Full IO",IF(LEFT($R63&amp;"",7)="IO then","Partial IO","Amortizing"))</f>
        <v/>
      </c>
      <c r="CL63" s="78">
        <f>IF($CK63="Full IO",1,0)</f>
        <v/>
      </c>
      <c r="CM63" s="78">
        <f>IF($CK63="Partial IO",1,0)</f>
        <v/>
      </c>
      <c r="CN63" s="76">
        <f>IF(LEFT($F63&amp;"",10)="SPLIT_LOAN","Pari Passu Split","Standalone")</f>
        <v/>
      </c>
      <c r="CO63" s="78">
        <f>IF($CN63="Pari Passu Split",1,0)</f>
        <v/>
      </c>
      <c r="CP63" s="77">
        <f>IF(ISNUMBER($T63),YEAR($T63),"")</f>
        <v/>
      </c>
      <c r="CQ63" s="79">
        <f>IF(ISNUMBER($V63),$V63,IF(ISNUMBER($U63),$U63,""))</f>
        <v/>
      </c>
      <c r="CR63" s="77">
        <f>IF(ISNUMBER($CQ63),YEAR($CQ63),"")</f>
        <v/>
      </c>
      <c r="CS63" s="78">
        <f>IF(ISNUMBER($M63),MAX(0,$M63),IF(TRIM($M63&amp;"")="matured",0,""))</f>
        <v/>
      </c>
      <c r="CT63" s="78">
        <f>IF(AND(ISNUMBER($CS63),N($CS63)&lt;=mMatWindow),1,0)</f>
        <v/>
      </c>
      <c r="CU63" s="80">
        <f>IF(ISNUMBER($J63),$J63/100,"")</f>
        <v/>
      </c>
      <c r="CV63" s="81">
        <f>IF(ISNUMBER($AQ63),$AQ63,"")</f>
        <v/>
      </c>
      <c r="CW63" s="81">
        <f>IF(ISNUMBER($AR63),$AR63,"")</f>
        <v/>
      </c>
      <c r="CX63" s="82">
        <f>IF(ISNUMBER($AS63),$AS63/100,"")</f>
        <v/>
      </c>
      <c r="CY63" s="82">
        <f>IF(ISNUMBER($AT63),$AT63/100,"")</f>
        <v/>
      </c>
      <c r="CZ63" s="82">
        <f>IF(ISNUMBER($AU63),$AU63/100,"")</f>
        <v/>
      </c>
      <c r="DA63" s="82">
        <f>IF(ISNUMBER($AV63),$AV63/100,"")</f>
        <v/>
      </c>
      <c r="DB63" s="82">
        <f>IF(ISNUMBER($AW63),$AW63/100,"")</f>
        <v/>
      </c>
      <c r="DC63" s="82">
        <f>IF(ISNUMBER($AX63),$AX63/100,"")</f>
        <v/>
      </c>
      <c r="DD63" s="77">
        <f>IFERROR(VALUE(LEFT(TRIM($AO63&amp;""),4)),"")</f>
        <v/>
      </c>
      <c r="DE63" s="78">
        <f>IF(AND($BY63=1,$BX63=1,OR(fDeal="All Deals",$BU63=fDeal),OR(fEntity="All Entities",$BV63=fEntity),OR(fPType="All Property Types",$BZ63=fPType),OR(fDefeased="Include",$CJ63=0)),1,0)</f>
        <v/>
      </c>
      <c r="DF63" s="83">
        <f>$DE63*N($I63)</f>
        <v/>
      </c>
      <c r="DG63" s="78">
        <f>IF($DE63=1,IF(COUNTIFS($F$8:$F63,$F63,$DE$8:$DE63,1)=1,1,0),0)</f>
        <v/>
      </c>
      <c r="DH63" s="83">
        <f>IF($DG63=1,SUMIFS($DF$8:$DF$1600,$F$8:$F$1600,$F63),0)</f>
        <v/>
      </c>
      <c r="DI63" s="78">
        <f>IF($DG63=1,COUNTIFS($F$8:$F$1600,$F63,$DE$8:$DE$1600,1),0)</f>
        <v/>
      </c>
      <c r="DJ63" s="84">
        <f>IF($DG63=1,$DH63+(100000-ROW())/mTieBreak,0)</f>
        <v/>
      </c>
    </row>
    <row r="64">
      <c r="B64" s="68" t="n">
        <v>57</v>
      </c>
      <c r="C64" s="69" t="inlineStr">
        <is>
          <t>UBS17C02</t>
        </is>
      </c>
      <c r="D64" s="69" t="inlineStr">
        <is>
          <t>57.000</t>
        </is>
      </c>
      <c r="E64" s="69" t="inlineStr">
        <is>
          <t>Comfort Suites Brunswick</t>
        </is>
      </c>
      <c r="F64" s="69" t="inlineStr">
        <is>
          <t>LNUBS17C02-57.000</t>
        </is>
      </c>
      <c r="G64" s="70" t="n"/>
      <c r="H64" s="71" t="n">
        <v>3700000</v>
      </c>
      <c r="I64" s="71" t="n">
        <v>3122355.340001401</v>
      </c>
      <c r="J64" s="72" t="n">
        <v>5.2</v>
      </c>
      <c r="K64" s="69" t="inlineStr">
        <is>
          <t>Fixed rate</t>
        </is>
      </c>
      <c r="L64" s="68" t="n">
        <v>120</v>
      </c>
      <c r="M64" s="68" t="n">
        <v>9</v>
      </c>
      <c r="N64" s="68" t="n">
        <v>360</v>
      </c>
      <c r="O64" s="68" t="n"/>
      <c r="P64" s="68" t="n"/>
      <c r="Q64" s="68" t="n">
        <v>111</v>
      </c>
      <c r="R64" s="69" t="n"/>
      <c r="S64" s="69" t="inlineStr">
        <is>
          <t>No</t>
        </is>
      </c>
      <c r="T64" s="73" t="n">
        <v>42887</v>
      </c>
      <c r="U64" s="73" t="n">
        <v>46544</v>
      </c>
      <c r="V64" s="73" t="n"/>
      <c r="W64" s="69" t="n"/>
      <c r="X64" s="69" t="inlineStr">
        <is>
          <t>Current</t>
        </is>
      </c>
      <c r="Y64" s="68" t="n"/>
      <c r="Z64" s="69" t="inlineStr">
        <is>
          <t>Full Defeasance</t>
        </is>
      </c>
      <c r="AA64" s="69" t="inlineStr">
        <is>
          <t>Yes</t>
        </is>
      </c>
      <c r="AB64" s="69" t="inlineStr">
        <is>
          <t>Never special serv</t>
        </is>
      </c>
      <c r="AC64" s="73" t="n"/>
      <c r="AD64" s="69" t="n"/>
      <c r="AE64" s="69" t="n"/>
      <c r="AF64" s="69" t="inlineStr">
        <is>
          <t>GA</t>
        </is>
      </c>
      <c r="AG64" s="69" t="inlineStr">
        <is>
          <t>Brunswick</t>
        </is>
      </c>
      <c r="AH64" s="69" t="inlineStr">
        <is>
          <t>Brunswick-St. Simons, GA</t>
        </is>
      </c>
      <c r="AI64" s="69" t="inlineStr">
        <is>
          <t>South / Atlantic</t>
        </is>
      </c>
      <c r="AJ64" s="69" t="inlineStr">
        <is>
          <t>HT</t>
        </is>
      </c>
      <c r="AK64" s="69" t="inlineStr">
        <is>
          <t>Limited Service</t>
        </is>
      </c>
      <c r="AL64" s="68" t="n">
        <v>1</v>
      </c>
      <c r="AM64" s="68" t="n">
        <v>72</v>
      </c>
      <c r="AN64" s="68" t="n"/>
      <c r="AO64" s="69" t="inlineStr">
        <is>
          <t>2008</t>
        </is>
      </c>
      <c r="AP64" s="70" t="n">
        <v>2008</v>
      </c>
      <c r="AQ64" s="74" t="n">
        <v>1.67</v>
      </c>
      <c r="AR64" s="74" t="n">
        <v>1.55</v>
      </c>
      <c r="AS64" s="74" t="n">
        <v>58.6</v>
      </c>
      <c r="AT64" s="74" t="n">
        <v>49.56</v>
      </c>
      <c r="AU64" s="74" t="n">
        <v>48.6</v>
      </c>
      <c r="AV64" s="74" t="n">
        <v>11.011628919</v>
      </c>
      <c r="AW64" s="74" t="n">
        <v>3.589418493</v>
      </c>
      <c r="AX64" s="75" t="n">
        <v>76</v>
      </c>
      <c r="AY64" s="71" t="n">
        <v>6300000</v>
      </c>
      <c r="AZ64" s="71" t="n">
        <v>6300000</v>
      </c>
      <c r="BA64" s="71" t="n">
        <v>407430.27</v>
      </c>
      <c r="BB64" s="71" t="n">
        <v>377344.5</v>
      </c>
      <c r="BC64" s="69" t="inlineStr">
        <is>
          <t>Refinance</t>
        </is>
      </c>
      <c r="BD64" s="69" t="inlineStr">
        <is>
          <t>N</t>
        </is>
      </c>
      <c r="BE64" s="71" t="n"/>
      <c r="BF64" s="71" t="n"/>
      <c r="BG64" s="71" t="n"/>
      <c r="BH64" s="71" t="n">
        <v>0</v>
      </c>
      <c r="BI64" s="71" t="n">
        <v>0</v>
      </c>
      <c r="BJ64" s="69" t="inlineStr">
        <is>
          <t>N</t>
        </is>
      </c>
      <c r="BK64" s="69" t="n"/>
      <c r="BL64" s="75" t="n"/>
      <c r="BM64" s="73" t="n"/>
      <c r="BN64" s="69" t="inlineStr">
        <is>
          <t>Larry-Bharat Patel</t>
        </is>
      </c>
      <c r="BO64" s="69" t="inlineStr">
        <is>
          <t>RMF</t>
        </is>
      </c>
      <c r="BP64" s="69" t="inlineStr">
        <is>
          <t>Midland Loan Services</t>
        </is>
      </c>
      <c r="BQ64" s="69" t="inlineStr">
        <is>
          <t>Midland Loan Services</t>
        </is>
      </c>
      <c r="BR64" s="69" t="n"/>
      <c r="BS64" s="73" t="n">
        <v>46276</v>
      </c>
      <c r="BU64" s="76">
        <f>IF($C64="","",IFERROR(INDEX(dmName,MATCH($C64,dmID,0)),"Unmapped"))</f>
        <v/>
      </c>
      <c r="BV64" s="76">
        <f>IF($C64="","",IFERROR(INDEX(dmEntity,MATCH($C64,dmID,0)),"Unmapped"))</f>
        <v/>
      </c>
      <c r="BW64" s="77">
        <f>IF($C64="","",IFERROR(INDEX(dmVintage,MATCH($C64,dmID,0)),""))</f>
        <v/>
      </c>
      <c r="BX64" s="78">
        <f>IFERROR(INDEX(dmInclude,MATCH($C64,dmID,0)),0)</f>
        <v/>
      </c>
      <c r="BY64" s="78">
        <f>IF(N($I64)&gt;0,1,0)</f>
        <v/>
      </c>
      <c r="BZ64" s="76">
        <f>IF($AJ64="","Other / Leased Fee",IFERROR(INDEX(mapPTGroup,MATCH(LEFT(TRIM($AJ64),2),mapPTCode,0)),"Other / Leased Fee"))</f>
        <v/>
      </c>
      <c r="CA64" s="76">
        <f>IF(TRIM($AF64&amp;"")="","NR",LEFT(TRIM($AF64),2))</f>
        <v/>
      </c>
      <c r="CB64" s="76">
        <f>IFERROR(LOOKUP(2,1/(LEFT(TRIM($AI64&amp;""),LEN(mapRegion))=mapRegion),mapRegion),"Not Reported")</f>
        <v/>
      </c>
      <c r="CC64" s="76">
        <f>IF($BY64=0,"",IF(TRIM($W64&amp;"")="REO","REO",IF(TRIM($W64&amp;"")="FC","Foreclosure",IF(TRIM($W64&amp;"")="90+","90+ Days Delinquent",IF(TRIM($W64&amp;"")="60","60 Days Delinquent",IF(TRIM($W64&amp;"")="30","30 Days Delinquent",IF($X64="Non-Performing Matured Balloon","Non-Performing Matured Balloon",IF(OR($X64="Late Payment But Less Than 30 Days Delinquent",LEFT($X64&amp;"",20)="Payment Not Received"),"Late / In Grace (&lt;30 Days)",IF($X64="Performing Matured Balloon","Performing Matured Balloon","Current")))))))))</f>
        <v/>
      </c>
      <c r="CD64" s="78">
        <f>IF(OR($CC64="REO",$CC64="Foreclosure",$CC64="90+ Days Delinquent",$CC64="60 Days Delinquent",$CC64="30 Days Delinquent",$CC64="Non-Performing Matured Balloon"),1,0)</f>
        <v/>
      </c>
      <c r="CE64" s="76">
        <f>IF($AB64="Currently special serv","Currently Specially Serviced",IF($AB64="Returned to master serv","Previously Specially Serviced","Never Specially Serviced"))</f>
        <v/>
      </c>
      <c r="CF64" s="78">
        <f>IF($CE64="Currently Specially Serviced",1,0)</f>
        <v/>
      </c>
      <c r="CG64" s="76">
        <f>IF($AA64="Yes","Currently on Watchlist",IF($AA64="Previously","Previously on Watchlist","Never on Watchlist"))</f>
        <v/>
      </c>
      <c r="CH64" s="78">
        <f>IF($CG64="Currently on Watchlist",1,0)</f>
        <v/>
      </c>
      <c r="CI64" s="76">
        <f>IF($Z64="Full Defeasance","Fully Defeased",IF($Z64="Portion Of Loan Previously Defeased","Partially Defeased",IF($Z64="Defeasance Not Allowable","Not Defeased (Not Permitted)","Not Defeased")))</f>
        <v/>
      </c>
      <c r="CJ64" s="78">
        <f>IF($CI64="Fully Defeased",1,0)</f>
        <v/>
      </c>
      <c r="CK64" s="76">
        <f>IF($R64="IO","Full IO",IF(LEFT($R64&amp;"",7)="IO then","Partial IO","Amortizing"))</f>
        <v/>
      </c>
      <c r="CL64" s="78">
        <f>IF($CK64="Full IO",1,0)</f>
        <v/>
      </c>
      <c r="CM64" s="78">
        <f>IF($CK64="Partial IO",1,0)</f>
        <v/>
      </c>
      <c r="CN64" s="76">
        <f>IF(LEFT($F64&amp;"",10)="SPLIT_LOAN","Pari Passu Split","Standalone")</f>
        <v/>
      </c>
      <c r="CO64" s="78">
        <f>IF($CN64="Pari Passu Split",1,0)</f>
        <v/>
      </c>
      <c r="CP64" s="77">
        <f>IF(ISNUMBER($T64),YEAR($T64),"")</f>
        <v/>
      </c>
      <c r="CQ64" s="79">
        <f>IF(ISNUMBER($V64),$V64,IF(ISNUMBER($U64),$U64,""))</f>
        <v/>
      </c>
      <c r="CR64" s="77">
        <f>IF(ISNUMBER($CQ64),YEAR($CQ64),"")</f>
        <v/>
      </c>
      <c r="CS64" s="78">
        <f>IF(ISNUMBER($M64),MAX(0,$M64),IF(TRIM($M64&amp;"")="matured",0,""))</f>
        <v/>
      </c>
      <c r="CT64" s="78">
        <f>IF(AND(ISNUMBER($CS64),N($CS64)&lt;=mMatWindow),1,0)</f>
        <v/>
      </c>
      <c r="CU64" s="80">
        <f>IF(ISNUMBER($J64),$J64/100,"")</f>
        <v/>
      </c>
      <c r="CV64" s="81">
        <f>IF(ISNUMBER($AQ64),$AQ64,"")</f>
        <v/>
      </c>
      <c r="CW64" s="81">
        <f>IF(ISNUMBER($AR64),$AR64,"")</f>
        <v/>
      </c>
      <c r="CX64" s="82">
        <f>IF(ISNUMBER($AS64),$AS64/100,"")</f>
        <v/>
      </c>
      <c r="CY64" s="82">
        <f>IF(ISNUMBER($AT64),$AT64/100,"")</f>
        <v/>
      </c>
      <c r="CZ64" s="82">
        <f>IF(ISNUMBER($AU64),$AU64/100,"")</f>
        <v/>
      </c>
      <c r="DA64" s="82">
        <f>IF(ISNUMBER($AV64),$AV64/100,"")</f>
        <v/>
      </c>
      <c r="DB64" s="82">
        <f>IF(ISNUMBER($AW64),$AW64/100,"")</f>
        <v/>
      </c>
      <c r="DC64" s="82">
        <f>IF(ISNUMBER($AX64),$AX64/100,"")</f>
        <v/>
      </c>
      <c r="DD64" s="77">
        <f>IFERROR(VALUE(LEFT(TRIM($AO64&amp;""),4)),"")</f>
        <v/>
      </c>
      <c r="DE64" s="78">
        <f>IF(AND($BY64=1,$BX64=1,OR(fDeal="All Deals",$BU64=fDeal),OR(fEntity="All Entities",$BV64=fEntity),OR(fPType="All Property Types",$BZ64=fPType),OR(fDefeased="Include",$CJ64=0)),1,0)</f>
        <v/>
      </c>
      <c r="DF64" s="83">
        <f>$DE64*N($I64)</f>
        <v/>
      </c>
      <c r="DG64" s="78">
        <f>IF($DE64=1,IF(COUNTIFS($F$8:$F64,$F64,$DE$8:$DE64,1)=1,1,0),0)</f>
        <v/>
      </c>
      <c r="DH64" s="83">
        <f>IF($DG64=1,SUMIFS($DF$8:$DF$1600,$F$8:$F$1600,$F64),0)</f>
        <v/>
      </c>
      <c r="DI64" s="78">
        <f>IF($DG64=1,COUNTIFS($F$8:$F$1600,$F64,$DE$8:$DE$1600,1),0)</f>
        <v/>
      </c>
      <c r="DJ64" s="84">
        <f>IF($DG64=1,$DH64+(100000-ROW())/mTieBreak,0)</f>
        <v/>
      </c>
    </row>
    <row r="65">
      <c r="B65" s="68" t="n">
        <v>58</v>
      </c>
      <c r="C65" s="69" t="inlineStr">
        <is>
          <t>UBS17C02</t>
        </is>
      </c>
      <c r="D65" s="69" t="inlineStr">
        <is>
          <t>58.000</t>
        </is>
      </c>
      <c r="E65" s="69" t="inlineStr">
        <is>
          <t>Mariposa Self Storage</t>
        </is>
      </c>
      <c r="F65" s="69" t="inlineStr">
        <is>
          <t>LNUBS17C02-58.000</t>
        </is>
      </c>
      <c r="G65" s="70" t="n"/>
      <c r="H65" s="71" t="n">
        <v>2300000</v>
      </c>
      <c r="I65" s="71" t="n">
        <v>2027310.2099997</v>
      </c>
      <c r="J65" s="72" t="n">
        <v>4.96</v>
      </c>
      <c r="K65" s="69" t="inlineStr">
        <is>
          <t>Fixed rate</t>
        </is>
      </c>
      <c r="L65" s="68" t="n">
        <v>120</v>
      </c>
      <c r="M65" s="68" t="n">
        <v>10</v>
      </c>
      <c r="N65" s="68" t="n">
        <v>384</v>
      </c>
      <c r="O65" s="68" t="n">
        <v>24</v>
      </c>
      <c r="P65" s="68" t="n">
        <v>0</v>
      </c>
      <c r="Q65" s="68" t="n">
        <v>110</v>
      </c>
      <c r="R65" s="69" t="inlineStr">
        <is>
          <t>IO then Amort</t>
        </is>
      </c>
      <c r="S65" s="69" t="inlineStr">
        <is>
          <t>No</t>
        </is>
      </c>
      <c r="T65" s="73" t="n">
        <v>42917</v>
      </c>
      <c r="U65" s="73" t="n">
        <v>46574</v>
      </c>
      <c r="V65" s="73" t="n"/>
      <c r="W65" s="69" t="n"/>
      <c r="X65" s="69" t="inlineStr">
        <is>
          <t>Current</t>
        </is>
      </c>
      <c r="Y65" s="68" t="n"/>
      <c r="Z65" s="69" t="inlineStr">
        <is>
          <t>No Defeasance Occurred</t>
        </is>
      </c>
      <c r="AA65" s="69" t="inlineStr">
        <is>
          <t>Previously</t>
        </is>
      </c>
      <c r="AB65" s="69" t="inlineStr">
        <is>
          <t>Never special serv</t>
        </is>
      </c>
      <c r="AC65" s="73" t="n"/>
      <c r="AD65" s="69" t="n"/>
      <c r="AE65" s="69" t="n"/>
      <c r="AF65" s="69" t="inlineStr">
        <is>
          <t>AZ</t>
        </is>
      </c>
      <c r="AG65" s="69" t="inlineStr">
        <is>
          <t>Nogales</t>
        </is>
      </c>
      <c r="AH65" s="69" t="inlineStr">
        <is>
          <t>Nogales, AZ</t>
        </is>
      </c>
      <c r="AI65" s="69" t="inlineStr">
        <is>
          <t>West / Mountain</t>
        </is>
      </c>
      <c r="AJ65" s="69" t="inlineStr">
        <is>
          <t>SS</t>
        </is>
      </c>
      <c r="AK65" s="69" t="n"/>
      <c r="AL65" s="68" t="n">
        <v>1</v>
      </c>
      <c r="AM65" s="68" t="n"/>
      <c r="AN65" s="68" t="n">
        <v>55712</v>
      </c>
      <c r="AO65" s="69" t="inlineStr">
        <is>
          <t>2006</t>
        </is>
      </c>
      <c r="AP65" s="70" t="n">
        <v>2006</v>
      </c>
      <c r="AQ65" s="74" t="n">
        <v>1.65</v>
      </c>
      <c r="AR65" s="74" t="n">
        <v>3.15</v>
      </c>
      <c r="AS65" s="74" t="n">
        <v>61.3</v>
      </c>
      <c r="AT65" s="74" t="n">
        <v>54.06</v>
      </c>
      <c r="AU65" s="74" t="n">
        <v>53</v>
      </c>
      <c r="AV65" s="74" t="n">
        <v>10.575782609</v>
      </c>
      <c r="AW65" s="74" t="n">
        <v>22.948369603</v>
      </c>
      <c r="AX65" s="75" t="n">
        <v>67</v>
      </c>
      <c r="AY65" s="71" t="n">
        <v>3750000</v>
      </c>
      <c r="AZ65" s="71" t="n">
        <v>3750000</v>
      </c>
      <c r="BA65" s="71" t="n">
        <v>243243</v>
      </c>
      <c r="BB65" s="71" t="n">
        <v>465234.64</v>
      </c>
      <c r="BC65" s="69" t="inlineStr">
        <is>
          <t>Acquisition</t>
        </is>
      </c>
      <c r="BD65" s="69" t="inlineStr">
        <is>
          <t>N</t>
        </is>
      </c>
      <c r="BE65" s="71" t="n"/>
      <c r="BF65" s="71" t="n"/>
      <c r="BG65" s="71" t="n"/>
      <c r="BH65" s="71" t="n">
        <v>0</v>
      </c>
      <c r="BI65" s="71" t="n">
        <v>0</v>
      </c>
      <c r="BJ65" s="69" t="inlineStr">
        <is>
          <t>N</t>
        </is>
      </c>
      <c r="BK65" s="69" t="n"/>
      <c r="BL65" s="75" t="n"/>
      <c r="BM65" s="73" t="n"/>
      <c r="BN65" s="69" t="inlineStr">
        <is>
          <t>Israel Perlow; Hillel Tauber</t>
        </is>
      </c>
      <c r="BO65" s="69" t="inlineStr">
        <is>
          <t>RMF</t>
        </is>
      </c>
      <c r="BP65" s="69" t="inlineStr">
        <is>
          <t>Midland Loan Services</t>
        </is>
      </c>
      <c r="BQ65" s="69" t="inlineStr">
        <is>
          <t>Midland Loan Services</t>
        </is>
      </c>
      <c r="BR65" s="69" t="n"/>
      <c r="BS65" s="73" t="n">
        <v>46276</v>
      </c>
      <c r="BU65" s="76">
        <f>IF($C65="","",IFERROR(INDEX(dmName,MATCH($C65,dmID,0)),"Unmapped"))</f>
        <v/>
      </c>
      <c r="BV65" s="76">
        <f>IF($C65="","",IFERROR(INDEX(dmEntity,MATCH($C65,dmID,0)),"Unmapped"))</f>
        <v/>
      </c>
      <c r="BW65" s="77">
        <f>IF($C65="","",IFERROR(INDEX(dmVintage,MATCH($C65,dmID,0)),""))</f>
        <v/>
      </c>
      <c r="BX65" s="78">
        <f>IFERROR(INDEX(dmInclude,MATCH($C65,dmID,0)),0)</f>
        <v/>
      </c>
      <c r="BY65" s="78">
        <f>IF(N($I65)&gt;0,1,0)</f>
        <v/>
      </c>
      <c r="BZ65" s="76">
        <f>IF($AJ65="","Other / Leased Fee",IFERROR(INDEX(mapPTGroup,MATCH(LEFT(TRIM($AJ65),2),mapPTCode,0)),"Other / Leased Fee"))</f>
        <v/>
      </c>
      <c r="CA65" s="76">
        <f>IF(TRIM($AF65&amp;"")="","NR",LEFT(TRIM($AF65),2))</f>
        <v/>
      </c>
      <c r="CB65" s="76">
        <f>IFERROR(LOOKUP(2,1/(LEFT(TRIM($AI65&amp;""),LEN(mapRegion))=mapRegion),mapRegion),"Not Reported")</f>
        <v/>
      </c>
      <c r="CC65" s="76">
        <f>IF($BY65=0,"",IF(TRIM($W65&amp;"")="REO","REO",IF(TRIM($W65&amp;"")="FC","Foreclosure",IF(TRIM($W65&amp;"")="90+","90+ Days Delinquent",IF(TRIM($W65&amp;"")="60","60 Days Delinquent",IF(TRIM($W65&amp;"")="30","30 Days Delinquent",IF($X65="Non-Performing Matured Balloon","Non-Performing Matured Balloon",IF(OR($X65="Late Payment But Less Than 30 Days Delinquent",LEFT($X65&amp;"",20)="Payment Not Received"),"Late / In Grace (&lt;30 Days)",IF($X65="Performing Matured Balloon","Performing Matured Balloon","Current")))))))))</f>
        <v/>
      </c>
      <c r="CD65" s="78">
        <f>IF(OR($CC65="REO",$CC65="Foreclosure",$CC65="90+ Days Delinquent",$CC65="60 Days Delinquent",$CC65="30 Days Delinquent",$CC65="Non-Performing Matured Balloon"),1,0)</f>
        <v/>
      </c>
      <c r="CE65" s="76">
        <f>IF($AB65="Currently special serv","Currently Specially Serviced",IF($AB65="Returned to master serv","Previously Specially Serviced","Never Specially Serviced"))</f>
        <v/>
      </c>
      <c r="CF65" s="78">
        <f>IF($CE65="Currently Specially Serviced",1,0)</f>
        <v/>
      </c>
      <c r="CG65" s="76">
        <f>IF($AA65="Yes","Currently on Watchlist",IF($AA65="Previously","Previously on Watchlist","Never on Watchlist"))</f>
        <v/>
      </c>
      <c r="CH65" s="78">
        <f>IF($CG65="Currently on Watchlist",1,0)</f>
        <v/>
      </c>
      <c r="CI65" s="76">
        <f>IF($Z65="Full Defeasance","Fully Defeased",IF($Z65="Portion Of Loan Previously Defeased","Partially Defeased",IF($Z65="Defeasance Not Allowable","Not Defeased (Not Permitted)","Not Defeased")))</f>
        <v/>
      </c>
      <c r="CJ65" s="78">
        <f>IF($CI65="Fully Defeased",1,0)</f>
        <v/>
      </c>
      <c r="CK65" s="76">
        <f>IF($R65="IO","Full IO",IF(LEFT($R65&amp;"",7)="IO then","Partial IO","Amortizing"))</f>
        <v/>
      </c>
      <c r="CL65" s="78">
        <f>IF($CK65="Full IO",1,0)</f>
        <v/>
      </c>
      <c r="CM65" s="78">
        <f>IF($CK65="Partial IO",1,0)</f>
        <v/>
      </c>
      <c r="CN65" s="76">
        <f>IF(LEFT($F65&amp;"",10)="SPLIT_LOAN","Pari Passu Split","Standalone")</f>
        <v/>
      </c>
      <c r="CO65" s="78">
        <f>IF($CN65="Pari Passu Split",1,0)</f>
        <v/>
      </c>
      <c r="CP65" s="77">
        <f>IF(ISNUMBER($T65),YEAR($T65),"")</f>
        <v/>
      </c>
      <c r="CQ65" s="79">
        <f>IF(ISNUMBER($V65),$V65,IF(ISNUMBER($U65),$U65,""))</f>
        <v/>
      </c>
      <c r="CR65" s="77">
        <f>IF(ISNUMBER($CQ65),YEAR($CQ65),"")</f>
        <v/>
      </c>
      <c r="CS65" s="78">
        <f>IF(ISNUMBER($M65),MAX(0,$M65),IF(TRIM($M65&amp;"")="matured",0,""))</f>
        <v/>
      </c>
      <c r="CT65" s="78">
        <f>IF(AND(ISNUMBER($CS65),N($CS65)&lt;=mMatWindow),1,0)</f>
        <v/>
      </c>
      <c r="CU65" s="80">
        <f>IF(ISNUMBER($J65),$J65/100,"")</f>
        <v/>
      </c>
      <c r="CV65" s="81">
        <f>IF(ISNUMBER($AQ65),$AQ65,"")</f>
        <v/>
      </c>
      <c r="CW65" s="81">
        <f>IF(ISNUMBER($AR65),$AR65,"")</f>
        <v/>
      </c>
      <c r="CX65" s="82">
        <f>IF(ISNUMBER($AS65),$AS65/100,"")</f>
        <v/>
      </c>
      <c r="CY65" s="82">
        <f>IF(ISNUMBER($AT65),$AT65/100,"")</f>
        <v/>
      </c>
      <c r="CZ65" s="82">
        <f>IF(ISNUMBER($AU65),$AU65/100,"")</f>
        <v/>
      </c>
      <c r="DA65" s="82">
        <f>IF(ISNUMBER($AV65),$AV65/100,"")</f>
        <v/>
      </c>
      <c r="DB65" s="82">
        <f>IF(ISNUMBER($AW65),$AW65/100,"")</f>
        <v/>
      </c>
      <c r="DC65" s="82">
        <f>IF(ISNUMBER($AX65),$AX65/100,"")</f>
        <v/>
      </c>
      <c r="DD65" s="77">
        <f>IFERROR(VALUE(LEFT(TRIM($AO65&amp;""),4)),"")</f>
        <v/>
      </c>
      <c r="DE65" s="78">
        <f>IF(AND($BY65=1,$BX65=1,OR(fDeal="All Deals",$BU65=fDeal),OR(fEntity="All Entities",$BV65=fEntity),OR(fPType="All Property Types",$BZ65=fPType),OR(fDefeased="Include",$CJ65=0)),1,0)</f>
        <v/>
      </c>
      <c r="DF65" s="83">
        <f>$DE65*N($I65)</f>
        <v/>
      </c>
      <c r="DG65" s="78">
        <f>IF($DE65=1,IF(COUNTIFS($F$8:$F65,$F65,$DE$8:$DE65,1)=1,1,0),0)</f>
        <v/>
      </c>
      <c r="DH65" s="83">
        <f>IF($DG65=1,SUMIFS($DF$8:$DF$1600,$F$8:$F$1600,$F65),0)</f>
        <v/>
      </c>
      <c r="DI65" s="78">
        <f>IF($DG65=1,COUNTIFS($F$8:$F$1600,$F65,$DE$8:$DE$1600,1),0)</f>
        <v/>
      </c>
      <c r="DJ65" s="84">
        <f>IF($DG65=1,$DH65+(100000-ROW())/mTieBreak,0)</f>
        <v/>
      </c>
    </row>
    <row r="66">
      <c r="B66" s="68" t="n">
        <v>59</v>
      </c>
      <c r="C66" s="69" t="inlineStr">
        <is>
          <t>UBS17C02</t>
        </is>
      </c>
      <c r="D66" s="69" t="inlineStr">
        <is>
          <t>59.000</t>
        </is>
      </c>
      <c r="E66" s="69" t="inlineStr">
        <is>
          <t>Crosswoods Commons</t>
        </is>
      </c>
      <c r="F66" s="69" t="inlineStr">
        <is>
          <t>LNUBS17C02-59.000</t>
        </is>
      </c>
      <c r="G66" s="70" t="n"/>
      <c r="H66" s="71" t="n">
        <v>1854000</v>
      </c>
      <c r="I66" s="71" t="n">
        <v>1580358.99000015</v>
      </c>
      <c r="J66" s="72" t="n">
        <v>5.55</v>
      </c>
      <c r="K66" s="69" t="inlineStr">
        <is>
          <t>Fixed rate</t>
        </is>
      </c>
      <c r="L66" s="68" t="n">
        <v>120</v>
      </c>
      <c r="M66" s="68" t="n">
        <v>9</v>
      </c>
      <c r="N66" s="68" t="n">
        <v>360</v>
      </c>
      <c r="O66" s="68" t="n"/>
      <c r="P66" s="68" t="n"/>
      <c r="Q66" s="68" t="n">
        <v>111</v>
      </c>
      <c r="R66" s="69" t="n"/>
      <c r="S66" s="69" t="inlineStr">
        <is>
          <t>No</t>
        </is>
      </c>
      <c r="T66" s="73" t="n">
        <v>42887</v>
      </c>
      <c r="U66" s="73" t="n">
        <v>46544</v>
      </c>
      <c r="V66" s="73" t="n"/>
      <c r="W66" s="69" t="n"/>
      <c r="X66" s="69" t="inlineStr">
        <is>
          <t>Current</t>
        </is>
      </c>
      <c r="Y66" s="68" t="n"/>
      <c r="Z66" s="69" t="inlineStr">
        <is>
          <t>Defeasance Not Allowable</t>
        </is>
      </c>
      <c r="AA66" s="69" t="inlineStr">
        <is>
          <t>Previously</t>
        </is>
      </c>
      <c r="AB66" s="69" t="inlineStr">
        <is>
          <t>Never special serv</t>
        </is>
      </c>
      <c r="AC66" s="73" t="n"/>
      <c r="AD66" s="69" t="n"/>
      <c r="AE66" s="69" t="n"/>
      <c r="AF66" s="69" t="inlineStr">
        <is>
          <t>OH</t>
        </is>
      </c>
      <c r="AG66" s="69" t="inlineStr">
        <is>
          <t>Columbus</t>
        </is>
      </c>
      <c r="AH66" s="69" t="inlineStr">
        <is>
          <t>Columbus, OH</t>
        </is>
      </c>
      <c r="AI66" s="69" t="inlineStr">
        <is>
          <t>Midwest / Central East</t>
        </is>
      </c>
      <c r="AJ66" s="69" t="inlineStr">
        <is>
          <t>RT</t>
        </is>
      </c>
      <c r="AK66" s="69" t="inlineStr">
        <is>
          <t>Unanchored</t>
        </is>
      </c>
      <c r="AL66" s="68" t="n">
        <v>1</v>
      </c>
      <c r="AM66" s="68" t="n"/>
      <c r="AN66" s="68" t="n">
        <v>20000</v>
      </c>
      <c r="AO66" s="69" t="inlineStr">
        <is>
          <t>1998</t>
        </is>
      </c>
      <c r="AP66" s="70" t="n">
        <v>1998</v>
      </c>
      <c r="AQ66" s="74" t="n">
        <v>1.81</v>
      </c>
      <c r="AR66" s="74" t="n">
        <v>2.38</v>
      </c>
      <c r="AS66" s="74" t="n">
        <v>71.2</v>
      </c>
      <c r="AT66" s="74" t="n">
        <v>60.78</v>
      </c>
      <c r="AU66" s="74" t="n">
        <v>59.7</v>
      </c>
      <c r="AV66" s="74" t="n">
        <v>12.383117584</v>
      </c>
      <c r="AW66" s="74" t="n">
        <v>19.163127613</v>
      </c>
      <c r="AX66" s="75" t="n">
        <v>100</v>
      </c>
      <c r="AY66" s="71" t="n">
        <v>2600000</v>
      </c>
      <c r="AZ66" s="71" t="n">
        <v>2600000</v>
      </c>
      <c r="BA66" s="71" t="n">
        <v>229583</v>
      </c>
      <c r="BB66" s="71" t="n">
        <v>302846.21</v>
      </c>
      <c r="BC66" s="69" t="inlineStr">
        <is>
          <t>Acquisition</t>
        </is>
      </c>
      <c r="BD66" s="69" t="inlineStr">
        <is>
          <t>N</t>
        </is>
      </c>
      <c r="BE66" s="71" t="n"/>
      <c r="BF66" s="71" t="n"/>
      <c r="BG66" s="71" t="n"/>
      <c r="BH66" s="71" t="n">
        <v>0</v>
      </c>
      <c r="BI66" s="71" t="n">
        <v>0</v>
      </c>
      <c r="BJ66" s="69" t="inlineStr">
        <is>
          <t>N</t>
        </is>
      </c>
      <c r="BK66" s="69" t="inlineStr">
        <is>
          <t>MEET POT &amp; BBQ INC</t>
        </is>
      </c>
      <c r="BL66" s="75" t="n">
        <v>30</v>
      </c>
      <c r="BM66" s="73" t="n">
        <v>47817</v>
      </c>
      <c r="BN66" s="69" t="inlineStr">
        <is>
          <t>Vijay Patel; Jaydeep Patel; Hasmukhlal Shah; Sejal Shah</t>
        </is>
      </c>
      <c r="BO66" s="69" t="inlineStr">
        <is>
          <t>UBS</t>
        </is>
      </c>
      <c r="BP66" s="69" t="inlineStr">
        <is>
          <t>Midland Loan Services</t>
        </is>
      </c>
      <c r="BQ66" s="69" t="inlineStr">
        <is>
          <t>Midland Loan Services</t>
        </is>
      </c>
      <c r="BR66" s="69" t="n"/>
      <c r="BS66" s="73" t="n">
        <v>46276</v>
      </c>
      <c r="BU66" s="76">
        <f>IF($C66="","",IFERROR(INDEX(dmName,MATCH($C66,dmID,0)),"Unmapped"))</f>
        <v/>
      </c>
      <c r="BV66" s="76">
        <f>IF($C66="","",IFERROR(INDEX(dmEntity,MATCH($C66,dmID,0)),"Unmapped"))</f>
        <v/>
      </c>
      <c r="BW66" s="77">
        <f>IF($C66="","",IFERROR(INDEX(dmVintage,MATCH($C66,dmID,0)),""))</f>
        <v/>
      </c>
      <c r="BX66" s="78">
        <f>IFERROR(INDEX(dmInclude,MATCH($C66,dmID,0)),0)</f>
        <v/>
      </c>
      <c r="BY66" s="78">
        <f>IF(N($I66)&gt;0,1,0)</f>
        <v/>
      </c>
      <c r="BZ66" s="76">
        <f>IF($AJ66="","Other / Leased Fee",IFERROR(INDEX(mapPTGroup,MATCH(LEFT(TRIM($AJ66),2),mapPTCode,0)),"Other / Leased Fee"))</f>
        <v/>
      </c>
      <c r="CA66" s="76">
        <f>IF(TRIM($AF66&amp;"")="","NR",LEFT(TRIM($AF66),2))</f>
        <v/>
      </c>
      <c r="CB66" s="76">
        <f>IFERROR(LOOKUP(2,1/(LEFT(TRIM($AI66&amp;""),LEN(mapRegion))=mapRegion),mapRegion),"Not Reported")</f>
        <v/>
      </c>
      <c r="CC66" s="76">
        <f>IF($BY66=0,"",IF(TRIM($W66&amp;"")="REO","REO",IF(TRIM($W66&amp;"")="FC","Foreclosure",IF(TRIM($W66&amp;"")="90+","90+ Days Delinquent",IF(TRIM($W66&amp;"")="60","60 Days Delinquent",IF(TRIM($W66&amp;"")="30","30 Days Delinquent",IF($X66="Non-Performing Matured Balloon","Non-Performing Matured Balloon",IF(OR($X66="Late Payment But Less Than 30 Days Delinquent",LEFT($X66&amp;"",20)="Payment Not Received"),"Late / In Grace (&lt;30 Days)",IF($X66="Performing Matured Balloon","Performing Matured Balloon","Current")))))))))</f>
        <v/>
      </c>
      <c r="CD66" s="78">
        <f>IF(OR($CC66="REO",$CC66="Foreclosure",$CC66="90+ Days Delinquent",$CC66="60 Days Delinquent",$CC66="30 Days Delinquent",$CC66="Non-Performing Matured Balloon"),1,0)</f>
        <v/>
      </c>
      <c r="CE66" s="76">
        <f>IF($AB66="Currently special serv","Currently Specially Serviced",IF($AB66="Returned to master serv","Previously Specially Serviced","Never Specially Serviced"))</f>
        <v/>
      </c>
      <c r="CF66" s="78">
        <f>IF($CE66="Currently Specially Serviced",1,0)</f>
        <v/>
      </c>
      <c r="CG66" s="76">
        <f>IF($AA66="Yes","Currently on Watchlist",IF($AA66="Previously","Previously on Watchlist","Never on Watchlist"))</f>
        <v/>
      </c>
      <c r="CH66" s="78">
        <f>IF($CG66="Currently on Watchlist",1,0)</f>
        <v/>
      </c>
      <c r="CI66" s="76">
        <f>IF($Z66="Full Defeasance","Fully Defeased",IF($Z66="Portion Of Loan Previously Defeased","Partially Defeased",IF($Z66="Defeasance Not Allowable","Not Defeased (Not Permitted)","Not Defeased")))</f>
        <v/>
      </c>
      <c r="CJ66" s="78">
        <f>IF($CI66="Fully Defeased",1,0)</f>
        <v/>
      </c>
      <c r="CK66" s="76">
        <f>IF($R66="IO","Full IO",IF(LEFT($R66&amp;"",7)="IO then","Partial IO","Amortizing"))</f>
        <v/>
      </c>
      <c r="CL66" s="78">
        <f>IF($CK66="Full IO",1,0)</f>
        <v/>
      </c>
      <c r="CM66" s="78">
        <f>IF($CK66="Partial IO",1,0)</f>
        <v/>
      </c>
      <c r="CN66" s="76">
        <f>IF(LEFT($F66&amp;"",10)="SPLIT_LOAN","Pari Passu Split","Standalone")</f>
        <v/>
      </c>
      <c r="CO66" s="78">
        <f>IF($CN66="Pari Passu Split",1,0)</f>
        <v/>
      </c>
      <c r="CP66" s="77">
        <f>IF(ISNUMBER($T66),YEAR($T66),"")</f>
        <v/>
      </c>
      <c r="CQ66" s="79">
        <f>IF(ISNUMBER($V66),$V66,IF(ISNUMBER($U66),$U66,""))</f>
        <v/>
      </c>
      <c r="CR66" s="77">
        <f>IF(ISNUMBER($CQ66),YEAR($CQ66),"")</f>
        <v/>
      </c>
      <c r="CS66" s="78">
        <f>IF(ISNUMBER($M66),MAX(0,$M66),IF(TRIM($M66&amp;"")="matured",0,""))</f>
        <v/>
      </c>
      <c r="CT66" s="78">
        <f>IF(AND(ISNUMBER($CS66),N($CS66)&lt;=mMatWindow),1,0)</f>
        <v/>
      </c>
      <c r="CU66" s="80">
        <f>IF(ISNUMBER($J66),$J66/100,"")</f>
        <v/>
      </c>
      <c r="CV66" s="81">
        <f>IF(ISNUMBER($AQ66),$AQ66,"")</f>
        <v/>
      </c>
      <c r="CW66" s="81">
        <f>IF(ISNUMBER($AR66),$AR66,"")</f>
        <v/>
      </c>
      <c r="CX66" s="82">
        <f>IF(ISNUMBER($AS66),$AS66/100,"")</f>
        <v/>
      </c>
      <c r="CY66" s="82">
        <f>IF(ISNUMBER($AT66),$AT66/100,"")</f>
        <v/>
      </c>
      <c r="CZ66" s="82">
        <f>IF(ISNUMBER($AU66),$AU66/100,"")</f>
        <v/>
      </c>
      <c r="DA66" s="82">
        <f>IF(ISNUMBER($AV66),$AV66/100,"")</f>
        <v/>
      </c>
      <c r="DB66" s="82">
        <f>IF(ISNUMBER($AW66),$AW66/100,"")</f>
        <v/>
      </c>
      <c r="DC66" s="82">
        <f>IF(ISNUMBER($AX66),$AX66/100,"")</f>
        <v/>
      </c>
      <c r="DD66" s="77">
        <f>IFERROR(VALUE(LEFT(TRIM($AO66&amp;""),4)),"")</f>
        <v/>
      </c>
      <c r="DE66" s="78">
        <f>IF(AND($BY66=1,$BX66=1,OR(fDeal="All Deals",$BU66=fDeal),OR(fEntity="All Entities",$BV66=fEntity),OR(fPType="All Property Types",$BZ66=fPType),OR(fDefeased="Include",$CJ66=0)),1,0)</f>
        <v/>
      </c>
      <c r="DF66" s="83">
        <f>$DE66*N($I66)</f>
        <v/>
      </c>
      <c r="DG66" s="78">
        <f>IF($DE66=1,IF(COUNTIFS($F$8:$F66,$F66,$DE$8:$DE66,1)=1,1,0),0)</f>
        <v/>
      </c>
      <c r="DH66" s="83">
        <f>IF($DG66=1,SUMIFS($DF$8:$DF$1600,$F$8:$F$1600,$F66),0)</f>
        <v/>
      </c>
      <c r="DI66" s="78">
        <f>IF($DG66=1,COUNTIFS($F$8:$F$1600,$F66,$DE$8:$DE$1600,1),0)</f>
        <v/>
      </c>
      <c r="DJ66" s="84">
        <f>IF($DG66=1,$DH66+(100000-ROW())/mTieBreak,0)</f>
        <v/>
      </c>
    </row>
    <row r="67">
      <c r="B67" s="68" t="n">
        <v>1</v>
      </c>
      <c r="C67" s="69" t="inlineStr">
        <is>
          <t>CTG17C04</t>
        </is>
      </c>
      <c r="D67" s="69" t="inlineStr">
        <is>
          <t>1.000</t>
        </is>
      </c>
      <c r="E67" s="69" t="inlineStr">
        <is>
          <t>South Station</t>
        </is>
      </c>
      <c r="F67" s="69" t="inlineStr">
        <is>
          <t>LNCTG17C04-1.000</t>
        </is>
      </c>
      <c r="G67" s="70" t="n"/>
      <c r="H67" s="71" t="n">
        <v>75000000</v>
      </c>
      <c r="I67" s="71" t="n">
        <v>75000000</v>
      </c>
      <c r="J67" s="72" t="n">
        <v>4.4953</v>
      </c>
      <c r="K67" s="69" t="inlineStr">
        <is>
          <t>Fixed rate</t>
        </is>
      </c>
      <c r="L67" s="68" t="n">
        <v>120</v>
      </c>
      <c r="M67" s="68" t="n">
        <v>12</v>
      </c>
      <c r="N67" s="68" t="n">
        <v>120</v>
      </c>
      <c r="O67" s="68" t="n">
        <v>120</v>
      </c>
      <c r="P67" s="68" t="n">
        <v>12</v>
      </c>
      <c r="Q67" s="68" t="n">
        <v>108</v>
      </c>
      <c r="R67" s="69" t="inlineStr">
        <is>
          <t>IO</t>
        </is>
      </c>
      <c r="S67" s="69" t="inlineStr">
        <is>
          <t>Yes</t>
        </is>
      </c>
      <c r="T67" s="73" t="n">
        <v>42979</v>
      </c>
      <c r="U67" s="73" t="n">
        <v>46636</v>
      </c>
      <c r="V67" s="73" t="n"/>
      <c r="W67" s="69" t="n"/>
      <c r="X67" s="69" t="inlineStr">
        <is>
          <t>Current</t>
        </is>
      </c>
      <c r="Y67" s="68" t="n"/>
      <c r="Z67" s="69" t="inlineStr">
        <is>
          <t>No Defeasance Occurred</t>
        </is>
      </c>
      <c r="AA67" s="69" t="inlineStr">
        <is>
          <t>Yes</t>
        </is>
      </c>
      <c r="AB67" s="69" t="inlineStr">
        <is>
          <t>Never special serv</t>
        </is>
      </c>
      <c r="AC67" s="73" t="n"/>
      <c r="AD67" s="69" t="n"/>
      <c r="AE67" s="69" t="n"/>
      <c r="AF67" s="69" t="inlineStr">
        <is>
          <t>MA</t>
        </is>
      </c>
      <c r="AG67" s="69" t="inlineStr">
        <is>
          <t>Boston</t>
        </is>
      </c>
      <c r="AH67" s="69" t="inlineStr">
        <is>
          <t>Boston-Cambridge-Newton, MA-NH</t>
        </is>
      </c>
      <c r="AI67" s="69" t="inlineStr">
        <is>
          <t>Northeast / New England</t>
        </is>
      </c>
      <c r="AJ67" s="69" t="inlineStr">
        <is>
          <t>MX</t>
        </is>
      </c>
      <c r="AK67" s="69" t="inlineStr">
        <is>
          <t>Office/Retail</t>
        </is>
      </c>
      <c r="AL67" s="68" t="n">
        <v>1</v>
      </c>
      <c r="AM67" s="68" t="n"/>
      <c r="AN67" s="68" t="n">
        <v>200775</v>
      </c>
      <c r="AO67" s="69" t="inlineStr">
        <is>
          <t>1899</t>
        </is>
      </c>
      <c r="AP67" s="70" t="n">
        <v>1988</v>
      </c>
      <c r="AQ67" s="74" t="n">
        <v>1.72</v>
      </c>
      <c r="AR67" s="74" t="n">
        <v>2.08</v>
      </c>
      <c r="AS67" s="74" t="n">
        <v>58.85</v>
      </c>
      <c r="AT67" s="74" t="n">
        <v>58.85</v>
      </c>
      <c r="AU67" s="74" t="n">
        <v>58.85</v>
      </c>
      <c r="AV67" s="74" t="n">
        <v>7.861779853</v>
      </c>
      <c r="AW67" s="74" t="n">
        <v>7.045347853</v>
      </c>
      <c r="AX67" s="75" t="n">
        <v>89</v>
      </c>
      <c r="AY67" s="71" t="n">
        <v>127450000</v>
      </c>
      <c r="AZ67" s="71" t="n">
        <v>127450000</v>
      </c>
      <c r="BA67" s="71" t="n">
        <v>5896334.89</v>
      </c>
      <c r="BB67" s="71" t="n">
        <v>7126826.88</v>
      </c>
      <c r="BC67" s="69" t="inlineStr">
        <is>
          <t>Acquisition</t>
        </is>
      </c>
      <c r="BD67" s="69" t="inlineStr">
        <is>
          <t>Y</t>
        </is>
      </c>
      <c r="BE67" s="71" t="n"/>
      <c r="BF67" s="71" t="n"/>
      <c r="BG67" s="71" t="n">
        <v>20000000</v>
      </c>
      <c r="BH67" s="71" t="n">
        <v>0</v>
      </c>
      <c r="BI67" s="71" t="n">
        <v>0</v>
      </c>
      <c r="BJ67" s="69" t="inlineStr">
        <is>
          <t>N</t>
        </is>
      </c>
      <c r="BK67" s="69" t="inlineStr">
        <is>
          <t>COMMONWEALTH OF MASS</t>
        </is>
      </c>
      <c r="BL67" s="75" t="n">
        <v>24.96</v>
      </c>
      <c r="BM67" s="73" t="n">
        <v>48944</v>
      </c>
      <c r="BN67" s="69" t="inlineStr">
        <is>
          <t>Ben Ashkenazy</t>
        </is>
      </c>
      <c r="BO67" s="69" t="inlineStr">
        <is>
          <t>Citigroup Global Markets</t>
        </is>
      </c>
      <c r="BP67" s="69" t="inlineStr">
        <is>
          <t>Midland Loan Services</t>
        </is>
      </c>
      <c r="BQ67" s="69" t="inlineStr">
        <is>
          <t>Midland Loan Services</t>
        </is>
      </c>
      <c r="BR67" s="69" t="n"/>
      <c r="BS67" s="73" t="n">
        <v>46273</v>
      </c>
      <c r="BU67" s="76">
        <f>IF($C67="","",IFERROR(INDEX(dmName,MATCH($C67,dmID,0)),"Unmapped"))</f>
        <v/>
      </c>
      <c r="BV67" s="76">
        <f>IF($C67="","",IFERROR(INDEX(dmEntity,MATCH($C67,dmID,0)),"Unmapped"))</f>
        <v/>
      </c>
      <c r="BW67" s="77">
        <f>IF($C67="","",IFERROR(INDEX(dmVintage,MATCH($C67,dmID,0)),""))</f>
        <v/>
      </c>
      <c r="BX67" s="78">
        <f>IFERROR(INDEX(dmInclude,MATCH($C67,dmID,0)),0)</f>
        <v/>
      </c>
      <c r="BY67" s="78">
        <f>IF(N($I67)&gt;0,1,0)</f>
        <v/>
      </c>
      <c r="BZ67" s="76">
        <f>IF($AJ67="","Other / Leased Fee",IFERROR(INDEX(mapPTGroup,MATCH(LEFT(TRIM($AJ67),2),mapPTCode,0)),"Other / Leased Fee"))</f>
        <v/>
      </c>
      <c r="CA67" s="76">
        <f>IF(TRIM($AF67&amp;"")="","NR",LEFT(TRIM($AF67),2))</f>
        <v/>
      </c>
      <c r="CB67" s="76">
        <f>IFERROR(LOOKUP(2,1/(LEFT(TRIM($AI67&amp;""),LEN(mapRegion))=mapRegion),mapRegion),"Not Reported")</f>
        <v/>
      </c>
      <c r="CC67" s="76">
        <f>IF($BY67=0,"",IF(TRIM($W67&amp;"")="REO","REO",IF(TRIM($W67&amp;"")="FC","Foreclosure",IF(TRIM($W67&amp;"")="90+","90+ Days Delinquent",IF(TRIM($W67&amp;"")="60","60 Days Delinquent",IF(TRIM($W67&amp;"")="30","30 Days Delinquent",IF($X67="Non-Performing Matured Balloon","Non-Performing Matured Balloon",IF(OR($X67="Late Payment But Less Than 30 Days Delinquent",LEFT($X67&amp;"",20)="Payment Not Received"),"Late / In Grace (&lt;30 Days)",IF($X67="Performing Matured Balloon","Performing Matured Balloon","Current")))))))))</f>
        <v/>
      </c>
      <c r="CD67" s="78">
        <f>IF(OR($CC67="REO",$CC67="Foreclosure",$CC67="90+ Days Delinquent",$CC67="60 Days Delinquent",$CC67="30 Days Delinquent",$CC67="Non-Performing Matured Balloon"),1,0)</f>
        <v/>
      </c>
      <c r="CE67" s="76">
        <f>IF($AB67="Currently special serv","Currently Specially Serviced",IF($AB67="Returned to master serv","Previously Specially Serviced","Never Specially Serviced"))</f>
        <v/>
      </c>
      <c r="CF67" s="78">
        <f>IF($CE67="Currently Specially Serviced",1,0)</f>
        <v/>
      </c>
      <c r="CG67" s="76">
        <f>IF($AA67="Yes","Currently on Watchlist",IF($AA67="Previously","Previously on Watchlist","Never on Watchlist"))</f>
        <v/>
      </c>
      <c r="CH67" s="78">
        <f>IF($CG67="Currently on Watchlist",1,0)</f>
        <v/>
      </c>
      <c r="CI67" s="76">
        <f>IF($Z67="Full Defeasance","Fully Defeased",IF($Z67="Portion Of Loan Previously Defeased","Partially Defeased",IF($Z67="Defeasance Not Allowable","Not Defeased (Not Permitted)","Not Defeased")))</f>
        <v/>
      </c>
      <c r="CJ67" s="78">
        <f>IF($CI67="Fully Defeased",1,0)</f>
        <v/>
      </c>
      <c r="CK67" s="76">
        <f>IF($R67="IO","Full IO",IF(LEFT($R67&amp;"",7)="IO then","Partial IO","Amortizing"))</f>
        <v/>
      </c>
      <c r="CL67" s="78">
        <f>IF($CK67="Full IO",1,0)</f>
        <v/>
      </c>
      <c r="CM67" s="78">
        <f>IF($CK67="Partial IO",1,0)</f>
        <v/>
      </c>
      <c r="CN67" s="76">
        <f>IF(LEFT($F67&amp;"",10)="SPLIT_LOAN","Pari Passu Split","Standalone")</f>
        <v/>
      </c>
      <c r="CO67" s="78">
        <f>IF($CN67="Pari Passu Split",1,0)</f>
        <v/>
      </c>
      <c r="CP67" s="77">
        <f>IF(ISNUMBER($T67),YEAR($T67),"")</f>
        <v/>
      </c>
      <c r="CQ67" s="79">
        <f>IF(ISNUMBER($V67),$V67,IF(ISNUMBER($U67),$U67,""))</f>
        <v/>
      </c>
      <c r="CR67" s="77">
        <f>IF(ISNUMBER($CQ67),YEAR($CQ67),"")</f>
        <v/>
      </c>
      <c r="CS67" s="78">
        <f>IF(ISNUMBER($M67),MAX(0,$M67),IF(TRIM($M67&amp;"")="matured",0,""))</f>
        <v/>
      </c>
      <c r="CT67" s="78">
        <f>IF(AND(ISNUMBER($CS67),N($CS67)&lt;=mMatWindow),1,0)</f>
        <v/>
      </c>
      <c r="CU67" s="80">
        <f>IF(ISNUMBER($J67),$J67/100,"")</f>
        <v/>
      </c>
      <c r="CV67" s="81">
        <f>IF(ISNUMBER($AQ67),$AQ67,"")</f>
        <v/>
      </c>
      <c r="CW67" s="81">
        <f>IF(ISNUMBER($AR67),$AR67,"")</f>
        <v/>
      </c>
      <c r="CX67" s="82">
        <f>IF(ISNUMBER($AS67),$AS67/100,"")</f>
        <v/>
      </c>
      <c r="CY67" s="82">
        <f>IF(ISNUMBER($AT67),$AT67/100,"")</f>
        <v/>
      </c>
      <c r="CZ67" s="82">
        <f>IF(ISNUMBER($AU67),$AU67/100,"")</f>
        <v/>
      </c>
      <c r="DA67" s="82">
        <f>IF(ISNUMBER($AV67),$AV67/100,"")</f>
        <v/>
      </c>
      <c r="DB67" s="82">
        <f>IF(ISNUMBER($AW67),$AW67/100,"")</f>
        <v/>
      </c>
      <c r="DC67" s="82">
        <f>IF(ISNUMBER($AX67),$AX67/100,"")</f>
        <v/>
      </c>
      <c r="DD67" s="77">
        <f>IFERROR(VALUE(LEFT(TRIM($AO67&amp;""),4)),"")</f>
        <v/>
      </c>
      <c r="DE67" s="78">
        <f>IF(AND($BY67=1,$BX67=1,OR(fDeal="All Deals",$BU67=fDeal),OR(fEntity="All Entities",$BV67=fEntity),OR(fPType="All Property Types",$BZ67=fPType),OR(fDefeased="Include",$CJ67=0)),1,0)</f>
        <v/>
      </c>
      <c r="DF67" s="83">
        <f>$DE67*N($I67)</f>
        <v/>
      </c>
      <c r="DG67" s="78">
        <f>IF($DE67=1,IF(COUNTIFS($F$8:$F67,$F67,$DE$8:$DE67,1)=1,1,0),0)</f>
        <v/>
      </c>
      <c r="DH67" s="83">
        <f>IF($DG67=1,SUMIFS($DF$8:$DF$1600,$F$8:$F$1600,$F67),0)</f>
        <v/>
      </c>
      <c r="DI67" s="78">
        <f>IF($DG67=1,COUNTIFS($F$8:$F$1600,$F67,$DE$8:$DE$1600,1),0)</f>
        <v/>
      </c>
      <c r="DJ67" s="84">
        <f>IF($DG67=1,$DH67+(100000-ROW())/mTieBreak,0)</f>
        <v/>
      </c>
    </row>
    <row r="68">
      <c r="B68" s="68" t="n">
        <v>2</v>
      </c>
      <c r="C68" s="69" t="inlineStr">
        <is>
          <t>CTG17C04</t>
        </is>
      </c>
      <c r="D68" s="69" t="inlineStr">
        <is>
          <t>2.000</t>
        </is>
      </c>
      <c r="E68" s="69" t="inlineStr">
        <is>
          <t>Station Place III</t>
        </is>
      </c>
      <c r="F68" s="69" t="inlineStr">
        <is>
          <t>SPLIT_LOAN_01098</t>
        </is>
      </c>
      <c r="G68" s="70" t="n">
        <v>1098</v>
      </c>
      <c r="H68" s="71" t="n">
        <v>50000000</v>
      </c>
      <c r="I68" s="71" t="n">
        <v>50000000</v>
      </c>
      <c r="J68" s="72" t="n">
        <v>3.6</v>
      </c>
      <c r="K68" s="69" t="inlineStr">
        <is>
          <t>Fixed rate</t>
        </is>
      </c>
      <c r="L68" s="68" t="n">
        <v>118</v>
      </c>
      <c r="M68" s="68" t="n">
        <v>11</v>
      </c>
      <c r="N68" s="68" t="n">
        <v>121</v>
      </c>
      <c r="O68" s="68" t="n">
        <v>118</v>
      </c>
      <c r="P68" s="68" t="n">
        <v>11</v>
      </c>
      <c r="Q68" s="68" t="n">
        <v>107</v>
      </c>
      <c r="R68" s="69" t="inlineStr">
        <is>
          <t>IO</t>
        </is>
      </c>
      <c r="S68" s="69" t="inlineStr">
        <is>
          <t>Yes</t>
        </is>
      </c>
      <c r="T68" s="73" t="n">
        <v>43009</v>
      </c>
      <c r="U68" s="73" t="n">
        <v>46600</v>
      </c>
      <c r="V68" s="73" t="n"/>
      <c r="W68" s="69" t="n"/>
      <c r="X68" s="69" t="inlineStr">
        <is>
          <t>Current</t>
        </is>
      </c>
      <c r="Y68" s="68" t="n"/>
      <c r="Z68" s="69" t="inlineStr">
        <is>
          <t>Full Defeasance</t>
        </is>
      </c>
      <c r="AA68" s="69" t="inlineStr">
        <is>
          <t>Yes</t>
        </is>
      </c>
      <c r="AB68" s="69" t="inlineStr">
        <is>
          <t>Never special serv</t>
        </is>
      </c>
      <c r="AC68" s="73" t="n"/>
      <c r="AD68" s="69" t="n"/>
      <c r="AE68" s="69" t="n"/>
      <c r="AF68" s="69" t="inlineStr">
        <is>
          <t>DC</t>
        </is>
      </c>
      <c r="AG68" s="69" t="inlineStr">
        <is>
          <t>Washington</t>
        </is>
      </c>
      <c r="AH68" s="69" t="inlineStr">
        <is>
          <t>Washington-Arlington-Alexandria, DC-VA-MD-WV</t>
        </is>
      </c>
      <c r="AI68" s="69" t="inlineStr">
        <is>
          <t>South / Atlantic</t>
        </is>
      </c>
      <c r="AJ68" s="69" t="inlineStr">
        <is>
          <t>OF</t>
        </is>
      </c>
      <c r="AK68" s="69" t="inlineStr">
        <is>
          <t>CBD</t>
        </is>
      </c>
      <c r="AL68" s="68" t="n">
        <v>1</v>
      </c>
      <c r="AM68" s="68" t="n"/>
      <c r="AN68" s="68" t="n">
        <v>517653</v>
      </c>
      <c r="AO68" s="69" t="inlineStr">
        <is>
          <t>2009</t>
        </is>
      </c>
      <c r="AP68" s="70" t="n">
        <v>2009</v>
      </c>
      <c r="AQ68" s="74" t="n">
        <v>3</v>
      </c>
      <c r="AR68" s="74" t="n">
        <v>2.45</v>
      </c>
      <c r="AS68" s="74" t="n">
        <v>47.62</v>
      </c>
      <c r="AT68" s="74" t="n">
        <v>47.62</v>
      </c>
      <c r="AU68" s="74" t="n">
        <v>47.62</v>
      </c>
      <c r="AV68" s="74" t="n">
        <v>10.950853047</v>
      </c>
      <c r="AW68" s="74" t="n">
        <v>12.342151747</v>
      </c>
      <c r="AX68" s="75" t="n">
        <v>100</v>
      </c>
      <c r="AY68" s="71" t="n">
        <v>399000000</v>
      </c>
      <c r="AZ68" s="71" t="n">
        <v>399000000</v>
      </c>
      <c r="BA68" s="71" t="n">
        <v>20806620.79</v>
      </c>
      <c r="BB68" s="71" t="n">
        <v>17018124.98</v>
      </c>
      <c r="BC68" s="69" t="inlineStr">
        <is>
          <t>Refinance</t>
        </is>
      </c>
      <c r="BD68" s="69" t="inlineStr">
        <is>
          <t>N</t>
        </is>
      </c>
      <c r="BE68" s="71" t="n">
        <v>140000000</v>
      </c>
      <c r="BF68" s="71" t="n"/>
      <c r="BG68" s="71" t="n"/>
      <c r="BH68" s="71" t="n">
        <v>0</v>
      </c>
      <c r="BI68" s="71" t="n">
        <v>0</v>
      </c>
      <c r="BJ68" s="69" t="inlineStr">
        <is>
          <t>N</t>
        </is>
      </c>
      <c r="BK68" s="69" t="inlineStr">
        <is>
          <t>United States Government</t>
        </is>
      </c>
      <c r="BL68" s="75" t="n">
        <v>40.48</v>
      </c>
      <c r="BM68" s="73" t="n">
        <v>45199</v>
      </c>
      <c r="BN68" s="69" t="inlineStr">
        <is>
          <t>Seven Hundred 2nd Street Holdings Mezz LLC</t>
        </is>
      </c>
      <c r="BO68" s="69" t="inlineStr">
        <is>
          <t>Citigroup Global Markets</t>
        </is>
      </c>
      <c r="BP68" s="69" t="inlineStr">
        <is>
          <t>Midland Loan Services</t>
        </is>
      </c>
      <c r="BQ68" s="69" t="inlineStr">
        <is>
          <t>K-Star Asset Management LLC</t>
        </is>
      </c>
      <c r="BR68" s="69" t="n"/>
      <c r="BS68" s="73" t="n">
        <v>46273</v>
      </c>
      <c r="BU68" s="76">
        <f>IF($C68="","",IFERROR(INDEX(dmName,MATCH($C68,dmID,0)),"Unmapped"))</f>
        <v/>
      </c>
      <c r="BV68" s="76">
        <f>IF($C68="","",IFERROR(INDEX(dmEntity,MATCH($C68,dmID,0)),"Unmapped"))</f>
        <v/>
      </c>
      <c r="BW68" s="77">
        <f>IF($C68="","",IFERROR(INDEX(dmVintage,MATCH($C68,dmID,0)),""))</f>
        <v/>
      </c>
      <c r="BX68" s="78">
        <f>IFERROR(INDEX(dmInclude,MATCH($C68,dmID,0)),0)</f>
        <v/>
      </c>
      <c r="BY68" s="78">
        <f>IF(N($I68)&gt;0,1,0)</f>
        <v/>
      </c>
      <c r="BZ68" s="76">
        <f>IF($AJ68="","Other / Leased Fee",IFERROR(INDEX(mapPTGroup,MATCH(LEFT(TRIM($AJ68),2),mapPTCode,0)),"Other / Leased Fee"))</f>
        <v/>
      </c>
      <c r="CA68" s="76">
        <f>IF(TRIM($AF68&amp;"")="","NR",LEFT(TRIM($AF68),2))</f>
        <v/>
      </c>
      <c r="CB68" s="76">
        <f>IFERROR(LOOKUP(2,1/(LEFT(TRIM($AI68&amp;""),LEN(mapRegion))=mapRegion),mapRegion),"Not Reported")</f>
        <v/>
      </c>
      <c r="CC68" s="76">
        <f>IF($BY68=0,"",IF(TRIM($W68&amp;"")="REO","REO",IF(TRIM($W68&amp;"")="FC","Foreclosure",IF(TRIM($W68&amp;"")="90+","90+ Days Delinquent",IF(TRIM($W68&amp;"")="60","60 Days Delinquent",IF(TRIM($W68&amp;"")="30","30 Days Delinquent",IF($X68="Non-Performing Matured Balloon","Non-Performing Matured Balloon",IF(OR($X68="Late Payment But Less Than 30 Days Delinquent",LEFT($X68&amp;"",20)="Payment Not Received"),"Late / In Grace (&lt;30 Days)",IF($X68="Performing Matured Balloon","Performing Matured Balloon","Current")))))))))</f>
        <v/>
      </c>
      <c r="CD68" s="78">
        <f>IF(OR($CC68="REO",$CC68="Foreclosure",$CC68="90+ Days Delinquent",$CC68="60 Days Delinquent",$CC68="30 Days Delinquent",$CC68="Non-Performing Matured Balloon"),1,0)</f>
        <v/>
      </c>
      <c r="CE68" s="76">
        <f>IF($AB68="Currently special serv","Currently Specially Serviced",IF($AB68="Returned to master serv","Previously Specially Serviced","Never Specially Serviced"))</f>
        <v/>
      </c>
      <c r="CF68" s="78">
        <f>IF($CE68="Currently Specially Serviced",1,0)</f>
        <v/>
      </c>
      <c r="CG68" s="76">
        <f>IF($AA68="Yes","Currently on Watchlist",IF($AA68="Previously","Previously on Watchlist","Never on Watchlist"))</f>
        <v/>
      </c>
      <c r="CH68" s="78">
        <f>IF($CG68="Currently on Watchlist",1,0)</f>
        <v/>
      </c>
      <c r="CI68" s="76">
        <f>IF($Z68="Full Defeasance","Fully Defeased",IF($Z68="Portion Of Loan Previously Defeased","Partially Defeased",IF($Z68="Defeasance Not Allowable","Not Defeased (Not Permitted)","Not Defeased")))</f>
        <v/>
      </c>
      <c r="CJ68" s="78">
        <f>IF($CI68="Fully Defeased",1,0)</f>
        <v/>
      </c>
      <c r="CK68" s="76">
        <f>IF($R68="IO","Full IO",IF(LEFT($R68&amp;"",7)="IO then","Partial IO","Amortizing"))</f>
        <v/>
      </c>
      <c r="CL68" s="78">
        <f>IF($CK68="Full IO",1,0)</f>
        <v/>
      </c>
      <c r="CM68" s="78">
        <f>IF($CK68="Partial IO",1,0)</f>
        <v/>
      </c>
      <c r="CN68" s="76">
        <f>IF(LEFT($F68&amp;"",10)="SPLIT_LOAN","Pari Passu Split","Standalone")</f>
        <v/>
      </c>
      <c r="CO68" s="78">
        <f>IF($CN68="Pari Passu Split",1,0)</f>
        <v/>
      </c>
      <c r="CP68" s="77">
        <f>IF(ISNUMBER($T68),YEAR($T68),"")</f>
        <v/>
      </c>
      <c r="CQ68" s="79">
        <f>IF(ISNUMBER($V68),$V68,IF(ISNUMBER($U68),$U68,""))</f>
        <v/>
      </c>
      <c r="CR68" s="77">
        <f>IF(ISNUMBER($CQ68),YEAR($CQ68),"")</f>
        <v/>
      </c>
      <c r="CS68" s="78">
        <f>IF(ISNUMBER($M68),MAX(0,$M68),IF(TRIM($M68&amp;"")="matured",0,""))</f>
        <v/>
      </c>
      <c r="CT68" s="78">
        <f>IF(AND(ISNUMBER($CS68),N($CS68)&lt;=mMatWindow),1,0)</f>
        <v/>
      </c>
      <c r="CU68" s="80">
        <f>IF(ISNUMBER($J68),$J68/100,"")</f>
        <v/>
      </c>
      <c r="CV68" s="81">
        <f>IF(ISNUMBER($AQ68),$AQ68,"")</f>
        <v/>
      </c>
      <c r="CW68" s="81">
        <f>IF(ISNUMBER($AR68),$AR68,"")</f>
        <v/>
      </c>
      <c r="CX68" s="82">
        <f>IF(ISNUMBER($AS68),$AS68/100,"")</f>
        <v/>
      </c>
      <c r="CY68" s="82">
        <f>IF(ISNUMBER($AT68),$AT68/100,"")</f>
        <v/>
      </c>
      <c r="CZ68" s="82">
        <f>IF(ISNUMBER($AU68),$AU68/100,"")</f>
        <v/>
      </c>
      <c r="DA68" s="82">
        <f>IF(ISNUMBER($AV68),$AV68/100,"")</f>
        <v/>
      </c>
      <c r="DB68" s="82">
        <f>IF(ISNUMBER($AW68),$AW68/100,"")</f>
        <v/>
      </c>
      <c r="DC68" s="82">
        <f>IF(ISNUMBER($AX68),$AX68/100,"")</f>
        <v/>
      </c>
      <c r="DD68" s="77">
        <f>IFERROR(VALUE(LEFT(TRIM($AO68&amp;""),4)),"")</f>
        <v/>
      </c>
      <c r="DE68" s="78">
        <f>IF(AND($BY68=1,$BX68=1,OR(fDeal="All Deals",$BU68=fDeal),OR(fEntity="All Entities",$BV68=fEntity),OR(fPType="All Property Types",$BZ68=fPType),OR(fDefeased="Include",$CJ68=0)),1,0)</f>
        <v/>
      </c>
      <c r="DF68" s="83">
        <f>$DE68*N($I68)</f>
        <v/>
      </c>
      <c r="DG68" s="78">
        <f>IF($DE68=1,IF(COUNTIFS($F$8:$F68,$F68,$DE$8:$DE68,1)=1,1,0),0)</f>
        <v/>
      </c>
      <c r="DH68" s="83">
        <f>IF($DG68=1,SUMIFS($DF$8:$DF$1600,$F$8:$F$1600,$F68),0)</f>
        <v/>
      </c>
      <c r="DI68" s="78">
        <f>IF($DG68=1,COUNTIFS($F$8:$F$1600,$F68,$DE$8:$DE$1600,1),0)</f>
        <v/>
      </c>
      <c r="DJ68" s="84">
        <f>IF($DG68=1,$DH68+(100000-ROW())/mTieBreak,0)</f>
        <v/>
      </c>
    </row>
    <row r="69">
      <c r="B69" s="68" t="n">
        <v>3</v>
      </c>
      <c r="C69" s="69" t="inlineStr">
        <is>
          <t>CTG17C04</t>
        </is>
      </c>
      <c r="D69" s="69" t="inlineStr">
        <is>
          <t>3.000</t>
        </is>
      </c>
      <c r="E69" s="69" t="inlineStr">
        <is>
          <t>Godfrey Hotel</t>
        </is>
      </c>
      <c r="F69" s="69" t="inlineStr">
        <is>
          <t>LNCTG17C04-3.000</t>
        </is>
      </c>
      <c r="G69" s="70" t="n"/>
      <c r="H69" s="71" t="n">
        <v>47500000</v>
      </c>
      <c r="I69" s="71" t="n">
        <v>0</v>
      </c>
      <c r="J69" s="72" t="n">
        <v>4.96</v>
      </c>
      <c r="K69" s="69" t="inlineStr">
        <is>
          <t>Fixed rate</t>
        </is>
      </c>
      <c r="L69" s="68" t="n">
        <v>72</v>
      </c>
      <c r="M69" s="68" t="n"/>
      <c r="N69" s="68" t="n">
        <v>360</v>
      </c>
      <c r="O69" s="68" t="n">
        <v>60</v>
      </c>
      <c r="P69" s="68" t="n"/>
      <c r="Q69" s="68" t="n"/>
      <c r="R69" s="69" t="inlineStr">
        <is>
          <t>IO then Amort</t>
        </is>
      </c>
      <c r="S69" s="69" t="inlineStr">
        <is>
          <t>No</t>
        </is>
      </c>
      <c r="T69" s="73" t="n">
        <v>43009</v>
      </c>
      <c r="U69" s="73" t="n">
        <v>45205</v>
      </c>
      <c r="V69" s="73" t="n"/>
      <c r="W69" s="69" t="n"/>
      <c r="X69" s="69" t="inlineStr">
        <is>
          <t>Current</t>
        </is>
      </c>
      <c r="Y69" s="68" t="n"/>
      <c r="Z69" s="69" t="inlineStr">
        <is>
          <t>No Defeasance Occurred</t>
        </is>
      </c>
      <c r="AA69" s="69" t="inlineStr">
        <is>
          <t>Previously</t>
        </is>
      </c>
      <c r="AB69" s="69" t="inlineStr">
        <is>
          <t>Returned to master serv</t>
        </is>
      </c>
      <c r="AC69" s="73" t="n"/>
      <c r="AD69" s="69" t="inlineStr">
        <is>
          <t>Other</t>
        </is>
      </c>
      <c r="AE69" s="69" t="inlineStr">
        <is>
          <t>Resolved</t>
        </is>
      </c>
      <c r="AF69" s="69" t="inlineStr">
        <is>
          <t>IL</t>
        </is>
      </c>
      <c r="AG69" s="69" t="inlineStr">
        <is>
          <t>Chicago</t>
        </is>
      </c>
      <c r="AH69" s="69" t="inlineStr">
        <is>
          <t>Chicago-Naperville-Elgin, IL-IN</t>
        </is>
      </c>
      <c r="AI69" s="69" t="inlineStr">
        <is>
          <t>Midwest / Central East</t>
        </is>
      </c>
      <c r="AJ69" s="69" t="inlineStr">
        <is>
          <t>HT</t>
        </is>
      </c>
      <c r="AK69" s="69" t="inlineStr">
        <is>
          <t>Full Service</t>
        </is>
      </c>
      <c r="AL69" s="68" t="n">
        <v>1</v>
      </c>
      <c r="AM69" s="68" t="n">
        <v>221</v>
      </c>
      <c r="AN69" s="68" t="n"/>
      <c r="AO69" s="69" t="inlineStr">
        <is>
          <t>2014</t>
        </is>
      </c>
      <c r="AP69" s="70" t="n">
        <v>2014</v>
      </c>
      <c r="AQ69" s="74" t="n">
        <v>2.11</v>
      </c>
      <c r="AR69" s="74" t="n">
        <v>1.57</v>
      </c>
      <c r="AS69" s="74" t="n">
        <v>46.84</v>
      </c>
      <c r="AT69" s="74" t="n"/>
      <c r="AU69" s="74" t="n">
        <v>43.18</v>
      </c>
      <c r="AV69" s="74" t="n">
        <v>13.551383158</v>
      </c>
      <c r="AW69" s="74" t="n"/>
      <c r="AX69" s="75" t="n">
        <v>79</v>
      </c>
      <c r="AY69" s="71" t="n">
        <v>101400000</v>
      </c>
      <c r="AZ69" s="71" t="n">
        <v>71000000</v>
      </c>
      <c r="BA69" s="71" t="n">
        <v>6436907</v>
      </c>
      <c r="BB69" s="71" t="n">
        <v>6263628.32</v>
      </c>
      <c r="BC69" s="69" t="inlineStr">
        <is>
          <t>Refinance</t>
        </is>
      </c>
      <c r="BD69" s="69" t="inlineStr">
        <is>
          <t>N</t>
        </is>
      </c>
      <c r="BE69" s="71" t="n"/>
      <c r="BF69" s="71" t="n"/>
      <c r="BG69" s="71" t="n"/>
      <c r="BH69" s="71" t="n">
        <v>0</v>
      </c>
      <c r="BI69" s="71" t="n">
        <v>0</v>
      </c>
      <c r="BJ69" s="69" t="inlineStr">
        <is>
          <t>Y</t>
        </is>
      </c>
      <c r="BK69" s="69" t="n"/>
      <c r="BL69" s="75" t="n"/>
      <c r="BM69" s="73" t="n"/>
      <c r="BN69" s="69" t="inlineStr">
        <is>
          <t>John W. Rutledge</t>
        </is>
      </c>
      <c r="BO69" s="69" t="inlineStr">
        <is>
          <t>Citigroup Global Markets</t>
        </is>
      </c>
      <c r="BP69" s="69" t="inlineStr">
        <is>
          <t>Midland Loan Services</t>
        </is>
      </c>
      <c r="BQ69" s="69" t="inlineStr">
        <is>
          <t>Midland Loan Services</t>
        </is>
      </c>
      <c r="BR69" s="69" t="inlineStr">
        <is>
          <t>Full Payoff At Maturity</t>
        </is>
      </c>
      <c r="BS69" s="73" t="n">
        <v>45209</v>
      </c>
      <c r="BU69" s="76">
        <f>IF($C69="","",IFERROR(INDEX(dmName,MATCH($C69,dmID,0)),"Unmapped"))</f>
        <v/>
      </c>
      <c r="BV69" s="76">
        <f>IF($C69="","",IFERROR(INDEX(dmEntity,MATCH($C69,dmID,0)),"Unmapped"))</f>
        <v/>
      </c>
      <c r="BW69" s="77">
        <f>IF($C69="","",IFERROR(INDEX(dmVintage,MATCH($C69,dmID,0)),""))</f>
        <v/>
      </c>
      <c r="BX69" s="78">
        <f>IFERROR(INDEX(dmInclude,MATCH($C69,dmID,0)),0)</f>
        <v/>
      </c>
      <c r="BY69" s="78">
        <f>IF(N($I69)&gt;0,1,0)</f>
        <v/>
      </c>
      <c r="BZ69" s="76">
        <f>IF($AJ69="","Other / Leased Fee",IFERROR(INDEX(mapPTGroup,MATCH(LEFT(TRIM($AJ69),2),mapPTCode,0)),"Other / Leased Fee"))</f>
        <v/>
      </c>
      <c r="CA69" s="76">
        <f>IF(TRIM($AF69&amp;"")="","NR",LEFT(TRIM($AF69),2))</f>
        <v/>
      </c>
      <c r="CB69" s="76">
        <f>IFERROR(LOOKUP(2,1/(LEFT(TRIM($AI69&amp;""),LEN(mapRegion))=mapRegion),mapRegion),"Not Reported")</f>
        <v/>
      </c>
      <c r="CC69" s="76">
        <f>IF($BY69=0,"",IF(TRIM($W69&amp;"")="REO","REO",IF(TRIM($W69&amp;"")="FC","Foreclosure",IF(TRIM($W69&amp;"")="90+","90+ Days Delinquent",IF(TRIM($W69&amp;"")="60","60 Days Delinquent",IF(TRIM($W69&amp;"")="30","30 Days Delinquent",IF($X69="Non-Performing Matured Balloon","Non-Performing Matured Balloon",IF(OR($X69="Late Payment But Less Than 30 Days Delinquent",LEFT($X69&amp;"",20)="Payment Not Received"),"Late / In Grace (&lt;30 Days)",IF($X69="Performing Matured Balloon","Performing Matured Balloon","Current")))))))))</f>
        <v/>
      </c>
      <c r="CD69" s="78">
        <f>IF(OR($CC69="REO",$CC69="Foreclosure",$CC69="90+ Days Delinquent",$CC69="60 Days Delinquent",$CC69="30 Days Delinquent",$CC69="Non-Performing Matured Balloon"),1,0)</f>
        <v/>
      </c>
      <c r="CE69" s="76">
        <f>IF($AB69="Currently special serv","Currently Specially Serviced",IF($AB69="Returned to master serv","Previously Specially Serviced","Never Specially Serviced"))</f>
        <v/>
      </c>
      <c r="CF69" s="78">
        <f>IF($CE69="Currently Specially Serviced",1,0)</f>
        <v/>
      </c>
      <c r="CG69" s="76">
        <f>IF($AA69="Yes","Currently on Watchlist",IF($AA69="Previously","Previously on Watchlist","Never on Watchlist"))</f>
        <v/>
      </c>
      <c r="CH69" s="78">
        <f>IF($CG69="Currently on Watchlist",1,0)</f>
        <v/>
      </c>
      <c r="CI69" s="76">
        <f>IF($Z69="Full Defeasance","Fully Defeased",IF($Z69="Portion Of Loan Previously Defeased","Partially Defeased",IF($Z69="Defeasance Not Allowable","Not Defeased (Not Permitted)","Not Defeased")))</f>
        <v/>
      </c>
      <c r="CJ69" s="78">
        <f>IF($CI69="Fully Defeased",1,0)</f>
        <v/>
      </c>
      <c r="CK69" s="76">
        <f>IF($R69="IO","Full IO",IF(LEFT($R69&amp;"",7)="IO then","Partial IO","Amortizing"))</f>
        <v/>
      </c>
      <c r="CL69" s="78">
        <f>IF($CK69="Full IO",1,0)</f>
        <v/>
      </c>
      <c r="CM69" s="78">
        <f>IF($CK69="Partial IO",1,0)</f>
        <v/>
      </c>
      <c r="CN69" s="76">
        <f>IF(LEFT($F69&amp;"",10)="SPLIT_LOAN","Pari Passu Split","Standalone")</f>
        <v/>
      </c>
      <c r="CO69" s="78">
        <f>IF($CN69="Pari Passu Split",1,0)</f>
        <v/>
      </c>
      <c r="CP69" s="77">
        <f>IF(ISNUMBER($T69),YEAR($T69),"")</f>
        <v/>
      </c>
      <c r="CQ69" s="79">
        <f>IF(ISNUMBER($V69),$V69,IF(ISNUMBER($U69),$U69,""))</f>
        <v/>
      </c>
      <c r="CR69" s="77">
        <f>IF(ISNUMBER($CQ69),YEAR($CQ69),"")</f>
        <v/>
      </c>
      <c r="CS69" s="78">
        <f>IF(ISNUMBER($M69),MAX(0,$M69),IF(TRIM($M69&amp;"")="matured",0,""))</f>
        <v/>
      </c>
      <c r="CT69" s="78">
        <f>IF(AND(ISNUMBER($CS69),N($CS69)&lt;=mMatWindow),1,0)</f>
        <v/>
      </c>
      <c r="CU69" s="80">
        <f>IF(ISNUMBER($J69),$J69/100,"")</f>
        <v/>
      </c>
      <c r="CV69" s="81">
        <f>IF(ISNUMBER($AQ69),$AQ69,"")</f>
        <v/>
      </c>
      <c r="CW69" s="81">
        <f>IF(ISNUMBER($AR69),$AR69,"")</f>
        <v/>
      </c>
      <c r="CX69" s="82">
        <f>IF(ISNUMBER($AS69),$AS69/100,"")</f>
        <v/>
      </c>
      <c r="CY69" s="82">
        <f>IF(ISNUMBER($AT69),$AT69/100,"")</f>
        <v/>
      </c>
      <c r="CZ69" s="82">
        <f>IF(ISNUMBER($AU69),$AU69/100,"")</f>
        <v/>
      </c>
      <c r="DA69" s="82">
        <f>IF(ISNUMBER($AV69),$AV69/100,"")</f>
        <v/>
      </c>
      <c r="DB69" s="82">
        <f>IF(ISNUMBER($AW69),$AW69/100,"")</f>
        <v/>
      </c>
      <c r="DC69" s="82">
        <f>IF(ISNUMBER($AX69),$AX69/100,"")</f>
        <v/>
      </c>
      <c r="DD69" s="77">
        <f>IFERROR(VALUE(LEFT(TRIM($AO69&amp;""),4)),"")</f>
        <v/>
      </c>
      <c r="DE69" s="78">
        <f>IF(AND($BY69=1,$BX69=1,OR(fDeal="All Deals",$BU69=fDeal),OR(fEntity="All Entities",$BV69=fEntity),OR(fPType="All Property Types",$BZ69=fPType),OR(fDefeased="Include",$CJ69=0)),1,0)</f>
        <v/>
      </c>
      <c r="DF69" s="83">
        <f>$DE69*N($I69)</f>
        <v/>
      </c>
      <c r="DG69" s="78">
        <f>IF($DE69=1,IF(COUNTIFS($F$8:$F69,$F69,$DE$8:$DE69,1)=1,1,0),0)</f>
        <v/>
      </c>
      <c r="DH69" s="83">
        <f>IF($DG69=1,SUMIFS($DF$8:$DF$1600,$F$8:$F$1600,$F69),0)</f>
        <v/>
      </c>
      <c r="DI69" s="78">
        <f>IF($DG69=1,COUNTIFS($F$8:$F$1600,$F69,$DE$8:$DE$1600,1),0)</f>
        <v/>
      </c>
      <c r="DJ69" s="84">
        <f>IF($DG69=1,$DH69+(100000-ROW())/mTieBreak,0)</f>
        <v/>
      </c>
    </row>
    <row r="70">
      <c r="B70" s="68" t="n">
        <v>4</v>
      </c>
      <c r="C70" s="69" t="inlineStr">
        <is>
          <t>CTG17C04</t>
        </is>
      </c>
      <c r="D70" s="69" t="inlineStr">
        <is>
          <t>4.000</t>
        </is>
      </c>
      <c r="E70" s="69" t="inlineStr">
        <is>
          <t>Pleasant Prairie Premium Outlets</t>
        </is>
      </c>
      <c r="F70" s="69" t="inlineStr">
        <is>
          <t>SPLIT_LOAN_01078</t>
        </is>
      </c>
      <c r="G70" s="70" t="n">
        <v>1078</v>
      </c>
      <c r="H70" s="71" t="n">
        <v>41000000</v>
      </c>
      <c r="I70" s="71" t="n">
        <v>41000000</v>
      </c>
      <c r="J70" s="72" t="n">
        <v>3.995</v>
      </c>
      <c r="K70" s="69" t="inlineStr">
        <is>
          <t>Fixed rate</t>
        </is>
      </c>
      <c r="L70" s="68" t="n">
        <v>120</v>
      </c>
      <c r="M70" s="68" t="n">
        <v>12</v>
      </c>
      <c r="N70" s="68" t="n">
        <v>120</v>
      </c>
      <c r="O70" s="68" t="n">
        <v>120</v>
      </c>
      <c r="P70" s="68" t="n">
        <v>12</v>
      </c>
      <c r="Q70" s="68" t="n">
        <v>108</v>
      </c>
      <c r="R70" s="69" t="inlineStr">
        <is>
          <t>IO</t>
        </is>
      </c>
      <c r="S70" s="69" t="inlineStr">
        <is>
          <t>Yes</t>
        </is>
      </c>
      <c r="T70" s="73" t="n">
        <v>42979</v>
      </c>
      <c r="U70" s="73" t="n">
        <v>46631</v>
      </c>
      <c r="V70" s="73" t="n"/>
      <c r="W70" s="69" t="n"/>
      <c r="X70" s="69" t="inlineStr">
        <is>
          <t>Current</t>
        </is>
      </c>
      <c r="Y70" s="68" t="n"/>
      <c r="Z70" s="69" t="inlineStr">
        <is>
          <t>No Defeasance Occurred</t>
        </is>
      </c>
      <c r="AA70" s="69" t="inlineStr">
        <is>
          <t>Previously</t>
        </is>
      </c>
      <c r="AB70" s="69" t="inlineStr">
        <is>
          <t>Never special serv</t>
        </is>
      </c>
      <c r="AC70" s="73" t="n"/>
      <c r="AD70" s="69" t="n"/>
      <c r="AE70" s="69" t="n"/>
      <c r="AF70" s="69" t="inlineStr">
        <is>
          <t>WI</t>
        </is>
      </c>
      <c r="AG70" s="69" t="inlineStr">
        <is>
          <t>Pleasant Prairie</t>
        </is>
      </c>
      <c r="AH70" s="69" t="inlineStr">
        <is>
          <t>Kenosha, WI</t>
        </is>
      </c>
      <c r="AI70" s="69" t="inlineStr">
        <is>
          <t>Midwest / Central East</t>
        </is>
      </c>
      <c r="AJ70" s="69" t="inlineStr">
        <is>
          <t>RT</t>
        </is>
      </c>
      <c r="AK70" s="69" t="inlineStr">
        <is>
          <t>Factory Outlet</t>
        </is>
      </c>
      <c r="AL70" s="68" t="n">
        <v>1</v>
      </c>
      <c r="AM70" s="68" t="n"/>
      <c r="AN70" s="68" t="n">
        <v>402615</v>
      </c>
      <c r="AO70" s="69" t="inlineStr">
        <is>
          <t>1987, 1989, 2006</t>
        </is>
      </c>
      <c r="AP70" s="70" t="n">
        <v>2006</v>
      </c>
      <c r="AQ70" s="74" t="n">
        <v>2.66</v>
      </c>
      <c r="AR70" s="74" t="n">
        <v>2.93</v>
      </c>
      <c r="AS70" s="74" t="n">
        <v>50</v>
      </c>
      <c r="AT70" s="74" t="n">
        <v>50</v>
      </c>
      <c r="AU70" s="74" t="n">
        <v>50</v>
      </c>
      <c r="AV70" s="74" t="n">
        <v>10.761749117</v>
      </c>
      <c r="AW70" s="74" t="n">
        <v>11.430579986</v>
      </c>
      <c r="AX70" s="75" t="n">
        <v>91</v>
      </c>
      <c r="AY70" s="71" t="n">
        <v>290000000</v>
      </c>
      <c r="AZ70" s="71" t="n">
        <v>290000000</v>
      </c>
      <c r="BA70" s="71" t="n">
        <v>15604536.22</v>
      </c>
      <c r="BB70" s="71" t="n">
        <v>4249578.61</v>
      </c>
      <c r="BC70" s="69" t="inlineStr">
        <is>
          <t>Recapitalization</t>
        </is>
      </c>
      <c r="BD70" s="69" t="inlineStr">
        <is>
          <t>N</t>
        </is>
      </c>
      <c r="BE70" s="71" t="n">
        <v>104000000</v>
      </c>
      <c r="BF70" s="71" t="n"/>
      <c r="BG70" s="71" t="n"/>
      <c r="BH70" s="71" t="n">
        <v>0</v>
      </c>
      <c r="BI70" s="71" t="n">
        <v>0</v>
      </c>
      <c r="BJ70" s="69" t="inlineStr">
        <is>
          <t>N</t>
        </is>
      </c>
      <c r="BK70" s="69" t="inlineStr">
        <is>
          <t>Nike Factory Store</t>
        </is>
      </c>
      <c r="BL70" s="75" t="n">
        <v>5.02</v>
      </c>
      <c r="BM70" s="73" t="n">
        <v>46783</v>
      </c>
      <c r="BN70" s="69" t="inlineStr">
        <is>
          <t>Simon Property Group, L.P.</t>
        </is>
      </c>
      <c r="BO70" s="69" t="inlineStr">
        <is>
          <t>Citigroup Global Markets</t>
        </is>
      </c>
      <c r="BP70" s="69" t="inlineStr">
        <is>
          <t>Midland Loan Services</t>
        </is>
      </c>
      <c r="BQ70" s="69" t="inlineStr">
        <is>
          <t>KeyBank National Association</t>
        </is>
      </c>
      <c r="BR70" s="69" t="n"/>
      <c r="BS70" s="73" t="n">
        <v>46273</v>
      </c>
      <c r="BU70" s="76">
        <f>IF($C70="","",IFERROR(INDEX(dmName,MATCH($C70,dmID,0)),"Unmapped"))</f>
        <v/>
      </c>
      <c r="BV70" s="76">
        <f>IF($C70="","",IFERROR(INDEX(dmEntity,MATCH($C70,dmID,0)),"Unmapped"))</f>
        <v/>
      </c>
      <c r="BW70" s="77">
        <f>IF($C70="","",IFERROR(INDEX(dmVintage,MATCH($C70,dmID,0)),""))</f>
        <v/>
      </c>
      <c r="BX70" s="78">
        <f>IFERROR(INDEX(dmInclude,MATCH($C70,dmID,0)),0)</f>
        <v/>
      </c>
      <c r="BY70" s="78">
        <f>IF(N($I70)&gt;0,1,0)</f>
        <v/>
      </c>
      <c r="BZ70" s="76">
        <f>IF($AJ70="","Other / Leased Fee",IFERROR(INDEX(mapPTGroup,MATCH(LEFT(TRIM($AJ70),2),mapPTCode,0)),"Other / Leased Fee"))</f>
        <v/>
      </c>
      <c r="CA70" s="76">
        <f>IF(TRIM($AF70&amp;"")="","NR",LEFT(TRIM($AF70),2))</f>
        <v/>
      </c>
      <c r="CB70" s="76">
        <f>IFERROR(LOOKUP(2,1/(LEFT(TRIM($AI70&amp;""),LEN(mapRegion))=mapRegion),mapRegion),"Not Reported")</f>
        <v/>
      </c>
      <c r="CC70" s="76">
        <f>IF($BY70=0,"",IF(TRIM($W70&amp;"")="REO","REO",IF(TRIM($W70&amp;"")="FC","Foreclosure",IF(TRIM($W70&amp;"")="90+","90+ Days Delinquent",IF(TRIM($W70&amp;"")="60","60 Days Delinquent",IF(TRIM($W70&amp;"")="30","30 Days Delinquent",IF($X70="Non-Performing Matured Balloon","Non-Performing Matured Balloon",IF(OR($X70="Late Payment But Less Than 30 Days Delinquent",LEFT($X70&amp;"",20)="Payment Not Received"),"Late / In Grace (&lt;30 Days)",IF($X70="Performing Matured Balloon","Performing Matured Balloon","Current")))))))))</f>
        <v/>
      </c>
      <c r="CD70" s="78">
        <f>IF(OR($CC70="REO",$CC70="Foreclosure",$CC70="90+ Days Delinquent",$CC70="60 Days Delinquent",$CC70="30 Days Delinquent",$CC70="Non-Performing Matured Balloon"),1,0)</f>
        <v/>
      </c>
      <c r="CE70" s="76">
        <f>IF($AB70="Currently special serv","Currently Specially Serviced",IF($AB70="Returned to master serv","Previously Specially Serviced","Never Specially Serviced"))</f>
        <v/>
      </c>
      <c r="CF70" s="78">
        <f>IF($CE70="Currently Specially Serviced",1,0)</f>
        <v/>
      </c>
      <c r="CG70" s="76">
        <f>IF($AA70="Yes","Currently on Watchlist",IF($AA70="Previously","Previously on Watchlist","Never on Watchlist"))</f>
        <v/>
      </c>
      <c r="CH70" s="78">
        <f>IF($CG70="Currently on Watchlist",1,0)</f>
        <v/>
      </c>
      <c r="CI70" s="76">
        <f>IF($Z70="Full Defeasance","Fully Defeased",IF($Z70="Portion Of Loan Previously Defeased","Partially Defeased",IF($Z70="Defeasance Not Allowable","Not Defeased (Not Permitted)","Not Defeased")))</f>
        <v/>
      </c>
      <c r="CJ70" s="78">
        <f>IF($CI70="Fully Defeased",1,0)</f>
        <v/>
      </c>
      <c r="CK70" s="76">
        <f>IF($R70="IO","Full IO",IF(LEFT($R70&amp;"",7)="IO then","Partial IO","Amortizing"))</f>
        <v/>
      </c>
      <c r="CL70" s="78">
        <f>IF($CK70="Full IO",1,0)</f>
        <v/>
      </c>
      <c r="CM70" s="78">
        <f>IF($CK70="Partial IO",1,0)</f>
        <v/>
      </c>
      <c r="CN70" s="76">
        <f>IF(LEFT($F70&amp;"",10)="SPLIT_LOAN","Pari Passu Split","Standalone")</f>
        <v/>
      </c>
      <c r="CO70" s="78">
        <f>IF($CN70="Pari Passu Split",1,0)</f>
        <v/>
      </c>
      <c r="CP70" s="77">
        <f>IF(ISNUMBER($T70),YEAR($T70),"")</f>
        <v/>
      </c>
      <c r="CQ70" s="79">
        <f>IF(ISNUMBER($V70),$V70,IF(ISNUMBER($U70),$U70,""))</f>
        <v/>
      </c>
      <c r="CR70" s="77">
        <f>IF(ISNUMBER($CQ70),YEAR($CQ70),"")</f>
        <v/>
      </c>
      <c r="CS70" s="78">
        <f>IF(ISNUMBER($M70),MAX(0,$M70),IF(TRIM($M70&amp;"")="matured",0,""))</f>
        <v/>
      </c>
      <c r="CT70" s="78">
        <f>IF(AND(ISNUMBER($CS70),N($CS70)&lt;=mMatWindow),1,0)</f>
        <v/>
      </c>
      <c r="CU70" s="80">
        <f>IF(ISNUMBER($J70),$J70/100,"")</f>
        <v/>
      </c>
      <c r="CV70" s="81">
        <f>IF(ISNUMBER($AQ70),$AQ70,"")</f>
        <v/>
      </c>
      <c r="CW70" s="81">
        <f>IF(ISNUMBER($AR70),$AR70,"")</f>
        <v/>
      </c>
      <c r="CX70" s="82">
        <f>IF(ISNUMBER($AS70),$AS70/100,"")</f>
        <v/>
      </c>
      <c r="CY70" s="82">
        <f>IF(ISNUMBER($AT70),$AT70/100,"")</f>
        <v/>
      </c>
      <c r="CZ70" s="82">
        <f>IF(ISNUMBER($AU70),$AU70/100,"")</f>
        <v/>
      </c>
      <c r="DA70" s="82">
        <f>IF(ISNUMBER($AV70),$AV70/100,"")</f>
        <v/>
      </c>
      <c r="DB70" s="82">
        <f>IF(ISNUMBER($AW70),$AW70/100,"")</f>
        <v/>
      </c>
      <c r="DC70" s="82">
        <f>IF(ISNUMBER($AX70),$AX70/100,"")</f>
        <v/>
      </c>
      <c r="DD70" s="77">
        <f>IFERROR(VALUE(LEFT(TRIM($AO70&amp;""),4)),"")</f>
        <v/>
      </c>
      <c r="DE70" s="78">
        <f>IF(AND($BY70=1,$BX70=1,OR(fDeal="All Deals",$BU70=fDeal),OR(fEntity="All Entities",$BV70=fEntity),OR(fPType="All Property Types",$BZ70=fPType),OR(fDefeased="Include",$CJ70=0)),1,0)</f>
        <v/>
      </c>
      <c r="DF70" s="83">
        <f>$DE70*N($I70)</f>
        <v/>
      </c>
      <c r="DG70" s="78">
        <f>IF($DE70=1,IF(COUNTIFS($F$8:$F70,$F70,$DE$8:$DE70,1)=1,1,0),0)</f>
        <v/>
      </c>
      <c r="DH70" s="83">
        <f>IF($DG70=1,SUMIFS($DF$8:$DF$1600,$F$8:$F$1600,$F70),0)</f>
        <v/>
      </c>
      <c r="DI70" s="78">
        <f>IF($DG70=1,COUNTIFS($F$8:$F$1600,$F70,$DE$8:$DE$1600,1),0)</f>
        <v/>
      </c>
      <c r="DJ70" s="84">
        <f>IF($DG70=1,$DH70+(100000-ROW())/mTieBreak,0)</f>
        <v/>
      </c>
    </row>
    <row r="71">
      <c r="B71" s="68" t="n">
        <v>5</v>
      </c>
      <c r="C71" s="69" t="inlineStr">
        <is>
          <t>CTG17C04</t>
        </is>
      </c>
      <c r="D71" s="69" t="inlineStr">
        <is>
          <t>5.000</t>
        </is>
      </c>
      <c r="E71" s="69" t="inlineStr">
        <is>
          <t>Stryker Corporation</t>
        </is>
      </c>
      <c r="F71" s="69" t="inlineStr">
        <is>
          <t>LNCTG17C04-5.000</t>
        </is>
      </c>
      <c r="G71" s="70" t="n"/>
      <c r="H71" s="71" t="n">
        <v>39900000</v>
      </c>
      <c r="I71" s="71" t="n">
        <v>37155051.4900005</v>
      </c>
      <c r="J71" s="72" t="n">
        <v>4.16</v>
      </c>
      <c r="K71" s="69" t="inlineStr">
        <is>
          <t>Fixed rate</t>
        </is>
      </c>
      <c r="L71" s="68" t="n">
        <v>120</v>
      </c>
      <c r="M71" s="68" t="n">
        <v>13</v>
      </c>
      <c r="N71" s="68" t="n">
        <v>420</v>
      </c>
      <c r="O71" s="68" t="n">
        <v>60</v>
      </c>
      <c r="P71" s="68" t="n">
        <v>0</v>
      </c>
      <c r="Q71" s="68" t="n">
        <v>107</v>
      </c>
      <c r="R71" s="69" t="inlineStr">
        <is>
          <t>IO then Amort</t>
        </is>
      </c>
      <c r="S71" s="69" t="inlineStr">
        <is>
          <t>No</t>
        </is>
      </c>
      <c r="T71" s="73" t="n">
        <v>43009</v>
      </c>
      <c r="U71" s="73" t="n">
        <v>46666</v>
      </c>
      <c r="V71" s="73" t="n"/>
      <c r="W71" s="69" t="n"/>
      <c r="X71" s="69" t="inlineStr">
        <is>
          <t>Current</t>
        </is>
      </c>
      <c r="Y71" s="68" t="n"/>
      <c r="Z71" s="69" t="inlineStr">
        <is>
          <t>Defeasance Not Allowable</t>
        </is>
      </c>
      <c r="AA71" s="69" t="inlineStr">
        <is>
          <t>Previously</t>
        </is>
      </c>
      <c r="AB71" s="69" t="inlineStr">
        <is>
          <t>Never special serv</t>
        </is>
      </c>
      <c r="AC71" s="73" t="n"/>
      <c r="AD71" s="69" t="n"/>
      <c r="AE71" s="69" t="n"/>
      <c r="AF71" s="69" t="inlineStr">
        <is>
          <t>CA</t>
        </is>
      </c>
      <c r="AG71" s="69" t="inlineStr">
        <is>
          <t>San Jose</t>
        </is>
      </c>
      <c r="AH71" s="69" t="inlineStr">
        <is>
          <t>San Jose-Sunnyvale-Santa Clara, CA</t>
        </is>
      </c>
      <c r="AI71" s="69" t="inlineStr">
        <is>
          <t>West / Pacific North</t>
        </is>
      </c>
      <c r="AJ71" s="69" t="inlineStr">
        <is>
          <t>OF</t>
        </is>
      </c>
      <c r="AK71" s="69" t="inlineStr">
        <is>
          <t>Suburban</t>
        </is>
      </c>
      <c r="AL71" s="68" t="n">
        <v>1</v>
      </c>
      <c r="AM71" s="68" t="n"/>
      <c r="AN71" s="68" t="n">
        <v>191276</v>
      </c>
      <c r="AO71" s="69" t="inlineStr">
        <is>
          <t>2002</t>
        </is>
      </c>
      <c r="AP71" s="70" t="n">
        <v>2002</v>
      </c>
      <c r="AQ71" s="74" t="n">
        <v>1.99</v>
      </c>
      <c r="AR71" s="74" t="n">
        <v>2.51</v>
      </c>
      <c r="AS71" s="74" t="n">
        <v>65.40000000000001</v>
      </c>
      <c r="AT71" s="74" t="n">
        <v>60.91</v>
      </c>
      <c r="AU71" s="74" t="n">
        <v>59.5</v>
      </c>
      <c r="AV71" s="74" t="n">
        <v>11.610466165</v>
      </c>
      <c r="AW71" s="74" t="n">
        <v>13.080783999</v>
      </c>
      <c r="AX71" s="75" t="n">
        <v>100</v>
      </c>
      <c r="AY71" s="71" t="n">
        <v>61000000</v>
      </c>
      <c r="AZ71" s="71" t="n">
        <v>61000000</v>
      </c>
      <c r="BA71" s="71" t="n">
        <v>4632576</v>
      </c>
      <c r="BB71" s="71" t="n">
        <v>1462967.14</v>
      </c>
      <c r="BC71" s="69" t="inlineStr">
        <is>
          <t>Recapitalization</t>
        </is>
      </c>
      <c r="BD71" s="69" t="inlineStr">
        <is>
          <t>N</t>
        </is>
      </c>
      <c r="BE71" s="71" t="n"/>
      <c r="BF71" s="71" t="n"/>
      <c r="BG71" s="71" t="n"/>
      <c r="BH71" s="71" t="n">
        <v>0</v>
      </c>
      <c r="BI71" s="71" t="n">
        <v>0</v>
      </c>
      <c r="BJ71" s="69" t="inlineStr">
        <is>
          <t>N</t>
        </is>
      </c>
      <c r="BK71" s="69" t="inlineStr">
        <is>
          <t>Stryker Corporation</t>
        </is>
      </c>
      <c r="BL71" s="75" t="n">
        <v>100</v>
      </c>
      <c r="BM71" s="73" t="n">
        <v>46843</v>
      </c>
      <c r="BN71" s="69" t="inlineStr">
        <is>
          <t>AG Net Lease III Corp. and AG Net Lease III (SO) Corp.</t>
        </is>
      </c>
      <c r="BO71" s="69" t="inlineStr">
        <is>
          <t>GACC</t>
        </is>
      </c>
      <c r="BP71" s="69" t="inlineStr">
        <is>
          <t>Midland Loan Services</t>
        </is>
      </c>
      <c r="BQ71" s="69" t="inlineStr">
        <is>
          <t>Midland Loan Services</t>
        </is>
      </c>
      <c r="BR71" s="69" t="n"/>
      <c r="BS71" s="73" t="n">
        <v>46273</v>
      </c>
      <c r="BU71" s="76">
        <f>IF($C71="","",IFERROR(INDEX(dmName,MATCH($C71,dmID,0)),"Unmapped"))</f>
        <v/>
      </c>
      <c r="BV71" s="76">
        <f>IF($C71="","",IFERROR(INDEX(dmEntity,MATCH($C71,dmID,0)),"Unmapped"))</f>
        <v/>
      </c>
      <c r="BW71" s="77">
        <f>IF($C71="","",IFERROR(INDEX(dmVintage,MATCH($C71,dmID,0)),""))</f>
        <v/>
      </c>
      <c r="BX71" s="78">
        <f>IFERROR(INDEX(dmInclude,MATCH($C71,dmID,0)),0)</f>
        <v/>
      </c>
      <c r="BY71" s="78">
        <f>IF(N($I71)&gt;0,1,0)</f>
        <v/>
      </c>
      <c r="BZ71" s="76">
        <f>IF($AJ71="","Other / Leased Fee",IFERROR(INDEX(mapPTGroup,MATCH(LEFT(TRIM($AJ71),2),mapPTCode,0)),"Other / Leased Fee"))</f>
        <v/>
      </c>
      <c r="CA71" s="76">
        <f>IF(TRIM($AF71&amp;"")="","NR",LEFT(TRIM($AF71),2))</f>
        <v/>
      </c>
      <c r="CB71" s="76">
        <f>IFERROR(LOOKUP(2,1/(LEFT(TRIM($AI71&amp;""),LEN(mapRegion))=mapRegion),mapRegion),"Not Reported")</f>
        <v/>
      </c>
      <c r="CC71" s="76">
        <f>IF($BY71=0,"",IF(TRIM($W71&amp;"")="REO","REO",IF(TRIM($W71&amp;"")="FC","Foreclosure",IF(TRIM($W71&amp;"")="90+","90+ Days Delinquent",IF(TRIM($W71&amp;"")="60","60 Days Delinquent",IF(TRIM($W71&amp;"")="30","30 Days Delinquent",IF($X71="Non-Performing Matured Balloon","Non-Performing Matured Balloon",IF(OR($X71="Late Payment But Less Than 30 Days Delinquent",LEFT($X71&amp;"",20)="Payment Not Received"),"Late / In Grace (&lt;30 Days)",IF($X71="Performing Matured Balloon","Performing Matured Balloon","Current")))))))))</f>
        <v/>
      </c>
      <c r="CD71" s="78">
        <f>IF(OR($CC71="REO",$CC71="Foreclosure",$CC71="90+ Days Delinquent",$CC71="60 Days Delinquent",$CC71="30 Days Delinquent",$CC71="Non-Performing Matured Balloon"),1,0)</f>
        <v/>
      </c>
      <c r="CE71" s="76">
        <f>IF($AB71="Currently special serv","Currently Specially Serviced",IF($AB71="Returned to master serv","Previously Specially Serviced","Never Specially Serviced"))</f>
        <v/>
      </c>
      <c r="CF71" s="78">
        <f>IF($CE71="Currently Specially Serviced",1,0)</f>
        <v/>
      </c>
      <c r="CG71" s="76">
        <f>IF($AA71="Yes","Currently on Watchlist",IF($AA71="Previously","Previously on Watchlist","Never on Watchlist"))</f>
        <v/>
      </c>
      <c r="CH71" s="78">
        <f>IF($CG71="Currently on Watchlist",1,0)</f>
        <v/>
      </c>
      <c r="CI71" s="76">
        <f>IF($Z71="Full Defeasance","Fully Defeased",IF($Z71="Portion Of Loan Previously Defeased","Partially Defeased",IF($Z71="Defeasance Not Allowable","Not Defeased (Not Permitted)","Not Defeased")))</f>
        <v/>
      </c>
      <c r="CJ71" s="78">
        <f>IF($CI71="Fully Defeased",1,0)</f>
        <v/>
      </c>
      <c r="CK71" s="76">
        <f>IF($R71="IO","Full IO",IF(LEFT($R71&amp;"",7)="IO then","Partial IO","Amortizing"))</f>
        <v/>
      </c>
      <c r="CL71" s="78">
        <f>IF($CK71="Full IO",1,0)</f>
        <v/>
      </c>
      <c r="CM71" s="78">
        <f>IF($CK71="Partial IO",1,0)</f>
        <v/>
      </c>
      <c r="CN71" s="76">
        <f>IF(LEFT($F71&amp;"",10)="SPLIT_LOAN","Pari Passu Split","Standalone")</f>
        <v/>
      </c>
      <c r="CO71" s="78">
        <f>IF($CN71="Pari Passu Split",1,0)</f>
        <v/>
      </c>
      <c r="CP71" s="77">
        <f>IF(ISNUMBER($T71),YEAR($T71),"")</f>
        <v/>
      </c>
      <c r="CQ71" s="79">
        <f>IF(ISNUMBER($V71),$V71,IF(ISNUMBER($U71),$U71,""))</f>
        <v/>
      </c>
      <c r="CR71" s="77">
        <f>IF(ISNUMBER($CQ71),YEAR($CQ71),"")</f>
        <v/>
      </c>
      <c r="CS71" s="78">
        <f>IF(ISNUMBER($M71),MAX(0,$M71),IF(TRIM($M71&amp;"")="matured",0,""))</f>
        <v/>
      </c>
      <c r="CT71" s="78">
        <f>IF(AND(ISNUMBER($CS71),N($CS71)&lt;=mMatWindow),1,0)</f>
        <v/>
      </c>
      <c r="CU71" s="80">
        <f>IF(ISNUMBER($J71),$J71/100,"")</f>
        <v/>
      </c>
      <c r="CV71" s="81">
        <f>IF(ISNUMBER($AQ71),$AQ71,"")</f>
        <v/>
      </c>
      <c r="CW71" s="81">
        <f>IF(ISNUMBER($AR71),$AR71,"")</f>
        <v/>
      </c>
      <c r="CX71" s="82">
        <f>IF(ISNUMBER($AS71),$AS71/100,"")</f>
        <v/>
      </c>
      <c r="CY71" s="82">
        <f>IF(ISNUMBER($AT71),$AT71/100,"")</f>
        <v/>
      </c>
      <c r="CZ71" s="82">
        <f>IF(ISNUMBER($AU71),$AU71/100,"")</f>
        <v/>
      </c>
      <c r="DA71" s="82">
        <f>IF(ISNUMBER($AV71),$AV71/100,"")</f>
        <v/>
      </c>
      <c r="DB71" s="82">
        <f>IF(ISNUMBER($AW71),$AW71/100,"")</f>
        <v/>
      </c>
      <c r="DC71" s="82">
        <f>IF(ISNUMBER($AX71),$AX71/100,"")</f>
        <v/>
      </c>
      <c r="DD71" s="77">
        <f>IFERROR(VALUE(LEFT(TRIM($AO71&amp;""),4)),"")</f>
        <v/>
      </c>
      <c r="DE71" s="78">
        <f>IF(AND($BY71=1,$BX71=1,OR(fDeal="All Deals",$BU71=fDeal),OR(fEntity="All Entities",$BV71=fEntity),OR(fPType="All Property Types",$BZ71=fPType),OR(fDefeased="Include",$CJ71=0)),1,0)</f>
        <v/>
      </c>
      <c r="DF71" s="83">
        <f>$DE71*N($I71)</f>
        <v/>
      </c>
      <c r="DG71" s="78">
        <f>IF($DE71=1,IF(COUNTIFS($F$8:$F71,$F71,$DE$8:$DE71,1)=1,1,0),0)</f>
        <v/>
      </c>
      <c r="DH71" s="83">
        <f>IF($DG71=1,SUMIFS($DF$8:$DF$1600,$F$8:$F$1600,$F71),0)</f>
        <v/>
      </c>
      <c r="DI71" s="78">
        <f>IF($DG71=1,COUNTIFS($F$8:$F$1600,$F71,$DE$8:$DE$1600,1),0)</f>
        <v/>
      </c>
      <c r="DJ71" s="84">
        <f>IF($DG71=1,$DH71+(100000-ROW())/mTieBreak,0)</f>
        <v/>
      </c>
    </row>
    <row r="72">
      <c r="B72" s="68" t="n">
        <v>6</v>
      </c>
      <c r="C72" s="69" t="inlineStr">
        <is>
          <t>CTG17C04</t>
        </is>
      </c>
      <c r="D72" s="69" t="inlineStr">
        <is>
          <t>6.000</t>
        </is>
      </c>
      <c r="E72" s="69" t="inlineStr">
        <is>
          <t>Marriott LAX</t>
        </is>
      </c>
      <c r="F72" s="69" t="inlineStr">
        <is>
          <t>SPLIT_LOAN_01023</t>
        </is>
      </c>
      <c r="G72" s="70" t="n">
        <v>1023</v>
      </c>
      <c r="H72" s="71" t="n">
        <v>40000000</v>
      </c>
      <c r="I72" s="71" t="n">
        <v>33459494.17</v>
      </c>
      <c r="J72" s="72" t="n">
        <v>5.114</v>
      </c>
      <c r="K72" s="69" t="inlineStr">
        <is>
          <t>Fixed rate</t>
        </is>
      </c>
      <c r="L72" s="68" t="n">
        <v>120</v>
      </c>
      <c r="M72" s="68" t="n">
        <v>6</v>
      </c>
      <c r="N72" s="68" t="n">
        <v>360</v>
      </c>
      <c r="O72" s="68" t="n"/>
      <c r="P72" s="68" t="n"/>
      <c r="Q72" s="68" t="n">
        <v>114</v>
      </c>
      <c r="R72" s="69" t="n"/>
      <c r="S72" s="69" t="inlineStr">
        <is>
          <t>No</t>
        </is>
      </c>
      <c r="T72" s="73" t="n">
        <v>42795</v>
      </c>
      <c r="U72" s="73" t="n">
        <v>46452</v>
      </c>
      <c r="V72" s="73" t="n"/>
      <c r="W72" s="69" t="n"/>
      <c r="X72" s="69" t="inlineStr">
        <is>
          <t>Current</t>
        </is>
      </c>
      <c r="Y72" s="68" t="n"/>
      <c r="Z72" s="69" t="inlineStr">
        <is>
          <t>No Defeasance Occurred</t>
        </is>
      </c>
      <c r="AA72" s="69" t="inlineStr">
        <is>
          <t>Yes</t>
        </is>
      </c>
      <c r="AB72" s="69" t="inlineStr">
        <is>
          <t>Returned to master serv</t>
        </is>
      </c>
      <c r="AC72" s="73" t="n"/>
      <c r="AD72" s="69" t="inlineStr">
        <is>
          <t>Payment Default (all payments excluding Balloon/Maturity Payment)</t>
        </is>
      </c>
      <c r="AE72" s="69" t="inlineStr">
        <is>
          <t>Resolved</t>
        </is>
      </c>
      <c r="AF72" s="69" t="inlineStr">
        <is>
          <t>CA</t>
        </is>
      </c>
      <c r="AG72" s="69" t="inlineStr">
        <is>
          <t>Los Angeles</t>
        </is>
      </c>
      <c r="AH72" s="69" t="inlineStr">
        <is>
          <t>Los Angeles-Long Beach-Anaheim, CA</t>
        </is>
      </c>
      <c r="AI72" s="69" t="inlineStr">
        <is>
          <t>West / Pacific South</t>
        </is>
      </c>
      <c r="AJ72" s="69" t="inlineStr">
        <is>
          <t>HT</t>
        </is>
      </c>
      <c r="AK72" s="69" t="inlineStr">
        <is>
          <t>Full Service</t>
        </is>
      </c>
      <c r="AL72" s="68" t="n">
        <v>1</v>
      </c>
      <c r="AM72" s="68" t="n">
        <v>1004</v>
      </c>
      <c r="AN72" s="68" t="n"/>
      <c r="AO72" s="69" t="inlineStr">
        <is>
          <t>1973</t>
        </is>
      </c>
      <c r="AP72" s="70" t="n">
        <v>2017</v>
      </c>
      <c r="AQ72" s="74" t="n">
        <v>1.72</v>
      </c>
      <c r="AR72" s="74" t="n">
        <v>0.76</v>
      </c>
      <c r="AS72" s="74" t="n">
        <v>48.31</v>
      </c>
      <c r="AT72" s="74" t="n">
        <v>67.31</v>
      </c>
      <c r="AU72" s="74" t="n">
        <v>40.18</v>
      </c>
      <c r="AV72" s="74" t="n">
        <v>11.250218191</v>
      </c>
      <c r="AW72" s="74" t="n">
        <v>5.694528843</v>
      </c>
      <c r="AX72" s="75" t="n">
        <v>74</v>
      </c>
      <c r="AY72" s="71" t="n">
        <v>300800000</v>
      </c>
      <c r="AZ72" s="71" t="n">
        <v>182000000</v>
      </c>
      <c r="BA72" s="71" t="n">
        <v>16475944.54</v>
      </c>
      <c r="BB72" s="71" t="n">
        <v>7228707.88</v>
      </c>
      <c r="BC72" s="69" t="inlineStr">
        <is>
          <t>Refinance</t>
        </is>
      </c>
      <c r="BD72" s="69" t="inlineStr">
        <is>
          <t>N</t>
        </is>
      </c>
      <c r="BE72" s="71" t="n">
        <v>89044078.86</v>
      </c>
      <c r="BF72" s="71" t="n"/>
      <c r="BG72" s="71" t="n"/>
      <c r="BH72" s="71" t="n">
        <v>0</v>
      </c>
      <c r="BI72" s="71" t="n">
        <v>0</v>
      </c>
      <c r="BJ72" s="69" t="inlineStr">
        <is>
          <t>Y</t>
        </is>
      </c>
      <c r="BK72" s="69" t="n"/>
      <c r="BL72" s="75" t="n"/>
      <c r="BM72" s="73" t="n"/>
      <c r="BN72" s="69" t="inlineStr">
        <is>
          <t>XLD Group N.A. Real Estate Development, Inc.</t>
        </is>
      </c>
      <c r="BO72" s="69" t="inlineStr">
        <is>
          <t>Ladder Capital Finance</t>
        </is>
      </c>
      <c r="BP72" s="69" t="inlineStr">
        <is>
          <t>Midland Loan Services</t>
        </is>
      </c>
      <c r="BQ72" s="69" t="inlineStr">
        <is>
          <t>Midland Loan Services</t>
        </is>
      </c>
      <c r="BR72" s="69" t="n"/>
      <c r="BS72" s="73" t="n">
        <v>46273</v>
      </c>
      <c r="BU72" s="76">
        <f>IF($C72="","",IFERROR(INDEX(dmName,MATCH($C72,dmID,0)),"Unmapped"))</f>
        <v/>
      </c>
      <c r="BV72" s="76">
        <f>IF($C72="","",IFERROR(INDEX(dmEntity,MATCH($C72,dmID,0)),"Unmapped"))</f>
        <v/>
      </c>
      <c r="BW72" s="77">
        <f>IF($C72="","",IFERROR(INDEX(dmVintage,MATCH($C72,dmID,0)),""))</f>
        <v/>
      </c>
      <c r="BX72" s="78">
        <f>IFERROR(INDEX(dmInclude,MATCH($C72,dmID,0)),0)</f>
        <v/>
      </c>
      <c r="BY72" s="78">
        <f>IF(N($I72)&gt;0,1,0)</f>
        <v/>
      </c>
      <c r="BZ72" s="76">
        <f>IF($AJ72="","Other / Leased Fee",IFERROR(INDEX(mapPTGroup,MATCH(LEFT(TRIM($AJ72),2),mapPTCode,0)),"Other / Leased Fee"))</f>
        <v/>
      </c>
      <c r="CA72" s="76">
        <f>IF(TRIM($AF72&amp;"")="","NR",LEFT(TRIM($AF72),2))</f>
        <v/>
      </c>
      <c r="CB72" s="76">
        <f>IFERROR(LOOKUP(2,1/(LEFT(TRIM($AI72&amp;""),LEN(mapRegion))=mapRegion),mapRegion),"Not Reported")</f>
        <v/>
      </c>
      <c r="CC72" s="76">
        <f>IF($BY72=0,"",IF(TRIM($W72&amp;"")="REO","REO",IF(TRIM($W72&amp;"")="FC","Foreclosure",IF(TRIM($W72&amp;"")="90+","90+ Days Delinquent",IF(TRIM($W72&amp;"")="60","60 Days Delinquent",IF(TRIM($W72&amp;"")="30","30 Days Delinquent",IF($X72="Non-Performing Matured Balloon","Non-Performing Matured Balloon",IF(OR($X72="Late Payment But Less Than 30 Days Delinquent",LEFT($X72&amp;"",20)="Payment Not Received"),"Late / In Grace (&lt;30 Days)",IF($X72="Performing Matured Balloon","Performing Matured Balloon","Current")))))))))</f>
        <v/>
      </c>
      <c r="CD72" s="78">
        <f>IF(OR($CC72="REO",$CC72="Foreclosure",$CC72="90+ Days Delinquent",$CC72="60 Days Delinquent",$CC72="30 Days Delinquent",$CC72="Non-Performing Matured Balloon"),1,0)</f>
        <v/>
      </c>
      <c r="CE72" s="76">
        <f>IF($AB72="Currently special serv","Currently Specially Serviced",IF($AB72="Returned to master serv","Previously Specially Serviced","Never Specially Serviced"))</f>
        <v/>
      </c>
      <c r="CF72" s="78">
        <f>IF($CE72="Currently Specially Serviced",1,0)</f>
        <v/>
      </c>
      <c r="CG72" s="76">
        <f>IF($AA72="Yes","Currently on Watchlist",IF($AA72="Previously","Previously on Watchlist","Never on Watchlist"))</f>
        <v/>
      </c>
      <c r="CH72" s="78">
        <f>IF($CG72="Currently on Watchlist",1,0)</f>
        <v/>
      </c>
      <c r="CI72" s="76">
        <f>IF($Z72="Full Defeasance","Fully Defeased",IF($Z72="Portion Of Loan Previously Defeased","Partially Defeased",IF($Z72="Defeasance Not Allowable","Not Defeased (Not Permitted)","Not Defeased")))</f>
        <v/>
      </c>
      <c r="CJ72" s="78">
        <f>IF($CI72="Fully Defeased",1,0)</f>
        <v/>
      </c>
      <c r="CK72" s="76">
        <f>IF($R72="IO","Full IO",IF(LEFT($R72&amp;"",7)="IO then","Partial IO","Amortizing"))</f>
        <v/>
      </c>
      <c r="CL72" s="78">
        <f>IF($CK72="Full IO",1,0)</f>
        <v/>
      </c>
      <c r="CM72" s="78">
        <f>IF($CK72="Partial IO",1,0)</f>
        <v/>
      </c>
      <c r="CN72" s="76">
        <f>IF(LEFT($F72&amp;"",10)="SPLIT_LOAN","Pari Passu Split","Standalone")</f>
        <v/>
      </c>
      <c r="CO72" s="78">
        <f>IF($CN72="Pari Passu Split",1,0)</f>
        <v/>
      </c>
      <c r="CP72" s="77">
        <f>IF(ISNUMBER($T72),YEAR($T72),"")</f>
        <v/>
      </c>
      <c r="CQ72" s="79">
        <f>IF(ISNUMBER($V72),$V72,IF(ISNUMBER($U72),$U72,""))</f>
        <v/>
      </c>
      <c r="CR72" s="77">
        <f>IF(ISNUMBER($CQ72),YEAR($CQ72),"")</f>
        <v/>
      </c>
      <c r="CS72" s="78">
        <f>IF(ISNUMBER($M72),MAX(0,$M72),IF(TRIM($M72&amp;"")="matured",0,""))</f>
        <v/>
      </c>
      <c r="CT72" s="78">
        <f>IF(AND(ISNUMBER($CS72),N($CS72)&lt;=mMatWindow),1,0)</f>
        <v/>
      </c>
      <c r="CU72" s="80">
        <f>IF(ISNUMBER($J72),$J72/100,"")</f>
        <v/>
      </c>
      <c r="CV72" s="81">
        <f>IF(ISNUMBER($AQ72),$AQ72,"")</f>
        <v/>
      </c>
      <c r="CW72" s="81">
        <f>IF(ISNUMBER($AR72),$AR72,"")</f>
        <v/>
      </c>
      <c r="CX72" s="82">
        <f>IF(ISNUMBER($AS72),$AS72/100,"")</f>
        <v/>
      </c>
      <c r="CY72" s="82">
        <f>IF(ISNUMBER($AT72),$AT72/100,"")</f>
        <v/>
      </c>
      <c r="CZ72" s="82">
        <f>IF(ISNUMBER($AU72),$AU72/100,"")</f>
        <v/>
      </c>
      <c r="DA72" s="82">
        <f>IF(ISNUMBER($AV72),$AV72/100,"")</f>
        <v/>
      </c>
      <c r="DB72" s="82">
        <f>IF(ISNUMBER($AW72),$AW72/100,"")</f>
        <v/>
      </c>
      <c r="DC72" s="82">
        <f>IF(ISNUMBER($AX72),$AX72/100,"")</f>
        <v/>
      </c>
      <c r="DD72" s="77">
        <f>IFERROR(VALUE(LEFT(TRIM($AO72&amp;""),4)),"")</f>
        <v/>
      </c>
      <c r="DE72" s="78">
        <f>IF(AND($BY72=1,$BX72=1,OR(fDeal="All Deals",$BU72=fDeal),OR(fEntity="All Entities",$BV72=fEntity),OR(fPType="All Property Types",$BZ72=fPType),OR(fDefeased="Include",$CJ72=0)),1,0)</f>
        <v/>
      </c>
      <c r="DF72" s="83">
        <f>$DE72*N($I72)</f>
        <v/>
      </c>
      <c r="DG72" s="78">
        <f>IF($DE72=1,IF(COUNTIFS($F$8:$F72,$F72,$DE$8:$DE72,1)=1,1,0),0)</f>
        <v/>
      </c>
      <c r="DH72" s="83">
        <f>IF($DG72=1,SUMIFS($DF$8:$DF$1600,$F$8:$F$1600,$F72),0)</f>
        <v/>
      </c>
      <c r="DI72" s="78">
        <f>IF($DG72=1,COUNTIFS($F$8:$F$1600,$F72,$DE$8:$DE$1600,1),0)</f>
        <v/>
      </c>
      <c r="DJ72" s="84">
        <f>IF($DG72=1,$DH72+(100000-ROW())/mTieBreak,0)</f>
        <v/>
      </c>
    </row>
    <row r="73">
      <c r="B73" s="68" t="n">
        <v>7</v>
      </c>
      <c r="C73" s="69" t="inlineStr">
        <is>
          <t>CTG17C04</t>
        </is>
      </c>
      <c r="D73" s="69" t="inlineStr">
        <is>
          <t>7.000</t>
        </is>
      </c>
      <c r="E73" s="69" t="inlineStr">
        <is>
          <t>Hyatt Regency Louisville</t>
        </is>
      </c>
      <c r="F73" s="69" t="inlineStr">
        <is>
          <t>LNCTG17C04-7.000</t>
        </is>
      </c>
      <c r="G73" s="70" t="n"/>
      <c r="H73" s="71" t="n">
        <v>38540000</v>
      </c>
      <c r="I73" s="71" t="n">
        <v>37097789.9299858</v>
      </c>
      <c r="J73" s="72" t="n">
        <v>4.04</v>
      </c>
      <c r="K73" s="69" t="inlineStr">
        <is>
          <t>Fixed rate</t>
        </is>
      </c>
      <c r="L73" s="68" t="n">
        <v>120</v>
      </c>
      <c r="M73" s="68" t="n">
        <v>10</v>
      </c>
      <c r="N73" s="68" t="n">
        <v>444</v>
      </c>
      <c r="O73" s="68" t="n">
        <v>84</v>
      </c>
      <c r="P73" s="68" t="n">
        <v>0</v>
      </c>
      <c r="Q73" s="68" t="n">
        <v>110</v>
      </c>
      <c r="R73" s="69" t="inlineStr">
        <is>
          <t>IO then Amort</t>
        </is>
      </c>
      <c r="S73" s="69" t="inlineStr">
        <is>
          <t>No</t>
        </is>
      </c>
      <c r="T73" s="73" t="n">
        <v>42917</v>
      </c>
      <c r="U73" s="73" t="n">
        <v>46574</v>
      </c>
      <c r="V73" s="73" t="n"/>
      <c r="W73" s="69" t="n"/>
      <c r="X73" s="69" t="inlineStr">
        <is>
          <t>Current</t>
        </is>
      </c>
      <c r="Y73" s="68" t="n"/>
      <c r="Z73" s="69" t="inlineStr">
        <is>
          <t>Defeasance Not Allowable</t>
        </is>
      </c>
      <c r="AA73" s="69" t="inlineStr">
        <is>
          <t>Yes</t>
        </is>
      </c>
      <c r="AB73" s="69" t="inlineStr">
        <is>
          <t>Never special serv</t>
        </is>
      </c>
      <c r="AC73" s="73" t="n"/>
      <c r="AD73" s="69" t="n"/>
      <c r="AE73" s="69" t="n"/>
      <c r="AF73" s="69" t="inlineStr">
        <is>
          <t>KY</t>
        </is>
      </c>
      <c r="AG73" s="69" t="inlineStr">
        <is>
          <t>Louisville</t>
        </is>
      </c>
      <c r="AH73" s="69" t="inlineStr">
        <is>
          <t>Louisville/Jefferson County, KY-IN</t>
        </is>
      </c>
      <c r="AI73" s="69" t="inlineStr">
        <is>
          <t>South / Central East</t>
        </is>
      </c>
      <c r="AJ73" s="69" t="inlineStr">
        <is>
          <t>HT</t>
        </is>
      </c>
      <c r="AK73" s="69" t="inlineStr">
        <is>
          <t>Full Service</t>
        </is>
      </c>
      <c r="AL73" s="68" t="n">
        <v>1</v>
      </c>
      <c r="AM73" s="68" t="n">
        <v>393</v>
      </c>
      <c r="AN73" s="68" t="n"/>
      <c r="AO73" s="69" t="inlineStr">
        <is>
          <t>1978</t>
        </is>
      </c>
      <c r="AP73" s="70" t="n">
        <v>2016</v>
      </c>
      <c r="AQ73" s="74" t="n">
        <v>2.14</v>
      </c>
      <c r="AR73" s="74" t="n">
        <v>2.33</v>
      </c>
      <c r="AS73" s="74" t="n">
        <v>54.7</v>
      </c>
      <c r="AT73" s="74" t="n">
        <v>52.62</v>
      </c>
      <c r="AU73" s="74" t="n">
        <v>51.8</v>
      </c>
      <c r="AV73" s="74" t="n">
        <v>12.298134406</v>
      </c>
      <c r="AW73" s="74" t="n">
        <v>12.029824225</v>
      </c>
      <c r="AX73" s="75" t="n">
        <v>65</v>
      </c>
      <c r="AY73" s="71" t="n">
        <v>70500000</v>
      </c>
      <c r="AZ73" s="71" t="n">
        <v>70500000</v>
      </c>
      <c r="BA73" s="71" t="n">
        <v>4739701</v>
      </c>
      <c r="BB73" s="71" t="n">
        <v>5162233.04</v>
      </c>
      <c r="BC73" s="69" t="inlineStr">
        <is>
          <t>Acquisition</t>
        </is>
      </c>
      <c r="BD73" s="69" t="inlineStr">
        <is>
          <t>N</t>
        </is>
      </c>
      <c r="BE73" s="71" t="n"/>
      <c r="BF73" s="71" t="n"/>
      <c r="BG73" s="71" t="n"/>
      <c r="BH73" s="71" t="n">
        <v>0</v>
      </c>
      <c r="BI73" s="71" t="n">
        <v>0</v>
      </c>
      <c r="BJ73" s="69" t="inlineStr">
        <is>
          <t>N</t>
        </is>
      </c>
      <c r="BK73" s="69" t="n"/>
      <c r="BL73" s="75" t="n"/>
      <c r="BM73" s="73" t="n"/>
      <c r="BN73" s="69" t="inlineStr">
        <is>
          <t>Pios Grande Holdings LLC</t>
        </is>
      </c>
      <c r="BO73" s="69" t="inlineStr">
        <is>
          <t>GACC</t>
        </is>
      </c>
      <c r="BP73" s="69" t="inlineStr">
        <is>
          <t>Midland Loan Services</t>
        </is>
      </c>
      <c r="BQ73" s="69" t="inlineStr">
        <is>
          <t>Midland Loan Services</t>
        </is>
      </c>
      <c r="BR73" s="69" t="n"/>
      <c r="BS73" s="73" t="n">
        <v>46273</v>
      </c>
      <c r="BU73" s="76">
        <f>IF($C73="","",IFERROR(INDEX(dmName,MATCH($C73,dmID,0)),"Unmapped"))</f>
        <v/>
      </c>
      <c r="BV73" s="76">
        <f>IF($C73="","",IFERROR(INDEX(dmEntity,MATCH($C73,dmID,0)),"Unmapped"))</f>
        <v/>
      </c>
      <c r="BW73" s="77">
        <f>IF($C73="","",IFERROR(INDEX(dmVintage,MATCH($C73,dmID,0)),""))</f>
        <v/>
      </c>
      <c r="BX73" s="78">
        <f>IFERROR(INDEX(dmInclude,MATCH($C73,dmID,0)),0)</f>
        <v/>
      </c>
      <c r="BY73" s="78">
        <f>IF(N($I73)&gt;0,1,0)</f>
        <v/>
      </c>
      <c r="BZ73" s="76">
        <f>IF($AJ73="","Other / Leased Fee",IFERROR(INDEX(mapPTGroup,MATCH(LEFT(TRIM($AJ73),2),mapPTCode,0)),"Other / Leased Fee"))</f>
        <v/>
      </c>
      <c r="CA73" s="76">
        <f>IF(TRIM($AF73&amp;"")="","NR",LEFT(TRIM($AF73),2))</f>
        <v/>
      </c>
      <c r="CB73" s="76">
        <f>IFERROR(LOOKUP(2,1/(LEFT(TRIM($AI73&amp;""),LEN(mapRegion))=mapRegion),mapRegion),"Not Reported")</f>
        <v/>
      </c>
      <c r="CC73" s="76">
        <f>IF($BY73=0,"",IF(TRIM($W73&amp;"")="REO","REO",IF(TRIM($W73&amp;"")="FC","Foreclosure",IF(TRIM($W73&amp;"")="90+","90+ Days Delinquent",IF(TRIM($W73&amp;"")="60","60 Days Delinquent",IF(TRIM($W73&amp;"")="30","30 Days Delinquent",IF($X73="Non-Performing Matured Balloon","Non-Performing Matured Balloon",IF(OR($X73="Late Payment But Less Than 30 Days Delinquent",LEFT($X73&amp;"",20)="Payment Not Received"),"Late / In Grace (&lt;30 Days)",IF($X73="Performing Matured Balloon","Performing Matured Balloon","Current")))))))))</f>
        <v/>
      </c>
      <c r="CD73" s="78">
        <f>IF(OR($CC73="REO",$CC73="Foreclosure",$CC73="90+ Days Delinquent",$CC73="60 Days Delinquent",$CC73="30 Days Delinquent",$CC73="Non-Performing Matured Balloon"),1,0)</f>
        <v/>
      </c>
      <c r="CE73" s="76">
        <f>IF($AB73="Currently special serv","Currently Specially Serviced",IF($AB73="Returned to master serv","Previously Specially Serviced","Never Specially Serviced"))</f>
        <v/>
      </c>
      <c r="CF73" s="78">
        <f>IF($CE73="Currently Specially Serviced",1,0)</f>
        <v/>
      </c>
      <c r="CG73" s="76">
        <f>IF($AA73="Yes","Currently on Watchlist",IF($AA73="Previously","Previously on Watchlist","Never on Watchlist"))</f>
        <v/>
      </c>
      <c r="CH73" s="78">
        <f>IF($CG73="Currently on Watchlist",1,0)</f>
        <v/>
      </c>
      <c r="CI73" s="76">
        <f>IF($Z73="Full Defeasance","Fully Defeased",IF($Z73="Portion Of Loan Previously Defeased","Partially Defeased",IF($Z73="Defeasance Not Allowable","Not Defeased (Not Permitted)","Not Defeased")))</f>
        <v/>
      </c>
      <c r="CJ73" s="78">
        <f>IF($CI73="Fully Defeased",1,0)</f>
        <v/>
      </c>
      <c r="CK73" s="76">
        <f>IF($R73="IO","Full IO",IF(LEFT($R73&amp;"",7)="IO then","Partial IO","Amortizing"))</f>
        <v/>
      </c>
      <c r="CL73" s="78">
        <f>IF($CK73="Full IO",1,0)</f>
        <v/>
      </c>
      <c r="CM73" s="78">
        <f>IF($CK73="Partial IO",1,0)</f>
        <v/>
      </c>
      <c r="CN73" s="76">
        <f>IF(LEFT($F73&amp;"",10)="SPLIT_LOAN","Pari Passu Split","Standalone")</f>
        <v/>
      </c>
      <c r="CO73" s="78">
        <f>IF($CN73="Pari Passu Split",1,0)</f>
        <v/>
      </c>
      <c r="CP73" s="77">
        <f>IF(ISNUMBER($T73),YEAR($T73),"")</f>
        <v/>
      </c>
      <c r="CQ73" s="79">
        <f>IF(ISNUMBER($V73),$V73,IF(ISNUMBER($U73),$U73,""))</f>
        <v/>
      </c>
      <c r="CR73" s="77">
        <f>IF(ISNUMBER($CQ73),YEAR($CQ73),"")</f>
        <v/>
      </c>
      <c r="CS73" s="78">
        <f>IF(ISNUMBER($M73),MAX(0,$M73),IF(TRIM($M73&amp;"")="matured",0,""))</f>
        <v/>
      </c>
      <c r="CT73" s="78">
        <f>IF(AND(ISNUMBER($CS73),N($CS73)&lt;=mMatWindow),1,0)</f>
        <v/>
      </c>
      <c r="CU73" s="80">
        <f>IF(ISNUMBER($J73),$J73/100,"")</f>
        <v/>
      </c>
      <c r="CV73" s="81">
        <f>IF(ISNUMBER($AQ73),$AQ73,"")</f>
        <v/>
      </c>
      <c r="CW73" s="81">
        <f>IF(ISNUMBER($AR73),$AR73,"")</f>
        <v/>
      </c>
      <c r="CX73" s="82">
        <f>IF(ISNUMBER($AS73),$AS73/100,"")</f>
        <v/>
      </c>
      <c r="CY73" s="82">
        <f>IF(ISNUMBER($AT73),$AT73/100,"")</f>
        <v/>
      </c>
      <c r="CZ73" s="82">
        <f>IF(ISNUMBER($AU73),$AU73/100,"")</f>
        <v/>
      </c>
      <c r="DA73" s="82">
        <f>IF(ISNUMBER($AV73),$AV73/100,"")</f>
        <v/>
      </c>
      <c r="DB73" s="82">
        <f>IF(ISNUMBER($AW73),$AW73/100,"")</f>
        <v/>
      </c>
      <c r="DC73" s="82">
        <f>IF(ISNUMBER($AX73),$AX73/100,"")</f>
        <v/>
      </c>
      <c r="DD73" s="77">
        <f>IFERROR(VALUE(LEFT(TRIM($AO73&amp;""),4)),"")</f>
        <v/>
      </c>
      <c r="DE73" s="78">
        <f>IF(AND($BY73=1,$BX73=1,OR(fDeal="All Deals",$BU73=fDeal),OR(fEntity="All Entities",$BV73=fEntity),OR(fPType="All Property Types",$BZ73=fPType),OR(fDefeased="Include",$CJ73=0)),1,0)</f>
        <v/>
      </c>
      <c r="DF73" s="83">
        <f>$DE73*N($I73)</f>
        <v/>
      </c>
      <c r="DG73" s="78">
        <f>IF($DE73=1,IF(COUNTIFS($F$8:$F73,$F73,$DE$8:$DE73,1)=1,1,0),0)</f>
        <v/>
      </c>
      <c r="DH73" s="83">
        <f>IF($DG73=1,SUMIFS($DF$8:$DF$1600,$F$8:$F$1600,$F73),0)</f>
        <v/>
      </c>
      <c r="DI73" s="78">
        <f>IF($DG73=1,COUNTIFS($F$8:$F$1600,$F73,$DE$8:$DE$1600,1),0)</f>
        <v/>
      </c>
      <c r="DJ73" s="84">
        <f>IF($DG73=1,$DH73+(100000-ROW())/mTieBreak,0)</f>
        <v/>
      </c>
    </row>
    <row r="74">
      <c r="B74" s="68" t="n">
        <v>8</v>
      </c>
      <c r="C74" s="69" t="inlineStr">
        <is>
          <t>CTG17C04</t>
        </is>
      </c>
      <c r="D74" s="69" t="inlineStr">
        <is>
          <t>8.000</t>
        </is>
      </c>
      <c r="E74" s="69" t="inlineStr">
        <is>
          <t>Corporate Woods Portfolio</t>
        </is>
      </c>
      <c r="F74" s="69" t="inlineStr">
        <is>
          <t>SPLIT_LOAN_01075</t>
        </is>
      </c>
      <c r="G74" s="70" t="n">
        <v>1075</v>
      </c>
      <c r="H74" s="71" t="n">
        <v>35625000</v>
      </c>
      <c r="I74" s="71" t="n">
        <v>29585122.86001312</v>
      </c>
      <c r="J74" s="72" t="n">
        <v>4.45</v>
      </c>
      <c r="K74" s="69" t="inlineStr">
        <is>
          <t>Fixed rate</t>
        </is>
      </c>
      <c r="L74" s="68" t="n">
        <v>120</v>
      </c>
      <c r="M74" s="68" t="n">
        <v>12</v>
      </c>
      <c r="N74" s="68" t="n">
        <v>360</v>
      </c>
      <c r="O74" s="68" t="n"/>
      <c r="P74" s="68" t="n"/>
      <c r="Q74" s="68" t="n">
        <v>108</v>
      </c>
      <c r="R74" s="69" t="n"/>
      <c r="S74" s="69" t="inlineStr">
        <is>
          <t>No</t>
        </is>
      </c>
      <c r="T74" s="73" t="n">
        <v>42979</v>
      </c>
      <c r="U74" s="73" t="n">
        <v>46636</v>
      </c>
      <c r="V74" s="73" t="n"/>
      <c r="W74" s="69" t="n"/>
      <c r="X74" s="69" t="inlineStr">
        <is>
          <t>Current</t>
        </is>
      </c>
      <c r="Y74" s="68" t="n"/>
      <c r="Z74" s="69" t="inlineStr">
        <is>
          <t>No Defeasance Occurred</t>
        </is>
      </c>
      <c r="AA74" s="69" t="inlineStr">
        <is>
          <t>Previously</t>
        </is>
      </c>
      <c r="AB74" s="69" t="inlineStr">
        <is>
          <t>Never special serv</t>
        </is>
      </c>
      <c r="AC74" s="73" t="n"/>
      <c r="AD74" s="69" t="n"/>
      <c r="AE74" s="69" t="n"/>
      <c r="AF74" s="69" t="inlineStr">
        <is>
          <t>KS</t>
        </is>
      </c>
      <c r="AG74" s="69" t="n"/>
      <c r="AH74" s="69" t="inlineStr">
        <is>
          <t>Kansas City, MO-KS</t>
        </is>
      </c>
      <c r="AI74" s="69" t="inlineStr">
        <is>
          <t>Midwest / Central West</t>
        </is>
      </c>
      <c r="AJ74" s="69" t="inlineStr">
        <is>
          <t>OF-97.766497734% RT-2.233502266%</t>
        </is>
      </c>
      <c r="AK74" s="69" t="n"/>
      <c r="AL74" s="68" t="n">
        <v>16</v>
      </c>
      <c r="AM74" s="68" t="n"/>
      <c r="AN74" s="68" t="n">
        <v>2033179</v>
      </c>
      <c r="AO74" s="69" t="n"/>
      <c r="AP74" s="70" t="n">
        <v>2001</v>
      </c>
      <c r="AQ74" s="74" t="n">
        <v>1.48</v>
      </c>
      <c r="AR74" s="74" t="n">
        <v>1.12</v>
      </c>
      <c r="AS74" s="74" t="n">
        <v>73.87</v>
      </c>
      <c r="AT74" s="74" t="n">
        <v>62.18</v>
      </c>
      <c r="AU74" s="74" t="n">
        <v>59.7</v>
      </c>
      <c r="AV74" s="74" t="n">
        <v>8.973149166000001</v>
      </c>
      <c r="AW74" s="74" t="n">
        <v>8.600503789999999</v>
      </c>
      <c r="AX74" s="75" t="n">
        <v>92.7</v>
      </c>
      <c r="AY74" s="71" t="n">
        <v>299100000</v>
      </c>
      <c r="AZ74" s="71" t="n">
        <v>295500000</v>
      </c>
      <c r="BA74" s="71" t="n">
        <v>19853092.53</v>
      </c>
      <c r="BB74" s="71" t="n">
        <v>14976840.78</v>
      </c>
      <c r="BC74" s="69" t="inlineStr">
        <is>
          <t>Acquisition</t>
        </is>
      </c>
      <c r="BD74" s="69" t="inlineStr">
        <is>
          <t>N</t>
        </is>
      </c>
      <c r="BE74" s="71" t="n">
        <v>154154061.22</v>
      </c>
      <c r="BF74" s="71" t="n"/>
      <c r="BG74" s="71" t="n"/>
      <c r="BH74" s="71" t="n">
        <v>0</v>
      </c>
      <c r="BI74" s="71" t="n">
        <v>0</v>
      </c>
      <c r="BJ74" s="69" t="inlineStr">
        <is>
          <t>N</t>
        </is>
      </c>
      <c r="BK74" s="69" t="inlineStr">
        <is>
          <t>PNC BANK SUITE 300</t>
        </is>
      </c>
      <c r="BL74" s="75" t="n">
        <v>7.21</v>
      </c>
      <c r="BM74" s="73" t="n">
        <v>47422</v>
      </c>
      <c r="BN74" s="69" t="inlineStr">
        <is>
          <t>Raymond Massa</t>
        </is>
      </c>
      <c r="BO74" s="69" t="inlineStr">
        <is>
          <t>Citigroup Global Markets</t>
        </is>
      </c>
      <c r="BP74" s="69" t="inlineStr">
        <is>
          <t>Midland Loan Services</t>
        </is>
      </c>
      <c r="BQ74" s="69" t="inlineStr">
        <is>
          <t>KeyBank National Association</t>
        </is>
      </c>
      <c r="BR74" s="69" t="n"/>
      <c r="BS74" s="73" t="n">
        <v>46273</v>
      </c>
      <c r="BU74" s="76">
        <f>IF($C74="","",IFERROR(INDEX(dmName,MATCH($C74,dmID,0)),"Unmapped"))</f>
        <v/>
      </c>
      <c r="BV74" s="76">
        <f>IF($C74="","",IFERROR(INDEX(dmEntity,MATCH($C74,dmID,0)),"Unmapped"))</f>
        <v/>
      </c>
      <c r="BW74" s="77">
        <f>IF($C74="","",IFERROR(INDEX(dmVintage,MATCH($C74,dmID,0)),""))</f>
        <v/>
      </c>
      <c r="BX74" s="78">
        <f>IFERROR(INDEX(dmInclude,MATCH($C74,dmID,0)),0)</f>
        <v/>
      </c>
      <c r="BY74" s="78">
        <f>IF(N($I74)&gt;0,1,0)</f>
        <v/>
      </c>
      <c r="BZ74" s="76">
        <f>IF($AJ74="","Other / Leased Fee",IFERROR(INDEX(mapPTGroup,MATCH(LEFT(TRIM($AJ74),2),mapPTCode,0)),"Other / Leased Fee"))</f>
        <v/>
      </c>
      <c r="CA74" s="76">
        <f>IF(TRIM($AF74&amp;"")="","NR",LEFT(TRIM($AF74),2))</f>
        <v/>
      </c>
      <c r="CB74" s="76">
        <f>IFERROR(LOOKUP(2,1/(LEFT(TRIM($AI74&amp;""),LEN(mapRegion))=mapRegion),mapRegion),"Not Reported")</f>
        <v/>
      </c>
      <c r="CC74" s="76">
        <f>IF($BY74=0,"",IF(TRIM($W74&amp;"")="REO","REO",IF(TRIM($W74&amp;"")="FC","Foreclosure",IF(TRIM($W74&amp;"")="90+","90+ Days Delinquent",IF(TRIM($W74&amp;"")="60","60 Days Delinquent",IF(TRIM($W74&amp;"")="30","30 Days Delinquent",IF($X74="Non-Performing Matured Balloon","Non-Performing Matured Balloon",IF(OR($X74="Late Payment But Less Than 30 Days Delinquent",LEFT($X74&amp;"",20)="Payment Not Received"),"Late / In Grace (&lt;30 Days)",IF($X74="Performing Matured Balloon","Performing Matured Balloon","Current")))))))))</f>
        <v/>
      </c>
      <c r="CD74" s="78">
        <f>IF(OR($CC74="REO",$CC74="Foreclosure",$CC74="90+ Days Delinquent",$CC74="60 Days Delinquent",$CC74="30 Days Delinquent",$CC74="Non-Performing Matured Balloon"),1,0)</f>
        <v/>
      </c>
      <c r="CE74" s="76">
        <f>IF($AB74="Currently special serv","Currently Specially Serviced",IF($AB74="Returned to master serv","Previously Specially Serviced","Never Specially Serviced"))</f>
        <v/>
      </c>
      <c r="CF74" s="78">
        <f>IF($CE74="Currently Specially Serviced",1,0)</f>
        <v/>
      </c>
      <c r="CG74" s="76">
        <f>IF($AA74="Yes","Currently on Watchlist",IF($AA74="Previously","Previously on Watchlist","Never on Watchlist"))</f>
        <v/>
      </c>
      <c r="CH74" s="78">
        <f>IF($CG74="Currently on Watchlist",1,0)</f>
        <v/>
      </c>
      <c r="CI74" s="76">
        <f>IF($Z74="Full Defeasance","Fully Defeased",IF($Z74="Portion Of Loan Previously Defeased","Partially Defeased",IF($Z74="Defeasance Not Allowable","Not Defeased (Not Permitted)","Not Defeased")))</f>
        <v/>
      </c>
      <c r="CJ74" s="78">
        <f>IF($CI74="Fully Defeased",1,0)</f>
        <v/>
      </c>
      <c r="CK74" s="76">
        <f>IF($R74="IO","Full IO",IF(LEFT($R74&amp;"",7)="IO then","Partial IO","Amortizing"))</f>
        <v/>
      </c>
      <c r="CL74" s="78">
        <f>IF($CK74="Full IO",1,0)</f>
        <v/>
      </c>
      <c r="CM74" s="78">
        <f>IF($CK74="Partial IO",1,0)</f>
        <v/>
      </c>
      <c r="CN74" s="76">
        <f>IF(LEFT($F74&amp;"",10)="SPLIT_LOAN","Pari Passu Split","Standalone")</f>
        <v/>
      </c>
      <c r="CO74" s="78">
        <f>IF($CN74="Pari Passu Split",1,0)</f>
        <v/>
      </c>
      <c r="CP74" s="77">
        <f>IF(ISNUMBER($T74),YEAR($T74),"")</f>
        <v/>
      </c>
      <c r="CQ74" s="79">
        <f>IF(ISNUMBER($V74),$V74,IF(ISNUMBER($U74),$U74,""))</f>
        <v/>
      </c>
      <c r="CR74" s="77">
        <f>IF(ISNUMBER($CQ74),YEAR($CQ74),"")</f>
        <v/>
      </c>
      <c r="CS74" s="78">
        <f>IF(ISNUMBER($M74),MAX(0,$M74),IF(TRIM($M74&amp;"")="matured",0,""))</f>
        <v/>
      </c>
      <c r="CT74" s="78">
        <f>IF(AND(ISNUMBER($CS74),N($CS74)&lt;=mMatWindow),1,0)</f>
        <v/>
      </c>
      <c r="CU74" s="80">
        <f>IF(ISNUMBER($J74),$J74/100,"")</f>
        <v/>
      </c>
      <c r="CV74" s="81">
        <f>IF(ISNUMBER($AQ74),$AQ74,"")</f>
        <v/>
      </c>
      <c r="CW74" s="81">
        <f>IF(ISNUMBER($AR74),$AR74,"")</f>
        <v/>
      </c>
      <c r="CX74" s="82">
        <f>IF(ISNUMBER($AS74),$AS74/100,"")</f>
        <v/>
      </c>
      <c r="CY74" s="82">
        <f>IF(ISNUMBER($AT74),$AT74/100,"")</f>
        <v/>
      </c>
      <c r="CZ74" s="82">
        <f>IF(ISNUMBER($AU74),$AU74/100,"")</f>
        <v/>
      </c>
      <c r="DA74" s="82">
        <f>IF(ISNUMBER($AV74),$AV74/100,"")</f>
        <v/>
      </c>
      <c r="DB74" s="82">
        <f>IF(ISNUMBER($AW74),$AW74/100,"")</f>
        <v/>
      </c>
      <c r="DC74" s="82">
        <f>IF(ISNUMBER($AX74),$AX74/100,"")</f>
        <v/>
      </c>
      <c r="DD74" s="77">
        <f>IFERROR(VALUE(LEFT(TRIM($AO74&amp;""),4)),"")</f>
        <v/>
      </c>
      <c r="DE74" s="78">
        <f>IF(AND($BY74=1,$BX74=1,OR(fDeal="All Deals",$BU74=fDeal),OR(fEntity="All Entities",$BV74=fEntity),OR(fPType="All Property Types",$BZ74=fPType),OR(fDefeased="Include",$CJ74=0)),1,0)</f>
        <v/>
      </c>
      <c r="DF74" s="83">
        <f>$DE74*N($I74)</f>
        <v/>
      </c>
      <c r="DG74" s="78">
        <f>IF($DE74=1,IF(COUNTIFS($F$8:$F74,$F74,$DE$8:$DE74,1)=1,1,0),0)</f>
        <v/>
      </c>
      <c r="DH74" s="83">
        <f>IF($DG74=1,SUMIFS($DF$8:$DF$1600,$F$8:$F$1600,$F74),0)</f>
        <v/>
      </c>
      <c r="DI74" s="78">
        <f>IF($DG74=1,COUNTIFS($F$8:$F$1600,$F74,$DE$8:$DE$1600,1),0)</f>
        <v/>
      </c>
      <c r="DJ74" s="84">
        <f>IF($DG74=1,$DH74+(100000-ROW())/mTieBreak,0)</f>
        <v/>
      </c>
    </row>
    <row r="75">
      <c r="B75" s="68" t="n">
        <v>9</v>
      </c>
      <c r="C75" s="69" t="inlineStr">
        <is>
          <t>CTG17C04</t>
        </is>
      </c>
      <c r="D75" s="69" t="inlineStr">
        <is>
          <t>9.000</t>
        </is>
      </c>
      <c r="E75" s="69" t="inlineStr">
        <is>
          <t>50 Varick Street</t>
        </is>
      </c>
      <c r="F75" s="69" t="inlineStr">
        <is>
          <t>SPLIT_LOAN_01089</t>
        </is>
      </c>
      <c r="G75" s="70" t="n">
        <v>1089</v>
      </c>
      <c r="H75" s="71" t="n">
        <v>35000000</v>
      </c>
      <c r="I75" s="71" t="n">
        <v>35000000</v>
      </c>
      <c r="J75" s="72" t="n">
        <v>4.15</v>
      </c>
      <c r="K75" s="69" t="inlineStr">
        <is>
          <t>Fixed rate</t>
        </is>
      </c>
      <c r="L75" s="68" t="n">
        <v>120</v>
      </c>
      <c r="M75" s="68" t="n">
        <v>12</v>
      </c>
      <c r="N75" s="68" t="n">
        <v>120</v>
      </c>
      <c r="O75" s="68" t="n">
        <v>120</v>
      </c>
      <c r="P75" s="68" t="n">
        <v>12</v>
      </c>
      <c r="Q75" s="68" t="n">
        <v>108</v>
      </c>
      <c r="R75" s="69" t="inlineStr">
        <is>
          <t>IO</t>
        </is>
      </c>
      <c r="S75" s="69" t="inlineStr">
        <is>
          <t>Yes</t>
        </is>
      </c>
      <c r="T75" s="73" t="n">
        <v>42979</v>
      </c>
      <c r="U75" s="73" t="n">
        <v>46636</v>
      </c>
      <c r="V75" s="73" t="n"/>
      <c r="W75" s="69" t="n"/>
      <c r="X75" s="69" t="inlineStr">
        <is>
          <t>Current</t>
        </is>
      </c>
      <c r="Y75" s="68" t="n"/>
      <c r="Z75" s="69" t="inlineStr">
        <is>
          <t>No Defeasance Occurred</t>
        </is>
      </c>
      <c r="AA75" s="69" t="inlineStr">
        <is>
          <t>Yes</t>
        </is>
      </c>
      <c r="AB75" s="69" t="inlineStr">
        <is>
          <t>Never special serv</t>
        </is>
      </c>
      <c r="AC75" s="73" t="n"/>
      <c r="AD75" s="69" t="n"/>
      <c r="AE75" s="69" t="n"/>
      <c r="AF75" s="69" t="inlineStr">
        <is>
          <t>NY</t>
        </is>
      </c>
      <c r="AG75" s="69" t="inlineStr">
        <is>
          <t>New York</t>
        </is>
      </c>
      <c r="AH75" s="69" t="inlineStr">
        <is>
          <t>New York-Newark-Jersey City, NY-NJ</t>
        </is>
      </c>
      <c r="AI75" s="69" t="inlineStr">
        <is>
          <t>Northeast / Mid-Atlantic</t>
        </is>
      </c>
      <c r="AJ75" s="69" t="inlineStr">
        <is>
          <t>OF</t>
        </is>
      </c>
      <c r="AK75" s="69" t="inlineStr">
        <is>
          <t>CBD</t>
        </is>
      </c>
      <c r="AL75" s="68" t="n">
        <v>1</v>
      </c>
      <c r="AM75" s="68" t="n"/>
      <c r="AN75" s="68" t="n">
        <v>158574</v>
      </c>
      <c r="AO75" s="69" t="inlineStr">
        <is>
          <t>1960</t>
        </is>
      </c>
      <c r="AP75" s="70" t="n">
        <v>2013</v>
      </c>
      <c r="AQ75" s="74" t="n">
        <v>2.01</v>
      </c>
      <c r="AR75" s="74" t="n">
        <v>1.04</v>
      </c>
      <c r="AS75" s="74" t="n">
        <v>55.64</v>
      </c>
      <c r="AT75" s="74" t="n">
        <v>55.64</v>
      </c>
      <c r="AU75" s="74" t="n">
        <v>55.64</v>
      </c>
      <c r="AV75" s="74" t="n">
        <v>8.469403890000001</v>
      </c>
      <c r="AW75" s="74" t="n">
        <v>3.880325587</v>
      </c>
      <c r="AX75" s="75" t="n">
        <v>100</v>
      </c>
      <c r="AY75" s="71" t="n">
        <v>140000000</v>
      </c>
      <c r="AZ75" s="71" t="n">
        <v>140000000</v>
      </c>
      <c r="BA75" s="71" t="n">
        <v>6596818.69</v>
      </c>
      <c r="BB75" s="71" t="n">
        <v>852041.8</v>
      </c>
      <c r="BC75" s="69" t="inlineStr">
        <is>
          <t>Acquisition</t>
        </is>
      </c>
      <c r="BD75" s="69" t="inlineStr">
        <is>
          <t>N</t>
        </is>
      </c>
      <c r="BE75" s="71" t="n">
        <v>42890000</v>
      </c>
      <c r="BF75" s="71" t="n"/>
      <c r="BG75" s="71" t="n"/>
      <c r="BH75" s="71" t="n">
        <v>0</v>
      </c>
      <c r="BI75" s="71" t="n">
        <v>0</v>
      </c>
      <c r="BJ75" s="69" t="inlineStr">
        <is>
          <t>Y</t>
        </is>
      </c>
      <c r="BK75" s="69" t="inlineStr">
        <is>
          <t>Spring Studios New York LLC</t>
        </is>
      </c>
      <c r="BL75" s="75" t="n">
        <v>53.76</v>
      </c>
      <c r="BM75" s="73" t="n">
        <v>47483</v>
      </c>
      <c r="BN75" s="69" t="inlineStr">
        <is>
          <t>Alessandro Cajrati Crivelli</t>
        </is>
      </c>
      <c r="BO75" s="69" t="inlineStr">
        <is>
          <t>Ladder Capital Finance</t>
        </is>
      </c>
      <c r="BP75" s="69" t="inlineStr">
        <is>
          <t>Midland Loan Services</t>
        </is>
      </c>
      <c r="BQ75" s="69" t="inlineStr">
        <is>
          <t>K-Star Asset Management LLC</t>
        </is>
      </c>
      <c r="BR75" s="69" t="n"/>
      <c r="BS75" s="73" t="n">
        <v>46273</v>
      </c>
      <c r="BU75" s="76">
        <f>IF($C75="","",IFERROR(INDEX(dmName,MATCH($C75,dmID,0)),"Unmapped"))</f>
        <v/>
      </c>
      <c r="BV75" s="76">
        <f>IF($C75="","",IFERROR(INDEX(dmEntity,MATCH($C75,dmID,0)),"Unmapped"))</f>
        <v/>
      </c>
      <c r="BW75" s="77">
        <f>IF($C75="","",IFERROR(INDEX(dmVintage,MATCH($C75,dmID,0)),""))</f>
        <v/>
      </c>
      <c r="BX75" s="78">
        <f>IFERROR(INDEX(dmInclude,MATCH($C75,dmID,0)),0)</f>
        <v/>
      </c>
      <c r="BY75" s="78">
        <f>IF(N($I75)&gt;0,1,0)</f>
        <v/>
      </c>
      <c r="BZ75" s="76">
        <f>IF($AJ75="","Other / Leased Fee",IFERROR(INDEX(mapPTGroup,MATCH(LEFT(TRIM($AJ75),2),mapPTCode,0)),"Other / Leased Fee"))</f>
        <v/>
      </c>
      <c r="CA75" s="76">
        <f>IF(TRIM($AF75&amp;"")="","NR",LEFT(TRIM($AF75),2))</f>
        <v/>
      </c>
      <c r="CB75" s="76">
        <f>IFERROR(LOOKUP(2,1/(LEFT(TRIM($AI75&amp;""),LEN(mapRegion))=mapRegion),mapRegion),"Not Reported")</f>
        <v/>
      </c>
      <c r="CC75" s="76">
        <f>IF($BY75=0,"",IF(TRIM($W75&amp;"")="REO","REO",IF(TRIM($W75&amp;"")="FC","Foreclosure",IF(TRIM($W75&amp;"")="90+","90+ Days Delinquent",IF(TRIM($W75&amp;"")="60","60 Days Delinquent",IF(TRIM($W75&amp;"")="30","30 Days Delinquent",IF($X75="Non-Performing Matured Balloon","Non-Performing Matured Balloon",IF(OR($X75="Late Payment But Less Than 30 Days Delinquent",LEFT($X75&amp;"",20)="Payment Not Received"),"Late / In Grace (&lt;30 Days)",IF($X75="Performing Matured Balloon","Performing Matured Balloon","Current")))))))))</f>
        <v/>
      </c>
      <c r="CD75" s="78">
        <f>IF(OR($CC75="REO",$CC75="Foreclosure",$CC75="90+ Days Delinquent",$CC75="60 Days Delinquent",$CC75="30 Days Delinquent",$CC75="Non-Performing Matured Balloon"),1,0)</f>
        <v/>
      </c>
      <c r="CE75" s="76">
        <f>IF($AB75="Currently special serv","Currently Specially Serviced",IF($AB75="Returned to master serv","Previously Specially Serviced","Never Specially Serviced"))</f>
        <v/>
      </c>
      <c r="CF75" s="78">
        <f>IF($CE75="Currently Specially Serviced",1,0)</f>
        <v/>
      </c>
      <c r="CG75" s="76">
        <f>IF($AA75="Yes","Currently on Watchlist",IF($AA75="Previously","Previously on Watchlist","Never on Watchlist"))</f>
        <v/>
      </c>
      <c r="CH75" s="78">
        <f>IF($CG75="Currently on Watchlist",1,0)</f>
        <v/>
      </c>
      <c r="CI75" s="76">
        <f>IF($Z75="Full Defeasance","Fully Defeased",IF($Z75="Portion Of Loan Previously Defeased","Partially Defeased",IF($Z75="Defeasance Not Allowable","Not Defeased (Not Permitted)","Not Defeased")))</f>
        <v/>
      </c>
      <c r="CJ75" s="78">
        <f>IF($CI75="Fully Defeased",1,0)</f>
        <v/>
      </c>
      <c r="CK75" s="76">
        <f>IF($R75="IO","Full IO",IF(LEFT($R75&amp;"",7)="IO then","Partial IO","Amortizing"))</f>
        <v/>
      </c>
      <c r="CL75" s="78">
        <f>IF($CK75="Full IO",1,0)</f>
        <v/>
      </c>
      <c r="CM75" s="78">
        <f>IF($CK75="Partial IO",1,0)</f>
        <v/>
      </c>
      <c r="CN75" s="76">
        <f>IF(LEFT($F75&amp;"",10)="SPLIT_LOAN","Pari Passu Split","Standalone")</f>
        <v/>
      </c>
      <c r="CO75" s="78">
        <f>IF($CN75="Pari Passu Split",1,0)</f>
        <v/>
      </c>
      <c r="CP75" s="77">
        <f>IF(ISNUMBER($T75),YEAR($T75),"")</f>
        <v/>
      </c>
      <c r="CQ75" s="79">
        <f>IF(ISNUMBER($V75),$V75,IF(ISNUMBER($U75),$U75,""))</f>
        <v/>
      </c>
      <c r="CR75" s="77">
        <f>IF(ISNUMBER($CQ75),YEAR($CQ75),"")</f>
        <v/>
      </c>
      <c r="CS75" s="78">
        <f>IF(ISNUMBER($M75),MAX(0,$M75),IF(TRIM($M75&amp;"")="matured",0,""))</f>
        <v/>
      </c>
      <c r="CT75" s="78">
        <f>IF(AND(ISNUMBER($CS75),N($CS75)&lt;=mMatWindow),1,0)</f>
        <v/>
      </c>
      <c r="CU75" s="80">
        <f>IF(ISNUMBER($J75),$J75/100,"")</f>
        <v/>
      </c>
      <c r="CV75" s="81">
        <f>IF(ISNUMBER($AQ75),$AQ75,"")</f>
        <v/>
      </c>
      <c r="CW75" s="81">
        <f>IF(ISNUMBER($AR75),$AR75,"")</f>
        <v/>
      </c>
      <c r="CX75" s="82">
        <f>IF(ISNUMBER($AS75),$AS75/100,"")</f>
        <v/>
      </c>
      <c r="CY75" s="82">
        <f>IF(ISNUMBER($AT75),$AT75/100,"")</f>
        <v/>
      </c>
      <c r="CZ75" s="82">
        <f>IF(ISNUMBER($AU75),$AU75/100,"")</f>
        <v/>
      </c>
      <c r="DA75" s="82">
        <f>IF(ISNUMBER($AV75),$AV75/100,"")</f>
        <v/>
      </c>
      <c r="DB75" s="82">
        <f>IF(ISNUMBER($AW75),$AW75/100,"")</f>
        <v/>
      </c>
      <c r="DC75" s="82">
        <f>IF(ISNUMBER($AX75),$AX75/100,"")</f>
        <v/>
      </c>
      <c r="DD75" s="77">
        <f>IFERROR(VALUE(LEFT(TRIM($AO75&amp;""),4)),"")</f>
        <v/>
      </c>
      <c r="DE75" s="78">
        <f>IF(AND($BY75=1,$BX75=1,OR(fDeal="All Deals",$BU75=fDeal),OR(fEntity="All Entities",$BV75=fEntity),OR(fPType="All Property Types",$BZ75=fPType),OR(fDefeased="Include",$CJ75=0)),1,0)</f>
        <v/>
      </c>
      <c r="DF75" s="83">
        <f>$DE75*N($I75)</f>
        <v/>
      </c>
      <c r="DG75" s="78">
        <f>IF($DE75=1,IF(COUNTIFS($F$8:$F75,$F75,$DE$8:$DE75,1)=1,1,0),0)</f>
        <v/>
      </c>
      <c r="DH75" s="83">
        <f>IF($DG75=1,SUMIFS($DF$8:$DF$1600,$F$8:$F$1600,$F75),0)</f>
        <v/>
      </c>
      <c r="DI75" s="78">
        <f>IF($DG75=1,COUNTIFS($F$8:$F$1600,$F75,$DE$8:$DE$1600,1),0)</f>
        <v/>
      </c>
      <c r="DJ75" s="84">
        <f>IF($DG75=1,$DH75+(100000-ROW())/mTieBreak,0)</f>
        <v/>
      </c>
    </row>
    <row r="76">
      <c r="B76" s="68" t="n">
        <v>10</v>
      </c>
      <c r="C76" s="69" t="inlineStr">
        <is>
          <t>CTG17C04</t>
        </is>
      </c>
      <c r="D76" s="69" t="inlineStr">
        <is>
          <t>10.000</t>
        </is>
      </c>
      <c r="E76" s="69" t="inlineStr">
        <is>
          <t>Mall of Louisiana</t>
        </is>
      </c>
      <c r="F76" s="69" t="inlineStr">
        <is>
          <t>SPLIT_LOAN_01076</t>
        </is>
      </c>
      <c r="G76" s="70" t="n">
        <v>1076</v>
      </c>
      <c r="H76" s="71" t="n">
        <v>28000000</v>
      </c>
      <c r="I76" s="71" t="n">
        <v>24769984.170008</v>
      </c>
      <c r="J76" s="72" t="n">
        <v>3.984</v>
      </c>
      <c r="K76" s="69" t="inlineStr">
        <is>
          <t>Fixed rate</t>
        </is>
      </c>
      <c r="L76" s="68" t="n">
        <v>120</v>
      </c>
      <c r="M76" s="68" t="n">
        <v>11</v>
      </c>
      <c r="N76" s="68" t="n">
        <v>396</v>
      </c>
      <c r="O76" s="68" t="n">
        <v>36</v>
      </c>
      <c r="P76" s="68" t="n">
        <v>0</v>
      </c>
      <c r="Q76" s="68" t="n">
        <v>109</v>
      </c>
      <c r="R76" s="69" t="inlineStr">
        <is>
          <t>IO then Amort</t>
        </is>
      </c>
      <c r="S76" s="69" t="inlineStr">
        <is>
          <t>No</t>
        </is>
      </c>
      <c r="T76" s="73" t="n">
        <v>42948</v>
      </c>
      <c r="U76" s="73" t="n">
        <v>46600</v>
      </c>
      <c r="V76" s="73" t="n"/>
      <c r="W76" s="69" t="n"/>
      <c r="X76" s="69" t="inlineStr">
        <is>
          <t>Current</t>
        </is>
      </c>
      <c r="Y76" s="68" t="n"/>
      <c r="Z76" s="69" t="inlineStr">
        <is>
          <t>No Defeasance Occurred</t>
        </is>
      </c>
      <c r="AA76" s="69" t="inlineStr">
        <is>
          <t>Yes</t>
        </is>
      </c>
      <c r="AB76" s="69" t="inlineStr">
        <is>
          <t>Never special serv</t>
        </is>
      </c>
      <c r="AC76" s="73" t="n"/>
      <c r="AD76" s="69" t="n"/>
      <c r="AE76" s="69" t="n"/>
      <c r="AF76" s="69" t="inlineStr">
        <is>
          <t>LA</t>
        </is>
      </c>
      <c r="AG76" s="69" t="inlineStr">
        <is>
          <t>Baton Rouge</t>
        </is>
      </c>
      <c r="AH76" s="69" t="inlineStr">
        <is>
          <t>Baton Rouge, LA</t>
        </is>
      </c>
      <c r="AI76" s="69" t="inlineStr">
        <is>
          <t>South / Central West</t>
        </is>
      </c>
      <c r="AJ76" s="69" t="inlineStr">
        <is>
          <t>RT</t>
        </is>
      </c>
      <c r="AK76" s="69" t="inlineStr">
        <is>
          <t>Super Regional Mall</t>
        </is>
      </c>
      <c r="AL76" s="68" t="n">
        <v>1</v>
      </c>
      <c r="AM76" s="68" t="n"/>
      <c r="AN76" s="68" t="n">
        <v>776789</v>
      </c>
      <c r="AO76" s="69" t="inlineStr">
        <is>
          <t>1997</t>
        </is>
      </c>
      <c r="AP76" s="70" t="n">
        <v>2008</v>
      </c>
      <c r="AQ76" s="74" t="n">
        <v>1.85</v>
      </c>
      <c r="AR76" s="74" t="n">
        <v>1.32</v>
      </c>
      <c r="AS76" s="74" t="n">
        <v>57.02</v>
      </c>
      <c r="AT76" s="74" t="n">
        <v>50.44</v>
      </c>
      <c r="AU76" s="74" t="n">
        <v>49.3</v>
      </c>
      <c r="AV76" s="74" t="n">
        <v>10.594965231</v>
      </c>
      <c r="AW76" s="74" t="n">
        <v>8.879321565</v>
      </c>
      <c r="AX76" s="75" t="n">
        <v>83</v>
      </c>
      <c r="AY76" s="71" t="n">
        <v>570000000</v>
      </c>
      <c r="AZ76" s="71" t="n">
        <v>570000000</v>
      </c>
      <c r="BA76" s="71" t="n">
        <v>34433637</v>
      </c>
      <c r="BB76" s="71" t="n">
        <v>6140006.9</v>
      </c>
      <c r="BC76" s="69" t="inlineStr">
        <is>
          <t>Recapitalization</t>
        </is>
      </c>
      <c r="BD76" s="69" t="inlineStr">
        <is>
          <t>N</t>
        </is>
      </c>
      <c r="BE76" s="71" t="n">
        <v>262738760.66</v>
      </c>
      <c r="BF76" s="71" t="n"/>
      <c r="BG76" s="71" t="n"/>
      <c r="BH76" s="71" t="n">
        <v>0</v>
      </c>
      <c r="BI76" s="71" t="n">
        <v>0</v>
      </c>
      <c r="BJ76" s="69" t="inlineStr">
        <is>
          <t>N</t>
        </is>
      </c>
      <c r="BK76" s="69" t="inlineStr">
        <is>
          <t>AMC Cinema</t>
        </is>
      </c>
      <c r="BL76" s="75" t="n">
        <v>9.58</v>
      </c>
      <c r="BM76" s="73" t="n">
        <v>46224</v>
      </c>
      <c r="BN76" s="69" t="inlineStr">
        <is>
          <t>GGP Real Estate Holding I, Inc.</t>
        </is>
      </c>
      <c r="BO76" s="69" t="inlineStr">
        <is>
          <t>Citigroup Global Markets</t>
        </is>
      </c>
      <c r="BP76" s="69" t="inlineStr">
        <is>
          <t>Midland Loan Services</t>
        </is>
      </c>
      <c r="BQ76" s="69" t="inlineStr">
        <is>
          <t>Rialto Capital</t>
        </is>
      </c>
      <c r="BR76" s="69" t="n"/>
      <c r="BS76" s="73" t="n">
        <v>46273</v>
      </c>
      <c r="BU76" s="76">
        <f>IF($C76="","",IFERROR(INDEX(dmName,MATCH($C76,dmID,0)),"Unmapped"))</f>
        <v/>
      </c>
      <c r="BV76" s="76">
        <f>IF($C76="","",IFERROR(INDEX(dmEntity,MATCH($C76,dmID,0)),"Unmapped"))</f>
        <v/>
      </c>
      <c r="BW76" s="77">
        <f>IF($C76="","",IFERROR(INDEX(dmVintage,MATCH($C76,dmID,0)),""))</f>
        <v/>
      </c>
      <c r="BX76" s="78">
        <f>IFERROR(INDEX(dmInclude,MATCH($C76,dmID,0)),0)</f>
        <v/>
      </c>
      <c r="BY76" s="78">
        <f>IF(N($I76)&gt;0,1,0)</f>
        <v/>
      </c>
      <c r="BZ76" s="76">
        <f>IF($AJ76="","Other / Leased Fee",IFERROR(INDEX(mapPTGroup,MATCH(LEFT(TRIM($AJ76),2),mapPTCode,0)),"Other / Leased Fee"))</f>
        <v/>
      </c>
      <c r="CA76" s="76">
        <f>IF(TRIM($AF76&amp;"")="","NR",LEFT(TRIM($AF76),2))</f>
        <v/>
      </c>
      <c r="CB76" s="76">
        <f>IFERROR(LOOKUP(2,1/(LEFT(TRIM($AI76&amp;""),LEN(mapRegion))=mapRegion),mapRegion),"Not Reported")</f>
        <v/>
      </c>
      <c r="CC76" s="76">
        <f>IF($BY76=0,"",IF(TRIM($W76&amp;"")="REO","REO",IF(TRIM($W76&amp;"")="FC","Foreclosure",IF(TRIM($W76&amp;"")="90+","90+ Days Delinquent",IF(TRIM($W76&amp;"")="60","60 Days Delinquent",IF(TRIM($W76&amp;"")="30","30 Days Delinquent",IF($X76="Non-Performing Matured Balloon","Non-Performing Matured Balloon",IF(OR($X76="Late Payment But Less Than 30 Days Delinquent",LEFT($X76&amp;"",20)="Payment Not Received"),"Late / In Grace (&lt;30 Days)",IF($X76="Performing Matured Balloon","Performing Matured Balloon","Current")))))))))</f>
        <v/>
      </c>
      <c r="CD76" s="78">
        <f>IF(OR($CC76="REO",$CC76="Foreclosure",$CC76="90+ Days Delinquent",$CC76="60 Days Delinquent",$CC76="30 Days Delinquent",$CC76="Non-Performing Matured Balloon"),1,0)</f>
        <v/>
      </c>
      <c r="CE76" s="76">
        <f>IF($AB76="Currently special serv","Currently Specially Serviced",IF($AB76="Returned to master serv","Previously Specially Serviced","Never Specially Serviced"))</f>
        <v/>
      </c>
      <c r="CF76" s="78">
        <f>IF($CE76="Currently Specially Serviced",1,0)</f>
        <v/>
      </c>
      <c r="CG76" s="76">
        <f>IF($AA76="Yes","Currently on Watchlist",IF($AA76="Previously","Previously on Watchlist","Never on Watchlist"))</f>
        <v/>
      </c>
      <c r="CH76" s="78">
        <f>IF($CG76="Currently on Watchlist",1,0)</f>
        <v/>
      </c>
      <c r="CI76" s="76">
        <f>IF($Z76="Full Defeasance","Fully Defeased",IF($Z76="Portion Of Loan Previously Defeased","Partially Defeased",IF($Z76="Defeasance Not Allowable","Not Defeased (Not Permitted)","Not Defeased")))</f>
        <v/>
      </c>
      <c r="CJ76" s="78">
        <f>IF($CI76="Fully Defeased",1,0)</f>
        <v/>
      </c>
      <c r="CK76" s="76">
        <f>IF($R76="IO","Full IO",IF(LEFT($R76&amp;"",7)="IO then","Partial IO","Amortizing"))</f>
        <v/>
      </c>
      <c r="CL76" s="78">
        <f>IF($CK76="Full IO",1,0)</f>
        <v/>
      </c>
      <c r="CM76" s="78">
        <f>IF($CK76="Partial IO",1,0)</f>
        <v/>
      </c>
      <c r="CN76" s="76">
        <f>IF(LEFT($F76&amp;"",10)="SPLIT_LOAN","Pari Passu Split","Standalone")</f>
        <v/>
      </c>
      <c r="CO76" s="78">
        <f>IF($CN76="Pari Passu Split",1,0)</f>
        <v/>
      </c>
      <c r="CP76" s="77">
        <f>IF(ISNUMBER($T76),YEAR($T76),"")</f>
        <v/>
      </c>
      <c r="CQ76" s="79">
        <f>IF(ISNUMBER($V76),$V76,IF(ISNUMBER($U76),$U76,""))</f>
        <v/>
      </c>
      <c r="CR76" s="77">
        <f>IF(ISNUMBER($CQ76),YEAR($CQ76),"")</f>
        <v/>
      </c>
      <c r="CS76" s="78">
        <f>IF(ISNUMBER($M76),MAX(0,$M76),IF(TRIM($M76&amp;"")="matured",0,""))</f>
        <v/>
      </c>
      <c r="CT76" s="78">
        <f>IF(AND(ISNUMBER($CS76),N($CS76)&lt;=mMatWindow),1,0)</f>
        <v/>
      </c>
      <c r="CU76" s="80">
        <f>IF(ISNUMBER($J76),$J76/100,"")</f>
        <v/>
      </c>
      <c r="CV76" s="81">
        <f>IF(ISNUMBER($AQ76),$AQ76,"")</f>
        <v/>
      </c>
      <c r="CW76" s="81">
        <f>IF(ISNUMBER($AR76),$AR76,"")</f>
        <v/>
      </c>
      <c r="CX76" s="82">
        <f>IF(ISNUMBER($AS76),$AS76/100,"")</f>
        <v/>
      </c>
      <c r="CY76" s="82">
        <f>IF(ISNUMBER($AT76),$AT76/100,"")</f>
        <v/>
      </c>
      <c r="CZ76" s="82">
        <f>IF(ISNUMBER($AU76),$AU76/100,"")</f>
        <v/>
      </c>
      <c r="DA76" s="82">
        <f>IF(ISNUMBER($AV76),$AV76/100,"")</f>
        <v/>
      </c>
      <c r="DB76" s="82">
        <f>IF(ISNUMBER($AW76),$AW76/100,"")</f>
        <v/>
      </c>
      <c r="DC76" s="82">
        <f>IF(ISNUMBER($AX76),$AX76/100,"")</f>
        <v/>
      </c>
      <c r="DD76" s="77">
        <f>IFERROR(VALUE(LEFT(TRIM($AO76&amp;""),4)),"")</f>
        <v/>
      </c>
      <c r="DE76" s="78">
        <f>IF(AND($BY76=1,$BX76=1,OR(fDeal="All Deals",$BU76=fDeal),OR(fEntity="All Entities",$BV76=fEntity),OR(fPType="All Property Types",$BZ76=fPType),OR(fDefeased="Include",$CJ76=0)),1,0)</f>
        <v/>
      </c>
      <c r="DF76" s="83">
        <f>$DE76*N($I76)</f>
        <v/>
      </c>
      <c r="DG76" s="78">
        <f>IF($DE76=1,IF(COUNTIFS($F$8:$F76,$F76,$DE$8:$DE76,1)=1,1,0),0)</f>
        <v/>
      </c>
      <c r="DH76" s="83">
        <f>IF($DG76=1,SUMIFS($DF$8:$DF$1600,$F$8:$F$1600,$F76),0)</f>
        <v/>
      </c>
      <c r="DI76" s="78">
        <f>IF($DG76=1,COUNTIFS($F$8:$F$1600,$F76,$DE$8:$DE$1600,1),0)</f>
        <v/>
      </c>
      <c r="DJ76" s="84">
        <f>IF($DG76=1,$DH76+(100000-ROW())/mTieBreak,0)</f>
        <v/>
      </c>
    </row>
    <row r="77">
      <c r="B77" s="68" t="n">
        <v>11</v>
      </c>
      <c r="C77" s="69" t="inlineStr">
        <is>
          <t>CTG17C04</t>
        </is>
      </c>
      <c r="D77" s="69" t="inlineStr">
        <is>
          <t>11.000</t>
        </is>
      </c>
      <c r="E77" s="69" t="inlineStr">
        <is>
          <t>The Shoppes at Flowers Mill</t>
        </is>
      </c>
      <c r="F77" s="69" t="inlineStr">
        <is>
          <t>LNCTG17C04-11.000</t>
        </is>
      </c>
      <c r="G77" s="70" t="n"/>
      <c r="H77" s="71" t="n">
        <v>28000000</v>
      </c>
      <c r="I77" s="71" t="n">
        <v>26250887.860008</v>
      </c>
      <c r="J77" s="72" t="n">
        <v>4.7</v>
      </c>
      <c r="K77" s="69" t="inlineStr">
        <is>
          <t>Fixed rate</t>
        </is>
      </c>
      <c r="L77" s="68" t="n">
        <v>120</v>
      </c>
      <c r="M77" s="68" t="n">
        <v>13</v>
      </c>
      <c r="N77" s="68" t="n">
        <v>420</v>
      </c>
      <c r="O77" s="68" t="n">
        <v>60</v>
      </c>
      <c r="P77" s="68" t="n">
        <v>0</v>
      </c>
      <c r="Q77" s="68" t="n">
        <v>107</v>
      </c>
      <c r="R77" s="69" t="inlineStr">
        <is>
          <t>IO then Amort</t>
        </is>
      </c>
      <c r="S77" s="69" t="inlineStr">
        <is>
          <t>No</t>
        </is>
      </c>
      <c r="T77" s="73" t="n">
        <v>43009</v>
      </c>
      <c r="U77" s="73" t="n">
        <v>46666</v>
      </c>
      <c r="V77" s="73" t="n"/>
      <c r="W77" s="69" t="n"/>
      <c r="X77" s="69" t="inlineStr">
        <is>
          <t>Current</t>
        </is>
      </c>
      <c r="Y77" s="68" t="n"/>
      <c r="Z77" s="69" t="inlineStr">
        <is>
          <t>No Defeasance Occurred</t>
        </is>
      </c>
      <c r="AA77" s="69" t="n"/>
      <c r="AB77" s="69" t="inlineStr">
        <is>
          <t>Never special serv</t>
        </is>
      </c>
      <c r="AC77" s="73" t="n"/>
      <c r="AD77" s="69" t="n"/>
      <c r="AE77" s="69" t="n"/>
      <c r="AF77" s="69" t="inlineStr">
        <is>
          <t>PA</t>
        </is>
      </c>
      <c r="AG77" s="69" t="inlineStr">
        <is>
          <t>Langhorne</t>
        </is>
      </c>
      <c r="AH77" s="69" t="inlineStr">
        <is>
          <t>Philadelphia-Camden-Wilmington, PA-NJ-DE-MD</t>
        </is>
      </c>
      <c r="AI77" s="69" t="inlineStr">
        <is>
          <t>Northeast / Mid-Atlantic</t>
        </is>
      </c>
      <c r="AJ77" s="69" t="inlineStr">
        <is>
          <t>RT</t>
        </is>
      </c>
      <c r="AK77" s="69" t="inlineStr">
        <is>
          <t>Anchored</t>
        </is>
      </c>
      <c r="AL77" s="68" t="n">
        <v>1</v>
      </c>
      <c r="AM77" s="68" t="n"/>
      <c r="AN77" s="68" t="n">
        <v>156812</v>
      </c>
      <c r="AO77" s="69" t="inlineStr">
        <is>
          <t>1997</t>
        </is>
      </c>
      <c r="AP77" s="70" t="n">
        <v>1997</v>
      </c>
      <c r="AQ77" s="74" t="n">
        <v>1.37</v>
      </c>
      <c r="AR77" s="74" t="n">
        <v>1.19</v>
      </c>
      <c r="AS77" s="74" t="n">
        <v>61.4</v>
      </c>
      <c r="AT77" s="74" t="n">
        <v>57.57</v>
      </c>
      <c r="AU77" s="74" t="n">
        <v>56.37</v>
      </c>
      <c r="AV77" s="74" t="n">
        <v>8.536785714000001</v>
      </c>
      <c r="AW77" s="74" t="n">
        <v>8.499213748000001</v>
      </c>
      <c r="AX77" s="75" t="n">
        <v>89</v>
      </c>
      <c r="AY77" s="71" t="n">
        <v>45600000</v>
      </c>
      <c r="AZ77" s="71" t="n">
        <v>45600000</v>
      </c>
      <c r="BA77" s="71" t="n">
        <v>2390300</v>
      </c>
      <c r="BB77" s="71" t="n">
        <v>2076229.69</v>
      </c>
      <c r="BC77" s="69" t="inlineStr">
        <is>
          <t>Refinance</t>
        </is>
      </c>
      <c r="BD77" s="69" t="inlineStr">
        <is>
          <t>N</t>
        </is>
      </c>
      <c r="BE77" s="71" t="n"/>
      <c r="BF77" s="71" t="n"/>
      <c r="BG77" s="71" t="n"/>
      <c r="BH77" s="71" t="n">
        <v>0</v>
      </c>
      <c r="BI77" s="71" t="n">
        <v>0</v>
      </c>
      <c r="BJ77" s="69" t="inlineStr">
        <is>
          <t>N</t>
        </is>
      </c>
      <c r="BK77" s="69" t="inlineStr">
        <is>
          <t>Giant Food Market</t>
        </is>
      </c>
      <c r="BL77" s="75" t="n">
        <v>39.77</v>
      </c>
      <c r="BM77" s="73" t="n">
        <v>47391</v>
      </c>
      <c r="BN77" s="69" t="inlineStr">
        <is>
          <t>James J. McCaffrey, III</t>
        </is>
      </c>
      <c r="BO77" s="69" t="inlineStr">
        <is>
          <t>RMF</t>
        </is>
      </c>
      <c r="BP77" s="69" t="inlineStr">
        <is>
          <t>Midland Loan Services</t>
        </is>
      </c>
      <c r="BQ77" s="69" t="inlineStr">
        <is>
          <t>Midland Loan Services</t>
        </is>
      </c>
      <c r="BR77" s="69" t="n"/>
      <c r="BS77" s="73" t="n">
        <v>46273</v>
      </c>
      <c r="BU77" s="76">
        <f>IF($C77="","",IFERROR(INDEX(dmName,MATCH($C77,dmID,0)),"Unmapped"))</f>
        <v/>
      </c>
      <c r="BV77" s="76">
        <f>IF($C77="","",IFERROR(INDEX(dmEntity,MATCH($C77,dmID,0)),"Unmapped"))</f>
        <v/>
      </c>
      <c r="BW77" s="77">
        <f>IF($C77="","",IFERROR(INDEX(dmVintage,MATCH($C77,dmID,0)),""))</f>
        <v/>
      </c>
      <c r="BX77" s="78">
        <f>IFERROR(INDEX(dmInclude,MATCH($C77,dmID,0)),0)</f>
        <v/>
      </c>
      <c r="BY77" s="78">
        <f>IF(N($I77)&gt;0,1,0)</f>
        <v/>
      </c>
      <c r="BZ77" s="76">
        <f>IF($AJ77="","Other / Leased Fee",IFERROR(INDEX(mapPTGroup,MATCH(LEFT(TRIM($AJ77),2),mapPTCode,0)),"Other / Leased Fee"))</f>
        <v/>
      </c>
      <c r="CA77" s="76">
        <f>IF(TRIM($AF77&amp;"")="","NR",LEFT(TRIM($AF77),2))</f>
        <v/>
      </c>
      <c r="CB77" s="76">
        <f>IFERROR(LOOKUP(2,1/(LEFT(TRIM($AI77&amp;""),LEN(mapRegion))=mapRegion),mapRegion),"Not Reported")</f>
        <v/>
      </c>
      <c r="CC77" s="76">
        <f>IF($BY77=0,"",IF(TRIM($W77&amp;"")="REO","REO",IF(TRIM($W77&amp;"")="FC","Foreclosure",IF(TRIM($W77&amp;"")="90+","90+ Days Delinquent",IF(TRIM($W77&amp;"")="60","60 Days Delinquent",IF(TRIM($W77&amp;"")="30","30 Days Delinquent",IF($X77="Non-Performing Matured Balloon","Non-Performing Matured Balloon",IF(OR($X77="Late Payment But Less Than 30 Days Delinquent",LEFT($X77&amp;"",20)="Payment Not Received"),"Late / In Grace (&lt;30 Days)",IF($X77="Performing Matured Balloon","Performing Matured Balloon","Current")))))))))</f>
        <v/>
      </c>
      <c r="CD77" s="78">
        <f>IF(OR($CC77="REO",$CC77="Foreclosure",$CC77="90+ Days Delinquent",$CC77="60 Days Delinquent",$CC77="30 Days Delinquent",$CC77="Non-Performing Matured Balloon"),1,0)</f>
        <v/>
      </c>
      <c r="CE77" s="76">
        <f>IF($AB77="Currently special serv","Currently Specially Serviced",IF($AB77="Returned to master serv","Previously Specially Serviced","Never Specially Serviced"))</f>
        <v/>
      </c>
      <c r="CF77" s="78">
        <f>IF($CE77="Currently Specially Serviced",1,0)</f>
        <v/>
      </c>
      <c r="CG77" s="76">
        <f>IF($AA77="Yes","Currently on Watchlist",IF($AA77="Previously","Previously on Watchlist","Never on Watchlist"))</f>
        <v/>
      </c>
      <c r="CH77" s="78">
        <f>IF($CG77="Currently on Watchlist",1,0)</f>
        <v/>
      </c>
      <c r="CI77" s="76">
        <f>IF($Z77="Full Defeasance","Fully Defeased",IF($Z77="Portion Of Loan Previously Defeased","Partially Defeased",IF($Z77="Defeasance Not Allowable","Not Defeased (Not Permitted)","Not Defeased")))</f>
        <v/>
      </c>
      <c r="CJ77" s="78">
        <f>IF($CI77="Fully Defeased",1,0)</f>
        <v/>
      </c>
      <c r="CK77" s="76">
        <f>IF($R77="IO","Full IO",IF(LEFT($R77&amp;"",7)="IO then","Partial IO","Amortizing"))</f>
        <v/>
      </c>
      <c r="CL77" s="78">
        <f>IF($CK77="Full IO",1,0)</f>
        <v/>
      </c>
      <c r="CM77" s="78">
        <f>IF($CK77="Partial IO",1,0)</f>
        <v/>
      </c>
      <c r="CN77" s="76">
        <f>IF(LEFT($F77&amp;"",10)="SPLIT_LOAN","Pari Passu Split","Standalone")</f>
        <v/>
      </c>
      <c r="CO77" s="78">
        <f>IF($CN77="Pari Passu Split",1,0)</f>
        <v/>
      </c>
      <c r="CP77" s="77">
        <f>IF(ISNUMBER($T77),YEAR($T77),"")</f>
        <v/>
      </c>
      <c r="CQ77" s="79">
        <f>IF(ISNUMBER($V77),$V77,IF(ISNUMBER($U77),$U77,""))</f>
        <v/>
      </c>
      <c r="CR77" s="77">
        <f>IF(ISNUMBER($CQ77),YEAR($CQ77),"")</f>
        <v/>
      </c>
      <c r="CS77" s="78">
        <f>IF(ISNUMBER($M77),MAX(0,$M77),IF(TRIM($M77&amp;"")="matured",0,""))</f>
        <v/>
      </c>
      <c r="CT77" s="78">
        <f>IF(AND(ISNUMBER($CS77),N($CS77)&lt;=mMatWindow),1,0)</f>
        <v/>
      </c>
      <c r="CU77" s="80">
        <f>IF(ISNUMBER($J77),$J77/100,"")</f>
        <v/>
      </c>
      <c r="CV77" s="81">
        <f>IF(ISNUMBER($AQ77),$AQ77,"")</f>
        <v/>
      </c>
      <c r="CW77" s="81">
        <f>IF(ISNUMBER($AR77),$AR77,"")</f>
        <v/>
      </c>
      <c r="CX77" s="82">
        <f>IF(ISNUMBER($AS77),$AS77/100,"")</f>
        <v/>
      </c>
      <c r="CY77" s="82">
        <f>IF(ISNUMBER($AT77),$AT77/100,"")</f>
        <v/>
      </c>
      <c r="CZ77" s="82">
        <f>IF(ISNUMBER($AU77),$AU77/100,"")</f>
        <v/>
      </c>
      <c r="DA77" s="82">
        <f>IF(ISNUMBER($AV77),$AV77/100,"")</f>
        <v/>
      </c>
      <c r="DB77" s="82">
        <f>IF(ISNUMBER($AW77),$AW77/100,"")</f>
        <v/>
      </c>
      <c r="DC77" s="82">
        <f>IF(ISNUMBER($AX77),$AX77/100,"")</f>
        <v/>
      </c>
      <c r="DD77" s="77">
        <f>IFERROR(VALUE(LEFT(TRIM($AO77&amp;""),4)),"")</f>
        <v/>
      </c>
      <c r="DE77" s="78">
        <f>IF(AND($BY77=1,$BX77=1,OR(fDeal="All Deals",$BU77=fDeal),OR(fEntity="All Entities",$BV77=fEntity),OR(fPType="All Property Types",$BZ77=fPType),OR(fDefeased="Include",$CJ77=0)),1,0)</f>
        <v/>
      </c>
      <c r="DF77" s="83">
        <f>$DE77*N($I77)</f>
        <v/>
      </c>
      <c r="DG77" s="78">
        <f>IF($DE77=1,IF(COUNTIFS($F$8:$F77,$F77,$DE$8:$DE77,1)=1,1,0),0)</f>
        <v/>
      </c>
      <c r="DH77" s="83">
        <f>IF($DG77=1,SUMIFS($DF$8:$DF$1600,$F$8:$F$1600,$F77),0)</f>
        <v/>
      </c>
      <c r="DI77" s="78">
        <f>IF($DG77=1,COUNTIFS($F$8:$F$1600,$F77,$DE$8:$DE$1600,1),0)</f>
        <v/>
      </c>
      <c r="DJ77" s="84">
        <f>IF($DG77=1,$DH77+(100000-ROW())/mTieBreak,0)</f>
        <v/>
      </c>
    </row>
    <row r="78">
      <c r="B78" s="68" t="n">
        <v>12</v>
      </c>
      <c r="C78" s="69" t="inlineStr">
        <is>
          <t>CTG17C04</t>
        </is>
      </c>
      <c r="D78" s="69" t="inlineStr">
        <is>
          <t>12.000</t>
        </is>
      </c>
      <c r="E78" s="69" t="inlineStr">
        <is>
          <t>Las Vegas Retail Portfolio</t>
        </is>
      </c>
      <c r="F78" s="69" t="inlineStr">
        <is>
          <t>LNCTG17C04-12.000</t>
        </is>
      </c>
      <c r="G78" s="70" t="n"/>
      <c r="H78" s="71" t="n">
        <v>27000000</v>
      </c>
      <c r="I78" s="71" t="n">
        <v>21461512.40001</v>
      </c>
      <c r="J78" s="72" t="n">
        <v>4.4</v>
      </c>
      <c r="K78" s="69" t="inlineStr">
        <is>
          <t>Fixed rate</t>
        </is>
      </c>
      <c r="L78" s="68" t="n">
        <v>120</v>
      </c>
      <c r="M78" s="68" t="n">
        <v>12</v>
      </c>
      <c r="N78" s="68" t="n">
        <v>312</v>
      </c>
      <c r="O78" s="68" t="n">
        <v>12</v>
      </c>
      <c r="P78" s="68" t="n">
        <v>0</v>
      </c>
      <c r="Q78" s="68" t="n">
        <v>108</v>
      </c>
      <c r="R78" s="69" t="inlineStr">
        <is>
          <t>IO then Amort</t>
        </is>
      </c>
      <c r="S78" s="69" t="inlineStr">
        <is>
          <t>No</t>
        </is>
      </c>
      <c r="T78" s="73" t="n">
        <v>42979</v>
      </c>
      <c r="U78" s="73" t="n">
        <v>46636</v>
      </c>
      <c r="V78" s="73" t="n"/>
      <c r="W78" s="69" t="n"/>
      <c r="X78" s="69" t="inlineStr">
        <is>
          <t>Current</t>
        </is>
      </c>
      <c r="Y78" s="68" t="n"/>
      <c r="Z78" s="69" t="inlineStr">
        <is>
          <t>No Defeasance Occurred</t>
        </is>
      </c>
      <c r="AA78" s="69" t="inlineStr">
        <is>
          <t>Previously</t>
        </is>
      </c>
      <c r="AB78" s="69" t="inlineStr">
        <is>
          <t>Never special serv</t>
        </is>
      </c>
      <c r="AC78" s="73" t="n"/>
      <c r="AD78" s="69" t="n"/>
      <c r="AE78" s="69" t="n"/>
      <c r="AF78" s="69" t="inlineStr">
        <is>
          <t>NV</t>
        </is>
      </c>
      <c r="AG78" s="69" t="n"/>
      <c r="AH78" s="69" t="inlineStr">
        <is>
          <t>Las Vegas-Henderson-North Las Vegas, NV</t>
        </is>
      </c>
      <c r="AI78" s="69" t="inlineStr">
        <is>
          <t>West / Mountain</t>
        </is>
      </c>
      <c r="AJ78" s="69" t="inlineStr">
        <is>
          <t>RT</t>
        </is>
      </c>
      <c r="AK78" s="69" t="n"/>
      <c r="AL78" s="68" t="n">
        <v>3</v>
      </c>
      <c r="AM78" s="68" t="n"/>
      <c r="AN78" s="68" t="n">
        <v>147429</v>
      </c>
      <c r="AO78" s="69" t="n"/>
      <c r="AP78" s="70" t="n">
        <v>2015</v>
      </c>
      <c r="AQ78" s="74" t="n">
        <v>1.38</v>
      </c>
      <c r="AR78" s="74" t="n">
        <v>1.56</v>
      </c>
      <c r="AS78" s="74" t="n">
        <v>69.68000000000001</v>
      </c>
      <c r="AT78" s="74" t="n">
        <v>55.38</v>
      </c>
      <c r="AU78" s="74" t="n">
        <v>53.21</v>
      </c>
      <c r="AV78" s="74" t="n">
        <v>9.095425259000001</v>
      </c>
      <c r="AW78" s="74" t="n">
        <v>12.971153515</v>
      </c>
      <c r="AX78" s="75" t="n">
        <v>100</v>
      </c>
      <c r="AY78" s="71" t="n">
        <v>38750000</v>
      </c>
      <c r="AZ78" s="71" t="n">
        <v>38750000</v>
      </c>
      <c r="BA78" s="71" t="n">
        <v>2455764.82</v>
      </c>
      <c r="BB78" s="71" t="n">
        <v>2783805.72</v>
      </c>
      <c r="BC78" s="69" t="inlineStr">
        <is>
          <t>Acquisition/Refinance</t>
        </is>
      </c>
      <c r="BD78" s="69" t="inlineStr">
        <is>
          <t>N</t>
        </is>
      </c>
      <c r="BE78" s="71" t="n"/>
      <c r="BF78" s="71" t="n"/>
      <c r="BG78" s="71" t="n"/>
      <c r="BH78" s="71" t="n">
        <v>0</v>
      </c>
      <c r="BI78" s="71" t="n">
        <v>0</v>
      </c>
      <c r="BJ78" s="69" t="inlineStr">
        <is>
          <t>N</t>
        </is>
      </c>
      <c r="BK78" s="69" t="inlineStr">
        <is>
          <t>FITNESS ALLIANCE</t>
        </is>
      </c>
      <c r="BL78" s="75" t="n">
        <v>23.48</v>
      </c>
      <c r="BM78" s="73" t="n">
        <v>47907</v>
      </c>
      <c r="BN78" s="69" t="inlineStr">
        <is>
          <t>Bradley J. Kloss</t>
        </is>
      </c>
      <c r="BO78" s="69" t="inlineStr">
        <is>
          <t>Citigroup Global Markets</t>
        </is>
      </c>
      <c r="BP78" s="69" t="inlineStr">
        <is>
          <t>Midland Loan Services</t>
        </is>
      </c>
      <c r="BQ78" s="69" t="inlineStr">
        <is>
          <t>Midland Loan Services</t>
        </is>
      </c>
      <c r="BR78" s="69" t="n"/>
      <c r="BS78" s="73" t="n">
        <v>46273</v>
      </c>
      <c r="BU78" s="76">
        <f>IF($C78="","",IFERROR(INDEX(dmName,MATCH($C78,dmID,0)),"Unmapped"))</f>
        <v/>
      </c>
      <c r="BV78" s="76">
        <f>IF($C78="","",IFERROR(INDEX(dmEntity,MATCH($C78,dmID,0)),"Unmapped"))</f>
        <v/>
      </c>
      <c r="BW78" s="77">
        <f>IF($C78="","",IFERROR(INDEX(dmVintage,MATCH($C78,dmID,0)),""))</f>
        <v/>
      </c>
      <c r="BX78" s="78">
        <f>IFERROR(INDEX(dmInclude,MATCH($C78,dmID,0)),0)</f>
        <v/>
      </c>
      <c r="BY78" s="78">
        <f>IF(N($I78)&gt;0,1,0)</f>
        <v/>
      </c>
      <c r="BZ78" s="76">
        <f>IF($AJ78="","Other / Leased Fee",IFERROR(INDEX(mapPTGroup,MATCH(LEFT(TRIM($AJ78),2),mapPTCode,0)),"Other / Leased Fee"))</f>
        <v/>
      </c>
      <c r="CA78" s="76">
        <f>IF(TRIM($AF78&amp;"")="","NR",LEFT(TRIM($AF78),2))</f>
        <v/>
      </c>
      <c r="CB78" s="76">
        <f>IFERROR(LOOKUP(2,1/(LEFT(TRIM($AI78&amp;""),LEN(mapRegion))=mapRegion),mapRegion),"Not Reported")</f>
        <v/>
      </c>
      <c r="CC78" s="76">
        <f>IF($BY78=0,"",IF(TRIM($W78&amp;"")="REO","REO",IF(TRIM($W78&amp;"")="FC","Foreclosure",IF(TRIM($W78&amp;"")="90+","90+ Days Delinquent",IF(TRIM($W78&amp;"")="60","60 Days Delinquent",IF(TRIM($W78&amp;"")="30","30 Days Delinquent",IF($X78="Non-Performing Matured Balloon","Non-Performing Matured Balloon",IF(OR($X78="Late Payment But Less Than 30 Days Delinquent",LEFT($X78&amp;"",20)="Payment Not Received"),"Late / In Grace (&lt;30 Days)",IF($X78="Performing Matured Balloon","Performing Matured Balloon","Current")))))))))</f>
        <v/>
      </c>
      <c r="CD78" s="78">
        <f>IF(OR($CC78="REO",$CC78="Foreclosure",$CC78="90+ Days Delinquent",$CC78="60 Days Delinquent",$CC78="30 Days Delinquent",$CC78="Non-Performing Matured Balloon"),1,0)</f>
        <v/>
      </c>
      <c r="CE78" s="76">
        <f>IF($AB78="Currently special serv","Currently Specially Serviced",IF($AB78="Returned to master serv","Previously Specially Serviced","Never Specially Serviced"))</f>
        <v/>
      </c>
      <c r="CF78" s="78">
        <f>IF($CE78="Currently Specially Serviced",1,0)</f>
        <v/>
      </c>
      <c r="CG78" s="76">
        <f>IF($AA78="Yes","Currently on Watchlist",IF($AA78="Previously","Previously on Watchlist","Never on Watchlist"))</f>
        <v/>
      </c>
      <c r="CH78" s="78">
        <f>IF($CG78="Currently on Watchlist",1,0)</f>
        <v/>
      </c>
      <c r="CI78" s="76">
        <f>IF($Z78="Full Defeasance","Fully Defeased",IF($Z78="Portion Of Loan Previously Defeased","Partially Defeased",IF($Z78="Defeasance Not Allowable","Not Defeased (Not Permitted)","Not Defeased")))</f>
        <v/>
      </c>
      <c r="CJ78" s="78">
        <f>IF($CI78="Fully Defeased",1,0)</f>
        <v/>
      </c>
      <c r="CK78" s="76">
        <f>IF($R78="IO","Full IO",IF(LEFT($R78&amp;"",7)="IO then","Partial IO","Amortizing"))</f>
        <v/>
      </c>
      <c r="CL78" s="78">
        <f>IF($CK78="Full IO",1,0)</f>
        <v/>
      </c>
      <c r="CM78" s="78">
        <f>IF($CK78="Partial IO",1,0)</f>
        <v/>
      </c>
      <c r="CN78" s="76">
        <f>IF(LEFT($F78&amp;"",10)="SPLIT_LOAN","Pari Passu Split","Standalone")</f>
        <v/>
      </c>
      <c r="CO78" s="78">
        <f>IF($CN78="Pari Passu Split",1,0)</f>
        <v/>
      </c>
      <c r="CP78" s="77">
        <f>IF(ISNUMBER($T78),YEAR($T78),"")</f>
        <v/>
      </c>
      <c r="CQ78" s="79">
        <f>IF(ISNUMBER($V78),$V78,IF(ISNUMBER($U78),$U78,""))</f>
        <v/>
      </c>
      <c r="CR78" s="77">
        <f>IF(ISNUMBER($CQ78),YEAR($CQ78),"")</f>
        <v/>
      </c>
      <c r="CS78" s="78">
        <f>IF(ISNUMBER($M78),MAX(0,$M78),IF(TRIM($M78&amp;"")="matured",0,""))</f>
        <v/>
      </c>
      <c r="CT78" s="78">
        <f>IF(AND(ISNUMBER($CS78),N($CS78)&lt;=mMatWindow),1,0)</f>
        <v/>
      </c>
      <c r="CU78" s="80">
        <f>IF(ISNUMBER($J78),$J78/100,"")</f>
        <v/>
      </c>
      <c r="CV78" s="81">
        <f>IF(ISNUMBER($AQ78),$AQ78,"")</f>
        <v/>
      </c>
      <c r="CW78" s="81">
        <f>IF(ISNUMBER($AR78),$AR78,"")</f>
        <v/>
      </c>
      <c r="CX78" s="82">
        <f>IF(ISNUMBER($AS78),$AS78/100,"")</f>
        <v/>
      </c>
      <c r="CY78" s="82">
        <f>IF(ISNUMBER($AT78),$AT78/100,"")</f>
        <v/>
      </c>
      <c r="CZ78" s="82">
        <f>IF(ISNUMBER($AU78),$AU78/100,"")</f>
        <v/>
      </c>
      <c r="DA78" s="82">
        <f>IF(ISNUMBER($AV78),$AV78/100,"")</f>
        <v/>
      </c>
      <c r="DB78" s="82">
        <f>IF(ISNUMBER($AW78),$AW78/100,"")</f>
        <v/>
      </c>
      <c r="DC78" s="82">
        <f>IF(ISNUMBER($AX78),$AX78/100,"")</f>
        <v/>
      </c>
      <c r="DD78" s="77">
        <f>IFERROR(VALUE(LEFT(TRIM($AO78&amp;""),4)),"")</f>
        <v/>
      </c>
      <c r="DE78" s="78">
        <f>IF(AND($BY78=1,$BX78=1,OR(fDeal="All Deals",$BU78=fDeal),OR(fEntity="All Entities",$BV78=fEntity),OR(fPType="All Property Types",$BZ78=fPType),OR(fDefeased="Include",$CJ78=0)),1,0)</f>
        <v/>
      </c>
      <c r="DF78" s="83">
        <f>$DE78*N($I78)</f>
        <v/>
      </c>
      <c r="DG78" s="78">
        <f>IF($DE78=1,IF(COUNTIFS($F$8:$F78,$F78,$DE$8:$DE78,1)=1,1,0),0)</f>
        <v/>
      </c>
      <c r="DH78" s="83">
        <f>IF($DG78=1,SUMIFS($DF$8:$DF$1600,$F$8:$F$1600,$F78),0)</f>
        <v/>
      </c>
      <c r="DI78" s="78">
        <f>IF($DG78=1,COUNTIFS($F$8:$F$1600,$F78,$DE$8:$DE$1600,1),0)</f>
        <v/>
      </c>
      <c r="DJ78" s="84">
        <f>IF($DG78=1,$DH78+(100000-ROW())/mTieBreak,0)</f>
        <v/>
      </c>
    </row>
    <row r="79">
      <c r="B79" s="68" t="n">
        <v>13</v>
      </c>
      <c r="C79" s="69" t="inlineStr">
        <is>
          <t>CTG17C04</t>
        </is>
      </c>
      <c r="D79" s="69" t="inlineStr">
        <is>
          <t>13.000</t>
        </is>
      </c>
      <c r="E79" s="69" t="inlineStr">
        <is>
          <t>Torrey Executive Centre</t>
        </is>
      </c>
      <c r="F79" s="69" t="inlineStr">
        <is>
          <t>LNCTG17C04-13.000</t>
        </is>
      </c>
      <c r="G79" s="70" t="n"/>
      <c r="H79" s="71" t="n">
        <v>25200000</v>
      </c>
      <c r="I79" s="71" t="n">
        <v>22633968.3200064</v>
      </c>
      <c r="J79" s="72" t="n">
        <v>4.55</v>
      </c>
      <c r="K79" s="69" t="inlineStr">
        <is>
          <t>Fixed rate</t>
        </is>
      </c>
      <c r="L79" s="68" t="n">
        <v>120</v>
      </c>
      <c r="M79" s="68" t="n">
        <v>13</v>
      </c>
      <c r="N79" s="68" t="n">
        <v>396</v>
      </c>
      <c r="O79" s="68" t="n">
        <v>36</v>
      </c>
      <c r="P79" s="68" t="n">
        <v>0</v>
      </c>
      <c r="Q79" s="68" t="n">
        <v>107</v>
      </c>
      <c r="R79" s="69" t="inlineStr">
        <is>
          <t>IO then Amort</t>
        </is>
      </c>
      <c r="S79" s="69" t="inlineStr">
        <is>
          <t>No</t>
        </is>
      </c>
      <c r="T79" s="73" t="n">
        <v>43009</v>
      </c>
      <c r="U79" s="73" t="n">
        <v>46666</v>
      </c>
      <c r="V79" s="73" t="n"/>
      <c r="W79" s="69" t="n"/>
      <c r="X79" s="69" t="inlineStr">
        <is>
          <t>Current</t>
        </is>
      </c>
      <c r="Y79" s="68" t="n"/>
      <c r="Z79" s="69" t="inlineStr">
        <is>
          <t>No Defeasance Occurred</t>
        </is>
      </c>
      <c r="AA79" s="69" t="inlineStr">
        <is>
          <t>Previously</t>
        </is>
      </c>
      <c r="AB79" s="69" t="inlineStr">
        <is>
          <t>Never special serv</t>
        </is>
      </c>
      <c r="AC79" s="73" t="n"/>
      <c r="AD79" s="69" t="n"/>
      <c r="AE79" s="69" t="n"/>
      <c r="AF79" s="69" t="inlineStr">
        <is>
          <t>CA</t>
        </is>
      </c>
      <c r="AG79" s="69" t="inlineStr">
        <is>
          <t>San Diego</t>
        </is>
      </c>
      <c r="AH79" s="69" t="inlineStr">
        <is>
          <t>San Diego-Chula Vista-Carlsbad, CA</t>
        </is>
      </c>
      <c r="AI79" s="69" t="inlineStr">
        <is>
          <t>West / Pacific South</t>
        </is>
      </c>
      <c r="AJ79" s="69" t="inlineStr">
        <is>
          <t>OF</t>
        </is>
      </c>
      <c r="AK79" s="69" t="inlineStr">
        <is>
          <t>Suburban</t>
        </is>
      </c>
      <c r="AL79" s="68" t="n">
        <v>1</v>
      </c>
      <c r="AM79" s="68" t="n"/>
      <c r="AN79" s="68" t="n">
        <v>60278</v>
      </c>
      <c r="AO79" s="69" t="inlineStr">
        <is>
          <t>1977</t>
        </is>
      </c>
      <c r="AP79" s="70" t="n">
        <v>1977</v>
      </c>
      <c r="AQ79" s="74" t="n">
        <v>1.35</v>
      </c>
      <c r="AR79" s="74" t="n">
        <v>1.78</v>
      </c>
      <c r="AS79" s="74" t="n">
        <v>66.5</v>
      </c>
      <c r="AT79" s="74" t="n">
        <v>59.72</v>
      </c>
      <c r="AU79" s="74" t="n">
        <v>58.3</v>
      </c>
      <c r="AV79" s="74" t="n">
        <v>8.227002302000001</v>
      </c>
      <c r="AW79" s="74" t="n">
        <v>10.928392163</v>
      </c>
      <c r="AX79" s="75" t="n">
        <v>100</v>
      </c>
      <c r="AY79" s="71" t="n">
        <v>37900000</v>
      </c>
      <c r="AZ79" s="71" t="n">
        <v>37900000</v>
      </c>
      <c r="BA79" s="71" t="n">
        <v>2073204.58</v>
      </c>
      <c r="BB79" s="71" t="n">
        <v>2739784.68</v>
      </c>
      <c r="BC79" s="69" t="inlineStr">
        <is>
          <t>Refinance</t>
        </is>
      </c>
      <c r="BD79" s="69" t="inlineStr">
        <is>
          <t>N</t>
        </is>
      </c>
      <c r="BE79" s="71" t="n"/>
      <c r="BF79" s="71" t="n"/>
      <c r="BG79" s="71" t="n"/>
      <c r="BH79" s="71" t="n">
        <v>0</v>
      </c>
      <c r="BI79" s="71" t="n">
        <v>0</v>
      </c>
      <c r="BJ79" s="69" t="inlineStr">
        <is>
          <t>N</t>
        </is>
      </c>
      <c r="BK79" s="69" t="inlineStr">
        <is>
          <t>The Scripps Research Center</t>
        </is>
      </c>
      <c r="BL79" s="75" t="n">
        <v>100</v>
      </c>
      <c r="BM79" s="73" t="n">
        <v>47391</v>
      </c>
      <c r="BN79" s="69" t="inlineStr">
        <is>
          <t>Douglas F. Manchester</t>
        </is>
      </c>
      <c r="BO79" s="69" t="inlineStr">
        <is>
          <t>Cantor Commercial Real Estate Lending</t>
        </is>
      </c>
      <c r="BP79" s="69" t="inlineStr">
        <is>
          <t>Midland Loan Services</t>
        </is>
      </c>
      <c r="BQ79" s="69" t="inlineStr">
        <is>
          <t>Midland Loan Services</t>
        </is>
      </c>
      <c r="BR79" s="69" t="n"/>
      <c r="BS79" s="73" t="n">
        <v>46273</v>
      </c>
      <c r="BU79" s="76">
        <f>IF($C79="","",IFERROR(INDEX(dmName,MATCH($C79,dmID,0)),"Unmapped"))</f>
        <v/>
      </c>
      <c r="BV79" s="76">
        <f>IF($C79="","",IFERROR(INDEX(dmEntity,MATCH($C79,dmID,0)),"Unmapped"))</f>
        <v/>
      </c>
      <c r="BW79" s="77">
        <f>IF($C79="","",IFERROR(INDEX(dmVintage,MATCH($C79,dmID,0)),""))</f>
        <v/>
      </c>
      <c r="BX79" s="78">
        <f>IFERROR(INDEX(dmInclude,MATCH($C79,dmID,0)),0)</f>
        <v/>
      </c>
      <c r="BY79" s="78">
        <f>IF(N($I79)&gt;0,1,0)</f>
        <v/>
      </c>
      <c r="BZ79" s="76">
        <f>IF($AJ79="","Other / Leased Fee",IFERROR(INDEX(mapPTGroup,MATCH(LEFT(TRIM($AJ79),2),mapPTCode,0)),"Other / Leased Fee"))</f>
        <v/>
      </c>
      <c r="CA79" s="76">
        <f>IF(TRIM($AF79&amp;"")="","NR",LEFT(TRIM($AF79),2))</f>
        <v/>
      </c>
      <c r="CB79" s="76">
        <f>IFERROR(LOOKUP(2,1/(LEFT(TRIM($AI79&amp;""),LEN(mapRegion))=mapRegion),mapRegion),"Not Reported")</f>
        <v/>
      </c>
      <c r="CC79" s="76">
        <f>IF($BY79=0,"",IF(TRIM($W79&amp;"")="REO","REO",IF(TRIM($W79&amp;"")="FC","Foreclosure",IF(TRIM($W79&amp;"")="90+","90+ Days Delinquent",IF(TRIM($W79&amp;"")="60","60 Days Delinquent",IF(TRIM($W79&amp;"")="30","30 Days Delinquent",IF($X79="Non-Performing Matured Balloon","Non-Performing Matured Balloon",IF(OR($X79="Late Payment But Less Than 30 Days Delinquent",LEFT($X79&amp;"",20)="Payment Not Received"),"Late / In Grace (&lt;30 Days)",IF($X79="Performing Matured Balloon","Performing Matured Balloon","Current")))))))))</f>
        <v/>
      </c>
      <c r="CD79" s="78">
        <f>IF(OR($CC79="REO",$CC79="Foreclosure",$CC79="90+ Days Delinquent",$CC79="60 Days Delinquent",$CC79="30 Days Delinquent",$CC79="Non-Performing Matured Balloon"),1,0)</f>
        <v/>
      </c>
      <c r="CE79" s="76">
        <f>IF($AB79="Currently special serv","Currently Specially Serviced",IF($AB79="Returned to master serv","Previously Specially Serviced","Never Specially Serviced"))</f>
        <v/>
      </c>
      <c r="CF79" s="78">
        <f>IF($CE79="Currently Specially Serviced",1,0)</f>
        <v/>
      </c>
      <c r="CG79" s="76">
        <f>IF($AA79="Yes","Currently on Watchlist",IF($AA79="Previously","Previously on Watchlist","Never on Watchlist"))</f>
        <v/>
      </c>
      <c r="CH79" s="78">
        <f>IF($CG79="Currently on Watchlist",1,0)</f>
        <v/>
      </c>
      <c r="CI79" s="76">
        <f>IF($Z79="Full Defeasance","Fully Defeased",IF($Z79="Portion Of Loan Previously Defeased","Partially Defeased",IF($Z79="Defeasance Not Allowable","Not Defeased (Not Permitted)","Not Defeased")))</f>
        <v/>
      </c>
      <c r="CJ79" s="78">
        <f>IF($CI79="Fully Defeased",1,0)</f>
        <v/>
      </c>
      <c r="CK79" s="76">
        <f>IF($R79="IO","Full IO",IF(LEFT($R79&amp;"",7)="IO then","Partial IO","Amortizing"))</f>
        <v/>
      </c>
      <c r="CL79" s="78">
        <f>IF($CK79="Full IO",1,0)</f>
        <v/>
      </c>
      <c r="CM79" s="78">
        <f>IF($CK79="Partial IO",1,0)</f>
        <v/>
      </c>
      <c r="CN79" s="76">
        <f>IF(LEFT($F79&amp;"",10)="SPLIT_LOAN","Pari Passu Split","Standalone")</f>
        <v/>
      </c>
      <c r="CO79" s="78">
        <f>IF($CN79="Pari Passu Split",1,0)</f>
        <v/>
      </c>
      <c r="CP79" s="77">
        <f>IF(ISNUMBER($T79),YEAR($T79),"")</f>
        <v/>
      </c>
      <c r="CQ79" s="79">
        <f>IF(ISNUMBER($V79),$V79,IF(ISNUMBER($U79),$U79,""))</f>
        <v/>
      </c>
      <c r="CR79" s="77">
        <f>IF(ISNUMBER($CQ79),YEAR($CQ79),"")</f>
        <v/>
      </c>
      <c r="CS79" s="78">
        <f>IF(ISNUMBER($M79),MAX(0,$M79),IF(TRIM($M79&amp;"")="matured",0,""))</f>
        <v/>
      </c>
      <c r="CT79" s="78">
        <f>IF(AND(ISNUMBER($CS79),N($CS79)&lt;=mMatWindow),1,0)</f>
        <v/>
      </c>
      <c r="CU79" s="80">
        <f>IF(ISNUMBER($J79),$J79/100,"")</f>
        <v/>
      </c>
      <c r="CV79" s="81">
        <f>IF(ISNUMBER($AQ79),$AQ79,"")</f>
        <v/>
      </c>
      <c r="CW79" s="81">
        <f>IF(ISNUMBER($AR79),$AR79,"")</f>
        <v/>
      </c>
      <c r="CX79" s="82">
        <f>IF(ISNUMBER($AS79),$AS79/100,"")</f>
        <v/>
      </c>
      <c r="CY79" s="82">
        <f>IF(ISNUMBER($AT79),$AT79/100,"")</f>
        <v/>
      </c>
      <c r="CZ79" s="82">
        <f>IF(ISNUMBER($AU79),$AU79/100,"")</f>
        <v/>
      </c>
      <c r="DA79" s="82">
        <f>IF(ISNUMBER($AV79),$AV79/100,"")</f>
        <v/>
      </c>
      <c r="DB79" s="82">
        <f>IF(ISNUMBER($AW79),$AW79/100,"")</f>
        <v/>
      </c>
      <c r="DC79" s="82">
        <f>IF(ISNUMBER($AX79),$AX79/100,"")</f>
        <v/>
      </c>
      <c r="DD79" s="77">
        <f>IFERROR(VALUE(LEFT(TRIM($AO79&amp;""),4)),"")</f>
        <v/>
      </c>
      <c r="DE79" s="78">
        <f>IF(AND($BY79=1,$BX79=1,OR(fDeal="All Deals",$BU79=fDeal),OR(fEntity="All Entities",$BV79=fEntity),OR(fPType="All Property Types",$BZ79=fPType),OR(fDefeased="Include",$CJ79=0)),1,0)</f>
        <v/>
      </c>
      <c r="DF79" s="83">
        <f>$DE79*N($I79)</f>
        <v/>
      </c>
      <c r="DG79" s="78">
        <f>IF($DE79=1,IF(COUNTIFS($F$8:$F79,$F79,$DE$8:$DE79,1)=1,1,0),0)</f>
        <v/>
      </c>
      <c r="DH79" s="83">
        <f>IF($DG79=1,SUMIFS($DF$8:$DF$1600,$F$8:$F$1600,$F79),0)</f>
        <v/>
      </c>
      <c r="DI79" s="78">
        <f>IF($DG79=1,COUNTIFS($F$8:$F$1600,$F79,$DE$8:$DE$1600,1),0)</f>
        <v/>
      </c>
      <c r="DJ79" s="84">
        <f>IF($DG79=1,$DH79+(100000-ROW())/mTieBreak,0)</f>
        <v/>
      </c>
    </row>
    <row r="80">
      <c r="B80" s="68" t="n">
        <v>14</v>
      </c>
      <c r="C80" s="69" t="inlineStr">
        <is>
          <t>CTG17C04</t>
        </is>
      </c>
      <c r="D80" s="69" t="inlineStr">
        <is>
          <t>14.000</t>
        </is>
      </c>
      <c r="E80" s="69" t="inlineStr">
        <is>
          <t>IGT Reno</t>
        </is>
      </c>
      <c r="F80" s="69" t="inlineStr">
        <is>
          <t>SPLIT_LOAN_01044</t>
        </is>
      </c>
      <c r="G80" s="70" t="n">
        <v>1044</v>
      </c>
      <c r="H80" s="71" t="n">
        <v>25000000</v>
      </c>
      <c r="I80" s="71" t="n">
        <v>0</v>
      </c>
      <c r="J80" s="72" t="n">
        <v>4.25906</v>
      </c>
      <c r="K80" s="69" t="inlineStr">
        <is>
          <t>Fixed rate</t>
        </is>
      </c>
      <c r="L80" s="68" t="n">
        <v>120</v>
      </c>
      <c r="M80" s="68" t="n"/>
      <c r="N80" s="68" t="n">
        <v>420</v>
      </c>
      <c r="O80" s="68" t="n">
        <v>60</v>
      </c>
      <c r="P80" s="68" t="n"/>
      <c r="Q80" s="68" t="n"/>
      <c r="R80" s="69" t="inlineStr">
        <is>
          <t>IO then Amort</t>
        </is>
      </c>
      <c r="S80" s="69" t="inlineStr">
        <is>
          <t>No</t>
        </is>
      </c>
      <c r="T80" s="73" t="n">
        <v>42917</v>
      </c>
      <c r="U80" s="73" t="n">
        <v>46574</v>
      </c>
      <c r="V80" s="73" t="n"/>
      <c r="W80" s="69" t="n"/>
      <c r="X80" s="69" t="inlineStr">
        <is>
          <t>Current</t>
        </is>
      </c>
      <c r="Y80" s="68" t="n"/>
      <c r="Z80" s="69" t="inlineStr">
        <is>
          <t>Defeasance Not Allowable</t>
        </is>
      </c>
      <c r="AA80" s="69" t="inlineStr">
        <is>
          <t>Previously</t>
        </is>
      </c>
      <c r="AB80" s="69" t="inlineStr">
        <is>
          <t>Never special serv</t>
        </is>
      </c>
      <c r="AC80" s="73" t="n"/>
      <c r="AD80" s="69" t="n"/>
      <c r="AE80" s="69" t="n"/>
      <c r="AF80" s="69" t="inlineStr">
        <is>
          <t>NV</t>
        </is>
      </c>
      <c r="AG80" s="69" t="inlineStr">
        <is>
          <t>Reno</t>
        </is>
      </c>
      <c r="AH80" s="69" t="inlineStr">
        <is>
          <t>Reno, NV</t>
        </is>
      </c>
      <c r="AI80" s="69" t="inlineStr">
        <is>
          <t>West / Mountain</t>
        </is>
      </c>
      <c r="AJ80" s="69" t="inlineStr">
        <is>
          <t>MX</t>
        </is>
      </c>
      <c r="AK80" s="69" t="inlineStr">
        <is>
          <t>Office/Industrial</t>
        </is>
      </c>
      <c r="AL80" s="68" t="n">
        <v>1</v>
      </c>
      <c r="AM80" s="68" t="n"/>
      <c r="AN80" s="68" t="n">
        <v>1251179</v>
      </c>
      <c r="AO80" s="69" t="inlineStr">
        <is>
          <t>1996</t>
        </is>
      </c>
      <c r="AP80" s="70" t="n">
        <v>2005</v>
      </c>
      <c r="AQ80" s="74" t="n">
        <v>2.05</v>
      </c>
      <c r="AR80" s="74" t="n">
        <v>2.56</v>
      </c>
      <c r="AS80" s="74" t="n">
        <v>50.88</v>
      </c>
      <c r="AT80" s="74" t="n"/>
      <c r="AU80" s="74" t="n">
        <v>46.4</v>
      </c>
      <c r="AV80" s="74" t="n">
        <v>12.125016275</v>
      </c>
      <c r="AW80" s="74" t="n"/>
      <c r="AX80" s="75" t="n">
        <v>100</v>
      </c>
      <c r="AY80" s="71" t="n">
        <v>157230000</v>
      </c>
      <c r="AZ80" s="71" t="n">
        <v>157230000</v>
      </c>
      <c r="BA80" s="71" t="n">
        <v>9700013.02</v>
      </c>
      <c r="BB80" s="71" t="n">
        <v>12126897.13</v>
      </c>
      <c r="BC80" s="69" t="inlineStr">
        <is>
          <t>Acquisition</t>
        </is>
      </c>
      <c r="BD80" s="69" t="inlineStr">
        <is>
          <t>N</t>
        </is>
      </c>
      <c r="BE80" s="71" t="n">
        <v>0</v>
      </c>
      <c r="BF80" s="71" t="n"/>
      <c r="BG80" s="71" t="n">
        <v>17500000</v>
      </c>
      <c r="BH80" s="71" t="n">
        <v>0</v>
      </c>
      <c r="BI80" s="71" t="n">
        <v>0</v>
      </c>
      <c r="BJ80" s="69" t="inlineStr">
        <is>
          <t>N</t>
        </is>
      </c>
      <c r="BK80" s="69" t="inlineStr">
        <is>
          <t>International Game Technology PLC</t>
        </is>
      </c>
      <c r="BL80" s="75" t="n">
        <v>100</v>
      </c>
      <c r="BM80" s="73" t="n">
        <v>48487</v>
      </c>
      <c r="BN80" s="69" t="inlineStr">
        <is>
          <t>AG Net Lease III Corp. and AG Net Lease III (SO) Corp.</t>
        </is>
      </c>
      <c r="BO80" s="69" t="inlineStr">
        <is>
          <t>Cantor Commercial Real Estate Lending</t>
        </is>
      </c>
      <c r="BP80" s="69" t="inlineStr">
        <is>
          <t>Midland Loan Services</t>
        </is>
      </c>
      <c r="BQ80" s="69" t="inlineStr">
        <is>
          <t>Rialto Capital</t>
        </is>
      </c>
      <c r="BR80" s="69" t="inlineStr">
        <is>
          <t>Payoff With Penalty</t>
        </is>
      </c>
      <c r="BS80" s="73" t="n">
        <v>46181</v>
      </c>
      <c r="BU80" s="76">
        <f>IF($C80="","",IFERROR(INDEX(dmName,MATCH($C80,dmID,0)),"Unmapped"))</f>
        <v/>
      </c>
      <c r="BV80" s="76">
        <f>IF($C80="","",IFERROR(INDEX(dmEntity,MATCH($C80,dmID,0)),"Unmapped"))</f>
        <v/>
      </c>
      <c r="BW80" s="77">
        <f>IF($C80="","",IFERROR(INDEX(dmVintage,MATCH($C80,dmID,0)),""))</f>
        <v/>
      </c>
      <c r="BX80" s="78">
        <f>IFERROR(INDEX(dmInclude,MATCH($C80,dmID,0)),0)</f>
        <v/>
      </c>
      <c r="BY80" s="78">
        <f>IF(N($I80)&gt;0,1,0)</f>
        <v/>
      </c>
      <c r="BZ80" s="76">
        <f>IF($AJ80="","Other / Leased Fee",IFERROR(INDEX(mapPTGroup,MATCH(LEFT(TRIM($AJ80),2),mapPTCode,0)),"Other / Leased Fee"))</f>
        <v/>
      </c>
      <c r="CA80" s="76">
        <f>IF(TRIM($AF80&amp;"")="","NR",LEFT(TRIM($AF80),2))</f>
        <v/>
      </c>
      <c r="CB80" s="76">
        <f>IFERROR(LOOKUP(2,1/(LEFT(TRIM($AI80&amp;""),LEN(mapRegion))=mapRegion),mapRegion),"Not Reported")</f>
        <v/>
      </c>
      <c r="CC80" s="76">
        <f>IF($BY80=0,"",IF(TRIM($W80&amp;"")="REO","REO",IF(TRIM($W80&amp;"")="FC","Foreclosure",IF(TRIM($W80&amp;"")="90+","90+ Days Delinquent",IF(TRIM($W80&amp;"")="60","60 Days Delinquent",IF(TRIM($W80&amp;"")="30","30 Days Delinquent",IF($X80="Non-Performing Matured Balloon","Non-Performing Matured Balloon",IF(OR($X80="Late Payment But Less Than 30 Days Delinquent",LEFT($X80&amp;"",20)="Payment Not Received"),"Late / In Grace (&lt;30 Days)",IF($X80="Performing Matured Balloon","Performing Matured Balloon","Current")))))))))</f>
        <v/>
      </c>
      <c r="CD80" s="78">
        <f>IF(OR($CC80="REO",$CC80="Foreclosure",$CC80="90+ Days Delinquent",$CC80="60 Days Delinquent",$CC80="30 Days Delinquent",$CC80="Non-Performing Matured Balloon"),1,0)</f>
        <v/>
      </c>
      <c r="CE80" s="76">
        <f>IF($AB80="Currently special serv","Currently Specially Serviced",IF($AB80="Returned to master serv","Previously Specially Serviced","Never Specially Serviced"))</f>
        <v/>
      </c>
      <c r="CF80" s="78">
        <f>IF($CE80="Currently Specially Serviced",1,0)</f>
        <v/>
      </c>
      <c r="CG80" s="76">
        <f>IF($AA80="Yes","Currently on Watchlist",IF($AA80="Previously","Previously on Watchlist","Never on Watchlist"))</f>
        <v/>
      </c>
      <c r="CH80" s="78">
        <f>IF($CG80="Currently on Watchlist",1,0)</f>
        <v/>
      </c>
      <c r="CI80" s="76">
        <f>IF($Z80="Full Defeasance","Fully Defeased",IF($Z80="Portion Of Loan Previously Defeased","Partially Defeased",IF($Z80="Defeasance Not Allowable","Not Defeased (Not Permitted)","Not Defeased")))</f>
        <v/>
      </c>
      <c r="CJ80" s="78">
        <f>IF($CI80="Fully Defeased",1,0)</f>
        <v/>
      </c>
      <c r="CK80" s="76">
        <f>IF($R80="IO","Full IO",IF(LEFT($R80&amp;"",7)="IO then","Partial IO","Amortizing"))</f>
        <v/>
      </c>
      <c r="CL80" s="78">
        <f>IF($CK80="Full IO",1,0)</f>
        <v/>
      </c>
      <c r="CM80" s="78">
        <f>IF($CK80="Partial IO",1,0)</f>
        <v/>
      </c>
      <c r="CN80" s="76">
        <f>IF(LEFT($F80&amp;"",10)="SPLIT_LOAN","Pari Passu Split","Standalone")</f>
        <v/>
      </c>
      <c r="CO80" s="78">
        <f>IF($CN80="Pari Passu Split",1,0)</f>
        <v/>
      </c>
      <c r="CP80" s="77">
        <f>IF(ISNUMBER($T80),YEAR($T80),"")</f>
        <v/>
      </c>
      <c r="CQ80" s="79">
        <f>IF(ISNUMBER($V80),$V80,IF(ISNUMBER($U80),$U80,""))</f>
        <v/>
      </c>
      <c r="CR80" s="77">
        <f>IF(ISNUMBER($CQ80),YEAR($CQ80),"")</f>
        <v/>
      </c>
      <c r="CS80" s="78">
        <f>IF(ISNUMBER($M80),MAX(0,$M80),IF(TRIM($M80&amp;"")="matured",0,""))</f>
        <v/>
      </c>
      <c r="CT80" s="78">
        <f>IF(AND(ISNUMBER($CS80),N($CS80)&lt;=mMatWindow),1,0)</f>
        <v/>
      </c>
      <c r="CU80" s="80">
        <f>IF(ISNUMBER($J80),$J80/100,"")</f>
        <v/>
      </c>
      <c r="CV80" s="81">
        <f>IF(ISNUMBER($AQ80),$AQ80,"")</f>
        <v/>
      </c>
      <c r="CW80" s="81">
        <f>IF(ISNUMBER($AR80),$AR80,"")</f>
        <v/>
      </c>
      <c r="CX80" s="82">
        <f>IF(ISNUMBER($AS80),$AS80/100,"")</f>
        <v/>
      </c>
      <c r="CY80" s="82">
        <f>IF(ISNUMBER($AT80),$AT80/100,"")</f>
        <v/>
      </c>
      <c r="CZ80" s="82">
        <f>IF(ISNUMBER($AU80),$AU80/100,"")</f>
        <v/>
      </c>
      <c r="DA80" s="82">
        <f>IF(ISNUMBER($AV80),$AV80/100,"")</f>
        <v/>
      </c>
      <c r="DB80" s="82">
        <f>IF(ISNUMBER($AW80),$AW80/100,"")</f>
        <v/>
      </c>
      <c r="DC80" s="82">
        <f>IF(ISNUMBER($AX80),$AX80/100,"")</f>
        <v/>
      </c>
      <c r="DD80" s="77">
        <f>IFERROR(VALUE(LEFT(TRIM($AO80&amp;""),4)),"")</f>
        <v/>
      </c>
      <c r="DE80" s="78">
        <f>IF(AND($BY80=1,$BX80=1,OR(fDeal="All Deals",$BU80=fDeal),OR(fEntity="All Entities",$BV80=fEntity),OR(fPType="All Property Types",$BZ80=fPType),OR(fDefeased="Include",$CJ80=0)),1,0)</f>
        <v/>
      </c>
      <c r="DF80" s="83">
        <f>$DE80*N($I80)</f>
        <v/>
      </c>
      <c r="DG80" s="78">
        <f>IF($DE80=1,IF(COUNTIFS($F$8:$F80,$F80,$DE$8:$DE80,1)=1,1,0),0)</f>
        <v/>
      </c>
      <c r="DH80" s="83">
        <f>IF($DG80=1,SUMIFS($DF$8:$DF$1600,$F$8:$F$1600,$F80),0)</f>
        <v/>
      </c>
      <c r="DI80" s="78">
        <f>IF($DG80=1,COUNTIFS($F$8:$F$1600,$F80,$DE$8:$DE$1600,1),0)</f>
        <v/>
      </c>
      <c r="DJ80" s="84">
        <f>IF($DG80=1,$DH80+(100000-ROW())/mTieBreak,0)</f>
        <v/>
      </c>
    </row>
    <row r="81">
      <c r="B81" s="68" t="n">
        <v>15</v>
      </c>
      <c r="C81" s="69" t="inlineStr">
        <is>
          <t>CTG17C04</t>
        </is>
      </c>
      <c r="D81" s="69" t="inlineStr">
        <is>
          <t>15.000</t>
        </is>
      </c>
      <c r="E81" s="69" t="inlineStr">
        <is>
          <t>Carnegie Park</t>
        </is>
      </c>
      <c r="F81" s="69" t="inlineStr">
        <is>
          <t>LNCTG17C04-15.000</t>
        </is>
      </c>
      <c r="G81" s="70" t="n"/>
      <c r="H81" s="71" t="n">
        <v>25000000</v>
      </c>
      <c r="I81" s="71" t="n">
        <v>25000000</v>
      </c>
      <c r="J81" s="72" t="n">
        <v>3.25</v>
      </c>
      <c r="K81" s="69" t="inlineStr">
        <is>
          <t>Fixed rate</t>
        </is>
      </c>
      <c r="L81" s="68" t="n">
        <v>120</v>
      </c>
      <c r="M81" s="68" t="n">
        <v>9</v>
      </c>
      <c r="N81" s="68" t="n">
        <v>120</v>
      </c>
      <c r="O81" s="68" t="n">
        <v>120</v>
      </c>
      <c r="P81" s="68" t="n">
        <v>9</v>
      </c>
      <c r="Q81" s="68" t="n">
        <v>111</v>
      </c>
      <c r="R81" s="69" t="inlineStr">
        <is>
          <t>IO</t>
        </is>
      </c>
      <c r="S81" s="69" t="inlineStr">
        <is>
          <t>Yes</t>
        </is>
      </c>
      <c r="T81" s="73" t="n">
        <v>42887</v>
      </c>
      <c r="U81" s="73" t="n">
        <v>46544</v>
      </c>
      <c r="V81" s="73" t="n"/>
      <c r="W81" s="69" t="n"/>
      <c r="X81" s="69" t="inlineStr">
        <is>
          <t>Current</t>
        </is>
      </c>
      <c r="Y81" s="68" t="n"/>
      <c r="Z81" s="69" t="inlineStr">
        <is>
          <t>No Defeasance Occurred</t>
        </is>
      </c>
      <c r="AA81" s="69" t="inlineStr">
        <is>
          <t>Yes</t>
        </is>
      </c>
      <c r="AB81" s="69" t="inlineStr">
        <is>
          <t>Never special serv</t>
        </is>
      </c>
      <c r="AC81" s="73" t="n"/>
      <c r="AD81" s="69" t="n"/>
      <c r="AE81" s="69" t="n"/>
      <c r="AF81" s="69" t="inlineStr">
        <is>
          <t>NY</t>
        </is>
      </c>
      <c r="AG81" s="69" t="inlineStr">
        <is>
          <t>New York</t>
        </is>
      </c>
      <c r="AH81" s="69" t="inlineStr">
        <is>
          <t>New York-Newark-Jersey City, NY-NJ</t>
        </is>
      </c>
      <c r="AI81" s="69" t="inlineStr">
        <is>
          <t>Northeast / Mid-Atlantic</t>
        </is>
      </c>
      <c r="AJ81" s="69" t="inlineStr">
        <is>
          <t>MX</t>
        </is>
      </c>
      <c r="AK81" s="69" t="inlineStr">
        <is>
          <t>Retail/Office/Parking</t>
        </is>
      </c>
      <c r="AL81" s="68" t="n">
        <v>1</v>
      </c>
      <c r="AM81" s="68" t="n"/>
      <c r="AN81" s="68" t="n">
        <v>47550</v>
      </c>
      <c r="AO81" s="69" t="inlineStr">
        <is>
          <t>1985</t>
        </is>
      </c>
      <c r="AP81" s="70" t="n">
        <v>2015</v>
      </c>
      <c r="AQ81" s="74" t="n">
        <v>2.71</v>
      </c>
      <c r="AR81" s="74" t="n">
        <v>3.53</v>
      </c>
      <c r="AS81" s="74" t="n">
        <v>46.3</v>
      </c>
      <c r="AT81" s="74" t="n">
        <v>46.3</v>
      </c>
      <c r="AU81" s="74" t="n">
        <v>46.3</v>
      </c>
      <c r="AV81" s="74" t="n">
        <v>8.93708052</v>
      </c>
      <c r="AW81" s="74" t="n">
        <v>8.87509968</v>
      </c>
      <c r="AX81" s="75" t="n">
        <v>100</v>
      </c>
      <c r="AY81" s="71" t="n">
        <v>54000000</v>
      </c>
      <c r="AZ81" s="71" t="n">
        <v>54000000</v>
      </c>
      <c r="BA81" s="71" t="n">
        <v>2234270.13</v>
      </c>
      <c r="BB81" s="71" t="n">
        <v>726619.9300000001</v>
      </c>
      <c r="BC81" s="69" t="inlineStr">
        <is>
          <t>Recapitalization</t>
        </is>
      </c>
      <c r="BD81" s="69" t="inlineStr">
        <is>
          <t>N</t>
        </is>
      </c>
      <c r="BE81" s="71" t="n"/>
      <c r="BF81" s="71" t="n"/>
      <c r="BG81" s="71" t="n"/>
      <c r="BH81" s="71" t="n">
        <v>0</v>
      </c>
      <c r="BI81" s="71" t="n">
        <v>0</v>
      </c>
      <c r="BJ81" s="69" t="inlineStr">
        <is>
          <t>N</t>
        </is>
      </c>
      <c r="BK81" s="69" t="inlineStr">
        <is>
          <t>Carnegie Park Garage</t>
        </is>
      </c>
      <c r="BL81" s="75" t="n">
        <v>56.83</v>
      </c>
      <c r="BM81" s="73" t="n">
        <v>73050</v>
      </c>
      <c r="BN81" s="69" t="inlineStr">
        <is>
          <t>Stephen M. Ross, Jeff T. Blau and Bruce A. Beal, Jr.</t>
        </is>
      </c>
      <c r="BO81" s="69" t="inlineStr">
        <is>
          <t>Cantor Commercial Real Estate Lending</t>
        </is>
      </c>
      <c r="BP81" s="69" t="inlineStr">
        <is>
          <t>Midland Loan Services</t>
        </is>
      </c>
      <c r="BQ81" s="69" t="inlineStr">
        <is>
          <t>Midland Loan Services</t>
        </is>
      </c>
      <c r="BR81" s="69" t="n"/>
      <c r="BS81" s="73" t="n">
        <v>46273</v>
      </c>
      <c r="BU81" s="76">
        <f>IF($C81="","",IFERROR(INDEX(dmName,MATCH($C81,dmID,0)),"Unmapped"))</f>
        <v/>
      </c>
      <c r="BV81" s="76">
        <f>IF($C81="","",IFERROR(INDEX(dmEntity,MATCH($C81,dmID,0)),"Unmapped"))</f>
        <v/>
      </c>
      <c r="BW81" s="77">
        <f>IF($C81="","",IFERROR(INDEX(dmVintage,MATCH($C81,dmID,0)),""))</f>
        <v/>
      </c>
      <c r="BX81" s="78">
        <f>IFERROR(INDEX(dmInclude,MATCH($C81,dmID,0)),0)</f>
        <v/>
      </c>
      <c r="BY81" s="78">
        <f>IF(N($I81)&gt;0,1,0)</f>
        <v/>
      </c>
      <c r="BZ81" s="76">
        <f>IF($AJ81="","Other / Leased Fee",IFERROR(INDEX(mapPTGroup,MATCH(LEFT(TRIM($AJ81),2),mapPTCode,0)),"Other / Leased Fee"))</f>
        <v/>
      </c>
      <c r="CA81" s="76">
        <f>IF(TRIM($AF81&amp;"")="","NR",LEFT(TRIM($AF81),2))</f>
        <v/>
      </c>
      <c r="CB81" s="76">
        <f>IFERROR(LOOKUP(2,1/(LEFT(TRIM($AI81&amp;""),LEN(mapRegion))=mapRegion),mapRegion),"Not Reported")</f>
        <v/>
      </c>
      <c r="CC81" s="76">
        <f>IF($BY81=0,"",IF(TRIM($W81&amp;"")="REO","REO",IF(TRIM($W81&amp;"")="FC","Foreclosure",IF(TRIM($W81&amp;"")="90+","90+ Days Delinquent",IF(TRIM($W81&amp;"")="60","60 Days Delinquent",IF(TRIM($W81&amp;"")="30","30 Days Delinquent",IF($X81="Non-Performing Matured Balloon","Non-Performing Matured Balloon",IF(OR($X81="Late Payment But Less Than 30 Days Delinquent",LEFT($X81&amp;"",20)="Payment Not Received"),"Late / In Grace (&lt;30 Days)",IF($X81="Performing Matured Balloon","Performing Matured Balloon","Current")))))))))</f>
        <v/>
      </c>
      <c r="CD81" s="78">
        <f>IF(OR($CC81="REO",$CC81="Foreclosure",$CC81="90+ Days Delinquent",$CC81="60 Days Delinquent",$CC81="30 Days Delinquent",$CC81="Non-Performing Matured Balloon"),1,0)</f>
        <v/>
      </c>
      <c r="CE81" s="76">
        <f>IF($AB81="Currently special serv","Currently Specially Serviced",IF($AB81="Returned to master serv","Previously Specially Serviced","Never Specially Serviced"))</f>
        <v/>
      </c>
      <c r="CF81" s="78">
        <f>IF($CE81="Currently Specially Serviced",1,0)</f>
        <v/>
      </c>
      <c r="CG81" s="76">
        <f>IF($AA81="Yes","Currently on Watchlist",IF($AA81="Previously","Previously on Watchlist","Never on Watchlist"))</f>
        <v/>
      </c>
      <c r="CH81" s="78">
        <f>IF($CG81="Currently on Watchlist",1,0)</f>
        <v/>
      </c>
      <c r="CI81" s="76">
        <f>IF($Z81="Full Defeasance","Fully Defeased",IF($Z81="Portion Of Loan Previously Defeased","Partially Defeased",IF($Z81="Defeasance Not Allowable","Not Defeased (Not Permitted)","Not Defeased")))</f>
        <v/>
      </c>
      <c r="CJ81" s="78">
        <f>IF($CI81="Fully Defeased",1,0)</f>
        <v/>
      </c>
      <c r="CK81" s="76">
        <f>IF($R81="IO","Full IO",IF(LEFT($R81&amp;"",7)="IO then","Partial IO","Amortizing"))</f>
        <v/>
      </c>
      <c r="CL81" s="78">
        <f>IF($CK81="Full IO",1,0)</f>
        <v/>
      </c>
      <c r="CM81" s="78">
        <f>IF($CK81="Partial IO",1,0)</f>
        <v/>
      </c>
      <c r="CN81" s="76">
        <f>IF(LEFT($F81&amp;"",10)="SPLIT_LOAN","Pari Passu Split","Standalone")</f>
        <v/>
      </c>
      <c r="CO81" s="78">
        <f>IF($CN81="Pari Passu Split",1,0)</f>
        <v/>
      </c>
      <c r="CP81" s="77">
        <f>IF(ISNUMBER($T81),YEAR($T81),"")</f>
        <v/>
      </c>
      <c r="CQ81" s="79">
        <f>IF(ISNUMBER($V81),$V81,IF(ISNUMBER($U81),$U81,""))</f>
        <v/>
      </c>
      <c r="CR81" s="77">
        <f>IF(ISNUMBER($CQ81),YEAR($CQ81),"")</f>
        <v/>
      </c>
      <c r="CS81" s="78">
        <f>IF(ISNUMBER($M81),MAX(0,$M81),IF(TRIM($M81&amp;"")="matured",0,""))</f>
        <v/>
      </c>
      <c r="CT81" s="78">
        <f>IF(AND(ISNUMBER($CS81),N($CS81)&lt;=mMatWindow),1,0)</f>
        <v/>
      </c>
      <c r="CU81" s="80">
        <f>IF(ISNUMBER($J81),$J81/100,"")</f>
        <v/>
      </c>
      <c r="CV81" s="81">
        <f>IF(ISNUMBER($AQ81),$AQ81,"")</f>
        <v/>
      </c>
      <c r="CW81" s="81">
        <f>IF(ISNUMBER($AR81),$AR81,"")</f>
        <v/>
      </c>
      <c r="CX81" s="82">
        <f>IF(ISNUMBER($AS81),$AS81/100,"")</f>
        <v/>
      </c>
      <c r="CY81" s="82">
        <f>IF(ISNUMBER($AT81),$AT81/100,"")</f>
        <v/>
      </c>
      <c r="CZ81" s="82">
        <f>IF(ISNUMBER($AU81),$AU81/100,"")</f>
        <v/>
      </c>
      <c r="DA81" s="82">
        <f>IF(ISNUMBER($AV81),$AV81/100,"")</f>
        <v/>
      </c>
      <c r="DB81" s="82">
        <f>IF(ISNUMBER($AW81),$AW81/100,"")</f>
        <v/>
      </c>
      <c r="DC81" s="82">
        <f>IF(ISNUMBER($AX81),$AX81/100,"")</f>
        <v/>
      </c>
      <c r="DD81" s="77">
        <f>IFERROR(VALUE(LEFT(TRIM($AO81&amp;""),4)),"")</f>
        <v/>
      </c>
      <c r="DE81" s="78">
        <f>IF(AND($BY81=1,$BX81=1,OR(fDeal="All Deals",$BU81=fDeal),OR(fEntity="All Entities",$BV81=fEntity),OR(fPType="All Property Types",$BZ81=fPType),OR(fDefeased="Include",$CJ81=0)),1,0)</f>
        <v/>
      </c>
      <c r="DF81" s="83">
        <f>$DE81*N($I81)</f>
        <v/>
      </c>
      <c r="DG81" s="78">
        <f>IF($DE81=1,IF(COUNTIFS($F$8:$F81,$F81,$DE$8:$DE81,1)=1,1,0),0)</f>
        <v/>
      </c>
      <c r="DH81" s="83">
        <f>IF($DG81=1,SUMIFS($DF$8:$DF$1600,$F$8:$F$1600,$F81),0)</f>
        <v/>
      </c>
      <c r="DI81" s="78">
        <f>IF($DG81=1,COUNTIFS($F$8:$F$1600,$F81,$DE$8:$DE$1600,1),0)</f>
        <v/>
      </c>
      <c r="DJ81" s="84">
        <f>IF($DG81=1,$DH81+(100000-ROW())/mTieBreak,0)</f>
        <v/>
      </c>
    </row>
    <row r="82">
      <c r="B82" s="68" t="n">
        <v>16</v>
      </c>
      <c r="C82" s="69" t="inlineStr">
        <is>
          <t>CTG17C04</t>
        </is>
      </c>
      <c r="D82" s="69" t="inlineStr">
        <is>
          <t>16.000</t>
        </is>
      </c>
      <c r="E82" s="69" t="inlineStr">
        <is>
          <t>Chelsea Multifamily Portfolio</t>
        </is>
      </c>
      <c r="F82" s="69" t="inlineStr">
        <is>
          <t>SPLIT_LOAN_01106</t>
        </is>
      </c>
      <c r="G82" s="70" t="n">
        <v>1106</v>
      </c>
      <c r="H82" s="71" t="n">
        <v>25000000</v>
      </c>
      <c r="I82" s="71" t="n">
        <v>25000000</v>
      </c>
      <c r="J82" s="72" t="n">
        <v>4.712</v>
      </c>
      <c r="K82" s="69" t="inlineStr">
        <is>
          <t>Fixed rate</t>
        </is>
      </c>
      <c r="L82" s="68" t="n">
        <v>120</v>
      </c>
      <c r="M82" s="68" t="n">
        <v>12</v>
      </c>
      <c r="N82" s="68" t="n">
        <v>120</v>
      </c>
      <c r="O82" s="68" t="n">
        <v>120</v>
      </c>
      <c r="P82" s="68" t="n">
        <v>12</v>
      </c>
      <c r="Q82" s="68" t="n">
        <v>108</v>
      </c>
      <c r="R82" s="69" t="inlineStr">
        <is>
          <t>IO</t>
        </is>
      </c>
      <c r="S82" s="69" t="inlineStr">
        <is>
          <t>Yes</t>
        </is>
      </c>
      <c r="T82" s="73" t="n">
        <v>42979</v>
      </c>
      <c r="U82" s="73" t="n">
        <v>46636</v>
      </c>
      <c r="V82" s="73" t="n"/>
      <c r="W82" s="69" t="n"/>
      <c r="X82" s="69" t="inlineStr">
        <is>
          <t>Current</t>
        </is>
      </c>
      <c r="Y82" s="68" t="n"/>
      <c r="Z82" s="69" t="inlineStr">
        <is>
          <t>No Defeasance Occurred</t>
        </is>
      </c>
      <c r="AA82" s="69" t="inlineStr">
        <is>
          <t>Yes</t>
        </is>
      </c>
      <c r="AB82" s="69" t="inlineStr">
        <is>
          <t>Never special serv</t>
        </is>
      </c>
      <c r="AC82" s="73" t="n"/>
      <c r="AD82" s="69" t="n"/>
      <c r="AE82" s="69" t="n"/>
      <c r="AF82" s="69" t="inlineStr">
        <is>
          <t>NY</t>
        </is>
      </c>
      <c r="AG82" s="69" t="n"/>
      <c r="AH82" s="69" t="inlineStr">
        <is>
          <t>New York-Newark-Jersey City, NY-NJ</t>
        </is>
      </c>
      <c r="AI82" s="69" t="inlineStr">
        <is>
          <t>Northeast / Mid-Atlantic</t>
        </is>
      </c>
      <c r="AJ82" s="69" t="inlineStr">
        <is>
          <t>MF</t>
        </is>
      </c>
      <c r="AK82" s="69" t="inlineStr">
        <is>
          <t>Mid Rise</t>
        </is>
      </c>
      <c r="AL82" s="68" t="n">
        <v>13</v>
      </c>
      <c r="AM82" s="68" t="n">
        <v>146</v>
      </c>
      <c r="AN82" s="68" t="n"/>
      <c r="AO82" s="69" t="n"/>
      <c r="AP82" s="70" t="n">
        <v>2017</v>
      </c>
      <c r="AQ82" s="74" t="n">
        <v>1.3</v>
      </c>
      <c r="AR82" s="74" t="n">
        <v>1.02</v>
      </c>
      <c r="AS82" s="74" t="n">
        <v>58.2</v>
      </c>
      <c r="AT82" s="74" t="n">
        <v>58.23</v>
      </c>
      <c r="AU82" s="74" t="n">
        <v>58.2</v>
      </c>
      <c r="AV82" s="74" t="n">
        <v>6.189733893</v>
      </c>
      <c r="AW82" s="74" t="n">
        <v>4.8502954</v>
      </c>
      <c r="AX82" s="75" t="n">
        <v>97.26000000000001</v>
      </c>
      <c r="AY82" s="71" t="n">
        <v>128800000</v>
      </c>
      <c r="AZ82" s="71" t="n">
        <v>128800000</v>
      </c>
      <c r="BA82" s="71" t="n">
        <v>4642300.42</v>
      </c>
      <c r="BB82" s="71" t="n">
        <v>3637721.55</v>
      </c>
      <c r="BC82" s="69" t="inlineStr">
        <is>
          <t>Refinance</t>
        </is>
      </c>
      <c r="BD82" s="69" t="inlineStr">
        <is>
          <t>N</t>
        </is>
      </c>
      <c r="BE82" s="71" t="n">
        <v>50000000</v>
      </c>
      <c r="BF82" s="71" t="n"/>
      <c r="BG82" s="71" t="n"/>
      <c r="BH82" s="71" t="n">
        <v>0</v>
      </c>
      <c r="BI82" s="71" t="n">
        <v>0</v>
      </c>
      <c r="BJ82" s="69" t="inlineStr">
        <is>
          <t>N</t>
        </is>
      </c>
      <c r="BK82" s="69" t="n"/>
      <c r="BL82" s="75" t="n"/>
      <c r="BM82" s="73" t="n"/>
      <c r="BN82" s="69" t="inlineStr">
        <is>
          <t>Joshua Gotlib</t>
        </is>
      </c>
      <c r="BO82" s="69" t="inlineStr">
        <is>
          <t>Cantor Commercial Real Estate Lending</t>
        </is>
      </c>
      <c r="BP82" s="69" t="inlineStr">
        <is>
          <t>Midland Loan Services</t>
        </is>
      </c>
      <c r="BQ82" s="69" t="inlineStr">
        <is>
          <t>Midland Loan Services</t>
        </is>
      </c>
      <c r="BR82" s="69" t="n"/>
      <c r="BS82" s="73" t="n">
        <v>46273</v>
      </c>
      <c r="BU82" s="76">
        <f>IF($C82="","",IFERROR(INDEX(dmName,MATCH($C82,dmID,0)),"Unmapped"))</f>
        <v/>
      </c>
      <c r="BV82" s="76">
        <f>IF($C82="","",IFERROR(INDEX(dmEntity,MATCH($C82,dmID,0)),"Unmapped"))</f>
        <v/>
      </c>
      <c r="BW82" s="77">
        <f>IF($C82="","",IFERROR(INDEX(dmVintage,MATCH($C82,dmID,0)),""))</f>
        <v/>
      </c>
      <c r="BX82" s="78">
        <f>IFERROR(INDEX(dmInclude,MATCH($C82,dmID,0)),0)</f>
        <v/>
      </c>
      <c r="BY82" s="78">
        <f>IF(N($I82)&gt;0,1,0)</f>
        <v/>
      </c>
      <c r="BZ82" s="76">
        <f>IF($AJ82="","Other / Leased Fee",IFERROR(INDEX(mapPTGroup,MATCH(LEFT(TRIM($AJ82),2),mapPTCode,0)),"Other / Leased Fee"))</f>
        <v/>
      </c>
      <c r="CA82" s="76">
        <f>IF(TRIM($AF82&amp;"")="","NR",LEFT(TRIM($AF82),2))</f>
        <v/>
      </c>
      <c r="CB82" s="76">
        <f>IFERROR(LOOKUP(2,1/(LEFT(TRIM($AI82&amp;""),LEN(mapRegion))=mapRegion),mapRegion),"Not Reported")</f>
        <v/>
      </c>
      <c r="CC82" s="76">
        <f>IF($BY82=0,"",IF(TRIM($W82&amp;"")="REO","REO",IF(TRIM($W82&amp;"")="FC","Foreclosure",IF(TRIM($W82&amp;"")="90+","90+ Days Delinquent",IF(TRIM($W82&amp;"")="60","60 Days Delinquent",IF(TRIM($W82&amp;"")="30","30 Days Delinquent",IF($X82="Non-Performing Matured Balloon","Non-Performing Matured Balloon",IF(OR($X82="Late Payment But Less Than 30 Days Delinquent",LEFT($X82&amp;"",20)="Payment Not Received"),"Late / In Grace (&lt;30 Days)",IF($X82="Performing Matured Balloon","Performing Matured Balloon","Current")))))))))</f>
        <v/>
      </c>
      <c r="CD82" s="78">
        <f>IF(OR($CC82="REO",$CC82="Foreclosure",$CC82="90+ Days Delinquent",$CC82="60 Days Delinquent",$CC82="30 Days Delinquent",$CC82="Non-Performing Matured Balloon"),1,0)</f>
        <v/>
      </c>
      <c r="CE82" s="76">
        <f>IF($AB82="Currently special serv","Currently Specially Serviced",IF($AB82="Returned to master serv","Previously Specially Serviced","Never Specially Serviced"))</f>
        <v/>
      </c>
      <c r="CF82" s="78">
        <f>IF($CE82="Currently Specially Serviced",1,0)</f>
        <v/>
      </c>
      <c r="CG82" s="76">
        <f>IF($AA82="Yes","Currently on Watchlist",IF($AA82="Previously","Previously on Watchlist","Never on Watchlist"))</f>
        <v/>
      </c>
      <c r="CH82" s="78">
        <f>IF($CG82="Currently on Watchlist",1,0)</f>
        <v/>
      </c>
      <c r="CI82" s="76">
        <f>IF($Z82="Full Defeasance","Fully Defeased",IF($Z82="Portion Of Loan Previously Defeased","Partially Defeased",IF($Z82="Defeasance Not Allowable","Not Defeased (Not Permitted)","Not Defeased")))</f>
        <v/>
      </c>
      <c r="CJ82" s="78">
        <f>IF($CI82="Fully Defeased",1,0)</f>
        <v/>
      </c>
      <c r="CK82" s="76">
        <f>IF($R82="IO","Full IO",IF(LEFT($R82&amp;"",7)="IO then","Partial IO","Amortizing"))</f>
        <v/>
      </c>
      <c r="CL82" s="78">
        <f>IF($CK82="Full IO",1,0)</f>
        <v/>
      </c>
      <c r="CM82" s="78">
        <f>IF($CK82="Partial IO",1,0)</f>
        <v/>
      </c>
      <c r="CN82" s="76">
        <f>IF(LEFT($F82&amp;"",10)="SPLIT_LOAN","Pari Passu Split","Standalone")</f>
        <v/>
      </c>
      <c r="CO82" s="78">
        <f>IF($CN82="Pari Passu Split",1,0)</f>
        <v/>
      </c>
      <c r="CP82" s="77">
        <f>IF(ISNUMBER($T82),YEAR($T82),"")</f>
        <v/>
      </c>
      <c r="CQ82" s="79">
        <f>IF(ISNUMBER($V82),$V82,IF(ISNUMBER($U82),$U82,""))</f>
        <v/>
      </c>
      <c r="CR82" s="77">
        <f>IF(ISNUMBER($CQ82),YEAR($CQ82),"")</f>
        <v/>
      </c>
      <c r="CS82" s="78">
        <f>IF(ISNUMBER($M82),MAX(0,$M82),IF(TRIM($M82&amp;"")="matured",0,""))</f>
        <v/>
      </c>
      <c r="CT82" s="78">
        <f>IF(AND(ISNUMBER($CS82),N($CS82)&lt;=mMatWindow),1,0)</f>
        <v/>
      </c>
      <c r="CU82" s="80">
        <f>IF(ISNUMBER($J82),$J82/100,"")</f>
        <v/>
      </c>
      <c r="CV82" s="81">
        <f>IF(ISNUMBER($AQ82),$AQ82,"")</f>
        <v/>
      </c>
      <c r="CW82" s="81">
        <f>IF(ISNUMBER($AR82),$AR82,"")</f>
        <v/>
      </c>
      <c r="CX82" s="82">
        <f>IF(ISNUMBER($AS82),$AS82/100,"")</f>
        <v/>
      </c>
      <c r="CY82" s="82">
        <f>IF(ISNUMBER($AT82),$AT82/100,"")</f>
        <v/>
      </c>
      <c r="CZ82" s="82">
        <f>IF(ISNUMBER($AU82),$AU82/100,"")</f>
        <v/>
      </c>
      <c r="DA82" s="82">
        <f>IF(ISNUMBER($AV82),$AV82/100,"")</f>
        <v/>
      </c>
      <c r="DB82" s="82">
        <f>IF(ISNUMBER($AW82),$AW82/100,"")</f>
        <v/>
      </c>
      <c r="DC82" s="82">
        <f>IF(ISNUMBER($AX82),$AX82/100,"")</f>
        <v/>
      </c>
      <c r="DD82" s="77">
        <f>IFERROR(VALUE(LEFT(TRIM($AO82&amp;""),4)),"")</f>
        <v/>
      </c>
      <c r="DE82" s="78">
        <f>IF(AND($BY82=1,$BX82=1,OR(fDeal="All Deals",$BU82=fDeal),OR(fEntity="All Entities",$BV82=fEntity),OR(fPType="All Property Types",$BZ82=fPType),OR(fDefeased="Include",$CJ82=0)),1,0)</f>
        <v/>
      </c>
      <c r="DF82" s="83">
        <f>$DE82*N($I82)</f>
        <v/>
      </c>
      <c r="DG82" s="78">
        <f>IF($DE82=1,IF(COUNTIFS($F$8:$F82,$F82,$DE$8:$DE82,1)=1,1,0),0)</f>
        <v/>
      </c>
      <c r="DH82" s="83">
        <f>IF($DG82=1,SUMIFS($DF$8:$DF$1600,$F$8:$F$1600,$F82),0)</f>
        <v/>
      </c>
      <c r="DI82" s="78">
        <f>IF($DG82=1,COUNTIFS($F$8:$F$1600,$F82,$DE$8:$DE$1600,1),0)</f>
        <v/>
      </c>
      <c r="DJ82" s="84">
        <f>IF($DG82=1,$DH82+(100000-ROW())/mTieBreak,0)</f>
        <v/>
      </c>
    </row>
    <row r="83">
      <c r="B83" s="68" t="n">
        <v>17</v>
      </c>
      <c r="C83" s="69" t="inlineStr">
        <is>
          <t>CTG17C04</t>
        </is>
      </c>
      <c r="D83" s="69" t="inlineStr">
        <is>
          <t>17.000</t>
        </is>
      </c>
      <c r="E83" s="69" t="inlineStr">
        <is>
          <t>Westin Crystal City</t>
        </is>
      </c>
      <c r="F83" s="69" t="inlineStr">
        <is>
          <t>SPLIT_LOAN_01107</t>
        </is>
      </c>
      <c r="G83" s="70" t="n">
        <v>1107</v>
      </c>
      <c r="H83" s="71" t="n">
        <v>24000000</v>
      </c>
      <c r="I83" s="71" t="n">
        <v>24000000</v>
      </c>
      <c r="J83" s="72" t="n">
        <v>4.511</v>
      </c>
      <c r="K83" s="69" t="inlineStr">
        <is>
          <t>Fixed rate</t>
        </is>
      </c>
      <c r="L83" s="68" t="n">
        <v>120</v>
      </c>
      <c r="M83" s="68" t="n">
        <v>11</v>
      </c>
      <c r="N83" s="68" t="n">
        <v>120</v>
      </c>
      <c r="O83" s="68" t="n">
        <v>120</v>
      </c>
      <c r="P83" s="68" t="n">
        <v>11</v>
      </c>
      <c r="Q83" s="68" t="n">
        <v>109</v>
      </c>
      <c r="R83" s="69" t="inlineStr">
        <is>
          <t>IO</t>
        </is>
      </c>
      <c r="S83" s="69" t="inlineStr">
        <is>
          <t>Yes</t>
        </is>
      </c>
      <c r="T83" s="73" t="n">
        <v>42948</v>
      </c>
      <c r="U83" s="73" t="n">
        <v>46605</v>
      </c>
      <c r="V83" s="73" t="n"/>
      <c r="W83" s="69" t="n"/>
      <c r="X83" s="69" t="inlineStr">
        <is>
          <t>Current</t>
        </is>
      </c>
      <c r="Y83" s="68" t="n"/>
      <c r="Z83" s="69" t="inlineStr">
        <is>
          <t>No Defeasance Occurred</t>
        </is>
      </c>
      <c r="AA83" s="69" t="inlineStr">
        <is>
          <t>Previously</t>
        </is>
      </c>
      <c r="AB83" s="69" t="inlineStr">
        <is>
          <t>Never special serv</t>
        </is>
      </c>
      <c r="AC83" s="73" t="n"/>
      <c r="AD83" s="69" t="n"/>
      <c r="AE83" s="69" t="n"/>
      <c r="AF83" s="69" t="inlineStr">
        <is>
          <t>VA</t>
        </is>
      </c>
      <c r="AG83" s="69" t="inlineStr">
        <is>
          <t>Arlington</t>
        </is>
      </c>
      <c r="AH83" s="69" t="inlineStr">
        <is>
          <t>Washington-Arlington-Alexandria, DC-VA-MD-WV</t>
        </is>
      </c>
      <c r="AI83" s="69" t="inlineStr">
        <is>
          <t>South / Atlantic</t>
        </is>
      </c>
      <c r="AJ83" s="69" t="inlineStr">
        <is>
          <t>HT</t>
        </is>
      </c>
      <c r="AK83" s="69" t="inlineStr">
        <is>
          <t>Full Service</t>
        </is>
      </c>
      <c r="AL83" s="68" t="n">
        <v>1</v>
      </c>
      <c r="AM83" s="68" t="n">
        <v>220</v>
      </c>
      <c r="AN83" s="68" t="n"/>
      <c r="AO83" s="69" t="inlineStr">
        <is>
          <t>1984</t>
        </is>
      </c>
      <c r="AP83" s="70" t="n">
        <v>2014</v>
      </c>
      <c r="AQ83" s="74" t="n">
        <v>2.61</v>
      </c>
      <c r="AR83" s="74" t="n">
        <v>1.98</v>
      </c>
      <c r="AS83" s="74" t="n">
        <v>56.8</v>
      </c>
      <c r="AT83" s="74" t="n">
        <v>56.8</v>
      </c>
      <c r="AU83" s="74" t="n">
        <v>56.8</v>
      </c>
      <c r="AV83" s="74" t="n">
        <v>11.954596813</v>
      </c>
      <c r="AW83" s="74" t="n">
        <v>10.562875854</v>
      </c>
      <c r="AX83" s="75" t="n">
        <v>72</v>
      </c>
      <c r="AY83" s="71" t="n">
        <v>84500000</v>
      </c>
      <c r="AZ83" s="71" t="n">
        <v>84500000</v>
      </c>
      <c r="BA83" s="71" t="n">
        <v>5738206.47</v>
      </c>
      <c r="BB83" s="71" t="n">
        <v>1085797.73</v>
      </c>
      <c r="BC83" s="69" t="inlineStr">
        <is>
          <t>Acquisition</t>
        </is>
      </c>
      <c r="BD83" s="69" t="inlineStr">
        <is>
          <t>N</t>
        </is>
      </c>
      <c r="BE83" s="71" t="n">
        <v>24000000</v>
      </c>
      <c r="BF83" s="71" t="n"/>
      <c r="BG83" s="71" t="n"/>
      <c r="BH83" s="71" t="n">
        <v>0</v>
      </c>
      <c r="BI83" s="71" t="n">
        <v>0</v>
      </c>
      <c r="BJ83" s="69" t="inlineStr">
        <is>
          <t>Y</t>
        </is>
      </c>
      <c r="BK83" s="69" t="n"/>
      <c r="BL83" s="75" t="n"/>
      <c r="BM83" s="73" t="n"/>
      <c r="BN83" s="69" t="inlineStr">
        <is>
          <t>Allan V. Rose</t>
        </is>
      </c>
      <c r="BO83" s="69" t="inlineStr">
        <is>
          <t>Cantor Commercial Real Estate Lending</t>
        </is>
      </c>
      <c r="BP83" s="69" t="inlineStr">
        <is>
          <t>Midland Loan Services</t>
        </is>
      </c>
      <c r="BQ83" s="69" t="inlineStr">
        <is>
          <t>Midland Loan Services</t>
        </is>
      </c>
      <c r="BR83" s="69" t="n"/>
      <c r="BS83" s="73" t="n">
        <v>46273</v>
      </c>
      <c r="BU83" s="76">
        <f>IF($C83="","",IFERROR(INDEX(dmName,MATCH($C83,dmID,0)),"Unmapped"))</f>
        <v/>
      </c>
      <c r="BV83" s="76">
        <f>IF($C83="","",IFERROR(INDEX(dmEntity,MATCH($C83,dmID,0)),"Unmapped"))</f>
        <v/>
      </c>
      <c r="BW83" s="77">
        <f>IF($C83="","",IFERROR(INDEX(dmVintage,MATCH($C83,dmID,0)),""))</f>
        <v/>
      </c>
      <c r="BX83" s="78">
        <f>IFERROR(INDEX(dmInclude,MATCH($C83,dmID,0)),0)</f>
        <v/>
      </c>
      <c r="BY83" s="78">
        <f>IF(N($I83)&gt;0,1,0)</f>
        <v/>
      </c>
      <c r="BZ83" s="76">
        <f>IF($AJ83="","Other / Leased Fee",IFERROR(INDEX(mapPTGroup,MATCH(LEFT(TRIM($AJ83),2),mapPTCode,0)),"Other / Leased Fee"))</f>
        <v/>
      </c>
      <c r="CA83" s="76">
        <f>IF(TRIM($AF83&amp;"")="","NR",LEFT(TRIM($AF83),2))</f>
        <v/>
      </c>
      <c r="CB83" s="76">
        <f>IFERROR(LOOKUP(2,1/(LEFT(TRIM($AI83&amp;""),LEN(mapRegion))=mapRegion),mapRegion),"Not Reported")</f>
        <v/>
      </c>
      <c r="CC83" s="76">
        <f>IF($BY83=0,"",IF(TRIM($W83&amp;"")="REO","REO",IF(TRIM($W83&amp;"")="FC","Foreclosure",IF(TRIM($W83&amp;"")="90+","90+ Days Delinquent",IF(TRIM($W83&amp;"")="60","60 Days Delinquent",IF(TRIM($W83&amp;"")="30","30 Days Delinquent",IF($X83="Non-Performing Matured Balloon","Non-Performing Matured Balloon",IF(OR($X83="Late Payment But Less Than 30 Days Delinquent",LEFT($X83&amp;"",20)="Payment Not Received"),"Late / In Grace (&lt;30 Days)",IF($X83="Performing Matured Balloon","Performing Matured Balloon","Current")))))))))</f>
        <v/>
      </c>
      <c r="CD83" s="78">
        <f>IF(OR($CC83="REO",$CC83="Foreclosure",$CC83="90+ Days Delinquent",$CC83="60 Days Delinquent",$CC83="30 Days Delinquent",$CC83="Non-Performing Matured Balloon"),1,0)</f>
        <v/>
      </c>
      <c r="CE83" s="76">
        <f>IF($AB83="Currently special serv","Currently Specially Serviced",IF($AB83="Returned to master serv","Previously Specially Serviced","Never Specially Serviced"))</f>
        <v/>
      </c>
      <c r="CF83" s="78">
        <f>IF($CE83="Currently Specially Serviced",1,0)</f>
        <v/>
      </c>
      <c r="CG83" s="76">
        <f>IF($AA83="Yes","Currently on Watchlist",IF($AA83="Previously","Previously on Watchlist","Never on Watchlist"))</f>
        <v/>
      </c>
      <c r="CH83" s="78">
        <f>IF($CG83="Currently on Watchlist",1,0)</f>
        <v/>
      </c>
      <c r="CI83" s="76">
        <f>IF($Z83="Full Defeasance","Fully Defeased",IF($Z83="Portion Of Loan Previously Defeased","Partially Defeased",IF($Z83="Defeasance Not Allowable","Not Defeased (Not Permitted)","Not Defeased")))</f>
        <v/>
      </c>
      <c r="CJ83" s="78">
        <f>IF($CI83="Fully Defeased",1,0)</f>
        <v/>
      </c>
      <c r="CK83" s="76">
        <f>IF($R83="IO","Full IO",IF(LEFT($R83&amp;"",7)="IO then","Partial IO","Amortizing"))</f>
        <v/>
      </c>
      <c r="CL83" s="78">
        <f>IF($CK83="Full IO",1,0)</f>
        <v/>
      </c>
      <c r="CM83" s="78">
        <f>IF($CK83="Partial IO",1,0)</f>
        <v/>
      </c>
      <c r="CN83" s="76">
        <f>IF(LEFT($F83&amp;"",10)="SPLIT_LOAN","Pari Passu Split","Standalone")</f>
        <v/>
      </c>
      <c r="CO83" s="78">
        <f>IF($CN83="Pari Passu Split",1,0)</f>
        <v/>
      </c>
      <c r="CP83" s="77">
        <f>IF(ISNUMBER($T83),YEAR($T83),"")</f>
        <v/>
      </c>
      <c r="CQ83" s="79">
        <f>IF(ISNUMBER($V83),$V83,IF(ISNUMBER($U83),$U83,""))</f>
        <v/>
      </c>
      <c r="CR83" s="77">
        <f>IF(ISNUMBER($CQ83),YEAR($CQ83),"")</f>
        <v/>
      </c>
      <c r="CS83" s="78">
        <f>IF(ISNUMBER($M83),MAX(0,$M83),IF(TRIM($M83&amp;"")="matured",0,""))</f>
        <v/>
      </c>
      <c r="CT83" s="78">
        <f>IF(AND(ISNUMBER($CS83),N($CS83)&lt;=mMatWindow),1,0)</f>
        <v/>
      </c>
      <c r="CU83" s="80">
        <f>IF(ISNUMBER($J83),$J83/100,"")</f>
        <v/>
      </c>
      <c r="CV83" s="81">
        <f>IF(ISNUMBER($AQ83),$AQ83,"")</f>
        <v/>
      </c>
      <c r="CW83" s="81">
        <f>IF(ISNUMBER($AR83),$AR83,"")</f>
        <v/>
      </c>
      <c r="CX83" s="82">
        <f>IF(ISNUMBER($AS83),$AS83/100,"")</f>
        <v/>
      </c>
      <c r="CY83" s="82">
        <f>IF(ISNUMBER($AT83),$AT83/100,"")</f>
        <v/>
      </c>
      <c r="CZ83" s="82">
        <f>IF(ISNUMBER($AU83),$AU83/100,"")</f>
        <v/>
      </c>
      <c r="DA83" s="82">
        <f>IF(ISNUMBER($AV83),$AV83/100,"")</f>
        <v/>
      </c>
      <c r="DB83" s="82">
        <f>IF(ISNUMBER($AW83),$AW83/100,"")</f>
        <v/>
      </c>
      <c r="DC83" s="82">
        <f>IF(ISNUMBER($AX83),$AX83/100,"")</f>
        <v/>
      </c>
      <c r="DD83" s="77">
        <f>IFERROR(VALUE(LEFT(TRIM($AO83&amp;""),4)),"")</f>
        <v/>
      </c>
      <c r="DE83" s="78">
        <f>IF(AND($BY83=1,$BX83=1,OR(fDeal="All Deals",$BU83=fDeal),OR(fEntity="All Entities",$BV83=fEntity),OR(fPType="All Property Types",$BZ83=fPType),OR(fDefeased="Include",$CJ83=0)),1,0)</f>
        <v/>
      </c>
      <c r="DF83" s="83">
        <f>$DE83*N($I83)</f>
        <v/>
      </c>
      <c r="DG83" s="78">
        <f>IF($DE83=1,IF(COUNTIFS($F$8:$F83,$F83,$DE$8:$DE83,1)=1,1,0),0)</f>
        <v/>
      </c>
      <c r="DH83" s="83">
        <f>IF($DG83=1,SUMIFS($DF$8:$DF$1600,$F$8:$F$1600,$F83),0)</f>
        <v/>
      </c>
      <c r="DI83" s="78">
        <f>IF($DG83=1,COUNTIFS($F$8:$F$1600,$F83,$DE$8:$DE$1600,1),0)</f>
        <v/>
      </c>
      <c r="DJ83" s="84">
        <f>IF($DG83=1,$DH83+(100000-ROW())/mTieBreak,0)</f>
        <v/>
      </c>
    </row>
    <row r="84">
      <c r="B84" s="68" t="n">
        <v>18</v>
      </c>
      <c r="C84" s="69" t="inlineStr">
        <is>
          <t>CTG17C04</t>
        </is>
      </c>
      <c r="D84" s="69" t="inlineStr">
        <is>
          <t>18.000</t>
        </is>
      </c>
      <c r="E84" s="69" t="inlineStr">
        <is>
          <t>164 Fifth Avenue</t>
        </is>
      </c>
      <c r="F84" s="69" t="inlineStr">
        <is>
          <t>LNCTG17C04-18.000</t>
        </is>
      </c>
      <c r="G84" s="70" t="n"/>
      <c r="H84" s="71" t="n">
        <v>22750000</v>
      </c>
      <c r="I84" s="71" t="n">
        <v>0</v>
      </c>
      <c r="J84" s="72" t="n">
        <v>4.0199</v>
      </c>
      <c r="K84" s="69" t="inlineStr">
        <is>
          <t>Fixed rate</t>
        </is>
      </c>
      <c r="L84" s="68" t="n">
        <v>120</v>
      </c>
      <c r="M84" s="68" t="n"/>
      <c r="N84" s="68" t="n">
        <v>120</v>
      </c>
      <c r="O84" s="68" t="n">
        <v>120</v>
      </c>
      <c r="P84" s="68" t="n"/>
      <c r="Q84" s="68" t="n"/>
      <c r="R84" s="69" t="inlineStr">
        <is>
          <t>IO</t>
        </is>
      </c>
      <c r="S84" s="69" t="inlineStr">
        <is>
          <t>Yes</t>
        </is>
      </c>
      <c r="T84" s="73" t="n">
        <v>42917</v>
      </c>
      <c r="U84" s="73" t="n">
        <v>46574</v>
      </c>
      <c r="V84" s="73" t="n"/>
      <c r="W84" s="69" t="n"/>
      <c r="X84" s="69" t="inlineStr">
        <is>
          <t>Late Payment But Less Than 30 Days Delinquent</t>
        </is>
      </c>
      <c r="Y84" s="68" t="n"/>
      <c r="Z84" s="69" t="inlineStr">
        <is>
          <t>Defeasance Not Allowable</t>
        </is>
      </c>
      <c r="AA84" s="69" t="inlineStr">
        <is>
          <t>Previously</t>
        </is>
      </c>
      <c r="AB84" s="69" t="inlineStr">
        <is>
          <t>Currently special serv</t>
        </is>
      </c>
      <c r="AC84" s="73" t="n">
        <v>44084</v>
      </c>
      <c r="AD84" s="69" t="inlineStr">
        <is>
          <t>Other</t>
        </is>
      </c>
      <c r="AE84" s="69" t="inlineStr">
        <is>
          <t>DPO</t>
        </is>
      </c>
      <c r="AF84" s="69" t="inlineStr">
        <is>
          <t>NY</t>
        </is>
      </c>
      <c r="AG84" s="69" t="inlineStr">
        <is>
          <t>New York</t>
        </is>
      </c>
      <c r="AH84" s="69" t="inlineStr">
        <is>
          <t>New York-Newark-Jersey City, NY-NJ</t>
        </is>
      </c>
      <c r="AI84" s="69" t="inlineStr">
        <is>
          <t>Northeast / Mid-Atlantic</t>
        </is>
      </c>
      <c r="AJ84" s="69" t="inlineStr">
        <is>
          <t>RT</t>
        </is>
      </c>
      <c r="AK84" s="69" t="inlineStr">
        <is>
          <t>Single Tenant</t>
        </is>
      </c>
      <c r="AL84" s="68" t="n">
        <v>1</v>
      </c>
      <c r="AM84" s="68" t="n"/>
      <c r="AN84" s="68" t="n">
        <v>16280</v>
      </c>
      <c r="AO84" s="69" t="inlineStr">
        <is>
          <t>1918</t>
        </is>
      </c>
      <c r="AP84" s="70" t="n">
        <v>2004</v>
      </c>
      <c r="AQ84" s="74" t="n">
        <v>1.98</v>
      </c>
      <c r="AR84" s="74" t="n">
        <v>1.92</v>
      </c>
      <c r="AS84" s="74" t="n">
        <v>51.7</v>
      </c>
      <c r="AT84" s="74" t="n"/>
      <c r="AU84" s="74" t="n">
        <v>51.7</v>
      </c>
      <c r="AV84" s="74" t="n">
        <v>8.056216747000001</v>
      </c>
      <c r="AW84" s="74" t="n"/>
      <c r="AX84" s="75" t="n">
        <v>100</v>
      </c>
      <c r="AY84" s="71" t="n">
        <v>44000000</v>
      </c>
      <c r="AZ84" s="71" t="n">
        <v>44000000</v>
      </c>
      <c r="BA84" s="71" t="n">
        <v>1832789.31</v>
      </c>
      <c r="BB84" s="71" t="n">
        <v>1779488.09</v>
      </c>
      <c r="BC84" s="69" t="inlineStr">
        <is>
          <t>Refinance</t>
        </is>
      </c>
      <c r="BD84" s="69" t="inlineStr">
        <is>
          <t>N</t>
        </is>
      </c>
      <c r="BE84" s="71" t="n"/>
      <c r="BF84" s="71" t="n"/>
      <c r="BG84" s="71" t="n"/>
      <c r="BH84" s="71" t="n">
        <v>0</v>
      </c>
      <c r="BI84" s="71" t="n">
        <v>76115.81</v>
      </c>
      <c r="BJ84" s="69" t="inlineStr">
        <is>
          <t>N</t>
        </is>
      </c>
      <c r="BK84" s="69" t="inlineStr">
        <is>
          <t>Alo Yoga</t>
        </is>
      </c>
      <c r="BL84" s="75" t="n">
        <v>100</v>
      </c>
      <c r="BM84" s="73" t="n">
        <v>49125</v>
      </c>
      <c r="BN84" s="69" t="inlineStr">
        <is>
          <t>Joseph J. Sitt</t>
        </is>
      </c>
      <c r="BO84" s="69" t="inlineStr">
        <is>
          <t>Cantor Commercial Real Estate Lending</t>
        </is>
      </c>
      <c r="BP84" s="69" t="inlineStr">
        <is>
          <t>Midland Loan Services</t>
        </is>
      </c>
      <c r="BQ84" s="69" t="inlineStr">
        <is>
          <t>Midland Loan Services</t>
        </is>
      </c>
      <c r="BR84" s="69" t="inlineStr">
        <is>
          <t>DPO</t>
        </is>
      </c>
      <c r="BS84" s="73" t="n">
        <v>44173</v>
      </c>
      <c r="BU84" s="76">
        <f>IF($C84="","",IFERROR(INDEX(dmName,MATCH($C84,dmID,0)),"Unmapped"))</f>
        <v/>
      </c>
      <c r="BV84" s="76">
        <f>IF($C84="","",IFERROR(INDEX(dmEntity,MATCH($C84,dmID,0)),"Unmapped"))</f>
        <v/>
      </c>
      <c r="BW84" s="77">
        <f>IF($C84="","",IFERROR(INDEX(dmVintage,MATCH($C84,dmID,0)),""))</f>
        <v/>
      </c>
      <c r="BX84" s="78">
        <f>IFERROR(INDEX(dmInclude,MATCH($C84,dmID,0)),0)</f>
        <v/>
      </c>
      <c r="BY84" s="78">
        <f>IF(N($I84)&gt;0,1,0)</f>
        <v/>
      </c>
      <c r="BZ84" s="76">
        <f>IF($AJ84="","Other / Leased Fee",IFERROR(INDEX(mapPTGroup,MATCH(LEFT(TRIM($AJ84),2),mapPTCode,0)),"Other / Leased Fee"))</f>
        <v/>
      </c>
      <c r="CA84" s="76">
        <f>IF(TRIM($AF84&amp;"")="","NR",LEFT(TRIM($AF84),2))</f>
        <v/>
      </c>
      <c r="CB84" s="76">
        <f>IFERROR(LOOKUP(2,1/(LEFT(TRIM($AI84&amp;""),LEN(mapRegion))=mapRegion),mapRegion),"Not Reported")</f>
        <v/>
      </c>
      <c r="CC84" s="76">
        <f>IF($BY84=0,"",IF(TRIM($W84&amp;"")="REO","REO",IF(TRIM($W84&amp;"")="FC","Foreclosure",IF(TRIM($W84&amp;"")="90+","90+ Days Delinquent",IF(TRIM($W84&amp;"")="60","60 Days Delinquent",IF(TRIM($W84&amp;"")="30","30 Days Delinquent",IF($X84="Non-Performing Matured Balloon","Non-Performing Matured Balloon",IF(OR($X84="Late Payment But Less Than 30 Days Delinquent",LEFT($X84&amp;"",20)="Payment Not Received"),"Late / In Grace (&lt;30 Days)",IF($X84="Performing Matured Balloon","Performing Matured Balloon","Current")))))))))</f>
        <v/>
      </c>
      <c r="CD84" s="78">
        <f>IF(OR($CC84="REO",$CC84="Foreclosure",$CC84="90+ Days Delinquent",$CC84="60 Days Delinquent",$CC84="30 Days Delinquent",$CC84="Non-Performing Matured Balloon"),1,0)</f>
        <v/>
      </c>
      <c r="CE84" s="76">
        <f>IF($AB84="Currently special serv","Currently Specially Serviced",IF($AB84="Returned to master serv","Previously Specially Serviced","Never Specially Serviced"))</f>
        <v/>
      </c>
      <c r="CF84" s="78">
        <f>IF($CE84="Currently Specially Serviced",1,0)</f>
        <v/>
      </c>
      <c r="CG84" s="76">
        <f>IF($AA84="Yes","Currently on Watchlist",IF($AA84="Previously","Previously on Watchlist","Never on Watchlist"))</f>
        <v/>
      </c>
      <c r="CH84" s="78">
        <f>IF($CG84="Currently on Watchlist",1,0)</f>
        <v/>
      </c>
      <c r="CI84" s="76">
        <f>IF($Z84="Full Defeasance","Fully Defeased",IF($Z84="Portion Of Loan Previously Defeased","Partially Defeased",IF($Z84="Defeasance Not Allowable","Not Defeased (Not Permitted)","Not Defeased")))</f>
        <v/>
      </c>
      <c r="CJ84" s="78">
        <f>IF($CI84="Fully Defeased",1,0)</f>
        <v/>
      </c>
      <c r="CK84" s="76">
        <f>IF($R84="IO","Full IO",IF(LEFT($R84&amp;"",7)="IO then","Partial IO","Amortizing"))</f>
        <v/>
      </c>
      <c r="CL84" s="78">
        <f>IF($CK84="Full IO",1,0)</f>
        <v/>
      </c>
      <c r="CM84" s="78">
        <f>IF($CK84="Partial IO",1,0)</f>
        <v/>
      </c>
      <c r="CN84" s="76">
        <f>IF(LEFT($F84&amp;"",10)="SPLIT_LOAN","Pari Passu Split","Standalone")</f>
        <v/>
      </c>
      <c r="CO84" s="78">
        <f>IF($CN84="Pari Passu Split",1,0)</f>
        <v/>
      </c>
      <c r="CP84" s="77">
        <f>IF(ISNUMBER($T84),YEAR($T84),"")</f>
        <v/>
      </c>
      <c r="CQ84" s="79">
        <f>IF(ISNUMBER($V84),$V84,IF(ISNUMBER($U84),$U84,""))</f>
        <v/>
      </c>
      <c r="CR84" s="77">
        <f>IF(ISNUMBER($CQ84),YEAR($CQ84),"")</f>
        <v/>
      </c>
      <c r="CS84" s="78">
        <f>IF(ISNUMBER($M84),MAX(0,$M84),IF(TRIM($M84&amp;"")="matured",0,""))</f>
        <v/>
      </c>
      <c r="CT84" s="78">
        <f>IF(AND(ISNUMBER($CS84),N($CS84)&lt;=mMatWindow),1,0)</f>
        <v/>
      </c>
      <c r="CU84" s="80">
        <f>IF(ISNUMBER($J84),$J84/100,"")</f>
        <v/>
      </c>
      <c r="CV84" s="81">
        <f>IF(ISNUMBER($AQ84),$AQ84,"")</f>
        <v/>
      </c>
      <c r="CW84" s="81">
        <f>IF(ISNUMBER($AR84),$AR84,"")</f>
        <v/>
      </c>
      <c r="CX84" s="82">
        <f>IF(ISNUMBER($AS84),$AS84/100,"")</f>
        <v/>
      </c>
      <c r="CY84" s="82">
        <f>IF(ISNUMBER($AT84),$AT84/100,"")</f>
        <v/>
      </c>
      <c r="CZ84" s="82">
        <f>IF(ISNUMBER($AU84),$AU84/100,"")</f>
        <v/>
      </c>
      <c r="DA84" s="82">
        <f>IF(ISNUMBER($AV84),$AV84/100,"")</f>
        <v/>
      </c>
      <c r="DB84" s="82">
        <f>IF(ISNUMBER($AW84),$AW84/100,"")</f>
        <v/>
      </c>
      <c r="DC84" s="82">
        <f>IF(ISNUMBER($AX84),$AX84/100,"")</f>
        <v/>
      </c>
      <c r="DD84" s="77">
        <f>IFERROR(VALUE(LEFT(TRIM($AO84&amp;""),4)),"")</f>
        <v/>
      </c>
      <c r="DE84" s="78">
        <f>IF(AND($BY84=1,$BX84=1,OR(fDeal="All Deals",$BU84=fDeal),OR(fEntity="All Entities",$BV84=fEntity),OR(fPType="All Property Types",$BZ84=fPType),OR(fDefeased="Include",$CJ84=0)),1,0)</f>
        <v/>
      </c>
      <c r="DF84" s="83">
        <f>$DE84*N($I84)</f>
        <v/>
      </c>
      <c r="DG84" s="78">
        <f>IF($DE84=1,IF(COUNTIFS($F$8:$F84,$F84,$DE$8:$DE84,1)=1,1,0),0)</f>
        <v/>
      </c>
      <c r="DH84" s="83">
        <f>IF($DG84=1,SUMIFS($DF$8:$DF$1600,$F$8:$F$1600,$F84),0)</f>
        <v/>
      </c>
      <c r="DI84" s="78">
        <f>IF($DG84=1,COUNTIFS($F$8:$F$1600,$F84,$DE$8:$DE$1600,1),0)</f>
        <v/>
      </c>
      <c r="DJ84" s="84">
        <f>IF($DG84=1,$DH84+(100000-ROW())/mTieBreak,0)</f>
        <v/>
      </c>
    </row>
    <row r="85">
      <c r="B85" s="68" t="n">
        <v>19</v>
      </c>
      <c r="C85" s="69" t="inlineStr">
        <is>
          <t>CTG17C04</t>
        </is>
      </c>
      <c r="D85" s="69" t="inlineStr">
        <is>
          <t>19.000</t>
        </is>
      </c>
      <c r="E85" s="69" t="inlineStr">
        <is>
          <t>2100 West Loop</t>
        </is>
      </c>
      <c r="F85" s="69" t="inlineStr">
        <is>
          <t>LNCTG17C04-19.000</t>
        </is>
      </c>
      <c r="G85" s="70" t="n"/>
      <c r="H85" s="71" t="n">
        <v>22400000</v>
      </c>
      <c r="I85" s="71" t="n">
        <v>0</v>
      </c>
      <c r="J85" s="72" t="n">
        <v>4.245</v>
      </c>
      <c r="K85" s="69" t="inlineStr">
        <is>
          <t>Fixed rate</t>
        </is>
      </c>
      <c r="L85" s="68" t="n">
        <v>60</v>
      </c>
      <c r="M85" s="68" t="n"/>
      <c r="N85" s="68" t="n">
        <v>384</v>
      </c>
      <c r="O85" s="68" t="n">
        <v>24</v>
      </c>
      <c r="P85" s="68" t="n"/>
      <c r="Q85" s="68" t="n"/>
      <c r="R85" s="69" t="inlineStr">
        <is>
          <t>IO then Amort</t>
        </is>
      </c>
      <c r="S85" s="69" t="inlineStr">
        <is>
          <t>No</t>
        </is>
      </c>
      <c r="T85" s="73" t="n">
        <v>43009</v>
      </c>
      <c r="U85" s="73" t="n">
        <v>44840</v>
      </c>
      <c r="V85" s="73" t="n"/>
      <c r="W85" s="69" t="n"/>
      <c r="X85" s="69" t="inlineStr">
        <is>
          <t>Current</t>
        </is>
      </c>
      <c r="Y85" s="68" t="n"/>
      <c r="Z85" s="69" t="inlineStr">
        <is>
          <t>No Defeasance Occurred</t>
        </is>
      </c>
      <c r="AA85" s="69" t="inlineStr">
        <is>
          <t>Previously</t>
        </is>
      </c>
      <c r="AB85" s="69" t="inlineStr">
        <is>
          <t>Never special serv</t>
        </is>
      </c>
      <c r="AC85" s="73" t="n"/>
      <c r="AD85" s="69" t="n"/>
      <c r="AE85" s="69" t="n"/>
      <c r="AF85" s="69" t="inlineStr">
        <is>
          <t>TX</t>
        </is>
      </c>
      <c r="AG85" s="69" t="inlineStr">
        <is>
          <t>Houston</t>
        </is>
      </c>
      <c r="AH85" s="69" t="inlineStr">
        <is>
          <t>Houston-Pasadena-The Woodlands, TX</t>
        </is>
      </c>
      <c r="AI85" s="69" t="inlineStr">
        <is>
          <t>South / Central West</t>
        </is>
      </c>
      <c r="AJ85" s="69" t="inlineStr">
        <is>
          <t>OF</t>
        </is>
      </c>
      <c r="AK85" s="69" t="inlineStr">
        <is>
          <t>Suburban</t>
        </is>
      </c>
      <c r="AL85" s="68" t="n">
        <v>1</v>
      </c>
      <c r="AM85" s="68" t="n"/>
      <c r="AN85" s="68" t="n">
        <v>162515</v>
      </c>
      <c r="AO85" s="69" t="inlineStr">
        <is>
          <t>1974</t>
        </is>
      </c>
      <c r="AP85" s="70" t="n">
        <v>2014</v>
      </c>
      <c r="AQ85" s="74" t="n">
        <v>1.62</v>
      </c>
      <c r="AR85" s="74" t="n">
        <v>-1.7</v>
      </c>
      <c r="AS85" s="74" t="n">
        <v>69.8</v>
      </c>
      <c r="AT85" s="74" t="n"/>
      <c r="AU85" s="74" t="n">
        <v>66.2</v>
      </c>
      <c r="AV85" s="74" t="n">
        <v>9.558311473</v>
      </c>
      <c r="AW85" s="74" t="n"/>
      <c r="AX85" s="75" t="n">
        <v>70</v>
      </c>
      <c r="AY85" s="71" t="n">
        <v>32100000</v>
      </c>
      <c r="AZ85" s="71" t="n">
        <v>32100000</v>
      </c>
      <c r="BA85" s="71" t="n">
        <v>2141061.77</v>
      </c>
      <c r="BB85" s="71" t="n">
        <v>-561270.63</v>
      </c>
      <c r="BC85" s="69" t="inlineStr">
        <is>
          <t>Acquisition</t>
        </is>
      </c>
      <c r="BD85" s="69" t="inlineStr">
        <is>
          <t>N</t>
        </is>
      </c>
      <c r="BE85" s="71" t="n"/>
      <c r="BF85" s="71" t="n"/>
      <c r="BG85" s="71" t="n"/>
      <c r="BH85" s="71" t="n">
        <v>0</v>
      </c>
      <c r="BI85" s="71" t="n">
        <v>0</v>
      </c>
      <c r="BJ85" s="69" t="inlineStr">
        <is>
          <t>N</t>
        </is>
      </c>
      <c r="BK85" s="69" t="inlineStr">
        <is>
          <t>RGN-Houston VII LLC</t>
        </is>
      </c>
      <c r="BL85" s="75" t="n">
        <v>12.99</v>
      </c>
      <c r="BM85" s="73" t="n">
        <v>46477</v>
      </c>
      <c r="BN85" s="69" t="inlineStr">
        <is>
          <t>Yehonatan Sade</t>
        </is>
      </c>
      <c r="BO85" s="69" t="inlineStr">
        <is>
          <t>GACC</t>
        </is>
      </c>
      <c r="BP85" s="69" t="inlineStr">
        <is>
          <t>Midland Loan Services</t>
        </is>
      </c>
      <c r="BQ85" s="69" t="inlineStr">
        <is>
          <t>Midland Loan Services</t>
        </is>
      </c>
      <c r="BR85" s="69" t="inlineStr">
        <is>
          <t>Full Payoff At Maturity</t>
        </is>
      </c>
      <c r="BS85" s="73" t="n">
        <v>44845</v>
      </c>
      <c r="BU85" s="76">
        <f>IF($C85="","",IFERROR(INDEX(dmName,MATCH($C85,dmID,0)),"Unmapped"))</f>
        <v/>
      </c>
      <c r="BV85" s="76">
        <f>IF($C85="","",IFERROR(INDEX(dmEntity,MATCH($C85,dmID,0)),"Unmapped"))</f>
        <v/>
      </c>
      <c r="BW85" s="77">
        <f>IF($C85="","",IFERROR(INDEX(dmVintage,MATCH($C85,dmID,0)),""))</f>
        <v/>
      </c>
      <c r="BX85" s="78">
        <f>IFERROR(INDEX(dmInclude,MATCH($C85,dmID,0)),0)</f>
        <v/>
      </c>
      <c r="BY85" s="78">
        <f>IF(N($I85)&gt;0,1,0)</f>
        <v/>
      </c>
      <c r="BZ85" s="76">
        <f>IF($AJ85="","Other / Leased Fee",IFERROR(INDEX(mapPTGroup,MATCH(LEFT(TRIM($AJ85),2),mapPTCode,0)),"Other / Leased Fee"))</f>
        <v/>
      </c>
      <c r="CA85" s="76">
        <f>IF(TRIM($AF85&amp;"")="","NR",LEFT(TRIM($AF85),2))</f>
        <v/>
      </c>
      <c r="CB85" s="76">
        <f>IFERROR(LOOKUP(2,1/(LEFT(TRIM($AI85&amp;""),LEN(mapRegion))=mapRegion),mapRegion),"Not Reported")</f>
        <v/>
      </c>
      <c r="CC85" s="76">
        <f>IF($BY85=0,"",IF(TRIM($W85&amp;"")="REO","REO",IF(TRIM($W85&amp;"")="FC","Foreclosure",IF(TRIM($W85&amp;"")="90+","90+ Days Delinquent",IF(TRIM($W85&amp;"")="60","60 Days Delinquent",IF(TRIM($W85&amp;"")="30","30 Days Delinquent",IF($X85="Non-Performing Matured Balloon","Non-Performing Matured Balloon",IF(OR($X85="Late Payment But Less Than 30 Days Delinquent",LEFT($X85&amp;"",20)="Payment Not Received"),"Late / In Grace (&lt;30 Days)",IF($X85="Performing Matured Balloon","Performing Matured Balloon","Current")))))))))</f>
        <v/>
      </c>
      <c r="CD85" s="78">
        <f>IF(OR($CC85="REO",$CC85="Foreclosure",$CC85="90+ Days Delinquent",$CC85="60 Days Delinquent",$CC85="30 Days Delinquent",$CC85="Non-Performing Matured Balloon"),1,0)</f>
        <v/>
      </c>
      <c r="CE85" s="76">
        <f>IF($AB85="Currently special serv","Currently Specially Serviced",IF($AB85="Returned to master serv","Previously Specially Serviced","Never Specially Serviced"))</f>
        <v/>
      </c>
      <c r="CF85" s="78">
        <f>IF($CE85="Currently Specially Serviced",1,0)</f>
        <v/>
      </c>
      <c r="CG85" s="76">
        <f>IF($AA85="Yes","Currently on Watchlist",IF($AA85="Previously","Previously on Watchlist","Never on Watchlist"))</f>
        <v/>
      </c>
      <c r="CH85" s="78">
        <f>IF($CG85="Currently on Watchlist",1,0)</f>
        <v/>
      </c>
      <c r="CI85" s="76">
        <f>IF($Z85="Full Defeasance","Fully Defeased",IF($Z85="Portion Of Loan Previously Defeased","Partially Defeased",IF($Z85="Defeasance Not Allowable","Not Defeased (Not Permitted)","Not Defeased")))</f>
        <v/>
      </c>
      <c r="CJ85" s="78">
        <f>IF($CI85="Fully Defeased",1,0)</f>
        <v/>
      </c>
      <c r="CK85" s="76">
        <f>IF($R85="IO","Full IO",IF(LEFT($R85&amp;"",7)="IO then","Partial IO","Amortizing"))</f>
        <v/>
      </c>
      <c r="CL85" s="78">
        <f>IF($CK85="Full IO",1,0)</f>
        <v/>
      </c>
      <c r="CM85" s="78">
        <f>IF($CK85="Partial IO",1,0)</f>
        <v/>
      </c>
      <c r="CN85" s="76">
        <f>IF(LEFT($F85&amp;"",10)="SPLIT_LOAN","Pari Passu Split","Standalone")</f>
        <v/>
      </c>
      <c r="CO85" s="78">
        <f>IF($CN85="Pari Passu Split",1,0)</f>
        <v/>
      </c>
      <c r="CP85" s="77">
        <f>IF(ISNUMBER($T85),YEAR($T85),"")</f>
        <v/>
      </c>
      <c r="CQ85" s="79">
        <f>IF(ISNUMBER($V85),$V85,IF(ISNUMBER($U85),$U85,""))</f>
        <v/>
      </c>
      <c r="CR85" s="77">
        <f>IF(ISNUMBER($CQ85),YEAR($CQ85),"")</f>
        <v/>
      </c>
      <c r="CS85" s="78">
        <f>IF(ISNUMBER($M85),MAX(0,$M85),IF(TRIM($M85&amp;"")="matured",0,""))</f>
        <v/>
      </c>
      <c r="CT85" s="78">
        <f>IF(AND(ISNUMBER($CS85),N($CS85)&lt;=mMatWindow),1,0)</f>
        <v/>
      </c>
      <c r="CU85" s="80">
        <f>IF(ISNUMBER($J85),$J85/100,"")</f>
        <v/>
      </c>
      <c r="CV85" s="81">
        <f>IF(ISNUMBER($AQ85),$AQ85,"")</f>
        <v/>
      </c>
      <c r="CW85" s="81">
        <f>IF(ISNUMBER($AR85),$AR85,"")</f>
        <v/>
      </c>
      <c r="CX85" s="82">
        <f>IF(ISNUMBER($AS85),$AS85/100,"")</f>
        <v/>
      </c>
      <c r="CY85" s="82">
        <f>IF(ISNUMBER($AT85),$AT85/100,"")</f>
        <v/>
      </c>
      <c r="CZ85" s="82">
        <f>IF(ISNUMBER($AU85),$AU85/100,"")</f>
        <v/>
      </c>
      <c r="DA85" s="82">
        <f>IF(ISNUMBER($AV85),$AV85/100,"")</f>
        <v/>
      </c>
      <c r="DB85" s="82">
        <f>IF(ISNUMBER($AW85),$AW85/100,"")</f>
        <v/>
      </c>
      <c r="DC85" s="82">
        <f>IF(ISNUMBER($AX85),$AX85/100,"")</f>
        <v/>
      </c>
      <c r="DD85" s="77">
        <f>IFERROR(VALUE(LEFT(TRIM($AO85&amp;""),4)),"")</f>
        <v/>
      </c>
      <c r="DE85" s="78">
        <f>IF(AND($BY85=1,$BX85=1,OR(fDeal="All Deals",$BU85=fDeal),OR(fEntity="All Entities",$BV85=fEntity),OR(fPType="All Property Types",$BZ85=fPType),OR(fDefeased="Include",$CJ85=0)),1,0)</f>
        <v/>
      </c>
      <c r="DF85" s="83">
        <f>$DE85*N($I85)</f>
        <v/>
      </c>
      <c r="DG85" s="78">
        <f>IF($DE85=1,IF(COUNTIFS($F$8:$F85,$F85,$DE$8:$DE85,1)=1,1,0),0)</f>
        <v/>
      </c>
      <c r="DH85" s="83">
        <f>IF($DG85=1,SUMIFS($DF$8:$DF$1600,$F$8:$F$1600,$F85),0)</f>
        <v/>
      </c>
      <c r="DI85" s="78">
        <f>IF($DG85=1,COUNTIFS($F$8:$F$1600,$F85,$DE$8:$DE$1600,1),0)</f>
        <v/>
      </c>
      <c r="DJ85" s="84">
        <f>IF($DG85=1,$DH85+(100000-ROW())/mTieBreak,0)</f>
        <v/>
      </c>
    </row>
    <row r="86">
      <c r="B86" s="68" t="n">
        <v>20</v>
      </c>
      <c r="C86" s="69" t="inlineStr">
        <is>
          <t>CTG17C04</t>
        </is>
      </c>
      <c r="D86" s="69" t="inlineStr">
        <is>
          <t>20.000</t>
        </is>
      </c>
      <c r="E86" s="69" t="inlineStr">
        <is>
          <t>Capital Centers II &amp; III</t>
        </is>
      </c>
      <c r="F86" s="69" t="inlineStr">
        <is>
          <t>SPLIT_LOAN_01103</t>
        </is>
      </c>
      <c r="G86" s="70" t="n">
        <v>1103</v>
      </c>
      <c r="H86" s="71" t="n">
        <v>21500000</v>
      </c>
      <c r="I86" s="71" t="n">
        <v>17712549.699995</v>
      </c>
      <c r="J86" s="72" t="n">
        <v>4.264</v>
      </c>
      <c r="K86" s="69" t="inlineStr">
        <is>
          <t>Fixed rate</t>
        </is>
      </c>
      <c r="L86" s="68" t="n">
        <v>120</v>
      </c>
      <c r="M86" s="68" t="n">
        <v>11</v>
      </c>
      <c r="N86" s="68" t="n">
        <v>360</v>
      </c>
      <c r="O86" s="68" t="n"/>
      <c r="P86" s="68" t="n"/>
      <c r="Q86" s="68" t="n">
        <v>109</v>
      </c>
      <c r="R86" s="69" t="n"/>
      <c r="S86" s="69" t="inlineStr">
        <is>
          <t>No</t>
        </is>
      </c>
      <c r="T86" s="73" t="n">
        <v>42948</v>
      </c>
      <c r="U86" s="73" t="n">
        <v>46605</v>
      </c>
      <c r="V86" s="73" t="n"/>
      <c r="W86" s="69" t="n"/>
      <c r="X86" s="69" t="inlineStr">
        <is>
          <t>Current</t>
        </is>
      </c>
      <c r="Y86" s="68" t="n"/>
      <c r="Z86" s="69" t="inlineStr">
        <is>
          <t>No Defeasance Occurred</t>
        </is>
      </c>
      <c r="AA86" s="69" t="inlineStr">
        <is>
          <t>Yes</t>
        </is>
      </c>
      <c r="AB86" s="69" t="inlineStr">
        <is>
          <t>Never special serv</t>
        </is>
      </c>
      <c r="AC86" s="73" t="n"/>
      <c r="AD86" s="69" t="n"/>
      <c r="AE86" s="69" t="n"/>
      <c r="AF86" s="69" t="inlineStr">
        <is>
          <t>CA</t>
        </is>
      </c>
      <c r="AG86" s="69" t="n"/>
      <c r="AH86" s="69" t="inlineStr">
        <is>
          <t>Sacramento-Roseville-Folsom, CA</t>
        </is>
      </c>
      <c r="AI86" s="69" t="inlineStr">
        <is>
          <t>West / Pacific North</t>
        </is>
      </c>
      <c r="AJ86" s="69" t="inlineStr">
        <is>
          <t>OF</t>
        </is>
      </c>
      <c r="AK86" s="69" t="inlineStr">
        <is>
          <t>Suburban</t>
        </is>
      </c>
      <c r="AL86" s="68" t="n">
        <v>2</v>
      </c>
      <c r="AM86" s="68" t="n"/>
      <c r="AN86" s="68" t="n">
        <v>529799</v>
      </c>
      <c r="AO86" s="69" t="n"/>
      <c r="AP86" s="70" t="n">
        <v>1985</v>
      </c>
      <c r="AQ86" s="74" t="n">
        <v>1.74</v>
      </c>
      <c r="AR86" s="74" t="n">
        <v>0.85</v>
      </c>
      <c r="AS86" s="74" t="n">
        <v>68.8</v>
      </c>
      <c r="AT86" s="74" t="n">
        <v>56.84</v>
      </c>
      <c r="AU86" s="74" t="n">
        <v>55.3</v>
      </c>
      <c r="AV86" s="74" t="n">
        <v>10.307968433</v>
      </c>
      <c r="AW86" s="74" t="n">
        <v>6.589326275</v>
      </c>
      <c r="AX86" s="75" t="n">
        <v>84.09999999999999</v>
      </c>
      <c r="AY86" s="71" t="n">
        <v>70300000</v>
      </c>
      <c r="AZ86" s="71" t="n">
        <v>70300000</v>
      </c>
      <c r="BA86" s="71" t="n">
        <v>4999364.69</v>
      </c>
      <c r="BB86" s="71" t="n">
        <v>2427101.6</v>
      </c>
      <c r="BC86" s="69" t="inlineStr">
        <is>
          <t>Refinance</t>
        </is>
      </c>
      <c r="BD86" s="69" t="inlineStr">
        <is>
          <t>N</t>
        </is>
      </c>
      <c r="BE86" s="71" t="n">
        <v>22243667.07</v>
      </c>
      <c r="BF86" s="71" t="n"/>
      <c r="BG86" s="71" t="n"/>
      <c r="BH86" s="71" t="n">
        <v>0</v>
      </c>
      <c r="BI86" s="71" t="n">
        <v>0</v>
      </c>
      <c r="BJ86" s="69" t="inlineStr">
        <is>
          <t>N</t>
        </is>
      </c>
      <c r="BK86" s="69" t="inlineStr">
        <is>
          <t>Prime Therapeutics</t>
        </is>
      </c>
      <c r="BL86" s="75" t="n">
        <v>10.45</v>
      </c>
      <c r="BM86" s="73" t="n">
        <v>46173</v>
      </c>
      <c r="BN86" s="69" t="inlineStr">
        <is>
          <t>Karlin Real Estate, LLC, Karlin Holdings Limited Partnership</t>
        </is>
      </c>
      <c r="BO86" s="69" t="inlineStr">
        <is>
          <t>GACC</t>
        </is>
      </c>
      <c r="BP86" s="69" t="inlineStr">
        <is>
          <t>Midland Loan Services</t>
        </is>
      </c>
      <c r="BQ86" s="69" t="inlineStr">
        <is>
          <t>K-Star Asset Management LLC</t>
        </is>
      </c>
      <c r="BR86" s="69" t="n"/>
      <c r="BS86" s="73" t="n">
        <v>46273</v>
      </c>
      <c r="BU86" s="76">
        <f>IF($C86="","",IFERROR(INDEX(dmName,MATCH($C86,dmID,0)),"Unmapped"))</f>
        <v/>
      </c>
      <c r="BV86" s="76">
        <f>IF($C86="","",IFERROR(INDEX(dmEntity,MATCH($C86,dmID,0)),"Unmapped"))</f>
        <v/>
      </c>
      <c r="BW86" s="77">
        <f>IF($C86="","",IFERROR(INDEX(dmVintage,MATCH($C86,dmID,0)),""))</f>
        <v/>
      </c>
      <c r="BX86" s="78">
        <f>IFERROR(INDEX(dmInclude,MATCH($C86,dmID,0)),0)</f>
        <v/>
      </c>
      <c r="BY86" s="78">
        <f>IF(N($I86)&gt;0,1,0)</f>
        <v/>
      </c>
      <c r="BZ86" s="76">
        <f>IF($AJ86="","Other / Leased Fee",IFERROR(INDEX(mapPTGroup,MATCH(LEFT(TRIM($AJ86),2),mapPTCode,0)),"Other / Leased Fee"))</f>
        <v/>
      </c>
      <c r="CA86" s="76">
        <f>IF(TRIM($AF86&amp;"")="","NR",LEFT(TRIM($AF86),2))</f>
        <v/>
      </c>
      <c r="CB86" s="76">
        <f>IFERROR(LOOKUP(2,1/(LEFT(TRIM($AI86&amp;""),LEN(mapRegion))=mapRegion),mapRegion),"Not Reported")</f>
        <v/>
      </c>
      <c r="CC86" s="76">
        <f>IF($BY86=0,"",IF(TRIM($W86&amp;"")="REO","REO",IF(TRIM($W86&amp;"")="FC","Foreclosure",IF(TRIM($W86&amp;"")="90+","90+ Days Delinquent",IF(TRIM($W86&amp;"")="60","60 Days Delinquent",IF(TRIM($W86&amp;"")="30","30 Days Delinquent",IF($X86="Non-Performing Matured Balloon","Non-Performing Matured Balloon",IF(OR($X86="Late Payment But Less Than 30 Days Delinquent",LEFT($X86&amp;"",20)="Payment Not Received"),"Late / In Grace (&lt;30 Days)",IF($X86="Performing Matured Balloon","Performing Matured Balloon","Current")))))))))</f>
        <v/>
      </c>
      <c r="CD86" s="78">
        <f>IF(OR($CC86="REO",$CC86="Foreclosure",$CC86="90+ Days Delinquent",$CC86="60 Days Delinquent",$CC86="30 Days Delinquent",$CC86="Non-Performing Matured Balloon"),1,0)</f>
        <v/>
      </c>
      <c r="CE86" s="76">
        <f>IF($AB86="Currently special serv","Currently Specially Serviced",IF($AB86="Returned to master serv","Previously Specially Serviced","Never Specially Serviced"))</f>
        <v/>
      </c>
      <c r="CF86" s="78">
        <f>IF($CE86="Currently Specially Serviced",1,0)</f>
        <v/>
      </c>
      <c r="CG86" s="76">
        <f>IF($AA86="Yes","Currently on Watchlist",IF($AA86="Previously","Previously on Watchlist","Never on Watchlist"))</f>
        <v/>
      </c>
      <c r="CH86" s="78">
        <f>IF($CG86="Currently on Watchlist",1,0)</f>
        <v/>
      </c>
      <c r="CI86" s="76">
        <f>IF($Z86="Full Defeasance","Fully Defeased",IF($Z86="Portion Of Loan Previously Defeased","Partially Defeased",IF($Z86="Defeasance Not Allowable","Not Defeased (Not Permitted)","Not Defeased")))</f>
        <v/>
      </c>
      <c r="CJ86" s="78">
        <f>IF($CI86="Fully Defeased",1,0)</f>
        <v/>
      </c>
      <c r="CK86" s="76">
        <f>IF($R86="IO","Full IO",IF(LEFT($R86&amp;"",7)="IO then","Partial IO","Amortizing"))</f>
        <v/>
      </c>
      <c r="CL86" s="78">
        <f>IF($CK86="Full IO",1,0)</f>
        <v/>
      </c>
      <c r="CM86" s="78">
        <f>IF($CK86="Partial IO",1,0)</f>
        <v/>
      </c>
      <c r="CN86" s="76">
        <f>IF(LEFT($F86&amp;"",10)="SPLIT_LOAN","Pari Passu Split","Standalone")</f>
        <v/>
      </c>
      <c r="CO86" s="78">
        <f>IF($CN86="Pari Passu Split",1,0)</f>
        <v/>
      </c>
      <c r="CP86" s="77">
        <f>IF(ISNUMBER($T86),YEAR($T86),"")</f>
        <v/>
      </c>
      <c r="CQ86" s="79">
        <f>IF(ISNUMBER($V86),$V86,IF(ISNUMBER($U86),$U86,""))</f>
        <v/>
      </c>
      <c r="CR86" s="77">
        <f>IF(ISNUMBER($CQ86),YEAR($CQ86),"")</f>
        <v/>
      </c>
      <c r="CS86" s="78">
        <f>IF(ISNUMBER($M86),MAX(0,$M86),IF(TRIM($M86&amp;"")="matured",0,""))</f>
        <v/>
      </c>
      <c r="CT86" s="78">
        <f>IF(AND(ISNUMBER($CS86),N($CS86)&lt;=mMatWindow),1,0)</f>
        <v/>
      </c>
      <c r="CU86" s="80">
        <f>IF(ISNUMBER($J86),$J86/100,"")</f>
        <v/>
      </c>
      <c r="CV86" s="81">
        <f>IF(ISNUMBER($AQ86),$AQ86,"")</f>
        <v/>
      </c>
      <c r="CW86" s="81">
        <f>IF(ISNUMBER($AR86),$AR86,"")</f>
        <v/>
      </c>
      <c r="CX86" s="82">
        <f>IF(ISNUMBER($AS86),$AS86/100,"")</f>
        <v/>
      </c>
      <c r="CY86" s="82">
        <f>IF(ISNUMBER($AT86),$AT86/100,"")</f>
        <v/>
      </c>
      <c r="CZ86" s="82">
        <f>IF(ISNUMBER($AU86),$AU86/100,"")</f>
        <v/>
      </c>
      <c r="DA86" s="82">
        <f>IF(ISNUMBER($AV86),$AV86/100,"")</f>
        <v/>
      </c>
      <c r="DB86" s="82">
        <f>IF(ISNUMBER($AW86),$AW86/100,"")</f>
        <v/>
      </c>
      <c r="DC86" s="82">
        <f>IF(ISNUMBER($AX86),$AX86/100,"")</f>
        <v/>
      </c>
      <c r="DD86" s="77">
        <f>IFERROR(VALUE(LEFT(TRIM($AO86&amp;""),4)),"")</f>
        <v/>
      </c>
      <c r="DE86" s="78">
        <f>IF(AND($BY86=1,$BX86=1,OR(fDeal="All Deals",$BU86=fDeal),OR(fEntity="All Entities",$BV86=fEntity),OR(fPType="All Property Types",$BZ86=fPType),OR(fDefeased="Include",$CJ86=0)),1,0)</f>
        <v/>
      </c>
      <c r="DF86" s="83">
        <f>$DE86*N($I86)</f>
        <v/>
      </c>
      <c r="DG86" s="78">
        <f>IF($DE86=1,IF(COUNTIFS($F$8:$F86,$F86,$DE$8:$DE86,1)=1,1,0),0)</f>
        <v/>
      </c>
      <c r="DH86" s="83">
        <f>IF($DG86=1,SUMIFS($DF$8:$DF$1600,$F$8:$F$1600,$F86),0)</f>
        <v/>
      </c>
      <c r="DI86" s="78">
        <f>IF($DG86=1,COUNTIFS($F$8:$F$1600,$F86,$DE$8:$DE$1600,1),0)</f>
        <v/>
      </c>
      <c r="DJ86" s="84">
        <f>IF($DG86=1,$DH86+(100000-ROW())/mTieBreak,0)</f>
        <v/>
      </c>
    </row>
    <row r="87">
      <c r="B87" s="68" t="n">
        <v>21</v>
      </c>
      <c r="C87" s="69" t="inlineStr">
        <is>
          <t>CTG17C04</t>
        </is>
      </c>
      <c r="D87" s="69" t="inlineStr">
        <is>
          <t>21.000</t>
        </is>
      </c>
      <c r="E87" s="69" t="inlineStr">
        <is>
          <t>Brickell Heights</t>
        </is>
      </c>
      <c r="F87" s="69" t="inlineStr">
        <is>
          <t>LNCTG17C04-21.000</t>
        </is>
      </c>
      <c r="G87" s="70" t="n"/>
      <c r="H87" s="71" t="n">
        <v>21000000</v>
      </c>
      <c r="I87" s="71" t="n">
        <v>21000000</v>
      </c>
      <c r="J87" s="72" t="n">
        <v>4.476</v>
      </c>
      <c r="K87" s="69" t="inlineStr">
        <is>
          <t>Fixed rate</t>
        </is>
      </c>
      <c r="L87" s="68" t="n">
        <v>120</v>
      </c>
      <c r="M87" s="68" t="n">
        <v>11</v>
      </c>
      <c r="N87" s="68" t="n">
        <v>120</v>
      </c>
      <c r="O87" s="68" t="n">
        <v>120</v>
      </c>
      <c r="P87" s="68" t="n">
        <v>11</v>
      </c>
      <c r="Q87" s="68" t="n">
        <v>109</v>
      </c>
      <c r="R87" s="69" t="inlineStr">
        <is>
          <t>IO</t>
        </is>
      </c>
      <c r="S87" s="69" t="inlineStr">
        <is>
          <t>Yes</t>
        </is>
      </c>
      <c r="T87" s="73" t="n">
        <v>42948</v>
      </c>
      <c r="U87" s="73" t="n">
        <v>46605</v>
      </c>
      <c r="V87" s="73" t="n"/>
      <c r="W87" s="69" t="n"/>
      <c r="X87" s="69" t="inlineStr">
        <is>
          <t>Current</t>
        </is>
      </c>
      <c r="Y87" s="68" t="n"/>
      <c r="Z87" s="69" t="inlineStr">
        <is>
          <t>No Defeasance Occurred</t>
        </is>
      </c>
      <c r="AA87" s="69" t="inlineStr">
        <is>
          <t>Previously</t>
        </is>
      </c>
      <c r="AB87" s="69" t="inlineStr">
        <is>
          <t>Never special serv</t>
        </is>
      </c>
      <c r="AC87" s="73" t="n"/>
      <c r="AD87" s="69" t="n"/>
      <c r="AE87" s="69" t="n"/>
      <c r="AF87" s="69" t="inlineStr">
        <is>
          <t>FL</t>
        </is>
      </c>
      <c r="AG87" s="69" t="inlineStr">
        <is>
          <t>Miami</t>
        </is>
      </c>
      <c r="AH87" s="69" t="inlineStr">
        <is>
          <t>Miami-Fort Lauderdale-West Palm Beach, FL</t>
        </is>
      </c>
      <c r="AI87" s="69" t="inlineStr">
        <is>
          <t>South / Atlantic</t>
        </is>
      </c>
      <c r="AJ87" s="69" t="inlineStr">
        <is>
          <t>RT</t>
        </is>
      </c>
      <c r="AK87" s="69" t="inlineStr">
        <is>
          <t>Anchored</t>
        </is>
      </c>
      <c r="AL87" s="68" t="n">
        <v>1</v>
      </c>
      <c r="AM87" s="68" t="n"/>
      <c r="AN87" s="68" t="n">
        <v>38679</v>
      </c>
      <c r="AO87" s="69" t="inlineStr">
        <is>
          <t>2017</t>
        </is>
      </c>
      <c r="AP87" s="70" t="n">
        <v>2017</v>
      </c>
      <c r="AQ87" s="74" t="n">
        <v>1.73</v>
      </c>
      <c r="AR87" s="74" t="n">
        <v>1.73</v>
      </c>
      <c r="AS87" s="74" t="n">
        <v>69.77</v>
      </c>
      <c r="AT87" s="74" t="n">
        <v>69.77</v>
      </c>
      <c r="AU87" s="74" t="n">
        <v>69.77</v>
      </c>
      <c r="AV87" s="74" t="n">
        <v>7.857142857</v>
      </c>
      <c r="AW87" s="74" t="n">
        <v>7.868564143</v>
      </c>
      <c r="AX87" s="75" t="n">
        <v>100</v>
      </c>
      <c r="AY87" s="71" t="n">
        <v>30100000</v>
      </c>
      <c r="AZ87" s="71" t="n">
        <v>30100000</v>
      </c>
      <c r="BA87" s="71" t="n">
        <v>1650000</v>
      </c>
      <c r="BB87" s="71" t="n">
        <v>1652398.47</v>
      </c>
      <c r="BC87" s="69" t="inlineStr">
        <is>
          <t>Acquisition</t>
        </is>
      </c>
      <c r="BD87" s="69" t="inlineStr">
        <is>
          <t>N</t>
        </is>
      </c>
      <c r="BE87" s="71" t="n"/>
      <c r="BF87" s="71" t="n"/>
      <c r="BG87" s="71" t="n"/>
      <c r="BH87" s="71" t="n">
        <v>0</v>
      </c>
      <c r="BI87" s="71" t="n">
        <v>0</v>
      </c>
      <c r="BJ87" s="69" t="inlineStr">
        <is>
          <t>N</t>
        </is>
      </c>
      <c r="BK87" s="69" t="inlineStr">
        <is>
          <t>Equinox Brickell Inc</t>
        </is>
      </c>
      <c r="BL87" s="75" t="n">
        <v>92.7</v>
      </c>
      <c r="BM87" s="73" t="n">
        <v>50252</v>
      </c>
      <c r="BN87" s="69" t="inlineStr">
        <is>
          <t>Related Special Assets LLC</t>
        </is>
      </c>
      <c r="BO87" s="69" t="inlineStr">
        <is>
          <t>Ladder Capital Finance</t>
        </is>
      </c>
      <c r="BP87" s="69" t="inlineStr">
        <is>
          <t>Midland Loan Services</t>
        </is>
      </c>
      <c r="BQ87" s="69" t="inlineStr">
        <is>
          <t>Midland Loan Services</t>
        </is>
      </c>
      <c r="BR87" s="69" t="n"/>
      <c r="BS87" s="73" t="n">
        <v>46273</v>
      </c>
      <c r="BU87" s="76">
        <f>IF($C87="","",IFERROR(INDEX(dmName,MATCH($C87,dmID,0)),"Unmapped"))</f>
        <v/>
      </c>
      <c r="BV87" s="76">
        <f>IF($C87="","",IFERROR(INDEX(dmEntity,MATCH($C87,dmID,0)),"Unmapped"))</f>
        <v/>
      </c>
      <c r="BW87" s="77">
        <f>IF($C87="","",IFERROR(INDEX(dmVintage,MATCH($C87,dmID,0)),""))</f>
        <v/>
      </c>
      <c r="BX87" s="78">
        <f>IFERROR(INDEX(dmInclude,MATCH($C87,dmID,0)),0)</f>
        <v/>
      </c>
      <c r="BY87" s="78">
        <f>IF(N($I87)&gt;0,1,0)</f>
        <v/>
      </c>
      <c r="BZ87" s="76">
        <f>IF($AJ87="","Other / Leased Fee",IFERROR(INDEX(mapPTGroup,MATCH(LEFT(TRIM($AJ87),2),mapPTCode,0)),"Other / Leased Fee"))</f>
        <v/>
      </c>
      <c r="CA87" s="76">
        <f>IF(TRIM($AF87&amp;"")="","NR",LEFT(TRIM($AF87),2))</f>
        <v/>
      </c>
      <c r="CB87" s="76">
        <f>IFERROR(LOOKUP(2,1/(LEFT(TRIM($AI87&amp;""),LEN(mapRegion))=mapRegion),mapRegion),"Not Reported")</f>
        <v/>
      </c>
      <c r="CC87" s="76">
        <f>IF($BY87=0,"",IF(TRIM($W87&amp;"")="REO","REO",IF(TRIM($W87&amp;"")="FC","Foreclosure",IF(TRIM($W87&amp;"")="90+","90+ Days Delinquent",IF(TRIM($W87&amp;"")="60","60 Days Delinquent",IF(TRIM($W87&amp;"")="30","30 Days Delinquent",IF($X87="Non-Performing Matured Balloon","Non-Performing Matured Balloon",IF(OR($X87="Late Payment But Less Than 30 Days Delinquent",LEFT($X87&amp;"",20)="Payment Not Received"),"Late / In Grace (&lt;30 Days)",IF($X87="Performing Matured Balloon","Performing Matured Balloon","Current")))))))))</f>
        <v/>
      </c>
      <c r="CD87" s="78">
        <f>IF(OR($CC87="REO",$CC87="Foreclosure",$CC87="90+ Days Delinquent",$CC87="60 Days Delinquent",$CC87="30 Days Delinquent",$CC87="Non-Performing Matured Balloon"),1,0)</f>
        <v/>
      </c>
      <c r="CE87" s="76">
        <f>IF($AB87="Currently special serv","Currently Specially Serviced",IF($AB87="Returned to master serv","Previously Specially Serviced","Never Specially Serviced"))</f>
        <v/>
      </c>
      <c r="CF87" s="78">
        <f>IF($CE87="Currently Specially Serviced",1,0)</f>
        <v/>
      </c>
      <c r="CG87" s="76">
        <f>IF($AA87="Yes","Currently on Watchlist",IF($AA87="Previously","Previously on Watchlist","Never on Watchlist"))</f>
        <v/>
      </c>
      <c r="CH87" s="78">
        <f>IF($CG87="Currently on Watchlist",1,0)</f>
        <v/>
      </c>
      <c r="CI87" s="76">
        <f>IF($Z87="Full Defeasance","Fully Defeased",IF($Z87="Portion Of Loan Previously Defeased","Partially Defeased",IF($Z87="Defeasance Not Allowable","Not Defeased (Not Permitted)","Not Defeased")))</f>
        <v/>
      </c>
      <c r="CJ87" s="78">
        <f>IF($CI87="Fully Defeased",1,0)</f>
        <v/>
      </c>
      <c r="CK87" s="76">
        <f>IF($R87="IO","Full IO",IF(LEFT($R87&amp;"",7)="IO then","Partial IO","Amortizing"))</f>
        <v/>
      </c>
      <c r="CL87" s="78">
        <f>IF($CK87="Full IO",1,0)</f>
        <v/>
      </c>
      <c r="CM87" s="78">
        <f>IF($CK87="Partial IO",1,0)</f>
        <v/>
      </c>
      <c r="CN87" s="76">
        <f>IF(LEFT($F87&amp;"",10)="SPLIT_LOAN","Pari Passu Split","Standalone")</f>
        <v/>
      </c>
      <c r="CO87" s="78">
        <f>IF($CN87="Pari Passu Split",1,0)</f>
        <v/>
      </c>
      <c r="CP87" s="77">
        <f>IF(ISNUMBER($T87),YEAR($T87),"")</f>
        <v/>
      </c>
      <c r="CQ87" s="79">
        <f>IF(ISNUMBER($V87),$V87,IF(ISNUMBER($U87),$U87,""))</f>
        <v/>
      </c>
      <c r="CR87" s="77">
        <f>IF(ISNUMBER($CQ87),YEAR($CQ87),"")</f>
        <v/>
      </c>
      <c r="CS87" s="78">
        <f>IF(ISNUMBER($M87),MAX(0,$M87),IF(TRIM($M87&amp;"")="matured",0,""))</f>
        <v/>
      </c>
      <c r="CT87" s="78">
        <f>IF(AND(ISNUMBER($CS87),N($CS87)&lt;=mMatWindow),1,0)</f>
        <v/>
      </c>
      <c r="CU87" s="80">
        <f>IF(ISNUMBER($J87),$J87/100,"")</f>
        <v/>
      </c>
      <c r="CV87" s="81">
        <f>IF(ISNUMBER($AQ87),$AQ87,"")</f>
        <v/>
      </c>
      <c r="CW87" s="81">
        <f>IF(ISNUMBER($AR87),$AR87,"")</f>
        <v/>
      </c>
      <c r="CX87" s="82">
        <f>IF(ISNUMBER($AS87),$AS87/100,"")</f>
        <v/>
      </c>
      <c r="CY87" s="82">
        <f>IF(ISNUMBER($AT87),$AT87/100,"")</f>
        <v/>
      </c>
      <c r="CZ87" s="82">
        <f>IF(ISNUMBER($AU87),$AU87/100,"")</f>
        <v/>
      </c>
      <c r="DA87" s="82">
        <f>IF(ISNUMBER($AV87),$AV87/100,"")</f>
        <v/>
      </c>
      <c r="DB87" s="82">
        <f>IF(ISNUMBER($AW87),$AW87/100,"")</f>
        <v/>
      </c>
      <c r="DC87" s="82">
        <f>IF(ISNUMBER($AX87),$AX87/100,"")</f>
        <v/>
      </c>
      <c r="DD87" s="77">
        <f>IFERROR(VALUE(LEFT(TRIM($AO87&amp;""),4)),"")</f>
        <v/>
      </c>
      <c r="DE87" s="78">
        <f>IF(AND($BY87=1,$BX87=1,OR(fDeal="All Deals",$BU87=fDeal),OR(fEntity="All Entities",$BV87=fEntity),OR(fPType="All Property Types",$BZ87=fPType),OR(fDefeased="Include",$CJ87=0)),1,0)</f>
        <v/>
      </c>
      <c r="DF87" s="83">
        <f>$DE87*N($I87)</f>
        <v/>
      </c>
      <c r="DG87" s="78">
        <f>IF($DE87=1,IF(COUNTIFS($F$8:$F87,$F87,$DE$8:$DE87,1)=1,1,0),0)</f>
        <v/>
      </c>
      <c r="DH87" s="83">
        <f>IF($DG87=1,SUMIFS($DF$8:$DF$1600,$F$8:$F$1600,$F87),0)</f>
        <v/>
      </c>
      <c r="DI87" s="78">
        <f>IF($DG87=1,COUNTIFS($F$8:$F$1600,$F87,$DE$8:$DE$1600,1),0)</f>
        <v/>
      </c>
      <c r="DJ87" s="84">
        <f>IF($DG87=1,$DH87+(100000-ROW())/mTieBreak,0)</f>
        <v/>
      </c>
    </row>
    <row r="88">
      <c r="B88" s="68" t="n">
        <v>22</v>
      </c>
      <c r="C88" s="69" t="inlineStr">
        <is>
          <t>CTG17C04</t>
        </is>
      </c>
      <c r="D88" s="69" t="inlineStr">
        <is>
          <t>22.000</t>
        </is>
      </c>
      <c r="E88" s="69" t="inlineStr">
        <is>
          <t>5 Rose Avenue</t>
        </is>
      </c>
      <c r="F88" s="69" t="inlineStr">
        <is>
          <t>LNCTG17C04-22.000</t>
        </is>
      </c>
      <c r="G88" s="70" t="n"/>
      <c r="H88" s="71" t="n">
        <v>19500000</v>
      </c>
      <c r="I88" s="71" t="n">
        <v>19500000</v>
      </c>
      <c r="J88" s="72" t="n">
        <v>4.683</v>
      </c>
      <c r="K88" s="69" t="inlineStr">
        <is>
          <t>Fixed rate</t>
        </is>
      </c>
      <c r="L88" s="68" t="n">
        <v>120</v>
      </c>
      <c r="M88" s="68" t="n">
        <v>10</v>
      </c>
      <c r="N88" s="68" t="n">
        <v>120</v>
      </c>
      <c r="O88" s="68" t="n">
        <v>120</v>
      </c>
      <c r="P88" s="68" t="n">
        <v>10</v>
      </c>
      <c r="Q88" s="68" t="n">
        <v>110</v>
      </c>
      <c r="R88" s="69" t="inlineStr">
        <is>
          <t>IO</t>
        </is>
      </c>
      <c r="S88" s="69" t="inlineStr">
        <is>
          <t>Yes</t>
        </is>
      </c>
      <c r="T88" s="73" t="n">
        <v>42917</v>
      </c>
      <c r="U88" s="73" t="n">
        <v>46574</v>
      </c>
      <c r="V88" s="73" t="n"/>
      <c r="W88" s="69" t="n"/>
      <c r="X88" s="69" t="inlineStr">
        <is>
          <t>Current</t>
        </is>
      </c>
      <c r="Y88" s="68" t="n"/>
      <c r="Z88" s="69" t="inlineStr">
        <is>
          <t>No Defeasance Occurred</t>
        </is>
      </c>
      <c r="AA88" s="69" t="inlineStr">
        <is>
          <t>Previously</t>
        </is>
      </c>
      <c r="AB88" s="69" t="inlineStr">
        <is>
          <t>Never special serv</t>
        </is>
      </c>
      <c r="AC88" s="73" t="n"/>
      <c r="AD88" s="69" t="n"/>
      <c r="AE88" s="69" t="n"/>
      <c r="AF88" s="69" t="inlineStr">
        <is>
          <t>CA</t>
        </is>
      </c>
      <c r="AG88" s="69" t="inlineStr">
        <is>
          <t>Los Angeles</t>
        </is>
      </c>
      <c r="AH88" s="69" t="inlineStr">
        <is>
          <t>Los Angeles-Long Beach-Anaheim, CA</t>
        </is>
      </c>
      <c r="AI88" s="69" t="inlineStr">
        <is>
          <t>West / Pacific South</t>
        </is>
      </c>
      <c r="AJ88" s="69" t="inlineStr">
        <is>
          <t>MF</t>
        </is>
      </c>
      <c r="AK88" s="69" t="inlineStr">
        <is>
          <t>Mid Rise</t>
        </is>
      </c>
      <c r="AL88" s="68" t="n">
        <v>1</v>
      </c>
      <c r="AM88" s="68" t="n">
        <v>59</v>
      </c>
      <c r="AN88" s="68" t="n"/>
      <c r="AO88" s="69" t="inlineStr">
        <is>
          <t>1912</t>
        </is>
      </c>
      <c r="AP88" s="70" t="n">
        <v>2010</v>
      </c>
      <c r="AQ88" s="74" t="n">
        <v>1.7</v>
      </c>
      <c r="AR88" s="74" t="n">
        <v>1.47</v>
      </c>
      <c r="AS88" s="74" t="n">
        <v>56.9</v>
      </c>
      <c r="AT88" s="74" t="n">
        <v>56.85</v>
      </c>
      <c r="AU88" s="74" t="n">
        <v>56.9</v>
      </c>
      <c r="AV88" s="74" t="n">
        <v>8.060488615000001</v>
      </c>
      <c r="AW88" s="74" t="n">
        <v>6.970133333</v>
      </c>
      <c r="AX88" s="75" t="n">
        <v>100</v>
      </c>
      <c r="AY88" s="71" t="n">
        <v>34300000</v>
      </c>
      <c r="AZ88" s="71" t="n">
        <v>34300000</v>
      </c>
      <c r="BA88" s="71" t="n">
        <v>1571795.28</v>
      </c>
      <c r="BB88" s="71" t="n">
        <v>1359176</v>
      </c>
      <c r="BC88" s="69" t="inlineStr">
        <is>
          <t>Refinance</t>
        </is>
      </c>
      <c r="BD88" s="69" t="inlineStr">
        <is>
          <t>N</t>
        </is>
      </c>
      <c r="BE88" s="71" t="n"/>
      <c r="BF88" s="71" t="n"/>
      <c r="BG88" s="71" t="n"/>
      <c r="BH88" s="71" t="n">
        <v>0</v>
      </c>
      <c r="BI88" s="71" t="n">
        <v>0</v>
      </c>
      <c r="BJ88" s="69" t="inlineStr">
        <is>
          <t>N</t>
        </is>
      </c>
      <c r="BK88" s="69" t="n"/>
      <c r="BL88" s="75" t="n"/>
      <c r="BM88" s="73" t="n"/>
      <c r="BN88" s="69" t="inlineStr">
        <is>
          <t>Luis Macaya and Rick Macaya</t>
        </is>
      </c>
      <c r="BO88" s="69" t="inlineStr">
        <is>
          <t>Cantor Commercial Real Estate Lending</t>
        </is>
      </c>
      <c r="BP88" s="69" t="inlineStr">
        <is>
          <t>Midland Loan Services</t>
        </is>
      </c>
      <c r="BQ88" s="69" t="inlineStr">
        <is>
          <t>Midland Loan Services</t>
        </is>
      </c>
      <c r="BR88" s="69" t="n"/>
      <c r="BS88" s="73" t="n">
        <v>46273</v>
      </c>
      <c r="BU88" s="76">
        <f>IF($C88="","",IFERROR(INDEX(dmName,MATCH($C88,dmID,0)),"Unmapped"))</f>
        <v/>
      </c>
      <c r="BV88" s="76">
        <f>IF($C88="","",IFERROR(INDEX(dmEntity,MATCH($C88,dmID,0)),"Unmapped"))</f>
        <v/>
      </c>
      <c r="BW88" s="77">
        <f>IF($C88="","",IFERROR(INDEX(dmVintage,MATCH($C88,dmID,0)),""))</f>
        <v/>
      </c>
      <c r="BX88" s="78">
        <f>IFERROR(INDEX(dmInclude,MATCH($C88,dmID,0)),0)</f>
        <v/>
      </c>
      <c r="BY88" s="78">
        <f>IF(N($I88)&gt;0,1,0)</f>
        <v/>
      </c>
      <c r="BZ88" s="76">
        <f>IF($AJ88="","Other / Leased Fee",IFERROR(INDEX(mapPTGroup,MATCH(LEFT(TRIM($AJ88),2),mapPTCode,0)),"Other / Leased Fee"))</f>
        <v/>
      </c>
      <c r="CA88" s="76">
        <f>IF(TRIM($AF88&amp;"")="","NR",LEFT(TRIM($AF88),2))</f>
        <v/>
      </c>
      <c r="CB88" s="76">
        <f>IFERROR(LOOKUP(2,1/(LEFT(TRIM($AI88&amp;""),LEN(mapRegion))=mapRegion),mapRegion),"Not Reported")</f>
        <v/>
      </c>
      <c r="CC88" s="76">
        <f>IF($BY88=0,"",IF(TRIM($W88&amp;"")="REO","REO",IF(TRIM($W88&amp;"")="FC","Foreclosure",IF(TRIM($W88&amp;"")="90+","90+ Days Delinquent",IF(TRIM($W88&amp;"")="60","60 Days Delinquent",IF(TRIM($W88&amp;"")="30","30 Days Delinquent",IF($X88="Non-Performing Matured Balloon","Non-Performing Matured Balloon",IF(OR($X88="Late Payment But Less Than 30 Days Delinquent",LEFT($X88&amp;"",20)="Payment Not Received"),"Late / In Grace (&lt;30 Days)",IF($X88="Performing Matured Balloon","Performing Matured Balloon","Current")))))))))</f>
        <v/>
      </c>
      <c r="CD88" s="78">
        <f>IF(OR($CC88="REO",$CC88="Foreclosure",$CC88="90+ Days Delinquent",$CC88="60 Days Delinquent",$CC88="30 Days Delinquent",$CC88="Non-Performing Matured Balloon"),1,0)</f>
        <v/>
      </c>
      <c r="CE88" s="76">
        <f>IF($AB88="Currently special serv","Currently Specially Serviced",IF($AB88="Returned to master serv","Previously Specially Serviced","Never Specially Serviced"))</f>
        <v/>
      </c>
      <c r="CF88" s="78">
        <f>IF($CE88="Currently Specially Serviced",1,0)</f>
        <v/>
      </c>
      <c r="CG88" s="76">
        <f>IF($AA88="Yes","Currently on Watchlist",IF($AA88="Previously","Previously on Watchlist","Never on Watchlist"))</f>
        <v/>
      </c>
      <c r="CH88" s="78">
        <f>IF($CG88="Currently on Watchlist",1,0)</f>
        <v/>
      </c>
      <c r="CI88" s="76">
        <f>IF($Z88="Full Defeasance","Fully Defeased",IF($Z88="Portion Of Loan Previously Defeased","Partially Defeased",IF($Z88="Defeasance Not Allowable","Not Defeased (Not Permitted)","Not Defeased")))</f>
        <v/>
      </c>
      <c r="CJ88" s="78">
        <f>IF($CI88="Fully Defeased",1,0)</f>
        <v/>
      </c>
      <c r="CK88" s="76">
        <f>IF($R88="IO","Full IO",IF(LEFT($R88&amp;"",7)="IO then","Partial IO","Amortizing"))</f>
        <v/>
      </c>
      <c r="CL88" s="78">
        <f>IF($CK88="Full IO",1,0)</f>
        <v/>
      </c>
      <c r="CM88" s="78">
        <f>IF($CK88="Partial IO",1,0)</f>
        <v/>
      </c>
      <c r="CN88" s="76">
        <f>IF(LEFT($F88&amp;"",10)="SPLIT_LOAN","Pari Passu Split","Standalone")</f>
        <v/>
      </c>
      <c r="CO88" s="78">
        <f>IF($CN88="Pari Passu Split",1,0)</f>
        <v/>
      </c>
      <c r="CP88" s="77">
        <f>IF(ISNUMBER($T88),YEAR($T88),"")</f>
        <v/>
      </c>
      <c r="CQ88" s="79">
        <f>IF(ISNUMBER($V88),$V88,IF(ISNUMBER($U88),$U88,""))</f>
        <v/>
      </c>
      <c r="CR88" s="77">
        <f>IF(ISNUMBER($CQ88),YEAR($CQ88),"")</f>
        <v/>
      </c>
      <c r="CS88" s="78">
        <f>IF(ISNUMBER($M88),MAX(0,$M88),IF(TRIM($M88&amp;"")="matured",0,""))</f>
        <v/>
      </c>
      <c r="CT88" s="78">
        <f>IF(AND(ISNUMBER($CS88),N($CS88)&lt;=mMatWindow),1,0)</f>
        <v/>
      </c>
      <c r="CU88" s="80">
        <f>IF(ISNUMBER($J88),$J88/100,"")</f>
        <v/>
      </c>
      <c r="CV88" s="81">
        <f>IF(ISNUMBER($AQ88),$AQ88,"")</f>
        <v/>
      </c>
      <c r="CW88" s="81">
        <f>IF(ISNUMBER($AR88),$AR88,"")</f>
        <v/>
      </c>
      <c r="CX88" s="82">
        <f>IF(ISNUMBER($AS88),$AS88/100,"")</f>
        <v/>
      </c>
      <c r="CY88" s="82">
        <f>IF(ISNUMBER($AT88),$AT88/100,"")</f>
        <v/>
      </c>
      <c r="CZ88" s="82">
        <f>IF(ISNUMBER($AU88),$AU88/100,"")</f>
        <v/>
      </c>
      <c r="DA88" s="82">
        <f>IF(ISNUMBER($AV88),$AV88/100,"")</f>
        <v/>
      </c>
      <c r="DB88" s="82">
        <f>IF(ISNUMBER($AW88),$AW88/100,"")</f>
        <v/>
      </c>
      <c r="DC88" s="82">
        <f>IF(ISNUMBER($AX88),$AX88/100,"")</f>
        <v/>
      </c>
      <c r="DD88" s="77">
        <f>IFERROR(VALUE(LEFT(TRIM($AO88&amp;""),4)),"")</f>
        <v/>
      </c>
      <c r="DE88" s="78">
        <f>IF(AND($BY88=1,$BX88=1,OR(fDeal="All Deals",$BU88=fDeal),OR(fEntity="All Entities",$BV88=fEntity),OR(fPType="All Property Types",$BZ88=fPType),OR(fDefeased="Include",$CJ88=0)),1,0)</f>
        <v/>
      </c>
      <c r="DF88" s="83">
        <f>$DE88*N($I88)</f>
        <v/>
      </c>
      <c r="DG88" s="78">
        <f>IF($DE88=1,IF(COUNTIFS($F$8:$F88,$F88,$DE$8:$DE88,1)=1,1,0),0)</f>
        <v/>
      </c>
      <c r="DH88" s="83">
        <f>IF($DG88=1,SUMIFS($DF$8:$DF$1600,$F$8:$F$1600,$F88),0)</f>
        <v/>
      </c>
      <c r="DI88" s="78">
        <f>IF($DG88=1,COUNTIFS($F$8:$F$1600,$F88,$DE$8:$DE$1600,1),0)</f>
        <v/>
      </c>
      <c r="DJ88" s="84">
        <f>IF($DG88=1,$DH88+(100000-ROW())/mTieBreak,0)</f>
        <v/>
      </c>
    </row>
    <row r="89">
      <c r="B89" s="68" t="n">
        <v>23</v>
      </c>
      <c r="C89" s="69" t="inlineStr">
        <is>
          <t>CTG17C04</t>
        </is>
      </c>
      <c r="D89" s="69" t="inlineStr">
        <is>
          <t>23.000</t>
        </is>
      </c>
      <c r="E89" s="69" t="inlineStr">
        <is>
          <t>Colonial Village</t>
        </is>
      </c>
      <c r="F89" s="69" t="inlineStr">
        <is>
          <t>LNCTG17C04-23.000</t>
        </is>
      </c>
      <c r="G89" s="70" t="n"/>
      <c r="H89" s="71" t="n">
        <v>17475000</v>
      </c>
      <c r="I89" s="71" t="n">
        <v>17475000</v>
      </c>
      <c r="J89" s="72" t="n">
        <v>4.73</v>
      </c>
      <c r="K89" s="69" t="inlineStr">
        <is>
          <t>Fixed rate</t>
        </is>
      </c>
      <c r="L89" s="68" t="n">
        <v>120</v>
      </c>
      <c r="M89" s="68" t="n">
        <v>12</v>
      </c>
      <c r="N89" s="68" t="n">
        <v>120</v>
      </c>
      <c r="O89" s="68" t="n">
        <v>120</v>
      </c>
      <c r="P89" s="68" t="n">
        <v>12</v>
      </c>
      <c r="Q89" s="68" t="n">
        <v>108</v>
      </c>
      <c r="R89" s="69" t="inlineStr">
        <is>
          <t>IO</t>
        </is>
      </c>
      <c r="S89" s="69" t="inlineStr">
        <is>
          <t>Yes</t>
        </is>
      </c>
      <c r="T89" s="73" t="n">
        <v>42979</v>
      </c>
      <c r="U89" s="73" t="n">
        <v>46636</v>
      </c>
      <c r="V89" s="73" t="n"/>
      <c r="W89" s="69" t="n"/>
      <c r="X89" s="69" t="inlineStr">
        <is>
          <t>Current</t>
        </is>
      </c>
      <c r="Y89" s="68" t="n"/>
      <c r="Z89" s="69" t="inlineStr">
        <is>
          <t>Full Defeasance</t>
        </is>
      </c>
      <c r="AA89" s="69" t="inlineStr">
        <is>
          <t>Previously</t>
        </is>
      </c>
      <c r="AB89" s="69" t="inlineStr">
        <is>
          <t>Never special serv</t>
        </is>
      </c>
      <c r="AC89" s="73" t="n"/>
      <c r="AD89" s="69" t="n"/>
      <c r="AE89" s="69" t="n"/>
      <c r="AF89" s="69" t="inlineStr">
        <is>
          <t>MA</t>
        </is>
      </c>
      <c r="AG89" s="69" t="inlineStr">
        <is>
          <t>Methuen</t>
        </is>
      </c>
      <c r="AH89" s="69" t="inlineStr">
        <is>
          <t>Boston-Cambridge-Newton, MA-NH</t>
        </is>
      </c>
      <c r="AI89" s="69" t="inlineStr">
        <is>
          <t>Northeast / New England</t>
        </is>
      </c>
      <c r="AJ89" s="69" t="inlineStr">
        <is>
          <t>MF</t>
        </is>
      </c>
      <c r="AK89" s="69" t="inlineStr">
        <is>
          <t>Garden</t>
        </is>
      </c>
      <c r="AL89" s="68" t="n">
        <v>1</v>
      </c>
      <c r="AM89" s="68" t="n">
        <v>148</v>
      </c>
      <c r="AN89" s="68" t="n"/>
      <c r="AO89" s="69" t="inlineStr">
        <is>
          <t>1970-1978</t>
        </is>
      </c>
      <c r="AP89" s="70" t="n">
        <v>2017</v>
      </c>
      <c r="AQ89" s="74" t="n">
        <v>1.76</v>
      </c>
      <c r="AR89" s="74" t="n">
        <v>2.29</v>
      </c>
      <c r="AS89" s="74" t="n">
        <v>62.41</v>
      </c>
      <c r="AT89" s="74" t="n">
        <v>62.41</v>
      </c>
      <c r="AU89" s="74" t="n">
        <v>62.41</v>
      </c>
      <c r="AV89" s="74" t="n">
        <v>8.425241774</v>
      </c>
      <c r="AW89" s="74" t="n">
        <v>11.198130587</v>
      </c>
      <c r="AX89" s="75" t="n">
        <v>97</v>
      </c>
      <c r="AY89" s="71" t="n">
        <v>28000000</v>
      </c>
      <c r="AZ89" s="71" t="n">
        <v>28000000</v>
      </c>
      <c r="BA89" s="71" t="n">
        <v>1472311</v>
      </c>
      <c r="BB89" s="71" t="n">
        <v>1916527</v>
      </c>
      <c r="BC89" s="69" t="inlineStr">
        <is>
          <t>Acquisition</t>
        </is>
      </c>
      <c r="BD89" s="69" t="inlineStr">
        <is>
          <t>N</t>
        </is>
      </c>
      <c r="BE89" s="71" t="n"/>
      <c r="BF89" s="71" t="n"/>
      <c r="BG89" s="71" t="n"/>
      <c r="BH89" s="71" t="n">
        <v>0</v>
      </c>
      <c r="BI89" s="71" t="n">
        <v>0</v>
      </c>
      <c r="BJ89" s="69" t="inlineStr">
        <is>
          <t>N</t>
        </is>
      </c>
      <c r="BK89" s="69" t="n"/>
      <c r="BL89" s="75" t="n"/>
      <c r="BM89" s="73" t="n"/>
      <c r="BN89" s="69" t="inlineStr">
        <is>
          <t>David M. Rosenberg</t>
        </is>
      </c>
      <c r="BO89" s="69" t="inlineStr">
        <is>
          <t>RMF</t>
        </is>
      </c>
      <c r="BP89" s="69" t="inlineStr">
        <is>
          <t>Midland Loan Services</t>
        </is>
      </c>
      <c r="BQ89" s="69" t="inlineStr">
        <is>
          <t>Midland Loan Services</t>
        </is>
      </c>
      <c r="BR89" s="69" t="n"/>
      <c r="BS89" s="73" t="n">
        <v>46273</v>
      </c>
      <c r="BU89" s="76">
        <f>IF($C89="","",IFERROR(INDEX(dmName,MATCH($C89,dmID,0)),"Unmapped"))</f>
        <v/>
      </c>
      <c r="BV89" s="76">
        <f>IF($C89="","",IFERROR(INDEX(dmEntity,MATCH($C89,dmID,0)),"Unmapped"))</f>
        <v/>
      </c>
      <c r="BW89" s="77">
        <f>IF($C89="","",IFERROR(INDEX(dmVintage,MATCH($C89,dmID,0)),""))</f>
        <v/>
      </c>
      <c r="BX89" s="78">
        <f>IFERROR(INDEX(dmInclude,MATCH($C89,dmID,0)),0)</f>
        <v/>
      </c>
      <c r="BY89" s="78">
        <f>IF(N($I89)&gt;0,1,0)</f>
        <v/>
      </c>
      <c r="BZ89" s="76">
        <f>IF($AJ89="","Other / Leased Fee",IFERROR(INDEX(mapPTGroup,MATCH(LEFT(TRIM($AJ89),2),mapPTCode,0)),"Other / Leased Fee"))</f>
        <v/>
      </c>
      <c r="CA89" s="76">
        <f>IF(TRIM($AF89&amp;"")="","NR",LEFT(TRIM($AF89),2))</f>
        <v/>
      </c>
      <c r="CB89" s="76">
        <f>IFERROR(LOOKUP(2,1/(LEFT(TRIM($AI89&amp;""),LEN(mapRegion))=mapRegion),mapRegion),"Not Reported")</f>
        <v/>
      </c>
      <c r="CC89" s="76">
        <f>IF($BY89=0,"",IF(TRIM($W89&amp;"")="REO","REO",IF(TRIM($W89&amp;"")="FC","Foreclosure",IF(TRIM($W89&amp;"")="90+","90+ Days Delinquent",IF(TRIM($W89&amp;"")="60","60 Days Delinquent",IF(TRIM($W89&amp;"")="30","30 Days Delinquent",IF($X89="Non-Performing Matured Balloon","Non-Performing Matured Balloon",IF(OR($X89="Late Payment But Less Than 30 Days Delinquent",LEFT($X89&amp;"",20)="Payment Not Received"),"Late / In Grace (&lt;30 Days)",IF($X89="Performing Matured Balloon","Performing Matured Balloon","Current")))))))))</f>
        <v/>
      </c>
      <c r="CD89" s="78">
        <f>IF(OR($CC89="REO",$CC89="Foreclosure",$CC89="90+ Days Delinquent",$CC89="60 Days Delinquent",$CC89="30 Days Delinquent",$CC89="Non-Performing Matured Balloon"),1,0)</f>
        <v/>
      </c>
      <c r="CE89" s="76">
        <f>IF($AB89="Currently special serv","Currently Specially Serviced",IF($AB89="Returned to master serv","Previously Specially Serviced","Never Specially Serviced"))</f>
        <v/>
      </c>
      <c r="CF89" s="78">
        <f>IF($CE89="Currently Specially Serviced",1,0)</f>
        <v/>
      </c>
      <c r="CG89" s="76">
        <f>IF($AA89="Yes","Currently on Watchlist",IF($AA89="Previously","Previously on Watchlist","Never on Watchlist"))</f>
        <v/>
      </c>
      <c r="CH89" s="78">
        <f>IF($CG89="Currently on Watchlist",1,0)</f>
        <v/>
      </c>
      <c r="CI89" s="76">
        <f>IF($Z89="Full Defeasance","Fully Defeased",IF($Z89="Portion Of Loan Previously Defeased","Partially Defeased",IF($Z89="Defeasance Not Allowable","Not Defeased (Not Permitted)","Not Defeased")))</f>
        <v/>
      </c>
      <c r="CJ89" s="78">
        <f>IF($CI89="Fully Defeased",1,0)</f>
        <v/>
      </c>
      <c r="CK89" s="76">
        <f>IF($R89="IO","Full IO",IF(LEFT($R89&amp;"",7)="IO then","Partial IO","Amortizing"))</f>
        <v/>
      </c>
      <c r="CL89" s="78">
        <f>IF($CK89="Full IO",1,0)</f>
        <v/>
      </c>
      <c r="CM89" s="78">
        <f>IF($CK89="Partial IO",1,0)</f>
        <v/>
      </c>
      <c r="CN89" s="76">
        <f>IF(LEFT($F89&amp;"",10)="SPLIT_LOAN","Pari Passu Split","Standalone")</f>
        <v/>
      </c>
      <c r="CO89" s="78">
        <f>IF($CN89="Pari Passu Split",1,0)</f>
        <v/>
      </c>
      <c r="CP89" s="77">
        <f>IF(ISNUMBER($T89),YEAR($T89),"")</f>
        <v/>
      </c>
      <c r="CQ89" s="79">
        <f>IF(ISNUMBER($V89),$V89,IF(ISNUMBER($U89),$U89,""))</f>
        <v/>
      </c>
      <c r="CR89" s="77">
        <f>IF(ISNUMBER($CQ89),YEAR($CQ89),"")</f>
        <v/>
      </c>
      <c r="CS89" s="78">
        <f>IF(ISNUMBER($M89),MAX(0,$M89),IF(TRIM($M89&amp;"")="matured",0,""))</f>
        <v/>
      </c>
      <c r="CT89" s="78">
        <f>IF(AND(ISNUMBER($CS89),N($CS89)&lt;=mMatWindow),1,0)</f>
        <v/>
      </c>
      <c r="CU89" s="80">
        <f>IF(ISNUMBER($J89),$J89/100,"")</f>
        <v/>
      </c>
      <c r="CV89" s="81">
        <f>IF(ISNUMBER($AQ89),$AQ89,"")</f>
        <v/>
      </c>
      <c r="CW89" s="81">
        <f>IF(ISNUMBER($AR89),$AR89,"")</f>
        <v/>
      </c>
      <c r="CX89" s="82">
        <f>IF(ISNUMBER($AS89),$AS89/100,"")</f>
        <v/>
      </c>
      <c r="CY89" s="82">
        <f>IF(ISNUMBER($AT89),$AT89/100,"")</f>
        <v/>
      </c>
      <c r="CZ89" s="82">
        <f>IF(ISNUMBER($AU89),$AU89/100,"")</f>
        <v/>
      </c>
      <c r="DA89" s="82">
        <f>IF(ISNUMBER($AV89),$AV89/100,"")</f>
        <v/>
      </c>
      <c r="DB89" s="82">
        <f>IF(ISNUMBER($AW89),$AW89/100,"")</f>
        <v/>
      </c>
      <c r="DC89" s="82">
        <f>IF(ISNUMBER($AX89),$AX89/100,"")</f>
        <v/>
      </c>
      <c r="DD89" s="77">
        <f>IFERROR(VALUE(LEFT(TRIM($AO89&amp;""),4)),"")</f>
        <v/>
      </c>
      <c r="DE89" s="78">
        <f>IF(AND($BY89=1,$BX89=1,OR(fDeal="All Deals",$BU89=fDeal),OR(fEntity="All Entities",$BV89=fEntity),OR(fPType="All Property Types",$BZ89=fPType),OR(fDefeased="Include",$CJ89=0)),1,0)</f>
        <v/>
      </c>
      <c r="DF89" s="83">
        <f>$DE89*N($I89)</f>
        <v/>
      </c>
      <c r="DG89" s="78">
        <f>IF($DE89=1,IF(COUNTIFS($F$8:$F89,$F89,$DE$8:$DE89,1)=1,1,0),0)</f>
        <v/>
      </c>
      <c r="DH89" s="83">
        <f>IF($DG89=1,SUMIFS($DF$8:$DF$1600,$F$8:$F$1600,$F89),0)</f>
        <v/>
      </c>
      <c r="DI89" s="78">
        <f>IF($DG89=1,COUNTIFS($F$8:$F$1600,$F89,$DE$8:$DE$1600,1),0)</f>
        <v/>
      </c>
      <c r="DJ89" s="84">
        <f>IF($DG89=1,$DH89+(100000-ROW())/mTieBreak,0)</f>
        <v/>
      </c>
    </row>
    <row r="90">
      <c r="B90" s="68" t="n">
        <v>24</v>
      </c>
      <c r="C90" s="69" t="inlineStr">
        <is>
          <t>CTG17C04</t>
        </is>
      </c>
      <c r="D90" s="69" t="inlineStr">
        <is>
          <t>24.000</t>
        </is>
      </c>
      <c r="E90" s="69" t="inlineStr">
        <is>
          <t>Walgreens Witkoff Portfolio</t>
        </is>
      </c>
      <c r="F90" s="69" t="inlineStr">
        <is>
          <t>SPLIT_LOAN_01102</t>
        </is>
      </c>
      <c r="G90" s="70" t="n">
        <v>1102</v>
      </c>
      <c r="H90" s="71" t="n">
        <v>16150000</v>
      </c>
      <c r="I90" s="71" t="n">
        <v>15441216.17000405</v>
      </c>
      <c r="J90" s="72" t="n">
        <v>5.04</v>
      </c>
      <c r="K90" s="69" t="inlineStr">
        <is>
          <t>Fixed rate</t>
        </is>
      </c>
      <c r="L90" s="68" t="n">
        <v>120</v>
      </c>
      <c r="M90" s="68" t="n">
        <v>12</v>
      </c>
      <c r="N90" s="68" t="n">
        <v>432</v>
      </c>
      <c r="O90" s="68" t="n">
        <v>72</v>
      </c>
      <c r="P90" s="68" t="n">
        <v>0</v>
      </c>
      <c r="Q90" s="68" t="n">
        <v>108</v>
      </c>
      <c r="R90" s="69" t="inlineStr">
        <is>
          <t>IO then Amort</t>
        </is>
      </c>
      <c r="S90" s="69" t="inlineStr">
        <is>
          <t>No</t>
        </is>
      </c>
      <c r="T90" s="73" t="n">
        <v>42979</v>
      </c>
      <c r="U90" s="73" t="n">
        <v>48099</v>
      </c>
      <c r="V90" s="73" t="n">
        <v>46638</v>
      </c>
      <c r="W90" s="69" t="n"/>
      <c r="X90" s="69" t="inlineStr">
        <is>
          <t>Current</t>
        </is>
      </c>
      <c r="Y90" s="68" t="n"/>
      <c r="Z90" s="69" t="inlineStr">
        <is>
          <t>No Defeasance Occurred</t>
        </is>
      </c>
      <c r="AA90" s="69" t="inlineStr">
        <is>
          <t>Yes</t>
        </is>
      </c>
      <c r="AB90" s="69" t="inlineStr">
        <is>
          <t>Never special serv</t>
        </is>
      </c>
      <c r="AC90" s="73" t="n"/>
      <c r="AD90" s="69" t="n"/>
      <c r="AE90" s="69" t="n"/>
      <c r="AF90" s="69" t="inlineStr">
        <is>
          <t>MA-47.073171374% NY-14.796747645% ME-13.658535809% NH-12.276423691% NJ-12.195121481%</t>
        </is>
      </c>
      <c r="AG90" s="69" t="n"/>
      <c r="AH90" s="69" t="inlineStr">
        <is>
          <t>Worcester, MA-18.455285572% Providence-Warwick, RI-MA-15.203252348% New York-Newark-Jersey City, NY-NJ-14.796747645% Portland-South Portland, ME-13.658535809% Barnstable Town, MA-13.414633454% Boston-Cambridge-Newton, MA-NH-12.276423691% Philadelphia-Camden-Wilmington, PA-NJ-DE-MD-12.195121481%</t>
        </is>
      </c>
      <c r="AI90" s="69" t="inlineStr">
        <is>
          <t>Northeast / New England-73.008130874% Northeast / Mid-Atlantic-26.991869126%</t>
        </is>
      </c>
      <c r="AJ90" s="69" t="inlineStr">
        <is>
          <t>RT</t>
        </is>
      </c>
      <c r="AK90" s="69" t="n"/>
      <c r="AL90" s="68" t="n">
        <v>7</v>
      </c>
      <c r="AM90" s="68" t="n"/>
      <c r="AN90" s="68" t="n">
        <v>93694</v>
      </c>
      <c r="AO90" s="69" t="n"/>
      <c r="AP90" s="70" t="n">
        <v>2007</v>
      </c>
      <c r="AQ90" s="74" t="n">
        <v>1.1</v>
      </c>
      <c r="AR90" s="74" t="n">
        <v>0.9</v>
      </c>
      <c r="AS90" s="74" t="n">
        <v>78.3</v>
      </c>
      <c r="AT90" s="74" t="n">
        <v>74.86</v>
      </c>
      <c r="AU90" s="74" t="n">
        <v>73.59999999999999</v>
      </c>
      <c r="AV90" s="74" t="n">
        <v>7.094928349</v>
      </c>
      <c r="AW90" s="74" t="n">
        <v>6.062917871</v>
      </c>
      <c r="AX90" s="75" t="n">
        <v>100</v>
      </c>
      <c r="AY90" s="71" t="n">
        <v>61500000</v>
      </c>
      <c r="AZ90" s="71" t="n">
        <v>61500000</v>
      </c>
      <c r="BA90" s="71" t="n">
        <v>3416208</v>
      </c>
      <c r="BB90" s="71" t="n">
        <v>2791174.27</v>
      </c>
      <c r="BC90" s="69" t="inlineStr">
        <is>
          <t>Refinance</t>
        </is>
      </c>
      <c r="BD90" s="69" t="inlineStr">
        <is>
          <t>N</t>
        </is>
      </c>
      <c r="BE90" s="71" t="n">
        <v>30595598.6</v>
      </c>
      <c r="BF90" s="71" t="n"/>
      <c r="BG90" s="71" t="n"/>
      <c r="BH90" s="71" t="n">
        <v>0</v>
      </c>
      <c r="BI90" s="71" t="n">
        <v>0</v>
      </c>
      <c r="BJ90" s="69" t="inlineStr">
        <is>
          <t>N</t>
        </is>
      </c>
      <c r="BK90" s="69" t="inlineStr">
        <is>
          <t>Walgreens</t>
        </is>
      </c>
      <c r="BL90" s="75" t="n">
        <v>96.37</v>
      </c>
      <c r="BM90" s="73" t="n">
        <v>57284</v>
      </c>
      <c r="BN90" s="69" t="inlineStr">
        <is>
          <t>Steven C. Witkoff</t>
        </is>
      </c>
      <c r="BO90" s="69" t="inlineStr">
        <is>
          <t>GACC</t>
        </is>
      </c>
      <c r="BP90" s="69" t="inlineStr">
        <is>
          <t>Midland Loan Services</t>
        </is>
      </c>
      <c r="BQ90" s="69" t="inlineStr">
        <is>
          <t>K-Star Asset Management LLC</t>
        </is>
      </c>
      <c r="BR90" s="69" t="n"/>
      <c r="BS90" s="73" t="n">
        <v>46273</v>
      </c>
      <c r="BU90" s="76">
        <f>IF($C90="","",IFERROR(INDEX(dmName,MATCH($C90,dmID,0)),"Unmapped"))</f>
        <v/>
      </c>
      <c r="BV90" s="76">
        <f>IF($C90="","",IFERROR(INDEX(dmEntity,MATCH($C90,dmID,0)),"Unmapped"))</f>
        <v/>
      </c>
      <c r="BW90" s="77">
        <f>IF($C90="","",IFERROR(INDEX(dmVintage,MATCH($C90,dmID,0)),""))</f>
        <v/>
      </c>
      <c r="BX90" s="78">
        <f>IFERROR(INDEX(dmInclude,MATCH($C90,dmID,0)),0)</f>
        <v/>
      </c>
      <c r="BY90" s="78">
        <f>IF(N($I90)&gt;0,1,0)</f>
        <v/>
      </c>
      <c r="BZ90" s="76">
        <f>IF($AJ90="","Other / Leased Fee",IFERROR(INDEX(mapPTGroup,MATCH(LEFT(TRIM($AJ90),2),mapPTCode,0)),"Other / Leased Fee"))</f>
        <v/>
      </c>
      <c r="CA90" s="76">
        <f>IF(TRIM($AF90&amp;"")="","NR",LEFT(TRIM($AF90),2))</f>
        <v/>
      </c>
      <c r="CB90" s="76">
        <f>IFERROR(LOOKUP(2,1/(LEFT(TRIM($AI90&amp;""),LEN(mapRegion))=mapRegion),mapRegion),"Not Reported")</f>
        <v/>
      </c>
      <c r="CC90" s="76">
        <f>IF($BY90=0,"",IF(TRIM($W90&amp;"")="REO","REO",IF(TRIM($W90&amp;"")="FC","Foreclosure",IF(TRIM($W90&amp;"")="90+","90+ Days Delinquent",IF(TRIM($W90&amp;"")="60","60 Days Delinquent",IF(TRIM($W90&amp;"")="30","30 Days Delinquent",IF($X90="Non-Performing Matured Balloon","Non-Performing Matured Balloon",IF(OR($X90="Late Payment But Less Than 30 Days Delinquent",LEFT($X90&amp;"",20)="Payment Not Received"),"Late / In Grace (&lt;30 Days)",IF($X90="Performing Matured Balloon","Performing Matured Balloon","Current")))))))))</f>
        <v/>
      </c>
      <c r="CD90" s="78">
        <f>IF(OR($CC90="REO",$CC90="Foreclosure",$CC90="90+ Days Delinquent",$CC90="60 Days Delinquent",$CC90="30 Days Delinquent",$CC90="Non-Performing Matured Balloon"),1,0)</f>
        <v/>
      </c>
      <c r="CE90" s="76">
        <f>IF($AB90="Currently special serv","Currently Specially Serviced",IF($AB90="Returned to master serv","Previously Specially Serviced","Never Specially Serviced"))</f>
        <v/>
      </c>
      <c r="CF90" s="78">
        <f>IF($CE90="Currently Specially Serviced",1,0)</f>
        <v/>
      </c>
      <c r="CG90" s="76">
        <f>IF($AA90="Yes","Currently on Watchlist",IF($AA90="Previously","Previously on Watchlist","Never on Watchlist"))</f>
        <v/>
      </c>
      <c r="CH90" s="78">
        <f>IF($CG90="Currently on Watchlist",1,0)</f>
        <v/>
      </c>
      <c r="CI90" s="76">
        <f>IF($Z90="Full Defeasance","Fully Defeased",IF($Z90="Portion Of Loan Previously Defeased","Partially Defeased",IF($Z90="Defeasance Not Allowable","Not Defeased (Not Permitted)","Not Defeased")))</f>
        <v/>
      </c>
      <c r="CJ90" s="78">
        <f>IF($CI90="Fully Defeased",1,0)</f>
        <v/>
      </c>
      <c r="CK90" s="76">
        <f>IF($R90="IO","Full IO",IF(LEFT($R90&amp;"",7)="IO then","Partial IO","Amortizing"))</f>
        <v/>
      </c>
      <c r="CL90" s="78">
        <f>IF($CK90="Full IO",1,0)</f>
        <v/>
      </c>
      <c r="CM90" s="78">
        <f>IF($CK90="Partial IO",1,0)</f>
        <v/>
      </c>
      <c r="CN90" s="76">
        <f>IF(LEFT($F90&amp;"",10)="SPLIT_LOAN","Pari Passu Split","Standalone")</f>
        <v/>
      </c>
      <c r="CO90" s="78">
        <f>IF($CN90="Pari Passu Split",1,0)</f>
        <v/>
      </c>
      <c r="CP90" s="77">
        <f>IF(ISNUMBER($T90),YEAR($T90),"")</f>
        <v/>
      </c>
      <c r="CQ90" s="79">
        <f>IF(ISNUMBER($V90),$V90,IF(ISNUMBER($U90),$U90,""))</f>
        <v/>
      </c>
      <c r="CR90" s="77">
        <f>IF(ISNUMBER($CQ90),YEAR($CQ90),"")</f>
        <v/>
      </c>
      <c r="CS90" s="78">
        <f>IF(ISNUMBER($M90),MAX(0,$M90),IF(TRIM($M90&amp;"")="matured",0,""))</f>
        <v/>
      </c>
      <c r="CT90" s="78">
        <f>IF(AND(ISNUMBER($CS90),N($CS90)&lt;=mMatWindow),1,0)</f>
        <v/>
      </c>
      <c r="CU90" s="80">
        <f>IF(ISNUMBER($J90),$J90/100,"")</f>
        <v/>
      </c>
      <c r="CV90" s="81">
        <f>IF(ISNUMBER($AQ90),$AQ90,"")</f>
        <v/>
      </c>
      <c r="CW90" s="81">
        <f>IF(ISNUMBER($AR90),$AR90,"")</f>
        <v/>
      </c>
      <c r="CX90" s="82">
        <f>IF(ISNUMBER($AS90),$AS90/100,"")</f>
        <v/>
      </c>
      <c r="CY90" s="82">
        <f>IF(ISNUMBER($AT90),$AT90/100,"")</f>
        <v/>
      </c>
      <c r="CZ90" s="82">
        <f>IF(ISNUMBER($AU90),$AU90/100,"")</f>
        <v/>
      </c>
      <c r="DA90" s="82">
        <f>IF(ISNUMBER($AV90),$AV90/100,"")</f>
        <v/>
      </c>
      <c r="DB90" s="82">
        <f>IF(ISNUMBER($AW90),$AW90/100,"")</f>
        <v/>
      </c>
      <c r="DC90" s="82">
        <f>IF(ISNUMBER($AX90),$AX90/100,"")</f>
        <v/>
      </c>
      <c r="DD90" s="77">
        <f>IFERROR(VALUE(LEFT(TRIM($AO90&amp;""),4)),"")</f>
        <v/>
      </c>
      <c r="DE90" s="78">
        <f>IF(AND($BY90=1,$BX90=1,OR(fDeal="All Deals",$BU90=fDeal),OR(fEntity="All Entities",$BV90=fEntity),OR(fPType="All Property Types",$BZ90=fPType),OR(fDefeased="Include",$CJ90=0)),1,0)</f>
        <v/>
      </c>
      <c r="DF90" s="83">
        <f>$DE90*N($I90)</f>
        <v/>
      </c>
      <c r="DG90" s="78">
        <f>IF($DE90=1,IF(COUNTIFS($F$8:$F90,$F90,$DE$8:$DE90,1)=1,1,0),0)</f>
        <v/>
      </c>
      <c r="DH90" s="83">
        <f>IF($DG90=1,SUMIFS($DF$8:$DF$1600,$F$8:$F$1600,$F90),0)</f>
        <v/>
      </c>
      <c r="DI90" s="78">
        <f>IF($DG90=1,COUNTIFS($F$8:$F$1600,$F90,$DE$8:$DE$1600,1),0)</f>
        <v/>
      </c>
      <c r="DJ90" s="84">
        <f>IF($DG90=1,$DH90+(100000-ROW())/mTieBreak,0)</f>
        <v/>
      </c>
    </row>
    <row r="91">
      <c r="B91" s="68" t="n">
        <v>25</v>
      </c>
      <c r="C91" s="69" t="inlineStr">
        <is>
          <t>CTG17C04</t>
        </is>
      </c>
      <c r="D91" s="69" t="inlineStr">
        <is>
          <t>25.000</t>
        </is>
      </c>
      <c r="E91" s="69" t="inlineStr">
        <is>
          <t>1105 North Market Street</t>
        </is>
      </c>
      <c r="F91" s="69" t="inlineStr">
        <is>
          <t>LNCTG17C04-25.000</t>
        </is>
      </c>
      <c r="G91" s="70" t="n"/>
      <c r="H91" s="71" t="n">
        <v>15600000</v>
      </c>
      <c r="I91" s="71" t="n">
        <v>0</v>
      </c>
      <c r="J91" s="72" t="n">
        <v>4.915</v>
      </c>
      <c r="K91" s="69" t="inlineStr">
        <is>
          <t>Fixed rate</t>
        </is>
      </c>
      <c r="L91" s="68" t="n">
        <v>120</v>
      </c>
      <c r="M91" s="68" t="n"/>
      <c r="N91" s="68" t="n">
        <v>360</v>
      </c>
      <c r="O91" s="68" t="n"/>
      <c r="P91" s="68" t="n"/>
      <c r="Q91" s="68" t="n"/>
      <c r="R91" s="69" t="n"/>
      <c r="S91" s="69" t="inlineStr">
        <is>
          <t>No</t>
        </is>
      </c>
      <c r="T91" s="73" t="n">
        <v>43009</v>
      </c>
      <c r="U91" s="73" t="n">
        <v>46666</v>
      </c>
      <c r="V91" s="73" t="n"/>
      <c r="W91" s="69" t="n"/>
      <c r="X91" s="69" t="inlineStr">
        <is>
          <t>Current</t>
        </is>
      </c>
      <c r="Y91" s="68" t="n"/>
      <c r="Z91" s="69" t="inlineStr">
        <is>
          <t>No Defeasance Occurred</t>
        </is>
      </c>
      <c r="AA91" s="69" t="n"/>
      <c r="AB91" s="69" t="inlineStr">
        <is>
          <t>Currently special serv</t>
        </is>
      </c>
      <c r="AC91" s="73" t="n">
        <v>44460</v>
      </c>
      <c r="AD91" s="69" t="inlineStr">
        <is>
          <t>Non-Monetary Default (excluding Bankruptcy, Receiver and Foreclosure)</t>
        </is>
      </c>
      <c r="AE91" s="69" t="inlineStr">
        <is>
          <t>Resolved</t>
        </is>
      </c>
      <c r="AF91" s="69" t="inlineStr">
        <is>
          <t>DE</t>
        </is>
      </c>
      <c r="AG91" s="69" t="inlineStr">
        <is>
          <t>Wilmington</t>
        </is>
      </c>
      <c r="AH91" s="69" t="inlineStr">
        <is>
          <t>Philadelphia-Camden-Wilmington, PA-NJ-DE-MD</t>
        </is>
      </c>
      <c r="AI91" s="69" t="inlineStr">
        <is>
          <t>Northeast / Mid-Atlantic</t>
        </is>
      </c>
      <c r="AJ91" s="69" t="inlineStr">
        <is>
          <t>OF</t>
        </is>
      </c>
      <c r="AK91" s="69" t="inlineStr">
        <is>
          <t>CBD</t>
        </is>
      </c>
      <c r="AL91" s="68" t="n">
        <v>1</v>
      </c>
      <c r="AM91" s="68" t="n"/>
      <c r="AN91" s="68" t="n">
        <v>157714</v>
      </c>
      <c r="AO91" s="69" t="inlineStr">
        <is>
          <t>1970</t>
        </is>
      </c>
      <c r="AP91" s="70" t="n">
        <v>2005</v>
      </c>
      <c r="AQ91" s="74" t="n">
        <v>1.53</v>
      </c>
      <c r="AR91" s="74" t="n">
        <v>0.98</v>
      </c>
      <c r="AS91" s="74" t="n">
        <v>73.23999999999999</v>
      </c>
      <c r="AT91" s="74" t="n"/>
      <c r="AU91" s="74" t="n">
        <v>60.04</v>
      </c>
      <c r="AV91" s="74" t="n">
        <v>9.783463141</v>
      </c>
      <c r="AW91" s="74" t="n"/>
      <c r="AX91" s="75" t="n">
        <v>62</v>
      </c>
      <c r="AY91" s="71" t="n">
        <v>21300000</v>
      </c>
      <c r="AZ91" s="71" t="n">
        <v>21300000</v>
      </c>
      <c r="BA91" s="71" t="n">
        <v>1526220.25</v>
      </c>
      <c r="BB91" s="71" t="n">
        <v>971388.8100000001</v>
      </c>
      <c r="BC91" s="69" t="inlineStr">
        <is>
          <t>Refinance</t>
        </is>
      </c>
      <c r="BD91" s="69" t="inlineStr">
        <is>
          <t>N</t>
        </is>
      </c>
      <c r="BE91" s="71" t="n"/>
      <c r="BF91" s="71" t="n"/>
      <c r="BG91" s="71" t="n"/>
      <c r="BH91" s="71" t="n">
        <v>0</v>
      </c>
      <c r="BI91" s="71" t="n">
        <v>0</v>
      </c>
      <c r="BJ91" s="69" t="inlineStr">
        <is>
          <t>N</t>
        </is>
      </c>
      <c r="BK91" s="69" t="inlineStr">
        <is>
          <t>Berger Harris LLP</t>
        </is>
      </c>
      <c r="BL91" s="75" t="n">
        <v>8.52</v>
      </c>
      <c r="BM91" s="73" t="n">
        <v>47938</v>
      </c>
      <c r="BN91" s="69" t="inlineStr">
        <is>
          <t>Christopher F. Buccini, Robert E. Buccini and David B. Pollin</t>
        </is>
      </c>
      <c r="BO91" s="69" t="inlineStr">
        <is>
          <t>Ladder Capital Finance</t>
        </is>
      </c>
      <c r="BP91" s="69" t="inlineStr">
        <is>
          <t>Midland Loan Services</t>
        </is>
      </c>
      <c r="BQ91" s="69" t="inlineStr">
        <is>
          <t>Midland Loan Services</t>
        </is>
      </c>
      <c r="BR91" s="69" t="inlineStr">
        <is>
          <t>Payoff Prior To Maturity</t>
        </is>
      </c>
      <c r="BS91" s="73" t="n">
        <v>44903</v>
      </c>
      <c r="BU91" s="76">
        <f>IF($C91="","",IFERROR(INDEX(dmName,MATCH($C91,dmID,0)),"Unmapped"))</f>
        <v/>
      </c>
      <c r="BV91" s="76">
        <f>IF($C91="","",IFERROR(INDEX(dmEntity,MATCH($C91,dmID,0)),"Unmapped"))</f>
        <v/>
      </c>
      <c r="BW91" s="77">
        <f>IF($C91="","",IFERROR(INDEX(dmVintage,MATCH($C91,dmID,0)),""))</f>
        <v/>
      </c>
      <c r="BX91" s="78">
        <f>IFERROR(INDEX(dmInclude,MATCH($C91,dmID,0)),0)</f>
        <v/>
      </c>
      <c r="BY91" s="78">
        <f>IF(N($I91)&gt;0,1,0)</f>
        <v/>
      </c>
      <c r="BZ91" s="76">
        <f>IF($AJ91="","Other / Leased Fee",IFERROR(INDEX(mapPTGroup,MATCH(LEFT(TRIM($AJ91),2),mapPTCode,0)),"Other / Leased Fee"))</f>
        <v/>
      </c>
      <c r="CA91" s="76">
        <f>IF(TRIM($AF91&amp;"")="","NR",LEFT(TRIM($AF91),2))</f>
        <v/>
      </c>
      <c r="CB91" s="76">
        <f>IFERROR(LOOKUP(2,1/(LEFT(TRIM($AI91&amp;""),LEN(mapRegion))=mapRegion),mapRegion),"Not Reported")</f>
        <v/>
      </c>
      <c r="CC91" s="76">
        <f>IF($BY91=0,"",IF(TRIM($W91&amp;"")="REO","REO",IF(TRIM($W91&amp;"")="FC","Foreclosure",IF(TRIM($W91&amp;"")="90+","90+ Days Delinquent",IF(TRIM($W91&amp;"")="60","60 Days Delinquent",IF(TRIM($W91&amp;"")="30","30 Days Delinquent",IF($X91="Non-Performing Matured Balloon","Non-Performing Matured Balloon",IF(OR($X91="Late Payment But Less Than 30 Days Delinquent",LEFT($X91&amp;"",20)="Payment Not Received"),"Late / In Grace (&lt;30 Days)",IF($X91="Performing Matured Balloon","Performing Matured Balloon","Current")))))))))</f>
        <v/>
      </c>
      <c r="CD91" s="78">
        <f>IF(OR($CC91="REO",$CC91="Foreclosure",$CC91="90+ Days Delinquent",$CC91="60 Days Delinquent",$CC91="30 Days Delinquent",$CC91="Non-Performing Matured Balloon"),1,0)</f>
        <v/>
      </c>
      <c r="CE91" s="76">
        <f>IF($AB91="Currently special serv","Currently Specially Serviced",IF($AB91="Returned to master serv","Previously Specially Serviced","Never Specially Serviced"))</f>
        <v/>
      </c>
      <c r="CF91" s="78">
        <f>IF($CE91="Currently Specially Serviced",1,0)</f>
        <v/>
      </c>
      <c r="CG91" s="76">
        <f>IF($AA91="Yes","Currently on Watchlist",IF($AA91="Previously","Previously on Watchlist","Never on Watchlist"))</f>
        <v/>
      </c>
      <c r="CH91" s="78">
        <f>IF($CG91="Currently on Watchlist",1,0)</f>
        <v/>
      </c>
      <c r="CI91" s="76">
        <f>IF($Z91="Full Defeasance","Fully Defeased",IF($Z91="Portion Of Loan Previously Defeased","Partially Defeased",IF($Z91="Defeasance Not Allowable","Not Defeased (Not Permitted)","Not Defeased")))</f>
        <v/>
      </c>
      <c r="CJ91" s="78">
        <f>IF($CI91="Fully Defeased",1,0)</f>
        <v/>
      </c>
      <c r="CK91" s="76">
        <f>IF($R91="IO","Full IO",IF(LEFT($R91&amp;"",7)="IO then","Partial IO","Amortizing"))</f>
        <v/>
      </c>
      <c r="CL91" s="78">
        <f>IF($CK91="Full IO",1,0)</f>
        <v/>
      </c>
      <c r="CM91" s="78">
        <f>IF($CK91="Partial IO",1,0)</f>
        <v/>
      </c>
      <c r="CN91" s="76">
        <f>IF(LEFT($F91&amp;"",10)="SPLIT_LOAN","Pari Passu Split","Standalone")</f>
        <v/>
      </c>
      <c r="CO91" s="78">
        <f>IF($CN91="Pari Passu Split",1,0)</f>
        <v/>
      </c>
      <c r="CP91" s="77">
        <f>IF(ISNUMBER($T91),YEAR($T91),"")</f>
        <v/>
      </c>
      <c r="CQ91" s="79">
        <f>IF(ISNUMBER($V91),$V91,IF(ISNUMBER($U91),$U91,""))</f>
        <v/>
      </c>
      <c r="CR91" s="77">
        <f>IF(ISNUMBER($CQ91),YEAR($CQ91),"")</f>
        <v/>
      </c>
      <c r="CS91" s="78">
        <f>IF(ISNUMBER($M91),MAX(0,$M91),IF(TRIM($M91&amp;"")="matured",0,""))</f>
        <v/>
      </c>
      <c r="CT91" s="78">
        <f>IF(AND(ISNUMBER($CS91),N($CS91)&lt;=mMatWindow),1,0)</f>
        <v/>
      </c>
      <c r="CU91" s="80">
        <f>IF(ISNUMBER($J91),$J91/100,"")</f>
        <v/>
      </c>
      <c r="CV91" s="81">
        <f>IF(ISNUMBER($AQ91),$AQ91,"")</f>
        <v/>
      </c>
      <c r="CW91" s="81">
        <f>IF(ISNUMBER($AR91),$AR91,"")</f>
        <v/>
      </c>
      <c r="CX91" s="82">
        <f>IF(ISNUMBER($AS91),$AS91/100,"")</f>
        <v/>
      </c>
      <c r="CY91" s="82">
        <f>IF(ISNUMBER($AT91),$AT91/100,"")</f>
        <v/>
      </c>
      <c r="CZ91" s="82">
        <f>IF(ISNUMBER($AU91),$AU91/100,"")</f>
        <v/>
      </c>
      <c r="DA91" s="82">
        <f>IF(ISNUMBER($AV91),$AV91/100,"")</f>
        <v/>
      </c>
      <c r="DB91" s="82">
        <f>IF(ISNUMBER($AW91),$AW91/100,"")</f>
        <v/>
      </c>
      <c r="DC91" s="82">
        <f>IF(ISNUMBER($AX91),$AX91/100,"")</f>
        <v/>
      </c>
      <c r="DD91" s="77">
        <f>IFERROR(VALUE(LEFT(TRIM($AO91&amp;""),4)),"")</f>
        <v/>
      </c>
      <c r="DE91" s="78">
        <f>IF(AND($BY91=1,$BX91=1,OR(fDeal="All Deals",$BU91=fDeal),OR(fEntity="All Entities",$BV91=fEntity),OR(fPType="All Property Types",$BZ91=fPType),OR(fDefeased="Include",$CJ91=0)),1,0)</f>
        <v/>
      </c>
      <c r="DF91" s="83">
        <f>$DE91*N($I91)</f>
        <v/>
      </c>
      <c r="DG91" s="78">
        <f>IF($DE91=1,IF(COUNTIFS($F$8:$F91,$F91,$DE$8:$DE91,1)=1,1,0),0)</f>
        <v/>
      </c>
      <c r="DH91" s="83">
        <f>IF($DG91=1,SUMIFS($DF$8:$DF$1600,$F$8:$F$1600,$F91),0)</f>
        <v/>
      </c>
      <c r="DI91" s="78">
        <f>IF($DG91=1,COUNTIFS($F$8:$F$1600,$F91,$DE$8:$DE$1600,1),0)</f>
        <v/>
      </c>
      <c r="DJ91" s="84">
        <f>IF($DG91=1,$DH91+(100000-ROW())/mTieBreak,0)</f>
        <v/>
      </c>
    </row>
    <row r="92">
      <c r="B92" s="68" t="n">
        <v>26</v>
      </c>
      <c r="C92" s="69" t="inlineStr">
        <is>
          <t>CTG17C04</t>
        </is>
      </c>
      <c r="D92" s="69" t="inlineStr">
        <is>
          <t>26.000</t>
        </is>
      </c>
      <c r="E92" s="69" t="inlineStr">
        <is>
          <t>Old Orchard Center</t>
        </is>
      </c>
      <c r="F92" s="69" t="inlineStr">
        <is>
          <t>LNCTG17C04-26.000</t>
        </is>
      </c>
      <c r="G92" s="70" t="n"/>
      <c r="H92" s="71" t="n">
        <v>14400000</v>
      </c>
      <c r="I92" s="71" t="n">
        <v>0</v>
      </c>
      <c r="J92" s="72" t="n">
        <v>5.118</v>
      </c>
      <c r="K92" s="69" t="inlineStr">
        <is>
          <t>Fixed rate</t>
        </is>
      </c>
      <c r="L92" s="68" t="n">
        <v>60</v>
      </c>
      <c r="M92" s="68" t="n"/>
      <c r="N92" s="68" t="n">
        <v>360</v>
      </c>
      <c r="O92" s="68" t="n"/>
      <c r="P92" s="68" t="n"/>
      <c r="Q92" s="68" t="n"/>
      <c r="R92" s="69" t="n"/>
      <c r="S92" s="69" t="inlineStr">
        <is>
          <t>No</t>
        </is>
      </c>
      <c r="T92" s="73" t="n">
        <v>42979</v>
      </c>
      <c r="U92" s="73" t="n">
        <v>44810</v>
      </c>
      <c r="V92" s="73" t="n"/>
      <c r="W92" s="69" t="n"/>
      <c r="X92" s="69" t="inlineStr">
        <is>
          <t>Current</t>
        </is>
      </c>
      <c r="Y92" s="68" t="n"/>
      <c r="Z92" s="69" t="inlineStr">
        <is>
          <t>No Defeasance Occurred</t>
        </is>
      </c>
      <c r="AA92" s="69" t="inlineStr">
        <is>
          <t>Previously</t>
        </is>
      </c>
      <c r="AB92" s="69" t="inlineStr">
        <is>
          <t>Never special serv</t>
        </is>
      </c>
      <c r="AC92" s="73" t="n"/>
      <c r="AD92" s="69" t="n"/>
      <c r="AE92" s="69" t="n"/>
      <c r="AF92" s="69" t="inlineStr">
        <is>
          <t>CA</t>
        </is>
      </c>
      <c r="AG92" s="69" t="inlineStr">
        <is>
          <t>Valencia</t>
        </is>
      </c>
      <c r="AH92" s="69" t="inlineStr">
        <is>
          <t>Los Angeles-Long Beach-Anaheim, CA</t>
        </is>
      </c>
      <c r="AI92" s="69" t="inlineStr">
        <is>
          <t>West / Pacific South</t>
        </is>
      </c>
      <c r="AJ92" s="69" t="inlineStr">
        <is>
          <t>RT</t>
        </is>
      </c>
      <c r="AK92" s="69" t="inlineStr">
        <is>
          <t>Anchored</t>
        </is>
      </c>
      <c r="AL92" s="68" t="n">
        <v>1</v>
      </c>
      <c r="AM92" s="68" t="n"/>
      <c r="AN92" s="68" t="n">
        <v>103641</v>
      </c>
      <c r="AO92" s="69" t="inlineStr">
        <is>
          <t>1966</t>
        </is>
      </c>
      <c r="AP92" s="70" t="n">
        <v>2011</v>
      </c>
      <c r="AQ92" s="74" t="n">
        <v>1.35</v>
      </c>
      <c r="AR92" s="74" t="n">
        <v>0.82</v>
      </c>
      <c r="AS92" s="74" t="n">
        <v>62.8</v>
      </c>
      <c r="AT92" s="74" t="n"/>
      <c r="AU92" s="74" t="n">
        <v>58.1</v>
      </c>
      <c r="AV92" s="74" t="n">
        <v>8.841567985999999</v>
      </c>
      <c r="AW92" s="74" t="n"/>
      <c r="AX92" s="75" t="n">
        <v>78</v>
      </c>
      <c r="AY92" s="71" t="n">
        <v>22900000</v>
      </c>
      <c r="AZ92" s="71" t="n">
        <v>22900000</v>
      </c>
      <c r="BA92" s="71" t="n">
        <v>1273185.79</v>
      </c>
      <c r="BB92" s="71" t="n">
        <v>769000.96</v>
      </c>
      <c r="BC92" s="69" t="inlineStr">
        <is>
          <t>Refinance</t>
        </is>
      </c>
      <c r="BD92" s="69" t="inlineStr">
        <is>
          <t>N</t>
        </is>
      </c>
      <c r="BE92" s="71" t="n"/>
      <c r="BF92" s="71" t="n"/>
      <c r="BG92" s="71" t="n"/>
      <c r="BH92" s="71" t="n">
        <v>0</v>
      </c>
      <c r="BI92" s="71" t="n">
        <v>0</v>
      </c>
      <c r="BJ92" s="69" t="inlineStr">
        <is>
          <t>N</t>
        </is>
      </c>
      <c r="BK92" s="69" t="inlineStr">
        <is>
          <t>Vallarta Supermarket</t>
        </is>
      </c>
      <c r="BL92" s="75" t="n">
        <v>30.72</v>
      </c>
      <c r="BM92" s="73" t="n">
        <v>46418</v>
      </c>
      <c r="BN92" s="69" t="inlineStr">
        <is>
          <t>Lemon Creek Properties, Inc.</t>
        </is>
      </c>
      <c r="BO92" s="69" t="inlineStr">
        <is>
          <t>Cantor Commercial Real Estate Lending</t>
        </is>
      </c>
      <c r="BP92" s="69" t="inlineStr">
        <is>
          <t>Midland Loan Services</t>
        </is>
      </c>
      <c r="BQ92" s="69" t="inlineStr">
        <is>
          <t>Midland Loan Services</t>
        </is>
      </c>
      <c r="BR92" s="69" t="inlineStr">
        <is>
          <t>Full Payoff At Maturity</t>
        </is>
      </c>
      <c r="BS92" s="73" t="n">
        <v>44812</v>
      </c>
      <c r="BU92" s="76">
        <f>IF($C92="","",IFERROR(INDEX(dmName,MATCH($C92,dmID,0)),"Unmapped"))</f>
        <v/>
      </c>
      <c r="BV92" s="76">
        <f>IF($C92="","",IFERROR(INDEX(dmEntity,MATCH($C92,dmID,0)),"Unmapped"))</f>
        <v/>
      </c>
      <c r="BW92" s="77">
        <f>IF($C92="","",IFERROR(INDEX(dmVintage,MATCH($C92,dmID,0)),""))</f>
        <v/>
      </c>
      <c r="BX92" s="78">
        <f>IFERROR(INDEX(dmInclude,MATCH($C92,dmID,0)),0)</f>
        <v/>
      </c>
      <c r="BY92" s="78">
        <f>IF(N($I92)&gt;0,1,0)</f>
        <v/>
      </c>
      <c r="BZ92" s="76">
        <f>IF($AJ92="","Other / Leased Fee",IFERROR(INDEX(mapPTGroup,MATCH(LEFT(TRIM($AJ92),2),mapPTCode,0)),"Other / Leased Fee"))</f>
        <v/>
      </c>
      <c r="CA92" s="76">
        <f>IF(TRIM($AF92&amp;"")="","NR",LEFT(TRIM($AF92),2))</f>
        <v/>
      </c>
      <c r="CB92" s="76">
        <f>IFERROR(LOOKUP(2,1/(LEFT(TRIM($AI92&amp;""),LEN(mapRegion))=mapRegion),mapRegion),"Not Reported")</f>
        <v/>
      </c>
      <c r="CC92" s="76">
        <f>IF($BY92=0,"",IF(TRIM($W92&amp;"")="REO","REO",IF(TRIM($W92&amp;"")="FC","Foreclosure",IF(TRIM($W92&amp;"")="90+","90+ Days Delinquent",IF(TRIM($W92&amp;"")="60","60 Days Delinquent",IF(TRIM($W92&amp;"")="30","30 Days Delinquent",IF($X92="Non-Performing Matured Balloon","Non-Performing Matured Balloon",IF(OR($X92="Late Payment But Less Than 30 Days Delinquent",LEFT($X92&amp;"",20)="Payment Not Received"),"Late / In Grace (&lt;30 Days)",IF($X92="Performing Matured Balloon","Performing Matured Balloon","Current")))))))))</f>
        <v/>
      </c>
      <c r="CD92" s="78">
        <f>IF(OR($CC92="REO",$CC92="Foreclosure",$CC92="90+ Days Delinquent",$CC92="60 Days Delinquent",$CC92="30 Days Delinquent",$CC92="Non-Performing Matured Balloon"),1,0)</f>
        <v/>
      </c>
      <c r="CE92" s="76">
        <f>IF($AB92="Currently special serv","Currently Specially Serviced",IF($AB92="Returned to master serv","Previously Specially Serviced","Never Specially Serviced"))</f>
        <v/>
      </c>
      <c r="CF92" s="78">
        <f>IF($CE92="Currently Specially Serviced",1,0)</f>
        <v/>
      </c>
      <c r="CG92" s="76">
        <f>IF($AA92="Yes","Currently on Watchlist",IF($AA92="Previously","Previously on Watchlist","Never on Watchlist"))</f>
        <v/>
      </c>
      <c r="CH92" s="78">
        <f>IF($CG92="Currently on Watchlist",1,0)</f>
        <v/>
      </c>
      <c r="CI92" s="76">
        <f>IF($Z92="Full Defeasance","Fully Defeased",IF($Z92="Portion Of Loan Previously Defeased","Partially Defeased",IF($Z92="Defeasance Not Allowable","Not Defeased (Not Permitted)","Not Defeased")))</f>
        <v/>
      </c>
      <c r="CJ92" s="78">
        <f>IF($CI92="Fully Defeased",1,0)</f>
        <v/>
      </c>
      <c r="CK92" s="76">
        <f>IF($R92="IO","Full IO",IF(LEFT($R92&amp;"",7)="IO then","Partial IO","Amortizing"))</f>
        <v/>
      </c>
      <c r="CL92" s="78">
        <f>IF($CK92="Full IO",1,0)</f>
        <v/>
      </c>
      <c r="CM92" s="78">
        <f>IF($CK92="Partial IO",1,0)</f>
        <v/>
      </c>
      <c r="CN92" s="76">
        <f>IF(LEFT($F92&amp;"",10)="SPLIT_LOAN","Pari Passu Split","Standalone")</f>
        <v/>
      </c>
      <c r="CO92" s="78">
        <f>IF($CN92="Pari Passu Split",1,0)</f>
        <v/>
      </c>
      <c r="CP92" s="77">
        <f>IF(ISNUMBER($T92),YEAR($T92),"")</f>
        <v/>
      </c>
      <c r="CQ92" s="79">
        <f>IF(ISNUMBER($V92),$V92,IF(ISNUMBER($U92),$U92,""))</f>
        <v/>
      </c>
      <c r="CR92" s="77">
        <f>IF(ISNUMBER($CQ92),YEAR($CQ92),"")</f>
        <v/>
      </c>
      <c r="CS92" s="78">
        <f>IF(ISNUMBER($M92),MAX(0,$M92),IF(TRIM($M92&amp;"")="matured",0,""))</f>
        <v/>
      </c>
      <c r="CT92" s="78">
        <f>IF(AND(ISNUMBER($CS92),N($CS92)&lt;=mMatWindow),1,0)</f>
        <v/>
      </c>
      <c r="CU92" s="80">
        <f>IF(ISNUMBER($J92),$J92/100,"")</f>
        <v/>
      </c>
      <c r="CV92" s="81">
        <f>IF(ISNUMBER($AQ92),$AQ92,"")</f>
        <v/>
      </c>
      <c r="CW92" s="81">
        <f>IF(ISNUMBER($AR92),$AR92,"")</f>
        <v/>
      </c>
      <c r="CX92" s="82">
        <f>IF(ISNUMBER($AS92),$AS92/100,"")</f>
        <v/>
      </c>
      <c r="CY92" s="82">
        <f>IF(ISNUMBER($AT92),$AT92/100,"")</f>
        <v/>
      </c>
      <c r="CZ92" s="82">
        <f>IF(ISNUMBER($AU92),$AU92/100,"")</f>
        <v/>
      </c>
      <c r="DA92" s="82">
        <f>IF(ISNUMBER($AV92),$AV92/100,"")</f>
        <v/>
      </c>
      <c r="DB92" s="82">
        <f>IF(ISNUMBER($AW92),$AW92/100,"")</f>
        <v/>
      </c>
      <c r="DC92" s="82">
        <f>IF(ISNUMBER($AX92),$AX92/100,"")</f>
        <v/>
      </c>
      <c r="DD92" s="77">
        <f>IFERROR(VALUE(LEFT(TRIM($AO92&amp;""),4)),"")</f>
        <v/>
      </c>
      <c r="DE92" s="78">
        <f>IF(AND($BY92=1,$BX92=1,OR(fDeal="All Deals",$BU92=fDeal),OR(fEntity="All Entities",$BV92=fEntity),OR(fPType="All Property Types",$BZ92=fPType),OR(fDefeased="Include",$CJ92=0)),1,0)</f>
        <v/>
      </c>
      <c r="DF92" s="83">
        <f>$DE92*N($I92)</f>
        <v/>
      </c>
      <c r="DG92" s="78">
        <f>IF($DE92=1,IF(COUNTIFS($F$8:$F92,$F92,$DE$8:$DE92,1)=1,1,0),0)</f>
        <v/>
      </c>
      <c r="DH92" s="83">
        <f>IF($DG92=1,SUMIFS($DF$8:$DF$1600,$F$8:$F$1600,$F92),0)</f>
        <v/>
      </c>
      <c r="DI92" s="78">
        <f>IF($DG92=1,COUNTIFS($F$8:$F$1600,$F92,$DE$8:$DE$1600,1),0)</f>
        <v/>
      </c>
      <c r="DJ92" s="84">
        <f>IF($DG92=1,$DH92+(100000-ROW())/mTieBreak,0)</f>
        <v/>
      </c>
    </row>
    <row r="93">
      <c r="B93" s="68" t="n">
        <v>27</v>
      </c>
      <c r="C93" s="69" t="inlineStr">
        <is>
          <t>CTG17C04</t>
        </is>
      </c>
      <c r="D93" s="69" t="inlineStr">
        <is>
          <t>27.000</t>
        </is>
      </c>
      <c r="E93" s="69" t="inlineStr">
        <is>
          <t>Battlement Mesa Portfolio</t>
        </is>
      </c>
      <c r="F93" s="69" t="inlineStr">
        <is>
          <t>LNCTG17C04-27.000</t>
        </is>
      </c>
      <c r="G93" s="70" t="n"/>
      <c r="H93" s="71" t="n">
        <v>13575000</v>
      </c>
      <c r="I93" s="71" t="n">
        <v>12182841.28000163</v>
      </c>
      <c r="J93" s="72" t="n">
        <v>4.695</v>
      </c>
      <c r="K93" s="69" t="inlineStr">
        <is>
          <t>Fixed rate</t>
        </is>
      </c>
      <c r="L93" s="68" t="n">
        <v>120</v>
      </c>
      <c r="M93" s="68" t="n">
        <v>11</v>
      </c>
      <c r="N93" s="68" t="n">
        <v>396</v>
      </c>
      <c r="O93" s="68" t="n">
        <v>36</v>
      </c>
      <c r="P93" s="68" t="n">
        <v>0</v>
      </c>
      <c r="Q93" s="68" t="n">
        <v>109</v>
      </c>
      <c r="R93" s="69" t="inlineStr">
        <is>
          <t>IO then Amort</t>
        </is>
      </c>
      <c r="S93" s="69" t="inlineStr">
        <is>
          <t>No</t>
        </is>
      </c>
      <c r="T93" s="73" t="n">
        <v>42948</v>
      </c>
      <c r="U93" s="73" t="n">
        <v>46605</v>
      </c>
      <c r="V93" s="73" t="n"/>
      <c r="W93" s="69" t="n"/>
      <c r="X93" s="69" t="inlineStr">
        <is>
          <t>Current</t>
        </is>
      </c>
      <c r="Y93" s="68" t="n"/>
      <c r="Z93" s="69" t="inlineStr">
        <is>
          <t>Full Defeasance</t>
        </is>
      </c>
      <c r="AA93" s="69" t="inlineStr">
        <is>
          <t>Yes</t>
        </is>
      </c>
      <c r="AB93" s="69" t="inlineStr">
        <is>
          <t>Never special serv</t>
        </is>
      </c>
      <c r="AC93" s="73" t="n"/>
      <c r="AD93" s="69" t="n"/>
      <c r="AE93" s="69" t="n"/>
      <c r="AF93" s="69" t="inlineStr">
        <is>
          <t>CO</t>
        </is>
      </c>
      <c r="AG93" s="69" t="n"/>
      <c r="AH93" s="69" t="inlineStr">
        <is>
          <t>Rifle, CO</t>
        </is>
      </c>
      <c r="AI93" s="69" t="inlineStr">
        <is>
          <t>West / Mountain</t>
        </is>
      </c>
      <c r="AJ93" s="69" t="inlineStr">
        <is>
          <t>MH</t>
        </is>
      </c>
      <c r="AK93" s="69" t="n"/>
      <c r="AL93" s="68" t="n">
        <v>2</v>
      </c>
      <c r="AM93" s="68" t="n">
        <v>596</v>
      </c>
      <c r="AN93" s="68" t="n"/>
      <c r="AO93" s="69" t="n"/>
      <c r="AP93" s="70" t="n">
        <v>1983</v>
      </c>
      <c r="AQ93" s="74" t="n">
        <v>1.77</v>
      </c>
      <c r="AR93" s="74" t="n">
        <v>2.73</v>
      </c>
      <c r="AS93" s="74" t="n">
        <v>56.82</v>
      </c>
      <c r="AT93" s="74" t="n">
        <v>51</v>
      </c>
      <c r="AU93" s="74" t="n">
        <v>49.96</v>
      </c>
      <c r="AV93" s="74" t="n">
        <v>11.039253186</v>
      </c>
      <c r="AW93" s="74" t="n">
        <v>16.804608161</v>
      </c>
      <c r="AX93" s="75" t="n">
        <v>85</v>
      </c>
      <c r="AY93" s="71" t="n">
        <v>23890000</v>
      </c>
      <c r="AZ93" s="71" t="n">
        <v>23890000</v>
      </c>
      <c r="BA93" s="71" t="n">
        <v>1498578.62</v>
      </c>
      <c r="BB93" s="71" t="n">
        <v>2305437.06</v>
      </c>
      <c r="BC93" s="69" t="inlineStr">
        <is>
          <t>Acquisition</t>
        </is>
      </c>
      <c r="BD93" s="69" t="inlineStr">
        <is>
          <t>N</t>
        </is>
      </c>
      <c r="BE93" s="71" t="n"/>
      <c r="BF93" s="71" t="n"/>
      <c r="BG93" s="71" t="n"/>
      <c r="BH93" s="71" t="n">
        <v>0</v>
      </c>
      <c r="BI93" s="71" t="n">
        <v>0</v>
      </c>
      <c r="BJ93" s="69" t="inlineStr">
        <is>
          <t>N</t>
        </is>
      </c>
      <c r="BK93" s="69" t="n"/>
      <c r="BL93" s="75" t="n"/>
      <c r="BM93" s="73" t="n"/>
      <c r="BN93" s="69" t="inlineStr">
        <is>
          <t>Ross H. Partrich</t>
        </is>
      </c>
      <c r="BO93" s="69" t="inlineStr">
        <is>
          <t>Ladder Capital Finance</t>
        </is>
      </c>
      <c r="BP93" s="69" t="inlineStr">
        <is>
          <t>Midland Loan Services</t>
        </is>
      </c>
      <c r="BQ93" s="69" t="inlineStr">
        <is>
          <t>Midland Loan Services</t>
        </is>
      </c>
      <c r="BR93" s="69" t="n"/>
      <c r="BS93" s="73" t="n">
        <v>46273</v>
      </c>
      <c r="BU93" s="76">
        <f>IF($C93="","",IFERROR(INDEX(dmName,MATCH($C93,dmID,0)),"Unmapped"))</f>
        <v/>
      </c>
      <c r="BV93" s="76">
        <f>IF($C93="","",IFERROR(INDEX(dmEntity,MATCH($C93,dmID,0)),"Unmapped"))</f>
        <v/>
      </c>
      <c r="BW93" s="77">
        <f>IF($C93="","",IFERROR(INDEX(dmVintage,MATCH($C93,dmID,0)),""))</f>
        <v/>
      </c>
      <c r="BX93" s="78">
        <f>IFERROR(INDEX(dmInclude,MATCH($C93,dmID,0)),0)</f>
        <v/>
      </c>
      <c r="BY93" s="78">
        <f>IF(N($I93)&gt;0,1,0)</f>
        <v/>
      </c>
      <c r="BZ93" s="76">
        <f>IF($AJ93="","Other / Leased Fee",IFERROR(INDEX(mapPTGroup,MATCH(LEFT(TRIM($AJ93),2),mapPTCode,0)),"Other / Leased Fee"))</f>
        <v/>
      </c>
      <c r="CA93" s="76">
        <f>IF(TRIM($AF93&amp;"")="","NR",LEFT(TRIM($AF93),2))</f>
        <v/>
      </c>
      <c r="CB93" s="76">
        <f>IFERROR(LOOKUP(2,1/(LEFT(TRIM($AI93&amp;""),LEN(mapRegion))=mapRegion),mapRegion),"Not Reported")</f>
        <v/>
      </c>
      <c r="CC93" s="76">
        <f>IF($BY93=0,"",IF(TRIM($W93&amp;"")="REO","REO",IF(TRIM($W93&amp;"")="FC","Foreclosure",IF(TRIM($W93&amp;"")="90+","90+ Days Delinquent",IF(TRIM($W93&amp;"")="60","60 Days Delinquent",IF(TRIM($W93&amp;"")="30","30 Days Delinquent",IF($X93="Non-Performing Matured Balloon","Non-Performing Matured Balloon",IF(OR($X93="Late Payment But Less Than 30 Days Delinquent",LEFT($X93&amp;"",20)="Payment Not Received"),"Late / In Grace (&lt;30 Days)",IF($X93="Performing Matured Balloon","Performing Matured Balloon","Current")))))))))</f>
        <v/>
      </c>
      <c r="CD93" s="78">
        <f>IF(OR($CC93="REO",$CC93="Foreclosure",$CC93="90+ Days Delinquent",$CC93="60 Days Delinquent",$CC93="30 Days Delinquent",$CC93="Non-Performing Matured Balloon"),1,0)</f>
        <v/>
      </c>
      <c r="CE93" s="76">
        <f>IF($AB93="Currently special serv","Currently Specially Serviced",IF($AB93="Returned to master serv","Previously Specially Serviced","Never Specially Serviced"))</f>
        <v/>
      </c>
      <c r="CF93" s="78">
        <f>IF($CE93="Currently Specially Serviced",1,0)</f>
        <v/>
      </c>
      <c r="CG93" s="76">
        <f>IF($AA93="Yes","Currently on Watchlist",IF($AA93="Previously","Previously on Watchlist","Never on Watchlist"))</f>
        <v/>
      </c>
      <c r="CH93" s="78">
        <f>IF($CG93="Currently on Watchlist",1,0)</f>
        <v/>
      </c>
      <c r="CI93" s="76">
        <f>IF($Z93="Full Defeasance","Fully Defeased",IF($Z93="Portion Of Loan Previously Defeased","Partially Defeased",IF($Z93="Defeasance Not Allowable","Not Defeased (Not Permitted)","Not Defeased")))</f>
        <v/>
      </c>
      <c r="CJ93" s="78">
        <f>IF($CI93="Fully Defeased",1,0)</f>
        <v/>
      </c>
      <c r="CK93" s="76">
        <f>IF($R93="IO","Full IO",IF(LEFT($R93&amp;"",7)="IO then","Partial IO","Amortizing"))</f>
        <v/>
      </c>
      <c r="CL93" s="78">
        <f>IF($CK93="Full IO",1,0)</f>
        <v/>
      </c>
      <c r="CM93" s="78">
        <f>IF($CK93="Partial IO",1,0)</f>
        <v/>
      </c>
      <c r="CN93" s="76">
        <f>IF(LEFT($F93&amp;"",10)="SPLIT_LOAN","Pari Passu Split","Standalone")</f>
        <v/>
      </c>
      <c r="CO93" s="78">
        <f>IF($CN93="Pari Passu Split",1,0)</f>
        <v/>
      </c>
      <c r="CP93" s="77">
        <f>IF(ISNUMBER($T93),YEAR($T93),"")</f>
        <v/>
      </c>
      <c r="CQ93" s="79">
        <f>IF(ISNUMBER($V93),$V93,IF(ISNUMBER($U93),$U93,""))</f>
        <v/>
      </c>
      <c r="CR93" s="77">
        <f>IF(ISNUMBER($CQ93),YEAR($CQ93),"")</f>
        <v/>
      </c>
      <c r="CS93" s="78">
        <f>IF(ISNUMBER($M93),MAX(0,$M93),IF(TRIM($M93&amp;"")="matured",0,""))</f>
        <v/>
      </c>
      <c r="CT93" s="78">
        <f>IF(AND(ISNUMBER($CS93),N($CS93)&lt;=mMatWindow),1,0)</f>
        <v/>
      </c>
      <c r="CU93" s="80">
        <f>IF(ISNUMBER($J93),$J93/100,"")</f>
        <v/>
      </c>
      <c r="CV93" s="81">
        <f>IF(ISNUMBER($AQ93),$AQ93,"")</f>
        <v/>
      </c>
      <c r="CW93" s="81">
        <f>IF(ISNUMBER($AR93),$AR93,"")</f>
        <v/>
      </c>
      <c r="CX93" s="82">
        <f>IF(ISNUMBER($AS93),$AS93/100,"")</f>
        <v/>
      </c>
      <c r="CY93" s="82">
        <f>IF(ISNUMBER($AT93),$AT93/100,"")</f>
        <v/>
      </c>
      <c r="CZ93" s="82">
        <f>IF(ISNUMBER($AU93),$AU93/100,"")</f>
        <v/>
      </c>
      <c r="DA93" s="82">
        <f>IF(ISNUMBER($AV93),$AV93/100,"")</f>
        <v/>
      </c>
      <c r="DB93" s="82">
        <f>IF(ISNUMBER($AW93),$AW93/100,"")</f>
        <v/>
      </c>
      <c r="DC93" s="82">
        <f>IF(ISNUMBER($AX93),$AX93/100,"")</f>
        <v/>
      </c>
      <c r="DD93" s="77">
        <f>IFERROR(VALUE(LEFT(TRIM($AO93&amp;""),4)),"")</f>
        <v/>
      </c>
      <c r="DE93" s="78">
        <f>IF(AND($BY93=1,$BX93=1,OR(fDeal="All Deals",$BU93=fDeal),OR(fEntity="All Entities",$BV93=fEntity),OR(fPType="All Property Types",$BZ93=fPType),OR(fDefeased="Include",$CJ93=0)),1,0)</f>
        <v/>
      </c>
      <c r="DF93" s="83">
        <f>$DE93*N($I93)</f>
        <v/>
      </c>
      <c r="DG93" s="78">
        <f>IF($DE93=1,IF(COUNTIFS($F$8:$F93,$F93,$DE$8:$DE93,1)=1,1,0),0)</f>
        <v/>
      </c>
      <c r="DH93" s="83">
        <f>IF($DG93=1,SUMIFS($DF$8:$DF$1600,$F$8:$F$1600,$F93),0)</f>
        <v/>
      </c>
      <c r="DI93" s="78">
        <f>IF($DG93=1,COUNTIFS($F$8:$F$1600,$F93,$DE$8:$DE$1600,1),0)</f>
        <v/>
      </c>
      <c r="DJ93" s="84">
        <f>IF($DG93=1,$DH93+(100000-ROW())/mTieBreak,0)</f>
        <v/>
      </c>
    </row>
    <row r="94">
      <c r="B94" s="68" t="n">
        <v>28</v>
      </c>
      <c r="C94" s="69" t="inlineStr">
        <is>
          <t>CTG17C04</t>
        </is>
      </c>
      <c r="D94" s="69" t="inlineStr">
        <is>
          <t>28.000</t>
        </is>
      </c>
      <c r="E94" s="69" t="inlineStr">
        <is>
          <t>Hotel Normandie</t>
        </is>
      </c>
      <c r="F94" s="69" t="inlineStr">
        <is>
          <t>LNCTG17C04-28.000</t>
        </is>
      </c>
      <c r="G94" s="70" t="n"/>
      <c r="H94" s="71" t="n">
        <v>12250000</v>
      </c>
      <c r="I94" s="71" t="n">
        <v>9680184.67999975</v>
      </c>
      <c r="J94" s="72" t="n">
        <v>5.547</v>
      </c>
      <c r="K94" s="69" t="inlineStr">
        <is>
          <t>Fixed rate</t>
        </is>
      </c>
      <c r="L94" s="68" t="n">
        <v>120</v>
      </c>
      <c r="M94" s="68" t="n">
        <v>11</v>
      </c>
      <c r="N94" s="68" t="n">
        <v>300</v>
      </c>
      <c r="O94" s="68" t="n"/>
      <c r="P94" s="68" t="n"/>
      <c r="Q94" s="68" t="n">
        <v>109</v>
      </c>
      <c r="R94" s="69" t="n"/>
      <c r="S94" s="69" t="inlineStr">
        <is>
          <t>No</t>
        </is>
      </c>
      <c r="T94" s="73" t="n">
        <v>42948</v>
      </c>
      <c r="U94" s="73" t="n">
        <v>46605</v>
      </c>
      <c r="V94" s="73" t="n"/>
      <c r="W94" s="69" t="n"/>
      <c r="X94" s="69" t="inlineStr">
        <is>
          <t>Current</t>
        </is>
      </c>
      <c r="Y94" s="68" t="n"/>
      <c r="Z94" s="69" t="inlineStr">
        <is>
          <t>No Defeasance Occurred</t>
        </is>
      </c>
      <c r="AA94" s="69" t="inlineStr">
        <is>
          <t>Yes</t>
        </is>
      </c>
      <c r="AB94" s="69" t="inlineStr">
        <is>
          <t>Never special serv</t>
        </is>
      </c>
      <c r="AC94" s="73" t="n"/>
      <c r="AD94" s="69" t="n"/>
      <c r="AE94" s="69" t="n"/>
      <c r="AF94" s="69" t="inlineStr">
        <is>
          <t>CA</t>
        </is>
      </c>
      <c r="AG94" s="69" t="inlineStr">
        <is>
          <t>Los Angeles</t>
        </is>
      </c>
      <c r="AH94" s="69" t="inlineStr">
        <is>
          <t>Los Angeles-Long Beach-Anaheim, CA</t>
        </is>
      </c>
      <c r="AI94" s="69" t="inlineStr">
        <is>
          <t>West / Pacific South</t>
        </is>
      </c>
      <c r="AJ94" s="69" t="inlineStr">
        <is>
          <t>HT</t>
        </is>
      </c>
      <c r="AK94" s="69" t="inlineStr">
        <is>
          <t>Full Service</t>
        </is>
      </c>
      <c r="AL94" s="68" t="n">
        <v>1</v>
      </c>
      <c r="AM94" s="68" t="n">
        <v>94</v>
      </c>
      <c r="AN94" s="68" t="n"/>
      <c r="AO94" s="69" t="inlineStr">
        <is>
          <t>1926</t>
        </is>
      </c>
      <c r="AP94" s="70" t="n">
        <v>2015</v>
      </c>
      <c r="AQ94" s="74" t="n">
        <v>1.58</v>
      </c>
      <c r="AR94" s="74" t="n">
        <v>0.61</v>
      </c>
      <c r="AS94" s="74" t="n">
        <v>59</v>
      </c>
      <c r="AT94" s="74" t="n">
        <v>46.76</v>
      </c>
      <c r="AU94" s="74" t="n">
        <v>45.1</v>
      </c>
      <c r="AV94" s="74" t="n">
        <v>11.696298531</v>
      </c>
      <c r="AW94" s="74" t="n">
        <v>6.387768317</v>
      </c>
      <c r="AX94" s="75" t="n">
        <v>70</v>
      </c>
      <c r="AY94" s="71" t="n">
        <v>20700000</v>
      </c>
      <c r="AZ94" s="71" t="n">
        <v>20700000</v>
      </c>
      <c r="BA94" s="71" t="n">
        <v>1432796.57</v>
      </c>
      <c r="BB94" s="71" t="n">
        <v>138970.01</v>
      </c>
      <c r="BC94" s="69" t="inlineStr">
        <is>
          <t>Refinance</t>
        </is>
      </c>
      <c r="BD94" s="69" t="inlineStr">
        <is>
          <t>N</t>
        </is>
      </c>
      <c r="BE94" s="71" t="n"/>
      <c r="BF94" s="71" t="n"/>
      <c r="BG94" s="71" t="n"/>
      <c r="BH94" s="71" t="n">
        <v>0</v>
      </c>
      <c r="BI94" s="71" t="n">
        <v>0</v>
      </c>
      <c r="BJ94" s="69" t="inlineStr">
        <is>
          <t>Y</t>
        </is>
      </c>
      <c r="BK94" s="69" t="n"/>
      <c r="BL94" s="75" t="n"/>
      <c r="BM94" s="73" t="n"/>
      <c r="BN94" s="69" t="inlineStr">
        <is>
          <t>Jingbo Lou</t>
        </is>
      </c>
      <c r="BO94" s="69" t="inlineStr">
        <is>
          <t>Cantor Commercial Real Estate Lending</t>
        </is>
      </c>
      <c r="BP94" s="69" t="inlineStr">
        <is>
          <t>Midland Loan Services</t>
        </is>
      </c>
      <c r="BQ94" s="69" t="inlineStr">
        <is>
          <t>Midland Loan Services</t>
        </is>
      </c>
      <c r="BR94" s="69" t="n"/>
      <c r="BS94" s="73" t="n">
        <v>46273</v>
      </c>
      <c r="BU94" s="76">
        <f>IF($C94="","",IFERROR(INDEX(dmName,MATCH($C94,dmID,0)),"Unmapped"))</f>
        <v/>
      </c>
      <c r="BV94" s="76">
        <f>IF($C94="","",IFERROR(INDEX(dmEntity,MATCH($C94,dmID,0)),"Unmapped"))</f>
        <v/>
      </c>
      <c r="BW94" s="77">
        <f>IF($C94="","",IFERROR(INDEX(dmVintage,MATCH($C94,dmID,0)),""))</f>
        <v/>
      </c>
      <c r="BX94" s="78">
        <f>IFERROR(INDEX(dmInclude,MATCH($C94,dmID,0)),0)</f>
        <v/>
      </c>
      <c r="BY94" s="78">
        <f>IF(N($I94)&gt;0,1,0)</f>
        <v/>
      </c>
      <c r="BZ94" s="76">
        <f>IF($AJ94="","Other / Leased Fee",IFERROR(INDEX(mapPTGroup,MATCH(LEFT(TRIM($AJ94),2),mapPTCode,0)),"Other / Leased Fee"))</f>
        <v/>
      </c>
      <c r="CA94" s="76">
        <f>IF(TRIM($AF94&amp;"")="","NR",LEFT(TRIM($AF94),2))</f>
        <v/>
      </c>
      <c r="CB94" s="76">
        <f>IFERROR(LOOKUP(2,1/(LEFT(TRIM($AI94&amp;""),LEN(mapRegion))=mapRegion),mapRegion),"Not Reported")</f>
        <v/>
      </c>
      <c r="CC94" s="76">
        <f>IF($BY94=0,"",IF(TRIM($W94&amp;"")="REO","REO",IF(TRIM($W94&amp;"")="FC","Foreclosure",IF(TRIM($W94&amp;"")="90+","90+ Days Delinquent",IF(TRIM($W94&amp;"")="60","60 Days Delinquent",IF(TRIM($W94&amp;"")="30","30 Days Delinquent",IF($X94="Non-Performing Matured Balloon","Non-Performing Matured Balloon",IF(OR($X94="Late Payment But Less Than 30 Days Delinquent",LEFT($X94&amp;"",20)="Payment Not Received"),"Late / In Grace (&lt;30 Days)",IF($X94="Performing Matured Balloon","Performing Matured Balloon","Current")))))))))</f>
        <v/>
      </c>
      <c r="CD94" s="78">
        <f>IF(OR($CC94="REO",$CC94="Foreclosure",$CC94="90+ Days Delinquent",$CC94="60 Days Delinquent",$CC94="30 Days Delinquent",$CC94="Non-Performing Matured Balloon"),1,0)</f>
        <v/>
      </c>
      <c r="CE94" s="76">
        <f>IF($AB94="Currently special serv","Currently Specially Serviced",IF($AB94="Returned to master serv","Previously Specially Serviced","Never Specially Serviced"))</f>
        <v/>
      </c>
      <c r="CF94" s="78">
        <f>IF($CE94="Currently Specially Serviced",1,0)</f>
        <v/>
      </c>
      <c r="CG94" s="76">
        <f>IF($AA94="Yes","Currently on Watchlist",IF($AA94="Previously","Previously on Watchlist","Never on Watchlist"))</f>
        <v/>
      </c>
      <c r="CH94" s="78">
        <f>IF($CG94="Currently on Watchlist",1,0)</f>
        <v/>
      </c>
      <c r="CI94" s="76">
        <f>IF($Z94="Full Defeasance","Fully Defeased",IF($Z94="Portion Of Loan Previously Defeased","Partially Defeased",IF($Z94="Defeasance Not Allowable","Not Defeased (Not Permitted)","Not Defeased")))</f>
        <v/>
      </c>
      <c r="CJ94" s="78">
        <f>IF($CI94="Fully Defeased",1,0)</f>
        <v/>
      </c>
      <c r="CK94" s="76">
        <f>IF($R94="IO","Full IO",IF(LEFT($R94&amp;"",7)="IO then","Partial IO","Amortizing"))</f>
        <v/>
      </c>
      <c r="CL94" s="78">
        <f>IF($CK94="Full IO",1,0)</f>
        <v/>
      </c>
      <c r="CM94" s="78">
        <f>IF($CK94="Partial IO",1,0)</f>
        <v/>
      </c>
      <c r="CN94" s="76">
        <f>IF(LEFT($F94&amp;"",10)="SPLIT_LOAN","Pari Passu Split","Standalone")</f>
        <v/>
      </c>
      <c r="CO94" s="78">
        <f>IF($CN94="Pari Passu Split",1,0)</f>
        <v/>
      </c>
      <c r="CP94" s="77">
        <f>IF(ISNUMBER($T94),YEAR($T94),"")</f>
        <v/>
      </c>
      <c r="CQ94" s="79">
        <f>IF(ISNUMBER($V94),$V94,IF(ISNUMBER($U94),$U94,""))</f>
        <v/>
      </c>
      <c r="CR94" s="77">
        <f>IF(ISNUMBER($CQ94),YEAR($CQ94),"")</f>
        <v/>
      </c>
      <c r="CS94" s="78">
        <f>IF(ISNUMBER($M94),MAX(0,$M94),IF(TRIM($M94&amp;"")="matured",0,""))</f>
        <v/>
      </c>
      <c r="CT94" s="78">
        <f>IF(AND(ISNUMBER($CS94),N($CS94)&lt;=mMatWindow),1,0)</f>
        <v/>
      </c>
      <c r="CU94" s="80">
        <f>IF(ISNUMBER($J94),$J94/100,"")</f>
        <v/>
      </c>
      <c r="CV94" s="81">
        <f>IF(ISNUMBER($AQ94),$AQ94,"")</f>
        <v/>
      </c>
      <c r="CW94" s="81">
        <f>IF(ISNUMBER($AR94),$AR94,"")</f>
        <v/>
      </c>
      <c r="CX94" s="82">
        <f>IF(ISNUMBER($AS94),$AS94/100,"")</f>
        <v/>
      </c>
      <c r="CY94" s="82">
        <f>IF(ISNUMBER($AT94),$AT94/100,"")</f>
        <v/>
      </c>
      <c r="CZ94" s="82">
        <f>IF(ISNUMBER($AU94),$AU94/100,"")</f>
        <v/>
      </c>
      <c r="DA94" s="82">
        <f>IF(ISNUMBER($AV94),$AV94/100,"")</f>
        <v/>
      </c>
      <c r="DB94" s="82">
        <f>IF(ISNUMBER($AW94),$AW94/100,"")</f>
        <v/>
      </c>
      <c r="DC94" s="82">
        <f>IF(ISNUMBER($AX94),$AX94/100,"")</f>
        <v/>
      </c>
      <c r="DD94" s="77">
        <f>IFERROR(VALUE(LEFT(TRIM($AO94&amp;""),4)),"")</f>
        <v/>
      </c>
      <c r="DE94" s="78">
        <f>IF(AND($BY94=1,$BX94=1,OR(fDeal="All Deals",$BU94=fDeal),OR(fEntity="All Entities",$BV94=fEntity),OR(fPType="All Property Types",$BZ94=fPType),OR(fDefeased="Include",$CJ94=0)),1,0)</f>
        <v/>
      </c>
      <c r="DF94" s="83">
        <f>$DE94*N($I94)</f>
        <v/>
      </c>
      <c r="DG94" s="78">
        <f>IF($DE94=1,IF(COUNTIFS($F$8:$F94,$F94,$DE$8:$DE94,1)=1,1,0),0)</f>
        <v/>
      </c>
      <c r="DH94" s="83">
        <f>IF($DG94=1,SUMIFS($DF$8:$DF$1600,$F$8:$F$1600,$F94),0)</f>
        <v/>
      </c>
      <c r="DI94" s="78">
        <f>IF($DG94=1,COUNTIFS($F$8:$F$1600,$F94,$DE$8:$DE$1600,1),0)</f>
        <v/>
      </c>
      <c r="DJ94" s="84">
        <f>IF($DG94=1,$DH94+(100000-ROW())/mTieBreak,0)</f>
        <v/>
      </c>
    </row>
    <row r="95">
      <c r="B95" s="68" t="n">
        <v>29</v>
      </c>
      <c r="C95" s="69" t="inlineStr">
        <is>
          <t>CTG17C04</t>
        </is>
      </c>
      <c r="D95" s="69" t="inlineStr">
        <is>
          <t>29.000</t>
        </is>
      </c>
      <c r="E95" s="69" t="inlineStr">
        <is>
          <t>1704 Automation Parkway</t>
        </is>
      </c>
      <c r="F95" s="69" t="inlineStr">
        <is>
          <t>LNCTG17C04-29.000</t>
        </is>
      </c>
      <c r="G95" s="70" t="n"/>
      <c r="H95" s="71" t="n">
        <v>11825000</v>
      </c>
      <c r="I95" s="71" t="n">
        <v>11825000</v>
      </c>
      <c r="J95" s="72" t="n">
        <v>4.58</v>
      </c>
      <c r="K95" s="69" t="inlineStr">
        <is>
          <t>Fixed rate</t>
        </is>
      </c>
      <c r="L95" s="68" t="n">
        <v>120</v>
      </c>
      <c r="M95" s="68" t="n">
        <v>13</v>
      </c>
      <c r="N95" s="68" t="n">
        <v>120</v>
      </c>
      <c r="O95" s="68" t="n">
        <v>120</v>
      </c>
      <c r="P95" s="68" t="n">
        <v>13</v>
      </c>
      <c r="Q95" s="68" t="n">
        <v>107</v>
      </c>
      <c r="R95" s="69" t="inlineStr">
        <is>
          <t>IO</t>
        </is>
      </c>
      <c r="S95" s="69" t="inlineStr">
        <is>
          <t>Yes</t>
        </is>
      </c>
      <c r="T95" s="73" t="n">
        <v>43009</v>
      </c>
      <c r="U95" s="73" t="n">
        <v>46666</v>
      </c>
      <c r="V95" s="73" t="n"/>
      <c r="W95" s="69" t="n"/>
      <c r="X95" s="69" t="inlineStr">
        <is>
          <t>Current</t>
        </is>
      </c>
      <c r="Y95" s="68" t="n"/>
      <c r="Z95" s="69" t="inlineStr">
        <is>
          <t>Full Defeasance</t>
        </is>
      </c>
      <c r="AA95" s="69" t="inlineStr">
        <is>
          <t>Previously</t>
        </is>
      </c>
      <c r="AB95" s="69" t="inlineStr">
        <is>
          <t>Returned to master serv</t>
        </is>
      </c>
      <c r="AC95" s="73" t="n"/>
      <c r="AD95" s="69" t="inlineStr">
        <is>
          <t>Imminent Monetary Default (Single Tenant Bankruptcy/Vacate)</t>
        </is>
      </c>
      <c r="AE95" s="69" t="inlineStr">
        <is>
          <t>Resolved</t>
        </is>
      </c>
      <c r="AF95" s="69" t="inlineStr">
        <is>
          <t>CA</t>
        </is>
      </c>
      <c r="AG95" s="69" t="inlineStr">
        <is>
          <t>San Jose</t>
        </is>
      </c>
      <c r="AH95" s="69" t="inlineStr">
        <is>
          <t>San Jose-Sunnyvale-Santa Clara, CA</t>
        </is>
      </c>
      <c r="AI95" s="69" t="inlineStr">
        <is>
          <t>West / Pacific North</t>
        </is>
      </c>
      <c r="AJ95" s="69" t="inlineStr">
        <is>
          <t>OF</t>
        </is>
      </c>
      <c r="AK95" s="69" t="inlineStr">
        <is>
          <t>Suburban</t>
        </is>
      </c>
      <c r="AL95" s="68" t="n">
        <v>1</v>
      </c>
      <c r="AM95" s="68" t="n"/>
      <c r="AN95" s="68" t="n">
        <v>84208</v>
      </c>
      <c r="AO95" s="69" t="inlineStr">
        <is>
          <t>1997</t>
        </is>
      </c>
      <c r="AP95" s="70" t="n">
        <v>2015</v>
      </c>
      <c r="AQ95" s="74" t="n">
        <v>2.25</v>
      </c>
      <c r="AR95" s="74" t="n">
        <v>-0.55</v>
      </c>
      <c r="AS95" s="74" t="n">
        <v>54.7</v>
      </c>
      <c r="AT95" s="74" t="n">
        <v>54.75</v>
      </c>
      <c r="AU95" s="74" t="n">
        <v>54.7</v>
      </c>
      <c r="AV95" s="74" t="n">
        <v>10.444257674</v>
      </c>
      <c r="AW95" s="74" t="n">
        <v>-2.572904101</v>
      </c>
      <c r="AX95" s="75" t="n">
        <v>100</v>
      </c>
      <c r="AY95" s="71" t="n">
        <v>21600000</v>
      </c>
      <c r="AZ95" s="71" t="n">
        <v>21600000</v>
      </c>
      <c r="BA95" s="71" t="n">
        <v>1235033.47</v>
      </c>
      <c r="BB95" s="71" t="n">
        <v>-304245.91</v>
      </c>
      <c r="BC95" s="69" t="inlineStr">
        <is>
          <t>Acquisition</t>
        </is>
      </c>
      <c r="BD95" s="69" t="inlineStr">
        <is>
          <t>N</t>
        </is>
      </c>
      <c r="BE95" s="71" t="n"/>
      <c r="BF95" s="71" t="n"/>
      <c r="BG95" s="71" t="n"/>
      <c r="BH95" s="71" t="n">
        <v>0</v>
      </c>
      <c r="BI95" s="71" t="n">
        <v>0</v>
      </c>
      <c r="BJ95" s="69" t="inlineStr">
        <is>
          <t>N</t>
        </is>
      </c>
      <c r="BK95" s="69" t="inlineStr">
        <is>
          <t>OnSemiconductor</t>
        </is>
      </c>
      <c r="BL95" s="75" t="n">
        <v>100</v>
      </c>
      <c r="BM95" s="73" t="n">
        <v>45351</v>
      </c>
      <c r="BN95" s="69" t="inlineStr">
        <is>
          <t>Qingguo Liu and Xiaobing Chen</t>
        </is>
      </c>
      <c r="BO95" s="69" t="inlineStr">
        <is>
          <t>Cantor Commercial Real Estate Lending</t>
        </is>
      </c>
      <c r="BP95" s="69" t="inlineStr">
        <is>
          <t>Midland Loan Services</t>
        </is>
      </c>
      <c r="BQ95" s="69" t="inlineStr">
        <is>
          <t>Midland Loan Services</t>
        </is>
      </c>
      <c r="BR95" s="69" t="n"/>
      <c r="BS95" s="73" t="n">
        <v>46273</v>
      </c>
      <c r="BU95" s="76">
        <f>IF($C95="","",IFERROR(INDEX(dmName,MATCH($C95,dmID,0)),"Unmapped"))</f>
        <v/>
      </c>
      <c r="BV95" s="76">
        <f>IF($C95="","",IFERROR(INDEX(dmEntity,MATCH($C95,dmID,0)),"Unmapped"))</f>
        <v/>
      </c>
      <c r="BW95" s="77">
        <f>IF($C95="","",IFERROR(INDEX(dmVintage,MATCH($C95,dmID,0)),""))</f>
        <v/>
      </c>
      <c r="BX95" s="78">
        <f>IFERROR(INDEX(dmInclude,MATCH($C95,dmID,0)),0)</f>
        <v/>
      </c>
      <c r="BY95" s="78">
        <f>IF(N($I95)&gt;0,1,0)</f>
        <v/>
      </c>
      <c r="BZ95" s="76">
        <f>IF($AJ95="","Other / Leased Fee",IFERROR(INDEX(mapPTGroup,MATCH(LEFT(TRIM($AJ95),2),mapPTCode,0)),"Other / Leased Fee"))</f>
        <v/>
      </c>
      <c r="CA95" s="76">
        <f>IF(TRIM($AF95&amp;"")="","NR",LEFT(TRIM($AF95),2))</f>
        <v/>
      </c>
      <c r="CB95" s="76">
        <f>IFERROR(LOOKUP(2,1/(LEFT(TRIM($AI95&amp;""),LEN(mapRegion))=mapRegion),mapRegion),"Not Reported")</f>
        <v/>
      </c>
      <c r="CC95" s="76">
        <f>IF($BY95=0,"",IF(TRIM($W95&amp;"")="REO","REO",IF(TRIM($W95&amp;"")="FC","Foreclosure",IF(TRIM($W95&amp;"")="90+","90+ Days Delinquent",IF(TRIM($W95&amp;"")="60","60 Days Delinquent",IF(TRIM($W95&amp;"")="30","30 Days Delinquent",IF($X95="Non-Performing Matured Balloon","Non-Performing Matured Balloon",IF(OR($X95="Late Payment But Less Than 30 Days Delinquent",LEFT($X95&amp;"",20)="Payment Not Received"),"Late / In Grace (&lt;30 Days)",IF($X95="Performing Matured Balloon","Performing Matured Balloon","Current")))))))))</f>
        <v/>
      </c>
      <c r="CD95" s="78">
        <f>IF(OR($CC95="REO",$CC95="Foreclosure",$CC95="90+ Days Delinquent",$CC95="60 Days Delinquent",$CC95="30 Days Delinquent",$CC95="Non-Performing Matured Balloon"),1,0)</f>
        <v/>
      </c>
      <c r="CE95" s="76">
        <f>IF($AB95="Currently special serv","Currently Specially Serviced",IF($AB95="Returned to master serv","Previously Specially Serviced","Never Specially Serviced"))</f>
        <v/>
      </c>
      <c r="CF95" s="78">
        <f>IF($CE95="Currently Specially Serviced",1,0)</f>
        <v/>
      </c>
      <c r="CG95" s="76">
        <f>IF($AA95="Yes","Currently on Watchlist",IF($AA95="Previously","Previously on Watchlist","Never on Watchlist"))</f>
        <v/>
      </c>
      <c r="CH95" s="78">
        <f>IF($CG95="Currently on Watchlist",1,0)</f>
        <v/>
      </c>
      <c r="CI95" s="76">
        <f>IF($Z95="Full Defeasance","Fully Defeased",IF($Z95="Portion Of Loan Previously Defeased","Partially Defeased",IF($Z95="Defeasance Not Allowable","Not Defeased (Not Permitted)","Not Defeased")))</f>
        <v/>
      </c>
      <c r="CJ95" s="78">
        <f>IF($CI95="Fully Defeased",1,0)</f>
        <v/>
      </c>
      <c r="CK95" s="76">
        <f>IF($R95="IO","Full IO",IF(LEFT($R95&amp;"",7)="IO then","Partial IO","Amortizing"))</f>
        <v/>
      </c>
      <c r="CL95" s="78">
        <f>IF($CK95="Full IO",1,0)</f>
        <v/>
      </c>
      <c r="CM95" s="78">
        <f>IF($CK95="Partial IO",1,0)</f>
        <v/>
      </c>
      <c r="CN95" s="76">
        <f>IF(LEFT($F95&amp;"",10)="SPLIT_LOAN","Pari Passu Split","Standalone")</f>
        <v/>
      </c>
      <c r="CO95" s="78">
        <f>IF($CN95="Pari Passu Split",1,0)</f>
        <v/>
      </c>
      <c r="CP95" s="77">
        <f>IF(ISNUMBER($T95),YEAR($T95),"")</f>
        <v/>
      </c>
      <c r="CQ95" s="79">
        <f>IF(ISNUMBER($V95),$V95,IF(ISNUMBER($U95),$U95,""))</f>
        <v/>
      </c>
      <c r="CR95" s="77">
        <f>IF(ISNUMBER($CQ95),YEAR($CQ95),"")</f>
        <v/>
      </c>
      <c r="CS95" s="78">
        <f>IF(ISNUMBER($M95),MAX(0,$M95),IF(TRIM($M95&amp;"")="matured",0,""))</f>
        <v/>
      </c>
      <c r="CT95" s="78">
        <f>IF(AND(ISNUMBER($CS95),N($CS95)&lt;=mMatWindow),1,0)</f>
        <v/>
      </c>
      <c r="CU95" s="80">
        <f>IF(ISNUMBER($J95),$J95/100,"")</f>
        <v/>
      </c>
      <c r="CV95" s="81">
        <f>IF(ISNUMBER($AQ95),$AQ95,"")</f>
        <v/>
      </c>
      <c r="CW95" s="81">
        <f>IF(ISNUMBER($AR95),$AR95,"")</f>
        <v/>
      </c>
      <c r="CX95" s="82">
        <f>IF(ISNUMBER($AS95),$AS95/100,"")</f>
        <v/>
      </c>
      <c r="CY95" s="82">
        <f>IF(ISNUMBER($AT95),$AT95/100,"")</f>
        <v/>
      </c>
      <c r="CZ95" s="82">
        <f>IF(ISNUMBER($AU95),$AU95/100,"")</f>
        <v/>
      </c>
      <c r="DA95" s="82">
        <f>IF(ISNUMBER($AV95),$AV95/100,"")</f>
        <v/>
      </c>
      <c r="DB95" s="82">
        <f>IF(ISNUMBER($AW95),$AW95/100,"")</f>
        <v/>
      </c>
      <c r="DC95" s="82">
        <f>IF(ISNUMBER($AX95),$AX95/100,"")</f>
        <v/>
      </c>
      <c r="DD95" s="77">
        <f>IFERROR(VALUE(LEFT(TRIM($AO95&amp;""),4)),"")</f>
        <v/>
      </c>
      <c r="DE95" s="78">
        <f>IF(AND($BY95=1,$BX95=1,OR(fDeal="All Deals",$BU95=fDeal),OR(fEntity="All Entities",$BV95=fEntity),OR(fPType="All Property Types",$BZ95=fPType),OR(fDefeased="Include",$CJ95=0)),1,0)</f>
        <v/>
      </c>
      <c r="DF95" s="83">
        <f>$DE95*N($I95)</f>
        <v/>
      </c>
      <c r="DG95" s="78">
        <f>IF($DE95=1,IF(COUNTIFS($F$8:$F95,$F95,$DE$8:$DE95,1)=1,1,0),0)</f>
        <v/>
      </c>
      <c r="DH95" s="83">
        <f>IF($DG95=1,SUMIFS($DF$8:$DF$1600,$F$8:$F$1600,$F95),0)</f>
        <v/>
      </c>
      <c r="DI95" s="78">
        <f>IF($DG95=1,COUNTIFS($F$8:$F$1600,$F95,$DE$8:$DE$1600,1),0)</f>
        <v/>
      </c>
      <c r="DJ95" s="84">
        <f>IF($DG95=1,$DH95+(100000-ROW())/mTieBreak,0)</f>
        <v/>
      </c>
    </row>
    <row r="96">
      <c r="B96" s="68" t="n">
        <v>30</v>
      </c>
      <c r="C96" s="69" t="inlineStr">
        <is>
          <t>CTG17C04</t>
        </is>
      </c>
      <c r="D96" s="69" t="inlineStr">
        <is>
          <t>30.000</t>
        </is>
      </c>
      <c r="E96" s="69" t="inlineStr">
        <is>
          <t>Bank of America Office Campus Building 600</t>
        </is>
      </c>
      <c r="F96" s="69" t="inlineStr">
        <is>
          <t>SPLIT_LOAN_01091</t>
        </is>
      </c>
      <c r="G96" s="70" t="n">
        <v>1091</v>
      </c>
      <c r="H96" s="71" t="n">
        <v>9935000</v>
      </c>
      <c r="I96" s="71" t="n">
        <v>0</v>
      </c>
      <c r="J96" s="72" t="n">
        <v>5.02</v>
      </c>
      <c r="K96" s="69" t="inlineStr">
        <is>
          <t>Fixed rate</t>
        </is>
      </c>
      <c r="L96" s="68" t="n">
        <v>123</v>
      </c>
      <c r="M96" s="68" t="n"/>
      <c r="N96" s="68" t="n">
        <v>123</v>
      </c>
      <c r="O96" s="68" t="n">
        <v>123</v>
      </c>
      <c r="P96" s="68" t="n"/>
      <c r="Q96" s="68" t="n"/>
      <c r="R96" s="69" t="inlineStr">
        <is>
          <t>IO</t>
        </is>
      </c>
      <c r="S96" s="69" t="inlineStr">
        <is>
          <t>Yes</t>
        </is>
      </c>
      <c r="T96" s="73" t="n">
        <v>42887</v>
      </c>
      <c r="U96" s="73" t="n">
        <v>48127</v>
      </c>
      <c r="V96" s="73" t="n">
        <v>46636</v>
      </c>
      <c r="W96" s="69" t="n"/>
      <c r="X96" s="69" t="inlineStr">
        <is>
          <t>Current</t>
        </is>
      </c>
      <c r="Y96" s="68" t="n"/>
      <c r="Z96" s="69" t="inlineStr">
        <is>
          <t>No Defeasance Occurred</t>
        </is>
      </c>
      <c r="AA96" s="69" t="inlineStr">
        <is>
          <t>Previously</t>
        </is>
      </c>
      <c r="AB96" s="69" t="inlineStr">
        <is>
          <t>Never special serv</t>
        </is>
      </c>
      <c r="AC96" s="73" t="n"/>
      <c r="AD96" s="69" t="n"/>
      <c r="AE96" s="69" t="n"/>
      <c r="AF96" s="69" t="inlineStr">
        <is>
          <t>FL</t>
        </is>
      </c>
      <c r="AG96" s="69" t="inlineStr">
        <is>
          <t>Jacksonville</t>
        </is>
      </c>
      <c r="AH96" s="69" t="inlineStr">
        <is>
          <t>Jacksonville, FL</t>
        </is>
      </c>
      <c r="AI96" s="69" t="inlineStr">
        <is>
          <t>South / Atlantic</t>
        </is>
      </c>
      <c r="AJ96" s="69" t="inlineStr">
        <is>
          <t>OF</t>
        </is>
      </c>
      <c r="AK96" s="69" t="inlineStr">
        <is>
          <t>Suburban</t>
        </is>
      </c>
      <c r="AL96" s="68" t="n">
        <v>1</v>
      </c>
      <c r="AM96" s="68" t="n"/>
      <c r="AN96" s="68" t="n">
        <v>297026</v>
      </c>
      <c r="AO96" s="69" t="inlineStr">
        <is>
          <t>1989</t>
        </is>
      </c>
      <c r="AP96" s="70" t="n">
        <v>2017</v>
      </c>
      <c r="AQ96" s="74" t="n">
        <v>1.8</v>
      </c>
      <c r="AR96" s="74" t="n">
        <v>1.87</v>
      </c>
      <c r="AS96" s="74" t="n">
        <v>69.94</v>
      </c>
      <c r="AT96" s="74" t="n"/>
      <c r="AU96" s="74" t="n">
        <v>69.94</v>
      </c>
      <c r="AV96" s="74" t="n">
        <v>9.185282211000001</v>
      </c>
      <c r="AW96" s="74" t="n"/>
      <c r="AX96" s="75" t="n">
        <v>100</v>
      </c>
      <c r="AY96" s="71" t="n">
        <v>42800000</v>
      </c>
      <c r="AZ96" s="71" t="n">
        <v>42800000</v>
      </c>
      <c r="BA96" s="71" t="n">
        <v>2749614.23</v>
      </c>
      <c r="BB96" s="71" t="n">
        <v>2847593.8</v>
      </c>
      <c r="BC96" s="69" t="inlineStr">
        <is>
          <t>Acquisition</t>
        </is>
      </c>
      <c r="BD96" s="69" t="inlineStr">
        <is>
          <t>N</t>
        </is>
      </c>
      <c r="BE96" s="71" t="n">
        <v>0</v>
      </c>
      <c r="BF96" s="71" t="n"/>
      <c r="BG96" s="71" t="n"/>
      <c r="BH96" s="71" t="n">
        <v>0</v>
      </c>
      <c r="BI96" s="71" t="n">
        <v>0</v>
      </c>
      <c r="BJ96" s="69" t="inlineStr">
        <is>
          <t>N</t>
        </is>
      </c>
      <c r="BK96" s="69" t="inlineStr">
        <is>
          <t>Bank Of America</t>
        </is>
      </c>
      <c r="BL96" s="75" t="n">
        <v>100</v>
      </c>
      <c r="BM96" s="73" t="n">
        <v>48121</v>
      </c>
      <c r="BN96" s="69" t="inlineStr">
        <is>
          <t>Ladder Capital CRE Equity LLC</t>
        </is>
      </c>
      <c r="BO96" s="69" t="inlineStr">
        <is>
          <t>Ladder Capital Finance</t>
        </is>
      </c>
      <c r="BP96" s="69" t="inlineStr">
        <is>
          <t>Midland Loan Services</t>
        </is>
      </c>
      <c r="BQ96" s="69" t="inlineStr">
        <is>
          <t>Rialto Capital</t>
        </is>
      </c>
      <c r="BR96" s="69" t="inlineStr">
        <is>
          <t>Payoff With Yield Maintenance</t>
        </is>
      </c>
      <c r="BS96" s="73" t="n">
        <v>46244</v>
      </c>
      <c r="BU96" s="76">
        <f>IF($C96="","",IFERROR(INDEX(dmName,MATCH($C96,dmID,0)),"Unmapped"))</f>
        <v/>
      </c>
      <c r="BV96" s="76">
        <f>IF($C96="","",IFERROR(INDEX(dmEntity,MATCH($C96,dmID,0)),"Unmapped"))</f>
        <v/>
      </c>
      <c r="BW96" s="77">
        <f>IF($C96="","",IFERROR(INDEX(dmVintage,MATCH($C96,dmID,0)),""))</f>
        <v/>
      </c>
      <c r="BX96" s="78">
        <f>IFERROR(INDEX(dmInclude,MATCH($C96,dmID,0)),0)</f>
        <v/>
      </c>
      <c r="BY96" s="78">
        <f>IF(N($I96)&gt;0,1,0)</f>
        <v/>
      </c>
      <c r="BZ96" s="76">
        <f>IF($AJ96="","Other / Leased Fee",IFERROR(INDEX(mapPTGroup,MATCH(LEFT(TRIM($AJ96),2),mapPTCode,0)),"Other / Leased Fee"))</f>
        <v/>
      </c>
      <c r="CA96" s="76">
        <f>IF(TRIM($AF96&amp;"")="","NR",LEFT(TRIM($AF96),2))</f>
        <v/>
      </c>
      <c r="CB96" s="76">
        <f>IFERROR(LOOKUP(2,1/(LEFT(TRIM($AI96&amp;""),LEN(mapRegion))=mapRegion),mapRegion),"Not Reported")</f>
        <v/>
      </c>
      <c r="CC96" s="76">
        <f>IF($BY96=0,"",IF(TRIM($W96&amp;"")="REO","REO",IF(TRIM($W96&amp;"")="FC","Foreclosure",IF(TRIM($W96&amp;"")="90+","90+ Days Delinquent",IF(TRIM($W96&amp;"")="60","60 Days Delinquent",IF(TRIM($W96&amp;"")="30","30 Days Delinquent",IF($X96="Non-Performing Matured Balloon","Non-Performing Matured Balloon",IF(OR($X96="Late Payment But Less Than 30 Days Delinquent",LEFT($X96&amp;"",20)="Payment Not Received"),"Late / In Grace (&lt;30 Days)",IF($X96="Performing Matured Balloon","Performing Matured Balloon","Current")))))))))</f>
        <v/>
      </c>
      <c r="CD96" s="78">
        <f>IF(OR($CC96="REO",$CC96="Foreclosure",$CC96="90+ Days Delinquent",$CC96="60 Days Delinquent",$CC96="30 Days Delinquent",$CC96="Non-Performing Matured Balloon"),1,0)</f>
        <v/>
      </c>
      <c r="CE96" s="76">
        <f>IF($AB96="Currently special serv","Currently Specially Serviced",IF($AB96="Returned to master serv","Previously Specially Serviced","Never Specially Serviced"))</f>
        <v/>
      </c>
      <c r="CF96" s="78">
        <f>IF($CE96="Currently Specially Serviced",1,0)</f>
        <v/>
      </c>
      <c r="CG96" s="76">
        <f>IF($AA96="Yes","Currently on Watchlist",IF($AA96="Previously","Previously on Watchlist","Never on Watchlist"))</f>
        <v/>
      </c>
      <c r="CH96" s="78">
        <f>IF($CG96="Currently on Watchlist",1,0)</f>
        <v/>
      </c>
      <c r="CI96" s="76">
        <f>IF($Z96="Full Defeasance","Fully Defeased",IF($Z96="Portion Of Loan Previously Defeased","Partially Defeased",IF($Z96="Defeasance Not Allowable","Not Defeased (Not Permitted)","Not Defeased")))</f>
        <v/>
      </c>
      <c r="CJ96" s="78">
        <f>IF($CI96="Fully Defeased",1,0)</f>
        <v/>
      </c>
      <c r="CK96" s="76">
        <f>IF($R96="IO","Full IO",IF(LEFT($R96&amp;"",7)="IO then","Partial IO","Amortizing"))</f>
        <v/>
      </c>
      <c r="CL96" s="78">
        <f>IF($CK96="Full IO",1,0)</f>
        <v/>
      </c>
      <c r="CM96" s="78">
        <f>IF($CK96="Partial IO",1,0)</f>
        <v/>
      </c>
      <c r="CN96" s="76">
        <f>IF(LEFT($F96&amp;"",10)="SPLIT_LOAN","Pari Passu Split","Standalone")</f>
        <v/>
      </c>
      <c r="CO96" s="78">
        <f>IF($CN96="Pari Passu Split",1,0)</f>
        <v/>
      </c>
      <c r="CP96" s="77">
        <f>IF(ISNUMBER($T96),YEAR($T96),"")</f>
        <v/>
      </c>
      <c r="CQ96" s="79">
        <f>IF(ISNUMBER($V96),$V96,IF(ISNUMBER($U96),$U96,""))</f>
        <v/>
      </c>
      <c r="CR96" s="77">
        <f>IF(ISNUMBER($CQ96),YEAR($CQ96),"")</f>
        <v/>
      </c>
      <c r="CS96" s="78">
        <f>IF(ISNUMBER($M96),MAX(0,$M96),IF(TRIM($M96&amp;"")="matured",0,""))</f>
        <v/>
      </c>
      <c r="CT96" s="78">
        <f>IF(AND(ISNUMBER($CS96),N($CS96)&lt;=mMatWindow),1,0)</f>
        <v/>
      </c>
      <c r="CU96" s="80">
        <f>IF(ISNUMBER($J96),$J96/100,"")</f>
        <v/>
      </c>
      <c r="CV96" s="81">
        <f>IF(ISNUMBER($AQ96),$AQ96,"")</f>
        <v/>
      </c>
      <c r="CW96" s="81">
        <f>IF(ISNUMBER($AR96),$AR96,"")</f>
        <v/>
      </c>
      <c r="CX96" s="82">
        <f>IF(ISNUMBER($AS96),$AS96/100,"")</f>
        <v/>
      </c>
      <c r="CY96" s="82">
        <f>IF(ISNUMBER($AT96),$AT96/100,"")</f>
        <v/>
      </c>
      <c r="CZ96" s="82">
        <f>IF(ISNUMBER($AU96),$AU96/100,"")</f>
        <v/>
      </c>
      <c r="DA96" s="82">
        <f>IF(ISNUMBER($AV96),$AV96/100,"")</f>
        <v/>
      </c>
      <c r="DB96" s="82">
        <f>IF(ISNUMBER($AW96),$AW96/100,"")</f>
        <v/>
      </c>
      <c r="DC96" s="82">
        <f>IF(ISNUMBER($AX96),$AX96/100,"")</f>
        <v/>
      </c>
      <c r="DD96" s="77">
        <f>IFERROR(VALUE(LEFT(TRIM($AO96&amp;""),4)),"")</f>
        <v/>
      </c>
      <c r="DE96" s="78">
        <f>IF(AND($BY96=1,$BX96=1,OR(fDeal="All Deals",$BU96=fDeal),OR(fEntity="All Entities",$BV96=fEntity),OR(fPType="All Property Types",$BZ96=fPType),OR(fDefeased="Include",$CJ96=0)),1,0)</f>
        <v/>
      </c>
      <c r="DF96" s="83">
        <f>$DE96*N($I96)</f>
        <v/>
      </c>
      <c r="DG96" s="78">
        <f>IF($DE96=1,IF(COUNTIFS($F$8:$F96,$F96,$DE$8:$DE96,1)=1,1,0),0)</f>
        <v/>
      </c>
      <c r="DH96" s="83">
        <f>IF($DG96=1,SUMIFS($DF$8:$DF$1600,$F$8:$F$1600,$F96),0)</f>
        <v/>
      </c>
      <c r="DI96" s="78">
        <f>IF($DG96=1,COUNTIFS($F$8:$F$1600,$F96,$DE$8:$DE$1600,1),0)</f>
        <v/>
      </c>
      <c r="DJ96" s="84">
        <f>IF($DG96=1,$DH96+(100000-ROW())/mTieBreak,0)</f>
        <v/>
      </c>
    </row>
    <row r="97">
      <c r="B97" s="68" t="n">
        <v>31</v>
      </c>
      <c r="C97" s="69" t="inlineStr">
        <is>
          <t>CTG17C04</t>
        </is>
      </c>
      <c r="D97" s="69" t="inlineStr">
        <is>
          <t>31.000</t>
        </is>
      </c>
      <c r="E97" s="69" t="inlineStr">
        <is>
          <t>Mills Pointe Shopping Center</t>
        </is>
      </c>
      <c r="F97" s="69" t="inlineStr">
        <is>
          <t>LNCTG17C04-31.000</t>
        </is>
      </c>
      <c r="G97" s="70" t="n"/>
      <c r="H97" s="71" t="n">
        <v>9700000</v>
      </c>
      <c r="I97" s="71" t="n">
        <v>0</v>
      </c>
      <c r="J97" s="72" t="n">
        <v>5.223</v>
      </c>
      <c r="K97" s="69" t="inlineStr">
        <is>
          <t>Fixed rate</t>
        </is>
      </c>
      <c r="L97" s="68" t="n">
        <v>60</v>
      </c>
      <c r="M97" s="68" t="n"/>
      <c r="N97" s="68" t="n">
        <v>372</v>
      </c>
      <c r="O97" s="68" t="n">
        <v>12</v>
      </c>
      <c r="P97" s="68" t="n"/>
      <c r="Q97" s="68" t="n"/>
      <c r="R97" s="69" t="inlineStr">
        <is>
          <t>IO then Amort</t>
        </is>
      </c>
      <c r="S97" s="69" t="inlineStr">
        <is>
          <t>No</t>
        </is>
      </c>
      <c r="T97" s="73" t="n">
        <v>43009</v>
      </c>
      <c r="U97" s="73" t="n">
        <v>44840</v>
      </c>
      <c r="V97" s="73" t="n"/>
      <c r="W97" s="69" t="n"/>
      <c r="X97" s="69" t="inlineStr">
        <is>
          <t>Current</t>
        </is>
      </c>
      <c r="Y97" s="68" t="n"/>
      <c r="Z97" s="69" t="inlineStr">
        <is>
          <t>No Defeasance Occurred</t>
        </is>
      </c>
      <c r="AA97" s="69" t="inlineStr">
        <is>
          <t>Previously</t>
        </is>
      </c>
      <c r="AB97" s="69" t="inlineStr">
        <is>
          <t>Never special serv</t>
        </is>
      </c>
      <c r="AC97" s="73" t="n"/>
      <c r="AD97" s="69" t="n"/>
      <c r="AE97" s="69" t="n"/>
      <c r="AF97" s="69" t="inlineStr">
        <is>
          <t>TX</t>
        </is>
      </c>
      <c r="AG97" s="69" t="inlineStr">
        <is>
          <t>Carrollton</t>
        </is>
      </c>
      <c r="AH97" s="69" t="inlineStr">
        <is>
          <t>Dallas-Fort Worth-Arlington, TX</t>
        </is>
      </c>
      <c r="AI97" s="69" t="inlineStr">
        <is>
          <t>South / Central West</t>
        </is>
      </c>
      <c r="AJ97" s="69" t="inlineStr">
        <is>
          <t>RT</t>
        </is>
      </c>
      <c r="AK97" s="69" t="inlineStr">
        <is>
          <t>Anchored</t>
        </is>
      </c>
      <c r="AL97" s="68" t="n">
        <v>1</v>
      </c>
      <c r="AM97" s="68" t="n"/>
      <c r="AN97" s="68" t="n">
        <v>126838</v>
      </c>
      <c r="AO97" s="69" t="inlineStr">
        <is>
          <t>1985</t>
        </is>
      </c>
      <c r="AP97" s="70" t="n">
        <v>2017</v>
      </c>
      <c r="AQ97" s="74" t="n">
        <v>1.39</v>
      </c>
      <c r="AR97" s="74" t="n">
        <v>1.8</v>
      </c>
      <c r="AS97" s="74" t="n">
        <v>69.40000000000001</v>
      </c>
      <c r="AT97" s="74" t="n"/>
      <c r="AU97" s="74" t="n">
        <v>65.40000000000001</v>
      </c>
      <c r="AV97" s="74" t="n">
        <v>9.194893711000001</v>
      </c>
      <c r="AW97" s="74" t="n"/>
      <c r="AX97" s="75" t="n">
        <v>94</v>
      </c>
      <c r="AY97" s="71" t="n">
        <v>13980000</v>
      </c>
      <c r="AZ97" s="71" t="n">
        <v>13980000</v>
      </c>
      <c r="BA97" s="71" t="n">
        <v>891904.6899999999</v>
      </c>
      <c r="BB97" s="71" t="n">
        <v>1151789.51</v>
      </c>
      <c r="BC97" s="69" t="inlineStr">
        <is>
          <t>Acquisition</t>
        </is>
      </c>
      <c r="BD97" s="69" t="inlineStr">
        <is>
          <t>N</t>
        </is>
      </c>
      <c r="BE97" s="71" t="n"/>
      <c r="BF97" s="71" t="n"/>
      <c r="BG97" s="71" t="n"/>
      <c r="BH97" s="71" t="n">
        <v>0</v>
      </c>
      <c r="BI97" s="71" t="n">
        <v>0</v>
      </c>
      <c r="BJ97" s="69" t="inlineStr">
        <is>
          <t>N</t>
        </is>
      </c>
      <c r="BK97" s="69" t="inlineStr">
        <is>
          <t>Fitness Connection</t>
        </is>
      </c>
      <c r="BL97" s="75" t="n">
        <v>41.53</v>
      </c>
      <c r="BM97" s="73" t="n">
        <v>47573</v>
      </c>
      <c r="BN97" s="69" t="inlineStr">
        <is>
          <t>Cynthia Vance Miller 1989 Irrevocable Trust and Gregory L. Miller 1989 Irrevocable Trust</t>
        </is>
      </c>
      <c r="BO97" s="69" t="inlineStr">
        <is>
          <t>Cantor Commercial Real Estate Lending</t>
        </is>
      </c>
      <c r="BP97" s="69" t="inlineStr">
        <is>
          <t>Midland Loan Services</t>
        </is>
      </c>
      <c r="BQ97" s="69" t="inlineStr">
        <is>
          <t>Midland Loan Services</t>
        </is>
      </c>
      <c r="BR97" s="69" t="inlineStr">
        <is>
          <t>Full Payoff At Maturity</t>
        </is>
      </c>
      <c r="BS97" s="73" t="n">
        <v>44845</v>
      </c>
      <c r="BU97" s="76">
        <f>IF($C97="","",IFERROR(INDEX(dmName,MATCH($C97,dmID,0)),"Unmapped"))</f>
        <v/>
      </c>
      <c r="BV97" s="76">
        <f>IF($C97="","",IFERROR(INDEX(dmEntity,MATCH($C97,dmID,0)),"Unmapped"))</f>
        <v/>
      </c>
      <c r="BW97" s="77">
        <f>IF($C97="","",IFERROR(INDEX(dmVintage,MATCH($C97,dmID,0)),""))</f>
        <v/>
      </c>
      <c r="BX97" s="78">
        <f>IFERROR(INDEX(dmInclude,MATCH($C97,dmID,0)),0)</f>
        <v/>
      </c>
      <c r="BY97" s="78">
        <f>IF(N($I97)&gt;0,1,0)</f>
        <v/>
      </c>
      <c r="BZ97" s="76">
        <f>IF($AJ97="","Other / Leased Fee",IFERROR(INDEX(mapPTGroup,MATCH(LEFT(TRIM($AJ97),2),mapPTCode,0)),"Other / Leased Fee"))</f>
        <v/>
      </c>
      <c r="CA97" s="76">
        <f>IF(TRIM($AF97&amp;"")="","NR",LEFT(TRIM($AF97),2))</f>
        <v/>
      </c>
      <c r="CB97" s="76">
        <f>IFERROR(LOOKUP(2,1/(LEFT(TRIM($AI97&amp;""),LEN(mapRegion))=mapRegion),mapRegion),"Not Reported")</f>
        <v/>
      </c>
      <c r="CC97" s="76">
        <f>IF($BY97=0,"",IF(TRIM($W97&amp;"")="REO","REO",IF(TRIM($W97&amp;"")="FC","Foreclosure",IF(TRIM($W97&amp;"")="90+","90+ Days Delinquent",IF(TRIM($W97&amp;"")="60","60 Days Delinquent",IF(TRIM($W97&amp;"")="30","30 Days Delinquent",IF($X97="Non-Performing Matured Balloon","Non-Performing Matured Balloon",IF(OR($X97="Late Payment But Less Than 30 Days Delinquent",LEFT($X97&amp;"",20)="Payment Not Received"),"Late / In Grace (&lt;30 Days)",IF($X97="Performing Matured Balloon","Performing Matured Balloon","Current")))))))))</f>
        <v/>
      </c>
      <c r="CD97" s="78">
        <f>IF(OR($CC97="REO",$CC97="Foreclosure",$CC97="90+ Days Delinquent",$CC97="60 Days Delinquent",$CC97="30 Days Delinquent",$CC97="Non-Performing Matured Balloon"),1,0)</f>
        <v/>
      </c>
      <c r="CE97" s="76">
        <f>IF($AB97="Currently special serv","Currently Specially Serviced",IF($AB97="Returned to master serv","Previously Specially Serviced","Never Specially Serviced"))</f>
        <v/>
      </c>
      <c r="CF97" s="78">
        <f>IF($CE97="Currently Specially Serviced",1,0)</f>
        <v/>
      </c>
      <c r="CG97" s="76">
        <f>IF($AA97="Yes","Currently on Watchlist",IF($AA97="Previously","Previously on Watchlist","Never on Watchlist"))</f>
        <v/>
      </c>
      <c r="CH97" s="78">
        <f>IF($CG97="Currently on Watchlist",1,0)</f>
        <v/>
      </c>
      <c r="CI97" s="76">
        <f>IF($Z97="Full Defeasance","Fully Defeased",IF($Z97="Portion Of Loan Previously Defeased","Partially Defeased",IF($Z97="Defeasance Not Allowable","Not Defeased (Not Permitted)","Not Defeased")))</f>
        <v/>
      </c>
      <c r="CJ97" s="78">
        <f>IF($CI97="Fully Defeased",1,0)</f>
        <v/>
      </c>
      <c r="CK97" s="76">
        <f>IF($R97="IO","Full IO",IF(LEFT($R97&amp;"",7)="IO then","Partial IO","Amortizing"))</f>
        <v/>
      </c>
      <c r="CL97" s="78">
        <f>IF($CK97="Full IO",1,0)</f>
        <v/>
      </c>
      <c r="CM97" s="78">
        <f>IF($CK97="Partial IO",1,0)</f>
        <v/>
      </c>
      <c r="CN97" s="76">
        <f>IF(LEFT($F97&amp;"",10)="SPLIT_LOAN","Pari Passu Split","Standalone")</f>
        <v/>
      </c>
      <c r="CO97" s="78">
        <f>IF($CN97="Pari Passu Split",1,0)</f>
        <v/>
      </c>
      <c r="CP97" s="77">
        <f>IF(ISNUMBER($T97),YEAR($T97),"")</f>
        <v/>
      </c>
      <c r="CQ97" s="79">
        <f>IF(ISNUMBER($V97),$V97,IF(ISNUMBER($U97),$U97,""))</f>
        <v/>
      </c>
      <c r="CR97" s="77">
        <f>IF(ISNUMBER($CQ97),YEAR($CQ97),"")</f>
        <v/>
      </c>
      <c r="CS97" s="78">
        <f>IF(ISNUMBER($M97),MAX(0,$M97),IF(TRIM($M97&amp;"")="matured",0,""))</f>
        <v/>
      </c>
      <c r="CT97" s="78">
        <f>IF(AND(ISNUMBER($CS97),N($CS97)&lt;=mMatWindow),1,0)</f>
        <v/>
      </c>
      <c r="CU97" s="80">
        <f>IF(ISNUMBER($J97),$J97/100,"")</f>
        <v/>
      </c>
      <c r="CV97" s="81">
        <f>IF(ISNUMBER($AQ97),$AQ97,"")</f>
        <v/>
      </c>
      <c r="CW97" s="81">
        <f>IF(ISNUMBER($AR97),$AR97,"")</f>
        <v/>
      </c>
      <c r="CX97" s="82">
        <f>IF(ISNUMBER($AS97),$AS97/100,"")</f>
        <v/>
      </c>
      <c r="CY97" s="82">
        <f>IF(ISNUMBER($AT97),$AT97/100,"")</f>
        <v/>
      </c>
      <c r="CZ97" s="82">
        <f>IF(ISNUMBER($AU97),$AU97/100,"")</f>
        <v/>
      </c>
      <c r="DA97" s="82">
        <f>IF(ISNUMBER($AV97),$AV97/100,"")</f>
        <v/>
      </c>
      <c r="DB97" s="82">
        <f>IF(ISNUMBER($AW97),$AW97/100,"")</f>
        <v/>
      </c>
      <c r="DC97" s="82">
        <f>IF(ISNUMBER($AX97),$AX97/100,"")</f>
        <v/>
      </c>
      <c r="DD97" s="77">
        <f>IFERROR(VALUE(LEFT(TRIM($AO97&amp;""),4)),"")</f>
        <v/>
      </c>
      <c r="DE97" s="78">
        <f>IF(AND($BY97=1,$BX97=1,OR(fDeal="All Deals",$BU97=fDeal),OR(fEntity="All Entities",$BV97=fEntity),OR(fPType="All Property Types",$BZ97=fPType),OR(fDefeased="Include",$CJ97=0)),1,0)</f>
        <v/>
      </c>
      <c r="DF97" s="83">
        <f>$DE97*N($I97)</f>
        <v/>
      </c>
      <c r="DG97" s="78">
        <f>IF($DE97=1,IF(COUNTIFS($F$8:$F97,$F97,$DE$8:$DE97,1)=1,1,0),0)</f>
        <v/>
      </c>
      <c r="DH97" s="83">
        <f>IF($DG97=1,SUMIFS($DF$8:$DF$1600,$F$8:$F$1600,$F97),0)</f>
        <v/>
      </c>
      <c r="DI97" s="78">
        <f>IF($DG97=1,COUNTIFS($F$8:$F$1600,$F97,$DE$8:$DE$1600,1),0)</f>
        <v/>
      </c>
      <c r="DJ97" s="84">
        <f>IF($DG97=1,$DH97+(100000-ROW())/mTieBreak,0)</f>
        <v/>
      </c>
    </row>
    <row r="98">
      <c r="B98" s="68" t="n">
        <v>32</v>
      </c>
      <c r="C98" s="69" t="inlineStr">
        <is>
          <t>CTG17C04</t>
        </is>
      </c>
      <c r="D98" s="69" t="inlineStr">
        <is>
          <t>32.000</t>
        </is>
      </c>
      <c r="E98" s="69" t="inlineStr">
        <is>
          <t>Golden Gate Shopping Center</t>
        </is>
      </c>
      <c r="F98" s="69" t="inlineStr">
        <is>
          <t>LNCTG17C04-32.000</t>
        </is>
      </c>
      <c r="G98" s="70" t="n"/>
      <c r="H98" s="71" t="n">
        <v>9620000</v>
      </c>
      <c r="I98" s="71" t="n">
        <v>8412062.629997259</v>
      </c>
      <c r="J98" s="72" t="n">
        <v>4.534</v>
      </c>
      <c r="K98" s="69" t="inlineStr">
        <is>
          <t>Fixed rate</t>
        </is>
      </c>
      <c r="L98" s="68" t="n">
        <v>120</v>
      </c>
      <c r="M98" s="68" t="n">
        <v>11</v>
      </c>
      <c r="N98" s="68" t="n">
        <v>384</v>
      </c>
      <c r="O98" s="68" t="n">
        <v>24</v>
      </c>
      <c r="P98" s="68" t="n">
        <v>0</v>
      </c>
      <c r="Q98" s="68" t="n">
        <v>109</v>
      </c>
      <c r="R98" s="69" t="inlineStr">
        <is>
          <t>IO then Amort</t>
        </is>
      </c>
      <c r="S98" s="69" t="inlineStr">
        <is>
          <t>No</t>
        </is>
      </c>
      <c r="T98" s="73" t="n">
        <v>42948</v>
      </c>
      <c r="U98" s="73" t="n">
        <v>46605</v>
      </c>
      <c r="V98" s="73" t="n"/>
      <c r="W98" s="69" t="n"/>
      <c r="X98" s="69" t="inlineStr">
        <is>
          <t>Current</t>
        </is>
      </c>
      <c r="Y98" s="68" t="n"/>
      <c r="Z98" s="69" t="inlineStr">
        <is>
          <t>Full Defeasance</t>
        </is>
      </c>
      <c r="AA98" s="69" t="inlineStr">
        <is>
          <t>Previously</t>
        </is>
      </c>
      <c r="AB98" s="69" t="inlineStr">
        <is>
          <t>Never special serv</t>
        </is>
      </c>
      <c r="AC98" s="73" t="n"/>
      <c r="AD98" s="69" t="n"/>
      <c r="AE98" s="69" t="n"/>
      <c r="AF98" s="69" t="inlineStr">
        <is>
          <t>NC</t>
        </is>
      </c>
      <c r="AG98" s="69" t="inlineStr">
        <is>
          <t>Greensboro</t>
        </is>
      </c>
      <c r="AH98" s="69" t="inlineStr">
        <is>
          <t>Greensboro-High Point, NC</t>
        </is>
      </c>
      <c r="AI98" s="69" t="inlineStr">
        <is>
          <t>South / Atlantic</t>
        </is>
      </c>
      <c r="AJ98" s="69" t="inlineStr">
        <is>
          <t>RT</t>
        </is>
      </c>
      <c r="AK98" s="69" t="inlineStr">
        <is>
          <t>Anchored</t>
        </is>
      </c>
      <c r="AL98" s="68" t="n">
        <v>1</v>
      </c>
      <c r="AM98" s="68" t="n"/>
      <c r="AN98" s="68" t="n">
        <v>153807</v>
      </c>
      <c r="AO98" s="69" t="inlineStr">
        <is>
          <t>1962, 1987</t>
        </is>
      </c>
      <c r="AP98" s="70" t="n">
        <v>2014</v>
      </c>
      <c r="AQ98" s="74" t="n">
        <v>1.55</v>
      </c>
      <c r="AR98" s="74" t="n">
        <v>1.87</v>
      </c>
      <c r="AS98" s="74" t="n">
        <v>72.88</v>
      </c>
      <c r="AT98" s="74" t="n">
        <v>63.73</v>
      </c>
      <c r="AU98" s="74" t="n">
        <v>62.3</v>
      </c>
      <c r="AV98" s="74" t="n">
        <v>9.44677817</v>
      </c>
      <c r="AW98" s="74" t="n">
        <v>10.463200153</v>
      </c>
      <c r="AX98" s="75" t="n">
        <v>94</v>
      </c>
      <c r="AY98" s="71" t="n">
        <v>13200000</v>
      </c>
      <c r="AZ98" s="71" t="n">
        <v>13200000</v>
      </c>
      <c r="BA98" s="71" t="n">
        <v>908780.0600000001</v>
      </c>
      <c r="BB98" s="71" t="n">
        <v>1098205.8</v>
      </c>
      <c r="BC98" s="69" t="inlineStr">
        <is>
          <t>Acquisition</t>
        </is>
      </c>
      <c r="BD98" s="69" t="inlineStr">
        <is>
          <t>N</t>
        </is>
      </c>
      <c r="BE98" s="71" t="n"/>
      <c r="BF98" s="71" t="n"/>
      <c r="BG98" s="71" t="n"/>
      <c r="BH98" s="71" t="n">
        <v>0</v>
      </c>
      <c r="BI98" s="71" t="n">
        <v>0</v>
      </c>
      <c r="BJ98" s="69" t="inlineStr">
        <is>
          <t>N</t>
        </is>
      </c>
      <c r="BK98" s="69" t="inlineStr">
        <is>
          <t>Food Lion LLC #32</t>
        </is>
      </c>
      <c r="BL98" s="75" t="n">
        <v>21.51</v>
      </c>
      <c r="BM98" s="73" t="n">
        <v>47712</v>
      </c>
      <c r="BN98" s="69" t="inlineStr">
        <is>
          <t>Gerald Bedrin and Paul Bedrin</t>
        </is>
      </c>
      <c r="BO98" s="69" t="inlineStr">
        <is>
          <t>Ladder Capital Finance</t>
        </is>
      </c>
      <c r="BP98" s="69" t="inlineStr">
        <is>
          <t>Midland Loan Services</t>
        </is>
      </c>
      <c r="BQ98" s="69" t="inlineStr">
        <is>
          <t>Midland Loan Services</t>
        </is>
      </c>
      <c r="BR98" s="69" t="n"/>
      <c r="BS98" s="73" t="n">
        <v>46273</v>
      </c>
      <c r="BU98" s="76">
        <f>IF($C98="","",IFERROR(INDEX(dmName,MATCH($C98,dmID,0)),"Unmapped"))</f>
        <v/>
      </c>
      <c r="BV98" s="76">
        <f>IF($C98="","",IFERROR(INDEX(dmEntity,MATCH($C98,dmID,0)),"Unmapped"))</f>
        <v/>
      </c>
      <c r="BW98" s="77">
        <f>IF($C98="","",IFERROR(INDEX(dmVintage,MATCH($C98,dmID,0)),""))</f>
        <v/>
      </c>
      <c r="BX98" s="78">
        <f>IFERROR(INDEX(dmInclude,MATCH($C98,dmID,0)),0)</f>
        <v/>
      </c>
      <c r="BY98" s="78">
        <f>IF(N($I98)&gt;0,1,0)</f>
        <v/>
      </c>
      <c r="BZ98" s="76">
        <f>IF($AJ98="","Other / Leased Fee",IFERROR(INDEX(mapPTGroup,MATCH(LEFT(TRIM($AJ98),2),mapPTCode,0)),"Other / Leased Fee"))</f>
        <v/>
      </c>
      <c r="CA98" s="76">
        <f>IF(TRIM($AF98&amp;"")="","NR",LEFT(TRIM($AF98),2))</f>
        <v/>
      </c>
      <c r="CB98" s="76">
        <f>IFERROR(LOOKUP(2,1/(LEFT(TRIM($AI98&amp;""),LEN(mapRegion))=mapRegion),mapRegion),"Not Reported")</f>
        <v/>
      </c>
      <c r="CC98" s="76">
        <f>IF($BY98=0,"",IF(TRIM($W98&amp;"")="REO","REO",IF(TRIM($W98&amp;"")="FC","Foreclosure",IF(TRIM($W98&amp;"")="90+","90+ Days Delinquent",IF(TRIM($W98&amp;"")="60","60 Days Delinquent",IF(TRIM($W98&amp;"")="30","30 Days Delinquent",IF($X98="Non-Performing Matured Balloon","Non-Performing Matured Balloon",IF(OR($X98="Late Payment But Less Than 30 Days Delinquent",LEFT($X98&amp;"",20)="Payment Not Received"),"Late / In Grace (&lt;30 Days)",IF($X98="Performing Matured Balloon","Performing Matured Balloon","Current")))))))))</f>
        <v/>
      </c>
      <c r="CD98" s="78">
        <f>IF(OR($CC98="REO",$CC98="Foreclosure",$CC98="90+ Days Delinquent",$CC98="60 Days Delinquent",$CC98="30 Days Delinquent",$CC98="Non-Performing Matured Balloon"),1,0)</f>
        <v/>
      </c>
      <c r="CE98" s="76">
        <f>IF($AB98="Currently special serv","Currently Specially Serviced",IF($AB98="Returned to master serv","Previously Specially Serviced","Never Specially Serviced"))</f>
        <v/>
      </c>
      <c r="CF98" s="78">
        <f>IF($CE98="Currently Specially Serviced",1,0)</f>
        <v/>
      </c>
      <c r="CG98" s="76">
        <f>IF($AA98="Yes","Currently on Watchlist",IF($AA98="Previously","Previously on Watchlist","Never on Watchlist"))</f>
        <v/>
      </c>
      <c r="CH98" s="78">
        <f>IF($CG98="Currently on Watchlist",1,0)</f>
        <v/>
      </c>
      <c r="CI98" s="76">
        <f>IF($Z98="Full Defeasance","Fully Defeased",IF($Z98="Portion Of Loan Previously Defeased","Partially Defeased",IF($Z98="Defeasance Not Allowable","Not Defeased (Not Permitted)","Not Defeased")))</f>
        <v/>
      </c>
      <c r="CJ98" s="78">
        <f>IF($CI98="Fully Defeased",1,0)</f>
        <v/>
      </c>
      <c r="CK98" s="76">
        <f>IF($R98="IO","Full IO",IF(LEFT($R98&amp;"",7)="IO then","Partial IO","Amortizing"))</f>
        <v/>
      </c>
      <c r="CL98" s="78">
        <f>IF($CK98="Full IO",1,0)</f>
        <v/>
      </c>
      <c r="CM98" s="78">
        <f>IF($CK98="Partial IO",1,0)</f>
        <v/>
      </c>
      <c r="CN98" s="76">
        <f>IF(LEFT($F98&amp;"",10)="SPLIT_LOAN","Pari Passu Split","Standalone")</f>
        <v/>
      </c>
      <c r="CO98" s="78">
        <f>IF($CN98="Pari Passu Split",1,0)</f>
        <v/>
      </c>
      <c r="CP98" s="77">
        <f>IF(ISNUMBER($T98),YEAR($T98),"")</f>
        <v/>
      </c>
      <c r="CQ98" s="79">
        <f>IF(ISNUMBER($V98),$V98,IF(ISNUMBER($U98),$U98,""))</f>
        <v/>
      </c>
      <c r="CR98" s="77">
        <f>IF(ISNUMBER($CQ98),YEAR($CQ98),"")</f>
        <v/>
      </c>
      <c r="CS98" s="78">
        <f>IF(ISNUMBER($M98),MAX(0,$M98),IF(TRIM($M98&amp;"")="matured",0,""))</f>
        <v/>
      </c>
      <c r="CT98" s="78">
        <f>IF(AND(ISNUMBER($CS98),N($CS98)&lt;=mMatWindow),1,0)</f>
        <v/>
      </c>
      <c r="CU98" s="80">
        <f>IF(ISNUMBER($J98),$J98/100,"")</f>
        <v/>
      </c>
      <c r="CV98" s="81">
        <f>IF(ISNUMBER($AQ98),$AQ98,"")</f>
        <v/>
      </c>
      <c r="CW98" s="81">
        <f>IF(ISNUMBER($AR98),$AR98,"")</f>
        <v/>
      </c>
      <c r="CX98" s="82">
        <f>IF(ISNUMBER($AS98),$AS98/100,"")</f>
        <v/>
      </c>
      <c r="CY98" s="82">
        <f>IF(ISNUMBER($AT98),$AT98/100,"")</f>
        <v/>
      </c>
      <c r="CZ98" s="82">
        <f>IF(ISNUMBER($AU98),$AU98/100,"")</f>
        <v/>
      </c>
      <c r="DA98" s="82">
        <f>IF(ISNUMBER($AV98),$AV98/100,"")</f>
        <v/>
      </c>
      <c r="DB98" s="82">
        <f>IF(ISNUMBER($AW98),$AW98/100,"")</f>
        <v/>
      </c>
      <c r="DC98" s="82">
        <f>IF(ISNUMBER($AX98),$AX98/100,"")</f>
        <v/>
      </c>
      <c r="DD98" s="77">
        <f>IFERROR(VALUE(LEFT(TRIM($AO98&amp;""),4)),"")</f>
        <v/>
      </c>
      <c r="DE98" s="78">
        <f>IF(AND($BY98=1,$BX98=1,OR(fDeal="All Deals",$BU98=fDeal),OR(fEntity="All Entities",$BV98=fEntity),OR(fPType="All Property Types",$BZ98=fPType),OR(fDefeased="Include",$CJ98=0)),1,0)</f>
        <v/>
      </c>
      <c r="DF98" s="83">
        <f>$DE98*N($I98)</f>
        <v/>
      </c>
      <c r="DG98" s="78">
        <f>IF($DE98=1,IF(COUNTIFS($F$8:$F98,$F98,$DE$8:$DE98,1)=1,1,0),0)</f>
        <v/>
      </c>
      <c r="DH98" s="83">
        <f>IF($DG98=1,SUMIFS($DF$8:$DF$1600,$F$8:$F$1600,$F98),0)</f>
        <v/>
      </c>
      <c r="DI98" s="78">
        <f>IF($DG98=1,COUNTIFS($F$8:$F$1600,$F98,$DE$8:$DE$1600,1),0)</f>
        <v/>
      </c>
      <c r="DJ98" s="84">
        <f>IF($DG98=1,$DH98+(100000-ROW())/mTieBreak,0)</f>
        <v/>
      </c>
    </row>
    <row r="99">
      <c r="B99" s="68" t="n">
        <v>33</v>
      </c>
      <c r="C99" s="69" t="inlineStr">
        <is>
          <t>CTG17C04</t>
        </is>
      </c>
      <c r="D99" s="69" t="inlineStr">
        <is>
          <t>33.000</t>
        </is>
      </c>
      <c r="E99" s="69" t="inlineStr">
        <is>
          <t>Courtyard Brunswick</t>
        </is>
      </c>
      <c r="F99" s="69" t="inlineStr">
        <is>
          <t>LNCTG17C04-33.000</t>
        </is>
      </c>
      <c r="G99" s="70" t="n"/>
      <c r="H99" s="71" t="n">
        <v>9550000</v>
      </c>
      <c r="I99" s="71" t="n">
        <v>0</v>
      </c>
      <c r="J99" s="72" t="n">
        <v>5.24</v>
      </c>
      <c r="K99" s="69" t="inlineStr">
        <is>
          <t>Fixed rate</t>
        </is>
      </c>
      <c r="L99" s="68" t="n">
        <v>120</v>
      </c>
      <c r="M99" s="68" t="n"/>
      <c r="N99" s="68" t="n">
        <v>360</v>
      </c>
      <c r="O99" s="68" t="n"/>
      <c r="P99" s="68" t="n"/>
      <c r="Q99" s="68" t="n"/>
      <c r="R99" s="69" t="n"/>
      <c r="S99" s="69" t="inlineStr">
        <is>
          <t>No</t>
        </is>
      </c>
      <c r="T99" s="73" t="n">
        <v>42979</v>
      </c>
      <c r="U99" s="73" t="n">
        <v>46636</v>
      </c>
      <c r="V99" s="73" t="n"/>
      <c r="W99" s="69" t="n"/>
      <c r="X99" s="69" t="inlineStr">
        <is>
          <t>Current</t>
        </is>
      </c>
      <c r="Y99" s="68" t="n"/>
      <c r="Z99" s="69" t="inlineStr">
        <is>
          <t>No Defeasance Occurred</t>
        </is>
      </c>
      <c r="AA99" s="69" t="inlineStr">
        <is>
          <t>Previously</t>
        </is>
      </c>
      <c r="AB99" s="69" t="inlineStr">
        <is>
          <t>Currently special serv</t>
        </is>
      </c>
      <c r="AC99" s="73" t="n">
        <v>45910</v>
      </c>
      <c r="AD99" s="69" t="inlineStr">
        <is>
          <t>Payment Default (all payments excluding Balloon/Maturity Payment)</t>
        </is>
      </c>
      <c r="AE99" s="69" t="inlineStr">
        <is>
          <t>Resolved</t>
        </is>
      </c>
      <c r="AF99" s="69" t="inlineStr">
        <is>
          <t>GA</t>
        </is>
      </c>
      <c r="AG99" s="69" t="inlineStr">
        <is>
          <t>Brunswick</t>
        </is>
      </c>
      <c r="AH99" s="69" t="inlineStr">
        <is>
          <t>Brunswick-St. Simons, GA</t>
        </is>
      </c>
      <c r="AI99" s="69" t="inlineStr">
        <is>
          <t>South / Atlantic</t>
        </is>
      </c>
      <c r="AJ99" s="69" t="inlineStr">
        <is>
          <t>HT</t>
        </is>
      </c>
      <c r="AK99" s="69" t="inlineStr">
        <is>
          <t>Select Service</t>
        </is>
      </c>
      <c r="AL99" s="68" t="n">
        <v>1</v>
      </c>
      <c r="AM99" s="68" t="n">
        <v>93</v>
      </c>
      <c r="AN99" s="68" t="n"/>
      <c r="AO99" s="69" t="inlineStr">
        <is>
          <t>2005</t>
        </is>
      </c>
      <c r="AP99" s="70" t="n">
        <v>2025</v>
      </c>
      <c r="AQ99" s="74" t="n">
        <v>2.12</v>
      </c>
      <c r="AR99" s="74" t="n">
        <v>-0.9</v>
      </c>
      <c r="AS99" s="74" t="n">
        <v>58.16</v>
      </c>
      <c r="AT99" s="74" t="n"/>
      <c r="AU99" s="74" t="n">
        <v>48.24</v>
      </c>
      <c r="AV99" s="74" t="n">
        <v>14.039926702</v>
      </c>
      <c r="AW99" s="74" t="n"/>
      <c r="AX99" s="75" t="n">
        <v>53</v>
      </c>
      <c r="AY99" s="71" t="n">
        <v>16400000</v>
      </c>
      <c r="AZ99" s="71" t="n">
        <v>13000000</v>
      </c>
      <c r="BA99" s="71" t="n">
        <v>1340813</v>
      </c>
      <c r="BB99" s="71" t="n">
        <v>-567528.72</v>
      </c>
      <c r="BC99" s="69" t="inlineStr">
        <is>
          <t>Refinance</t>
        </is>
      </c>
      <c r="BD99" s="69" t="inlineStr">
        <is>
          <t>N</t>
        </is>
      </c>
      <c r="BE99" s="71" t="n"/>
      <c r="BF99" s="71" t="n"/>
      <c r="BG99" s="71" t="n"/>
      <c r="BH99" s="71" t="n">
        <v>0</v>
      </c>
      <c r="BI99" s="71" t="n">
        <v>0</v>
      </c>
      <c r="BJ99" s="69" t="inlineStr">
        <is>
          <t>Y</t>
        </is>
      </c>
      <c r="BK99" s="69" t="n"/>
      <c r="BL99" s="75" t="n"/>
      <c r="BM99" s="73" t="n"/>
      <c r="BN99" s="69" t="inlineStr">
        <is>
          <t>Kirit Bhavan a/k/a Kirit Patel</t>
        </is>
      </c>
      <c r="BO99" s="69" t="inlineStr">
        <is>
          <t>RMF</t>
        </is>
      </c>
      <c r="BP99" s="69" t="inlineStr">
        <is>
          <t>Midland Loan Services</t>
        </is>
      </c>
      <c r="BQ99" s="69" t="inlineStr">
        <is>
          <t>Midland Loan Services</t>
        </is>
      </c>
      <c r="BR99" s="69" t="inlineStr">
        <is>
          <t>Payoff With Penalty</t>
        </is>
      </c>
      <c r="BS99" s="73" t="n">
        <v>46244</v>
      </c>
      <c r="BU99" s="76">
        <f>IF($C99="","",IFERROR(INDEX(dmName,MATCH($C99,dmID,0)),"Unmapped"))</f>
        <v/>
      </c>
      <c r="BV99" s="76">
        <f>IF($C99="","",IFERROR(INDEX(dmEntity,MATCH($C99,dmID,0)),"Unmapped"))</f>
        <v/>
      </c>
      <c r="BW99" s="77">
        <f>IF($C99="","",IFERROR(INDEX(dmVintage,MATCH($C99,dmID,0)),""))</f>
        <v/>
      </c>
      <c r="BX99" s="78">
        <f>IFERROR(INDEX(dmInclude,MATCH($C99,dmID,0)),0)</f>
        <v/>
      </c>
      <c r="BY99" s="78">
        <f>IF(N($I99)&gt;0,1,0)</f>
        <v/>
      </c>
      <c r="BZ99" s="76">
        <f>IF($AJ99="","Other / Leased Fee",IFERROR(INDEX(mapPTGroup,MATCH(LEFT(TRIM($AJ99),2),mapPTCode,0)),"Other / Leased Fee"))</f>
        <v/>
      </c>
      <c r="CA99" s="76">
        <f>IF(TRIM($AF99&amp;"")="","NR",LEFT(TRIM($AF99),2))</f>
        <v/>
      </c>
      <c r="CB99" s="76">
        <f>IFERROR(LOOKUP(2,1/(LEFT(TRIM($AI99&amp;""),LEN(mapRegion))=mapRegion),mapRegion),"Not Reported")</f>
        <v/>
      </c>
      <c r="CC99" s="76">
        <f>IF($BY99=0,"",IF(TRIM($W99&amp;"")="REO","REO",IF(TRIM($W99&amp;"")="FC","Foreclosure",IF(TRIM($W99&amp;"")="90+","90+ Days Delinquent",IF(TRIM($W99&amp;"")="60","60 Days Delinquent",IF(TRIM($W99&amp;"")="30","30 Days Delinquent",IF($X99="Non-Performing Matured Balloon","Non-Performing Matured Balloon",IF(OR($X99="Late Payment But Less Than 30 Days Delinquent",LEFT($X99&amp;"",20)="Payment Not Received"),"Late / In Grace (&lt;30 Days)",IF($X99="Performing Matured Balloon","Performing Matured Balloon","Current")))))))))</f>
        <v/>
      </c>
      <c r="CD99" s="78">
        <f>IF(OR($CC99="REO",$CC99="Foreclosure",$CC99="90+ Days Delinquent",$CC99="60 Days Delinquent",$CC99="30 Days Delinquent",$CC99="Non-Performing Matured Balloon"),1,0)</f>
        <v/>
      </c>
      <c r="CE99" s="76">
        <f>IF($AB99="Currently special serv","Currently Specially Serviced",IF($AB99="Returned to master serv","Previously Specially Serviced","Never Specially Serviced"))</f>
        <v/>
      </c>
      <c r="CF99" s="78">
        <f>IF($CE99="Currently Specially Serviced",1,0)</f>
        <v/>
      </c>
      <c r="CG99" s="76">
        <f>IF($AA99="Yes","Currently on Watchlist",IF($AA99="Previously","Previously on Watchlist","Never on Watchlist"))</f>
        <v/>
      </c>
      <c r="CH99" s="78">
        <f>IF($CG99="Currently on Watchlist",1,0)</f>
        <v/>
      </c>
      <c r="CI99" s="76">
        <f>IF($Z99="Full Defeasance","Fully Defeased",IF($Z99="Portion Of Loan Previously Defeased","Partially Defeased",IF($Z99="Defeasance Not Allowable","Not Defeased (Not Permitted)","Not Defeased")))</f>
        <v/>
      </c>
      <c r="CJ99" s="78">
        <f>IF($CI99="Fully Defeased",1,0)</f>
        <v/>
      </c>
      <c r="CK99" s="76">
        <f>IF($R99="IO","Full IO",IF(LEFT($R99&amp;"",7)="IO then","Partial IO","Amortizing"))</f>
        <v/>
      </c>
      <c r="CL99" s="78">
        <f>IF($CK99="Full IO",1,0)</f>
        <v/>
      </c>
      <c r="CM99" s="78">
        <f>IF($CK99="Partial IO",1,0)</f>
        <v/>
      </c>
      <c r="CN99" s="76">
        <f>IF(LEFT($F99&amp;"",10)="SPLIT_LOAN","Pari Passu Split","Standalone")</f>
        <v/>
      </c>
      <c r="CO99" s="78">
        <f>IF($CN99="Pari Passu Split",1,0)</f>
        <v/>
      </c>
      <c r="CP99" s="77">
        <f>IF(ISNUMBER($T99),YEAR($T99),"")</f>
        <v/>
      </c>
      <c r="CQ99" s="79">
        <f>IF(ISNUMBER($V99),$V99,IF(ISNUMBER($U99),$U99,""))</f>
        <v/>
      </c>
      <c r="CR99" s="77">
        <f>IF(ISNUMBER($CQ99),YEAR($CQ99),"")</f>
        <v/>
      </c>
      <c r="CS99" s="78">
        <f>IF(ISNUMBER($M99),MAX(0,$M99),IF(TRIM($M99&amp;"")="matured",0,""))</f>
        <v/>
      </c>
      <c r="CT99" s="78">
        <f>IF(AND(ISNUMBER($CS99),N($CS99)&lt;=mMatWindow),1,0)</f>
        <v/>
      </c>
      <c r="CU99" s="80">
        <f>IF(ISNUMBER($J99),$J99/100,"")</f>
        <v/>
      </c>
      <c r="CV99" s="81">
        <f>IF(ISNUMBER($AQ99),$AQ99,"")</f>
        <v/>
      </c>
      <c r="CW99" s="81">
        <f>IF(ISNUMBER($AR99),$AR99,"")</f>
        <v/>
      </c>
      <c r="CX99" s="82">
        <f>IF(ISNUMBER($AS99),$AS99/100,"")</f>
        <v/>
      </c>
      <c r="CY99" s="82">
        <f>IF(ISNUMBER($AT99),$AT99/100,"")</f>
        <v/>
      </c>
      <c r="CZ99" s="82">
        <f>IF(ISNUMBER($AU99),$AU99/100,"")</f>
        <v/>
      </c>
      <c r="DA99" s="82">
        <f>IF(ISNUMBER($AV99),$AV99/100,"")</f>
        <v/>
      </c>
      <c r="DB99" s="82">
        <f>IF(ISNUMBER($AW99),$AW99/100,"")</f>
        <v/>
      </c>
      <c r="DC99" s="82">
        <f>IF(ISNUMBER($AX99),$AX99/100,"")</f>
        <v/>
      </c>
      <c r="DD99" s="77">
        <f>IFERROR(VALUE(LEFT(TRIM($AO99&amp;""),4)),"")</f>
        <v/>
      </c>
      <c r="DE99" s="78">
        <f>IF(AND($BY99=1,$BX99=1,OR(fDeal="All Deals",$BU99=fDeal),OR(fEntity="All Entities",$BV99=fEntity),OR(fPType="All Property Types",$BZ99=fPType),OR(fDefeased="Include",$CJ99=0)),1,0)</f>
        <v/>
      </c>
      <c r="DF99" s="83">
        <f>$DE99*N($I99)</f>
        <v/>
      </c>
      <c r="DG99" s="78">
        <f>IF($DE99=1,IF(COUNTIFS($F$8:$F99,$F99,$DE$8:$DE99,1)=1,1,0),0)</f>
        <v/>
      </c>
      <c r="DH99" s="83">
        <f>IF($DG99=1,SUMIFS($DF$8:$DF$1600,$F$8:$F$1600,$F99),0)</f>
        <v/>
      </c>
      <c r="DI99" s="78">
        <f>IF($DG99=1,COUNTIFS($F$8:$F$1600,$F99,$DE$8:$DE$1600,1),0)</f>
        <v/>
      </c>
      <c r="DJ99" s="84">
        <f>IF($DG99=1,$DH99+(100000-ROW())/mTieBreak,0)</f>
        <v/>
      </c>
    </row>
    <row r="100">
      <c r="B100" s="68" t="n">
        <v>34</v>
      </c>
      <c r="C100" s="69" t="inlineStr">
        <is>
          <t>CTG17C04</t>
        </is>
      </c>
      <c r="D100" s="69" t="inlineStr">
        <is>
          <t>34.000</t>
        </is>
      </c>
      <c r="E100" s="69" t="inlineStr">
        <is>
          <t>Lexington Circle</t>
        </is>
      </c>
      <c r="F100" s="69" t="inlineStr">
        <is>
          <t>LNCTG17C04-34.000</t>
        </is>
      </c>
      <c r="G100" s="70" t="n"/>
      <c r="H100" s="71" t="n">
        <v>8515000</v>
      </c>
      <c r="I100" s="71" t="n">
        <v>8515000</v>
      </c>
      <c r="J100" s="72" t="n">
        <v>4.28</v>
      </c>
      <c r="K100" s="69" t="inlineStr">
        <is>
          <t>Fixed rate</t>
        </is>
      </c>
      <c r="L100" s="68" t="n">
        <v>120</v>
      </c>
      <c r="M100" s="68" t="n">
        <v>12</v>
      </c>
      <c r="N100" s="68" t="n">
        <v>120</v>
      </c>
      <c r="O100" s="68" t="n">
        <v>120</v>
      </c>
      <c r="P100" s="68" t="n">
        <v>12</v>
      </c>
      <c r="Q100" s="68" t="n">
        <v>108</v>
      </c>
      <c r="R100" s="69" t="inlineStr">
        <is>
          <t>IO</t>
        </is>
      </c>
      <c r="S100" s="69" t="inlineStr">
        <is>
          <t>Yes</t>
        </is>
      </c>
      <c r="T100" s="73" t="n">
        <v>42979</v>
      </c>
      <c r="U100" s="73" t="n">
        <v>46636</v>
      </c>
      <c r="V100" s="73" t="n"/>
      <c r="W100" s="69" t="n"/>
      <c r="X100" s="69" t="inlineStr">
        <is>
          <t>Current</t>
        </is>
      </c>
      <c r="Y100" s="68" t="n"/>
      <c r="Z100" s="69" t="inlineStr">
        <is>
          <t>No Defeasance Occurred</t>
        </is>
      </c>
      <c r="AA100" s="69" t="inlineStr">
        <is>
          <t>Previously</t>
        </is>
      </c>
      <c r="AB100" s="69" t="inlineStr">
        <is>
          <t>Never special serv</t>
        </is>
      </c>
      <c r="AC100" s="73" t="n"/>
      <c r="AD100" s="69" t="n"/>
      <c r="AE100" s="69" t="n"/>
      <c r="AF100" s="69" t="inlineStr">
        <is>
          <t>GA</t>
        </is>
      </c>
      <c r="AG100" s="69" t="inlineStr">
        <is>
          <t>Peachtree City</t>
        </is>
      </c>
      <c r="AH100" s="69" t="inlineStr">
        <is>
          <t>Atlanta-Sandy Springs-Roswell, GA</t>
        </is>
      </c>
      <c r="AI100" s="69" t="inlineStr">
        <is>
          <t>South / Atlantic</t>
        </is>
      </c>
      <c r="AJ100" s="69" t="inlineStr">
        <is>
          <t>RT</t>
        </is>
      </c>
      <c r="AK100" s="69" t="inlineStr">
        <is>
          <t>Anchored</t>
        </is>
      </c>
      <c r="AL100" s="68" t="n">
        <v>1</v>
      </c>
      <c r="AM100" s="68" t="n"/>
      <c r="AN100" s="68" t="n">
        <v>43199</v>
      </c>
      <c r="AO100" s="69" t="inlineStr">
        <is>
          <t>2016</t>
        </is>
      </c>
      <c r="AP100" s="70" t="n">
        <v>2016</v>
      </c>
      <c r="AQ100" s="74" t="n">
        <v>2.04</v>
      </c>
      <c r="AR100" s="74" t="n">
        <v>2.35</v>
      </c>
      <c r="AS100" s="74" t="n">
        <v>65</v>
      </c>
      <c r="AT100" s="74" t="n">
        <v>65</v>
      </c>
      <c r="AU100" s="74" t="n">
        <v>65</v>
      </c>
      <c r="AV100" s="74" t="n">
        <v>8.858649442000001</v>
      </c>
      <c r="AW100" s="74" t="n">
        <v>10.182098297</v>
      </c>
      <c r="AX100" s="75" t="n">
        <v>100</v>
      </c>
      <c r="AY100" s="71" t="n">
        <v>13100000</v>
      </c>
      <c r="AZ100" s="71" t="n">
        <v>13100000</v>
      </c>
      <c r="BA100" s="71" t="n">
        <v>754314</v>
      </c>
      <c r="BB100" s="71" t="n">
        <v>867005.67</v>
      </c>
      <c r="BC100" s="69" t="inlineStr">
        <is>
          <t>Acquisition</t>
        </is>
      </c>
      <c r="BD100" s="69" t="inlineStr">
        <is>
          <t>N</t>
        </is>
      </c>
      <c r="BE100" s="71" t="n"/>
      <c r="BF100" s="71" t="n"/>
      <c r="BG100" s="71" t="n"/>
      <c r="BH100" s="71" t="n">
        <v>0</v>
      </c>
      <c r="BI100" s="71" t="n">
        <v>0</v>
      </c>
      <c r="BJ100" s="69" t="inlineStr">
        <is>
          <t>N</t>
        </is>
      </c>
      <c r="BK100" s="69" t="inlineStr">
        <is>
          <t>Sprouts Farmer's Market</t>
        </is>
      </c>
      <c r="BL100" s="75" t="n">
        <v>69.70999999999999</v>
      </c>
      <c r="BM100" s="73" t="n">
        <v>48060</v>
      </c>
      <c r="BN100" s="69" t="inlineStr">
        <is>
          <t>Claudio I. Alvarez</t>
        </is>
      </c>
      <c r="BO100" s="69" t="inlineStr">
        <is>
          <t>GACC</t>
        </is>
      </c>
      <c r="BP100" s="69" t="inlineStr">
        <is>
          <t>Midland Loan Services</t>
        </is>
      </c>
      <c r="BQ100" s="69" t="inlineStr">
        <is>
          <t>Midland Loan Services</t>
        </is>
      </c>
      <c r="BR100" s="69" t="n"/>
      <c r="BS100" s="73" t="n">
        <v>46273</v>
      </c>
      <c r="BU100" s="76">
        <f>IF($C100="","",IFERROR(INDEX(dmName,MATCH($C100,dmID,0)),"Unmapped"))</f>
        <v/>
      </c>
      <c r="BV100" s="76">
        <f>IF($C100="","",IFERROR(INDEX(dmEntity,MATCH($C100,dmID,0)),"Unmapped"))</f>
        <v/>
      </c>
      <c r="BW100" s="77">
        <f>IF($C100="","",IFERROR(INDEX(dmVintage,MATCH($C100,dmID,0)),""))</f>
        <v/>
      </c>
      <c r="BX100" s="78">
        <f>IFERROR(INDEX(dmInclude,MATCH($C100,dmID,0)),0)</f>
        <v/>
      </c>
      <c r="BY100" s="78">
        <f>IF(N($I100)&gt;0,1,0)</f>
        <v/>
      </c>
      <c r="BZ100" s="76">
        <f>IF($AJ100="","Other / Leased Fee",IFERROR(INDEX(mapPTGroup,MATCH(LEFT(TRIM($AJ100),2),mapPTCode,0)),"Other / Leased Fee"))</f>
        <v/>
      </c>
      <c r="CA100" s="76">
        <f>IF(TRIM($AF100&amp;"")="","NR",LEFT(TRIM($AF100),2))</f>
        <v/>
      </c>
      <c r="CB100" s="76">
        <f>IFERROR(LOOKUP(2,1/(LEFT(TRIM($AI100&amp;""),LEN(mapRegion))=mapRegion),mapRegion),"Not Reported")</f>
        <v/>
      </c>
      <c r="CC100" s="76">
        <f>IF($BY100=0,"",IF(TRIM($W100&amp;"")="REO","REO",IF(TRIM($W100&amp;"")="FC","Foreclosure",IF(TRIM($W100&amp;"")="90+","90+ Days Delinquent",IF(TRIM($W100&amp;"")="60","60 Days Delinquent",IF(TRIM($W100&amp;"")="30","30 Days Delinquent",IF($X100="Non-Performing Matured Balloon","Non-Performing Matured Balloon",IF(OR($X100="Late Payment But Less Than 30 Days Delinquent",LEFT($X100&amp;"",20)="Payment Not Received"),"Late / In Grace (&lt;30 Days)",IF($X100="Performing Matured Balloon","Performing Matured Balloon","Current")))))))))</f>
        <v/>
      </c>
      <c r="CD100" s="78">
        <f>IF(OR($CC100="REO",$CC100="Foreclosure",$CC100="90+ Days Delinquent",$CC100="60 Days Delinquent",$CC100="30 Days Delinquent",$CC100="Non-Performing Matured Balloon"),1,0)</f>
        <v/>
      </c>
      <c r="CE100" s="76">
        <f>IF($AB100="Currently special serv","Currently Specially Serviced",IF($AB100="Returned to master serv","Previously Specially Serviced","Never Specially Serviced"))</f>
        <v/>
      </c>
      <c r="CF100" s="78">
        <f>IF($CE100="Currently Specially Serviced",1,0)</f>
        <v/>
      </c>
      <c r="CG100" s="76">
        <f>IF($AA100="Yes","Currently on Watchlist",IF($AA100="Previously","Previously on Watchlist","Never on Watchlist"))</f>
        <v/>
      </c>
      <c r="CH100" s="78">
        <f>IF($CG100="Currently on Watchlist",1,0)</f>
        <v/>
      </c>
      <c r="CI100" s="76">
        <f>IF($Z100="Full Defeasance","Fully Defeased",IF($Z100="Portion Of Loan Previously Defeased","Partially Defeased",IF($Z100="Defeasance Not Allowable","Not Defeased (Not Permitted)","Not Defeased")))</f>
        <v/>
      </c>
      <c r="CJ100" s="78">
        <f>IF($CI100="Fully Defeased",1,0)</f>
        <v/>
      </c>
      <c r="CK100" s="76">
        <f>IF($R100="IO","Full IO",IF(LEFT($R100&amp;"",7)="IO then","Partial IO","Amortizing"))</f>
        <v/>
      </c>
      <c r="CL100" s="78">
        <f>IF($CK100="Full IO",1,0)</f>
        <v/>
      </c>
      <c r="CM100" s="78">
        <f>IF($CK100="Partial IO",1,0)</f>
        <v/>
      </c>
      <c r="CN100" s="76">
        <f>IF(LEFT($F100&amp;"",10)="SPLIT_LOAN","Pari Passu Split","Standalone")</f>
        <v/>
      </c>
      <c r="CO100" s="78">
        <f>IF($CN100="Pari Passu Split",1,0)</f>
        <v/>
      </c>
      <c r="CP100" s="77">
        <f>IF(ISNUMBER($T100),YEAR($T100),"")</f>
        <v/>
      </c>
      <c r="CQ100" s="79">
        <f>IF(ISNUMBER($V100),$V100,IF(ISNUMBER($U100),$U100,""))</f>
        <v/>
      </c>
      <c r="CR100" s="77">
        <f>IF(ISNUMBER($CQ100),YEAR($CQ100),"")</f>
        <v/>
      </c>
      <c r="CS100" s="78">
        <f>IF(ISNUMBER($M100),MAX(0,$M100),IF(TRIM($M100&amp;"")="matured",0,""))</f>
        <v/>
      </c>
      <c r="CT100" s="78">
        <f>IF(AND(ISNUMBER($CS100),N($CS100)&lt;=mMatWindow),1,0)</f>
        <v/>
      </c>
      <c r="CU100" s="80">
        <f>IF(ISNUMBER($J100),$J100/100,"")</f>
        <v/>
      </c>
      <c r="CV100" s="81">
        <f>IF(ISNUMBER($AQ100),$AQ100,"")</f>
        <v/>
      </c>
      <c r="CW100" s="81">
        <f>IF(ISNUMBER($AR100),$AR100,"")</f>
        <v/>
      </c>
      <c r="CX100" s="82">
        <f>IF(ISNUMBER($AS100),$AS100/100,"")</f>
        <v/>
      </c>
      <c r="CY100" s="82">
        <f>IF(ISNUMBER($AT100),$AT100/100,"")</f>
        <v/>
      </c>
      <c r="CZ100" s="82">
        <f>IF(ISNUMBER($AU100),$AU100/100,"")</f>
        <v/>
      </c>
      <c r="DA100" s="82">
        <f>IF(ISNUMBER($AV100),$AV100/100,"")</f>
        <v/>
      </c>
      <c r="DB100" s="82">
        <f>IF(ISNUMBER($AW100),$AW100/100,"")</f>
        <v/>
      </c>
      <c r="DC100" s="82">
        <f>IF(ISNUMBER($AX100),$AX100/100,"")</f>
        <v/>
      </c>
      <c r="DD100" s="77">
        <f>IFERROR(VALUE(LEFT(TRIM($AO100&amp;""),4)),"")</f>
        <v/>
      </c>
      <c r="DE100" s="78">
        <f>IF(AND($BY100=1,$BX100=1,OR(fDeal="All Deals",$BU100=fDeal),OR(fEntity="All Entities",$BV100=fEntity),OR(fPType="All Property Types",$BZ100=fPType),OR(fDefeased="Include",$CJ100=0)),1,0)</f>
        <v/>
      </c>
      <c r="DF100" s="83">
        <f>$DE100*N($I100)</f>
        <v/>
      </c>
      <c r="DG100" s="78">
        <f>IF($DE100=1,IF(COUNTIFS($F$8:$F100,$F100,$DE$8:$DE100,1)=1,1,0),0)</f>
        <v/>
      </c>
      <c r="DH100" s="83">
        <f>IF($DG100=1,SUMIFS($DF$8:$DF$1600,$F$8:$F$1600,$F100),0)</f>
        <v/>
      </c>
      <c r="DI100" s="78">
        <f>IF($DG100=1,COUNTIFS($F$8:$F$1600,$F100,$DE$8:$DE$1600,1),0)</f>
        <v/>
      </c>
      <c r="DJ100" s="84">
        <f>IF($DG100=1,$DH100+(100000-ROW())/mTieBreak,0)</f>
        <v/>
      </c>
    </row>
    <row r="101">
      <c r="B101" s="68" t="n">
        <v>35</v>
      </c>
      <c r="C101" s="69" t="inlineStr">
        <is>
          <t>CTG17C04</t>
        </is>
      </c>
      <c r="D101" s="69" t="inlineStr">
        <is>
          <t>35.000</t>
        </is>
      </c>
      <c r="E101" s="69" t="inlineStr">
        <is>
          <t>ACG Conlon MHC Portfolio IV</t>
        </is>
      </c>
      <c r="F101" s="69" t="inlineStr">
        <is>
          <t>LNCTG17C04-35.000</t>
        </is>
      </c>
      <c r="G101" s="70" t="n"/>
      <c r="H101" s="71" t="n">
        <v>8200000</v>
      </c>
      <c r="I101" s="71" t="n">
        <v>7296563.550002201</v>
      </c>
      <c r="J101" s="72" t="n">
        <v>5.15</v>
      </c>
      <c r="K101" s="69" t="inlineStr">
        <is>
          <t>Fixed rate</t>
        </is>
      </c>
      <c r="L101" s="68" t="n">
        <v>120</v>
      </c>
      <c r="M101" s="68" t="n">
        <v>13</v>
      </c>
      <c r="N101" s="68" t="n">
        <v>384</v>
      </c>
      <c r="O101" s="68" t="n">
        <v>24</v>
      </c>
      <c r="P101" s="68" t="n">
        <v>0</v>
      </c>
      <c r="Q101" s="68" t="n">
        <v>107</v>
      </c>
      <c r="R101" s="69" t="inlineStr">
        <is>
          <t>IO then Amort</t>
        </is>
      </c>
      <c r="S101" s="69" t="inlineStr">
        <is>
          <t>No</t>
        </is>
      </c>
      <c r="T101" s="73" t="n">
        <v>43009</v>
      </c>
      <c r="U101" s="73" t="n">
        <v>46666</v>
      </c>
      <c r="V101" s="73" t="n"/>
      <c r="W101" s="69" t="n"/>
      <c r="X101" s="69" t="inlineStr">
        <is>
          <t>Current</t>
        </is>
      </c>
      <c r="Y101" s="68" t="n"/>
      <c r="Z101" s="69" t="inlineStr">
        <is>
          <t>Full Defeasance</t>
        </is>
      </c>
      <c r="AA101" s="69" t="n"/>
      <c r="AB101" s="69" t="inlineStr">
        <is>
          <t>Never special serv</t>
        </is>
      </c>
      <c r="AC101" s="73" t="n"/>
      <c r="AD101" s="69" t="n"/>
      <c r="AE101" s="69" t="n"/>
      <c r="AF101" s="69" t="inlineStr">
        <is>
          <t>GA</t>
        </is>
      </c>
      <c r="AG101" s="69" t="n"/>
      <c r="AH101" s="69" t="inlineStr">
        <is>
          <t>Athens-Clarke County, GA</t>
        </is>
      </c>
      <c r="AI101" s="69" t="inlineStr">
        <is>
          <t>South / Atlantic</t>
        </is>
      </c>
      <c r="AJ101" s="69" t="inlineStr">
        <is>
          <t>MH</t>
        </is>
      </c>
      <c r="AK101" s="69" t="n"/>
      <c r="AL101" s="68" t="n">
        <v>2</v>
      </c>
      <c r="AM101" s="68" t="n">
        <v>363</v>
      </c>
      <c r="AN101" s="68" t="n"/>
      <c r="AO101" s="69" t="n"/>
      <c r="AP101" s="70" t="n">
        <v>1987</v>
      </c>
      <c r="AQ101" s="74" t="n">
        <v>1.39</v>
      </c>
      <c r="AR101" s="74" t="n">
        <v>1.7</v>
      </c>
      <c r="AS101" s="74" t="n">
        <v>66.61</v>
      </c>
      <c r="AT101" s="74" t="n">
        <v>59.27</v>
      </c>
      <c r="AU101" s="74" t="n">
        <v>57.86</v>
      </c>
      <c r="AV101" s="74" t="n">
        <v>9.085707317000001</v>
      </c>
      <c r="AW101" s="74" t="n">
        <v>11.11843931</v>
      </c>
      <c r="AX101" s="75" t="n">
        <v>91</v>
      </c>
      <c r="AY101" s="71" t="n">
        <v>12310000</v>
      </c>
      <c r="AZ101" s="71" t="n">
        <v>12310000</v>
      </c>
      <c r="BA101" s="71" t="n">
        <v>745028</v>
      </c>
      <c r="BB101" s="71" t="n">
        <v>915112.01</v>
      </c>
      <c r="BC101" s="69" t="inlineStr">
        <is>
          <t>Acquisition/Refinance</t>
        </is>
      </c>
      <c r="BD101" s="69" t="inlineStr">
        <is>
          <t>Y</t>
        </is>
      </c>
      <c r="BE101" s="71" t="n"/>
      <c r="BF101" s="71" t="n"/>
      <c r="BG101" s="71" t="n"/>
      <c r="BH101" s="71" t="n">
        <v>0</v>
      </c>
      <c r="BI101" s="71" t="n">
        <v>0</v>
      </c>
      <c r="BJ101" s="69" t="inlineStr">
        <is>
          <t>N</t>
        </is>
      </c>
      <c r="BK101" s="69" t="n"/>
      <c r="BL101" s="75" t="n"/>
      <c r="BM101" s="73" t="n"/>
      <c r="BN101" s="69" t="inlineStr">
        <is>
          <t>Michael Conlon</t>
        </is>
      </c>
      <c r="BO101" s="69" t="inlineStr">
        <is>
          <t>RMF</t>
        </is>
      </c>
      <c r="BP101" s="69" t="inlineStr">
        <is>
          <t>Midland Loan Services</t>
        </is>
      </c>
      <c r="BQ101" s="69" t="inlineStr">
        <is>
          <t>Midland Loan Services</t>
        </is>
      </c>
      <c r="BR101" s="69" t="n"/>
      <c r="BS101" s="73" t="n">
        <v>46273</v>
      </c>
      <c r="BU101" s="76">
        <f>IF($C101="","",IFERROR(INDEX(dmName,MATCH($C101,dmID,0)),"Unmapped"))</f>
        <v/>
      </c>
      <c r="BV101" s="76">
        <f>IF($C101="","",IFERROR(INDEX(dmEntity,MATCH($C101,dmID,0)),"Unmapped"))</f>
        <v/>
      </c>
      <c r="BW101" s="77">
        <f>IF($C101="","",IFERROR(INDEX(dmVintage,MATCH($C101,dmID,0)),""))</f>
        <v/>
      </c>
      <c r="BX101" s="78">
        <f>IFERROR(INDEX(dmInclude,MATCH($C101,dmID,0)),0)</f>
        <v/>
      </c>
      <c r="BY101" s="78">
        <f>IF(N($I101)&gt;0,1,0)</f>
        <v/>
      </c>
      <c r="BZ101" s="76">
        <f>IF($AJ101="","Other / Leased Fee",IFERROR(INDEX(mapPTGroup,MATCH(LEFT(TRIM($AJ101),2),mapPTCode,0)),"Other / Leased Fee"))</f>
        <v/>
      </c>
      <c r="CA101" s="76">
        <f>IF(TRIM($AF101&amp;"")="","NR",LEFT(TRIM($AF101),2))</f>
        <v/>
      </c>
      <c r="CB101" s="76">
        <f>IFERROR(LOOKUP(2,1/(LEFT(TRIM($AI101&amp;""),LEN(mapRegion))=mapRegion),mapRegion),"Not Reported")</f>
        <v/>
      </c>
      <c r="CC101" s="76">
        <f>IF($BY101=0,"",IF(TRIM($W101&amp;"")="REO","REO",IF(TRIM($W101&amp;"")="FC","Foreclosure",IF(TRIM($W101&amp;"")="90+","90+ Days Delinquent",IF(TRIM($W101&amp;"")="60","60 Days Delinquent",IF(TRIM($W101&amp;"")="30","30 Days Delinquent",IF($X101="Non-Performing Matured Balloon","Non-Performing Matured Balloon",IF(OR($X101="Late Payment But Less Than 30 Days Delinquent",LEFT($X101&amp;"",20)="Payment Not Received"),"Late / In Grace (&lt;30 Days)",IF($X101="Performing Matured Balloon","Performing Matured Balloon","Current")))))))))</f>
        <v/>
      </c>
      <c r="CD101" s="78">
        <f>IF(OR($CC101="REO",$CC101="Foreclosure",$CC101="90+ Days Delinquent",$CC101="60 Days Delinquent",$CC101="30 Days Delinquent",$CC101="Non-Performing Matured Balloon"),1,0)</f>
        <v/>
      </c>
      <c r="CE101" s="76">
        <f>IF($AB101="Currently special serv","Currently Specially Serviced",IF($AB101="Returned to master serv","Previously Specially Serviced","Never Specially Serviced"))</f>
        <v/>
      </c>
      <c r="CF101" s="78">
        <f>IF($CE101="Currently Specially Serviced",1,0)</f>
        <v/>
      </c>
      <c r="CG101" s="76">
        <f>IF($AA101="Yes","Currently on Watchlist",IF($AA101="Previously","Previously on Watchlist","Never on Watchlist"))</f>
        <v/>
      </c>
      <c r="CH101" s="78">
        <f>IF($CG101="Currently on Watchlist",1,0)</f>
        <v/>
      </c>
      <c r="CI101" s="76">
        <f>IF($Z101="Full Defeasance","Fully Defeased",IF($Z101="Portion Of Loan Previously Defeased","Partially Defeased",IF($Z101="Defeasance Not Allowable","Not Defeased (Not Permitted)","Not Defeased")))</f>
        <v/>
      </c>
      <c r="CJ101" s="78">
        <f>IF($CI101="Fully Defeased",1,0)</f>
        <v/>
      </c>
      <c r="CK101" s="76">
        <f>IF($R101="IO","Full IO",IF(LEFT($R101&amp;"",7)="IO then","Partial IO","Amortizing"))</f>
        <v/>
      </c>
      <c r="CL101" s="78">
        <f>IF($CK101="Full IO",1,0)</f>
        <v/>
      </c>
      <c r="CM101" s="78">
        <f>IF($CK101="Partial IO",1,0)</f>
        <v/>
      </c>
      <c r="CN101" s="76">
        <f>IF(LEFT($F101&amp;"",10)="SPLIT_LOAN","Pari Passu Split","Standalone")</f>
        <v/>
      </c>
      <c r="CO101" s="78">
        <f>IF($CN101="Pari Passu Split",1,0)</f>
        <v/>
      </c>
      <c r="CP101" s="77">
        <f>IF(ISNUMBER($T101),YEAR($T101),"")</f>
        <v/>
      </c>
      <c r="CQ101" s="79">
        <f>IF(ISNUMBER($V101),$V101,IF(ISNUMBER($U101),$U101,""))</f>
        <v/>
      </c>
      <c r="CR101" s="77">
        <f>IF(ISNUMBER($CQ101),YEAR($CQ101),"")</f>
        <v/>
      </c>
      <c r="CS101" s="78">
        <f>IF(ISNUMBER($M101),MAX(0,$M101),IF(TRIM($M101&amp;"")="matured",0,""))</f>
        <v/>
      </c>
      <c r="CT101" s="78">
        <f>IF(AND(ISNUMBER($CS101),N($CS101)&lt;=mMatWindow),1,0)</f>
        <v/>
      </c>
      <c r="CU101" s="80">
        <f>IF(ISNUMBER($J101),$J101/100,"")</f>
        <v/>
      </c>
      <c r="CV101" s="81">
        <f>IF(ISNUMBER($AQ101),$AQ101,"")</f>
        <v/>
      </c>
      <c r="CW101" s="81">
        <f>IF(ISNUMBER($AR101),$AR101,"")</f>
        <v/>
      </c>
      <c r="CX101" s="82">
        <f>IF(ISNUMBER($AS101),$AS101/100,"")</f>
        <v/>
      </c>
      <c r="CY101" s="82">
        <f>IF(ISNUMBER($AT101),$AT101/100,"")</f>
        <v/>
      </c>
      <c r="CZ101" s="82">
        <f>IF(ISNUMBER($AU101),$AU101/100,"")</f>
        <v/>
      </c>
      <c r="DA101" s="82">
        <f>IF(ISNUMBER($AV101),$AV101/100,"")</f>
        <v/>
      </c>
      <c r="DB101" s="82">
        <f>IF(ISNUMBER($AW101),$AW101/100,"")</f>
        <v/>
      </c>
      <c r="DC101" s="82">
        <f>IF(ISNUMBER($AX101),$AX101/100,"")</f>
        <v/>
      </c>
      <c r="DD101" s="77">
        <f>IFERROR(VALUE(LEFT(TRIM($AO101&amp;""),4)),"")</f>
        <v/>
      </c>
      <c r="DE101" s="78">
        <f>IF(AND($BY101=1,$BX101=1,OR(fDeal="All Deals",$BU101=fDeal),OR(fEntity="All Entities",$BV101=fEntity),OR(fPType="All Property Types",$BZ101=fPType),OR(fDefeased="Include",$CJ101=0)),1,0)</f>
        <v/>
      </c>
      <c r="DF101" s="83">
        <f>$DE101*N($I101)</f>
        <v/>
      </c>
      <c r="DG101" s="78">
        <f>IF($DE101=1,IF(COUNTIFS($F$8:$F101,$F101,$DE$8:$DE101,1)=1,1,0),0)</f>
        <v/>
      </c>
      <c r="DH101" s="83">
        <f>IF($DG101=1,SUMIFS($DF$8:$DF$1600,$F$8:$F$1600,$F101),0)</f>
        <v/>
      </c>
      <c r="DI101" s="78">
        <f>IF($DG101=1,COUNTIFS($F$8:$F$1600,$F101,$DE$8:$DE$1600,1),0)</f>
        <v/>
      </c>
      <c r="DJ101" s="84">
        <f>IF($DG101=1,$DH101+(100000-ROW())/mTieBreak,0)</f>
        <v/>
      </c>
    </row>
    <row r="102">
      <c r="B102" s="68" t="n">
        <v>36</v>
      </c>
      <c r="C102" s="69" t="inlineStr">
        <is>
          <t>CTG17C04</t>
        </is>
      </c>
      <c r="D102" s="69" t="inlineStr">
        <is>
          <t>36.000</t>
        </is>
      </c>
      <c r="E102" s="69" t="inlineStr">
        <is>
          <t>Hickory Village</t>
        </is>
      </c>
      <c r="F102" s="69" t="inlineStr">
        <is>
          <t>LNCTG17C04-36.000</t>
        </is>
      </c>
      <c r="G102" s="70" t="n"/>
      <c r="H102" s="71" t="n">
        <v>8150000</v>
      </c>
      <c r="I102" s="71" t="n">
        <v>6778600.729998</v>
      </c>
      <c r="J102" s="72" t="n">
        <v>4.5</v>
      </c>
      <c r="K102" s="69" t="inlineStr">
        <is>
          <t>Fixed rate</t>
        </is>
      </c>
      <c r="L102" s="68" t="n">
        <v>120</v>
      </c>
      <c r="M102" s="68" t="n">
        <v>12</v>
      </c>
      <c r="N102" s="68" t="n">
        <v>360</v>
      </c>
      <c r="O102" s="68" t="n"/>
      <c r="P102" s="68" t="n"/>
      <c r="Q102" s="68" t="n">
        <v>108</v>
      </c>
      <c r="R102" s="69" t="n"/>
      <c r="S102" s="69" t="inlineStr">
        <is>
          <t>No</t>
        </is>
      </c>
      <c r="T102" s="73" t="n">
        <v>42979</v>
      </c>
      <c r="U102" s="73" t="n">
        <v>46636</v>
      </c>
      <c r="V102" s="73" t="n"/>
      <c r="W102" s="69" t="n"/>
      <c r="X102" s="69" t="inlineStr">
        <is>
          <t>Current</t>
        </is>
      </c>
      <c r="Y102" s="68" t="n"/>
      <c r="Z102" s="69" t="inlineStr">
        <is>
          <t>Full Defeasance</t>
        </is>
      </c>
      <c r="AA102" s="69" t="inlineStr">
        <is>
          <t>Previously</t>
        </is>
      </c>
      <c r="AB102" s="69" t="inlineStr">
        <is>
          <t>Never special serv</t>
        </is>
      </c>
      <c r="AC102" s="73" t="n"/>
      <c r="AD102" s="69" t="n"/>
      <c r="AE102" s="69" t="n"/>
      <c r="AF102" s="69" t="inlineStr">
        <is>
          <t>CO</t>
        </is>
      </c>
      <c r="AG102" s="69" t="inlineStr">
        <is>
          <t>Fort Collins</t>
        </is>
      </c>
      <c r="AH102" s="69" t="inlineStr">
        <is>
          <t>Fort Collins-Loveland, CO</t>
        </is>
      </c>
      <c r="AI102" s="69" t="inlineStr">
        <is>
          <t>West / Mountain</t>
        </is>
      </c>
      <c r="AJ102" s="69" t="inlineStr">
        <is>
          <t>MH</t>
        </is>
      </c>
      <c r="AK102" s="69" t="n"/>
      <c r="AL102" s="68" t="n">
        <v>1</v>
      </c>
      <c r="AM102" s="68" t="n">
        <v>204</v>
      </c>
      <c r="AN102" s="68" t="n"/>
      <c r="AO102" s="69" t="inlineStr">
        <is>
          <t>1972</t>
        </is>
      </c>
      <c r="AP102" s="70" t="n">
        <v>1972</v>
      </c>
      <c r="AQ102" s="74" t="n">
        <v>1.42</v>
      </c>
      <c r="AR102" s="74" t="n">
        <v>1.61</v>
      </c>
      <c r="AS102" s="74" t="n">
        <v>63.99</v>
      </c>
      <c r="AT102" s="74" t="n">
        <v>53.29</v>
      </c>
      <c r="AU102" s="74" t="n">
        <v>51.8</v>
      </c>
      <c r="AV102" s="74" t="n">
        <v>8.619611288</v>
      </c>
      <c r="AW102" s="74" t="n">
        <v>9.444576624</v>
      </c>
      <c r="AX102" s="75" t="n">
        <v>100</v>
      </c>
      <c r="AY102" s="71" t="n">
        <v>12720000</v>
      </c>
      <c r="AZ102" s="71" t="n">
        <v>12720000</v>
      </c>
      <c r="BA102" s="71" t="n">
        <v>702498.3199999999</v>
      </c>
      <c r="BB102" s="71" t="n">
        <v>797355.45</v>
      </c>
      <c r="BC102" s="69" t="inlineStr">
        <is>
          <t>Refinance</t>
        </is>
      </c>
      <c r="BD102" s="69" t="inlineStr">
        <is>
          <t>N</t>
        </is>
      </c>
      <c r="BE102" s="71" t="n"/>
      <c r="BF102" s="71" t="n"/>
      <c r="BG102" s="71" t="n"/>
      <c r="BH102" s="71" t="n">
        <v>0</v>
      </c>
      <c r="BI102" s="71" t="n">
        <v>0</v>
      </c>
      <c r="BJ102" s="69" t="inlineStr">
        <is>
          <t>N</t>
        </is>
      </c>
      <c r="BK102" s="69" t="n"/>
      <c r="BL102" s="75" t="n"/>
      <c r="BM102" s="73" t="n"/>
      <c r="BN102" s="69" t="inlineStr">
        <is>
          <t>Keith Cowan</t>
        </is>
      </c>
      <c r="BO102" s="69" t="inlineStr">
        <is>
          <t>Citigroup Global Markets</t>
        </is>
      </c>
      <c r="BP102" s="69" t="inlineStr">
        <is>
          <t>Midland Loan Services</t>
        </is>
      </c>
      <c r="BQ102" s="69" t="inlineStr">
        <is>
          <t>Midland Loan Services</t>
        </is>
      </c>
      <c r="BR102" s="69" t="n"/>
      <c r="BS102" s="73" t="n">
        <v>46273</v>
      </c>
      <c r="BU102" s="76">
        <f>IF($C102="","",IFERROR(INDEX(dmName,MATCH($C102,dmID,0)),"Unmapped"))</f>
        <v/>
      </c>
      <c r="BV102" s="76">
        <f>IF($C102="","",IFERROR(INDEX(dmEntity,MATCH($C102,dmID,0)),"Unmapped"))</f>
        <v/>
      </c>
      <c r="BW102" s="77">
        <f>IF($C102="","",IFERROR(INDEX(dmVintage,MATCH($C102,dmID,0)),""))</f>
        <v/>
      </c>
      <c r="BX102" s="78">
        <f>IFERROR(INDEX(dmInclude,MATCH($C102,dmID,0)),0)</f>
        <v/>
      </c>
      <c r="BY102" s="78">
        <f>IF(N($I102)&gt;0,1,0)</f>
        <v/>
      </c>
      <c r="BZ102" s="76">
        <f>IF($AJ102="","Other / Leased Fee",IFERROR(INDEX(mapPTGroup,MATCH(LEFT(TRIM($AJ102),2),mapPTCode,0)),"Other / Leased Fee"))</f>
        <v/>
      </c>
      <c r="CA102" s="76">
        <f>IF(TRIM($AF102&amp;"")="","NR",LEFT(TRIM($AF102),2))</f>
        <v/>
      </c>
      <c r="CB102" s="76">
        <f>IFERROR(LOOKUP(2,1/(LEFT(TRIM($AI102&amp;""),LEN(mapRegion))=mapRegion),mapRegion),"Not Reported")</f>
        <v/>
      </c>
      <c r="CC102" s="76">
        <f>IF($BY102=0,"",IF(TRIM($W102&amp;"")="REO","REO",IF(TRIM($W102&amp;"")="FC","Foreclosure",IF(TRIM($W102&amp;"")="90+","90+ Days Delinquent",IF(TRIM($W102&amp;"")="60","60 Days Delinquent",IF(TRIM($W102&amp;"")="30","30 Days Delinquent",IF($X102="Non-Performing Matured Balloon","Non-Performing Matured Balloon",IF(OR($X102="Late Payment But Less Than 30 Days Delinquent",LEFT($X102&amp;"",20)="Payment Not Received"),"Late / In Grace (&lt;30 Days)",IF($X102="Performing Matured Balloon","Performing Matured Balloon","Current")))))))))</f>
        <v/>
      </c>
      <c r="CD102" s="78">
        <f>IF(OR($CC102="REO",$CC102="Foreclosure",$CC102="90+ Days Delinquent",$CC102="60 Days Delinquent",$CC102="30 Days Delinquent",$CC102="Non-Performing Matured Balloon"),1,0)</f>
        <v/>
      </c>
      <c r="CE102" s="76">
        <f>IF($AB102="Currently special serv","Currently Specially Serviced",IF($AB102="Returned to master serv","Previously Specially Serviced","Never Specially Serviced"))</f>
        <v/>
      </c>
      <c r="CF102" s="78">
        <f>IF($CE102="Currently Specially Serviced",1,0)</f>
        <v/>
      </c>
      <c r="CG102" s="76">
        <f>IF($AA102="Yes","Currently on Watchlist",IF($AA102="Previously","Previously on Watchlist","Never on Watchlist"))</f>
        <v/>
      </c>
      <c r="CH102" s="78">
        <f>IF($CG102="Currently on Watchlist",1,0)</f>
        <v/>
      </c>
      <c r="CI102" s="76">
        <f>IF($Z102="Full Defeasance","Fully Defeased",IF($Z102="Portion Of Loan Previously Defeased","Partially Defeased",IF($Z102="Defeasance Not Allowable","Not Defeased (Not Permitted)","Not Defeased")))</f>
        <v/>
      </c>
      <c r="CJ102" s="78">
        <f>IF($CI102="Fully Defeased",1,0)</f>
        <v/>
      </c>
      <c r="CK102" s="76">
        <f>IF($R102="IO","Full IO",IF(LEFT($R102&amp;"",7)="IO then","Partial IO","Amortizing"))</f>
        <v/>
      </c>
      <c r="CL102" s="78">
        <f>IF($CK102="Full IO",1,0)</f>
        <v/>
      </c>
      <c r="CM102" s="78">
        <f>IF($CK102="Partial IO",1,0)</f>
        <v/>
      </c>
      <c r="CN102" s="76">
        <f>IF(LEFT($F102&amp;"",10)="SPLIT_LOAN","Pari Passu Split","Standalone")</f>
        <v/>
      </c>
      <c r="CO102" s="78">
        <f>IF($CN102="Pari Passu Split",1,0)</f>
        <v/>
      </c>
      <c r="CP102" s="77">
        <f>IF(ISNUMBER($T102),YEAR($T102),"")</f>
        <v/>
      </c>
      <c r="CQ102" s="79">
        <f>IF(ISNUMBER($V102),$V102,IF(ISNUMBER($U102),$U102,""))</f>
        <v/>
      </c>
      <c r="CR102" s="77">
        <f>IF(ISNUMBER($CQ102),YEAR($CQ102),"")</f>
        <v/>
      </c>
      <c r="CS102" s="78">
        <f>IF(ISNUMBER($M102),MAX(0,$M102),IF(TRIM($M102&amp;"")="matured",0,""))</f>
        <v/>
      </c>
      <c r="CT102" s="78">
        <f>IF(AND(ISNUMBER($CS102),N($CS102)&lt;=mMatWindow),1,0)</f>
        <v/>
      </c>
      <c r="CU102" s="80">
        <f>IF(ISNUMBER($J102),$J102/100,"")</f>
        <v/>
      </c>
      <c r="CV102" s="81">
        <f>IF(ISNUMBER($AQ102),$AQ102,"")</f>
        <v/>
      </c>
      <c r="CW102" s="81">
        <f>IF(ISNUMBER($AR102),$AR102,"")</f>
        <v/>
      </c>
      <c r="CX102" s="82">
        <f>IF(ISNUMBER($AS102),$AS102/100,"")</f>
        <v/>
      </c>
      <c r="CY102" s="82">
        <f>IF(ISNUMBER($AT102),$AT102/100,"")</f>
        <v/>
      </c>
      <c r="CZ102" s="82">
        <f>IF(ISNUMBER($AU102),$AU102/100,"")</f>
        <v/>
      </c>
      <c r="DA102" s="82">
        <f>IF(ISNUMBER($AV102),$AV102/100,"")</f>
        <v/>
      </c>
      <c r="DB102" s="82">
        <f>IF(ISNUMBER($AW102),$AW102/100,"")</f>
        <v/>
      </c>
      <c r="DC102" s="82">
        <f>IF(ISNUMBER($AX102),$AX102/100,"")</f>
        <v/>
      </c>
      <c r="DD102" s="77">
        <f>IFERROR(VALUE(LEFT(TRIM($AO102&amp;""),4)),"")</f>
        <v/>
      </c>
      <c r="DE102" s="78">
        <f>IF(AND($BY102=1,$BX102=1,OR(fDeal="All Deals",$BU102=fDeal),OR(fEntity="All Entities",$BV102=fEntity),OR(fPType="All Property Types",$BZ102=fPType),OR(fDefeased="Include",$CJ102=0)),1,0)</f>
        <v/>
      </c>
      <c r="DF102" s="83">
        <f>$DE102*N($I102)</f>
        <v/>
      </c>
      <c r="DG102" s="78">
        <f>IF($DE102=1,IF(COUNTIFS($F$8:$F102,$F102,$DE$8:$DE102,1)=1,1,0),0)</f>
        <v/>
      </c>
      <c r="DH102" s="83">
        <f>IF($DG102=1,SUMIFS($DF$8:$DF$1600,$F$8:$F$1600,$F102),0)</f>
        <v/>
      </c>
      <c r="DI102" s="78">
        <f>IF($DG102=1,COUNTIFS($F$8:$F$1600,$F102,$DE$8:$DE$1600,1),0)</f>
        <v/>
      </c>
      <c r="DJ102" s="84">
        <f>IF($DG102=1,$DH102+(100000-ROW())/mTieBreak,0)</f>
        <v/>
      </c>
    </row>
    <row r="103">
      <c r="B103" s="68" t="n">
        <v>37</v>
      </c>
      <c r="C103" s="69" t="inlineStr">
        <is>
          <t>CTG17C04</t>
        </is>
      </c>
      <c r="D103" s="69" t="inlineStr">
        <is>
          <t>37.000</t>
        </is>
      </c>
      <c r="E103" s="69" t="inlineStr">
        <is>
          <t>HIE&amp;S Sequim</t>
        </is>
      </c>
      <c r="F103" s="69" t="inlineStr">
        <is>
          <t>LNCTG17C04-37.000</t>
        </is>
      </c>
      <c r="G103" s="70" t="n"/>
      <c r="H103" s="71" t="n">
        <v>8000000</v>
      </c>
      <c r="I103" s="71" t="n">
        <v>6257761.08</v>
      </c>
      <c r="J103" s="72" t="n">
        <v>5.025</v>
      </c>
      <c r="K103" s="69" t="inlineStr">
        <is>
          <t>Fixed rate</t>
        </is>
      </c>
      <c r="L103" s="68" t="n">
        <v>120</v>
      </c>
      <c r="M103" s="68" t="n">
        <v>13</v>
      </c>
      <c r="N103" s="68" t="n">
        <v>300</v>
      </c>
      <c r="O103" s="68" t="n"/>
      <c r="P103" s="68" t="n"/>
      <c r="Q103" s="68" t="n">
        <v>107</v>
      </c>
      <c r="R103" s="69" t="n"/>
      <c r="S103" s="69" t="inlineStr">
        <is>
          <t>No</t>
        </is>
      </c>
      <c r="T103" s="73" t="n">
        <v>43009</v>
      </c>
      <c r="U103" s="73" t="n">
        <v>46666</v>
      </c>
      <c r="V103" s="73" t="n"/>
      <c r="W103" s="69" t="inlineStr">
        <is>
          <t>30</t>
        </is>
      </c>
      <c r="X103" s="69" t="inlineStr">
        <is>
          <t>30-59 Days Delinquent</t>
        </is>
      </c>
      <c r="Y103" s="68" t="n">
        <v>1</v>
      </c>
      <c r="Z103" s="69" t="inlineStr">
        <is>
          <t>No Defeasance Occurred</t>
        </is>
      </c>
      <c r="AA103" s="69" t="inlineStr">
        <is>
          <t>Yes</t>
        </is>
      </c>
      <c r="AB103" s="69" t="inlineStr">
        <is>
          <t>Returned to master serv</t>
        </is>
      </c>
      <c r="AC103" s="73" t="n"/>
      <c r="AD103" s="69" t="inlineStr">
        <is>
          <t>Other</t>
        </is>
      </c>
      <c r="AE103" s="69" t="inlineStr">
        <is>
          <t>Resolved</t>
        </is>
      </c>
      <c r="AF103" s="69" t="inlineStr">
        <is>
          <t>WA</t>
        </is>
      </c>
      <c r="AG103" s="69" t="inlineStr">
        <is>
          <t>Sequim</t>
        </is>
      </c>
      <c r="AH103" s="69" t="inlineStr">
        <is>
          <t>Port Angeles, WA</t>
        </is>
      </c>
      <c r="AI103" s="69" t="inlineStr">
        <is>
          <t>West / Pacific North</t>
        </is>
      </c>
      <c r="AJ103" s="69" t="inlineStr">
        <is>
          <t>HT</t>
        </is>
      </c>
      <c r="AK103" s="69" t="inlineStr">
        <is>
          <t>Limited Service</t>
        </is>
      </c>
      <c r="AL103" s="68" t="n">
        <v>1</v>
      </c>
      <c r="AM103" s="68" t="n">
        <v>77</v>
      </c>
      <c r="AN103" s="68" t="n"/>
      <c r="AO103" s="69" t="inlineStr">
        <is>
          <t>2010</t>
        </is>
      </c>
      <c r="AP103" s="70" t="n">
        <v>2010</v>
      </c>
      <c r="AQ103" s="74" t="n">
        <v>1.81</v>
      </c>
      <c r="AR103" s="74" t="n">
        <v>1.19</v>
      </c>
      <c r="AS103" s="74" t="n">
        <v>61.54</v>
      </c>
      <c r="AT103" s="74" t="n">
        <v>52.15</v>
      </c>
      <c r="AU103" s="74" t="n">
        <v>46.05</v>
      </c>
      <c r="AV103" s="74" t="n">
        <v>12.69669725</v>
      </c>
      <c r="AW103" s="74" t="n">
        <v>10.728569874</v>
      </c>
      <c r="AX103" s="75" t="n">
        <v>65</v>
      </c>
      <c r="AY103" s="71" t="n">
        <v>13000000</v>
      </c>
      <c r="AZ103" s="71" t="n">
        <v>12000000</v>
      </c>
      <c r="BA103" s="71" t="n">
        <v>1015735.78</v>
      </c>
      <c r="BB103" s="71" t="n">
        <v>671368.27</v>
      </c>
      <c r="BC103" s="69" t="inlineStr">
        <is>
          <t>Refinance</t>
        </is>
      </c>
      <c r="BD103" s="69" t="inlineStr">
        <is>
          <t>N</t>
        </is>
      </c>
      <c r="BE103" s="71" t="n"/>
      <c r="BF103" s="71" t="n"/>
      <c r="BG103" s="71" t="n"/>
      <c r="BH103" s="71" t="n">
        <v>0</v>
      </c>
      <c r="BI103" s="71" t="n">
        <v>835210.47</v>
      </c>
      <c r="BJ103" s="69" t="inlineStr">
        <is>
          <t>Y</t>
        </is>
      </c>
      <c r="BK103" s="69" t="n"/>
      <c r="BL103" s="75" t="n"/>
      <c r="BM103" s="73" t="n"/>
      <c r="BN103" s="69" t="inlineStr">
        <is>
          <t>Bret A. Wirta and Patricia L. Wirta</t>
        </is>
      </c>
      <c r="BO103" s="69" t="inlineStr">
        <is>
          <t>Ladder Capital Finance</t>
        </is>
      </c>
      <c r="BP103" s="69" t="inlineStr">
        <is>
          <t>Midland Loan Services</t>
        </is>
      </c>
      <c r="BQ103" s="69" t="inlineStr">
        <is>
          <t>Midland Loan Services</t>
        </is>
      </c>
      <c r="BR103" s="69" t="n"/>
      <c r="BS103" s="73" t="n">
        <v>46273</v>
      </c>
      <c r="BU103" s="76">
        <f>IF($C103="","",IFERROR(INDEX(dmName,MATCH($C103,dmID,0)),"Unmapped"))</f>
        <v/>
      </c>
      <c r="BV103" s="76">
        <f>IF($C103="","",IFERROR(INDEX(dmEntity,MATCH($C103,dmID,0)),"Unmapped"))</f>
        <v/>
      </c>
      <c r="BW103" s="77">
        <f>IF($C103="","",IFERROR(INDEX(dmVintage,MATCH($C103,dmID,0)),""))</f>
        <v/>
      </c>
      <c r="BX103" s="78">
        <f>IFERROR(INDEX(dmInclude,MATCH($C103,dmID,0)),0)</f>
        <v/>
      </c>
      <c r="BY103" s="78">
        <f>IF(N($I103)&gt;0,1,0)</f>
        <v/>
      </c>
      <c r="BZ103" s="76">
        <f>IF($AJ103="","Other / Leased Fee",IFERROR(INDEX(mapPTGroup,MATCH(LEFT(TRIM($AJ103),2),mapPTCode,0)),"Other / Leased Fee"))</f>
        <v/>
      </c>
      <c r="CA103" s="76">
        <f>IF(TRIM($AF103&amp;"")="","NR",LEFT(TRIM($AF103),2))</f>
        <v/>
      </c>
      <c r="CB103" s="76">
        <f>IFERROR(LOOKUP(2,1/(LEFT(TRIM($AI103&amp;""),LEN(mapRegion))=mapRegion),mapRegion),"Not Reported")</f>
        <v/>
      </c>
      <c r="CC103" s="76">
        <f>IF($BY103=0,"",IF(TRIM($W103&amp;"")="REO","REO",IF(TRIM($W103&amp;"")="FC","Foreclosure",IF(TRIM($W103&amp;"")="90+","90+ Days Delinquent",IF(TRIM($W103&amp;"")="60","60 Days Delinquent",IF(TRIM($W103&amp;"")="30","30 Days Delinquent",IF($X103="Non-Performing Matured Balloon","Non-Performing Matured Balloon",IF(OR($X103="Late Payment But Less Than 30 Days Delinquent",LEFT($X103&amp;"",20)="Payment Not Received"),"Late / In Grace (&lt;30 Days)",IF($X103="Performing Matured Balloon","Performing Matured Balloon","Current")))))))))</f>
        <v/>
      </c>
      <c r="CD103" s="78">
        <f>IF(OR($CC103="REO",$CC103="Foreclosure",$CC103="90+ Days Delinquent",$CC103="60 Days Delinquent",$CC103="30 Days Delinquent",$CC103="Non-Performing Matured Balloon"),1,0)</f>
        <v/>
      </c>
      <c r="CE103" s="76">
        <f>IF($AB103="Currently special serv","Currently Specially Serviced",IF($AB103="Returned to master serv","Previously Specially Serviced","Never Specially Serviced"))</f>
        <v/>
      </c>
      <c r="CF103" s="78">
        <f>IF($CE103="Currently Specially Serviced",1,0)</f>
        <v/>
      </c>
      <c r="CG103" s="76">
        <f>IF($AA103="Yes","Currently on Watchlist",IF($AA103="Previously","Previously on Watchlist","Never on Watchlist"))</f>
        <v/>
      </c>
      <c r="CH103" s="78">
        <f>IF($CG103="Currently on Watchlist",1,0)</f>
        <v/>
      </c>
      <c r="CI103" s="76">
        <f>IF($Z103="Full Defeasance","Fully Defeased",IF($Z103="Portion Of Loan Previously Defeased","Partially Defeased",IF($Z103="Defeasance Not Allowable","Not Defeased (Not Permitted)","Not Defeased")))</f>
        <v/>
      </c>
      <c r="CJ103" s="78">
        <f>IF($CI103="Fully Defeased",1,0)</f>
        <v/>
      </c>
      <c r="CK103" s="76">
        <f>IF($R103="IO","Full IO",IF(LEFT($R103&amp;"",7)="IO then","Partial IO","Amortizing"))</f>
        <v/>
      </c>
      <c r="CL103" s="78">
        <f>IF($CK103="Full IO",1,0)</f>
        <v/>
      </c>
      <c r="CM103" s="78">
        <f>IF($CK103="Partial IO",1,0)</f>
        <v/>
      </c>
      <c r="CN103" s="76">
        <f>IF(LEFT($F103&amp;"",10)="SPLIT_LOAN","Pari Passu Split","Standalone")</f>
        <v/>
      </c>
      <c r="CO103" s="78">
        <f>IF($CN103="Pari Passu Split",1,0)</f>
        <v/>
      </c>
      <c r="CP103" s="77">
        <f>IF(ISNUMBER($T103),YEAR($T103),"")</f>
        <v/>
      </c>
      <c r="CQ103" s="79">
        <f>IF(ISNUMBER($V103),$V103,IF(ISNUMBER($U103),$U103,""))</f>
        <v/>
      </c>
      <c r="CR103" s="77">
        <f>IF(ISNUMBER($CQ103),YEAR($CQ103),"")</f>
        <v/>
      </c>
      <c r="CS103" s="78">
        <f>IF(ISNUMBER($M103),MAX(0,$M103),IF(TRIM($M103&amp;"")="matured",0,""))</f>
        <v/>
      </c>
      <c r="CT103" s="78">
        <f>IF(AND(ISNUMBER($CS103),N($CS103)&lt;=mMatWindow),1,0)</f>
        <v/>
      </c>
      <c r="CU103" s="80">
        <f>IF(ISNUMBER($J103),$J103/100,"")</f>
        <v/>
      </c>
      <c r="CV103" s="81">
        <f>IF(ISNUMBER($AQ103),$AQ103,"")</f>
        <v/>
      </c>
      <c r="CW103" s="81">
        <f>IF(ISNUMBER($AR103),$AR103,"")</f>
        <v/>
      </c>
      <c r="CX103" s="82">
        <f>IF(ISNUMBER($AS103),$AS103/100,"")</f>
        <v/>
      </c>
      <c r="CY103" s="82">
        <f>IF(ISNUMBER($AT103),$AT103/100,"")</f>
        <v/>
      </c>
      <c r="CZ103" s="82">
        <f>IF(ISNUMBER($AU103),$AU103/100,"")</f>
        <v/>
      </c>
      <c r="DA103" s="82">
        <f>IF(ISNUMBER($AV103),$AV103/100,"")</f>
        <v/>
      </c>
      <c r="DB103" s="82">
        <f>IF(ISNUMBER($AW103),$AW103/100,"")</f>
        <v/>
      </c>
      <c r="DC103" s="82">
        <f>IF(ISNUMBER($AX103),$AX103/100,"")</f>
        <v/>
      </c>
      <c r="DD103" s="77">
        <f>IFERROR(VALUE(LEFT(TRIM($AO103&amp;""),4)),"")</f>
        <v/>
      </c>
      <c r="DE103" s="78">
        <f>IF(AND($BY103=1,$BX103=1,OR(fDeal="All Deals",$BU103=fDeal),OR(fEntity="All Entities",$BV103=fEntity),OR(fPType="All Property Types",$BZ103=fPType),OR(fDefeased="Include",$CJ103=0)),1,0)</f>
        <v/>
      </c>
      <c r="DF103" s="83">
        <f>$DE103*N($I103)</f>
        <v/>
      </c>
      <c r="DG103" s="78">
        <f>IF($DE103=1,IF(COUNTIFS($F$8:$F103,$F103,$DE$8:$DE103,1)=1,1,0),0)</f>
        <v/>
      </c>
      <c r="DH103" s="83">
        <f>IF($DG103=1,SUMIFS($DF$8:$DF$1600,$F$8:$F$1600,$F103),0)</f>
        <v/>
      </c>
      <c r="DI103" s="78">
        <f>IF($DG103=1,COUNTIFS($F$8:$F$1600,$F103,$DE$8:$DE$1600,1),0)</f>
        <v/>
      </c>
      <c r="DJ103" s="84">
        <f>IF($DG103=1,$DH103+(100000-ROW())/mTieBreak,0)</f>
        <v/>
      </c>
    </row>
    <row r="104">
      <c r="B104" s="68" t="n">
        <v>38</v>
      </c>
      <c r="C104" s="69" t="inlineStr">
        <is>
          <t>CTG17C04</t>
        </is>
      </c>
      <c r="D104" s="69" t="inlineStr">
        <is>
          <t>38.000</t>
        </is>
      </c>
      <c r="E104" s="69" t="inlineStr">
        <is>
          <t>Phoenix Business Park</t>
        </is>
      </c>
      <c r="F104" s="69" t="inlineStr">
        <is>
          <t>LNCTG17C04-38.000</t>
        </is>
      </c>
      <c r="G104" s="70" t="n"/>
      <c r="H104" s="71" t="n">
        <v>7200000</v>
      </c>
      <c r="I104" s="71" t="n">
        <v>0</v>
      </c>
      <c r="J104" s="72" t="n">
        <v>4.67</v>
      </c>
      <c r="K104" s="69" t="inlineStr">
        <is>
          <t>Fixed rate</t>
        </is>
      </c>
      <c r="L104" s="68" t="n">
        <v>60</v>
      </c>
      <c r="M104" s="68" t="n"/>
      <c r="N104" s="68" t="n">
        <v>378</v>
      </c>
      <c r="O104" s="68" t="n">
        <v>18</v>
      </c>
      <c r="P104" s="68" t="n"/>
      <c r="Q104" s="68" t="n"/>
      <c r="R104" s="69" t="inlineStr">
        <is>
          <t>IO then Amort</t>
        </is>
      </c>
      <c r="S104" s="69" t="inlineStr">
        <is>
          <t>No</t>
        </is>
      </c>
      <c r="T104" s="73" t="n">
        <v>43009</v>
      </c>
      <c r="U104" s="73" t="n">
        <v>44840</v>
      </c>
      <c r="V104" s="73" t="n"/>
      <c r="W104" s="69" t="n"/>
      <c r="X104" s="69" t="inlineStr">
        <is>
          <t>Current</t>
        </is>
      </c>
      <c r="Y104" s="68" t="n"/>
      <c r="Z104" s="69" t="inlineStr">
        <is>
          <t>Defeasance Not Allowable</t>
        </is>
      </c>
      <c r="AA104" s="69" t="inlineStr">
        <is>
          <t>Previously</t>
        </is>
      </c>
      <c r="AB104" s="69" t="inlineStr">
        <is>
          <t>Never special serv</t>
        </is>
      </c>
      <c r="AC104" s="73" t="n"/>
      <c r="AD104" s="69" t="n"/>
      <c r="AE104" s="69" t="n"/>
      <c r="AF104" s="69" t="inlineStr">
        <is>
          <t>GA</t>
        </is>
      </c>
      <c r="AG104" s="69" t="inlineStr">
        <is>
          <t>Atlanta</t>
        </is>
      </c>
      <c r="AH104" s="69" t="inlineStr">
        <is>
          <t>Atlanta-Sandy Springs-Roswell, GA</t>
        </is>
      </c>
      <c r="AI104" s="69" t="inlineStr">
        <is>
          <t>South / Atlantic</t>
        </is>
      </c>
      <c r="AJ104" s="69" t="inlineStr">
        <is>
          <t>IN</t>
        </is>
      </c>
      <c r="AK104" s="69" t="inlineStr">
        <is>
          <t>Flex</t>
        </is>
      </c>
      <c r="AL104" s="68" t="n">
        <v>1</v>
      </c>
      <c r="AM104" s="68" t="n"/>
      <c r="AN104" s="68" t="n">
        <v>110113</v>
      </c>
      <c r="AO104" s="69" t="inlineStr">
        <is>
          <t>1980</t>
        </is>
      </c>
      <c r="AP104" s="70" t="n">
        <v>2006</v>
      </c>
      <c r="AQ104" s="74" t="n">
        <v>1.7</v>
      </c>
      <c r="AR104" s="74" t="n">
        <v>2.18</v>
      </c>
      <c r="AS104" s="74" t="n">
        <v>67.92</v>
      </c>
      <c r="AT104" s="74" t="n"/>
      <c r="AU104" s="74" t="n">
        <v>64.15000000000001</v>
      </c>
      <c r="AV104" s="74" t="n">
        <v>10.546469444</v>
      </c>
      <c r="AW104" s="74" t="n"/>
      <c r="AX104" s="75" t="n">
        <v>100</v>
      </c>
      <c r="AY104" s="71" t="n">
        <v>10600000</v>
      </c>
      <c r="AZ104" s="71" t="n">
        <v>10600000</v>
      </c>
      <c r="BA104" s="71" t="n">
        <v>759345.8</v>
      </c>
      <c r="BB104" s="71" t="n">
        <v>975512.88</v>
      </c>
      <c r="BC104" s="69" t="inlineStr">
        <is>
          <t>Acquisition</t>
        </is>
      </c>
      <c r="BD104" s="69" t="inlineStr">
        <is>
          <t>N</t>
        </is>
      </c>
      <c r="BE104" s="71" t="n"/>
      <c r="BF104" s="71" t="n"/>
      <c r="BG104" s="71" t="n"/>
      <c r="BH104" s="71" t="n">
        <v>0</v>
      </c>
      <c r="BI104" s="71" t="n">
        <v>0</v>
      </c>
      <c r="BJ104" s="69" t="inlineStr">
        <is>
          <t>N</t>
        </is>
      </c>
      <c r="BK104" s="69" t="inlineStr">
        <is>
          <t>UPS Supply Chain Solutions</t>
        </is>
      </c>
      <c r="BL104" s="75" t="n">
        <v>16</v>
      </c>
      <c r="BM104" s="73" t="n">
        <v>45657</v>
      </c>
      <c r="BN104" s="69" t="inlineStr">
        <is>
          <t>Daniel Stuzin</t>
        </is>
      </c>
      <c r="BO104" s="69" t="inlineStr">
        <is>
          <t>Citigroup Global Markets</t>
        </is>
      </c>
      <c r="BP104" s="69" t="inlineStr">
        <is>
          <t>Midland Loan Services</t>
        </is>
      </c>
      <c r="BQ104" s="69" t="inlineStr">
        <is>
          <t>Midland Loan Services</t>
        </is>
      </c>
      <c r="BR104" s="69" t="inlineStr">
        <is>
          <t>Payoff With Yield Maintenance</t>
        </is>
      </c>
      <c r="BS104" s="73" t="n">
        <v>44690</v>
      </c>
      <c r="BU104" s="76">
        <f>IF($C104="","",IFERROR(INDEX(dmName,MATCH($C104,dmID,0)),"Unmapped"))</f>
        <v/>
      </c>
      <c r="BV104" s="76">
        <f>IF($C104="","",IFERROR(INDEX(dmEntity,MATCH($C104,dmID,0)),"Unmapped"))</f>
        <v/>
      </c>
      <c r="BW104" s="77">
        <f>IF($C104="","",IFERROR(INDEX(dmVintage,MATCH($C104,dmID,0)),""))</f>
        <v/>
      </c>
      <c r="BX104" s="78">
        <f>IFERROR(INDEX(dmInclude,MATCH($C104,dmID,0)),0)</f>
        <v/>
      </c>
      <c r="BY104" s="78">
        <f>IF(N($I104)&gt;0,1,0)</f>
        <v/>
      </c>
      <c r="BZ104" s="76">
        <f>IF($AJ104="","Other / Leased Fee",IFERROR(INDEX(mapPTGroup,MATCH(LEFT(TRIM($AJ104),2),mapPTCode,0)),"Other / Leased Fee"))</f>
        <v/>
      </c>
      <c r="CA104" s="76">
        <f>IF(TRIM($AF104&amp;"")="","NR",LEFT(TRIM($AF104),2))</f>
        <v/>
      </c>
      <c r="CB104" s="76">
        <f>IFERROR(LOOKUP(2,1/(LEFT(TRIM($AI104&amp;""),LEN(mapRegion))=mapRegion),mapRegion),"Not Reported")</f>
        <v/>
      </c>
      <c r="CC104" s="76">
        <f>IF($BY104=0,"",IF(TRIM($W104&amp;"")="REO","REO",IF(TRIM($W104&amp;"")="FC","Foreclosure",IF(TRIM($W104&amp;"")="90+","90+ Days Delinquent",IF(TRIM($W104&amp;"")="60","60 Days Delinquent",IF(TRIM($W104&amp;"")="30","30 Days Delinquent",IF($X104="Non-Performing Matured Balloon","Non-Performing Matured Balloon",IF(OR($X104="Late Payment But Less Than 30 Days Delinquent",LEFT($X104&amp;"",20)="Payment Not Received"),"Late / In Grace (&lt;30 Days)",IF($X104="Performing Matured Balloon","Performing Matured Balloon","Current")))))))))</f>
        <v/>
      </c>
      <c r="CD104" s="78">
        <f>IF(OR($CC104="REO",$CC104="Foreclosure",$CC104="90+ Days Delinquent",$CC104="60 Days Delinquent",$CC104="30 Days Delinquent",$CC104="Non-Performing Matured Balloon"),1,0)</f>
        <v/>
      </c>
      <c r="CE104" s="76">
        <f>IF($AB104="Currently special serv","Currently Specially Serviced",IF($AB104="Returned to master serv","Previously Specially Serviced","Never Specially Serviced"))</f>
        <v/>
      </c>
      <c r="CF104" s="78">
        <f>IF($CE104="Currently Specially Serviced",1,0)</f>
        <v/>
      </c>
      <c r="CG104" s="76">
        <f>IF($AA104="Yes","Currently on Watchlist",IF($AA104="Previously","Previously on Watchlist","Never on Watchlist"))</f>
        <v/>
      </c>
      <c r="CH104" s="78">
        <f>IF($CG104="Currently on Watchlist",1,0)</f>
        <v/>
      </c>
      <c r="CI104" s="76">
        <f>IF($Z104="Full Defeasance","Fully Defeased",IF($Z104="Portion Of Loan Previously Defeased","Partially Defeased",IF($Z104="Defeasance Not Allowable","Not Defeased (Not Permitted)","Not Defeased")))</f>
        <v/>
      </c>
      <c r="CJ104" s="78">
        <f>IF($CI104="Fully Defeased",1,0)</f>
        <v/>
      </c>
      <c r="CK104" s="76">
        <f>IF($R104="IO","Full IO",IF(LEFT($R104&amp;"",7)="IO then","Partial IO","Amortizing"))</f>
        <v/>
      </c>
      <c r="CL104" s="78">
        <f>IF($CK104="Full IO",1,0)</f>
        <v/>
      </c>
      <c r="CM104" s="78">
        <f>IF($CK104="Partial IO",1,0)</f>
        <v/>
      </c>
      <c r="CN104" s="76">
        <f>IF(LEFT($F104&amp;"",10)="SPLIT_LOAN","Pari Passu Split","Standalone")</f>
        <v/>
      </c>
      <c r="CO104" s="78">
        <f>IF($CN104="Pari Passu Split",1,0)</f>
        <v/>
      </c>
      <c r="CP104" s="77">
        <f>IF(ISNUMBER($T104),YEAR($T104),"")</f>
        <v/>
      </c>
      <c r="CQ104" s="79">
        <f>IF(ISNUMBER($V104),$V104,IF(ISNUMBER($U104),$U104,""))</f>
        <v/>
      </c>
      <c r="CR104" s="77">
        <f>IF(ISNUMBER($CQ104),YEAR($CQ104),"")</f>
        <v/>
      </c>
      <c r="CS104" s="78">
        <f>IF(ISNUMBER($M104),MAX(0,$M104),IF(TRIM($M104&amp;"")="matured",0,""))</f>
        <v/>
      </c>
      <c r="CT104" s="78">
        <f>IF(AND(ISNUMBER($CS104),N($CS104)&lt;=mMatWindow),1,0)</f>
        <v/>
      </c>
      <c r="CU104" s="80">
        <f>IF(ISNUMBER($J104),$J104/100,"")</f>
        <v/>
      </c>
      <c r="CV104" s="81">
        <f>IF(ISNUMBER($AQ104),$AQ104,"")</f>
        <v/>
      </c>
      <c r="CW104" s="81">
        <f>IF(ISNUMBER($AR104),$AR104,"")</f>
        <v/>
      </c>
      <c r="CX104" s="82">
        <f>IF(ISNUMBER($AS104),$AS104/100,"")</f>
        <v/>
      </c>
      <c r="CY104" s="82">
        <f>IF(ISNUMBER($AT104),$AT104/100,"")</f>
        <v/>
      </c>
      <c r="CZ104" s="82">
        <f>IF(ISNUMBER($AU104),$AU104/100,"")</f>
        <v/>
      </c>
      <c r="DA104" s="82">
        <f>IF(ISNUMBER($AV104),$AV104/100,"")</f>
        <v/>
      </c>
      <c r="DB104" s="82">
        <f>IF(ISNUMBER($AW104),$AW104/100,"")</f>
        <v/>
      </c>
      <c r="DC104" s="82">
        <f>IF(ISNUMBER($AX104),$AX104/100,"")</f>
        <v/>
      </c>
      <c r="DD104" s="77">
        <f>IFERROR(VALUE(LEFT(TRIM($AO104&amp;""),4)),"")</f>
        <v/>
      </c>
      <c r="DE104" s="78">
        <f>IF(AND($BY104=1,$BX104=1,OR(fDeal="All Deals",$BU104=fDeal),OR(fEntity="All Entities",$BV104=fEntity),OR(fPType="All Property Types",$BZ104=fPType),OR(fDefeased="Include",$CJ104=0)),1,0)</f>
        <v/>
      </c>
      <c r="DF104" s="83">
        <f>$DE104*N($I104)</f>
        <v/>
      </c>
      <c r="DG104" s="78">
        <f>IF($DE104=1,IF(COUNTIFS($F$8:$F104,$F104,$DE$8:$DE104,1)=1,1,0),0)</f>
        <v/>
      </c>
      <c r="DH104" s="83">
        <f>IF($DG104=1,SUMIFS($DF$8:$DF$1600,$F$8:$F$1600,$F104),0)</f>
        <v/>
      </c>
      <c r="DI104" s="78">
        <f>IF($DG104=1,COUNTIFS($F$8:$F$1600,$F104,$DE$8:$DE$1600,1),0)</f>
        <v/>
      </c>
      <c r="DJ104" s="84">
        <f>IF($DG104=1,$DH104+(100000-ROW())/mTieBreak,0)</f>
        <v/>
      </c>
    </row>
    <row r="105">
      <c r="B105" s="68" t="n">
        <v>39</v>
      </c>
      <c r="C105" s="69" t="inlineStr">
        <is>
          <t>CTG17C04</t>
        </is>
      </c>
      <c r="D105" s="69" t="inlineStr">
        <is>
          <t>39.000</t>
        </is>
      </c>
      <c r="E105" s="69" t="inlineStr">
        <is>
          <t>Sorrento Mesa</t>
        </is>
      </c>
      <c r="F105" s="69" t="inlineStr">
        <is>
          <t>LNCTG17C04-39.000</t>
        </is>
      </c>
      <c r="G105" s="70" t="n"/>
      <c r="H105" s="71" t="n">
        <v>7100000</v>
      </c>
      <c r="I105" s="71" t="n">
        <v>7100000</v>
      </c>
      <c r="J105" s="72" t="n">
        <v>4.1</v>
      </c>
      <c r="K105" s="69" t="inlineStr">
        <is>
          <t>Fixed rate</t>
        </is>
      </c>
      <c r="L105" s="68" t="n">
        <v>120</v>
      </c>
      <c r="M105" s="68" t="n">
        <v>12</v>
      </c>
      <c r="N105" s="68" t="n">
        <v>120</v>
      </c>
      <c r="O105" s="68" t="n">
        <v>120</v>
      </c>
      <c r="P105" s="68" t="n">
        <v>12</v>
      </c>
      <c r="Q105" s="68" t="n">
        <v>108</v>
      </c>
      <c r="R105" s="69" t="inlineStr">
        <is>
          <t>IO</t>
        </is>
      </c>
      <c r="S105" s="69" t="inlineStr">
        <is>
          <t>Yes</t>
        </is>
      </c>
      <c r="T105" s="73" t="n">
        <v>42979</v>
      </c>
      <c r="U105" s="73" t="n">
        <v>46636</v>
      </c>
      <c r="V105" s="73" t="n"/>
      <c r="W105" s="69" t="n"/>
      <c r="X105" s="69" t="inlineStr">
        <is>
          <t>Current</t>
        </is>
      </c>
      <c r="Y105" s="68" t="n"/>
      <c r="Z105" s="69" t="inlineStr">
        <is>
          <t>Full Defeasance</t>
        </is>
      </c>
      <c r="AA105" s="69" t="inlineStr">
        <is>
          <t>Previously</t>
        </is>
      </c>
      <c r="AB105" s="69" t="inlineStr">
        <is>
          <t>Never special serv</t>
        </is>
      </c>
      <c r="AC105" s="73" t="n"/>
      <c r="AD105" s="69" t="n"/>
      <c r="AE105" s="69" t="n"/>
      <c r="AF105" s="69" t="inlineStr">
        <is>
          <t>CA</t>
        </is>
      </c>
      <c r="AG105" s="69" t="inlineStr">
        <is>
          <t>San Diego</t>
        </is>
      </c>
      <c r="AH105" s="69" t="inlineStr">
        <is>
          <t>San Diego-Chula Vista-Carlsbad, CA</t>
        </is>
      </c>
      <c r="AI105" s="69" t="inlineStr">
        <is>
          <t>West / Pacific South</t>
        </is>
      </c>
      <c r="AJ105" s="69" t="inlineStr">
        <is>
          <t>IN</t>
        </is>
      </c>
      <c r="AK105" s="69" t="inlineStr">
        <is>
          <t>Flex</t>
        </is>
      </c>
      <c r="AL105" s="68" t="n">
        <v>1</v>
      </c>
      <c r="AM105" s="68" t="n"/>
      <c r="AN105" s="68" t="n">
        <v>139340</v>
      </c>
      <c r="AO105" s="69" t="inlineStr">
        <is>
          <t>1988</t>
        </is>
      </c>
      <c r="AP105" s="70" t="n">
        <v>1988</v>
      </c>
      <c r="AQ105" s="74" t="n">
        <v>3.45</v>
      </c>
      <c r="AR105" s="74" t="n">
        <v>4.19</v>
      </c>
      <c r="AS105" s="74" t="n">
        <v>53.1</v>
      </c>
      <c r="AT105" s="74" t="n">
        <v>53.1</v>
      </c>
      <c r="AU105" s="74" t="n">
        <v>53.1</v>
      </c>
      <c r="AV105" s="74" t="n">
        <v>14.341268732</v>
      </c>
      <c r="AW105" s="74" t="n">
        <v>17.404861549</v>
      </c>
      <c r="AX105" s="75" t="n">
        <v>93</v>
      </c>
      <c r="AY105" s="71" t="n">
        <v>13370000</v>
      </c>
      <c r="AZ105" s="71" t="n">
        <v>13370000</v>
      </c>
      <c r="BA105" s="71" t="n">
        <v>1018230.08</v>
      </c>
      <c r="BB105" s="71" t="n">
        <v>1235745.17</v>
      </c>
      <c r="BC105" s="69" t="inlineStr">
        <is>
          <t>Acquisition</t>
        </is>
      </c>
      <c r="BD105" s="69" t="inlineStr">
        <is>
          <t>Y</t>
        </is>
      </c>
      <c r="BE105" s="71" t="n"/>
      <c r="BF105" s="71" t="n"/>
      <c r="BG105" s="71" t="n"/>
      <c r="BH105" s="71" t="n">
        <v>0</v>
      </c>
      <c r="BI105" s="71" t="n">
        <v>0</v>
      </c>
      <c r="BJ105" s="69" t="inlineStr">
        <is>
          <t>N</t>
        </is>
      </c>
      <c r="BK105" s="69" t="inlineStr">
        <is>
          <t>Natus Medical Incorp</t>
        </is>
      </c>
      <c r="BL105" s="75" t="n">
        <v>27.49</v>
      </c>
      <c r="BM105" s="73" t="n">
        <v>44742</v>
      </c>
      <c r="BN105" s="69" t="inlineStr">
        <is>
          <t>Charise M. Buckley and BKS 2 Trust</t>
        </is>
      </c>
      <c r="BO105" s="69" t="inlineStr">
        <is>
          <t>Citigroup Global Markets</t>
        </is>
      </c>
      <c r="BP105" s="69" t="inlineStr">
        <is>
          <t>Midland Loan Services</t>
        </is>
      </c>
      <c r="BQ105" s="69" t="inlineStr">
        <is>
          <t>Midland Loan Services</t>
        </is>
      </c>
      <c r="BR105" s="69" t="n"/>
      <c r="BS105" s="73" t="n">
        <v>46273</v>
      </c>
      <c r="BU105" s="76">
        <f>IF($C105="","",IFERROR(INDEX(dmName,MATCH($C105,dmID,0)),"Unmapped"))</f>
        <v/>
      </c>
      <c r="BV105" s="76">
        <f>IF($C105="","",IFERROR(INDEX(dmEntity,MATCH($C105,dmID,0)),"Unmapped"))</f>
        <v/>
      </c>
      <c r="BW105" s="77">
        <f>IF($C105="","",IFERROR(INDEX(dmVintage,MATCH($C105,dmID,0)),""))</f>
        <v/>
      </c>
      <c r="BX105" s="78">
        <f>IFERROR(INDEX(dmInclude,MATCH($C105,dmID,0)),0)</f>
        <v/>
      </c>
      <c r="BY105" s="78">
        <f>IF(N($I105)&gt;0,1,0)</f>
        <v/>
      </c>
      <c r="BZ105" s="76">
        <f>IF($AJ105="","Other / Leased Fee",IFERROR(INDEX(mapPTGroup,MATCH(LEFT(TRIM($AJ105),2),mapPTCode,0)),"Other / Leased Fee"))</f>
        <v/>
      </c>
      <c r="CA105" s="76">
        <f>IF(TRIM($AF105&amp;"")="","NR",LEFT(TRIM($AF105),2))</f>
        <v/>
      </c>
      <c r="CB105" s="76">
        <f>IFERROR(LOOKUP(2,1/(LEFT(TRIM($AI105&amp;""),LEN(mapRegion))=mapRegion),mapRegion),"Not Reported")</f>
        <v/>
      </c>
      <c r="CC105" s="76">
        <f>IF($BY105=0,"",IF(TRIM($W105&amp;"")="REO","REO",IF(TRIM($W105&amp;"")="FC","Foreclosure",IF(TRIM($W105&amp;"")="90+","90+ Days Delinquent",IF(TRIM($W105&amp;"")="60","60 Days Delinquent",IF(TRIM($W105&amp;"")="30","30 Days Delinquent",IF($X105="Non-Performing Matured Balloon","Non-Performing Matured Balloon",IF(OR($X105="Late Payment But Less Than 30 Days Delinquent",LEFT($X105&amp;"",20)="Payment Not Received"),"Late / In Grace (&lt;30 Days)",IF($X105="Performing Matured Balloon","Performing Matured Balloon","Current")))))))))</f>
        <v/>
      </c>
      <c r="CD105" s="78">
        <f>IF(OR($CC105="REO",$CC105="Foreclosure",$CC105="90+ Days Delinquent",$CC105="60 Days Delinquent",$CC105="30 Days Delinquent",$CC105="Non-Performing Matured Balloon"),1,0)</f>
        <v/>
      </c>
      <c r="CE105" s="76">
        <f>IF($AB105="Currently special serv","Currently Specially Serviced",IF($AB105="Returned to master serv","Previously Specially Serviced","Never Specially Serviced"))</f>
        <v/>
      </c>
      <c r="CF105" s="78">
        <f>IF($CE105="Currently Specially Serviced",1,0)</f>
        <v/>
      </c>
      <c r="CG105" s="76">
        <f>IF($AA105="Yes","Currently on Watchlist",IF($AA105="Previously","Previously on Watchlist","Never on Watchlist"))</f>
        <v/>
      </c>
      <c r="CH105" s="78">
        <f>IF($CG105="Currently on Watchlist",1,0)</f>
        <v/>
      </c>
      <c r="CI105" s="76">
        <f>IF($Z105="Full Defeasance","Fully Defeased",IF($Z105="Portion Of Loan Previously Defeased","Partially Defeased",IF($Z105="Defeasance Not Allowable","Not Defeased (Not Permitted)","Not Defeased")))</f>
        <v/>
      </c>
      <c r="CJ105" s="78">
        <f>IF($CI105="Fully Defeased",1,0)</f>
        <v/>
      </c>
      <c r="CK105" s="76">
        <f>IF($R105="IO","Full IO",IF(LEFT($R105&amp;"",7)="IO then","Partial IO","Amortizing"))</f>
        <v/>
      </c>
      <c r="CL105" s="78">
        <f>IF($CK105="Full IO",1,0)</f>
        <v/>
      </c>
      <c r="CM105" s="78">
        <f>IF($CK105="Partial IO",1,0)</f>
        <v/>
      </c>
      <c r="CN105" s="76">
        <f>IF(LEFT($F105&amp;"",10)="SPLIT_LOAN","Pari Passu Split","Standalone")</f>
        <v/>
      </c>
      <c r="CO105" s="78">
        <f>IF($CN105="Pari Passu Split",1,0)</f>
        <v/>
      </c>
      <c r="CP105" s="77">
        <f>IF(ISNUMBER($T105),YEAR($T105),"")</f>
        <v/>
      </c>
      <c r="CQ105" s="79">
        <f>IF(ISNUMBER($V105),$V105,IF(ISNUMBER($U105),$U105,""))</f>
        <v/>
      </c>
      <c r="CR105" s="77">
        <f>IF(ISNUMBER($CQ105),YEAR($CQ105),"")</f>
        <v/>
      </c>
      <c r="CS105" s="78">
        <f>IF(ISNUMBER($M105),MAX(0,$M105),IF(TRIM($M105&amp;"")="matured",0,""))</f>
        <v/>
      </c>
      <c r="CT105" s="78">
        <f>IF(AND(ISNUMBER($CS105),N($CS105)&lt;=mMatWindow),1,0)</f>
        <v/>
      </c>
      <c r="CU105" s="80">
        <f>IF(ISNUMBER($J105),$J105/100,"")</f>
        <v/>
      </c>
      <c r="CV105" s="81">
        <f>IF(ISNUMBER($AQ105),$AQ105,"")</f>
        <v/>
      </c>
      <c r="CW105" s="81">
        <f>IF(ISNUMBER($AR105),$AR105,"")</f>
        <v/>
      </c>
      <c r="CX105" s="82">
        <f>IF(ISNUMBER($AS105),$AS105/100,"")</f>
        <v/>
      </c>
      <c r="CY105" s="82">
        <f>IF(ISNUMBER($AT105),$AT105/100,"")</f>
        <v/>
      </c>
      <c r="CZ105" s="82">
        <f>IF(ISNUMBER($AU105),$AU105/100,"")</f>
        <v/>
      </c>
      <c r="DA105" s="82">
        <f>IF(ISNUMBER($AV105),$AV105/100,"")</f>
        <v/>
      </c>
      <c r="DB105" s="82">
        <f>IF(ISNUMBER($AW105),$AW105/100,"")</f>
        <v/>
      </c>
      <c r="DC105" s="82">
        <f>IF(ISNUMBER($AX105),$AX105/100,"")</f>
        <v/>
      </c>
      <c r="DD105" s="77">
        <f>IFERROR(VALUE(LEFT(TRIM($AO105&amp;""),4)),"")</f>
        <v/>
      </c>
      <c r="DE105" s="78">
        <f>IF(AND($BY105=1,$BX105=1,OR(fDeal="All Deals",$BU105=fDeal),OR(fEntity="All Entities",$BV105=fEntity),OR(fPType="All Property Types",$BZ105=fPType),OR(fDefeased="Include",$CJ105=0)),1,0)</f>
        <v/>
      </c>
      <c r="DF105" s="83">
        <f>$DE105*N($I105)</f>
        <v/>
      </c>
      <c r="DG105" s="78">
        <f>IF($DE105=1,IF(COUNTIFS($F$8:$F105,$F105,$DE$8:$DE105,1)=1,1,0),0)</f>
        <v/>
      </c>
      <c r="DH105" s="83">
        <f>IF($DG105=1,SUMIFS($DF$8:$DF$1600,$F$8:$F$1600,$F105),0)</f>
        <v/>
      </c>
      <c r="DI105" s="78">
        <f>IF($DG105=1,COUNTIFS($F$8:$F$1600,$F105,$DE$8:$DE$1600,1),0)</f>
        <v/>
      </c>
      <c r="DJ105" s="84">
        <f>IF($DG105=1,$DH105+(100000-ROW())/mTieBreak,0)</f>
        <v/>
      </c>
    </row>
    <row r="106">
      <c r="B106" s="68" t="n">
        <v>40</v>
      </c>
      <c r="C106" s="69" t="inlineStr">
        <is>
          <t>CTG17C04</t>
        </is>
      </c>
      <c r="D106" s="69" t="inlineStr">
        <is>
          <t>40.000</t>
        </is>
      </c>
      <c r="E106" s="69" t="inlineStr">
        <is>
          <t>Carolina Center Business Park</t>
        </is>
      </c>
      <c r="F106" s="69" t="inlineStr">
        <is>
          <t>LNCTG17C04-40.000</t>
        </is>
      </c>
      <c r="G106" s="70" t="n"/>
      <c r="H106" s="71" t="n">
        <v>6750000</v>
      </c>
      <c r="I106" s="71" t="n">
        <v>5638020.630003</v>
      </c>
      <c r="J106" s="72" t="n">
        <v>4.64</v>
      </c>
      <c r="K106" s="69" t="inlineStr">
        <is>
          <t>Fixed rate</t>
        </is>
      </c>
      <c r="L106" s="68" t="n">
        <v>120</v>
      </c>
      <c r="M106" s="68" t="n">
        <v>12</v>
      </c>
      <c r="N106" s="68" t="n">
        <v>360</v>
      </c>
      <c r="O106" s="68" t="n"/>
      <c r="P106" s="68" t="n"/>
      <c r="Q106" s="68" t="n">
        <v>108</v>
      </c>
      <c r="R106" s="69" t="n"/>
      <c r="S106" s="69" t="inlineStr">
        <is>
          <t>No</t>
        </is>
      </c>
      <c r="T106" s="73" t="n">
        <v>42979</v>
      </c>
      <c r="U106" s="73" t="n">
        <v>46636</v>
      </c>
      <c r="V106" s="73" t="n"/>
      <c r="W106" s="69" t="n"/>
      <c r="X106" s="69" t="inlineStr">
        <is>
          <t>Current</t>
        </is>
      </c>
      <c r="Y106" s="68" t="n"/>
      <c r="Z106" s="69" t="inlineStr">
        <is>
          <t>No Defeasance Occurred</t>
        </is>
      </c>
      <c r="AA106" s="69" t="inlineStr">
        <is>
          <t>Previously</t>
        </is>
      </c>
      <c r="AB106" s="69" t="inlineStr">
        <is>
          <t>Never special serv</t>
        </is>
      </c>
      <c r="AC106" s="73" t="n"/>
      <c r="AD106" s="69" t="n"/>
      <c r="AE106" s="69" t="n"/>
      <c r="AF106" s="69" t="inlineStr">
        <is>
          <t>SC</t>
        </is>
      </c>
      <c r="AG106" s="69" t="inlineStr">
        <is>
          <t>West Columbia</t>
        </is>
      </c>
      <c r="AH106" s="69" t="inlineStr">
        <is>
          <t>Columbia, SC</t>
        </is>
      </c>
      <c r="AI106" s="69" t="inlineStr">
        <is>
          <t>South / Atlantic</t>
        </is>
      </c>
      <c r="AJ106" s="69" t="inlineStr">
        <is>
          <t>IN</t>
        </is>
      </c>
      <c r="AK106" s="69" t="inlineStr">
        <is>
          <t>Flex/Warehouse</t>
        </is>
      </c>
      <c r="AL106" s="68" t="n">
        <v>1</v>
      </c>
      <c r="AM106" s="68" t="n"/>
      <c r="AN106" s="68" t="n">
        <v>110644</v>
      </c>
      <c r="AO106" s="69" t="inlineStr">
        <is>
          <t>1984-1987</t>
        </is>
      </c>
      <c r="AP106" s="70" t="n">
        <v>1987</v>
      </c>
      <c r="AQ106" s="74" t="n">
        <v>1.43</v>
      </c>
      <c r="AR106" s="74" t="n">
        <v>2.05</v>
      </c>
      <c r="AS106" s="74" t="n">
        <v>66.75</v>
      </c>
      <c r="AT106" s="74" t="n">
        <v>55.82</v>
      </c>
      <c r="AU106" s="74" t="n">
        <v>54.28</v>
      </c>
      <c r="AV106" s="74" t="n">
        <v>8.866030667</v>
      </c>
      <c r="AW106" s="74" t="n">
        <v>13.013841171</v>
      </c>
      <c r="AX106" s="75" t="n">
        <v>100</v>
      </c>
      <c r="AY106" s="71" t="n">
        <v>10100000</v>
      </c>
      <c r="AZ106" s="71" t="n">
        <v>10100000</v>
      </c>
      <c r="BA106" s="71" t="n">
        <v>598457.0699999999</v>
      </c>
      <c r="BB106" s="71" t="n">
        <v>854808.13</v>
      </c>
      <c r="BC106" s="69" t="inlineStr">
        <is>
          <t>Refinance</t>
        </is>
      </c>
      <c r="BD106" s="69" t="inlineStr">
        <is>
          <t>N</t>
        </is>
      </c>
      <c r="BE106" s="71" t="n"/>
      <c r="BF106" s="71" t="n"/>
      <c r="BG106" s="71" t="n"/>
      <c r="BH106" s="71" t="n">
        <v>0</v>
      </c>
      <c r="BI106" s="71" t="n">
        <v>0</v>
      </c>
      <c r="BJ106" s="69" t="inlineStr">
        <is>
          <t>N</t>
        </is>
      </c>
      <c r="BK106" s="69" t="inlineStr">
        <is>
          <t>Ferguson Enterprises LLC</t>
        </is>
      </c>
      <c r="BL106" s="75" t="n">
        <v>31.48</v>
      </c>
      <c r="BM106" s="73" t="n">
        <v>47573</v>
      </c>
      <c r="BN106" s="69" t="inlineStr">
        <is>
          <t>Elliot M. Liffman</t>
        </is>
      </c>
      <c r="BO106" s="69" t="inlineStr">
        <is>
          <t>Citigroup Global Markets</t>
        </is>
      </c>
      <c r="BP106" s="69" t="inlineStr">
        <is>
          <t>Midland Loan Services</t>
        </is>
      </c>
      <c r="BQ106" s="69" t="inlineStr">
        <is>
          <t>Midland Loan Services</t>
        </is>
      </c>
      <c r="BR106" s="69" t="n"/>
      <c r="BS106" s="73" t="n">
        <v>46273</v>
      </c>
      <c r="BU106" s="76">
        <f>IF($C106="","",IFERROR(INDEX(dmName,MATCH($C106,dmID,0)),"Unmapped"))</f>
        <v/>
      </c>
      <c r="BV106" s="76">
        <f>IF($C106="","",IFERROR(INDEX(dmEntity,MATCH($C106,dmID,0)),"Unmapped"))</f>
        <v/>
      </c>
      <c r="BW106" s="77">
        <f>IF($C106="","",IFERROR(INDEX(dmVintage,MATCH($C106,dmID,0)),""))</f>
        <v/>
      </c>
      <c r="BX106" s="78">
        <f>IFERROR(INDEX(dmInclude,MATCH($C106,dmID,0)),0)</f>
        <v/>
      </c>
      <c r="BY106" s="78">
        <f>IF(N($I106)&gt;0,1,0)</f>
        <v/>
      </c>
      <c r="BZ106" s="76">
        <f>IF($AJ106="","Other / Leased Fee",IFERROR(INDEX(mapPTGroup,MATCH(LEFT(TRIM($AJ106),2),mapPTCode,0)),"Other / Leased Fee"))</f>
        <v/>
      </c>
      <c r="CA106" s="76">
        <f>IF(TRIM($AF106&amp;"")="","NR",LEFT(TRIM($AF106),2))</f>
        <v/>
      </c>
      <c r="CB106" s="76">
        <f>IFERROR(LOOKUP(2,1/(LEFT(TRIM($AI106&amp;""),LEN(mapRegion))=mapRegion),mapRegion),"Not Reported")</f>
        <v/>
      </c>
      <c r="CC106" s="76">
        <f>IF($BY106=0,"",IF(TRIM($W106&amp;"")="REO","REO",IF(TRIM($W106&amp;"")="FC","Foreclosure",IF(TRIM($W106&amp;"")="90+","90+ Days Delinquent",IF(TRIM($W106&amp;"")="60","60 Days Delinquent",IF(TRIM($W106&amp;"")="30","30 Days Delinquent",IF($X106="Non-Performing Matured Balloon","Non-Performing Matured Balloon",IF(OR($X106="Late Payment But Less Than 30 Days Delinquent",LEFT($X106&amp;"",20)="Payment Not Received"),"Late / In Grace (&lt;30 Days)",IF($X106="Performing Matured Balloon","Performing Matured Balloon","Current")))))))))</f>
        <v/>
      </c>
      <c r="CD106" s="78">
        <f>IF(OR($CC106="REO",$CC106="Foreclosure",$CC106="90+ Days Delinquent",$CC106="60 Days Delinquent",$CC106="30 Days Delinquent",$CC106="Non-Performing Matured Balloon"),1,0)</f>
        <v/>
      </c>
      <c r="CE106" s="76">
        <f>IF($AB106="Currently special serv","Currently Specially Serviced",IF($AB106="Returned to master serv","Previously Specially Serviced","Never Specially Serviced"))</f>
        <v/>
      </c>
      <c r="CF106" s="78">
        <f>IF($CE106="Currently Specially Serviced",1,0)</f>
        <v/>
      </c>
      <c r="CG106" s="76">
        <f>IF($AA106="Yes","Currently on Watchlist",IF($AA106="Previously","Previously on Watchlist","Never on Watchlist"))</f>
        <v/>
      </c>
      <c r="CH106" s="78">
        <f>IF($CG106="Currently on Watchlist",1,0)</f>
        <v/>
      </c>
      <c r="CI106" s="76">
        <f>IF($Z106="Full Defeasance","Fully Defeased",IF($Z106="Portion Of Loan Previously Defeased","Partially Defeased",IF($Z106="Defeasance Not Allowable","Not Defeased (Not Permitted)","Not Defeased")))</f>
        <v/>
      </c>
      <c r="CJ106" s="78">
        <f>IF($CI106="Fully Defeased",1,0)</f>
        <v/>
      </c>
      <c r="CK106" s="76">
        <f>IF($R106="IO","Full IO",IF(LEFT($R106&amp;"",7)="IO then","Partial IO","Amortizing"))</f>
        <v/>
      </c>
      <c r="CL106" s="78">
        <f>IF($CK106="Full IO",1,0)</f>
        <v/>
      </c>
      <c r="CM106" s="78">
        <f>IF($CK106="Partial IO",1,0)</f>
        <v/>
      </c>
      <c r="CN106" s="76">
        <f>IF(LEFT($F106&amp;"",10)="SPLIT_LOAN","Pari Passu Split","Standalone")</f>
        <v/>
      </c>
      <c r="CO106" s="78">
        <f>IF($CN106="Pari Passu Split",1,0)</f>
        <v/>
      </c>
      <c r="CP106" s="77">
        <f>IF(ISNUMBER($T106),YEAR($T106),"")</f>
        <v/>
      </c>
      <c r="CQ106" s="79">
        <f>IF(ISNUMBER($V106),$V106,IF(ISNUMBER($U106),$U106,""))</f>
        <v/>
      </c>
      <c r="CR106" s="77">
        <f>IF(ISNUMBER($CQ106),YEAR($CQ106),"")</f>
        <v/>
      </c>
      <c r="CS106" s="78">
        <f>IF(ISNUMBER($M106),MAX(0,$M106),IF(TRIM($M106&amp;"")="matured",0,""))</f>
        <v/>
      </c>
      <c r="CT106" s="78">
        <f>IF(AND(ISNUMBER($CS106),N($CS106)&lt;=mMatWindow),1,0)</f>
        <v/>
      </c>
      <c r="CU106" s="80">
        <f>IF(ISNUMBER($J106),$J106/100,"")</f>
        <v/>
      </c>
      <c r="CV106" s="81">
        <f>IF(ISNUMBER($AQ106),$AQ106,"")</f>
        <v/>
      </c>
      <c r="CW106" s="81">
        <f>IF(ISNUMBER($AR106),$AR106,"")</f>
        <v/>
      </c>
      <c r="CX106" s="82">
        <f>IF(ISNUMBER($AS106),$AS106/100,"")</f>
        <v/>
      </c>
      <c r="CY106" s="82">
        <f>IF(ISNUMBER($AT106),$AT106/100,"")</f>
        <v/>
      </c>
      <c r="CZ106" s="82">
        <f>IF(ISNUMBER($AU106),$AU106/100,"")</f>
        <v/>
      </c>
      <c r="DA106" s="82">
        <f>IF(ISNUMBER($AV106),$AV106/100,"")</f>
        <v/>
      </c>
      <c r="DB106" s="82">
        <f>IF(ISNUMBER($AW106),$AW106/100,"")</f>
        <v/>
      </c>
      <c r="DC106" s="82">
        <f>IF(ISNUMBER($AX106),$AX106/100,"")</f>
        <v/>
      </c>
      <c r="DD106" s="77">
        <f>IFERROR(VALUE(LEFT(TRIM($AO106&amp;""),4)),"")</f>
        <v/>
      </c>
      <c r="DE106" s="78">
        <f>IF(AND($BY106=1,$BX106=1,OR(fDeal="All Deals",$BU106=fDeal),OR(fEntity="All Entities",$BV106=fEntity),OR(fPType="All Property Types",$BZ106=fPType),OR(fDefeased="Include",$CJ106=0)),1,0)</f>
        <v/>
      </c>
      <c r="DF106" s="83">
        <f>$DE106*N($I106)</f>
        <v/>
      </c>
      <c r="DG106" s="78">
        <f>IF($DE106=1,IF(COUNTIFS($F$8:$F106,$F106,$DE$8:$DE106,1)=1,1,0),0)</f>
        <v/>
      </c>
      <c r="DH106" s="83">
        <f>IF($DG106=1,SUMIFS($DF$8:$DF$1600,$F$8:$F$1600,$F106),0)</f>
        <v/>
      </c>
      <c r="DI106" s="78">
        <f>IF($DG106=1,COUNTIFS($F$8:$F$1600,$F106,$DE$8:$DE$1600,1),0)</f>
        <v/>
      </c>
      <c r="DJ106" s="84">
        <f>IF($DG106=1,$DH106+(100000-ROW())/mTieBreak,0)</f>
        <v/>
      </c>
    </row>
    <row r="107">
      <c r="B107" s="68" t="n">
        <v>41</v>
      </c>
      <c r="C107" s="69" t="inlineStr">
        <is>
          <t>CTG17C04</t>
        </is>
      </c>
      <c r="D107" s="69" t="inlineStr">
        <is>
          <t>41.000</t>
        </is>
      </c>
      <c r="E107" s="69" t="inlineStr">
        <is>
          <t>St. Louis Cardinals Lot</t>
        </is>
      </c>
      <c r="F107" s="69" t="inlineStr">
        <is>
          <t>LNCTG17C04-41.000</t>
        </is>
      </c>
      <c r="G107" s="70" t="n"/>
      <c r="H107" s="71" t="n">
        <v>6000000</v>
      </c>
      <c r="I107" s="71" t="n">
        <v>6000000</v>
      </c>
      <c r="J107" s="72" t="n">
        <v>5.25</v>
      </c>
      <c r="K107" s="69" t="inlineStr">
        <is>
          <t>Fixed rate</t>
        </is>
      </c>
      <c r="L107" s="68" t="n">
        <v>120</v>
      </c>
      <c r="M107" s="68" t="n">
        <v>9</v>
      </c>
      <c r="N107" s="68" t="n">
        <v>120</v>
      </c>
      <c r="O107" s="68" t="n">
        <v>120</v>
      </c>
      <c r="P107" s="68" t="n">
        <v>9</v>
      </c>
      <c r="Q107" s="68" t="n">
        <v>111</v>
      </c>
      <c r="R107" s="69" t="inlineStr">
        <is>
          <t>IO</t>
        </is>
      </c>
      <c r="S107" s="69" t="inlineStr">
        <is>
          <t>Yes</t>
        </is>
      </c>
      <c r="T107" s="73" t="n">
        <v>42887</v>
      </c>
      <c r="U107" s="73" t="n">
        <v>46544</v>
      </c>
      <c r="V107" s="73" t="n"/>
      <c r="W107" s="69" t="n"/>
      <c r="X107" s="69" t="inlineStr">
        <is>
          <t>Current</t>
        </is>
      </c>
      <c r="Y107" s="68" t="n"/>
      <c r="Z107" s="69" t="inlineStr">
        <is>
          <t>No Defeasance Occurred</t>
        </is>
      </c>
      <c r="AA107" s="69" t="inlineStr">
        <is>
          <t>Previously</t>
        </is>
      </c>
      <c r="AB107" s="69" t="inlineStr">
        <is>
          <t>Never special serv</t>
        </is>
      </c>
      <c r="AC107" s="73" t="n"/>
      <c r="AD107" s="69" t="n"/>
      <c r="AE107" s="69" t="n"/>
      <c r="AF107" s="69" t="inlineStr">
        <is>
          <t>MO</t>
        </is>
      </c>
      <c r="AG107" s="69" t="inlineStr">
        <is>
          <t>St. Louis</t>
        </is>
      </c>
      <c r="AH107" s="69" t="inlineStr">
        <is>
          <t>St. Louis, MO-IL</t>
        </is>
      </c>
      <c r="AI107" s="69" t="inlineStr">
        <is>
          <t>Midwest / Central West</t>
        </is>
      </c>
      <c r="AJ107" s="69" t="inlineStr">
        <is>
          <t>OT</t>
        </is>
      </c>
      <c r="AK107" s="69" t="n"/>
      <c r="AL107" s="68" t="n">
        <v>1</v>
      </c>
      <c r="AM107" s="68" t="n"/>
      <c r="AN107" s="68" t="n">
        <v>111514</v>
      </c>
      <c r="AO107" s="69" t="inlineStr">
        <is>
          <t>1971</t>
        </is>
      </c>
      <c r="AP107" s="70" t="n">
        <v>2016</v>
      </c>
      <c r="AQ107" s="74" t="n">
        <v>1.96</v>
      </c>
      <c r="AR107" s="74" t="n">
        <v>1.71</v>
      </c>
      <c r="AS107" s="74" t="n">
        <v>47.5</v>
      </c>
      <c r="AT107" s="74" t="n">
        <v>47.54</v>
      </c>
      <c r="AU107" s="74" t="n">
        <v>47.5</v>
      </c>
      <c r="AV107" s="74" t="n">
        <v>10.4375</v>
      </c>
      <c r="AW107" s="74" t="n">
        <v>9.06</v>
      </c>
      <c r="AX107" s="75" t="n">
        <v>100</v>
      </c>
      <c r="AY107" s="71" t="n">
        <v>12620000</v>
      </c>
      <c r="AZ107" s="71" t="n">
        <v>12620000</v>
      </c>
      <c r="BA107" s="71" t="n">
        <v>626250</v>
      </c>
      <c r="BB107" s="71" t="n">
        <v>1087200</v>
      </c>
      <c r="BC107" s="69" t="inlineStr">
        <is>
          <t>Acquisition</t>
        </is>
      </c>
      <c r="BD107" s="69" t="inlineStr">
        <is>
          <t>N</t>
        </is>
      </c>
      <c r="BE107" s="71" t="n"/>
      <c r="BF107" s="71" t="n"/>
      <c r="BG107" s="71" t="n"/>
      <c r="BH107" s="71" t="n">
        <v>0</v>
      </c>
      <c r="BI107" s="71" t="n">
        <v>0</v>
      </c>
      <c r="BJ107" s="69" t="inlineStr">
        <is>
          <t>N</t>
        </is>
      </c>
      <c r="BK107" s="69" t="inlineStr">
        <is>
          <t>Premier Parking</t>
        </is>
      </c>
      <c r="BL107" s="75" t="n">
        <v>100</v>
      </c>
      <c r="BM107" s="73" t="n">
        <v>46538</v>
      </c>
      <c r="BN107" s="69" t="inlineStr">
        <is>
          <t>Michael V. Shustek, Vestin Realty Mortgage I, Inc. and Vestin Realty Mortgage II, Inc.</t>
        </is>
      </c>
      <c r="BO107" s="69" t="inlineStr">
        <is>
          <t>Cantor Commercial Real Estate Lending</t>
        </is>
      </c>
      <c r="BP107" s="69" t="inlineStr">
        <is>
          <t>Midland Loan Services</t>
        </is>
      </c>
      <c r="BQ107" s="69" t="inlineStr">
        <is>
          <t>Midland Loan Services</t>
        </is>
      </c>
      <c r="BR107" s="69" t="n"/>
      <c r="BS107" s="73" t="n">
        <v>46273</v>
      </c>
      <c r="BU107" s="76">
        <f>IF($C107="","",IFERROR(INDEX(dmName,MATCH($C107,dmID,0)),"Unmapped"))</f>
        <v/>
      </c>
      <c r="BV107" s="76">
        <f>IF($C107="","",IFERROR(INDEX(dmEntity,MATCH($C107,dmID,0)),"Unmapped"))</f>
        <v/>
      </c>
      <c r="BW107" s="77">
        <f>IF($C107="","",IFERROR(INDEX(dmVintage,MATCH($C107,dmID,0)),""))</f>
        <v/>
      </c>
      <c r="BX107" s="78">
        <f>IFERROR(INDEX(dmInclude,MATCH($C107,dmID,0)),0)</f>
        <v/>
      </c>
      <c r="BY107" s="78">
        <f>IF(N($I107)&gt;0,1,0)</f>
        <v/>
      </c>
      <c r="BZ107" s="76">
        <f>IF($AJ107="","Other / Leased Fee",IFERROR(INDEX(mapPTGroup,MATCH(LEFT(TRIM($AJ107),2),mapPTCode,0)),"Other / Leased Fee"))</f>
        <v/>
      </c>
      <c r="CA107" s="76">
        <f>IF(TRIM($AF107&amp;"")="","NR",LEFT(TRIM($AF107),2))</f>
        <v/>
      </c>
      <c r="CB107" s="76">
        <f>IFERROR(LOOKUP(2,1/(LEFT(TRIM($AI107&amp;""),LEN(mapRegion))=mapRegion),mapRegion),"Not Reported")</f>
        <v/>
      </c>
      <c r="CC107" s="76">
        <f>IF($BY107=0,"",IF(TRIM($W107&amp;"")="REO","REO",IF(TRIM($W107&amp;"")="FC","Foreclosure",IF(TRIM($W107&amp;"")="90+","90+ Days Delinquent",IF(TRIM($W107&amp;"")="60","60 Days Delinquent",IF(TRIM($W107&amp;"")="30","30 Days Delinquent",IF($X107="Non-Performing Matured Balloon","Non-Performing Matured Balloon",IF(OR($X107="Late Payment But Less Than 30 Days Delinquent",LEFT($X107&amp;"",20)="Payment Not Received"),"Late / In Grace (&lt;30 Days)",IF($X107="Performing Matured Balloon","Performing Matured Balloon","Current")))))))))</f>
        <v/>
      </c>
      <c r="CD107" s="78">
        <f>IF(OR($CC107="REO",$CC107="Foreclosure",$CC107="90+ Days Delinquent",$CC107="60 Days Delinquent",$CC107="30 Days Delinquent",$CC107="Non-Performing Matured Balloon"),1,0)</f>
        <v/>
      </c>
      <c r="CE107" s="76">
        <f>IF($AB107="Currently special serv","Currently Specially Serviced",IF($AB107="Returned to master serv","Previously Specially Serviced","Never Specially Serviced"))</f>
        <v/>
      </c>
      <c r="CF107" s="78">
        <f>IF($CE107="Currently Specially Serviced",1,0)</f>
        <v/>
      </c>
      <c r="CG107" s="76">
        <f>IF($AA107="Yes","Currently on Watchlist",IF($AA107="Previously","Previously on Watchlist","Never on Watchlist"))</f>
        <v/>
      </c>
      <c r="CH107" s="78">
        <f>IF($CG107="Currently on Watchlist",1,0)</f>
        <v/>
      </c>
      <c r="CI107" s="76">
        <f>IF($Z107="Full Defeasance","Fully Defeased",IF($Z107="Portion Of Loan Previously Defeased","Partially Defeased",IF($Z107="Defeasance Not Allowable","Not Defeased (Not Permitted)","Not Defeased")))</f>
        <v/>
      </c>
      <c r="CJ107" s="78">
        <f>IF($CI107="Fully Defeased",1,0)</f>
        <v/>
      </c>
      <c r="CK107" s="76">
        <f>IF($R107="IO","Full IO",IF(LEFT($R107&amp;"",7)="IO then","Partial IO","Amortizing"))</f>
        <v/>
      </c>
      <c r="CL107" s="78">
        <f>IF($CK107="Full IO",1,0)</f>
        <v/>
      </c>
      <c r="CM107" s="78">
        <f>IF($CK107="Partial IO",1,0)</f>
        <v/>
      </c>
      <c r="CN107" s="76">
        <f>IF(LEFT($F107&amp;"",10)="SPLIT_LOAN","Pari Passu Split","Standalone")</f>
        <v/>
      </c>
      <c r="CO107" s="78">
        <f>IF($CN107="Pari Passu Split",1,0)</f>
        <v/>
      </c>
      <c r="CP107" s="77">
        <f>IF(ISNUMBER($T107),YEAR($T107),"")</f>
        <v/>
      </c>
      <c r="CQ107" s="79">
        <f>IF(ISNUMBER($V107),$V107,IF(ISNUMBER($U107),$U107,""))</f>
        <v/>
      </c>
      <c r="CR107" s="77">
        <f>IF(ISNUMBER($CQ107),YEAR($CQ107),"")</f>
        <v/>
      </c>
      <c r="CS107" s="78">
        <f>IF(ISNUMBER($M107),MAX(0,$M107),IF(TRIM($M107&amp;"")="matured",0,""))</f>
        <v/>
      </c>
      <c r="CT107" s="78">
        <f>IF(AND(ISNUMBER($CS107),N($CS107)&lt;=mMatWindow),1,0)</f>
        <v/>
      </c>
      <c r="CU107" s="80">
        <f>IF(ISNUMBER($J107),$J107/100,"")</f>
        <v/>
      </c>
      <c r="CV107" s="81">
        <f>IF(ISNUMBER($AQ107),$AQ107,"")</f>
        <v/>
      </c>
      <c r="CW107" s="81">
        <f>IF(ISNUMBER($AR107),$AR107,"")</f>
        <v/>
      </c>
      <c r="CX107" s="82">
        <f>IF(ISNUMBER($AS107),$AS107/100,"")</f>
        <v/>
      </c>
      <c r="CY107" s="82">
        <f>IF(ISNUMBER($AT107),$AT107/100,"")</f>
        <v/>
      </c>
      <c r="CZ107" s="82">
        <f>IF(ISNUMBER($AU107),$AU107/100,"")</f>
        <v/>
      </c>
      <c r="DA107" s="82">
        <f>IF(ISNUMBER($AV107),$AV107/100,"")</f>
        <v/>
      </c>
      <c r="DB107" s="82">
        <f>IF(ISNUMBER($AW107),$AW107/100,"")</f>
        <v/>
      </c>
      <c r="DC107" s="82">
        <f>IF(ISNUMBER($AX107),$AX107/100,"")</f>
        <v/>
      </c>
      <c r="DD107" s="77">
        <f>IFERROR(VALUE(LEFT(TRIM($AO107&amp;""),4)),"")</f>
        <v/>
      </c>
      <c r="DE107" s="78">
        <f>IF(AND($BY107=1,$BX107=1,OR(fDeal="All Deals",$BU107=fDeal),OR(fEntity="All Entities",$BV107=fEntity),OR(fPType="All Property Types",$BZ107=fPType),OR(fDefeased="Include",$CJ107=0)),1,0)</f>
        <v/>
      </c>
      <c r="DF107" s="83">
        <f>$DE107*N($I107)</f>
        <v/>
      </c>
      <c r="DG107" s="78">
        <f>IF($DE107=1,IF(COUNTIFS($F$8:$F107,$F107,$DE$8:$DE107,1)=1,1,0),0)</f>
        <v/>
      </c>
      <c r="DH107" s="83">
        <f>IF($DG107=1,SUMIFS($DF$8:$DF$1600,$F$8:$F$1600,$F107),0)</f>
        <v/>
      </c>
      <c r="DI107" s="78">
        <f>IF($DG107=1,COUNTIFS($F$8:$F$1600,$F107,$DE$8:$DE$1600,1),0)</f>
        <v/>
      </c>
      <c r="DJ107" s="84">
        <f>IF($DG107=1,$DH107+(100000-ROW())/mTieBreak,0)</f>
        <v/>
      </c>
    </row>
    <row r="108">
      <c r="B108" s="68" t="n">
        <v>42</v>
      </c>
      <c r="C108" s="69" t="inlineStr">
        <is>
          <t>CTG17C04</t>
        </is>
      </c>
      <c r="D108" s="69" t="inlineStr">
        <is>
          <t>42.000</t>
        </is>
      </c>
      <c r="E108" s="69" t="inlineStr">
        <is>
          <t>Bear River Storage</t>
        </is>
      </c>
      <c r="F108" s="69" t="inlineStr">
        <is>
          <t>LNCTG17C04-42.000</t>
        </is>
      </c>
      <c r="G108" s="70" t="n"/>
      <c r="H108" s="71" t="n">
        <v>6000000</v>
      </c>
      <c r="I108" s="71" t="n">
        <v>5052552</v>
      </c>
      <c r="J108" s="72" t="n">
        <v>4.915</v>
      </c>
      <c r="K108" s="69" t="inlineStr">
        <is>
          <t>Fixed rate</t>
        </is>
      </c>
      <c r="L108" s="68" t="n">
        <v>120</v>
      </c>
      <c r="M108" s="68" t="n">
        <v>12</v>
      </c>
      <c r="N108" s="68" t="n">
        <v>360</v>
      </c>
      <c r="O108" s="68" t="n"/>
      <c r="P108" s="68" t="n"/>
      <c r="Q108" s="68" t="n">
        <v>108</v>
      </c>
      <c r="R108" s="69" t="n"/>
      <c r="S108" s="69" t="inlineStr">
        <is>
          <t>No</t>
        </is>
      </c>
      <c r="T108" s="73" t="n">
        <v>42979</v>
      </c>
      <c r="U108" s="73" t="n">
        <v>46636</v>
      </c>
      <c r="V108" s="73" t="n"/>
      <c r="W108" s="69" t="n"/>
      <c r="X108" s="69" t="inlineStr">
        <is>
          <t>Current</t>
        </is>
      </c>
      <c r="Y108" s="68" t="n"/>
      <c r="Z108" s="69" t="inlineStr">
        <is>
          <t>Full Defeasance</t>
        </is>
      </c>
      <c r="AA108" s="69" t="inlineStr">
        <is>
          <t>Previously</t>
        </is>
      </c>
      <c r="AB108" s="69" t="inlineStr">
        <is>
          <t>Never special serv</t>
        </is>
      </c>
      <c r="AC108" s="73" t="n"/>
      <c r="AD108" s="69" t="n"/>
      <c r="AE108" s="69" t="n"/>
      <c r="AF108" s="69" t="inlineStr">
        <is>
          <t>UT</t>
        </is>
      </c>
      <c r="AG108" s="69" t="inlineStr">
        <is>
          <t>Provo</t>
        </is>
      </c>
      <c r="AH108" s="69" t="inlineStr">
        <is>
          <t>Provo-Orem-Lehi, UT</t>
        </is>
      </c>
      <c r="AI108" s="69" t="inlineStr">
        <is>
          <t>West / Mountain</t>
        </is>
      </c>
      <c r="AJ108" s="69" t="inlineStr">
        <is>
          <t>SS</t>
        </is>
      </c>
      <c r="AK108" s="69" t="n"/>
      <c r="AL108" s="68" t="n">
        <v>1</v>
      </c>
      <c r="AM108" s="68" t="n"/>
      <c r="AN108" s="68" t="n">
        <v>62650</v>
      </c>
      <c r="AO108" s="69" t="inlineStr">
        <is>
          <t>1980, 2013</t>
        </is>
      </c>
      <c r="AP108" s="70" t="n">
        <v>2013</v>
      </c>
      <c r="AQ108" s="74" t="n">
        <v>1.44</v>
      </c>
      <c r="AR108" s="74" t="n">
        <v>1.45</v>
      </c>
      <c r="AS108" s="74" t="n">
        <v>69.68000000000001</v>
      </c>
      <c r="AT108" s="74" t="n">
        <v>58.75</v>
      </c>
      <c r="AU108" s="74" t="n">
        <v>57.19</v>
      </c>
      <c r="AV108" s="74" t="n">
        <v>9.206435333</v>
      </c>
      <c r="AW108" s="74" t="n">
        <v>10.981715775</v>
      </c>
      <c r="AX108" s="75" t="n">
        <v>84</v>
      </c>
      <c r="AY108" s="71" t="n">
        <v>8600000</v>
      </c>
      <c r="AZ108" s="71" t="n">
        <v>8600000</v>
      </c>
      <c r="BA108" s="71" t="n">
        <v>552386.12</v>
      </c>
      <c r="BB108" s="71" t="n">
        <v>554856.9</v>
      </c>
      <c r="BC108" s="69" t="inlineStr">
        <is>
          <t>Refinance</t>
        </is>
      </c>
      <c r="BD108" s="69" t="inlineStr">
        <is>
          <t>N</t>
        </is>
      </c>
      <c r="BE108" s="71" t="n"/>
      <c r="BF108" s="71" t="n"/>
      <c r="BG108" s="71" t="n"/>
      <c r="BH108" s="71" t="n">
        <v>0</v>
      </c>
      <c r="BI108" s="71" t="n">
        <v>0</v>
      </c>
      <c r="BJ108" s="69" t="inlineStr">
        <is>
          <t>N</t>
        </is>
      </c>
      <c r="BK108" s="69" t="n"/>
      <c r="BL108" s="75" t="n"/>
      <c r="BM108" s="73" t="n"/>
      <c r="BN108" s="69" t="inlineStr">
        <is>
          <t>Dix U. Sorensen and Deborah J. Sorensen</t>
        </is>
      </c>
      <c r="BO108" s="69" t="inlineStr">
        <is>
          <t>Ladder Capital Finance</t>
        </is>
      </c>
      <c r="BP108" s="69" t="inlineStr">
        <is>
          <t>Midland Loan Services</t>
        </is>
      </c>
      <c r="BQ108" s="69" t="inlineStr">
        <is>
          <t>Midland Loan Services</t>
        </is>
      </c>
      <c r="BR108" s="69" t="n"/>
      <c r="BS108" s="73" t="n">
        <v>46273</v>
      </c>
      <c r="BU108" s="76">
        <f>IF($C108="","",IFERROR(INDEX(dmName,MATCH($C108,dmID,0)),"Unmapped"))</f>
        <v/>
      </c>
      <c r="BV108" s="76">
        <f>IF($C108="","",IFERROR(INDEX(dmEntity,MATCH($C108,dmID,0)),"Unmapped"))</f>
        <v/>
      </c>
      <c r="BW108" s="77">
        <f>IF($C108="","",IFERROR(INDEX(dmVintage,MATCH($C108,dmID,0)),""))</f>
        <v/>
      </c>
      <c r="BX108" s="78">
        <f>IFERROR(INDEX(dmInclude,MATCH($C108,dmID,0)),0)</f>
        <v/>
      </c>
      <c r="BY108" s="78">
        <f>IF(N($I108)&gt;0,1,0)</f>
        <v/>
      </c>
      <c r="BZ108" s="76">
        <f>IF($AJ108="","Other / Leased Fee",IFERROR(INDEX(mapPTGroup,MATCH(LEFT(TRIM($AJ108),2),mapPTCode,0)),"Other / Leased Fee"))</f>
        <v/>
      </c>
      <c r="CA108" s="76">
        <f>IF(TRIM($AF108&amp;"")="","NR",LEFT(TRIM($AF108),2))</f>
        <v/>
      </c>
      <c r="CB108" s="76">
        <f>IFERROR(LOOKUP(2,1/(LEFT(TRIM($AI108&amp;""),LEN(mapRegion))=mapRegion),mapRegion),"Not Reported")</f>
        <v/>
      </c>
      <c r="CC108" s="76">
        <f>IF($BY108=0,"",IF(TRIM($W108&amp;"")="REO","REO",IF(TRIM($W108&amp;"")="FC","Foreclosure",IF(TRIM($W108&amp;"")="90+","90+ Days Delinquent",IF(TRIM($W108&amp;"")="60","60 Days Delinquent",IF(TRIM($W108&amp;"")="30","30 Days Delinquent",IF($X108="Non-Performing Matured Balloon","Non-Performing Matured Balloon",IF(OR($X108="Late Payment But Less Than 30 Days Delinquent",LEFT($X108&amp;"",20)="Payment Not Received"),"Late / In Grace (&lt;30 Days)",IF($X108="Performing Matured Balloon","Performing Matured Balloon","Current")))))))))</f>
        <v/>
      </c>
      <c r="CD108" s="78">
        <f>IF(OR($CC108="REO",$CC108="Foreclosure",$CC108="90+ Days Delinquent",$CC108="60 Days Delinquent",$CC108="30 Days Delinquent",$CC108="Non-Performing Matured Balloon"),1,0)</f>
        <v/>
      </c>
      <c r="CE108" s="76">
        <f>IF($AB108="Currently special serv","Currently Specially Serviced",IF($AB108="Returned to master serv","Previously Specially Serviced","Never Specially Serviced"))</f>
        <v/>
      </c>
      <c r="CF108" s="78">
        <f>IF($CE108="Currently Specially Serviced",1,0)</f>
        <v/>
      </c>
      <c r="CG108" s="76">
        <f>IF($AA108="Yes","Currently on Watchlist",IF($AA108="Previously","Previously on Watchlist","Never on Watchlist"))</f>
        <v/>
      </c>
      <c r="CH108" s="78">
        <f>IF($CG108="Currently on Watchlist",1,0)</f>
        <v/>
      </c>
      <c r="CI108" s="76">
        <f>IF($Z108="Full Defeasance","Fully Defeased",IF($Z108="Portion Of Loan Previously Defeased","Partially Defeased",IF($Z108="Defeasance Not Allowable","Not Defeased (Not Permitted)","Not Defeased")))</f>
        <v/>
      </c>
      <c r="CJ108" s="78">
        <f>IF($CI108="Fully Defeased",1,0)</f>
        <v/>
      </c>
      <c r="CK108" s="76">
        <f>IF($R108="IO","Full IO",IF(LEFT($R108&amp;"",7)="IO then","Partial IO","Amortizing"))</f>
        <v/>
      </c>
      <c r="CL108" s="78">
        <f>IF($CK108="Full IO",1,0)</f>
        <v/>
      </c>
      <c r="CM108" s="78">
        <f>IF($CK108="Partial IO",1,0)</f>
        <v/>
      </c>
      <c r="CN108" s="76">
        <f>IF(LEFT($F108&amp;"",10)="SPLIT_LOAN","Pari Passu Split","Standalone")</f>
        <v/>
      </c>
      <c r="CO108" s="78">
        <f>IF($CN108="Pari Passu Split",1,0)</f>
        <v/>
      </c>
      <c r="CP108" s="77">
        <f>IF(ISNUMBER($T108),YEAR($T108),"")</f>
        <v/>
      </c>
      <c r="CQ108" s="79">
        <f>IF(ISNUMBER($V108),$V108,IF(ISNUMBER($U108),$U108,""))</f>
        <v/>
      </c>
      <c r="CR108" s="77">
        <f>IF(ISNUMBER($CQ108),YEAR($CQ108),"")</f>
        <v/>
      </c>
      <c r="CS108" s="78">
        <f>IF(ISNUMBER($M108),MAX(0,$M108),IF(TRIM($M108&amp;"")="matured",0,""))</f>
        <v/>
      </c>
      <c r="CT108" s="78">
        <f>IF(AND(ISNUMBER($CS108),N($CS108)&lt;=mMatWindow),1,0)</f>
        <v/>
      </c>
      <c r="CU108" s="80">
        <f>IF(ISNUMBER($J108),$J108/100,"")</f>
        <v/>
      </c>
      <c r="CV108" s="81">
        <f>IF(ISNUMBER($AQ108),$AQ108,"")</f>
        <v/>
      </c>
      <c r="CW108" s="81">
        <f>IF(ISNUMBER($AR108),$AR108,"")</f>
        <v/>
      </c>
      <c r="CX108" s="82">
        <f>IF(ISNUMBER($AS108),$AS108/100,"")</f>
        <v/>
      </c>
      <c r="CY108" s="82">
        <f>IF(ISNUMBER($AT108),$AT108/100,"")</f>
        <v/>
      </c>
      <c r="CZ108" s="82">
        <f>IF(ISNUMBER($AU108),$AU108/100,"")</f>
        <v/>
      </c>
      <c r="DA108" s="82">
        <f>IF(ISNUMBER($AV108),$AV108/100,"")</f>
        <v/>
      </c>
      <c r="DB108" s="82">
        <f>IF(ISNUMBER($AW108),$AW108/100,"")</f>
        <v/>
      </c>
      <c r="DC108" s="82">
        <f>IF(ISNUMBER($AX108),$AX108/100,"")</f>
        <v/>
      </c>
      <c r="DD108" s="77">
        <f>IFERROR(VALUE(LEFT(TRIM($AO108&amp;""),4)),"")</f>
        <v/>
      </c>
      <c r="DE108" s="78">
        <f>IF(AND($BY108=1,$BX108=1,OR(fDeal="All Deals",$BU108=fDeal),OR(fEntity="All Entities",$BV108=fEntity),OR(fPType="All Property Types",$BZ108=fPType),OR(fDefeased="Include",$CJ108=0)),1,0)</f>
        <v/>
      </c>
      <c r="DF108" s="83">
        <f>$DE108*N($I108)</f>
        <v/>
      </c>
      <c r="DG108" s="78">
        <f>IF($DE108=1,IF(COUNTIFS($F$8:$F108,$F108,$DE$8:$DE108,1)=1,1,0),0)</f>
        <v/>
      </c>
      <c r="DH108" s="83">
        <f>IF($DG108=1,SUMIFS($DF$8:$DF$1600,$F$8:$F$1600,$F108),0)</f>
        <v/>
      </c>
      <c r="DI108" s="78">
        <f>IF($DG108=1,COUNTIFS($F$8:$F$1600,$F108,$DE$8:$DE$1600,1),0)</f>
        <v/>
      </c>
      <c r="DJ108" s="84">
        <f>IF($DG108=1,$DH108+(100000-ROW())/mTieBreak,0)</f>
        <v/>
      </c>
    </row>
    <row r="109">
      <c r="B109" s="68" t="n">
        <v>43</v>
      </c>
      <c r="C109" s="69" t="inlineStr">
        <is>
          <t>CTG17C04</t>
        </is>
      </c>
      <c r="D109" s="69" t="inlineStr">
        <is>
          <t>43.000</t>
        </is>
      </c>
      <c r="E109" s="69" t="inlineStr">
        <is>
          <t>1600 Main Street</t>
        </is>
      </c>
      <c r="F109" s="69" t="inlineStr">
        <is>
          <t>LNCTG17C04-43.000</t>
        </is>
      </c>
      <c r="G109" s="70" t="n"/>
      <c r="H109" s="71" t="n">
        <v>5500000</v>
      </c>
      <c r="I109" s="71" t="n">
        <v>5500000</v>
      </c>
      <c r="J109" s="72" t="n">
        <v>4.6245</v>
      </c>
      <c r="K109" s="69" t="inlineStr">
        <is>
          <t>Fixed rate</t>
        </is>
      </c>
      <c r="L109" s="68" t="n">
        <v>120</v>
      </c>
      <c r="M109" s="68" t="n">
        <v>11</v>
      </c>
      <c r="N109" s="68" t="n">
        <v>120</v>
      </c>
      <c r="O109" s="68" t="n">
        <v>120</v>
      </c>
      <c r="P109" s="68" t="n">
        <v>11</v>
      </c>
      <c r="Q109" s="68" t="n">
        <v>109</v>
      </c>
      <c r="R109" s="69" t="inlineStr">
        <is>
          <t>IO</t>
        </is>
      </c>
      <c r="S109" s="69" t="inlineStr">
        <is>
          <t>Yes</t>
        </is>
      </c>
      <c r="T109" s="73" t="n">
        <v>42948</v>
      </c>
      <c r="U109" s="73" t="n">
        <v>46605</v>
      </c>
      <c r="V109" s="73" t="n"/>
      <c r="W109" s="69" t="n"/>
      <c r="X109" s="69" t="inlineStr">
        <is>
          <t>Current</t>
        </is>
      </c>
      <c r="Y109" s="68" t="n"/>
      <c r="Z109" s="69" t="inlineStr">
        <is>
          <t>No Defeasance Occurred</t>
        </is>
      </c>
      <c r="AA109" s="69" t="inlineStr">
        <is>
          <t>Yes</t>
        </is>
      </c>
      <c r="AB109" s="69" t="inlineStr">
        <is>
          <t>Never special serv</t>
        </is>
      </c>
      <c r="AC109" s="73" t="n"/>
      <c r="AD109" s="69" t="n"/>
      <c r="AE109" s="69" t="n"/>
      <c r="AF109" s="69" t="inlineStr">
        <is>
          <t>CA</t>
        </is>
      </c>
      <c r="AG109" s="69" t="inlineStr">
        <is>
          <t>Venice</t>
        </is>
      </c>
      <c r="AH109" s="69" t="inlineStr">
        <is>
          <t>Los Angeles-Long Beach-Anaheim, CA</t>
        </is>
      </c>
      <c r="AI109" s="69" t="inlineStr">
        <is>
          <t>West / Pacific South</t>
        </is>
      </c>
      <c r="AJ109" s="69" t="inlineStr">
        <is>
          <t>OF</t>
        </is>
      </c>
      <c r="AK109" s="69" t="inlineStr">
        <is>
          <t>Suburban</t>
        </is>
      </c>
      <c r="AL109" s="68" t="n">
        <v>1</v>
      </c>
      <c r="AM109" s="68" t="n"/>
      <c r="AN109" s="68" t="n">
        <v>9050</v>
      </c>
      <c r="AO109" s="69" t="inlineStr">
        <is>
          <t>1983</t>
        </is>
      </c>
      <c r="AP109" s="70" t="n">
        <v>2016</v>
      </c>
      <c r="AQ109" s="74" t="n">
        <v>2.13</v>
      </c>
      <c r="AR109" s="74" t="n">
        <v>1.92</v>
      </c>
      <c r="AS109" s="74" t="n">
        <v>39.7</v>
      </c>
      <c r="AT109" s="74" t="n">
        <v>39.71</v>
      </c>
      <c r="AU109" s="74" t="n">
        <v>39.7</v>
      </c>
      <c r="AV109" s="74" t="n">
        <v>9.993570181999999</v>
      </c>
      <c r="AW109" s="74" t="n">
        <v>11.784210545</v>
      </c>
      <c r="AX109" s="75" t="n">
        <v>100</v>
      </c>
      <c r="AY109" s="71" t="n">
        <v>13850000</v>
      </c>
      <c r="AZ109" s="71" t="n">
        <v>13850000</v>
      </c>
      <c r="BA109" s="71" t="n">
        <v>549646.36</v>
      </c>
      <c r="BB109" s="71" t="n">
        <v>495438.78</v>
      </c>
      <c r="BC109" s="69" t="inlineStr">
        <is>
          <t>Refinance</t>
        </is>
      </c>
      <c r="BD109" s="69" t="inlineStr">
        <is>
          <t>N</t>
        </is>
      </c>
      <c r="BE109" s="71" t="n"/>
      <c r="BF109" s="71" t="n"/>
      <c r="BG109" s="71" t="n"/>
      <c r="BH109" s="71" t="n">
        <v>0</v>
      </c>
      <c r="BI109" s="71" t="n">
        <v>0</v>
      </c>
      <c r="BJ109" s="69" t="inlineStr">
        <is>
          <t>N</t>
        </is>
      </c>
      <c r="BK109" s="69" t="inlineStr">
        <is>
          <t>Venice Circle Inc.</t>
        </is>
      </c>
      <c r="BL109" s="75" t="n">
        <v>100</v>
      </c>
      <c r="BM109" s="73" t="n">
        <v>49399</v>
      </c>
      <c r="BN109" s="69" t="inlineStr">
        <is>
          <t>David Botfeld</t>
        </is>
      </c>
      <c r="BO109" s="69" t="inlineStr">
        <is>
          <t>Cantor Commercial Real Estate Lending</t>
        </is>
      </c>
      <c r="BP109" s="69" t="inlineStr">
        <is>
          <t>Midland Loan Services</t>
        </is>
      </c>
      <c r="BQ109" s="69" t="inlineStr">
        <is>
          <t>Midland Loan Services</t>
        </is>
      </c>
      <c r="BR109" s="69" t="n"/>
      <c r="BS109" s="73" t="n">
        <v>46273</v>
      </c>
      <c r="BU109" s="76">
        <f>IF($C109="","",IFERROR(INDEX(dmName,MATCH($C109,dmID,0)),"Unmapped"))</f>
        <v/>
      </c>
      <c r="BV109" s="76">
        <f>IF($C109="","",IFERROR(INDEX(dmEntity,MATCH($C109,dmID,0)),"Unmapped"))</f>
        <v/>
      </c>
      <c r="BW109" s="77">
        <f>IF($C109="","",IFERROR(INDEX(dmVintage,MATCH($C109,dmID,0)),""))</f>
        <v/>
      </c>
      <c r="BX109" s="78">
        <f>IFERROR(INDEX(dmInclude,MATCH($C109,dmID,0)),0)</f>
        <v/>
      </c>
      <c r="BY109" s="78">
        <f>IF(N($I109)&gt;0,1,0)</f>
        <v/>
      </c>
      <c r="BZ109" s="76">
        <f>IF($AJ109="","Other / Leased Fee",IFERROR(INDEX(mapPTGroup,MATCH(LEFT(TRIM($AJ109),2),mapPTCode,0)),"Other / Leased Fee"))</f>
        <v/>
      </c>
      <c r="CA109" s="76">
        <f>IF(TRIM($AF109&amp;"")="","NR",LEFT(TRIM($AF109),2))</f>
        <v/>
      </c>
      <c r="CB109" s="76">
        <f>IFERROR(LOOKUP(2,1/(LEFT(TRIM($AI109&amp;""),LEN(mapRegion))=mapRegion),mapRegion),"Not Reported")</f>
        <v/>
      </c>
      <c r="CC109" s="76">
        <f>IF($BY109=0,"",IF(TRIM($W109&amp;"")="REO","REO",IF(TRIM($W109&amp;"")="FC","Foreclosure",IF(TRIM($W109&amp;"")="90+","90+ Days Delinquent",IF(TRIM($W109&amp;"")="60","60 Days Delinquent",IF(TRIM($W109&amp;"")="30","30 Days Delinquent",IF($X109="Non-Performing Matured Balloon","Non-Performing Matured Balloon",IF(OR($X109="Late Payment But Less Than 30 Days Delinquent",LEFT($X109&amp;"",20)="Payment Not Received"),"Late / In Grace (&lt;30 Days)",IF($X109="Performing Matured Balloon","Performing Matured Balloon","Current")))))))))</f>
        <v/>
      </c>
      <c r="CD109" s="78">
        <f>IF(OR($CC109="REO",$CC109="Foreclosure",$CC109="90+ Days Delinquent",$CC109="60 Days Delinquent",$CC109="30 Days Delinquent",$CC109="Non-Performing Matured Balloon"),1,0)</f>
        <v/>
      </c>
      <c r="CE109" s="76">
        <f>IF($AB109="Currently special serv","Currently Specially Serviced",IF($AB109="Returned to master serv","Previously Specially Serviced","Never Specially Serviced"))</f>
        <v/>
      </c>
      <c r="CF109" s="78">
        <f>IF($CE109="Currently Specially Serviced",1,0)</f>
        <v/>
      </c>
      <c r="CG109" s="76">
        <f>IF($AA109="Yes","Currently on Watchlist",IF($AA109="Previously","Previously on Watchlist","Never on Watchlist"))</f>
        <v/>
      </c>
      <c r="CH109" s="78">
        <f>IF($CG109="Currently on Watchlist",1,0)</f>
        <v/>
      </c>
      <c r="CI109" s="76">
        <f>IF($Z109="Full Defeasance","Fully Defeased",IF($Z109="Portion Of Loan Previously Defeased","Partially Defeased",IF($Z109="Defeasance Not Allowable","Not Defeased (Not Permitted)","Not Defeased")))</f>
        <v/>
      </c>
      <c r="CJ109" s="78">
        <f>IF($CI109="Fully Defeased",1,0)</f>
        <v/>
      </c>
      <c r="CK109" s="76">
        <f>IF($R109="IO","Full IO",IF(LEFT($R109&amp;"",7)="IO then","Partial IO","Amortizing"))</f>
        <v/>
      </c>
      <c r="CL109" s="78">
        <f>IF($CK109="Full IO",1,0)</f>
        <v/>
      </c>
      <c r="CM109" s="78">
        <f>IF($CK109="Partial IO",1,0)</f>
        <v/>
      </c>
      <c r="CN109" s="76">
        <f>IF(LEFT($F109&amp;"",10)="SPLIT_LOAN","Pari Passu Split","Standalone")</f>
        <v/>
      </c>
      <c r="CO109" s="78">
        <f>IF($CN109="Pari Passu Split",1,0)</f>
        <v/>
      </c>
      <c r="CP109" s="77">
        <f>IF(ISNUMBER($T109),YEAR($T109),"")</f>
        <v/>
      </c>
      <c r="CQ109" s="79">
        <f>IF(ISNUMBER($V109),$V109,IF(ISNUMBER($U109),$U109,""))</f>
        <v/>
      </c>
      <c r="CR109" s="77">
        <f>IF(ISNUMBER($CQ109),YEAR($CQ109),"")</f>
        <v/>
      </c>
      <c r="CS109" s="78">
        <f>IF(ISNUMBER($M109),MAX(0,$M109),IF(TRIM($M109&amp;"")="matured",0,""))</f>
        <v/>
      </c>
      <c r="CT109" s="78">
        <f>IF(AND(ISNUMBER($CS109),N($CS109)&lt;=mMatWindow),1,0)</f>
        <v/>
      </c>
      <c r="CU109" s="80">
        <f>IF(ISNUMBER($J109),$J109/100,"")</f>
        <v/>
      </c>
      <c r="CV109" s="81">
        <f>IF(ISNUMBER($AQ109),$AQ109,"")</f>
        <v/>
      </c>
      <c r="CW109" s="81">
        <f>IF(ISNUMBER($AR109),$AR109,"")</f>
        <v/>
      </c>
      <c r="CX109" s="82">
        <f>IF(ISNUMBER($AS109),$AS109/100,"")</f>
        <v/>
      </c>
      <c r="CY109" s="82">
        <f>IF(ISNUMBER($AT109),$AT109/100,"")</f>
        <v/>
      </c>
      <c r="CZ109" s="82">
        <f>IF(ISNUMBER($AU109),$AU109/100,"")</f>
        <v/>
      </c>
      <c r="DA109" s="82">
        <f>IF(ISNUMBER($AV109),$AV109/100,"")</f>
        <v/>
      </c>
      <c r="DB109" s="82">
        <f>IF(ISNUMBER($AW109),$AW109/100,"")</f>
        <v/>
      </c>
      <c r="DC109" s="82">
        <f>IF(ISNUMBER($AX109),$AX109/100,"")</f>
        <v/>
      </c>
      <c r="DD109" s="77">
        <f>IFERROR(VALUE(LEFT(TRIM($AO109&amp;""),4)),"")</f>
        <v/>
      </c>
      <c r="DE109" s="78">
        <f>IF(AND($BY109=1,$BX109=1,OR(fDeal="All Deals",$BU109=fDeal),OR(fEntity="All Entities",$BV109=fEntity),OR(fPType="All Property Types",$BZ109=fPType),OR(fDefeased="Include",$CJ109=0)),1,0)</f>
        <v/>
      </c>
      <c r="DF109" s="83">
        <f>$DE109*N($I109)</f>
        <v/>
      </c>
      <c r="DG109" s="78">
        <f>IF($DE109=1,IF(COUNTIFS($F$8:$F109,$F109,$DE$8:$DE109,1)=1,1,0),0)</f>
        <v/>
      </c>
      <c r="DH109" s="83">
        <f>IF($DG109=1,SUMIFS($DF$8:$DF$1600,$F$8:$F$1600,$F109),0)</f>
        <v/>
      </c>
      <c r="DI109" s="78">
        <f>IF($DG109=1,COUNTIFS($F$8:$F$1600,$F109,$DE$8:$DE$1600,1),0)</f>
        <v/>
      </c>
      <c r="DJ109" s="84">
        <f>IF($DG109=1,$DH109+(100000-ROW())/mTieBreak,0)</f>
        <v/>
      </c>
    </row>
    <row r="110">
      <c r="B110" s="68" t="n">
        <v>44</v>
      </c>
      <c r="C110" s="69" t="inlineStr">
        <is>
          <t>CTG17C04</t>
        </is>
      </c>
      <c r="D110" s="69" t="inlineStr">
        <is>
          <t>44.000</t>
        </is>
      </c>
      <c r="E110" s="69" t="inlineStr">
        <is>
          <t>Gihon Village Shopping Center</t>
        </is>
      </c>
      <c r="F110" s="69" t="inlineStr">
        <is>
          <t>LNCTG17C04-44.000</t>
        </is>
      </c>
      <c r="G110" s="70" t="n"/>
      <c r="H110" s="71" t="n">
        <v>5250000</v>
      </c>
      <c r="I110" s="71" t="n">
        <v>3837613.71</v>
      </c>
      <c r="J110" s="72" t="n">
        <v>3.89</v>
      </c>
      <c r="K110" s="69" t="inlineStr">
        <is>
          <t>Fixed rate</t>
        </is>
      </c>
      <c r="L110" s="68" t="n">
        <v>120</v>
      </c>
      <c r="M110" s="68" t="n">
        <v>12</v>
      </c>
      <c r="N110" s="68" t="n">
        <v>300</v>
      </c>
      <c r="O110" s="68" t="n"/>
      <c r="P110" s="68" t="n"/>
      <c r="Q110" s="68" t="n">
        <v>108</v>
      </c>
      <c r="R110" s="69" t="n"/>
      <c r="S110" s="69" t="inlineStr">
        <is>
          <t>No</t>
        </is>
      </c>
      <c r="T110" s="73" t="n">
        <v>42979</v>
      </c>
      <c r="U110" s="73" t="n">
        <v>46636</v>
      </c>
      <c r="V110" s="73" t="n"/>
      <c r="W110" s="69" t="n"/>
      <c r="X110" s="69" t="inlineStr">
        <is>
          <t>Current</t>
        </is>
      </c>
      <c r="Y110" s="68" t="n"/>
      <c r="Z110" s="69" t="inlineStr">
        <is>
          <t>Defeasance Not Allowable</t>
        </is>
      </c>
      <c r="AA110" s="69" t="n"/>
      <c r="AB110" s="69" t="inlineStr">
        <is>
          <t>Never special serv</t>
        </is>
      </c>
      <c r="AC110" s="73" t="n"/>
      <c r="AD110" s="69" t="n"/>
      <c r="AE110" s="69" t="n"/>
      <c r="AF110" s="69" t="inlineStr">
        <is>
          <t>WV</t>
        </is>
      </c>
      <c r="AG110" s="69" t="inlineStr">
        <is>
          <t>Parkersburg</t>
        </is>
      </c>
      <c r="AH110" s="69" t="inlineStr">
        <is>
          <t>Parkersburg-Vienna, WV</t>
        </is>
      </c>
      <c r="AI110" s="69" t="inlineStr">
        <is>
          <t>South / Atlantic</t>
        </is>
      </c>
      <c r="AJ110" s="69" t="inlineStr">
        <is>
          <t>RT</t>
        </is>
      </c>
      <c r="AK110" s="69" t="inlineStr">
        <is>
          <t>Anchored</t>
        </is>
      </c>
      <c r="AL110" s="68" t="n">
        <v>1</v>
      </c>
      <c r="AM110" s="68" t="n"/>
      <c r="AN110" s="68" t="n">
        <v>167769</v>
      </c>
      <c r="AO110" s="69" t="inlineStr">
        <is>
          <t>1974</t>
        </is>
      </c>
      <c r="AP110" s="70" t="n">
        <v>1974</v>
      </c>
      <c r="AQ110" s="74" t="n">
        <v>2.33</v>
      </c>
      <c r="AR110" s="74" t="n">
        <v>2.95</v>
      </c>
      <c r="AS110" s="74" t="n">
        <v>52.5</v>
      </c>
      <c r="AT110" s="74" t="n">
        <v>38.47</v>
      </c>
      <c r="AU110" s="74" t="n">
        <v>37.7</v>
      </c>
      <c r="AV110" s="74" t="n">
        <v>14.609561905</v>
      </c>
      <c r="AW110" s="74" t="n">
        <v>25.653633857</v>
      </c>
      <c r="AX110" s="75" t="n">
        <v>98</v>
      </c>
      <c r="AY110" s="71" t="n">
        <v>9975000</v>
      </c>
      <c r="AZ110" s="71" t="n">
        <v>9975000</v>
      </c>
      <c r="BA110" s="71" t="n">
        <v>767002</v>
      </c>
      <c r="BB110" s="71" t="n">
        <v>969432.9</v>
      </c>
      <c r="BC110" s="69" t="inlineStr">
        <is>
          <t>Refinance</t>
        </is>
      </c>
      <c r="BD110" s="69" t="inlineStr">
        <is>
          <t>N</t>
        </is>
      </c>
      <c r="BE110" s="71" t="n"/>
      <c r="BF110" s="71" t="n"/>
      <c r="BG110" s="71" t="n"/>
      <c r="BH110" s="71" t="n">
        <v>0</v>
      </c>
      <c r="BI110" s="71" t="n">
        <v>0</v>
      </c>
      <c r="BJ110" s="69" t="inlineStr">
        <is>
          <t>N</t>
        </is>
      </c>
      <c r="BK110" s="69" t="inlineStr">
        <is>
          <t>GIHON VILLAGE MARKET</t>
        </is>
      </c>
      <c r="BL110" s="75" t="n">
        <v>25.95</v>
      </c>
      <c r="BM110" s="73" t="n">
        <v>50252</v>
      </c>
      <c r="BN110" s="69" t="inlineStr">
        <is>
          <t>Glimcher Group Incorporated</t>
        </is>
      </c>
      <c r="BO110" s="69" t="inlineStr">
        <is>
          <t>GACC</t>
        </is>
      </c>
      <c r="BP110" s="69" t="inlineStr">
        <is>
          <t>Midland Loan Services</t>
        </is>
      </c>
      <c r="BQ110" s="69" t="inlineStr">
        <is>
          <t>Midland Loan Services</t>
        </is>
      </c>
      <c r="BR110" s="69" t="inlineStr">
        <is>
          <t>Partial Liquidation (Curtailment)</t>
        </is>
      </c>
      <c r="BS110" s="73" t="n">
        <v>46273</v>
      </c>
      <c r="BU110" s="76">
        <f>IF($C110="","",IFERROR(INDEX(dmName,MATCH($C110,dmID,0)),"Unmapped"))</f>
        <v/>
      </c>
      <c r="BV110" s="76">
        <f>IF($C110="","",IFERROR(INDEX(dmEntity,MATCH($C110,dmID,0)),"Unmapped"))</f>
        <v/>
      </c>
      <c r="BW110" s="77">
        <f>IF($C110="","",IFERROR(INDEX(dmVintage,MATCH($C110,dmID,0)),""))</f>
        <v/>
      </c>
      <c r="BX110" s="78">
        <f>IFERROR(INDEX(dmInclude,MATCH($C110,dmID,0)),0)</f>
        <v/>
      </c>
      <c r="BY110" s="78">
        <f>IF(N($I110)&gt;0,1,0)</f>
        <v/>
      </c>
      <c r="BZ110" s="76">
        <f>IF($AJ110="","Other / Leased Fee",IFERROR(INDEX(mapPTGroup,MATCH(LEFT(TRIM($AJ110),2),mapPTCode,0)),"Other / Leased Fee"))</f>
        <v/>
      </c>
      <c r="CA110" s="76">
        <f>IF(TRIM($AF110&amp;"")="","NR",LEFT(TRIM($AF110),2))</f>
        <v/>
      </c>
      <c r="CB110" s="76">
        <f>IFERROR(LOOKUP(2,1/(LEFT(TRIM($AI110&amp;""),LEN(mapRegion))=mapRegion),mapRegion),"Not Reported")</f>
        <v/>
      </c>
      <c r="CC110" s="76">
        <f>IF($BY110=0,"",IF(TRIM($W110&amp;"")="REO","REO",IF(TRIM($W110&amp;"")="FC","Foreclosure",IF(TRIM($W110&amp;"")="90+","90+ Days Delinquent",IF(TRIM($W110&amp;"")="60","60 Days Delinquent",IF(TRIM($W110&amp;"")="30","30 Days Delinquent",IF($X110="Non-Performing Matured Balloon","Non-Performing Matured Balloon",IF(OR($X110="Late Payment But Less Than 30 Days Delinquent",LEFT($X110&amp;"",20)="Payment Not Received"),"Late / In Grace (&lt;30 Days)",IF($X110="Performing Matured Balloon","Performing Matured Balloon","Current")))))))))</f>
        <v/>
      </c>
      <c r="CD110" s="78">
        <f>IF(OR($CC110="REO",$CC110="Foreclosure",$CC110="90+ Days Delinquent",$CC110="60 Days Delinquent",$CC110="30 Days Delinquent",$CC110="Non-Performing Matured Balloon"),1,0)</f>
        <v/>
      </c>
      <c r="CE110" s="76">
        <f>IF($AB110="Currently special serv","Currently Specially Serviced",IF($AB110="Returned to master serv","Previously Specially Serviced","Never Specially Serviced"))</f>
        <v/>
      </c>
      <c r="CF110" s="78">
        <f>IF($CE110="Currently Specially Serviced",1,0)</f>
        <v/>
      </c>
      <c r="CG110" s="76">
        <f>IF($AA110="Yes","Currently on Watchlist",IF($AA110="Previously","Previously on Watchlist","Never on Watchlist"))</f>
        <v/>
      </c>
      <c r="CH110" s="78">
        <f>IF($CG110="Currently on Watchlist",1,0)</f>
        <v/>
      </c>
      <c r="CI110" s="76">
        <f>IF($Z110="Full Defeasance","Fully Defeased",IF($Z110="Portion Of Loan Previously Defeased","Partially Defeased",IF($Z110="Defeasance Not Allowable","Not Defeased (Not Permitted)","Not Defeased")))</f>
        <v/>
      </c>
      <c r="CJ110" s="78">
        <f>IF($CI110="Fully Defeased",1,0)</f>
        <v/>
      </c>
      <c r="CK110" s="76">
        <f>IF($R110="IO","Full IO",IF(LEFT($R110&amp;"",7)="IO then","Partial IO","Amortizing"))</f>
        <v/>
      </c>
      <c r="CL110" s="78">
        <f>IF($CK110="Full IO",1,0)</f>
        <v/>
      </c>
      <c r="CM110" s="78">
        <f>IF($CK110="Partial IO",1,0)</f>
        <v/>
      </c>
      <c r="CN110" s="76">
        <f>IF(LEFT($F110&amp;"",10)="SPLIT_LOAN","Pari Passu Split","Standalone")</f>
        <v/>
      </c>
      <c r="CO110" s="78">
        <f>IF($CN110="Pari Passu Split",1,0)</f>
        <v/>
      </c>
      <c r="CP110" s="77">
        <f>IF(ISNUMBER($T110),YEAR($T110),"")</f>
        <v/>
      </c>
      <c r="CQ110" s="79">
        <f>IF(ISNUMBER($V110),$V110,IF(ISNUMBER($U110),$U110,""))</f>
        <v/>
      </c>
      <c r="CR110" s="77">
        <f>IF(ISNUMBER($CQ110),YEAR($CQ110),"")</f>
        <v/>
      </c>
      <c r="CS110" s="78">
        <f>IF(ISNUMBER($M110),MAX(0,$M110),IF(TRIM($M110&amp;"")="matured",0,""))</f>
        <v/>
      </c>
      <c r="CT110" s="78">
        <f>IF(AND(ISNUMBER($CS110),N($CS110)&lt;=mMatWindow),1,0)</f>
        <v/>
      </c>
      <c r="CU110" s="80">
        <f>IF(ISNUMBER($J110),$J110/100,"")</f>
        <v/>
      </c>
      <c r="CV110" s="81">
        <f>IF(ISNUMBER($AQ110),$AQ110,"")</f>
        <v/>
      </c>
      <c r="CW110" s="81">
        <f>IF(ISNUMBER($AR110),$AR110,"")</f>
        <v/>
      </c>
      <c r="CX110" s="82">
        <f>IF(ISNUMBER($AS110),$AS110/100,"")</f>
        <v/>
      </c>
      <c r="CY110" s="82">
        <f>IF(ISNUMBER($AT110),$AT110/100,"")</f>
        <v/>
      </c>
      <c r="CZ110" s="82">
        <f>IF(ISNUMBER($AU110),$AU110/100,"")</f>
        <v/>
      </c>
      <c r="DA110" s="82">
        <f>IF(ISNUMBER($AV110),$AV110/100,"")</f>
        <v/>
      </c>
      <c r="DB110" s="82">
        <f>IF(ISNUMBER($AW110),$AW110/100,"")</f>
        <v/>
      </c>
      <c r="DC110" s="82">
        <f>IF(ISNUMBER($AX110),$AX110/100,"")</f>
        <v/>
      </c>
      <c r="DD110" s="77">
        <f>IFERROR(VALUE(LEFT(TRIM($AO110&amp;""),4)),"")</f>
        <v/>
      </c>
      <c r="DE110" s="78">
        <f>IF(AND($BY110=1,$BX110=1,OR(fDeal="All Deals",$BU110=fDeal),OR(fEntity="All Entities",$BV110=fEntity),OR(fPType="All Property Types",$BZ110=fPType),OR(fDefeased="Include",$CJ110=0)),1,0)</f>
        <v/>
      </c>
      <c r="DF110" s="83">
        <f>$DE110*N($I110)</f>
        <v/>
      </c>
      <c r="DG110" s="78">
        <f>IF($DE110=1,IF(COUNTIFS($F$8:$F110,$F110,$DE$8:$DE110,1)=1,1,0),0)</f>
        <v/>
      </c>
      <c r="DH110" s="83">
        <f>IF($DG110=1,SUMIFS($DF$8:$DF$1600,$F$8:$F$1600,$F110),0)</f>
        <v/>
      </c>
      <c r="DI110" s="78">
        <f>IF($DG110=1,COUNTIFS($F$8:$F$1600,$F110,$DE$8:$DE$1600,1),0)</f>
        <v/>
      </c>
      <c r="DJ110" s="84">
        <f>IF($DG110=1,$DH110+(100000-ROW())/mTieBreak,0)</f>
        <v/>
      </c>
    </row>
    <row r="111">
      <c r="B111" s="68" t="n">
        <v>45</v>
      </c>
      <c r="C111" s="69" t="inlineStr">
        <is>
          <t>CTG17C04</t>
        </is>
      </c>
      <c r="D111" s="69" t="inlineStr">
        <is>
          <t>45.000</t>
        </is>
      </c>
      <c r="E111" s="69" t="inlineStr">
        <is>
          <t>West End Commons</t>
        </is>
      </c>
      <c r="F111" s="69" t="inlineStr">
        <is>
          <t>LNCTG17C04-45.000</t>
        </is>
      </c>
      <c r="G111" s="70" t="n"/>
      <c r="H111" s="71" t="n">
        <v>5250000</v>
      </c>
      <c r="I111" s="71" t="n">
        <v>4371026.31</v>
      </c>
      <c r="J111" s="72" t="n">
        <v>4.75</v>
      </c>
      <c r="K111" s="69" t="inlineStr">
        <is>
          <t>Fixed rate</t>
        </is>
      </c>
      <c r="L111" s="68" t="n">
        <v>120</v>
      </c>
      <c r="M111" s="68" t="n">
        <v>9</v>
      </c>
      <c r="N111" s="68" t="n">
        <v>360</v>
      </c>
      <c r="O111" s="68" t="n"/>
      <c r="P111" s="68" t="n"/>
      <c r="Q111" s="68" t="n">
        <v>111</v>
      </c>
      <c r="R111" s="69" t="n"/>
      <c r="S111" s="69" t="inlineStr">
        <is>
          <t>No</t>
        </is>
      </c>
      <c r="T111" s="73" t="n">
        <v>42887</v>
      </c>
      <c r="U111" s="73" t="n">
        <v>46544</v>
      </c>
      <c r="V111" s="73" t="n"/>
      <c r="W111" s="69" t="n"/>
      <c r="X111" s="69" t="inlineStr">
        <is>
          <t>Current</t>
        </is>
      </c>
      <c r="Y111" s="68" t="n"/>
      <c r="Z111" s="69" t="inlineStr">
        <is>
          <t>Full Defeasance</t>
        </is>
      </c>
      <c r="AA111" s="69" t="n"/>
      <c r="AB111" s="69" t="inlineStr">
        <is>
          <t>Never special serv</t>
        </is>
      </c>
      <c r="AC111" s="73" t="n"/>
      <c r="AD111" s="69" t="n"/>
      <c r="AE111" s="69" t="n"/>
      <c r="AF111" s="69" t="inlineStr">
        <is>
          <t>GA</t>
        </is>
      </c>
      <c r="AG111" s="69" t="inlineStr">
        <is>
          <t>Cartersville</t>
        </is>
      </c>
      <c r="AH111" s="69" t="inlineStr">
        <is>
          <t>Atlanta-Sandy Springs-Roswell, GA</t>
        </is>
      </c>
      <c r="AI111" s="69" t="inlineStr">
        <is>
          <t>South / Atlantic</t>
        </is>
      </c>
      <c r="AJ111" s="69" t="inlineStr">
        <is>
          <t>MX</t>
        </is>
      </c>
      <c r="AK111" s="69" t="inlineStr">
        <is>
          <t>Office/Retail</t>
        </is>
      </c>
      <c r="AL111" s="68" t="n">
        <v>1</v>
      </c>
      <c r="AM111" s="68" t="n"/>
      <c r="AN111" s="68" t="n">
        <v>62087</v>
      </c>
      <c r="AO111" s="69" t="inlineStr">
        <is>
          <t>2003, 2004, 2005</t>
        </is>
      </c>
      <c r="AP111" s="70" t="n">
        <v>2005</v>
      </c>
      <c r="AQ111" s="74" t="n">
        <v>1.51</v>
      </c>
      <c r="AR111" s="74" t="n">
        <v>1.31</v>
      </c>
      <c r="AS111" s="74" t="n">
        <v>63.7</v>
      </c>
      <c r="AT111" s="74" t="n">
        <v>53.31</v>
      </c>
      <c r="AU111" s="74" t="n">
        <v>52.2</v>
      </c>
      <c r="AV111" s="74" t="n">
        <v>9.428775048</v>
      </c>
      <c r="AW111" s="74" t="n">
        <v>12.747188429</v>
      </c>
      <c r="AX111" s="75" t="n">
        <v>99</v>
      </c>
      <c r="AY111" s="71" t="n">
        <v>8200000</v>
      </c>
      <c r="AZ111" s="71" t="n">
        <v>8200000</v>
      </c>
      <c r="BA111" s="71" t="n">
        <v>495010.69</v>
      </c>
      <c r="BB111" s="71" t="n">
        <v>430127.1</v>
      </c>
      <c r="BC111" s="69" t="inlineStr">
        <is>
          <t>Refinance</t>
        </is>
      </c>
      <c r="BD111" s="69" t="inlineStr">
        <is>
          <t>N</t>
        </is>
      </c>
      <c r="BE111" s="71" t="n"/>
      <c r="BF111" s="71" t="n"/>
      <c r="BG111" s="71" t="n"/>
      <c r="BH111" s="71" t="n">
        <v>0</v>
      </c>
      <c r="BI111" s="71" t="n">
        <v>0</v>
      </c>
      <c r="BJ111" s="69" t="inlineStr">
        <is>
          <t>N</t>
        </is>
      </c>
      <c r="BK111" s="69" t="inlineStr">
        <is>
          <t>Sixes Tavern</t>
        </is>
      </c>
      <c r="BL111" s="75" t="n">
        <v>14.49</v>
      </c>
      <c r="BM111" s="73" t="n">
        <v>45565</v>
      </c>
      <c r="BN111" s="69" t="inlineStr">
        <is>
          <t>Randy Berrey and Mary B. Berrey</t>
        </is>
      </c>
      <c r="BO111" s="69" t="inlineStr">
        <is>
          <t>Cantor Commercial Real Estate Lending</t>
        </is>
      </c>
      <c r="BP111" s="69" t="inlineStr">
        <is>
          <t>Midland Loan Services</t>
        </is>
      </c>
      <c r="BQ111" s="69" t="inlineStr">
        <is>
          <t>Midland Loan Services</t>
        </is>
      </c>
      <c r="BR111" s="69" t="n"/>
      <c r="BS111" s="73" t="n">
        <v>46273</v>
      </c>
      <c r="BU111" s="76">
        <f>IF($C111="","",IFERROR(INDEX(dmName,MATCH($C111,dmID,0)),"Unmapped"))</f>
        <v/>
      </c>
      <c r="BV111" s="76">
        <f>IF($C111="","",IFERROR(INDEX(dmEntity,MATCH($C111,dmID,0)),"Unmapped"))</f>
        <v/>
      </c>
      <c r="BW111" s="77">
        <f>IF($C111="","",IFERROR(INDEX(dmVintage,MATCH($C111,dmID,0)),""))</f>
        <v/>
      </c>
      <c r="BX111" s="78">
        <f>IFERROR(INDEX(dmInclude,MATCH($C111,dmID,0)),0)</f>
        <v/>
      </c>
      <c r="BY111" s="78">
        <f>IF(N($I111)&gt;0,1,0)</f>
        <v/>
      </c>
      <c r="BZ111" s="76">
        <f>IF($AJ111="","Other / Leased Fee",IFERROR(INDEX(mapPTGroup,MATCH(LEFT(TRIM($AJ111),2),mapPTCode,0)),"Other / Leased Fee"))</f>
        <v/>
      </c>
      <c r="CA111" s="76">
        <f>IF(TRIM($AF111&amp;"")="","NR",LEFT(TRIM($AF111),2))</f>
        <v/>
      </c>
      <c r="CB111" s="76">
        <f>IFERROR(LOOKUP(2,1/(LEFT(TRIM($AI111&amp;""),LEN(mapRegion))=mapRegion),mapRegion),"Not Reported")</f>
        <v/>
      </c>
      <c r="CC111" s="76">
        <f>IF($BY111=0,"",IF(TRIM($W111&amp;"")="REO","REO",IF(TRIM($W111&amp;"")="FC","Foreclosure",IF(TRIM($W111&amp;"")="90+","90+ Days Delinquent",IF(TRIM($W111&amp;"")="60","60 Days Delinquent",IF(TRIM($W111&amp;"")="30","30 Days Delinquent",IF($X111="Non-Performing Matured Balloon","Non-Performing Matured Balloon",IF(OR($X111="Late Payment But Less Than 30 Days Delinquent",LEFT($X111&amp;"",20)="Payment Not Received"),"Late / In Grace (&lt;30 Days)",IF($X111="Performing Matured Balloon","Performing Matured Balloon","Current")))))))))</f>
        <v/>
      </c>
      <c r="CD111" s="78">
        <f>IF(OR($CC111="REO",$CC111="Foreclosure",$CC111="90+ Days Delinquent",$CC111="60 Days Delinquent",$CC111="30 Days Delinquent",$CC111="Non-Performing Matured Balloon"),1,0)</f>
        <v/>
      </c>
      <c r="CE111" s="76">
        <f>IF($AB111="Currently special serv","Currently Specially Serviced",IF($AB111="Returned to master serv","Previously Specially Serviced","Never Specially Serviced"))</f>
        <v/>
      </c>
      <c r="CF111" s="78">
        <f>IF($CE111="Currently Specially Serviced",1,0)</f>
        <v/>
      </c>
      <c r="CG111" s="76">
        <f>IF($AA111="Yes","Currently on Watchlist",IF($AA111="Previously","Previously on Watchlist","Never on Watchlist"))</f>
        <v/>
      </c>
      <c r="CH111" s="78">
        <f>IF($CG111="Currently on Watchlist",1,0)</f>
        <v/>
      </c>
      <c r="CI111" s="76">
        <f>IF($Z111="Full Defeasance","Fully Defeased",IF($Z111="Portion Of Loan Previously Defeased","Partially Defeased",IF($Z111="Defeasance Not Allowable","Not Defeased (Not Permitted)","Not Defeased")))</f>
        <v/>
      </c>
      <c r="CJ111" s="78">
        <f>IF($CI111="Fully Defeased",1,0)</f>
        <v/>
      </c>
      <c r="CK111" s="76">
        <f>IF($R111="IO","Full IO",IF(LEFT($R111&amp;"",7)="IO then","Partial IO","Amortizing"))</f>
        <v/>
      </c>
      <c r="CL111" s="78">
        <f>IF($CK111="Full IO",1,0)</f>
        <v/>
      </c>
      <c r="CM111" s="78">
        <f>IF($CK111="Partial IO",1,0)</f>
        <v/>
      </c>
      <c r="CN111" s="76">
        <f>IF(LEFT($F111&amp;"",10)="SPLIT_LOAN","Pari Passu Split","Standalone")</f>
        <v/>
      </c>
      <c r="CO111" s="78">
        <f>IF($CN111="Pari Passu Split",1,0)</f>
        <v/>
      </c>
      <c r="CP111" s="77">
        <f>IF(ISNUMBER($T111),YEAR($T111),"")</f>
        <v/>
      </c>
      <c r="CQ111" s="79">
        <f>IF(ISNUMBER($V111),$V111,IF(ISNUMBER($U111),$U111,""))</f>
        <v/>
      </c>
      <c r="CR111" s="77">
        <f>IF(ISNUMBER($CQ111),YEAR($CQ111),"")</f>
        <v/>
      </c>
      <c r="CS111" s="78">
        <f>IF(ISNUMBER($M111),MAX(0,$M111),IF(TRIM($M111&amp;"")="matured",0,""))</f>
        <v/>
      </c>
      <c r="CT111" s="78">
        <f>IF(AND(ISNUMBER($CS111),N($CS111)&lt;=mMatWindow),1,0)</f>
        <v/>
      </c>
      <c r="CU111" s="80">
        <f>IF(ISNUMBER($J111),$J111/100,"")</f>
        <v/>
      </c>
      <c r="CV111" s="81">
        <f>IF(ISNUMBER($AQ111),$AQ111,"")</f>
        <v/>
      </c>
      <c r="CW111" s="81">
        <f>IF(ISNUMBER($AR111),$AR111,"")</f>
        <v/>
      </c>
      <c r="CX111" s="82">
        <f>IF(ISNUMBER($AS111),$AS111/100,"")</f>
        <v/>
      </c>
      <c r="CY111" s="82">
        <f>IF(ISNUMBER($AT111),$AT111/100,"")</f>
        <v/>
      </c>
      <c r="CZ111" s="82">
        <f>IF(ISNUMBER($AU111),$AU111/100,"")</f>
        <v/>
      </c>
      <c r="DA111" s="82">
        <f>IF(ISNUMBER($AV111),$AV111/100,"")</f>
        <v/>
      </c>
      <c r="DB111" s="82">
        <f>IF(ISNUMBER($AW111),$AW111/100,"")</f>
        <v/>
      </c>
      <c r="DC111" s="82">
        <f>IF(ISNUMBER($AX111),$AX111/100,"")</f>
        <v/>
      </c>
      <c r="DD111" s="77">
        <f>IFERROR(VALUE(LEFT(TRIM($AO111&amp;""),4)),"")</f>
        <v/>
      </c>
      <c r="DE111" s="78">
        <f>IF(AND($BY111=1,$BX111=1,OR(fDeal="All Deals",$BU111=fDeal),OR(fEntity="All Entities",$BV111=fEntity),OR(fPType="All Property Types",$BZ111=fPType),OR(fDefeased="Include",$CJ111=0)),1,0)</f>
        <v/>
      </c>
      <c r="DF111" s="83">
        <f>$DE111*N($I111)</f>
        <v/>
      </c>
      <c r="DG111" s="78">
        <f>IF($DE111=1,IF(COUNTIFS($F$8:$F111,$F111,$DE$8:$DE111,1)=1,1,0),0)</f>
        <v/>
      </c>
      <c r="DH111" s="83">
        <f>IF($DG111=1,SUMIFS($DF$8:$DF$1600,$F$8:$F$1600,$F111),0)</f>
        <v/>
      </c>
      <c r="DI111" s="78">
        <f>IF($DG111=1,COUNTIFS($F$8:$F$1600,$F111,$DE$8:$DE$1600,1),0)</f>
        <v/>
      </c>
      <c r="DJ111" s="84">
        <f>IF($DG111=1,$DH111+(100000-ROW())/mTieBreak,0)</f>
        <v/>
      </c>
    </row>
    <row r="112">
      <c r="B112" s="68" t="n">
        <v>46</v>
      </c>
      <c r="C112" s="69" t="inlineStr">
        <is>
          <t>CTG17C04</t>
        </is>
      </c>
      <c r="D112" s="69" t="inlineStr">
        <is>
          <t>46.000</t>
        </is>
      </c>
      <c r="E112" s="69" t="inlineStr">
        <is>
          <t>Vail Ranch Towne Square</t>
        </is>
      </c>
      <c r="F112" s="69" t="inlineStr">
        <is>
          <t>LNCTG17C04-46.000</t>
        </is>
      </c>
      <c r="G112" s="70" t="n"/>
      <c r="H112" s="71" t="n">
        <v>5000000</v>
      </c>
      <c r="I112" s="71" t="n">
        <v>4663617.23</v>
      </c>
      <c r="J112" s="72" t="n">
        <v>4.541</v>
      </c>
      <c r="K112" s="69" t="inlineStr">
        <is>
          <t>Fixed rate</t>
        </is>
      </c>
      <c r="L112" s="68" t="n">
        <v>120</v>
      </c>
      <c r="M112" s="68" t="n">
        <v>11</v>
      </c>
      <c r="N112" s="68" t="n">
        <v>420</v>
      </c>
      <c r="O112" s="68" t="n">
        <v>60</v>
      </c>
      <c r="P112" s="68" t="n">
        <v>0</v>
      </c>
      <c r="Q112" s="68" t="n">
        <v>109</v>
      </c>
      <c r="R112" s="69" t="inlineStr">
        <is>
          <t>IO then Amort</t>
        </is>
      </c>
      <c r="S112" s="69" t="inlineStr">
        <is>
          <t>No</t>
        </is>
      </c>
      <c r="T112" s="73" t="n">
        <v>42948</v>
      </c>
      <c r="U112" s="73" t="n">
        <v>46605</v>
      </c>
      <c r="V112" s="73" t="n"/>
      <c r="W112" s="69" t="n"/>
      <c r="X112" s="69" t="inlineStr">
        <is>
          <t>Current</t>
        </is>
      </c>
      <c r="Y112" s="68" t="n"/>
      <c r="Z112" s="69" t="inlineStr">
        <is>
          <t>Full Defeasance</t>
        </is>
      </c>
      <c r="AA112" s="69" t="inlineStr">
        <is>
          <t>Previously</t>
        </is>
      </c>
      <c r="AB112" s="69" t="inlineStr">
        <is>
          <t>Never special serv</t>
        </is>
      </c>
      <c r="AC112" s="73" t="n"/>
      <c r="AD112" s="69" t="n"/>
      <c r="AE112" s="69" t="n"/>
      <c r="AF112" s="69" t="inlineStr">
        <is>
          <t>CA</t>
        </is>
      </c>
      <c r="AG112" s="69" t="inlineStr">
        <is>
          <t>Temecula</t>
        </is>
      </c>
      <c r="AH112" s="69" t="inlineStr">
        <is>
          <t>Riverside-San Bernardino-Ontario, CA</t>
        </is>
      </c>
      <c r="AI112" s="69" t="inlineStr">
        <is>
          <t>West / Pacific South</t>
        </is>
      </c>
      <c r="AJ112" s="69" t="inlineStr">
        <is>
          <t>MX</t>
        </is>
      </c>
      <c r="AK112" s="69" t="inlineStr">
        <is>
          <t>Office/Retail</t>
        </is>
      </c>
      <c r="AL112" s="68" t="n">
        <v>1</v>
      </c>
      <c r="AM112" s="68" t="n"/>
      <c r="AN112" s="68" t="n">
        <v>61504</v>
      </c>
      <c r="AO112" s="69" t="inlineStr">
        <is>
          <t>2005</t>
        </is>
      </c>
      <c r="AP112" s="70" t="n">
        <v>2005</v>
      </c>
      <c r="AQ112" s="74" t="n">
        <v>1.78</v>
      </c>
      <c r="AR112" s="74" t="n">
        <v>1.65</v>
      </c>
      <c r="AS112" s="74" t="n">
        <v>59.5</v>
      </c>
      <c r="AT112" s="74" t="n">
        <v>55.52</v>
      </c>
      <c r="AU112" s="74" t="n">
        <v>54.5</v>
      </c>
      <c r="AV112" s="74" t="n">
        <v>10.8943852</v>
      </c>
      <c r="AW112" s="74" t="n">
        <v>10.809981719</v>
      </c>
      <c r="AX112" s="75" t="n">
        <v>100</v>
      </c>
      <c r="AY112" s="71" t="n">
        <v>8400000</v>
      </c>
      <c r="AZ112" s="71" t="n">
        <v>8400000</v>
      </c>
      <c r="BA112" s="71" t="n">
        <v>544719.26</v>
      </c>
      <c r="BB112" s="71" t="n">
        <v>504136.17</v>
      </c>
      <c r="BC112" s="69" t="inlineStr">
        <is>
          <t>Acquisition</t>
        </is>
      </c>
      <c r="BD112" s="69" t="inlineStr">
        <is>
          <t>N</t>
        </is>
      </c>
      <c r="BE112" s="71" t="n"/>
      <c r="BF112" s="71" t="n"/>
      <c r="BG112" s="71" t="n"/>
      <c r="BH112" s="71" t="n">
        <v>0</v>
      </c>
      <c r="BI112" s="71" t="n">
        <v>0</v>
      </c>
      <c r="BJ112" s="69" t="inlineStr">
        <is>
          <t>N</t>
        </is>
      </c>
      <c r="BK112" s="69" t="inlineStr">
        <is>
          <t>CoWork Vail Ranch LLC</t>
        </is>
      </c>
      <c r="BL112" s="75" t="n">
        <v>8.300000000000001</v>
      </c>
      <c r="BM112" s="73" t="n">
        <v>46873</v>
      </c>
      <c r="BN112" s="69" t="inlineStr">
        <is>
          <t>Bryan Kang and Yoon Mi Kang</t>
        </is>
      </c>
      <c r="BO112" s="69" t="inlineStr">
        <is>
          <t>Cantor Commercial Real Estate Lending</t>
        </is>
      </c>
      <c r="BP112" s="69" t="inlineStr">
        <is>
          <t>Midland Loan Services</t>
        </is>
      </c>
      <c r="BQ112" s="69" t="inlineStr">
        <is>
          <t>Midland Loan Services</t>
        </is>
      </c>
      <c r="BR112" s="69" t="n"/>
      <c r="BS112" s="73" t="n">
        <v>46273</v>
      </c>
      <c r="BU112" s="76">
        <f>IF($C112="","",IFERROR(INDEX(dmName,MATCH($C112,dmID,0)),"Unmapped"))</f>
        <v/>
      </c>
      <c r="BV112" s="76">
        <f>IF($C112="","",IFERROR(INDEX(dmEntity,MATCH($C112,dmID,0)),"Unmapped"))</f>
        <v/>
      </c>
      <c r="BW112" s="77">
        <f>IF($C112="","",IFERROR(INDEX(dmVintage,MATCH($C112,dmID,0)),""))</f>
        <v/>
      </c>
      <c r="BX112" s="78">
        <f>IFERROR(INDEX(dmInclude,MATCH($C112,dmID,0)),0)</f>
        <v/>
      </c>
      <c r="BY112" s="78">
        <f>IF(N($I112)&gt;0,1,0)</f>
        <v/>
      </c>
      <c r="BZ112" s="76">
        <f>IF($AJ112="","Other / Leased Fee",IFERROR(INDEX(mapPTGroup,MATCH(LEFT(TRIM($AJ112),2),mapPTCode,0)),"Other / Leased Fee"))</f>
        <v/>
      </c>
      <c r="CA112" s="76">
        <f>IF(TRIM($AF112&amp;"")="","NR",LEFT(TRIM($AF112),2))</f>
        <v/>
      </c>
      <c r="CB112" s="76">
        <f>IFERROR(LOOKUP(2,1/(LEFT(TRIM($AI112&amp;""),LEN(mapRegion))=mapRegion),mapRegion),"Not Reported")</f>
        <v/>
      </c>
      <c r="CC112" s="76">
        <f>IF($BY112=0,"",IF(TRIM($W112&amp;"")="REO","REO",IF(TRIM($W112&amp;"")="FC","Foreclosure",IF(TRIM($W112&amp;"")="90+","90+ Days Delinquent",IF(TRIM($W112&amp;"")="60","60 Days Delinquent",IF(TRIM($W112&amp;"")="30","30 Days Delinquent",IF($X112="Non-Performing Matured Balloon","Non-Performing Matured Balloon",IF(OR($X112="Late Payment But Less Than 30 Days Delinquent",LEFT($X112&amp;"",20)="Payment Not Received"),"Late / In Grace (&lt;30 Days)",IF($X112="Performing Matured Balloon","Performing Matured Balloon","Current")))))))))</f>
        <v/>
      </c>
      <c r="CD112" s="78">
        <f>IF(OR($CC112="REO",$CC112="Foreclosure",$CC112="90+ Days Delinquent",$CC112="60 Days Delinquent",$CC112="30 Days Delinquent",$CC112="Non-Performing Matured Balloon"),1,0)</f>
        <v/>
      </c>
      <c r="CE112" s="76">
        <f>IF($AB112="Currently special serv","Currently Specially Serviced",IF($AB112="Returned to master serv","Previously Specially Serviced","Never Specially Serviced"))</f>
        <v/>
      </c>
      <c r="CF112" s="78">
        <f>IF($CE112="Currently Specially Serviced",1,0)</f>
        <v/>
      </c>
      <c r="CG112" s="76">
        <f>IF($AA112="Yes","Currently on Watchlist",IF($AA112="Previously","Previously on Watchlist","Never on Watchlist"))</f>
        <v/>
      </c>
      <c r="CH112" s="78">
        <f>IF($CG112="Currently on Watchlist",1,0)</f>
        <v/>
      </c>
      <c r="CI112" s="76">
        <f>IF($Z112="Full Defeasance","Fully Defeased",IF($Z112="Portion Of Loan Previously Defeased","Partially Defeased",IF($Z112="Defeasance Not Allowable","Not Defeased (Not Permitted)","Not Defeased")))</f>
        <v/>
      </c>
      <c r="CJ112" s="78">
        <f>IF($CI112="Fully Defeased",1,0)</f>
        <v/>
      </c>
      <c r="CK112" s="76">
        <f>IF($R112="IO","Full IO",IF(LEFT($R112&amp;"",7)="IO then","Partial IO","Amortizing"))</f>
        <v/>
      </c>
      <c r="CL112" s="78">
        <f>IF($CK112="Full IO",1,0)</f>
        <v/>
      </c>
      <c r="CM112" s="78">
        <f>IF($CK112="Partial IO",1,0)</f>
        <v/>
      </c>
      <c r="CN112" s="76">
        <f>IF(LEFT($F112&amp;"",10)="SPLIT_LOAN","Pari Passu Split","Standalone")</f>
        <v/>
      </c>
      <c r="CO112" s="78">
        <f>IF($CN112="Pari Passu Split",1,0)</f>
        <v/>
      </c>
      <c r="CP112" s="77">
        <f>IF(ISNUMBER($T112),YEAR($T112),"")</f>
        <v/>
      </c>
      <c r="CQ112" s="79">
        <f>IF(ISNUMBER($V112),$V112,IF(ISNUMBER($U112),$U112,""))</f>
        <v/>
      </c>
      <c r="CR112" s="77">
        <f>IF(ISNUMBER($CQ112),YEAR($CQ112),"")</f>
        <v/>
      </c>
      <c r="CS112" s="78">
        <f>IF(ISNUMBER($M112),MAX(0,$M112),IF(TRIM($M112&amp;"")="matured",0,""))</f>
        <v/>
      </c>
      <c r="CT112" s="78">
        <f>IF(AND(ISNUMBER($CS112),N($CS112)&lt;=mMatWindow),1,0)</f>
        <v/>
      </c>
      <c r="CU112" s="80">
        <f>IF(ISNUMBER($J112),$J112/100,"")</f>
        <v/>
      </c>
      <c r="CV112" s="81">
        <f>IF(ISNUMBER($AQ112),$AQ112,"")</f>
        <v/>
      </c>
      <c r="CW112" s="81">
        <f>IF(ISNUMBER($AR112),$AR112,"")</f>
        <v/>
      </c>
      <c r="CX112" s="82">
        <f>IF(ISNUMBER($AS112),$AS112/100,"")</f>
        <v/>
      </c>
      <c r="CY112" s="82">
        <f>IF(ISNUMBER($AT112),$AT112/100,"")</f>
        <v/>
      </c>
      <c r="CZ112" s="82">
        <f>IF(ISNUMBER($AU112),$AU112/100,"")</f>
        <v/>
      </c>
      <c r="DA112" s="82">
        <f>IF(ISNUMBER($AV112),$AV112/100,"")</f>
        <v/>
      </c>
      <c r="DB112" s="82">
        <f>IF(ISNUMBER($AW112),$AW112/100,"")</f>
        <v/>
      </c>
      <c r="DC112" s="82">
        <f>IF(ISNUMBER($AX112),$AX112/100,"")</f>
        <v/>
      </c>
      <c r="DD112" s="77">
        <f>IFERROR(VALUE(LEFT(TRIM($AO112&amp;""),4)),"")</f>
        <v/>
      </c>
      <c r="DE112" s="78">
        <f>IF(AND($BY112=1,$BX112=1,OR(fDeal="All Deals",$BU112=fDeal),OR(fEntity="All Entities",$BV112=fEntity),OR(fPType="All Property Types",$BZ112=fPType),OR(fDefeased="Include",$CJ112=0)),1,0)</f>
        <v/>
      </c>
      <c r="DF112" s="83">
        <f>$DE112*N($I112)</f>
        <v/>
      </c>
      <c r="DG112" s="78">
        <f>IF($DE112=1,IF(COUNTIFS($F$8:$F112,$F112,$DE$8:$DE112,1)=1,1,0),0)</f>
        <v/>
      </c>
      <c r="DH112" s="83">
        <f>IF($DG112=1,SUMIFS($DF$8:$DF$1600,$F$8:$F$1600,$F112),0)</f>
        <v/>
      </c>
      <c r="DI112" s="78">
        <f>IF($DG112=1,COUNTIFS($F$8:$F$1600,$F112,$DE$8:$DE$1600,1),0)</f>
        <v/>
      </c>
      <c r="DJ112" s="84">
        <f>IF($DG112=1,$DH112+(100000-ROW())/mTieBreak,0)</f>
        <v/>
      </c>
    </row>
    <row r="113">
      <c r="B113" s="68" t="n">
        <v>47</v>
      </c>
      <c r="C113" s="69" t="inlineStr">
        <is>
          <t>CTG17C04</t>
        </is>
      </c>
      <c r="D113" s="69" t="inlineStr">
        <is>
          <t>47.000</t>
        </is>
      </c>
      <c r="E113" s="69" t="inlineStr">
        <is>
          <t>Quail Acres Apartments</t>
        </is>
      </c>
      <c r="F113" s="69" t="inlineStr">
        <is>
          <t>LNCTG17C04-47.000</t>
        </is>
      </c>
      <c r="G113" s="70" t="n"/>
      <c r="H113" s="71" t="n">
        <v>5000000</v>
      </c>
      <c r="I113" s="71" t="n">
        <v>0</v>
      </c>
      <c r="J113" s="72" t="n">
        <v>5.6</v>
      </c>
      <c r="K113" s="69" t="inlineStr">
        <is>
          <t>Fixed rate</t>
        </is>
      </c>
      <c r="L113" s="68" t="n">
        <v>60</v>
      </c>
      <c r="M113" s="68" t="n"/>
      <c r="N113" s="68" t="n">
        <v>360</v>
      </c>
      <c r="O113" s="68" t="n"/>
      <c r="P113" s="68" t="n"/>
      <c r="Q113" s="68" t="n"/>
      <c r="R113" s="69" t="n"/>
      <c r="S113" s="69" t="inlineStr">
        <is>
          <t>No</t>
        </is>
      </c>
      <c r="T113" s="73" t="n">
        <v>42948</v>
      </c>
      <c r="U113" s="73" t="n">
        <v>44779</v>
      </c>
      <c r="V113" s="73" t="n"/>
      <c r="W113" s="69" t="n"/>
      <c r="X113" s="69" t="inlineStr">
        <is>
          <t>Current</t>
        </is>
      </c>
      <c r="Y113" s="68" t="n"/>
      <c r="Z113" s="69" t="inlineStr">
        <is>
          <t>No Defeasance Occurred</t>
        </is>
      </c>
      <c r="AA113" s="69" t="inlineStr">
        <is>
          <t>Previously</t>
        </is>
      </c>
      <c r="AB113" s="69" t="inlineStr">
        <is>
          <t>Never special serv</t>
        </is>
      </c>
      <c r="AC113" s="73" t="n"/>
      <c r="AD113" s="69" t="n"/>
      <c r="AE113" s="69" t="n"/>
      <c r="AF113" s="69" t="inlineStr">
        <is>
          <t>PA</t>
        </is>
      </c>
      <c r="AG113" s="69" t="inlineStr">
        <is>
          <t>Elizabeth</t>
        </is>
      </c>
      <c r="AH113" s="69" t="inlineStr">
        <is>
          <t>Pittsburgh, PA</t>
        </is>
      </c>
      <c r="AI113" s="69" t="inlineStr">
        <is>
          <t>Northeast / Mid-Atlantic</t>
        </is>
      </c>
      <c r="AJ113" s="69" t="inlineStr">
        <is>
          <t>MF</t>
        </is>
      </c>
      <c r="AK113" s="69" t="inlineStr">
        <is>
          <t>Garden</t>
        </is>
      </c>
      <c r="AL113" s="68" t="n">
        <v>1</v>
      </c>
      <c r="AM113" s="68" t="n">
        <v>90</v>
      </c>
      <c r="AN113" s="68" t="n"/>
      <c r="AO113" s="69" t="inlineStr">
        <is>
          <t>1980-2002</t>
        </is>
      </c>
      <c r="AP113" s="70" t="n">
        <v>2002</v>
      </c>
      <c r="AQ113" s="74" t="n">
        <v>1.25</v>
      </c>
      <c r="AR113" s="74" t="n">
        <v>1.19</v>
      </c>
      <c r="AS113" s="74" t="n">
        <v>64.3</v>
      </c>
      <c r="AT113" s="74" t="n"/>
      <c r="AU113" s="74" t="n">
        <v>59.94</v>
      </c>
      <c r="AV113" s="74" t="n">
        <v>8.6175432</v>
      </c>
      <c r="AW113" s="74" t="n"/>
      <c r="AX113" s="75" t="n">
        <v>100</v>
      </c>
      <c r="AY113" s="71" t="n">
        <v>7760000</v>
      </c>
      <c r="AZ113" s="71" t="n">
        <v>7760000</v>
      </c>
      <c r="BA113" s="71" t="n">
        <v>430877.16</v>
      </c>
      <c r="BB113" s="71" t="n">
        <v>409609.52</v>
      </c>
      <c r="BC113" s="69" t="inlineStr">
        <is>
          <t>Refinance</t>
        </is>
      </c>
      <c r="BD113" s="69" t="inlineStr">
        <is>
          <t>N</t>
        </is>
      </c>
      <c r="BE113" s="71" t="n"/>
      <c r="BF113" s="71" t="n"/>
      <c r="BG113" s="71" t="n"/>
      <c r="BH113" s="71" t="n">
        <v>0</v>
      </c>
      <c r="BI113" s="71" t="n">
        <v>0</v>
      </c>
      <c r="BJ113" s="69" t="inlineStr">
        <is>
          <t>N</t>
        </is>
      </c>
      <c r="BK113" s="69" t="n"/>
      <c r="BL113" s="75" t="n"/>
      <c r="BM113" s="73" t="n"/>
      <c r="BN113" s="69" t="inlineStr">
        <is>
          <t>Dean K. McHolme and Collin D. McHolme</t>
        </is>
      </c>
      <c r="BO113" s="69" t="inlineStr">
        <is>
          <t>Ladder Capital Finance</t>
        </is>
      </c>
      <c r="BP113" s="69" t="inlineStr">
        <is>
          <t>Midland Loan Services</t>
        </is>
      </c>
      <c r="BQ113" s="69" t="inlineStr">
        <is>
          <t>Midland Loan Services</t>
        </is>
      </c>
      <c r="BR113" s="69" t="inlineStr">
        <is>
          <t>Full Payoff At Maturity</t>
        </is>
      </c>
      <c r="BS113" s="73" t="n">
        <v>44812</v>
      </c>
      <c r="BU113" s="76">
        <f>IF($C113="","",IFERROR(INDEX(dmName,MATCH($C113,dmID,0)),"Unmapped"))</f>
        <v/>
      </c>
      <c r="BV113" s="76">
        <f>IF($C113="","",IFERROR(INDEX(dmEntity,MATCH($C113,dmID,0)),"Unmapped"))</f>
        <v/>
      </c>
      <c r="BW113" s="77">
        <f>IF($C113="","",IFERROR(INDEX(dmVintage,MATCH($C113,dmID,0)),""))</f>
        <v/>
      </c>
      <c r="BX113" s="78">
        <f>IFERROR(INDEX(dmInclude,MATCH($C113,dmID,0)),0)</f>
        <v/>
      </c>
      <c r="BY113" s="78">
        <f>IF(N($I113)&gt;0,1,0)</f>
        <v/>
      </c>
      <c r="BZ113" s="76">
        <f>IF($AJ113="","Other / Leased Fee",IFERROR(INDEX(mapPTGroup,MATCH(LEFT(TRIM($AJ113),2),mapPTCode,0)),"Other / Leased Fee"))</f>
        <v/>
      </c>
      <c r="CA113" s="76">
        <f>IF(TRIM($AF113&amp;"")="","NR",LEFT(TRIM($AF113),2))</f>
        <v/>
      </c>
      <c r="CB113" s="76">
        <f>IFERROR(LOOKUP(2,1/(LEFT(TRIM($AI113&amp;""),LEN(mapRegion))=mapRegion),mapRegion),"Not Reported")</f>
        <v/>
      </c>
      <c r="CC113" s="76">
        <f>IF($BY113=0,"",IF(TRIM($W113&amp;"")="REO","REO",IF(TRIM($W113&amp;"")="FC","Foreclosure",IF(TRIM($W113&amp;"")="90+","90+ Days Delinquent",IF(TRIM($W113&amp;"")="60","60 Days Delinquent",IF(TRIM($W113&amp;"")="30","30 Days Delinquent",IF($X113="Non-Performing Matured Balloon","Non-Performing Matured Balloon",IF(OR($X113="Late Payment But Less Than 30 Days Delinquent",LEFT($X113&amp;"",20)="Payment Not Received"),"Late / In Grace (&lt;30 Days)",IF($X113="Performing Matured Balloon","Performing Matured Balloon","Current")))))))))</f>
        <v/>
      </c>
      <c r="CD113" s="78">
        <f>IF(OR($CC113="REO",$CC113="Foreclosure",$CC113="90+ Days Delinquent",$CC113="60 Days Delinquent",$CC113="30 Days Delinquent",$CC113="Non-Performing Matured Balloon"),1,0)</f>
        <v/>
      </c>
      <c r="CE113" s="76">
        <f>IF($AB113="Currently special serv","Currently Specially Serviced",IF($AB113="Returned to master serv","Previously Specially Serviced","Never Specially Serviced"))</f>
        <v/>
      </c>
      <c r="CF113" s="78">
        <f>IF($CE113="Currently Specially Serviced",1,0)</f>
        <v/>
      </c>
      <c r="CG113" s="76">
        <f>IF($AA113="Yes","Currently on Watchlist",IF($AA113="Previously","Previously on Watchlist","Never on Watchlist"))</f>
        <v/>
      </c>
      <c r="CH113" s="78">
        <f>IF($CG113="Currently on Watchlist",1,0)</f>
        <v/>
      </c>
      <c r="CI113" s="76">
        <f>IF($Z113="Full Defeasance","Fully Defeased",IF($Z113="Portion Of Loan Previously Defeased","Partially Defeased",IF($Z113="Defeasance Not Allowable","Not Defeased (Not Permitted)","Not Defeased")))</f>
        <v/>
      </c>
      <c r="CJ113" s="78">
        <f>IF($CI113="Fully Defeased",1,0)</f>
        <v/>
      </c>
      <c r="CK113" s="76">
        <f>IF($R113="IO","Full IO",IF(LEFT($R113&amp;"",7)="IO then","Partial IO","Amortizing"))</f>
        <v/>
      </c>
      <c r="CL113" s="78">
        <f>IF($CK113="Full IO",1,0)</f>
        <v/>
      </c>
      <c r="CM113" s="78">
        <f>IF($CK113="Partial IO",1,0)</f>
        <v/>
      </c>
      <c r="CN113" s="76">
        <f>IF(LEFT($F113&amp;"",10)="SPLIT_LOAN","Pari Passu Split","Standalone")</f>
        <v/>
      </c>
      <c r="CO113" s="78">
        <f>IF($CN113="Pari Passu Split",1,0)</f>
        <v/>
      </c>
      <c r="CP113" s="77">
        <f>IF(ISNUMBER($T113),YEAR($T113),"")</f>
        <v/>
      </c>
      <c r="CQ113" s="79">
        <f>IF(ISNUMBER($V113),$V113,IF(ISNUMBER($U113),$U113,""))</f>
        <v/>
      </c>
      <c r="CR113" s="77">
        <f>IF(ISNUMBER($CQ113),YEAR($CQ113),"")</f>
        <v/>
      </c>
      <c r="CS113" s="78">
        <f>IF(ISNUMBER($M113),MAX(0,$M113),IF(TRIM($M113&amp;"")="matured",0,""))</f>
        <v/>
      </c>
      <c r="CT113" s="78">
        <f>IF(AND(ISNUMBER($CS113),N($CS113)&lt;=mMatWindow),1,0)</f>
        <v/>
      </c>
      <c r="CU113" s="80">
        <f>IF(ISNUMBER($J113),$J113/100,"")</f>
        <v/>
      </c>
      <c r="CV113" s="81">
        <f>IF(ISNUMBER($AQ113),$AQ113,"")</f>
        <v/>
      </c>
      <c r="CW113" s="81">
        <f>IF(ISNUMBER($AR113),$AR113,"")</f>
        <v/>
      </c>
      <c r="CX113" s="82">
        <f>IF(ISNUMBER($AS113),$AS113/100,"")</f>
        <v/>
      </c>
      <c r="CY113" s="82">
        <f>IF(ISNUMBER($AT113),$AT113/100,"")</f>
        <v/>
      </c>
      <c r="CZ113" s="82">
        <f>IF(ISNUMBER($AU113),$AU113/100,"")</f>
        <v/>
      </c>
      <c r="DA113" s="82">
        <f>IF(ISNUMBER($AV113),$AV113/100,"")</f>
        <v/>
      </c>
      <c r="DB113" s="82">
        <f>IF(ISNUMBER($AW113),$AW113/100,"")</f>
        <v/>
      </c>
      <c r="DC113" s="82">
        <f>IF(ISNUMBER($AX113),$AX113/100,"")</f>
        <v/>
      </c>
      <c r="DD113" s="77">
        <f>IFERROR(VALUE(LEFT(TRIM($AO113&amp;""),4)),"")</f>
        <v/>
      </c>
      <c r="DE113" s="78">
        <f>IF(AND($BY113=1,$BX113=1,OR(fDeal="All Deals",$BU113=fDeal),OR(fEntity="All Entities",$BV113=fEntity),OR(fPType="All Property Types",$BZ113=fPType),OR(fDefeased="Include",$CJ113=0)),1,0)</f>
        <v/>
      </c>
      <c r="DF113" s="83">
        <f>$DE113*N($I113)</f>
        <v/>
      </c>
      <c r="DG113" s="78">
        <f>IF($DE113=1,IF(COUNTIFS($F$8:$F113,$F113,$DE$8:$DE113,1)=1,1,0),0)</f>
        <v/>
      </c>
      <c r="DH113" s="83">
        <f>IF($DG113=1,SUMIFS($DF$8:$DF$1600,$F$8:$F$1600,$F113),0)</f>
        <v/>
      </c>
      <c r="DI113" s="78">
        <f>IF($DG113=1,COUNTIFS($F$8:$F$1600,$F113,$DE$8:$DE$1600,1),0)</f>
        <v/>
      </c>
      <c r="DJ113" s="84">
        <f>IF($DG113=1,$DH113+(100000-ROW())/mTieBreak,0)</f>
        <v/>
      </c>
    </row>
    <row r="114">
      <c r="B114" s="68" t="n">
        <v>48</v>
      </c>
      <c r="C114" s="69" t="inlineStr">
        <is>
          <t>CTG17C04</t>
        </is>
      </c>
      <c r="D114" s="69" t="inlineStr">
        <is>
          <t>48.000</t>
        </is>
      </c>
      <c r="E114" s="69" t="inlineStr">
        <is>
          <t>Best Western Plus Richmond Hill</t>
        </is>
      </c>
      <c r="F114" s="69" t="inlineStr">
        <is>
          <t>LNCTG17C04-48.000</t>
        </is>
      </c>
      <c r="G114" s="70" t="n"/>
      <c r="H114" s="71" t="n">
        <v>3750000</v>
      </c>
      <c r="I114" s="71" t="n">
        <v>2954265.31000125</v>
      </c>
      <c r="J114" s="72" t="n">
        <v>5.25</v>
      </c>
      <c r="K114" s="69" t="inlineStr">
        <is>
          <t>Fixed rate</t>
        </is>
      </c>
      <c r="L114" s="68" t="n">
        <v>120</v>
      </c>
      <c r="M114" s="68" t="n">
        <v>13</v>
      </c>
      <c r="N114" s="68" t="n">
        <v>300</v>
      </c>
      <c r="O114" s="68" t="n"/>
      <c r="P114" s="68" t="n"/>
      <c r="Q114" s="68" t="n">
        <v>107</v>
      </c>
      <c r="R114" s="69" t="n"/>
      <c r="S114" s="69" t="inlineStr">
        <is>
          <t>No</t>
        </is>
      </c>
      <c r="T114" s="73" t="n">
        <v>43009</v>
      </c>
      <c r="U114" s="73" t="n">
        <v>46666</v>
      </c>
      <c r="V114" s="73" t="n"/>
      <c r="W114" s="69" t="n"/>
      <c r="X114" s="69" t="inlineStr">
        <is>
          <t>Current</t>
        </is>
      </c>
      <c r="Y114" s="68" t="n"/>
      <c r="Z114" s="69" t="inlineStr">
        <is>
          <t>No Defeasance Occurred</t>
        </is>
      </c>
      <c r="AA114" s="69" t="inlineStr">
        <is>
          <t>Yes</t>
        </is>
      </c>
      <c r="AB114" s="69" t="inlineStr">
        <is>
          <t>Never special serv</t>
        </is>
      </c>
      <c r="AC114" s="73" t="n"/>
      <c r="AD114" s="69" t="n"/>
      <c r="AE114" s="69" t="n"/>
      <c r="AF114" s="69" t="inlineStr">
        <is>
          <t>GA</t>
        </is>
      </c>
      <c r="AG114" s="69" t="inlineStr">
        <is>
          <t>Richmond Hill</t>
        </is>
      </c>
      <c r="AH114" s="69" t="inlineStr">
        <is>
          <t>Savannah, GA</t>
        </is>
      </c>
      <c r="AI114" s="69" t="inlineStr">
        <is>
          <t>South / Atlantic</t>
        </is>
      </c>
      <c r="AJ114" s="69" t="inlineStr">
        <is>
          <t>HT</t>
        </is>
      </c>
      <c r="AK114" s="69" t="inlineStr">
        <is>
          <t>Limited Service</t>
        </is>
      </c>
      <c r="AL114" s="68" t="n">
        <v>1</v>
      </c>
      <c r="AM114" s="68" t="n">
        <v>59</v>
      </c>
      <c r="AN114" s="68" t="n"/>
      <c r="AO114" s="69" t="inlineStr">
        <is>
          <t>2005</t>
        </is>
      </c>
      <c r="AP114" s="70" t="n">
        <v>2005</v>
      </c>
      <c r="AQ114" s="74" t="n">
        <v>2.46</v>
      </c>
      <c r="AR114" s="74" t="n">
        <v>1.35</v>
      </c>
      <c r="AS114" s="74" t="n">
        <v>51.37</v>
      </c>
      <c r="AT114" s="74" t="n">
        <v>40.47</v>
      </c>
      <c r="AU114" s="74" t="n">
        <v>38.75</v>
      </c>
      <c r="AV114" s="74" t="n">
        <v>17.71296</v>
      </c>
      <c r="AW114" s="74" t="n">
        <v>12.310661767</v>
      </c>
      <c r="AX114" s="75" t="n">
        <v>89</v>
      </c>
      <c r="AY114" s="71" t="n">
        <v>7300000</v>
      </c>
      <c r="AZ114" s="71" t="n">
        <v>7300000</v>
      </c>
      <c r="BA114" s="71" t="n">
        <v>664236</v>
      </c>
      <c r="BB114" s="71" t="n">
        <v>363689.61</v>
      </c>
      <c r="BC114" s="69" t="inlineStr">
        <is>
          <t>Refinance</t>
        </is>
      </c>
      <c r="BD114" s="69" t="inlineStr">
        <is>
          <t>N</t>
        </is>
      </c>
      <c r="BE114" s="71" t="n"/>
      <c r="BF114" s="71" t="n"/>
      <c r="BG114" s="71" t="n"/>
      <c r="BH114" s="71" t="n">
        <v>0</v>
      </c>
      <c r="BI114" s="71" t="n">
        <v>0</v>
      </c>
      <c r="BJ114" s="69" t="inlineStr">
        <is>
          <t>N</t>
        </is>
      </c>
      <c r="BK114" s="69" t="n"/>
      <c r="BL114" s="75" t="n"/>
      <c r="BM114" s="73" t="n"/>
      <c r="BN114" s="69" t="inlineStr">
        <is>
          <t>Dinesh J. Patel</t>
        </is>
      </c>
      <c r="BO114" s="69" t="inlineStr">
        <is>
          <t>RMF</t>
        </is>
      </c>
      <c r="BP114" s="69" t="inlineStr">
        <is>
          <t>Midland Loan Services</t>
        </is>
      </c>
      <c r="BQ114" s="69" t="inlineStr">
        <is>
          <t>Midland Loan Services</t>
        </is>
      </c>
      <c r="BR114" s="69" t="n"/>
      <c r="BS114" s="73" t="n">
        <v>46273</v>
      </c>
      <c r="BU114" s="76">
        <f>IF($C114="","",IFERROR(INDEX(dmName,MATCH($C114,dmID,0)),"Unmapped"))</f>
        <v/>
      </c>
      <c r="BV114" s="76">
        <f>IF($C114="","",IFERROR(INDEX(dmEntity,MATCH($C114,dmID,0)),"Unmapped"))</f>
        <v/>
      </c>
      <c r="BW114" s="77">
        <f>IF($C114="","",IFERROR(INDEX(dmVintage,MATCH($C114,dmID,0)),""))</f>
        <v/>
      </c>
      <c r="BX114" s="78">
        <f>IFERROR(INDEX(dmInclude,MATCH($C114,dmID,0)),0)</f>
        <v/>
      </c>
      <c r="BY114" s="78">
        <f>IF(N($I114)&gt;0,1,0)</f>
        <v/>
      </c>
      <c r="BZ114" s="76">
        <f>IF($AJ114="","Other / Leased Fee",IFERROR(INDEX(mapPTGroup,MATCH(LEFT(TRIM($AJ114),2),mapPTCode,0)),"Other / Leased Fee"))</f>
        <v/>
      </c>
      <c r="CA114" s="76">
        <f>IF(TRIM($AF114&amp;"")="","NR",LEFT(TRIM($AF114),2))</f>
        <v/>
      </c>
      <c r="CB114" s="76">
        <f>IFERROR(LOOKUP(2,1/(LEFT(TRIM($AI114&amp;""),LEN(mapRegion))=mapRegion),mapRegion),"Not Reported")</f>
        <v/>
      </c>
      <c r="CC114" s="76">
        <f>IF($BY114=0,"",IF(TRIM($W114&amp;"")="REO","REO",IF(TRIM($W114&amp;"")="FC","Foreclosure",IF(TRIM($W114&amp;"")="90+","90+ Days Delinquent",IF(TRIM($W114&amp;"")="60","60 Days Delinquent",IF(TRIM($W114&amp;"")="30","30 Days Delinquent",IF($X114="Non-Performing Matured Balloon","Non-Performing Matured Balloon",IF(OR($X114="Late Payment But Less Than 30 Days Delinquent",LEFT($X114&amp;"",20)="Payment Not Received"),"Late / In Grace (&lt;30 Days)",IF($X114="Performing Matured Balloon","Performing Matured Balloon","Current")))))))))</f>
        <v/>
      </c>
      <c r="CD114" s="78">
        <f>IF(OR($CC114="REO",$CC114="Foreclosure",$CC114="90+ Days Delinquent",$CC114="60 Days Delinquent",$CC114="30 Days Delinquent",$CC114="Non-Performing Matured Balloon"),1,0)</f>
        <v/>
      </c>
      <c r="CE114" s="76">
        <f>IF($AB114="Currently special serv","Currently Specially Serviced",IF($AB114="Returned to master serv","Previously Specially Serviced","Never Specially Serviced"))</f>
        <v/>
      </c>
      <c r="CF114" s="78">
        <f>IF($CE114="Currently Specially Serviced",1,0)</f>
        <v/>
      </c>
      <c r="CG114" s="76">
        <f>IF($AA114="Yes","Currently on Watchlist",IF($AA114="Previously","Previously on Watchlist","Never on Watchlist"))</f>
        <v/>
      </c>
      <c r="CH114" s="78">
        <f>IF($CG114="Currently on Watchlist",1,0)</f>
        <v/>
      </c>
      <c r="CI114" s="76">
        <f>IF($Z114="Full Defeasance","Fully Defeased",IF($Z114="Portion Of Loan Previously Defeased","Partially Defeased",IF($Z114="Defeasance Not Allowable","Not Defeased (Not Permitted)","Not Defeased")))</f>
        <v/>
      </c>
      <c r="CJ114" s="78">
        <f>IF($CI114="Fully Defeased",1,0)</f>
        <v/>
      </c>
      <c r="CK114" s="76">
        <f>IF($R114="IO","Full IO",IF(LEFT($R114&amp;"",7)="IO then","Partial IO","Amortizing"))</f>
        <v/>
      </c>
      <c r="CL114" s="78">
        <f>IF($CK114="Full IO",1,0)</f>
        <v/>
      </c>
      <c r="CM114" s="78">
        <f>IF($CK114="Partial IO",1,0)</f>
        <v/>
      </c>
      <c r="CN114" s="76">
        <f>IF(LEFT($F114&amp;"",10)="SPLIT_LOAN","Pari Passu Split","Standalone")</f>
        <v/>
      </c>
      <c r="CO114" s="78">
        <f>IF($CN114="Pari Passu Split",1,0)</f>
        <v/>
      </c>
      <c r="CP114" s="77">
        <f>IF(ISNUMBER($T114),YEAR($T114),"")</f>
        <v/>
      </c>
      <c r="CQ114" s="79">
        <f>IF(ISNUMBER($V114),$V114,IF(ISNUMBER($U114),$U114,""))</f>
        <v/>
      </c>
      <c r="CR114" s="77">
        <f>IF(ISNUMBER($CQ114),YEAR($CQ114),"")</f>
        <v/>
      </c>
      <c r="CS114" s="78">
        <f>IF(ISNUMBER($M114),MAX(0,$M114),IF(TRIM($M114&amp;"")="matured",0,""))</f>
        <v/>
      </c>
      <c r="CT114" s="78">
        <f>IF(AND(ISNUMBER($CS114),N($CS114)&lt;=mMatWindow),1,0)</f>
        <v/>
      </c>
      <c r="CU114" s="80">
        <f>IF(ISNUMBER($J114),$J114/100,"")</f>
        <v/>
      </c>
      <c r="CV114" s="81">
        <f>IF(ISNUMBER($AQ114),$AQ114,"")</f>
        <v/>
      </c>
      <c r="CW114" s="81">
        <f>IF(ISNUMBER($AR114),$AR114,"")</f>
        <v/>
      </c>
      <c r="CX114" s="82">
        <f>IF(ISNUMBER($AS114),$AS114/100,"")</f>
        <v/>
      </c>
      <c r="CY114" s="82">
        <f>IF(ISNUMBER($AT114),$AT114/100,"")</f>
        <v/>
      </c>
      <c r="CZ114" s="82">
        <f>IF(ISNUMBER($AU114),$AU114/100,"")</f>
        <v/>
      </c>
      <c r="DA114" s="82">
        <f>IF(ISNUMBER($AV114),$AV114/100,"")</f>
        <v/>
      </c>
      <c r="DB114" s="82">
        <f>IF(ISNUMBER($AW114),$AW114/100,"")</f>
        <v/>
      </c>
      <c r="DC114" s="82">
        <f>IF(ISNUMBER($AX114),$AX114/100,"")</f>
        <v/>
      </c>
      <c r="DD114" s="77">
        <f>IFERROR(VALUE(LEFT(TRIM($AO114&amp;""),4)),"")</f>
        <v/>
      </c>
      <c r="DE114" s="78">
        <f>IF(AND($BY114=1,$BX114=1,OR(fDeal="All Deals",$BU114=fDeal),OR(fEntity="All Entities",$BV114=fEntity),OR(fPType="All Property Types",$BZ114=fPType),OR(fDefeased="Include",$CJ114=0)),1,0)</f>
        <v/>
      </c>
      <c r="DF114" s="83">
        <f>$DE114*N($I114)</f>
        <v/>
      </c>
      <c r="DG114" s="78">
        <f>IF($DE114=1,IF(COUNTIFS($F$8:$F114,$F114,$DE$8:$DE114,1)=1,1,0),0)</f>
        <v/>
      </c>
      <c r="DH114" s="83">
        <f>IF($DG114=1,SUMIFS($DF$8:$DF$1600,$F$8:$F$1600,$F114),0)</f>
        <v/>
      </c>
      <c r="DI114" s="78">
        <f>IF($DG114=1,COUNTIFS($F$8:$F$1600,$F114,$DE$8:$DE$1600,1),0)</f>
        <v/>
      </c>
      <c r="DJ114" s="84">
        <f>IF($DG114=1,$DH114+(100000-ROW())/mTieBreak,0)</f>
        <v/>
      </c>
    </row>
    <row r="115">
      <c r="B115" s="68" t="n">
        <v>49</v>
      </c>
      <c r="C115" s="69" t="inlineStr">
        <is>
          <t>CTG17C04</t>
        </is>
      </c>
      <c r="D115" s="69" t="inlineStr">
        <is>
          <t>49.000</t>
        </is>
      </c>
      <c r="E115" s="69" t="inlineStr">
        <is>
          <t>The Crossings Retail Center</t>
        </is>
      </c>
      <c r="F115" s="69" t="inlineStr">
        <is>
          <t>LNCTG17C04-49.000</t>
        </is>
      </c>
      <c r="G115" s="70" t="n"/>
      <c r="H115" s="71" t="n">
        <v>3650000</v>
      </c>
      <c r="I115" s="71" t="n">
        <v>3224274.459998449</v>
      </c>
      <c r="J115" s="72" t="n">
        <v>4.98</v>
      </c>
      <c r="K115" s="69" t="inlineStr">
        <is>
          <t>Fixed rate</t>
        </is>
      </c>
      <c r="L115" s="68" t="n">
        <v>120</v>
      </c>
      <c r="M115" s="68" t="n">
        <v>11</v>
      </c>
      <c r="N115" s="68" t="n">
        <v>384</v>
      </c>
      <c r="O115" s="68" t="n">
        <v>24</v>
      </c>
      <c r="P115" s="68" t="n">
        <v>0</v>
      </c>
      <c r="Q115" s="68" t="n">
        <v>109</v>
      </c>
      <c r="R115" s="69" t="inlineStr">
        <is>
          <t>IO then Amort</t>
        </is>
      </c>
      <c r="S115" s="69" t="inlineStr">
        <is>
          <t>No</t>
        </is>
      </c>
      <c r="T115" s="73" t="n">
        <v>42948</v>
      </c>
      <c r="U115" s="73" t="n">
        <v>46605</v>
      </c>
      <c r="V115" s="73" t="n"/>
      <c r="W115" s="69" t="n"/>
      <c r="X115" s="69" t="inlineStr">
        <is>
          <t>Current</t>
        </is>
      </c>
      <c r="Y115" s="68" t="n"/>
      <c r="Z115" s="69" t="inlineStr">
        <is>
          <t>Full Defeasance</t>
        </is>
      </c>
      <c r="AA115" s="69" t="n"/>
      <c r="AB115" s="69" t="inlineStr">
        <is>
          <t>Never special serv</t>
        </is>
      </c>
      <c r="AC115" s="73" t="n"/>
      <c r="AD115" s="69" t="n"/>
      <c r="AE115" s="69" t="n"/>
      <c r="AF115" s="69" t="inlineStr">
        <is>
          <t>MI</t>
        </is>
      </c>
      <c r="AG115" s="69" t="inlineStr">
        <is>
          <t>Grand Rapids</t>
        </is>
      </c>
      <c r="AH115" s="69" t="inlineStr">
        <is>
          <t>Grand Rapids-Wyoming-Kentwood, MI</t>
        </is>
      </c>
      <c r="AI115" s="69" t="inlineStr">
        <is>
          <t>Midwest / Central East</t>
        </is>
      </c>
      <c r="AJ115" s="69" t="inlineStr">
        <is>
          <t>RT</t>
        </is>
      </c>
      <c r="AK115" s="69" t="inlineStr">
        <is>
          <t>Shadow Anchored</t>
        </is>
      </c>
      <c r="AL115" s="68" t="n">
        <v>1</v>
      </c>
      <c r="AM115" s="68" t="n"/>
      <c r="AN115" s="68" t="n">
        <v>21235</v>
      </c>
      <c r="AO115" s="69" t="inlineStr">
        <is>
          <t>2001, 2003</t>
        </is>
      </c>
      <c r="AP115" s="70" t="n">
        <v>2003</v>
      </c>
      <c r="AQ115" s="74" t="n">
        <v>1.3</v>
      </c>
      <c r="AR115" s="74" t="n">
        <v>1.59</v>
      </c>
      <c r="AS115" s="74" t="n">
        <v>65.18000000000001</v>
      </c>
      <c r="AT115" s="74" t="n">
        <v>57.58</v>
      </c>
      <c r="AU115" s="74" t="n">
        <v>56.37</v>
      </c>
      <c r="AV115" s="74" t="n">
        <v>8.381218904000001</v>
      </c>
      <c r="AW115" s="74" t="n">
        <v>11.600862291</v>
      </c>
      <c r="AX115" s="75" t="n">
        <v>100</v>
      </c>
      <c r="AY115" s="71" t="n">
        <v>5600000</v>
      </c>
      <c r="AZ115" s="71" t="n">
        <v>5600000</v>
      </c>
      <c r="BA115" s="71" t="n">
        <v>305914.49</v>
      </c>
      <c r="BB115" s="71" t="n">
        <v>374043.64</v>
      </c>
      <c r="BC115" s="69" t="inlineStr">
        <is>
          <t>Refinance</t>
        </is>
      </c>
      <c r="BD115" s="69" t="inlineStr">
        <is>
          <t>N</t>
        </is>
      </c>
      <c r="BE115" s="71" t="n"/>
      <c r="BF115" s="71" t="n"/>
      <c r="BG115" s="71" t="n"/>
      <c r="BH115" s="71" t="n">
        <v>0</v>
      </c>
      <c r="BI115" s="71" t="n">
        <v>0</v>
      </c>
      <c r="BJ115" s="69" t="inlineStr">
        <is>
          <t>N</t>
        </is>
      </c>
      <c r="BK115" s="69" t="inlineStr">
        <is>
          <t>MIDNIGHT SUN AND CRUISE OF GRAND RAPIDS</t>
        </is>
      </c>
      <c r="BL115" s="75" t="n">
        <v>15.54</v>
      </c>
      <c r="BM115" s="73" t="n">
        <v>45473</v>
      </c>
      <c r="BN115" s="69" t="inlineStr">
        <is>
          <t>Gabriel L. Schuchman</t>
        </is>
      </c>
      <c r="BO115" s="69" t="inlineStr">
        <is>
          <t>Ladder Capital Finance</t>
        </is>
      </c>
      <c r="BP115" s="69" t="inlineStr">
        <is>
          <t>Midland Loan Services</t>
        </is>
      </c>
      <c r="BQ115" s="69" t="inlineStr">
        <is>
          <t>Midland Loan Services</t>
        </is>
      </c>
      <c r="BR115" s="69" t="n"/>
      <c r="BS115" s="73" t="n">
        <v>46273</v>
      </c>
      <c r="BU115" s="76">
        <f>IF($C115="","",IFERROR(INDEX(dmName,MATCH($C115,dmID,0)),"Unmapped"))</f>
        <v/>
      </c>
      <c r="BV115" s="76">
        <f>IF($C115="","",IFERROR(INDEX(dmEntity,MATCH($C115,dmID,0)),"Unmapped"))</f>
        <v/>
      </c>
      <c r="BW115" s="77">
        <f>IF($C115="","",IFERROR(INDEX(dmVintage,MATCH($C115,dmID,0)),""))</f>
        <v/>
      </c>
      <c r="BX115" s="78">
        <f>IFERROR(INDEX(dmInclude,MATCH($C115,dmID,0)),0)</f>
        <v/>
      </c>
      <c r="BY115" s="78">
        <f>IF(N($I115)&gt;0,1,0)</f>
        <v/>
      </c>
      <c r="BZ115" s="76">
        <f>IF($AJ115="","Other / Leased Fee",IFERROR(INDEX(mapPTGroup,MATCH(LEFT(TRIM($AJ115),2),mapPTCode,0)),"Other / Leased Fee"))</f>
        <v/>
      </c>
      <c r="CA115" s="76">
        <f>IF(TRIM($AF115&amp;"")="","NR",LEFT(TRIM($AF115),2))</f>
        <v/>
      </c>
      <c r="CB115" s="76">
        <f>IFERROR(LOOKUP(2,1/(LEFT(TRIM($AI115&amp;""),LEN(mapRegion))=mapRegion),mapRegion),"Not Reported")</f>
        <v/>
      </c>
      <c r="CC115" s="76">
        <f>IF($BY115=0,"",IF(TRIM($W115&amp;"")="REO","REO",IF(TRIM($W115&amp;"")="FC","Foreclosure",IF(TRIM($W115&amp;"")="90+","90+ Days Delinquent",IF(TRIM($W115&amp;"")="60","60 Days Delinquent",IF(TRIM($W115&amp;"")="30","30 Days Delinquent",IF($X115="Non-Performing Matured Balloon","Non-Performing Matured Balloon",IF(OR($X115="Late Payment But Less Than 30 Days Delinquent",LEFT($X115&amp;"",20)="Payment Not Received"),"Late / In Grace (&lt;30 Days)",IF($X115="Performing Matured Balloon","Performing Matured Balloon","Current")))))))))</f>
        <v/>
      </c>
      <c r="CD115" s="78">
        <f>IF(OR($CC115="REO",$CC115="Foreclosure",$CC115="90+ Days Delinquent",$CC115="60 Days Delinquent",$CC115="30 Days Delinquent",$CC115="Non-Performing Matured Balloon"),1,0)</f>
        <v/>
      </c>
      <c r="CE115" s="76">
        <f>IF($AB115="Currently special serv","Currently Specially Serviced",IF($AB115="Returned to master serv","Previously Specially Serviced","Never Specially Serviced"))</f>
        <v/>
      </c>
      <c r="CF115" s="78">
        <f>IF($CE115="Currently Specially Serviced",1,0)</f>
        <v/>
      </c>
      <c r="CG115" s="76">
        <f>IF($AA115="Yes","Currently on Watchlist",IF($AA115="Previously","Previously on Watchlist","Never on Watchlist"))</f>
        <v/>
      </c>
      <c r="CH115" s="78">
        <f>IF($CG115="Currently on Watchlist",1,0)</f>
        <v/>
      </c>
      <c r="CI115" s="76">
        <f>IF($Z115="Full Defeasance","Fully Defeased",IF($Z115="Portion Of Loan Previously Defeased","Partially Defeased",IF($Z115="Defeasance Not Allowable","Not Defeased (Not Permitted)","Not Defeased")))</f>
        <v/>
      </c>
      <c r="CJ115" s="78">
        <f>IF($CI115="Fully Defeased",1,0)</f>
        <v/>
      </c>
      <c r="CK115" s="76">
        <f>IF($R115="IO","Full IO",IF(LEFT($R115&amp;"",7)="IO then","Partial IO","Amortizing"))</f>
        <v/>
      </c>
      <c r="CL115" s="78">
        <f>IF($CK115="Full IO",1,0)</f>
        <v/>
      </c>
      <c r="CM115" s="78">
        <f>IF($CK115="Partial IO",1,0)</f>
        <v/>
      </c>
      <c r="CN115" s="76">
        <f>IF(LEFT($F115&amp;"",10)="SPLIT_LOAN","Pari Passu Split","Standalone")</f>
        <v/>
      </c>
      <c r="CO115" s="78">
        <f>IF($CN115="Pari Passu Split",1,0)</f>
        <v/>
      </c>
      <c r="CP115" s="77">
        <f>IF(ISNUMBER($T115),YEAR($T115),"")</f>
        <v/>
      </c>
      <c r="CQ115" s="79">
        <f>IF(ISNUMBER($V115),$V115,IF(ISNUMBER($U115),$U115,""))</f>
        <v/>
      </c>
      <c r="CR115" s="77">
        <f>IF(ISNUMBER($CQ115),YEAR($CQ115),"")</f>
        <v/>
      </c>
      <c r="CS115" s="78">
        <f>IF(ISNUMBER($M115),MAX(0,$M115),IF(TRIM($M115&amp;"")="matured",0,""))</f>
        <v/>
      </c>
      <c r="CT115" s="78">
        <f>IF(AND(ISNUMBER($CS115),N($CS115)&lt;=mMatWindow),1,0)</f>
        <v/>
      </c>
      <c r="CU115" s="80">
        <f>IF(ISNUMBER($J115),$J115/100,"")</f>
        <v/>
      </c>
      <c r="CV115" s="81">
        <f>IF(ISNUMBER($AQ115),$AQ115,"")</f>
        <v/>
      </c>
      <c r="CW115" s="81">
        <f>IF(ISNUMBER($AR115),$AR115,"")</f>
        <v/>
      </c>
      <c r="CX115" s="82">
        <f>IF(ISNUMBER($AS115),$AS115/100,"")</f>
        <v/>
      </c>
      <c r="CY115" s="82">
        <f>IF(ISNUMBER($AT115),$AT115/100,"")</f>
        <v/>
      </c>
      <c r="CZ115" s="82">
        <f>IF(ISNUMBER($AU115),$AU115/100,"")</f>
        <v/>
      </c>
      <c r="DA115" s="82">
        <f>IF(ISNUMBER($AV115),$AV115/100,"")</f>
        <v/>
      </c>
      <c r="DB115" s="82">
        <f>IF(ISNUMBER($AW115),$AW115/100,"")</f>
        <v/>
      </c>
      <c r="DC115" s="82">
        <f>IF(ISNUMBER($AX115),$AX115/100,"")</f>
        <v/>
      </c>
      <c r="DD115" s="77">
        <f>IFERROR(VALUE(LEFT(TRIM($AO115&amp;""),4)),"")</f>
        <v/>
      </c>
      <c r="DE115" s="78">
        <f>IF(AND($BY115=1,$BX115=1,OR(fDeal="All Deals",$BU115=fDeal),OR(fEntity="All Entities",$BV115=fEntity),OR(fPType="All Property Types",$BZ115=fPType),OR(fDefeased="Include",$CJ115=0)),1,0)</f>
        <v/>
      </c>
      <c r="DF115" s="83">
        <f>$DE115*N($I115)</f>
        <v/>
      </c>
      <c r="DG115" s="78">
        <f>IF($DE115=1,IF(COUNTIFS($F$8:$F115,$F115,$DE$8:$DE115,1)=1,1,0),0)</f>
        <v/>
      </c>
      <c r="DH115" s="83">
        <f>IF($DG115=1,SUMIFS($DF$8:$DF$1600,$F$8:$F$1600,$F115),0)</f>
        <v/>
      </c>
      <c r="DI115" s="78">
        <f>IF($DG115=1,COUNTIFS($F$8:$F$1600,$F115,$DE$8:$DE$1600,1),0)</f>
        <v/>
      </c>
      <c r="DJ115" s="84">
        <f>IF($DG115=1,$DH115+(100000-ROW())/mTieBreak,0)</f>
        <v/>
      </c>
    </row>
    <row r="116">
      <c r="B116" s="68" t="n">
        <v>50</v>
      </c>
      <c r="C116" s="69" t="inlineStr">
        <is>
          <t>CTG17C04</t>
        </is>
      </c>
      <c r="D116" s="69" t="inlineStr">
        <is>
          <t>50.000</t>
        </is>
      </c>
      <c r="E116" s="69" t="inlineStr">
        <is>
          <t>8212 Liberty Road Leased Fee</t>
        </is>
      </c>
      <c r="F116" s="69" t="inlineStr">
        <is>
          <t>LNCTG17C04-50.000</t>
        </is>
      </c>
      <c r="G116" s="70" t="n"/>
      <c r="H116" s="71" t="n">
        <v>3625000</v>
      </c>
      <c r="I116" s="71" t="n">
        <v>0</v>
      </c>
      <c r="J116" s="72" t="n">
        <v>4.1535</v>
      </c>
      <c r="K116" s="69" t="inlineStr">
        <is>
          <t>Fixed rate</t>
        </is>
      </c>
      <c r="L116" s="68" t="n">
        <v>120</v>
      </c>
      <c r="M116" s="68" t="n"/>
      <c r="N116" s="68" t="n">
        <v>120</v>
      </c>
      <c r="O116" s="68" t="n">
        <v>120</v>
      </c>
      <c r="P116" s="68" t="n"/>
      <c r="Q116" s="68" t="n"/>
      <c r="R116" s="69" t="inlineStr">
        <is>
          <t>IO</t>
        </is>
      </c>
      <c r="S116" s="69" t="inlineStr">
        <is>
          <t>Yes</t>
        </is>
      </c>
      <c r="T116" s="73" t="n">
        <v>42948</v>
      </c>
      <c r="U116" s="73" t="n">
        <v>46605</v>
      </c>
      <c r="V116" s="73" t="n"/>
      <c r="W116" s="69" t="n"/>
      <c r="X116" s="69" t="inlineStr">
        <is>
          <t>Current</t>
        </is>
      </c>
      <c r="Y116" s="68" t="n"/>
      <c r="Z116" s="69" t="inlineStr">
        <is>
          <t>Defeasance Not Allowable</t>
        </is>
      </c>
      <c r="AA116" s="69" t="n"/>
      <c r="AB116" s="69" t="inlineStr">
        <is>
          <t>Never special serv</t>
        </is>
      </c>
      <c r="AC116" s="73" t="n"/>
      <c r="AD116" s="69" t="n"/>
      <c r="AE116" s="69" t="n"/>
      <c r="AF116" s="69" t="inlineStr">
        <is>
          <t>MD</t>
        </is>
      </c>
      <c r="AG116" s="69" t="inlineStr">
        <is>
          <t>Windsor Mill</t>
        </is>
      </c>
      <c r="AH116" s="69" t="inlineStr">
        <is>
          <t>Baltimore-Columbia-Towson, MD</t>
        </is>
      </c>
      <c r="AI116" s="69" t="inlineStr">
        <is>
          <t>South / Atlantic</t>
        </is>
      </c>
      <c r="AJ116" s="69" t="inlineStr">
        <is>
          <t>SP</t>
        </is>
      </c>
      <c r="AK116" s="69" t="n"/>
      <c r="AL116" s="68" t="n">
        <v>1</v>
      </c>
      <c r="AM116" s="68" t="n"/>
      <c r="AN116" s="68" t="n">
        <v>92554</v>
      </c>
      <c r="AO116" s="69" t="inlineStr">
        <is>
          <t>1972</t>
        </is>
      </c>
      <c r="AP116" s="70" t="n">
        <v>1972</v>
      </c>
      <c r="AQ116" s="74" t="n">
        <v>1.97</v>
      </c>
      <c r="AR116" s="74" t="n">
        <v>1.95</v>
      </c>
      <c r="AS116" s="74" t="n">
        <v>58</v>
      </c>
      <c r="AT116" s="74" t="n"/>
      <c r="AU116" s="74" t="n">
        <v>58</v>
      </c>
      <c r="AV116" s="74" t="n">
        <v>8.276034483</v>
      </c>
      <c r="AW116" s="74" t="n"/>
      <c r="AX116" s="75" t="n">
        <v>100</v>
      </c>
      <c r="AY116" s="71" t="n">
        <v>6250000</v>
      </c>
      <c r="AZ116" s="71" t="n">
        <v>6250000</v>
      </c>
      <c r="BA116" s="71" t="n">
        <v>300006.25</v>
      </c>
      <c r="BB116" s="71" t="n">
        <v>297202</v>
      </c>
      <c r="BC116" s="69" t="inlineStr">
        <is>
          <t>Acquisition</t>
        </is>
      </c>
      <c r="BD116" s="69" t="inlineStr">
        <is>
          <t>N</t>
        </is>
      </c>
      <c r="BE116" s="71" t="n"/>
      <c r="BF116" s="71" t="n"/>
      <c r="BG116" s="71" t="n"/>
      <c r="BH116" s="71" t="n">
        <v>0</v>
      </c>
      <c r="BI116" s="71" t="n">
        <v>0</v>
      </c>
      <c r="BJ116" s="69" t="inlineStr">
        <is>
          <t>N</t>
        </is>
      </c>
      <c r="BK116" s="69" t="inlineStr">
        <is>
          <t>Liberty Marriotts Lane Company</t>
        </is>
      </c>
      <c r="BL116" s="75" t="n">
        <v>100</v>
      </c>
      <c r="BM116" s="73" t="n">
        <v>47865</v>
      </c>
      <c r="BN116" s="69" t="inlineStr">
        <is>
          <t>Jack Bistricer and Doris Bistricer</t>
        </is>
      </c>
      <c r="BO116" s="69" t="inlineStr">
        <is>
          <t>Cantor Commercial Real Estate Lending</t>
        </is>
      </c>
      <c r="BP116" s="69" t="inlineStr">
        <is>
          <t>Midland Loan Services</t>
        </is>
      </c>
      <c r="BQ116" s="69" t="inlineStr">
        <is>
          <t>Midland Loan Services</t>
        </is>
      </c>
      <c r="BR116" s="69" t="inlineStr">
        <is>
          <t>Payoff With Penalty</t>
        </is>
      </c>
      <c r="BS116" s="73" t="n">
        <v>45453</v>
      </c>
      <c r="BU116" s="76">
        <f>IF($C116="","",IFERROR(INDEX(dmName,MATCH($C116,dmID,0)),"Unmapped"))</f>
        <v/>
      </c>
      <c r="BV116" s="76">
        <f>IF($C116="","",IFERROR(INDEX(dmEntity,MATCH($C116,dmID,0)),"Unmapped"))</f>
        <v/>
      </c>
      <c r="BW116" s="77">
        <f>IF($C116="","",IFERROR(INDEX(dmVintage,MATCH($C116,dmID,0)),""))</f>
        <v/>
      </c>
      <c r="BX116" s="78">
        <f>IFERROR(INDEX(dmInclude,MATCH($C116,dmID,0)),0)</f>
        <v/>
      </c>
      <c r="BY116" s="78">
        <f>IF(N($I116)&gt;0,1,0)</f>
        <v/>
      </c>
      <c r="BZ116" s="76">
        <f>IF($AJ116="","Other / Leased Fee",IFERROR(INDEX(mapPTGroup,MATCH(LEFT(TRIM($AJ116),2),mapPTCode,0)),"Other / Leased Fee"))</f>
        <v/>
      </c>
      <c r="CA116" s="76">
        <f>IF(TRIM($AF116&amp;"")="","NR",LEFT(TRIM($AF116),2))</f>
        <v/>
      </c>
      <c r="CB116" s="76">
        <f>IFERROR(LOOKUP(2,1/(LEFT(TRIM($AI116&amp;""),LEN(mapRegion))=mapRegion),mapRegion),"Not Reported")</f>
        <v/>
      </c>
      <c r="CC116" s="76">
        <f>IF($BY116=0,"",IF(TRIM($W116&amp;"")="REO","REO",IF(TRIM($W116&amp;"")="FC","Foreclosure",IF(TRIM($W116&amp;"")="90+","90+ Days Delinquent",IF(TRIM($W116&amp;"")="60","60 Days Delinquent",IF(TRIM($W116&amp;"")="30","30 Days Delinquent",IF($X116="Non-Performing Matured Balloon","Non-Performing Matured Balloon",IF(OR($X116="Late Payment But Less Than 30 Days Delinquent",LEFT($X116&amp;"",20)="Payment Not Received"),"Late / In Grace (&lt;30 Days)",IF($X116="Performing Matured Balloon","Performing Matured Balloon","Current")))))))))</f>
        <v/>
      </c>
      <c r="CD116" s="78">
        <f>IF(OR($CC116="REO",$CC116="Foreclosure",$CC116="90+ Days Delinquent",$CC116="60 Days Delinquent",$CC116="30 Days Delinquent",$CC116="Non-Performing Matured Balloon"),1,0)</f>
        <v/>
      </c>
      <c r="CE116" s="76">
        <f>IF($AB116="Currently special serv","Currently Specially Serviced",IF($AB116="Returned to master serv","Previously Specially Serviced","Never Specially Serviced"))</f>
        <v/>
      </c>
      <c r="CF116" s="78">
        <f>IF($CE116="Currently Specially Serviced",1,0)</f>
        <v/>
      </c>
      <c r="CG116" s="76">
        <f>IF($AA116="Yes","Currently on Watchlist",IF($AA116="Previously","Previously on Watchlist","Never on Watchlist"))</f>
        <v/>
      </c>
      <c r="CH116" s="78">
        <f>IF($CG116="Currently on Watchlist",1,0)</f>
        <v/>
      </c>
      <c r="CI116" s="76">
        <f>IF($Z116="Full Defeasance","Fully Defeased",IF($Z116="Portion Of Loan Previously Defeased","Partially Defeased",IF($Z116="Defeasance Not Allowable","Not Defeased (Not Permitted)","Not Defeased")))</f>
        <v/>
      </c>
      <c r="CJ116" s="78">
        <f>IF($CI116="Fully Defeased",1,0)</f>
        <v/>
      </c>
      <c r="CK116" s="76">
        <f>IF($R116="IO","Full IO",IF(LEFT($R116&amp;"",7)="IO then","Partial IO","Amortizing"))</f>
        <v/>
      </c>
      <c r="CL116" s="78">
        <f>IF($CK116="Full IO",1,0)</f>
        <v/>
      </c>
      <c r="CM116" s="78">
        <f>IF($CK116="Partial IO",1,0)</f>
        <v/>
      </c>
      <c r="CN116" s="76">
        <f>IF(LEFT($F116&amp;"",10)="SPLIT_LOAN","Pari Passu Split","Standalone")</f>
        <v/>
      </c>
      <c r="CO116" s="78">
        <f>IF($CN116="Pari Passu Split",1,0)</f>
        <v/>
      </c>
      <c r="CP116" s="77">
        <f>IF(ISNUMBER($T116),YEAR($T116),"")</f>
        <v/>
      </c>
      <c r="CQ116" s="79">
        <f>IF(ISNUMBER($V116),$V116,IF(ISNUMBER($U116),$U116,""))</f>
        <v/>
      </c>
      <c r="CR116" s="77">
        <f>IF(ISNUMBER($CQ116),YEAR($CQ116),"")</f>
        <v/>
      </c>
      <c r="CS116" s="78">
        <f>IF(ISNUMBER($M116),MAX(0,$M116),IF(TRIM($M116&amp;"")="matured",0,""))</f>
        <v/>
      </c>
      <c r="CT116" s="78">
        <f>IF(AND(ISNUMBER($CS116),N($CS116)&lt;=mMatWindow),1,0)</f>
        <v/>
      </c>
      <c r="CU116" s="80">
        <f>IF(ISNUMBER($J116),$J116/100,"")</f>
        <v/>
      </c>
      <c r="CV116" s="81">
        <f>IF(ISNUMBER($AQ116),$AQ116,"")</f>
        <v/>
      </c>
      <c r="CW116" s="81">
        <f>IF(ISNUMBER($AR116),$AR116,"")</f>
        <v/>
      </c>
      <c r="CX116" s="82">
        <f>IF(ISNUMBER($AS116),$AS116/100,"")</f>
        <v/>
      </c>
      <c r="CY116" s="82">
        <f>IF(ISNUMBER($AT116),$AT116/100,"")</f>
        <v/>
      </c>
      <c r="CZ116" s="82">
        <f>IF(ISNUMBER($AU116),$AU116/100,"")</f>
        <v/>
      </c>
      <c r="DA116" s="82">
        <f>IF(ISNUMBER($AV116),$AV116/100,"")</f>
        <v/>
      </c>
      <c r="DB116" s="82">
        <f>IF(ISNUMBER($AW116),$AW116/100,"")</f>
        <v/>
      </c>
      <c r="DC116" s="82">
        <f>IF(ISNUMBER($AX116),$AX116/100,"")</f>
        <v/>
      </c>
      <c r="DD116" s="77">
        <f>IFERROR(VALUE(LEFT(TRIM($AO116&amp;""),4)),"")</f>
        <v/>
      </c>
      <c r="DE116" s="78">
        <f>IF(AND($BY116=1,$BX116=1,OR(fDeal="All Deals",$BU116=fDeal),OR(fEntity="All Entities",$BV116=fEntity),OR(fPType="All Property Types",$BZ116=fPType),OR(fDefeased="Include",$CJ116=0)),1,0)</f>
        <v/>
      </c>
      <c r="DF116" s="83">
        <f>$DE116*N($I116)</f>
        <v/>
      </c>
      <c r="DG116" s="78">
        <f>IF($DE116=1,IF(COUNTIFS($F$8:$F116,$F116,$DE$8:$DE116,1)=1,1,0),0)</f>
        <v/>
      </c>
      <c r="DH116" s="83">
        <f>IF($DG116=1,SUMIFS($DF$8:$DF$1600,$F$8:$F$1600,$F116),0)</f>
        <v/>
      </c>
      <c r="DI116" s="78">
        <f>IF($DG116=1,COUNTIFS($F$8:$F$1600,$F116,$DE$8:$DE$1600,1),0)</f>
        <v/>
      </c>
      <c r="DJ116" s="84">
        <f>IF($DG116=1,$DH116+(100000-ROW())/mTieBreak,0)</f>
        <v/>
      </c>
    </row>
    <row r="117">
      <c r="B117" s="68" t="n">
        <v>51</v>
      </c>
      <c r="C117" s="69" t="inlineStr">
        <is>
          <t>CTG17C04</t>
        </is>
      </c>
      <c r="D117" s="69" t="inlineStr">
        <is>
          <t>51.000</t>
        </is>
      </c>
      <c r="E117" s="69" t="inlineStr">
        <is>
          <t>Elevado Estates MHC</t>
        </is>
      </c>
      <c r="F117" s="69" t="inlineStr">
        <is>
          <t>LNCTG17C04-51.000</t>
        </is>
      </c>
      <c r="G117" s="70" t="n"/>
      <c r="H117" s="71" t="n">
        <v>3250000</v>
      </c>
      <c r="I117" s="71" t="n">
        <v>2736915.9799995</v>
      </c>
      <c r="J117" s="72" t="n">
        <v>4.985</v>
      </c>
      <c r="K117" s="69" t="inlineStr">
        <is>
          <t>Fixed rate</t>
        </is>
      </c>
      <c r="L117" s="68" t="n">
        <v>120</v>
      </c>
      <c r="M117" s="68" t="n">
        <v>11</v>
      </c>
      <c r="N117" s="68" t="n">
        <v>360</v>
      </c>
      <c r="O117" s="68" t="n"/>
      <c r="P117" s="68" t="n"/>
      <c r="Q117" s="68" t="n">
        <v>109</v>
      </c>
      <c r="R117" s="69" t="n"/>
      <c r="S117" s="69" t="inlineStr">
        <is>
          <t>No</t>
        </is>
      </c>
      <c r="T117" s="73" t="n">
        <v>42948</v>
      </c>
      <c r="U117" s="73" t="n">
        <v>46605</v>
      </c>
      <c r="V117" s="73" t="n"/>
      <c r="W117" s="69" t="n"/>
      <c r="X117" s="69" t="inlineStr">
        <is>
          <t>Current</t>
        </is>
      </c>
      <c r="Y117" s="68" t="n"/>
      <c r="Z117" s="69" t="inlineStr">
        <is>
          <t>Full Defeasance</t>
        </is>
      </c>
      <c r="AA117" s="69" t="inlineStr">
        <is>
          <t>Previously</t>
        </is>
      </c>
      <c r="AB117" s="69" t="inlineStr">
        <is>
          <t>Never special serv</t>
        </is>
      </c>
      <c r="AC117" s="73" t="n"/>
      <c r="AD117" s="69" t="n"/>
      <c r="AE117" s="69" t="n"/>
      <c r="AF117" s="69" t="inlineStr">
        <is>
          <t>CO</t>
        </is>
      </c>
      <c r="AG117" s="69" t="inlineStr">
        <is>
          <t>Arvada</t>
        </is>
      </c>
      <c r="AH117" s="69" t="inlineStr">
        <is>
          <t>Denver-Aurora-Centennial, CO</t>
        </is>
      </c>
      <c r="AI117" s="69" t="inlineStr">
        <is>
          <t>West / Mountain</t>
        </is>
      </c>
      <c r="AJ117" s="69" t="inlineStr">
        <is>
          <t>MH</t>
        </is>
      </c>
      <c r="AK117" s="69" t="n"/>
      <c r="AL117" s="68" t="n">
        <v>1</v>
      </c>
      <c r="AM117" s="68" t="n">
        <v>74</v>
      </c>
      <c r="AN117" s="68" t="n"/>
      <c r="AO117" s="69" t="inlineStr">
        <is>
          <t>1960</t>
        </is>
      </c>
      <c r="AP117" s="70" t="n">
        <v>1960</v>
      </c>
      <c r="AQ117" s="74" t="n">
        <v>1.6</v>
      </c>
      <c r="AR117" s="74" t="n">
        <v>3.24</v>
      </c>
      <c r="AS117" s="74" t="n">
        <v>66.18000000000001</v>
      </c>
      <c r="AT117" s="74" t="n">
        <v>55.86</v>
      </c>
      <c r="AU117" s="74" t="n">
        <v>54.5</v>
      </c>
      <c r="AV117" s="74" t="n">
        <v>10.301566769</v>
      </c>
      <c r="AW117" s="74" t="n">
        <v>22.803331727</v>
      </c>
      <c r="AX117" s="75" t="n">
        <v>100</v>
      </c>
      <c r="AY117" s="71" t="n">
        <v>4900000</v>
      </c>
      <c r="AZ117" s="71" t="n">
        <v>4900000</v>
      </c>
      <c r="BA117" s="71" t="n">
        <v>334800.92</v>
      </c>
      <c r="BB117" s="71" t="n">
        <v>676751.13</v>
      </c>
      <c r="BC117" s="69" t="inlineStr">
        <is>
          <t>Refinance</t>
        </is>
      </c>
      <c r="BD117" s="69" t="inlineStr">
        <is>
          <t>N</t>
        </is>
      </c>
      <c r="BE117" s="71" t="n"/>
      <c r="BF117" s="71" t="n"/>
      <c r="BG117" s="71" t="n"/>
      <c r="BH117" s="71" t="n">
        <v>0</v>
      </c>
      <c r="BI117" s="71" t="n">
        <v>0</v>
      </c>
      <c r="BJ117" s="69" t="inlineStr">
        <is>
          <t>N</t>
        </is>
      </c>
      <c r="BK117" s="69" t="n"/>
      <c r="BL117" s="75" t="n"/>
      <c r="BM117" s="73" t="n"/>
      <c r="BN117" s="69" t="inlineStr">
        <is>
          <t>Michael Yamin</t>
        </is>
      </c>
      <c r="BO117" s="69" t="inlineStr">
        <is>
          <t>Ladder Capital Finance</t>
        </is>
      </c>
      <c r="BP117" s="69" t="inlineStr">
        <is>
          <t>Midland Loan Services</t>
        </is>
      </c>
      <c r="BQ117" s="69" t="inlineStr">
        <is>
          <t>Midland Loan Services</t>
        </is>
      </c>
      <c r="BR117" s="69" t="n"/>
      <c r="BS117" s="73" t="n">
        <v>46273</v>
      </c>
      <c r="BU117" s="76">
        <f>IF($C117="","",IFERROR(INDEX(dmName,MATCH($C117,dmID,0)),"Unmapped"))</f>
        <v/>
      </c>
      <c r="BV117" s="76">
        <f>IF($C117="","",IFERROR(INDEX(dmEntity,MATCH($C117,dmID,0)),"Unmapped"))</f>
        <v/>
      </c>
      <c r="BW117" s="77">
        <f>IF($C117="","",IFERROR(INDEX(dmVintage,MATCH($C117,dmID,0)),""))</f>
        <v/>
      </c>
      <c r="BX117" s="78">
        <f>IFERROR(INDEX(dmInclude,MATCH($C117,dmID,0)),0)</f>
        <v/>
      </c>
      <c r="BY117" s="78">
        <f>IF(N($I117)&gt;0,1,0)</f>
        <v/>
      </c>
      <c r="BZ117" s="76">
        <f>IF($AJ117="","Other / Leased Fee",IFERROR(INDEX(mapPTGroup,MATCH(LEFT(TRIM($AJ117),2),mapPTCode,0)),"Other / Leased Fee"))</f>
        <v/>
      </c>
      <c r="CA117" s="76">
        <f>IF(TRIM($AF117&amp;"")="","NR",LEFT(TRIM($AF117),2))</f>
        <v/>
      </c>
      <c r="CB117" s="76">
        <f>IFERROR(LOOKUP(2,1/(LEFT(TRIM($AI117&amp;""),LEN(mapRegion))=mapRegion),mapRegion),"Not Reported")</f>
        <v/>
      </c>
      <c r="CC117" s="76">
        <f>IF($BY117=0,"",IF(TRIM($W117&amp;"")="REO","REO",IF(TRIM($W117&amp;"")="FC","Foreclosure",IF(TRIM($W117&amp;"")="90+","90+ Days Delinquent",IF(TRIM($W117&amp;"")="60","60 Days Delinquent",IF(TRIM($W117&amp;"")="30","30 Days Delinquent",IF($X117="Non-Performing Matured Balloon","Non-Performing Matured Balloon",IF(OR($X117="Late Payment But Less Than 30 Days Delinquent",LEFT($X117&amp;"",20)="Payment Not Received"),"Late / In Grace (&lt;30 Days)",IF($X117="Performing Matured Balloon","Performing Matured Balloon","Current")))))))))</f>
        <v/>
      </c>
      <c r="CD117" s="78">
        <f>IF(OR($CC117="REO",$CC117="Foreclosure",$CC117="90+ Days Delinquent",$CC117="60 Days Delinquent",$CC117="30 Days Delinquent",$CC117="Non-Performing Matured Balloon"),1,0)</f>
        <v/>
      </c>
      <c r="CE117" s="76">
        <f>IF($AB117="Currently special serv","Currently Specially Serviced",IF($AB117="Returned to master serv","Previously Specially Serviced","Never Specially Serviced"))</f>
        <v/>
      </c>
      <c r="CF117" s="78">
        <f>IF($CE117="Currently Specially Serviced",1,0)</f>
        <v/>
      </c>
      <c r="CG117" s="76">
        <f>IF($AA117="Yes","Currently on Watchlist",IF($AA117="Previously","Previously on Watchlist","Never on Watchlist"))</f>
        <v/>
      </c>
      <c r="CH117" s="78">
        <f>IF($CG117="Currently on Watchlist",1,0)</f>
        <v/>
      </c>
      <c r="CI117" s="76">
        <f>IF($Z117="Full Defeasance","Fully Defeased",IF($Z117="Portion Of Loan Previously Defeased","Partially Defeased",IF($Z117="Defeasance Not Allowable","Not Defeased (Not Permitted)","Not Defeased")))</f>
        <v/>
      </c>
      <c r="CJ117" s="78">
        <f>IF($CI117="Fully Defeased",1,0)</f>
        <v/>
      </c>
      <c r="CK117" s="76">
        <f>IF($R117="IO","Full IO",IF(LEFT($R117&amp;"",7)="IO then","Partial IO","Amortizing"))</f>
        <v/>
      </c>
      <c r="CL117" s="78">
        <f>IF($CK117="Full IO",1,0)</f>
        <v/>
      </c>
      <c r="CM117" s="78">
        <f>IF($CK117="Partial IO",1,0)</f>
        <v/>
      </c>
      <c r="CN117" s="76">
        <f>IF(LEFT($F117&amp;"",10)="SPLIT_LOAN","Pari Passu Split","Standalone")</f>
        <v/>
      </c>
      <c r="CO117" s="78">
        <f>IF($CN117="Pari Passu Split",1,0)</f>
        <v/>
      </c>
      <c r="CP117" s="77">
        <f>IF(ISNUMBER($T117),YEAR($T117),"")</f>
        <v/>
      </c>
      <c r="CQ117" s="79">
        <f>IF(ISNUMBER($V117),$V117,IF(ISNUMBER($U117),$U117,""))</f>
        <v/>
      </c>
      <c r="CR117" s="77">
        <f>IF(ISNUMBER($CQ117),YEAR($CQ117),"")</f>
        <v/>
      </c>
      <c r="CS117" s="78">
        <f>IF(ISNUMBER($M117),MAX(0,$M117),IF(TRIM($M117&amp;"")="matured",0,""))</f>
        <v/>
      </c>
      <c r="CT117" s="78">
        <f>IF(AND(ISNUMBER($CS117),N($CS117)&lt;=mMatWindow),1,0)</f>
        <v/>
      </c>
      <c r="CU117" s="80">
        <f>IF(ISNUMBER($J117),$J117/100,"")</f>
        <v/>
      </c>
      <c r="CV117" s="81">
        <f>IF(ISNUMBER($AQ117),$AQ117,"")</f>
        <v/>
      </c>
      <c r="CW117" s="81">
        <f>IF(ISNUMBER($AR117),$AR117,"")</f>
        <v/>
      </c>
      <c r="CX117" s="82">
        <f>IF(ISNUMBER($AS117),$AS117/100,"")</f>
        <v/>
      </c>
      <c r="CY117" s="82">
        <f>IF(ISNUMBER($AT117),$AT117/100,"")</f>
        <v/>
      </c>
      <c r="CZ117" s="82">
        <f>IF(ISNUMBER($AU117),$AU117/100,"")</f>
        <v/>
      </c>
      <c r="DA117" s="82">
        <f>IF(ISNUMBER($AV117),$AV117/100,"")</f>
        <v/>
      </c>
      <c r="DB117" s="82">
        <f>IF(ISNUMBER($AW117),$AW117/100,"")</f>
        <v/>
      </c>
      <c r="DC117" s="82">
        <f>IF(ISNUMBER($AX117),$AX117/100,"")</f>
        <v/>
      </c>
      <c r="DD117" s="77">
        <f>IFERROR(VALUE(LEFT(TRIM($AO117&amp;""),4)),"")</f>
        <v/>
      </c>
      <c r="DE117" s="78">
        <f>IF(AND($BY117=1,$BX117=1,OR(fDeal="All Deals",$BU117=fDeal),OR(fEntity="All Entities",$BV117=fEntity),OR(fPType="All Property Types",$BZ117=fPType),OR(fDefeased="Include",$CJ117=0)),1,0)</f>
        <v/>
      </c>
      <c r="DF117" s="83">
        <f>$DE117*N($I117)</f>
        <v/>
      </c>
      <c r="DG117" s="78">
        <f>IF($DE117=1,IF(COUNTIFS($F$8:$F117,$F117,$DE$8:$DE117,1)=1,1,0),0)</f>
        <v/>
      </c>
      <c r="DH117" s="83">
        <f>IF($DG117=1,SUMIFS($DF$8:$DF$1600,$F$8:$F$1600,$F117),0)</f>
        <v/>
      </c>
      <c r="DI117" s="78">
        <f>IF($DG117=1,COUNTIFS($F$8:$F$1600,$F117,$DE$8:$DE$1600,1),0)</f>
        <v/>
      </c>
      <c r="DJ117" s="84">
        <f>IF($DG117=1,$DH117+(100000-ROW())/mTieBreak,0)</f>
        <v/>
      </c>
    </row>
    <row r="118">
      <c r="B118" s="68" t="n">
        <v>52</v>
      </c>
      <c r="C118" s="69" t="inlineStr">
        <is>
          <t>CTG17C04</t>
        </is>
      </c>
      <c r="D118" s="69" t="inlineStr">
        <is>
          <t>52.000</t>
        </is>
      </c>
      <c r="E118" s="69" t="inlineStr">
        <is>
          <t>Harbor Storage Vero Beach</t>
        </is>
      </c>
      <c r="F118" s="69" t="inlineStr">
        <is>
          <t>LNCTG17C04-52.000</t>
        </is>
      </c>
      <c r="G118" s="70" t="n"/>
      <c r="H118" s="71" t="n">
        <v>3212000</v>
      </c>
      <c r="I118" s="71" t="n">
        <v>0</v>
      </c>
      <c r="J118" s="72" t="n">
        <v>4.882</v>
      </c>
      <c r="K118" s="69" t="inlineStr">
        <is>
          <t>Fixed rate</t>
        </is>
      </c>
      <c r="L118" s="68" t="n">
        <v>60</v>
      </c>
      <c r="M118" s="68" t="n"/>
      <c r="N118" s="68" t="n">
        <v>372</v>
      </c>
      <c r="O118" s="68" t="n">
        <v>12</v>
      </c>
      <c r="P118" s="68" t="n"/>
      <c r="Q118" s="68" t="n"/>
      <c r="R118" s="69" t="inlineStr">
        <is>
          <t>IO then Amort</t>
        </is>
      </c>
      <c r="S118" s="69" t="inlineStr">
        <is>
          <t>No</t>
        </is>
      </c>
      <c r="T118" s="73" t="n">
        <v>43009</v>
      </c>
      <c r="U118" s="73" t="n">
        <v>44840</v>
      </c>
      <c r="V118" s="73" t="n"/>
      <c r="W118" s="69" t="n"/>
      <c r="X118" s="69" t="inlineStr">
        <is>
          <t>Current</t>
        </is>
      </c>
      <c r="Y118" s="68" t="n"/>
      <c r="Z118" s="69" t="inlineStr">
        <is>
          <t>No Defeasance Occurred</t>
        </is>
      </c>
      <c r="AA118" s="69" t="inlineStr">
        <is>
          <t>Previously</t>
        </is>
      </c>
      <c r="AB118" s="69" t="inlineStr">
        <is>
          <t>Never special serv</t>
        </is>
      </c>
      <c r="AC118" s="73" t="n"/>
      <c r="AD118" s="69" t="n"/>
      <c r="AE118" s="69" t="n"/>
      <c r="AF118" s="69" t="inlineStr">
        <is>
          <t>FL</t>
        </is>
      </c>
      <c r="AG118" s="69" t="inlineStr">
        <is>
          <t>Vero Beach</t>
        </is>
      </c>
      <c r="AH118" s="69" t="inlineStr">
        <is>
          <t>Sebastian-Vero Beach-West Vero Corridor, FL</t>
        </is>
      </c>
      <c r="AI118" s="69" t="inlineStr">
        <is>
          <t>South / Atlantic</t>
        </is>
      </c>
      <c r="AJ118" s="69" t="inlineStr">
        <is>
          <t>SS</t>
        </is>
      </c>
      <c r="AK118" s="69" t="n"/>
      <c r="AL118" s="68" t="n">
        <v>1</v>
      </c>
      <c r="AM118" s="68" t="n"/>
      <c r="AN118" s="68" t="n">
        <v>42550</v>
      </c>
      <c r="AO118" s="69" t="inlineStr">
        <is>
          <t>2000</t>
        </is>
      </c>
      <c r="AP118" s="70" t="n">
        <v>2000</v>
      </c>
      <c r="AQ118" s="74" t="n">
        <v>1.29</v>
      </c>
      <c r="AR118" s="74" t="n">
        <v>3.37</v>
      </c>
      <c r="AS118" s="74" t="n">
        <v>73</v>
      </c>
      <c r="AT118" s="74" t="n"/>
      <c r="AU118" s="74" t="n">
        <v>68.5</v>
      </c>
      <c r="AV118" s="74" t="n">
        <v>8.206003113</v>
      </c>
      <c r="AW118" s="74" t="n"/>
      <c r="AX118" s="75" t="n">
        <v>94</v>
      </c>
      <c r="AY118" s="71" t="n">
        <v>4400000</v>
      </c>
      <c r="AZ118" s="71" t="n">
        <v>4400000</v>
      </c>
      <c r="BA118" s="71" t="n">
        <v>263576.82</v>
      </c>
      <c r="BB118" s="71" t="n">
        <v>687463.4</v>
      </c>
      <c r="BC118" s="69" t="inlineStr">
        <is>
          <t>Acquisition</t>
        </is>
      </c>
      <c r="BD118" s="69" t="inlineStr">
        <is>
          <t>N</t>
        </is>
      </c>
      <c r="BE118" s="71" t="n"/>
      <c r="BF118" s="71" t="n"/>
      <c r="BG118" s="71" t="n"/>
      <c r="BH118" s="71" t="n">
        <v>0</v>
      </c>
      <c r="BI118" s="71" t="n">
        <v>0</v>
      </c>
      <c r="BJ118" s="69" t="inlineStr">
        <is>
          <t>N</t>
        </is>
      </c>
      <c r="BK118" s="69" t="n"/>
      <c r="BL118" s="75" t="n"/>
      <c r="BM118" s="73" t="n"/>
      <c r="BN118" s="69" t="inlineStr">
        <is>
          <t>Alex Meshechok, Lawrence Kaplan, Richard Schontz and William Millard Choate</t>
        </is>
      </c>
      <c r="BO118" s="69" t="inlineStr">
        <is>
          <t>Cantor Commercial Real Estate Lending</t>
        </is>
      </c>
      <c r="BP118" s="69" t="inlineStr">
        <is>
          <t>Midland Loan Services</t>
        </is>
      </c>
      <c r="BQ118" s="69" t="inlineStr">
        <is>
          <t>Midland Loan Services</t>
        </is>
      </c>
      <c r="BR118" s="69" t="inlineStr">
        <is>
          <t>Full Payoff At Maturity</t>
        </is>
      </c>
      <c r="BS118" s="73" t="n">
        <v>44845</v>
      </c>
      <c r="BU118" s="76">
        <f>IF($C118="","",IFERROR(INDEX(dmName,MATCH($C118,dmID,0)),"Unmapped"))</f>
        <v/>
      </c>
      <c r="BV118" s="76">
        <f>IF($C118="","",IFERROR(INDEX(dmEntity,MATCH($C118,dmID,0)),"Unmapped"))</f>
        <v/>
      </c>
      <c r="BW118" s="77">
        <f>IF($C118="","",IFERROR(INDEX(dmVintage,MATCH($C118,dmID,0)),""))</f>
        <v/>
      </c>
      <c r="BX118" s="78">
        <f>IFERROR(INDEX(dmInclude,MATCH($C118,dmID,0)),0)</f>
        <v/>
      </c>
      <c r="BY118" s="78">
        <f>IF(N($I118)&gt;0,1,0)</f>
        <v/>
      </c>
      <c r="BZ118" s="76">
        <f>IF($AJ118="","Other / Leased Fee",IFERROR(INDEX(mapPTGroup,MATCH(LEFT(TRIM($AJ118),2),mapPTCode,0)),"Other / Leased Fee"))</f>
        <v/>
      </c>
      <c r="CA118" s="76">
        <f>IF(TRIM($AF118&amp;"")="","NR",LEFT(TRIM($AF118),2))</f>
        <v/>
      </c>
      <c r="CB118" s="76">
        <f>IFERROR(LOOKUP(2,1/(LEFT(TRIM($AI118&amp;""),LEN(mapRegion))=mapRegion),mapRegion),"Not Reported")</f>
        <v/>
      </c>
      <c r="CC118" s="76">
        <f>IF($BY118=0,"",IF(TRIM($W118&amp;"")="REO","REO",IF(TRIM($W118&amp;"")="FC","Foreclosure",IF(TRIM($W118&amp;"")="90+","90+ Days Delinquent",IF(TRIM($W118&amp;"")="60","60 Days Delinquent",IF(TRIM($W118&amp;"")="30","30 Days Delinquent",IF($X118="Non-Performing Matured Balloon","Non-Performing Matured Balloon",IF(OR($X118="Late Payment But Less Than 30 Days Delinquent",LEFT($X118&amp;"",20)="Payment Not Received"),"Late / In Grace (&lt;30 Days)",IF($X118="Performing Matured Balloon","Performing Matured Balloon","Current")))))))))</f>
        <v/>
      </c>
      <c r="CD118" s="78">
        <f>IF(OR($CC118="REO",$CC118="Foreclosure",$CC118="90+ Days Delinquent",$CC118="60 Days Delinquent",$CC118="30 Days Delinquent",$CC118="Non-Performing Matured Balloon"),1,0)</f>
        <v/>
      </c>
      <c r="CE118" s="76">
        <f>IF($AB118="Currently special serv","Currently Specially Serviced",IF($AB118="Returned to master serv","Previously Specially Serviced","Never Specially Serviced"))</f>
        <v/>
      </c>
      <c r="CF118" s="78">
        <f>IF($CE118="Currently Specially Serviced",1,0)</f>
        <v/>
      </c>
      <c r="CG118" s="76">
        <f>IF($AA118="Yes","Currently on Watchlist",IF($AA118="Previously","Previously on Watchlist","Never on Watchlist"))</f>
        <v/>
      </c>
      <c r="CH118" s="78">
        <f>IF($CG118="Currently on Watchlist",1,0)</f>
        <v/>
      </c>
      <c r="CI118" s="76">
        <f>IF($Z118="Full Defeasance","Fully Defeased",IF($Z118="Portion Of Loan Previously Defeased","Partially Defeased",IF($Z118="Defeasance Not Allowable","Not Defeased (Not Permitted)","Not Defeased")))</f>
        <v/>
      </c>
      <c r="CJ118" s="78">
        <f>IF($CI118="Fully Defeased",1,0)</f>
        <v/>
      </c>
      <c r="CK118" s="76">
        <f>IF($R118="IO","Full IO",IF(LEFT($R118&amp;"",7)="IO then","Partial IO","Amortizing"))</f>
        <v/>
      </c>
      <c r="CL118" s="78">
        <f>IF($CK118="Full IO",1,0)</f>
        <v/>
      </c>
      <c r="CM118" s="78">
        <f>IF($CK118="Partial IO",1,0)</f>
        <v/>
      </c>
      <c r="CN118" s="76">
        <f>IF(LEFT($F118&amp;"",10)="SPLIT_LOAN","Pari Passu Split","Standalone")</f>
        <v/>
      </c>
      <c r="CO118" s="78">
        <f>IF($CN118="Pari Passu Split",1,0)</f>
        <v/>
      </c>
      <c r="CP118" s="77">
        <f>IF(ISNUMBER($T118),YEAR($T118),"")</f>
        <v/>
      </c>
      <c r="CQ118" s="79">
        <f>IF(ISNUMBER($V118),$V118,IF(ISNUMBER($U118),$U118,""))</f>
        <v/>
      </c>
      <c r="CR118" s="77">
        <f>IF(ISNUMBER($CQ118),YEAR($CQ118),"")</f>
        <v/>
      </c>
      <c r="CS118" s="78">
        <f>IF(ISNUMBER($M118),MAX(0,$M118),IF(TRIM($M118&amp;"")="matured",0,""))</f>
        <v/>
      </c>
      <c r="CT118" s="78">
        <f>IF(AND(ISNUMBER($CS118),N($CS118)&lt;=mMatWindow),1,0)</f>
        <v/>
      </c>
      <c r="CU118" s="80">
        <f>IF(ISNUMBER($J118),$J118/100,"")</f>
        <v/>
      </c>
      <c r="CV118" s="81">
        <f>IF(ISNUMBER($AQ118),$AQ118,"")</f>
        <v/>
      </c>
      <c r="CW118" s="81">
        <f>IF(ISNUMBER($AR118),$AR118,"")</f>
        <v/>
      </c>
      <c r="CX118" s="82">
        <f>IF(ISNUMBER($AS118),$AS118/100,"")</f>
        <v/>
      </c>
      <c r="CY118" s="82">
        <f>IF(ISNUMBER($AT118),$AT118/100,"")</f>
        <v/>
      </c>
      <c r="CZ118" s="82">
        <f>IF(ISNUMBER($AU118),$AU118/100,"")</f>
        <v/>
      </c>
      <c r="DA118" s="82">
        <f>IF(ISNUMBER($AV118),$AV118/100,"")</f>
        <v/>
      </c>
      <c r="DB118" s="82">
        <f>IF(ISNUMBER($AW118),$AW118/100,"")</f>
        <v/>
      </c>
      <c r="DC118" s="82">
        <f>IF(ISNUMBER($AX118),$AX118/100,"")</f>
        <v/>
      </c>
      <c r="DD118" s="77">
        <f>IFERROR(VALUE(LEFT(TRIM($AO118&amp;""),4)),"")</f>
        <v/>
      </c>
      <c r="DE118" s="78">
        <f>IF(AND($BY118=1,$BX118=1,OR(fDeal="All Deals",$BU118=fDeal),OR(fEntity="All Entities",$BV118=fEntity),OR(fPType="All Property Types",$BZ118=fPType),OR(fDefeased="Include",$CJ118=0)),1,0)</f>
        <v/>
      </c>
      <c r="DF118" s="83">
        <f>$DE118*N($I118)</f>
        <v/>
      </c>
      <c r="DG118" s="78">
        <f>IF($DE118=1,IF(COUNTIFS($F$8:$F118,$F118,$DE$8:$DE118,1)=1,1,0),0)</f>
        <v/>
      </c>
      <c r="DH118" s="83">
        <f>IF($DG118=1,SUMIFS($DF$8:$DF$1600,$F$8:$F$1600,$F118),0)</f>
        <v/>
      </c>
      <c r="DI118" s="78">
        <f>IF($DG118=1,COUNTIFS($F$8:$F$1600,$F118,$DE$8:$DE$1600,1),0)</f>
        <v/>
      </c>
      <c r="DJ118" s="84">
        <f>IF($DG118=1,$DH118+(100000-ROW())/mTieBreak,0)</f>
        <v/>
      </c>
    </row>
    <row r="119">
      <c r="B119" s="68" t="n">
        <v>53</v>
      </c>
      <c r="C119" s="69" t="inlineStr">
        <is>
          <t>CTG17C04</t>
        </is>
      </c>
      <c r="D119" s="69" t="inlineStr">
        <is>
          <t>53.000</t>
        </is>
      </c>
      <c r="E119" s="69" t="inlineStr">
        <is>
          <t>Lakewest Plaza</t>
        </is>
      </c>
      <c r="F119" s="69" t="inlineStr">
        <is>
          <t>LNCTG17C04-53.000</t>
        </is>
      </c>
      <c r="G119" s="70" t="n"/>
      <c r="H119" s="71" t="n">
        <v>3150000</v>
      </c>
      <c r="I119" s="71" t="n">
        <v>2670613.7399991</v>
      </c>
      <c r="J119" s="72" t="n">
        <v>5.15</v>
      </c>
      <c r="K119" s="69" t="inlineStr">
        <is>
          <t>Fixed rate</t>
        </is>
      </c>
      <c r="L119" s="68" t="n">
        <v>120</v>
      </c>
      <c r="M119" s="68" t="n">
        <v>12</v>
      </c>
      <c r="N119" s="68" t="n">
        <v>360</v>
      </c>
      <c r="O119" s="68" t="n"/>
      <c r="P119" s="68" t="n"/>
      <c r="Q119" s="68" t="n">
        <v>108</v>
      </c>
      <c r="R119" s="69" t="n"/>
      <c r="S119" s="69" t="inlineStr">
        <is>
          <t>No</t>
        </is>
      </c>
      <c r="T119" s="73" t="n">
        <v>42979</v>
      </c>
      <c r="U119" s="73" t="n">
        <v>46636</v>
      </c>
      <c r="V119" s="73" t="n"/>
      <c r="W119" s="69" t="n"/>
      <c r="X119" s="69" t="inlineStr">
        <is>
          <t>Current</t>
        </is>
      </c>
      <c r="Y119" s="68" t="n"/>
      <c r="Z119" s="69" t="inlineStr">
        <is>
          <t>No Defeasance Occurred</t>
        </is>
      </c>
      <c r="AA119" s="69" t="inlineStr">
        <is>
          <t>Yes</t>
        </is>
      </c>
      <c r="AB119" s="69" t="inlineStr">
        <is>
          <t>Never special serv</t>
        </is>
      </c>
      <c r="AC119" s="73" t="n"/>
      <c r="AD119" s="69" t="n"/>
      <c r="AE119" s="69" t="n"/>
      <c r="AF119" s="69" t="inlineStr">
        <is>
          <t>OH</t>
        </is>
      </c>
      <c r="AG119" s="69" t="inlineStr">
        <is>
          <t>Willoughby</t>
        </is>
      </c>
      <c r="AH119" s="69" t="inlineStr">
        <is>
          <t>Cleveland, OH</t>
        </is>
      </c>
      <c r="AI119" s="69" t="inlineStr">
        <is>
          <t>Midwest / Central East</t>
        </is>
      </c>
      <c r="AJ119" s="69" t="inlineStr">
        <is>
          <t>RT</t>
        </is>
      </c>
      <c r="AK119" s="69" t="inlineStr">
        <is>
          <t>Unanchored</t>
        </is>
      </c>
      <c r="AL119" s="68" t="n">
        <v>1</v>
      </c>
      <c r="AM119" s="68" t="n"/>
      <c r="AN119" s="68" t="n">
        <v>20514</v>
      </c>
      <c r="AO119" s="69" t="inlineStr">
        <is>
          <t>1986</t>
        </is>
      </c>
      <c r="AP119" s="70" t="n">
        <v>2012</v>
      </c>
      <c r="AQ119" s="74" t="n">
        <v>1.41</v>
      </c>
      <c r="AR119" s="74" t="n">
        <v>1.33</v>
      </c>
      <c r="AS119" s="74" t="n">
        <v>70.7</v>
      </c>
      <c r="AT119" s="74" t="n">
        <v>60.01</v>
      </c>
      <c r="AU119" s="74" t="n">
        <v>58.5</v>
      </c>
      <c r="AV119" s="74" t="n">
        <v>9.26310381</v>
      </c>
      <c r="AW119" s="74" t="n">
        <v>10.861977741</v>
      </c>
      <c r="AX119" s="75" t="n">
        <v>100</v>
      </c>
      <c r="AY119" s="71" t="n">
        <v>4450000</v>
      </c>
      <c r="AZ119" s="71" t="n">
        <v>4450000</v>
      </c>
      <c r="BA119" s="71" t="n">
        <v>291787.77</v>
      </c>
      <c r="BB119" s="71" t="n">
        <v>274627.44</v>
      </c>
      <c r="BC119" s="69" t="inlineStr">
        <is>
          <t>Refinance</t>
        </is>
      </c>
      <c r="BD119" s="69" t="inlineStr">
        <is>
          <t>N</t>
        </is>
      </c>
      <c r="BE119" s="71" t="n"/>
      <c r="BF119" s="71" t="n"/>
      <c r="BG119" s="71" t="n"/>
      <c r="BH119" s="71" t="n">
        <v>0</v>
      </c>
      <c r="BI119" s="71" t="n">
        <v>0</v>
      </c>
      <c r="BJ119" s="69" t="inlineStr">
        <is>
          <t>N</t>
        </is>
      </c>
      <c r="BK119" s="69" t="inlineStr">
        <is>
          <t>Dunkin Dounts</t>
        </is>
      </c>
      <c r="BL119" s="75" t="n">
        <v>15.49</v>
      </c>
      <c r="BM119" s="73" t="n">
        <v>48528</v>
      </c>
      <c r="BN119" s="69" t="inlineStr">
        <is>
          <t>Edward K. Arndt</t>
        </is>
      </c>
      <c r="BO119" s="69" t="inlineStr">
        <is>
          <t>Cantor Commercial Real Estate Lending</t>
        </is>
      </c>
      <c r="BP119" s="69" t="inlineStr">
        <is>
          <t>Midland Loan Services</t>
        </is>
      </c>
      <c r="BQ119" s="69" t="inlineStr">
        <is>
          <t>Midland Loan Services</t>
        </is>
      </c>
      <c r="BR119" s="69" t="n"/>
      <c r="BS119" s="73" t="n">
        <v>46273</v>
      </c>
      <c r="BU119" s="76">
        <f>IF($C119="","",IFERROR(INDEX(dmName,MATCH($C119,dmID,0)),"Unmapped"))</f>
        <v/>
      </c>
      <c r="BV119" s="76">
        <f>IF($C119="","",IFERROR(INDEX(dmEntity,MATCH($C119,dmID,0)),"Unmapped"))</f>
        <v/>
      </c>
      <c r="BW119" s="77">
        <f>IF($C119="","",IFERROR(INDEX(dmVintage,MATCH($C119,dmID,0)),""))</f>
        <v/>
      </c>
      <c r="BX119" s="78">
        <f>IFERROR(INDEX(dmInclude,MATCH($C119,dmID,0)),0)</f>
        <v/>
      </c>
      <c r="BY119" s="78">
        <f>IF(N($I119)&gt;0,1,0)</f>
        <v/>
      </c>
      <c r="BZ119" s="76">
        <f>IF($AJ119="","Other / Leased Fee",IFERROR(INDEX(mapPTGroup,MATCH(LEFT(TRIM($AJ119),2),mapPTCode,0)),"Other / Leased Fee"))</f>
        <v/>
      </c>
      <c r="CA119" s="76">
        <f>IF(TRIM($AF119&amp;"")="","NR",LEFT(TRIM($AF119),2))</f>
        <v/>
      </c>
      <c r="CB119" s="76">
        <f>IFERROR(LOOKUP(2,1/(LEFT(TRIM($AI119&amp;""),LEN(mapRegion))=mapRegion),mapRegion),"Not Reported")</f>
        <v/>
      </c>
      <c r="CC119" s="76">
        <f>IF($BY119=0,"",IF(TRIM($W119&amp;"")="REO","REO",IF(TRIM($W119&amp;"")="FC","Foreclosure",IF(TRIM($W119&amp;"")="90+","90+ Days Delinquent",IF(TRIM($W119&amp;"")="60","60 Days Delinquent",IF(TRIM($W119&amp;"")="30","30 Days Delinquent",IF($X119="Non-Performing Matured Balloon","Non-Performing Matured Balloon",IF(OR($X119="Late Payment But Less Than 30 Days Delinquent",LEFT($X119&amp;"",20)="Payment Not Received"),"Late / In Grace (&lt;30 Days)",IF($X119="Performing Matured Balloon","Performing Matured Balloon","Current")))))))))</f>
        <v/>
      </c>
      <c r="CD119" s="78">
        <f>IF(OR($CC119="REO",$CC119="Foreclosure",$CC119="90+ Days Delinquent",$CC119="60 Days Delinquent",$CC119="30 Days Delinquent",$CC119="Non-Performing Matured Balloon"),1,0)</f>
        <v/>
      </c>
      <c r="CE119" s="76">
        <f>IF($AB119="Currently special serv","Currently Specially Serviced",IF($AB119="Returned to master serv","Previously Specially Serviced","Never Specially Serviced"))</f>
        <v/>
      </c>
      <c r="CF119" s="78">
        <f>IF($CE119="Currently Specially Serviced",1,0)</f>
        <v/>
      </c>
      <c r="CG119" s="76">
        <f>IF($AA119="Yes","Currently on Watchlist",IF($AA119="Previously","Previously on Watchlist","Never on Watchlist"))</f>
        <v/>
      </c>
      <c r="CH119" s="78">
        <f>IF($CG119="Currently on Watchlist",1,0)</f>
        <v/>
      </c>
      <c r="CI119" s="76">
        <f>IF($Z119="Full Defeasance","Fully Defeased",IF($Z119="Portion Of Loan Previously Defeased","Partially Defeased",IF($Z119="Defeasance Not Allowable","Not Defeased (Not Permitted)","Not Defeased")))</f>
        <v/>
      </c>
      <c r="CJ119" s="78">
        <f>IF($CI119="Fully Defeased",1,0)</f>
        <v/>
      </c>
      <c r="CK119" s="76">
        <f>IF($R119="IO","Full IO",IF(LEFT($R119&amp;"",7)="IO then","Partial IO","Amortizing"))</f>
        <v/>
      </c>
      <c r="CL119" s="78">
        <f>IF($CK119="Full IO",1,0)</f>
        <v/>
      </c>
      <c r="CM119" s="78">
        <f>IF($CK119="Partial IO",1,0)</f>
        <v/>
      </c>
      <c r="CN119" s="76">
        <f>IF(LEFT($F119&amp;"",10)="SPLIT_LOAN","Pari Passu Split","Standalone")</f>
        <v/>
      </c>
      <c r="CO119" s="78">
        <f>IF($CN119="Pari Passu Split",1,0)</f>
        <v/>
      </c>
      <c r="CP119" s="77">
        <f>IF(ISNUMBER($T119),YEAR($T119),"")</f>
        <v/>
      </c>
      <c r="CQ119" s="79">
        <f>IF(ISNUMBER($V119),$V119,IF(ISNUMBER($U119),$U119,""))</f>
        <v/>
      </c>
      <c r="CR119" s="77">
        <f>IF(ISNUMBER($CQ119),YEAR($CQ119),"")</f>
        <v/>
      </c>
      <c r="CS119" s="78">
        <f>IF(ISNUMBER($M119),MAX(0,$M119),IF(TRIM($M119&amp;"")="matured",0,""))</f>
        <v/>
      </c>
      <c r="CT119" s="78">
        <f>IF(AND(ISNUMBER($CS119),N($CS119)&lt;=mMatWindow),1,0)</f>
        <v/>
      </c>
      <c r="CU119" s="80">
        <f>IF(ISNUMBER($J119),$J119/100,"")</f>
        <v/>
      </c>
      <c r="CV119" s="81">
        <f>IF(ISNUMBER($AQ119),$AQ119,"")</f>
        <v/>
      </c>
      <c r="CW119" s="81">
        <f>IF(ISNUMBER($AR119),$AR119,"")</f>
        <v/>
      </c>
      <c r="CX119" s="82">
        <f>IF(ISNUMBER($AS119),$AS119/100,"")</f>
        <v/>
      </c>
      <c r="CY119" s="82">
        <f>IF(ISNUMBER($AT119),$AT119/100,"")</f>
        <v/>
      </c>
      <c r="CZ119" s="82">
        <f>IF(ISNUMBER($AU119),$AU119/100,"")</f>
        <v/>
      </c>
      <c r="DA119" s="82">
        <f>IF(ISNUMBER($AV119),$AV119/100,"")</f>
        <v/>
      </c>
      <c r="DB119" s="82">
        <f>IF(ISNUMBER($AW119),$AW119/100,"")</f>
        <v/>
      </c>
      <c r="DC119" s="82">
        <f>IF(ISNUMBER($AX119),$AX119/100,"")</f>
        <v/>
      </c>
      <c r="DD119" s="77">
        <f>IFERROR(VALUE(LEFT(TRIM($AO119&amp;""),4)),"")</f>
        <v/>
      </c>
      <c r="DE119" s="78">
        <f>IF(AND($BY119=1,$BX119=1,OR(fDeal="All Deals",$BU119=fDeal),OR(fEntity="All Entities",$BV119=fEntity),OR(fPType="All Property Types",$BZ119=fPType),OR(fDefeased="Include",$CJ119=0)),1,0)</f>
        <v/>
      </c>
      <c r="DF119" s="83">
        <f>$DE119*N($I119)</f>
        <v/>
      </c>
      <c r="DG119" s="78">
        <f>IF($DE119=1,IF(COUNTIFS($F$8:$F119,$F119,$DE$8:$DE119,1)=1,1,0),0)</f>
        <v/>
      </c>
      <c r="DH119" s="83">
        <f>IF($DG119=1,SUMIFS($DF$8:$DF$1600,$F$8:$F$1600,$F119),0)</f>
        <v/>
      </c>
      <c r="DI119" s="78">
        <f>IF($DG119=1,COUNTIFS($F$8:$F$1600,$F119,$DE$8:$DE$1600,1),0)</f>
        <v/>
      </c>
      <c r="DJ119" s="84">
        <f>IF($DG119=1,$DH119+(100000-ROW())/mTieBreak,0)</f>
        <v/>
      </c>
    </row>
    <row r="120">
      <c r="B120" s="68" t="n">
        <v>54</v>
      </c>
      <c r="C120" s="69" t="inlineStr">
        <is>
          <t>CTG17C04</t>
        </is>
      </c>
      <c r="D120" s="69" t="inlineStr">
        <is>
          <t>54.000</t>
        </is>
      </c>
      <c r="E120" s="69" t="inlineStr">
        <is>
          <t>Shoppers World Duluth</t>
        </is>
      </c>
      <c r="F120" s="69" t="inlineStr">
        <is>
          <t>LNCTG17C04-54.000</t>
        </is>
      </c>
      <c r="G120" s="70" t="n"/>
      <c r="H120" s="71" t="n">
        <v>2600000</v>
      </c>
      <c r="I120" s="71" t="n">
        <v>2376898.1099994</v>
      </c>
      <c r="J120" s="72" t="n">
        <v>4.95</v>
      </c>
      <c r="K120" s="69" t="inlineStr">
        <is>
          <t>Fixed rate</t>
        </is>
      </c>
      <c r="L120" s="68" t="n">
        <v>120</v>
      </c>
      <c r="M120" s="68" t="n">
        <v>13</v>
      </c>
      <c r="N120" s="68" t="n">
        <v>402</v>
      </c>
      <c r="O120" s="68" t="n">
        <v>42</v>
      </c>
      <c r="P120" s="68" t="n">
        <v>0</v>
      </c>
      <c r="Q120" s="68" t="n">
        <v>107</v>
      </c>
      <c r="R120" s="69" t="inlineStr">
        <is>
          <t>IO then Amort</t>
        </is>
      </c>
      <c r="S120" s="69" t="inlineStr">
        <is>
          <t>No</t>
        </is>
      </c>
      <c r="T120" s="73" t="n">
        <v>43009</v>
      </c>
      <c r="U120" s="73" t="n">
        <v>46666</v>
      </c>
      <c r="V120" s="73" t="n"/>
      <c r="W120" s="69" t="n"/>
      <c r="X120" s="69" t="inlineStr">
        <is>
          <t>Current</t>
        </is>
      </c>
      <c r="Y120" s="68" t="n"/>
      <c r="Z120" s="69" t="inlineStr">
        <is>
          <t>No Defeasance Occurred</t>
        </is>
      </c>
      <c r="AA120" s="69" t="inlineStr">
        <is>
          <t>Yes</t>
        </is>
      </c>
      <c r="AB120" s="69" t="inlineStr">
        <is>
          <t>Never special serv</t>
        </is>
      </c>
      <c r="AC120" s="73" t="n"/>
      <c r="AD120" s="69" t="n"/>
      <c r="AE120" s="69" t="n"/>
      <c r="AF120" s="69" t="inlineStr">
        <is>
          <t>GA</t>
        </is>
      </c>
      <c r="AG120" s="69" t="inlineStr">
        <is>
          <t>Duluth</t>
        </is>
      </c>
      <c r="AH120" s="69" t="inlineStr">
        <is>
          <t>Atlanta-Sandy Springs-Roswell, GA</t>
        </is>
      </c>
      <c r="AI120" s="69" t="inlineStr">
        <is>
          <t>South / Atlantic</t>
        </is>
      </c>
      <c r="AJ120" s="69" t="inlineStr">
        <is>
          <t>RT</t>
        </is>
      </c>
      <c r="AK120" s="69" t="inlineStr">
        <is>
          <t>Shadow Anchored</t>
        </is>
      </c>
      <c r="AL120" s="68" t="n">
        <v>1</v>
      </c>
      <c r="AM120" s="68" t="n"/>
      <c r="AN120" s="68" t="n">
        <v>13020</v>
      </c>
      <c r="AO120" s="69" t="inlineStr">
        <is>
          <t>2005</t>
        </is>
      </c>
      <c r="AP120" s="70" t="n">
        <v>2005</v>
      </c>
      <c r="AQ120" s="74" t="n">
        <v>1.82</v>
      </c>
      <c r="AR120" s="74" t="n">
        <v>1.79</v>
      </c>
      <c r="AS120" s="74" t="n">
        <v>59.77</v>
      </c>
      <c r="AT120" s="74" t="n">
        <v>54.64</v>
      </c>
      <c r="AU120" s="74" t="n">
        <v>53.43</v>
      </c>
      <c r="AV120" s="74" t="n">
        <v>11.667692308</v>
      </c>
      <c r="AW120" s="74" t="n">
        <v>12.520885045</v>
      </c>
      <c r="AX120" s="75" t="n">
        <v>100</v>
      </c>
      <c r="AY120" s="71" t="n">
        <v>4350000</v>
      </c>
      <c r="AZ120" s="71" t="n">
        <v>4350000</v>
      </c>
      <c r="BA120" s="71" t="n">
        <v>303360</v>
      </c>
      <c r="BB120" s="71" t="n">
        <v>297608.68</v>
      </c>
      <c r="BC120" s="69" t="inlineStr">
        <is>
          <t>Refinance</t>
        </is>
      </c>
      <c r="BD120" s="69" t="inlineStr">
        <is>
          <t>N</t>
        </is>
      </c>
      <c r="BE120" s="71" t="n"/>
      <c r="BF120" s="71" t="n"/>
      <c r="BG120" s="71" t="n"/>
      <c r="BH120" s="71" t="n">
        <v>0</v>
      </c>
      <c r="BI120" s="71" t="n">
        <v>0</v>
      </c>
      <c r="BJ120" s="69" t="inlineStr">
        <is>
          <t>N</t>
        </is>
      </c>
      <c r="BK120" s="69" t="inlineStr">
        <is>
          <t>Speed Queen Laundry</t>
        </is>
      </c>
      <c r="BL120" s="75" t="n">
        <v>38.53</v>
      </c>
      <c r="BM120" s="73" t="n">
        <v>46630</v>
      </c>
      <c r="BN120" s="69" t="inlineStr">
        <is>
          <t>Kenneth Shimm</t>
        </is>
      </c>
      <c r="BO120" s="69" t="inlineStr">
        <is>
          <t>RMF</t>
        </is>
      </c>
      <c r="BP120" s="69" t="inlineStr">
        <is>
          <t>Midland Loan Services</t>
        </is>
      </c>
      <c r="BQ120" s="69" t="inlineStr">
        <is>
          <t>Midland Loan Services</t>
        </is>
      </c>
      <c r="BR120" s="69" t="n"/>
      <c r="BS120" s="73" t="n">
        <v>46273</v>
      </c>
      <c r="BU120" s="76">
        <f>IF($C120="","",IFERROR(INDEX(dmName,MATCH($C120,dmID,0)),"Unmapped"))</f>
        <v/>
      </c>
      <c r="BV120" s="76">
        <f>IF($C120="","",IFERROR(INDEX(dmEntity,MATCH($C120,dmID,0)),"Unmapped"))</f>
        <v/>
      </c>
      <c r="BW120" s="77">
        <f>IF($C120="","",IFERROR(INDEX(dmVintage,MATCH($C120,dmID,0)),""))</f>
        <v/>
      </c>
      <c r="BX120" s="78">
        <f>IFERROR(INDEX(dmInclude,MATCH($C120,dmID,0)),0)</f>
        <v/>
      </c>
      <c r="BY120" s="78">
        <f>IF(N($I120)&gt;0,1,0)</f>
        <v/>
      </c>
      <c r="BZ120" s="76">
        <f>IF($AJ120="","Other / Leased Fee",IFERROR(INDEX(mapPTGroup,MATCH(LEFT(TRIM($AJ120),2),mapPTCode,0)),"Other / Leased Fee"))</f>
        <v/>
      </c>
      <c r="CA120" s="76">
        <f>IF(TRIM($AF120&amp;"")="","NR",LEFT(TRIM($AF120),2))</f>
        <v/>
      </c>
      <c r="CB120" s="76">
        <f>IFERROR(LOOKUP(2,1/(LEFT(TRIM($AI120&amp;""),LEN(mapRegion))=mapRegion),mapRegion),"Not Reported")</f>
        <v/>
      </c>
      <c r="CC120" s="76">
        <f>IF($BY120=0,"",IF(TRIM($W120&amp;"")="REO","REO",IF(TRIM($W120&amp;"")="FC","Foreclosure",IF(TRIM($W120&amp;"")="90+","90+ Days Delinquent",IF(TRIM($W120&amp;"")="60","60 Days Delinquent",IF(TRIM($W120&amp;"")="30","30 Days Delinquent",IF($X120="Non-Performing Matured Balloon","Non-Performing Matured Balloon",IF(OR($X120="Late Payment But Less Than 30 Days Delinquent",LEFT($X120&amp;"",20)="Payment Not Received"),"Late / In Grace (&lt;30 Days)",IF($X120="Performing Matured Balloon","Performing Matured Balloon","Current")))))))))</f>
        <v/>
      </c>
      <c r="CD120" s="78">
        <f>IF(OR($CC120="REO",$CC120="Foreclosure",$CC120="90+ Days Delinquent",$CC120="60 Days Delinquent",$CC120="30 Days Delinquent",$CC120="Non-Performing Matured Balloon"),1,0)</f>
        <v/>
      </c>
      <c r="CE120" s="76">
        <f>IF($AB120="Currently special serv","Currently Specially Serviced",IF($AB120="Returned to master serv","Previously Specially Serviced","Never Specially Serviced"))</f>
        <v/>
      </c>
      <c r="CF120" s="78">
        <f>IF($CE120="Currently Specially Serviced",1,0)</f>
        <v/>
      </c>
      <c r="CG120" s="76">
        <f>IF($AA120="Yes","Currently on Watchlist",IF($AA120="Previously","Previously on Watchlist","Never on Watchlist"))</f>
        <v/>
      </c>
      <c r="CH120" s="78">
        <f>IF($CG120="Currently on Watchlist",1,0)</f>
        <v/>
      </c>
      <c r="CI120" s="76">
        <f>IF($Z120="Full Defeasance","Fully Defeased",IF($Z120="Portion Of Loan Previously Defeased","Partially Defeased",IF($Z120="Defeasance Not Allowable","Not Defeased (Not Permitted)","Not Defeased")))</f>
        <v/>
      </c>
      <c r="CJ120" s="78">
        <f>IF($CI120="Fully Defeased",1,0)</f>
        <v/>
      </c>
      <c r="CK120" s="76">
        <f>IF($R120="IO","Full IO",IF(LEFT($R120&amp;"",7)="IO then","Partial IO","Amortizing"))</f>
        <v/>
      </c>
      <c r="CL120" s="78">
        <f>IF($CK120="Full IO",1,0)</f>
        <v/>
      </c>
      <c r="CM120" s="78">
        <f>IF($CK120="Partial IO",1,0)</f>
        <v/>
      </c>
      <c r="CN120" s="76">
        <f>IF(LEFT($F120&amp;"",10)="SPLIT_LOAN","Pari Passu Split","Standalone")</f>
        <v/>
      </c>
      <c r="CO120" s="78">
        <f>IF($CN120="Pari Passu Split",1,0)</f>
        <v/>
      </c>
      <c r="CP120" s="77">
        <f>IF(ISNUMBER($T120),YEAR($T120),"")</f>
        <v/>
      </c>
      <c r="CQ120" s="79">
        <f>IF(ISNUMBER($V120),$V120,IF(ISNUMBER($U120),$U120,""))</f>
        <v/>
      </c>
      <c r="CR120" s="77">
        <f>IF(ISNUMBER($CQ120),YEAR($CQ120),"")</f>
        <v/>
      </c>
      <c r="CS120" s="78">
        <f>IF(ISNUMBER($M120),MAX(0,$M120),IF(TRIM($M120&amp;"")="matured",0,""))</f>
        <v/>
      </c>
      <c r="CT120" s="78">
        <f>IF(AND(ISNUMBER($CS120),N($CS120)&lt;=mMatWindow),1,0)</f>
        <v/>
      </c>
      <c r="CU120" s="80">
        <f>IF(ISNUMBER($J120),$J120/100,"")</f>
        <v/>
      </c>
      <c r="CV120" s="81">
        <f>IF(ISNUMBER($AQ120),$AQ120,"")</f>
        <v/>
      </c>
      <c r="CW120" s="81">
        <f>IF(ISNUMBER($AR120),$AR120,"")</f>
        <v/>
      </c>
      <c r="CX120" s="82">
        <f>IF(ISNUMBER($AS120),$AS120/100,"")</f>
        <v/>
      </c>
      <c r="CY120" s="82">
        <f>IF(ISNUMBER($AT120),$AT120/100,"")</f>
        <v/>
      </c>
      <c r="CZ120" s="82">
        <f>IF(ISNUMBER($AU120),$AU120/100,"")</f>
        <v/>
      </c>
      <c r="DA120" s="82">
        <f>IF(ISNUMBER($AV120),$AV120/100,"")</f>
        <v/>
      </c>
      <c r="DB120" s="82">
        <f>IF(ISNUMBER($AW120),$AW120/100,"")</f>
        <v/>
      </c>
      <c r="DC120" s="82">
        <f>IF(ISNUMBER($AX120),$AX120/100,"")</f>
        <v/>
      </c>
      <c r="DD120" s="77">
        <f>IFERROR(VALUE(LEFT(TRIM($AO120&amp;""),4)),"")</f>
        <v/>
      </c>
      <c r="DE120" s="78">
        <f>IF(AND($BY120=1,$BX120=1,OR(fDeal="All Deals",$BU120=fDeal),OR(fEntity="All Entities",$BV120=fEntity),OR(fPType="All Property Types",$BZ120=fPType),OR(fDefeased="Include",$CJ120=0)),1,0)</f>
        <v/>
      </c>
      <c r="DF120" s="83">
        <f>$DE120*N($I120)</f>
        <v/>
      </c>
      <c r="DG120" s="78">
        <f>IF($DE120=1,IF(COUNTIFS($F$8:$F120,$F120,$DE$8:$DE120,1)=1,1,0),0)</f>
        <v/>
      </c>
      <c r="DH120" s="83">
        <f>IF($DG120=1,SUMIFS($DF$8:$DF$1600,$F$8:$F$1600,$F120),0)</f>
        <v/>
      </c>
      <c r="DI120" s="78">
        <f>IF($DG120=1,COUNTIFS($F$8:$F$1600,$F120,$DE$8:$DE$1600,1),0)</f>
        <v/>
      </c>
      <c r="DJ120" s="84">
        <f>IF($DG120=1,$DH120+(100000-ROW())/mTieBreak,0)</f>
        <v/>
      </c>
    </row>
    <row r="121">
      <c r="B121" s="68" t="n">
        <v>55</v>
      </c>
      <c r="C121" s="69" t="inlineStr">
        <is>
          <t>CTG17C04</t>
        </is>
      </c>
      <c r="D121" s="69" t="inlineStr">
        <is>
          <t>55.000</t>
        </is>
      </c>
      <c r="E121" s="69" t="inlineStr">
        <is>
          <t>HP Apartments</t>
        </is>
      </c>
      <c r="F121" s="69" t="inlineStr">
        <is>
          <t>LNCTG17C04-55.000</t>
        </is>
      </c>
      <c r="G121" s="70" t="n"/>
      <c r="H121" s="71" t="n">
        <v>2400000</v>
      </c>
      <c r="I121" s="71" t="n">
        <v>2038672.8400008</v>
      </c>
      <c r="J121" s="72" t="n">
        <v>5.285</v>
      </c>
      <c r="K121" s="69" t="inlineStr">
        <is>
          <t>Fixed rate</t>
        </is>
      </c>
      <c r="L121" s="68" t="n">
        <v>120</v>
      </c>
      <c r="M121" s="68" t="n">
        <v>11</v>
      </c>
      <c r="N121" s="68" t="n">
        <v>360</v>
      </c>
      <c r="O121" s="68" t="n"/>
      <c r="P121" s="68" t="n"/>
      <c r="Q121" s="68" t="n">
        <v>109</v>
      </c>
      <c r="R121" s="69" t="n"/>
      <c r="S121" s="69" t="inlineStr">
        <is>
          <t>No</t>
        </is>
      </c>
      <c r="T121" s="73" t="n">
        <v>42948</v>
      </c>
      <c r="U121" s="73" t="n">
        <v>46605</v>
      </c>
      <c r="V121" s="73" t="n"/>
      <c r="W121" s="69" t="n"/>
      <c r="X121" s="69" t="inlineStr">
        <is>
          <t>Current</t>
        </is>
      </c>
      <c r="Y121" s="68" t="n"/>
      <c r="Z121" s="69" t="inlineStr">
        <is>
          <t>Full Defeasance</t>
        </is>
      </c>
      <c r="AA121" s="69" t="inlineStr">
        <is>
          <t>Previously</t>
        </is>
      </c>
      <c r="AB121" s="69" t="inlineStr">
        <is>
          <t>Never special serv</t>
        </is>
      </c>
      <c r="AC121" s="73" t="n"/>
      <c r="AD121" s="69" t="n"/>
      <c r="AE121" s="69" t="n"/>
      <c r="AF121" s="69" t="inlineStr">
        <is>
          <t>CT</t>
        </is>
      </c>
      <c r="AG121" s="69" t="inlineStr">
        <is>
          <t>Hartford</t>
        </is>
      </c>
      <c r="AH121" s="69" t="inlineStr">
        <is>
          <t>Hartford-West Hartford-East Hartford, CT</t>
        </is>
      </c>
      <c r="AI121" s="69" t="inlineStr">
        <is>
          <t>Northeast / New England</t>
        </is>
      </c>
      <c r="AJ121" s="69" t="inlineStr">
        <is>
          <t>MF</t>
        </is>
      </c>
      <c r="AK121" s="69" t="inlineStr">
        <is>
          <t>Garden</t>
        </is>
      </c>
      <c r="AL121" s="68" t="n">
        <v>1</v>
      </c>
      <c r="AM121" s="68" t="n">
        <v>68</v>
      </c>
      <c r="AN121" s="68" t="n"/>
      <c r="AO121" s="69" t="inlineStr">
        <is>
          <t>1964-1968</t>
        </is>
      </c>
      <c r="AP121" s="70" t="n">
        <v>2002</v>
      </c>
      <c r="AQ121" s="74" t="n">
        <v>1.72</v>
      </c>
      <c r="AR121" s="74" t="n">
        <v>2.52</v>
      </c>
      <c r="AS121" s="74" t="n">
        <v>58.13</v>
      </c>
      <c r="AT121" s="74" t="n">
        <v>49.48</v>
      </c>
      <c r="AU121" s="74" t="n">
        <v>48.33</v>
      </c>
      <c r="AV121" s="74" t="n">
        <v>11.438082083</v>
      </c>
      <c r="AW121" s="74" t="n">
        <v>19.721498816</v>
      </c>
      <c r="AX121" s="75" t="n">
        <v>94</v>
      </c>
      <c r="AY121" s="71" t="n">
        <v>4120000</v>
      </c>
      <c r="AZ121" s="71" t="n">
        <v>4120000</v>
      </c>
      <c r="BA121" s="71" t="n">
        <v>274513.97</v>
      </c>
      <c r="BB121" s="71" t="n">
        <v>402056.84</v>
      </c>
      <c r="BC121" s="69" t="inlineStr">
        <is>
          <t>Acquisition</t>
        </is>
      </c>
      <c r="BD121" s="69" t="inlineStr">
        <is>
          <t>N</t>
        </is>
      </c>
      <c r="BE121" s="71" t="n"/>
      <c r="BF121" s="71" t="n"/>
      <c r="BG121" s="71" t="n"/>
      <c r="BH121" s="71" t="n">
        <v>0</v>
      </c>
      <c r="BI121" s="71" t="n">
        <v>0</v>
      </c>
      <c r="BJ121" s="69" t="inlineStr">
        <is>
          <t>N</t>
        </is>
      </c>
      <c r="BK121" s="69" t="n"/>
      <c r="BL121" s="75" t="n"/>
      <c r="BM121" s="73" t="n"/>
      <c r="BN121" s="69" t="inlineStr">
        <is>
          <t>Serafeim P. Skenderis, Barbara Skenderis, Stavros S. Skenderis and Barbara V. Skenderis</t>
        </is>
      </c>
      <c r="BO121" s="69" t="inlineStr">
        <is>
          <t>Ladder Capital Finance</t>
        </is>
      </c>
      <c r="BP121" s="69" t="inlineStr">
        <is>
          <t>Midland Loan Services</t>
        </is>
      </c>
      <c r="BQ121" s="69" t="inlineStr">
        <is>
          <t>Midland Loan Services</t>
        </is>
      </c>
      <c r="BR121" s="69" t="n"/>
      <c r="BS121" s="73" t="n">
        <v>46273</v>
      </c>
      <c r="BU121" s="76">
        <f>IF($C121="","",IFERROR(INDEX(dmName,MATCH($C121,dmID,0)),"Unmapped"))</f>
        <v/>
      </c>
      <c r="BV121" s="76">
        <f>IF($C121="","",IFERROR(INDEX(dmEntity,MATCH($C121,dmID,0)),"Unmapped"))</f>
        <v/>
      </c>
      <c r="BW121" s="77">
        <f>IF($C121="","",IFERROR(INDEX(dmVintage,MATCH($C121,dmID,0)),""))</f>
        <v/>
      </c>
      <c r="BX121" s="78">
        <f>IFERROR(INDEX(dmInclude,MATCH($C121,dmID,0)),0)</f>
        <v/>
      </c>
      <c r="BY121" s="78">
        <f>IF(N($I121)&gt;0,1,0)</f>
        <v/>
      </c>
      <c r="BZ121" s="76">
        <f>IF($AJ121="","Other / Leased Fee",IFERROR(INDEX(mapPTGroup,MATCH(LEFT(TRIM($AJ121),2),mapPTCode,0)),"Other / Leased Fee"))</f>
        <v/>
      </c>
      <c r="CA121" s="76">
        <f>IF(TRIM($AF121&amp;"")="","NR",LEFT(TRIM($AF121),2))</f>
        <v/>
      </c>
      <c r="CB121" s="76">
        <f>IFERROR(LOOKUP(2,1/(LEFT(TRIM($AI121&amp;""),LEN(mapRegion))=mapRegion),mapRegion),"Not Reported")</f>
        <v/>
      </c>
      <c r="CC121" s="76">
        <f>IF($BY121=0,"",IF(TRIM($W121&amp;"")="REO","REO",IF(TRIM($W121&amp;"")="FC","Foreclosure",IF(TRIM($W121&amp;"")="90+","90+ Days Delinquent",IF(TRIM($W121&amp;"")="60","60 Days Delinquent",IF(TRIM($W121&amp;"")="30","30 Days Delinquent",IF($X121="Non-Performing Matured Balloon","Non-Performing Matured Balloon",IF(OR($X121="Late Payment But Less Than 30 Days Delinquent",LEFT($X121&amp;"",20)="Payment Not Received"),"Late / In Grace (&lt;30 Days)",IF($X121="Performing Matured Balloon","Performing Matured Balloon","Current")))))))))</f>
        <v/>
      </c>
      <c r="CD121" s="78">
        <f>IF(OR($CC121="REO",$CC121="Foreclosure",$CC121="90+ Days Delinquent",$CC121="60 Days Delinquent",$CC121="30 Days Delinquent",$CC121="Non-Performing Matured Balloon"),1,0)</f>
        <v/>
      </c>
      <c r="CE121" s="76">
        <f>IF($AB121="Currently special serv","Currently Specially Serviced",IF($AB121="Returned to master serv","Previously Specially Serviced","Never Specially Serviced"))</f>
        <v/>
      </c>
      <c r="CF121" s="78">
        <f>IF($CE121="Currently Specially Serviced",1,0)</f>
        <v/>
      </c>
      <c r="CG121" s="76">
        <f>IF($AA121="Yes","Currently on Watchlist",IF($AA121="Previously","Previously on Watchlist","Never on Watchlist"))</f>
        <v/>
      </c>
      <c r="CH121" s="78">
        <f>IF($CG121="Currently on Watchlist",1,0)</f>
        <v/>
      </c>
      <c r="CI121" s="76">
        <f>IF($Z121="Full Defeasance","Fully Defeased",IF($Z121="Portion Of Loan Previously Defeased","Partially Defeased",IF($Z121="Defeasance Not Allowable","Not Defeased (Not Permitted)","Not Defeased")))</f>
        <v/>
      </c>
      <c r="CJ121" s="78">
        <f>IF($CI121="Fully Defeased",1,0)</f>
        <v/>
      </c>
      <c r="CK121" s="76">
        <f>IF($R121="IO","Full IO",IF(LEFT($R121&amp;"",7)="IO then","Partial IO","Amortizing"))</f>
        <v/>
      </c>
      <c r="CL121" s="78">
        <f>IF($CK121="Full IO",1,0)</f>
        <v/>
      </c>
      <c r="CM121" s="78">
        <f>IF($CK121="Partial IO",1,0)</f>
        <v/>
      </c>
      <c r="CN121" s="76">
        <f>IF(LEFT($F121&amp;"",10)="SPLIT_LOAN","Pari Passu Split","Standalone")</f>
        <v/>
      </c>
      <c r="CO121" s="78">
        <f>IF($CN121="Pari Passu Split",1,0)</f>
        <v/>
      </c>
      <c r="CP121" s="77">
        <f>IF(ISNUMBER($T121),YEAR($T121),"")</f>
        <v/>
      </c>
      <c r="CQ121" s="79">
        <f>IF(ISNUMBER($V121),$V121,IF(ISNUMBER($U121),$U121,""))</f>
        <v/>
      </c>
      <c r="CR121" s="77">
        <f>IF(ISNUMBER($CQ121),YEAR($CQ121),"")</f>
        <v/>
      </c>
      <c r="CS121" s="78">
        <f>IF(ISNUMBER($M121),MAX(0,$M121),IF(TRIM($M121&amp;"")="matured",0,""))</f>
        <v/>
      </c>
      <c r="CT121" s="78">
        <f>IF(AND(ISNUMBER($CS121),N($CS121)&lt;=mMatWindow),1,0)</f>
        <v/>
      </c>
      <c r="CU121" s="80">
        <f>IF(ISNUMBER($J121),$J121/100,"")</f>
        <v/>
      </c>
      <c r="CV121" s="81">
        <f>IF(ISNUMBER($AQ121),$AQ121,"")</f>
        <v/>
      </c>
      <c r="CW121" s="81">
        <f>IF(ISNUMBER($AR121),$AR121,"")</f>
        <v/>
      </c>
      <c r="CX121" s="82">
        <f>IF(ISNUMBER($AS121),$AS121/100,"")</f>
        <v/>
      </c>
      <c r="CY121" s="82">
        <f>IF(ISNUMBER($AT121),$AT121/100,"")</f>
        <v/>
      </c>
      <c r="CZ121" s="82">
        <f>IF(ISNUMBER($AU121),$AU121/100,"")</f>
        <v/>
      </c>
      <c r="DA121" s="82">
        <f>IF(ISNUMBER($AV121),$AV121/100,"")</f>
        <v/>
      </c>
      <c r="DB121" s="82">
        <f>IF(ISNUMBER($AW121),$AW121/100,"")</f>
        <v/>
      </c>
      <c r="DC121" s="82">
        <f>IF(ISNUMBER($AX121),$AX121/100,"")</f>
        <v/>
      </c>
      <c r="DD121" s="77">
        <f>IFERROR(VALUE(LEFT(TRIM($AO121&amp;""),4)),"")</f>
        <v/>
      </c>
      <c r="DE121" s="78">
        <f>IF(AND($BY121=1,$BX121=1,OR(fDeal="All Deals",$BU121=fDeal),OR(fEntity="All Entities",$BV121=fEntity),OR(fPType="All Property Types",$BZ121=fPType),OR(fDefeased="Include",$CJ121=0)),1,0)</f>
        <v/>
      </c>
      <c r="DF121" s="83">
        <f>$DE121*N($I121)</f>
        <v/>
      </c>
      <c r="DG121" s="78">
        <f>IF($DE121=1,IF(COUNTIFS($F$8:$F121,$F121,$DE$8:$DE121,1)=1,1,0),0)</f>
        <v/>
      </c>
      <c r="DH121" s="83">
        <f>IF($DG121=1,SUMIFS($DF$8:$DF$1600,$F$8:$F$1600,$F121),0)</f>
        <v/>
      </c>
      <c r="DI121" s="78">
        <f>IF($DG121=1,COUNTIFS($F$8:$F$1600,$F121,$DE$8:$DE$1600,1),0)</f>
        <v/>
      </c>
      <c r="DJ121" s="84">
        <f>IF($DG121=1,$DH121+(100000-ROW())/mTieBreak,0)</f>
        <v/>
      </c>
    </row>
    <row r="122">
      <c r="B122" s="68" t="n">
        <v>56</v>
      </c>
      <c r="C122" s="69" t="inlineStr">
        <is>
          <t>CTG17C04</t>
        </is>
      </c>
      <c r="D122" s="69" t="inlineStr">
        <is>
          <t>56.000</t>
        </is>
      </c>
      <c r="E122" s="69" t="inlineStr">
        <is>
          <t>Shoppes of Dacula Market</t>
        </is>
      </c>
      <c r="F122" s="69" t="inlineStr">
        <is>
          <t>LNCTG17C04-56.000</t>
        </is>
      </c>
      <c r="G122" s="70" t="n"/>
      <c r="H122" s="71" t="n">
        <v>2100000</v>
      </c>
      <c r="I122" s="71" t="n">
        <v>1850458.2700002</v>
      </c>
      <c r="J122" s="72" t="n">
        <v>4.79</v>
      </c>
      <c r="K122" s="69" t="inlineStr">
        <is>
          <t>Fixed rate</t>
        </is>
      </c>
      <c r="L122" s="68" t="n">
        <v>120</v>
      </c>
      <c r="M122" s="68" t="n">
        <v>12</v>
      </c>
      <c r="N122" s="68" t="n">
        <v>384</v>
      </c>
      <c r="O122" s="68" t="n">
        <v>24</v>
      </c>
      <c r="P122" s="68" t="n">
        <v>0</v>
      </c>
      <c r="Q122" s="68" t="n">
        <v>108</v>
      </c>
      <c r="R122" s="69" t="inlineStr">
        <is>
          <t>IO then Amort</t>
        </is>
      </c>
      <c r="S122" s="69" t="inlineStr">
        <is>
          <t>No</t>
        </is>
      </c>
      <c r="T122" s="73" t="n">
        <v>42979</v>
      </c>
      <c r="U122" s="73" t="n">
        <v>46636</v>
      </c>
      <c r="V122" s="73" t="n"/>
      <c r="W122" s="69" t="n"/>
      <c r="X122" s="69" t="inlineStr">
        <is>
          <t>Current</t>
        </is>
      </c>
      <c r="Y122" s="68" t="n"/>
      <c r="Z122" s="69" t="inlineStr">
        <is>
          <t>No Defeasance Occurred</t>
        </is>
      </c>
      <c r="AA122" s="69" t="inlineStr">
        <is>
          <t>Previously</t>
        </is>
      </c>
      <c r="AB122" s="69" t="inlineStr">
        <is>
          <t>Never special serv</t>
        </is>
      </c>
      <c r="AC122" s="73" t="n"/>
      <c r="AD122" s="69" t="n"/>
      <c r="AE122" s="69" t="n"/>
      <c r="AF122" s="69" t="inlineStr">
        <is>
          <t>GA</t>
        </is>
      </c>
      <c r="AG122" s="69" t="inlineStr">
        <is>
          <t>Dacula</t>
        </is>
      </c>
      <c r="AH122" s="69" t="inlineStr">
        <is>
          <t>Atlanta-Sandy Springs-Roswell, GA</t>
        </is>
      </c>
      <c r="AI122" s="69" t="inlineStr">
        <is>
          <t>South / Atlantic</t>
        </is>
      </c>
      <c r="AJ122" s="69" t="inlineStr">
        <is>
          <t>RT</t>
        </is>
      </c>
      <c r="AK122" s="69" t="inlineStr">
        <is>
          <t>Unanchored</t>
        </is>
      </c>
      <c r="AL122" s="68" t="n">
        <v>1</v>
      </c>
      <c r="AM122" s="68" t="n"/>
      <c r="AN122" s="68" t="n">
        <v>9600</v>
      </c>
      <c r="AO122" s="69" t="inlineStr">
        <is>
          <t>2015</t>
        </is>
      </c>
      <c r="AP122" s="70" t="n">
        <v>2015</v>
      </c>
      <c r="AQ122" s="74" t="n">
        <v>1.61</v>
      </c>
      <c r="AR122" s="74" t="n">
        <v>1.93</v>
      </c>
      <c r="AS122" s="74" t="n">
        <v>60</v>
      </c>
      <c r="AT122" s="74" t="n">
        <v>52.87</v>
      </c>
      <c r="AU122" s="74" t="n">
        <v>51.64</v>
      </c>
      <c r="AV122" s="74" t="n">
        <v>10.110095238</v>
      </c>
      <c r="AW122" s="74" t="n">
        <v>12.669572387</v>
      </c>
      <c r="AX122" s="75" t="n">
        <v>100</v>
      </c>
      <c r="AY122" s="71" t="n">
        <v>3500000</v>
      </c>
      <c r="AZ122" s="71" t="n">
        <v>3500000</v>
      </c>
      <c r="BA122" s="71" t="n">
        <v>212312</v>
      </c>
      <c r="BB122" s="71" t="n">
        <v>254837.32</v>
      </c>
      <c r="BC122" s="69" t="inlineStr">
        <is>
          <t>Refinance</t>
        </is>
      </c>
      <c r="BD122" s="69" t="inlineStr">
        <is>
          <t>N</t>
        </is>
      </c>
      <c r="BE122" s="71" t="n"/>
      <c r="BF122" s="71" t="n"/>
      <c r="BG122" s="71" t="n"/>
      <c r="BH122" s="71" t="n">
        <v>0</v>
      </c>
      <c r="BI122" s="71" t="n">
        <v>0</v>
      </c>
      <c r="BJ122" s="69" t="inlineStr">
        <is>
          <t>N</t>
        </is>
      </c>
      <c r="BK122" s="69" t="inlineStr">
        <is>
          <t>Heartland Dental LLC</t>
        </is>
      </c>
      <c r="BL122" s="75" t="n">
        <v>35</v>
      </c>
      <c r="BM122" s="73" t="n">
        <v>47968</v>
      </c>
      <c r="BN122" s="69" t="inlineStr">
        <is>
          <t>Adam J. Wickley, Brian J. Sullivan and Colin Barry Edwards</t>
        </is>
      </c>
      <c r="BO122" s="69" t="inlineStr">
        <is>
          <t>RMF</t>
        </is>
      </c>
      <c r="BP122" s="69" t="inlineStr">
        <is>
          <t>Midland Loan Services</t>
        </is>
      </c>
      <c r="BQ122" s="69" t="inlineStr">
        <is>
          <t>Midland Loan Services</t>
        </is>
      </c>
      <c r="BR122" s="69" t="n"/>
      <c r="BS122" s="73" t="n">
        <v>46273</v>
      </c>
      <c r="BU122" s="76">
        <f>IF($C122="","",IFERROR(INDEX(dmName,MATCH($C122,dmID,0)),"Unmapped"))</f>
        <v/>
      </c>
      <c r="BV122" s="76">
        <f>IF($C122="","",IFERROR(INDEX(dmEntity,MATCH($C122,dmID,0)),"Unmapped"))</f>
        <v/>
      </c>
      <c r="BW122" s="77">
        <f>IF($C122="","",IFERROR(INDEX(dmVintage,MATCH($C122,dmID,0)),""))</f>
        <v/>
      </c>
      <c r="BX122" s="78">
        <f>IFERROR(INDEX(dmInclude,MATCH($C122,dmID,0)),0)</f>
        <v/>
      </c>
      <c r="BY122" s="78">
        <f>IF(N($I122)&gt;0,1,0)</f>
        <v/>
      </c>
      <c r="BZ122" s="76">
        <f>IF($AJ122="","Other / Leased Fee",IFERROR(INDEX(mapPTGroup,MATCH(LEFT(TRIM($AJ122),2),mapPTCode,0)),"Other / Leased Fee"))</f>
        <v/>
      </c>
      <c r="CA122" s="76">
        <f>IF(TRIM($AF122&amp;"")="","NR",LEFT(TRIM($AF122),2))</f>
        <v/>
      </c>
      <c r="CB122" s="76">
        <f>IFERROR(LOOKUP(2,1/(LEFT(TRIM($AI122&amp;""),LEN(mapRegion))=mapRegion),mapRegion),"Not Reported")</f>
        <v/>
      </c>
      <c r="CC122" s="76">
        <f>IF($BY122=0,"",IF(TRIM($W122&amp;"")="REO","REO",IF(TRIM($W122&amp;"")="FC","Foreclosure",IF(TRIM($W122&amp;"")="90+","90+ Days Delinquent",IF(TRIM($W122&amp;"")="60","60 Days Delinquent",IF(TRIM($W122&amp;"")="30","30 Days Delinquent",IF($X122="Non-Performing Matured Balloon","Non-Performing Matured Balloon",IF(OR($X122="Late Payment But Less Than 30 Days Delinquent",LEFT($X122&amp;"",20)="Payment Not Received"),"Late / In Grace (&lt;30 Days)",IF($X122="Performing Matured Balloon","Performing Matured Balloon","Current")))))))))</f>
        <v/>
      </c>
      <c r="CD122" s="78">
        <f>IF(OR($CC122="REO",$CC122="Foreclosure",$CC122="90+ Days Delinquent",$CC122="60 Days Delinquent",$CC122="30 Days Delinquent",$CC122="Non-Performing Matured Balloon"),1,0)</f>
        <v/>
      </c>
      <c r="CE122" s="76">
        <f>IF($AB122="Currently special serv","Currently Specially Serviced",IF($AB122="Returned to master serv","Previously Specially Serviced","Never Specially Serviced"))</f>
        <v/>
      </c>
      <c r="CF122" s="78">
        <f>IF($CE122="Currently Specially Serviced",1,0)</f>
        <v/>
      </c>
      <c r="CG122" s="76">
        <f>IF($AA122="Yes","Currently on Watchlist",IF($AA122="Previously","Previously on Watchlist","Never on Watchlist"))</f>
        <v/>
      </c>
      <c r="CH122" s="78">
        <f>IF($CG122="Currently on Watchlist",1,0)</f>
        <v/>
      </c>
      <c r="CI122" s="76">
        <f>IF($Z122="Full Defeasance","Fully Defeased",IF($Z122="Portion Of Loan Previously Defeased","Partially Defeased",IF($Z122="Defeasance Not Allowable","Not Defeased (Not Permitted)","Not Defeased")))</f>
        <v/>
      </c>
      <c r="CJ122" s="78">
        <f>IF($CI122="Fully Defeased",1,0)</f>
        <v/>
      </c>
      <c r="CK122" s="76">
        <f>IF($R122="IO","Full IO",IF(LEFT($R122&amp;"",7)="IO then","Partial IO","Amortizing"))</f>
        <v/>
      </c>
      <c r="CL122" s="78">
        <f>IF($CK122="Full IO",1,0)</f>
        <v/>
      </c>
      <c r="CM122" s="78">
        <f>IF($CK122="Partial IO",1,0)</f>
        <v/>
      </c>
      <c r="CN122" s="76">
        <f>IF(LEFT($F122&amp;"",10)="SPLIT_LOAN","Pari Passu Split","Standalone")</f>
        <v/>
      </c>
      <c r="CO122" s="78">
        <f>IF($CN122="Pari Passu Split",1,0)</f>
        <v/>
      </c>
      <c r="CP122" s="77">
        <f>IF(ISNUMBER($T122),YEAR($T122),"")</f>
        <v/>
      </c>
      <c r="CQ122" s="79">
        <f>IF(ISNUMBER($V122),$V122,IF(ISNUMBER($U122),$U122,""))</f>
        <v/>
      </c>
      <c r="CR122" s="77">
        <f>IF(ISNUMBER($CQ122),YEAR($CQ122),"")</f>
        <v/>
      </c>
      <c r="CS122" s="78">
        <f>IF(ISNUMBER($M122),MAX(0,$M122),IF(TRIM($M122&amp;"")="matured",0,""))</f>
        <v/>
      </c>
      <c r="CT122" s="78">
        <f>IF(AND(ISNUMBER($CS122),N($CS122)&lt;=mMatWindow),1,0)</f>
        <v/>
      </c>
      <c r="CU122" s="80">
        <f>IF(ISNUMBER($J122),$J122/100,"")</f>
        <v/>
      </c>
      <c r="CV122" s="81">
        <f>IF(ISNUMBER($AQ122),$AQ122,"")</f>
        <v/>
      </c>
      <c r="CW122" s="81">
        <f>IF(ISNUMBER($AR122),$AR122,"")</f>
        <v/>
      </c>
      <c r="CX122" s="82">
        <f>IF(ISNUMBER($AS122),$AS122/100,"")</f>
        <v/>
      </c>
      <c r="CY122" s="82">
        <f>IF(ISNUMBER($AT122),$AT122/100,"")</f>
        <v/>
      </c>
      <c r="CZ122" s="82">
        <f>IF(ISNUMBER($AU122),$AU122/100,"")</f>
        <v/>
      </c>
      <c r="DA122" s="82">
        <f>IF(ISNUMBER($AV122),$AV122/100,"")</f>
        <v/>
      </c>
      <c r="DB122" s="82">
        <f>IF(ISNUMBER($AW122),$AW122/100,"")</f>
        <v/>
      </c>
      <c r="DC122" s="82">
        <f>IF(ISNUMBER($AX122),$AX122/100,"")</f>
        <v/>
      </c>
      <c r="DD122" s="77">
        <f>IFERROR(VALUE(LEFT(TRIM($AO122&amp;""),4)),"")</f>
        <v/>
      </c>
      <c r="DE122" s="78">
        <f>IF(AND($BY122=1,$BX122=1,OR(fDeal="All Deals",$BU122=fDeal),OR(fEntity="All Entities",$BV122=fEntity),OR(fPType="All Property Types",$BZ122=fPType),OR(fDefeased="Include",$CJ122=0)),1,0)</f>
        <v/>
      </c>
      <c r="DF122" s="83">
        <f>$DE122*N($I122)</f>
        <v/>
      </c>
      <c r="DG122" s="78">
        <f>IF($DE122=1,IF(COUNTIFS($F$8:$F122,$F122,$DE$8:$DE122,1)=1,1,0),0)</f>
        <v/>
      </c>
      <c r="DH122" s="83">
        <f>IF($DG122=1,SUMIFS($DF$8:$DF$1600,$F$8:$F$1600,$F122),0)</f>
        <v/>
      </c>
      <c r="DI122" s="78">
        <f>IF($DG122=1,COUNTIFS($F$8:$F$1600,$F122,$DE$8:$DE$1600,1),0)</f>
        <v/>
      </c>
      <c r="DJ122" s="84">
        <f>IF($DG122=1,$DH122+(100000-ROW())/mTieBreak,0)</f>
        <v/>
      </c>
    </row>
    <row r="123">
      <c r="B123" s="68" t="n">
        <v>57</v>
      </c>
      <c r="C123" s="69" t="inlineStr">
        <is>
          <t>CTG17C04</t>
        </is>
      </c>
      <c r="D123" s="69" t="inlineStr">
        <is>
          <t>57.000</t>
        </is>
      </c>
      <c r="E123" s="69" t="inlineStr">
        <is>
          <t>Dollar General Milford</t>
        </is>
      </c>
      <c r="F123" s="69" t="inlineStr">
        <is>
          <t>LNCTG17C04-57.000</t>
        </is>
      </c>
      <c r="G123" s="70" t="n"/>
      <c r="H123" s="71" t="n">
        <v>980000</v>
      </c>
      <c r="I123" s="71" t="n">
        <v>980000</v>
      </c>
      <c r="J123" s="72" t="n">
        <v>5.06</v>
      </c>
      <c r="K123" s="69" t="inlineStr">
        <is>
          <t>Fixed rate</t>
        </is>
      </c>
      <c r="L123" s="68" t="n">
        <v>120</v>
      </c>
      <c r="M123" s="68" t="n">
        <v>13</v>
      </c>
      <c r="N123" s="68" t="n">
        <v>120</v>
      </c>
      <c r="O123" s="68" t="n">
        <v>120</v>
      </c>
      <c r="P123" s="68" t="n">
        <v>13</v>
      </c>
      <c r="Q123" s="68" t="n">
        <v>107</v>
      </c>
      <c r="R123" s="69" t="inlineStr">
        <is>
          <t>IO</t>
        </is>
      </c>
      <c r="S123" s="69" t="inlineStr">
        <is>
          <t>Yes</t>
        </is>
      </c>
      <c r="T123" s="73" t="n">
        <v>43009</v>
      </c>
      <c r="U123" s="73" t="n">
        <v>48493</v>
      </c>
      <c r="V123" s="73" t="n">
        <v>46666</v>
      </c>
      <c r="W123" s="69" t="n"/>
      <c r="X123" s="69" t="inlineStr">
        <is>
          <t>Current</t>
        </is>
      </c>
      <c r="Y123" s="68" t="n"/>
      <c r="Z123" s="69" t="inlineStr">
        <is>
          <t>No Defeasance Occurred</t>
        </is>
      </c>
      <c r="AA123" s="69" t="inlineStr">
        <is>
          <t>Yes</t>
        </is>
      </c>
      <c r="AB123" s="69" t="inlineStr">
        <is>
          <t>Never special serv</t>
        </is>
      </c>
      <c r="AC123" s="73" t="n"/>
      <c r="AD123" s="69" t="n"/>
      <c r="AE123" s="69" t="n"/>
      <c r="AF123" s="69" t="inlineStr">
        <is>
          <t>IA</t>
        </is>
      </c>
      <c r="AG123" s="69" t="inlineStr">
        <is>
          <t>Milford</t>
        </is>
      </c>
      <c r="AH123" s="69" t="inlineStr">
        <is>
          <t>Spirit Lake, IA</t>
        </is>
      </c>
      <c r="AI123" s="69" t="inlineStr">
        <is>
          <t>Midwest / Central West</t>
        </is>
      </c>
      <c r="AJ123" s="69" t="inlineStr">
        <is>
          <t>RT</t>
        </is>
      </c>
      <c r="AK123" s="69" t="inlineStr">
        <is>
          <t>Single Tenant</t>
        </is>
      </c>
      <c r="AL123" s="68" t="n">
        <v>1</v>
      </c>
      <c r="AM123" s="68" t="n"/>
      <c r="AN123" s="68" t="n">
        <v>9100</v>
      </c>
      <c r="AO123" s="69" t="inlineStr">
        <is>
          <t>2017</t>
        </is>
      </c>
      <c r="AP123" s="70" t="n">
        <v>2017</v>
      </c>
      <c r="AQ123" s="74" t="n">
        <v>1.72</v>
      </c>
      <c r="AR123" s="74" t="n">
        <v>1.28</v>
      </c>
      <c r="AS123" s="74" t="n">
        <v>70</v>
      </c>
      <c r="AT123" s="74" t="n">
        <v>70</v>
      </c>
      <c r="AU123" s="74" t="n">
        <v>70</v>
      </c>
      <c r="AV123" s="74" t="n">
        <v>8.846456121999999</v>
      </c>
      <c r="AW123" s="74" t="n">
        <v>6.546620408</v>
      </c>
      <c r="AX123" s="75" t="n">
        <v>100</v>
      </c>
      <c r="AY123" s="71" t="n">
        <v>1400000</v>
      </c>
      <c r="AZ123" s="71" t="n">
        <v>1400000</v>
      </c>
      <c r="BA123" s="71" t="n">
        <v>86695.27</v>
      </c>
      <c r="BB123" s="71" t="n">
        <v>64156.88</v>
      </c>
      <c r="BC123" s="69" t="inlineStr">
        <is>
          <t>Acquisition</t>
        </is>
      </c>
      <c r="BD123" s="69" t="inlineStr">
        <is>
          <t>N</t>
        </is>
      </c>
      <c r="BE123" s="71" t="n"/>
      <c r="BF123" s="71" t="n"/>
      <c r="BG123" s="71" t="n"/>
      <c r="BH123" s="71" t="n">
        <v>0</v>
      </c>
      <c r="BI123" s="71" t="n">
        <v>0</v>
      </c>
      <c r="BJ123" s="69" t="inlineStr">
        <is>
          <t>N</t>
        </is>
      </c>
      <c r="BK123" s="69" t="inlineStr">
        <is>
          <t>Dollar General</t>
        </is>
      </c>
      <c r="BL123" s="75" t="n">
        <v>100</v>
      </c>
      <c r="BM123" s="73" t="n">
        <v>48426</v>
      </c>
      <c r="BN123" s="69" t="inlineStr">
        <is>
          <t>Ladder Capital CRE Equity LLC</t>
        </is>
      </c>
      <c r="BO123" s="69" t="inlineStr">
        <is>
          <t>Ladder Capital Finance</t>
        </is>
      </c>
      <c r="BP123" s="69" t="inlineStr">
        <is>
          <t>Midland Loan Services</t>
        </is>
      </c>
      <c r="BQ123" s="69" t="inlineStr">
        <is>
          <t>Midland Loan Services</t>
        </is>
      </c>
      <c r="BR123" s="69" t="n"/>
      <c r="BS123" s="73" t="n">
        <v>46273</v>
      </c>
      <c r="BU123" s="76">
        <f>IF($C123="","",IFERROR(INDEX(dmName,MATCH($C123,dmID,0)),"Unmapped"))</f>
        <v/>
      </c>
      <c r="BV123" s="76">
        <f>IF($C123="","",IFERROR(INDEX(dmEntity,MATCH($C123,dmID,0)),"Unmapped"))</f>
        <v/>
      </c>
      <c r="BW123" s="77">
        <f>IF($C123="","",IFERROR(INDEX(dmVintage,MATCH($C123,dmID,0)),""))</f>
        <v/>
      </c>
      <c r="BX123" s="78">
        <f>IFERROR(INDEX(dmInclude,MATCH($C123,dmID,0)),0)</f>
        <v/>
      </c>
      <c r="BY123" s="78">
        <f>IF(N($I123)&gt;0,1,0)</f>
        <v/>
      </c>
      <c r="BZ123" s="76">
        <f>IF($AJ123="","Other / Leased Fee",IFERROR(INDEX(mapPTGroup,MATCH(LEFT(TRIM($AJ123),2),mapPTCode,0)),"Other / Leased Fee"))</f>
        <v/>
      </c>
      <c r="CA123" s="76">
        <f>IF(TRIM($AF123&amp;"")="","NR",LEFT(TRIM($AF123),2))</f>
        <v/>
      </c>
      <c r="CB123" s="76">
        <f>IFERROR(LOOKUP(2,1/(LEFT(TRIM($AI123&amp;""),LEN(mapRegion))=mapRegion),mapRegion),"Not Reported")</f>
        <v/>
      </c>
      <c r="CC123" s="76">
        <f>IF($BY123=0,"",IF(TRIM($W123&amp;"")="REO","REO",IF(TRIM($W123&amp;"")="FC","Foreclosure",IF(TRIM($W123&amp;"")="90+","90+ Days Delinquent",IF(TRIM($W123&amp;"")="60","60 Days Delinquent",IF(TRIM($W123&amp;"")="30","30 Days Delinquent",IF($X123="Non-Performing Matured Balloon","Non-Performing Matured Balloon",IF(OR($X123="Late Payment But Less Than 30 Days Delinquent",LEFT($X123&amp;"",20)="Payment Not Received"),"Late / In Grace (&lt;30 Days)",IF($X123="Performing Matured Balloon","Performing Matured Balloon","Current")))))))))</f>
        <v/>
      </c>
      <c r="CD123" s="78">
        <f>IF(OR($CC123="REO",$CC123="Foreclosure",$CC123="90+ Days Delinquent",$CC123="60 Days Delinquent",$CC123="30 Days Delinquent",$CC123="Non-Performing Matured Balloon"),1,0)</f>
        <v/>
      </c>
      <c r="CE123" s="76">
        <f>IF($AB123="Currently special serv","Currently Specially Serviced",IF($AB123="Returned to master serv","Previously Specially Serviced","Never Specially Serviced"))</f>
        <v/>
      </c>
      <c r="CF123" s="78">
        <f>IF($CE123="Currently Specially Serviced",1,0)</f>
        <v/>
      </c>
      <c r="CG123" s="76">
        <f>IF($AA123="Yes","Currently on Watchlist",IF($AA123="Previously","Previously on Watchlist","Never on Watchlist"))</f>
        <v/>
      </c>
      <c r="CH123" s="78">
        <f>IF($CG123="Currently on Watchlist",1,0)</f>
        <v/>
      </c>
      <c r="CI123" s="76">
        <f>IF($Z123="Full Defeasance","Fully Defeased",IF($Z123="Portion Of Loan Previously Defeased","Partially Defeased",IF($Z123="Defeasance Not Allowable","Not Defeased (Not Permitted)","Not Defeased")))</f>
        <v/>
      </c>
      <c r="CJ123" s="78">
        <f>IF($CI123="Fully Defeased",1,0)</f>
        <v/>
      </c>
      <c r="CK123" s="76">
        <f>IF($R123="IO","Full IO",IF(LEFT($R123&amp;"",7)="IO then","Partial IO","Amortizing"))</f>
        <v/>
      </c>
      <c r="CL123" s="78">
        <f>IF($CK123="Full IO",1,0)</f>
        <v/>
      </c>
      <c r="CM123" s="78">
        <f>IF($CK123="Partial IO",1,0)</f>
        <v/>
      </c>
      <c r="CN123" s="76">
        <f>IF(LEFT($F123&amp;"",10)="SPLIT_LOAN","Pari Passu Split","Standalone")</f>
        <v/>
      </c>
      <c r="CO123" s="78">
        <f>IF($CN123="Pari Passu Split",1,0)</f>
        <v/>
      </c>
      <c r="CP123" s="77">
        <f>IF(ISNUMBER($T123),YEAR($T123),"")</f>
        <v/>
      </c>
      <c r="CQ123" s="79">
        <f>IF(ISNUMBER($V123),$V123,IF(ISNUMBER($U123),$U123,""))</f>
        <v/>
      </c>
      <c r="CR123" s="77">
        <f>IF(ISNUMBER($CQ123),YEAR($CQ123),"")</f>
        <v/>
      </c>
      <c r="CS123" s="78">
        <f>IF(ISNUMBER($M123),MAX(0,$M123),IF(TRIM($M123&amp;"")="matured",0,""))</f>
        <v/>
      </c>
      <c r="CT123" s="78">
        <f>IF(AND(ISNUMBER($CS123),N($CS123)&lt;=mMatWindow),1,0)</f>
        <v/>
      </c>
      <c r="CU123" s="80">
        <f>IF(ISNUMBER($J123),$J123/100,"")</f>
        <v/>
      </c>
      <c r="CV123" s="81">
        <f>IF(ISNUMBER($AQ123),$AQ123,"")</f>
        <v/>
      </c>
      <c r="CW123" s="81">
        <f>IF(ISNUMBER($AR123),$AR123,"")</f>
        <v/>
      </c>
      <c r="CX123" s="82">
        <f>IF(ISNUMBER($AS123),$AS123/100,"")</f>
        <v/>
      </c>
      <c r="CY123" s="82">
        <f>IF(ISNUMBER($AT123),$AT123/100,"")</f>
        <v/>
      </c>
      <c r="CZ123" s="82">
        <f>IF(ISNUMBER($AU123),$AU123/100,"")</f>
        <v/>
      </c>
      <c r="DA123" s="82">
        <f>IF(ISNUMBER($AV123),$AV123/100,"")</f>
        <v/>
      </c>
      <c r="DB123" s="82">
        <f>IF(ISNUMBER($AW123),$AW123/100,"")</f>
        <v/>
      </c>
      <c r="DC123" s="82">
        <f>IF(ISNUMBER($AX123),$AX123/100,"")</f>
        <v/>
      </c>
      <c r="DD123" s="77">
        <f>IFERROR(VALUE(LEFT(TRIM($AO123&amp;""),4)),"")</f>
        <v/>
      </c>
      <c r="DE123" s="78">
        <f>IF(AND($BY123=1,$BX123=1,OR(fDeal="All Deals",$BU123=fDeal),OR(fEntity="All Entities",$BV123=fEntity),OR(fPType="All Property Types",$BZ123=fPType),OR(fDefeased="Include",$CJ123=0)),1,0)</f>
        <v/>
      </c>
      <c r="DF123" s="83">
        <f>$DE123*N($I123)</f>
        <v/>
      </c>
      <c r="DG123" s="78">
        <f>IF($DE123=1,IF(COUNTIFS($F$8:$F123,$F123,$DE$8:$DE123,1)=1,1,0),0)</f>
        <v/>
      </c>
      <c r="DH123" s="83">
        <f>IF($DG123=1,SUMIFS($DF$8:$DF$1600,$F$8:$F$1600,$F123),0)</f>
        <v/>
      </c>
      <c r="DI123" s="78">
        <f>IF($DG123=1,COUNTIFS($F$8:$F$1600,$F123,$DE$8:$DE$1600,1),0)</f>
        <v/>
      </c>
      <c r="DJ123" s="84">
        <f>IF($DG123=1,$DH123+(100000-ROW())/mTieBreak,0)</f>
        <v/>
      </c>
    </row>
    <row r="124">
      <c r="B124" s="68" t="n">
        <v>1</v>
      </c>
      <c r="C124" s="69" t="inlineStr">
        <is>
          <t>WFC18C47</t>
        </is>
      </c>
      <c r="D124" s="69" t="inlineStr">
        <is>
          <t>1.000</t>
        </is>
      </c>
      <c r="E124" s="69" t="inlineStr">
        <is>
          <t>Starwood Hotel Portfolio</t>
        </is>
      </c>
      <c r="F124" s="69" t="inlineStr">
        <is>
          <t>SPLIT_LOAN_01353</t>
        </is>
      </c>
      <c r="G124" s="70" t="n">
        <v>1353</v>
      </c>
      <c r="H124" s="71" t="n">
        <v>70000000</v>
      </c>
      <c r="I124" s="71" t="n">
        <v>70000000</v>
      </c>
      <c r="J124" s="72" t="n">
        <v>5.15</v>
      </c>
      <c r="K124" s="69" t="inlineStr">
        <is>
          <t>Fixed rate</t>
        </is>
      </c>
      <c r="L124" s="68" t="n">
        <v>120</v>
      </c>
      <c r="M124" s="68" t="n">
        <v>24</v>
      </c>
      <c r="N124" s="68" t="n">
        <v>120</v>
      </c>
      <c r="O124" s="68" t="n">
        <v>120</v>
      </c>
      <c r="P124" s="68" t="n">
        <v>24</v>
      </c>
      <c r="Q124" s="68" t="n">
        <v>96</v>
      </c>
      <c r="R124" s="69" t="inlineStr">
        <is>
          <t>IO</t>
        </is>
      </c>
      <c r="S124" s="69" t="inlineStr">
        <is>
          <t>Yes</t>
        </is>
      </c>
      <c r="T124" s="73" t="n">
        <v>43344</v>
      </c>
      <c r="U124" s="73" t="n">
        <v>47007</v>
      </c>
      <c r="V124" s="73" t="n"/>
      <c r="W124" s="69" t="n"/>
      <c r="X124" s="69" t="inlineStr">
        <is>
          <t>Late Payment But Less Than 30 Days Delinquent</t>
        </is>
      </c>
      <c r="Y124" s="68" t="n"/>
      <c r="Z124" s="69" t="inlineStr">
        <is>
          <t>No Defeasance Occurred</t>
        </is>
      </c>
      <c r="AA124" s="69" t="inlineStr">
        <is>
          <t>Previously</t>
        </is>
      </c>
      <c r="AB124" s="69" t="inlineStr">
        <is>
          <t>Currently special serv</t>
        </is>
      </c>
      <c r="AC124" s="73" t="n">
        <v>46050</v>
      </c>
      <c r="AD124" s="69" t="inlineStr">
        <is>
          <t>Imminent Monetary Default (excluding Balloon/Maturity Default &amp; Single Tenant Bankruptcy/Vacate)</t>
        </is>
      </c>
      <c r="AE124" s="69" t="inlineStr">
        <is>
          <t>Other</t>
        </is>
      </c>
      <c r="AF124" s="69" t="inlineStr">
        <is>
          <t>MO-24.361340000% IL-13.721360000% KS-10.429290000% IA-8.928100000% FL-8.269690000% MS-5.952070000% GA-5.530680000% MD-5.451670000% OK-5.056620000% NC-4.924940000% WI-4.450880000% PA-2.923360000%</t>
        </is>
      </c>
      <c r="AG124" s="69" t="n"/>
      <c r="AH124" s="69" t="inlineStr">
        <is>
          <t>St. Louis, MO-IL-24.361340000% Chicago-Naperville-Elgin, IL-IN-13.721360000% Wichita, KS-10.429290000% Des Moines-West Des Moines, IA-8.928100000% Miami-Fort Lauderdale-West Palm Beach, FL-8.269690000% Gulfport-Biloxi, MS-5.952070000% Atlanta-Sandy Springs-Roswell, GA-5.530680000% Salisbury, MD-5.451670000% Oklahoma City, OK-5.056620000% Rocky Mount, NC-4.924940000% Green Bay, WI-4.450880000% Scranton--Wilkes-Barre, PA-2.923360000%</t>
        </is>
      </c>
      <c r="AI124" s="69" t="inlineStr">
        <is>
          <t>Midwest / Central West-43.718730000% South / Atlantic-24.176980000% Midwest / Central East-18.172240000% South / Central East-5.952070000% South / Central West-5.056620000% Northeast / Mid-Atlantic-2.923360000%</t>
        </is>
      </c>
      <c r="AJ124" s="69" t="inlineStr">
        <is>
          <t>HT</t>
        </is>
      </c>
      <c r="AK124" s="69" t="n"/>
      <c r="AL124" s="68" t="n">
        <v>22</v>
      </c>
      <c r="AM124" s="68" t="n">
        <v>2943</v>
      </c>
      <c r="AN124" s="68" t="n"/>
      <c r="AO124" s="69" t="n"/>
      <c r="AP124" s="70" t="n">
        <v>2018</v>
      </c>
      <c r="AQ124" s="74" t="n">
        <v>2.07</v>
      </c>
      <c r="AR124" s="74" t="n">
        <v>0.64</v>
      </c>
      <c r="AS124" s="74" t="n">
        <v>66.09999999999999</v>
      </c>
      <c r="AT124" s="74" t="n">
        <v>70.16</v>
      </c>
      <c r="AU124" s="74" t="n">
        <v>66.09999999999999</v>
      </c>
      <c r="AV124" s="74" t="n">
        <v>10.814524906</v>
      </c>
      <c r="AW124" s="74" t="n">
        <v>4.389214196</v>
      </c>
      <c r="AX124" s="75" t="n">
        <v>63</v>
      </c>
      <c r="AY124" s="71" t="n">
        <v>401000000</v>
      </c>
      <c r="AZ124" s="71" t="n">
        <v>377700000</v>
      </c>
      <c r="BA124" s="71" t="n">
        <v>28658491</v>
      </c>
      <c r="BB124" s="71" t="n">
        <v>8847954.619999999</v>
      </c>
      <c r="BC124" s="69" t="inlineStr">
        <is>
          <t>Refinance</t>
        </is>
      </c>
      <c r="BD124" s="69" t="inlineStr">
        <is>
          <t>N</t>
        </is>
      </c>
      <c r="BE124" s="71" t="n">
        <v>195000000</v>
      </c>
      <c r="BF124" s="71" t="n"/>
      <c r="BG124" s="71" t="n"/>
      <c r="BH124" s="71" t="n">
        <v>0</v>
      </c>
      <c r="BI124" s="71" t="n">
        <v>620258.34</v>
      </c>
      <c r="BJ124" s="69" t="inlineStr">
        <is>
          <t>N</t>
        </is>
      </c>
      <c r="BK124" s="69" t="n"/>
      <c r="BL124" s="75" t="n"/>
      <c r="BM124" s="73" t="n"/>
      <c r="BN124" s="69" t="inlineStr">
        <is>
          <t>SCG Hotel Investors Holdings L.P.</t>
        </is>
      </c>
      <c r="BO124" s="69" t="inlineStr">
        <is>
          <t>Wells Fargo</t>
        </is>
      </c>
      <c r="BP124" s="69" t="inlineStr">
        <is>
          <t>TriMont Real Estate Advisors</t>
        </is>
      </c>
      <c r="BQ124" s="69" t="inlineStr">
        <is>
          <t>K-Star Asset Management LLC</t>
        </is>
      </c>
      <c r="BR124" s="69" t="n"/>
      <c r="BS124" s="73" t="n">
        <v>46276</v>
      </c>
      <c r="BU124" s="76">
        <f>IF($C124="","",IFERROR(INDEX(dmName,MATCH($C124,dmID,0)),"Unmapped"))</f>
        <v/>
      </c>
      <c r="BV124" s="76">
        <f>IF($C124="","",IFERROR(INDEX(dmEntity,MATCH($C124,dmID,0)),"Unmapped"))</f>
        <v/>
      </c>
      <c r="BW124" s="77">
        <f>IF($C124="","",IFERROR(INDEX(dmVintage,MATCH($C124,dmID,0)),""))</f>
        <v/>
      </c>
      <c r="BX124" s="78">
        <f>IFERROR(INDEX(dmInclude,MATCH($C124,dmID,0)),0)</f>
        <v/>
      </c>
      <c r="BY124" s="78">
        <f>IF(N($I124)&gt;0,1,0)</f>
        <v/>
      </c>
      <c r="BZ124" s="76">
        <f>IF($AJ124="","Other / Leased Fee",IFERROR(INDEX(mapPTGroup,MATCH(LEFT(TRIM($AJ124),2),mapPTCode,0)),"Other / Leased Fee"))</f>
        <v/>
      </c>
      <c r="CA124" s="76">
        <f>IF(TRIM($AF124&amp;"")="","NR",LEFT(TRIM($AF124),2))</f>
        <v/>
      </c>
      <c r="CB124" s="76">
        <f>IFERROR(LOOKUP(2,1/(LEFT(TRIM($AI124&amp;""),LEN(mapRegion))=mapRegion),mapRegion),"Not Reported")</f>
        <v/>
      </c>
      <c r="CC124" s="76">
        <f>IF($BY124=0,"",IF(TRIM($W124&amp;"")="REO","REO",IF(TRIM($W124&amp;"")="FC","Foreclosure",IF(TRIM($W124&amp;"")="90+","90+ Days Delinquent",IF(TRIM($W124&amp;"")="60","60 Days Delinquent",IF(TRIM($W124&amp;"")="30","30 Days Delinquent",IF($X124="Non-Performing Matured Balloon","Non-Performing Matured Balloon",IF(OR($X124="Late Payment But Less Than 30 Days Delinquent",LEFT($X124&amp;"",20)="Payment Not Received"),"Late / In Grace (&lt;30 Days)",IF($X124="Performing Matured Balloon","Performing Matured Balloon","Current")))))))))</f>
        <v/>
      </c>
      <c r="CD124" s="78">
        <f>IF(OR($CC124="REO",$CC124="Foreclosure",$CC124="90+ Days Delinquent",$CC124="60 Days Delinquent",$CC124="30 Days Delinquent",$CC124="Non-Performing Matured Balloon"),1,0)</f>
        <v/>
      </c>
      <c r="CE124" s="76">
        <f>IF($AB124="Currently special serv","Currently Specially Serviced",IF($AB124="Returned to master serv","Previously Specially Serviced","Never Specially Serviced"))</f>
        <v/>
      </c>
      <c r="CF124" s="78">
        <f>IF($CE124="Currently Specially Serviced",1,0)</f>
        <v/>
      </c>
      <c r="CG124" s="76">
        <f>IF($AA124="Yes","Currently on Watchlist",IF($AA124="Previously","Previously on Watchlist","Never on Watchlist"))</f>
        <v/>
      </c>
      <c r="CH124" s="78">
        <f>IF($CG124="Currently on Watchlist",1,0)</f>
        <v/>
      </c>
      <c r="CI124" s="76">
        <f>IF($Z124="Full Defeasance","Fully Defeased",IF($Z124="Portion Of Loan Previously Defeased","Partially Defeased",IF($Z124="Defeasance Not Allowable","Not Defeased (Not Permitted)","Not Defeased")))</f>
        <v/>
      </c>
      <c r="CJ124" s="78">
        <f>IF($CI124="Fully Defeased",1,0)</f>
        <v/>
      </c>
      <c r="CK124" s="76">
        <f>IF($R124="IO","Full IO",IF(LEFT($R124&amp;"",7)="IO then","Partial IO","Amortizing"))</f>
        <v/>
      </c>
      <c r="CL124" s="78">
        <f>IF($CK124="Full IO",1,0)</f>
        <v/>
      </c>
      <c r="CM124" s="78">
        <f>IF($CK124="Partial IO",1,0)</f>
        <v/>
      </c>
      <c r="CN124" s="76">
        <f>IF(LEFT($F124&amp;"",10)="SPLIT_LOAN","Pari Passu Split","Standalone")</f>
        <v/>
      </c>
      <c r="CO124" s="78">
        <f>IF($CN124="Pari Passu Split",1,0)</f>
        <v/>
      </c>
      <c r="CP124" s="77">
        <f>IF(ISNUMBER($T124),YEAR($T124),"")</f>
        <v/>
      </c>
      <c r="CQ124" s="79">
        <f>IF(ISNUMBER($V124),$V124,IF(ISNUMBER($U124),$U124,""))</f>
        <v/>
      </c>
      <c r="CR124" s="77">
        <f>IF(ISNUMBER($CQ124),YEAR($CQ124),"")</f>
        <v/>
      </c>
      <c r="CS124" s="78">
        <f>IF(ISNUMBER($M124),MAX(0,$M124),IF(TRIM($M124&amp;"")="matured",0,""))</f>
        <v/>
      </c>
      <c r="CT124" s="78">
        <f>IF(AND(ISNUMBER($CS124),N($CS124)&lt;=mMatWindow),1,0)</f>
        <v/>
      </c>
      <c r="CU124" s="80">
        <f>IF(ISNUMBER($J124),$J124/100,"")</f>
        <v/>
      </c>
      <c r="CV124" s="81">
        <f>IF(ISNUMBER($AQ124),$AQ124,"")</f>
        <v/>
      </c>
      <c r="CW124" s="81">
        <f>IF(ISNUMBER($AR124),$AR124,"")</f>
        <v/>
      </c>
      <c r="CX124" s="82">
        <f>IF(ISNUMBER($AS124),$AS124/100,"")</f>
        <v/>
      </c>
      <c r="CY124" s="82">
        <f>IF(ISNUMBER($AT124),$AT124/100,"")</f>
        <v/>
      </c>
      <c r="CZ124" s="82">
        <f>IF(ISNUMBER($AU124),$AU124/100,"")</f>
        <v/>
      </c>
      <c r="DA124" s="82">
        <f>IF(ISNUMBER($AV124),$AV124/100,"")</f>
        <v/>
      </c>
      <c r="DB124" s="82">
        <f>IF(ISNUMBER($AW124),$AW124/100,"")</f>
        <v/>
      </c>
      <c r="DC124" s="82">
        <f>IF(ISNUMBER($AX124),$AX124/100,"")</f>
        <v/>
      </c>
      <c r="DD124" s="77">
        <f>IFERROR(VALUE(LEFT(TRIM($AO124&amp;""),4)),"")</f>
        <v/>
      </c>
      <c r="DE124" s="78">
        <f>IF(AND($BY124=1,$BX124=1,OR(fDeal="All Deals",$BU124=fDeal),OR(fEntity="All Entities",$BV124=fEntity),OR(fPType="All Property Types",$BZ124=fPType),OR(fDefeased="Include",$CJ124=0)),1,0)</f>
        <v/>
      </c>
      <c r="DF124" s="83">
        <f>$DE124*N($I124)</f>
        <v/>
      </c>
      <c r="DG124" s="78">
        <f>IF($DE124=1,IF(COUNTIFS($F$8:$F124,$F124,$DE$8:$DE124,1)=1,1,0),0)</f>
        <v/>
      </c>
      <c r="DH124" s="83">
        <f>IF($DG124=1,SUMIFS($DF$8:$DF$1600,$F$8:$F$1600,$F124),0)</f>
        <v/>
      </c>
      <c r="DI124" s="78">
        <f>IF($DG124=1,COUNTIFS($F$8:$F$1600,$F124,$DE$8:$DE$1600,1),0)</f>
        <v/>
      </c>
      <c r="DJ124" s="84">
        <f>IF($DG124=1,$DH124+(100000-ROW())/mTieBreak,0)</f>
        <v/>
      </c>
    </row>
    <row r="125">
      <c r="B125" s="68" t="n">
        <v>2</v>
      </c>
      <c r="C125" s="69" t="inlineStr">
        <is>
          <t>WFC18C47</t>
        </is>
      </c>
      <c r="D125" s="69" t="inlineStr">
        <is>
          <t>2.TR</t>
        </is>
      </c>
      <c r="E125" s="69" t="inlineStr">
        <is>
          <t>Aventura Mall - Trust</t>
        </is>
      </c>
      <c r="F125" s="69" t="inlineStr">
        <is>
          <t>SPLIT_LOAN_01301</t>
        </is>
      </c>
      <c r="G125" s="70" t="n">
        <v>1301</v>
      </c>
      <c r="H125" s="71" t="n">
        <v>50000000</v>
      </c>
      <c r="I125" s="71" t="n">
        <v>50000000</v>
      </c>
      <c r="J125" s="72" t="n">
        <v>4.12125</v>
      </c>
      <c r="K125" s="69" t="inlineStr">
        <is>
          <t>Fixed rate</t>
        </is>
      </c>
      <c r="L125" s="68" t="n">
        <v>120</v>
      </c>
      <c r="M125" s="68" t="n">
        <v>22</v>
      </c>
      <c r="N125" s="68" t="n">
        <v>120</v>
      </c>
      <c r="O125" s="68" t="n">
        <v>120</v>
      </c>
      <c r="P125" s="68" t="n">
        <v>22</v>
      </c>
      <c r="Q125" s="68" t="n">
        <v>98</v>
      </c>
      <c r="R125" s="69" t="inlineStr">
        <is>
          <t>IO</t>
        </is>
      </c>
      <c r="S125" s="69" t="inlineStr">
        <is>
          <t>Yes</t>
        </is>
      </c>
      <c r="T125" s="73" t="n">
        <v>43282</v>
      </c>
      <c r="U125" s="73" t="n">
        <v>46935</v>
      </c>
      <c r="V125" s="73" t="n"/>
      <c r="W125" s="69" t="n"/>
      <c r="X125" s="69" t="inlineStr">
        <is>
          <t>Current</t>
        </is>
      </c>
      <c r="Y125" s="68" t="n"/>
      <c r="Z125" s="69" t="inlineStr">
        <is>
          <t>No Defeasance Occurred</t>
        </is>
      </c>
      <c r="AA125" s="69" t="n"/>
      <c r="AB125" s="69" t="inlineStr">
        <is>
          <t>Never special serv</t>
        </is>
      </c>
      <c r="AC125" s="73" t="n"/>
      <c r="AD125" s="69" t="n"/>
      <c r="AE125" s="69" t="n"/>
      <c r="AF125" s="69" t="inlineStr">
        <is>
          <t>FL</t>
        </is>
      </c>
      <c r="AG125" s="69" t="inlineStr">
        <is>
          <t>Aventura</t>
        </is>
      </c>
      <c r="AH125" s="69" t="inlineStr">
        <is>
          <t>Miami-Fort Lauderdale-West Palm Beach, FL</t>
        </is>
      </c>
      <c r="AI125" s="69" t="inlineStr">
        <is>
          <t>South / Atlantic</t>
        </is>
      </c>
      <c r="AJ125" s="69" t="inlineStr">
        <is>
          <t>RT</t>
        </is>
      </c>
      <c r="AK125" s="69" t="inlineStr">
        <is>
          <t>Super Regional Mall</t>
        </is>
      </c>
      <c r="AL125" s="68" t="n">
        <v>1</v>
      </c>
      <c r="AM125" s="68" t="n"/>
      <c r="AN125" s="68" t="n">
        <v>1217508</v>
      </c>
      <c r="AO125" s="69" t="inlineStr">
        <is>
          <t>1983</t>
        </is>
      </c>
      <c r="AP125" s="70" t="n">
        <v>2017</v>
      </c>
      <c r="AQ125" s="74" t="n">
        <v>2.58</v>
      </c>
      <c r="AR125" s="74" t="n">
        <v>3.29</v>
      </c>
      <c r="AS125" s="74" t="n">
        <v>40.8</v>
      </c>
      <c r="AT125" s="74" t="n">
        <v>40.77</v>
      </c>
      <c r="AU125" s="74" t="n">
        <v>40.8</v>
      </c>
      <c r="AV125" s="74" t="n">
        <v>10.774984574</v>
      </c>
      <c r="AW125" s="74" t="n">
        <v>12.381397135</v>
      </c>
      <c r="AX125" s="75" t="n">
        <v>95</v>
      </c>
      <c r="AY125" s="71" t="n">
        <v>3450000000</v>
      </c>
      <c r="AZ125" s="71" t="n">
        <v>3450000000</v>
      </c>
      <c r="BA125" s="71" t="n">
        <v>151571708</v>
      </c>
      <c r="BB125" s="71" t="n">
        <v>96561746.27</v>
      </c>
      <c r="BC125" s="69" t="inlineStr">
        <is>
          <t>Refinance</t>
        </is>
      </c>
      <c r="BD125" s="69" t="inlineStr">
        <is>
          <t>N</t>
        </is>
      </c>
      <c r="BE125" s="71" t="n">
        <v>1356700000</v>
      </c>
      <c r="BF125" s="71" t="n">
        <v>343300000</v>
      </c>
      <c r="BG125" s="71" t="n"/>
      <c r="BH125" s="71" t="n">
        <v>0</v>
      </c>
      <c r="BI125" s="71" t="n">
        <v>0</v>
      </c>
      <c r="BJ125" s="69" t="inlineStr">
        <is>
          <t>N</t>
        </is>
      </c>
      <c r="BK125" s="69" t="inlineStr">
        <is>
          <t>JC Penney</t>
        </is>
      </c>
      <c r="BL125" s="75" t="n">
        <v>15.91</v>
      </c>
      <c r="BM125" s="73" t="n">
        <v>46873</v>
      </c>
      <c r="BN125" s="69" t="inlineStr">
        <is>
          <t>Simon Property Group, L.P.; Jacquelyn Soffer; Jeffrey Soffer</t>
        </is>
      </c>
      <c r="BO125" s="69" t="inlineStr">
        <is>
          <t>Wells Fargo</t>
        </is>
      </c>
      <c r="BP125" s="69" t="inlineStr">
        <is>
          <t>TriMont Real Estate Advisors</t>
        </is>
      </c>
      <c r="BQ125" s="69" t="inlineStr">
        <is>
          <t>CWCapital</t>
        </is>
      </c>
      <c r="BR125" s="69" t="n"/>
      <c r="BS125" s="73" t="n">
        <v>46276</v>
      </c>
      <c r="BU125" s="76">
        <f>IF($C125="","",IFERROR(INDEX(dmName,MATCH($C125,dmID,0)),"Unmapped"))</f>
        <v/>
      </c>
      <c r="BV125" s="76">
        <f>IF($C125="","",IFERROR(INDEX(dmEntity,MATCH($C125,dmID,0)),"Unmapped"))</f>
        <v/>
      </c>
      <c r="BW125" s="77">
        <f>IF($C125="","",IFERROR(INDEX(dmVintage,MATCH($C125,dmID,0)),""))</f>
        <v/>
      </c>
      <c r="BX125" s="78">
        <f>IFERROR(INDEX(dmInclude,MATCH($C125,dmID,0)),0)</f>
        <v/>
      </c>
      <c r="BY125" s="78">
        <f>IF(N($I125)&gt;0,1,0)</f>
        <v/>
      </c>
      <c r="BZ125" s="76">
        <f>IF($AJ125="","Other / Leased Fee",IFERROR(INDEX(mapPTGroup,MATCH(LEFT(TRIM($AJ125),2),mapPTCode,0)),"Other / Leased Fee"))</f>
        <v/>
      </c>
      <c r="CA125" s="76">
        <f>IF(TRIM($AF125&amp;"")="","NR",LEFT(TRIM($AF125),2))</f>
        <v/>
      </c>
      <c r="CB125" s="76">
        <f>IFERROR(LOOKUP(2,1/(LEFT(TRIM($AI125&amp;""),LEN(mapRegion))=mapRegion),mapRegion),"Not Reported")</f>
        <v/>
      </c>
      <c r="CC125" s="76">
        <f>IF($BY125=0,"",IF(TRIM($W125&amp;"")="REO","REO",IF(TRIM($W125&amp;"")="FC","Foreclosure",IF(TRIM($W125&amp;"")="90+","90+ Days Delinquent",IF(TRIM($W125&amp;"")="60","60 Days Delinquent",IF(TRIM($W125&amp;"")="30","30 Days Delinquent",IF($X125="Non-Performing Matured Balloon","Non-Performing Matured Balloon",IF(OR($X125="Late Payment But Less Than 30 Days Delinquent",LEFT($X125&amp;"",20)="Payment Not Received"),"Late / In Grace (&lt;30 Days)",IF($X125="Performing Matured Balloon","Performing Matured Balloon","Current")))))))))</f>
        <v/>
      </c>
      <c r="CD125" s="78">
        <f>IF(OR($CC125="REO",$CC125="Foreclosure",$CC125="90+ Days Delinquent",$CC125="60 Days Delinquent",$CC125="30 Days Delinquent",$CC125="Non-Performing Matured Balloon"),1,0)</f>
        <v/>
      </c>
      <c r="CE125" s="76">
        <f>IF($AB125="Currently special serv","Currently Specially Serviced",IF($AB125="Returned to master serv","Previously Specially Serviced","Never Specially Serviced"))</f>
        <v/>
      </c>
      <c r="CF125" s="78">
        <f>IF($CE125="Currently Specially Serviced",1,0)</f>
        <v/>
      </c>
      <c r="CG125" s="76">
        <f>IF($AA125="Yes","Currently on Watchlist",IF($AA125="Previously","Previously on Watchlist","Never on Watchlist"))</f>
        <v/>
      </c>
      <c r="CH125" s="78">
        <f>IF($CG125="Currently on Watchlist",1,0)</f>
        <v/>
      </c>
      <c r="CI125" s="76">
        <f>IF($Z125="Full Defeasance","Fully Defeased",IF($Z125="Portion Of Loan Previously Defeased","Partially Defeased",IF($Z125="Defeasance Not Allowable","Not Defeased (Not Permitted)","Not Defeased")))</f>
        <v/>
      </c>
      <c r="CJ125" s="78">
        <f>IF($CI125="Fully Defeased",1,0)</f>
        <v/>
      </c>
      <c r="CK125" s="76">
        <f>IF($R125="IO","Full IO",IF(LEFT($R125&amp;"",7)="IO then","Partial IO","Amortizing"))</f>
        <v/>
      </c>
      <c r="CL125" s="78">
        <f>IF($CK125="Full IO",1,0)</f>
        <v/>
      </c>
      <c r="CM125" s="78">
        <f>IF($CK125="Partial IO",1,0)</f>
        <v/>
      </c>
      <c r="CN125" s="76">
        <f>IF(LEFT($F125&amp;"",10)="SPLIT_LOAN","Pari Passu Split","Standalone")</f>
        <v/>
      </c>
      <c r="CO125" s="78">
        <f>IF($CN125="Pari Passu Split",1,0)</f>
        <v/>
      </c>
      <c r="CP125" s="77">
        <f>IF(ISNUMBER($T125),YEAR($T125),"")</f>
        <v/>
      </c>
      <c r="CQ125" s="79">
        <f>IF(ISNUMBER($V125),$V125,IF(ISNUMBER($U125),$U125,""))</f>
        <v/>
      </c>
      <c r="CR125" s="77">
        <f>IF(ISNUMBER($CQ125),YEAR($CQ125),"")</f>
        <v/>
      </c>
      <c r="CS125" s="78">
        <f>IF(ISNUMBER($M125),MAX(0,$M125),IF(TRIM($M125&amp;"")="matured",0,""))</f>
        <v/>
      </c>
      <c r="CT125" s="78">
        <f>IF(AND(ISNUMBER($CS125),N($CS125)&lt;=mMatWindow),1,0)</f>
        <v/>
      </c>
      <c r="CU125" s="80">
        <f>IF(ISNUMBER($J125),$J125/100,"")</f>
        <v/>
      </c>
      <c r="CV125" s="81">
        <f>IF(ISNUMBER($AQ125),$AQ125,"")</f>
        <v/>
      </c>
      <c r="CW125" s="81">
        <f>IF(ISNUMBER($AR125),$AR125,"")</f>
        <v/>
      </c>
      <c r="CX125" s="82">
        <f>IF(ISNUMBER($AS125),$AS125/100,"")</f>
        <v/>
      </c>
      <c r="CY125" s="82">
        <f>IF(ISNUMBER($AT125),$AT125/100,"")</f>
        <v/>
      </c>
      <c r="CZ125" s="82">
        <f>IF(ISNUMBER($AU125),$AU125/100,"")</f>
        <v/>
      </c>
      <c r="DA125" s="82">
        <f>IF(ISNUMBER($AV125),$AV125/100,"")</f>
        <v/>
      </c>
      <c r="DB125" s="82">
        <f>IF(ISNUMBER($AW125),$AW125/100,"")</f>
        <v/>
      </c>
      <c r="DC125" s="82">
        <f>IF(ISNUMBER($AX125),$AX125/100,"")</f>
        <v/>
      </c>
      <c r="DD125" s="77">
        <f>IFERROR(VALUE(LEFT(TRIM($AO125&amp;""),4)),"")</f>
        <v/>
      </c>
      <c r="DE125" s="78">
        <f>IF(AND($BY125=1,$BX125=1,OR(fDeal="All Deals",$BU125=fDeal),OR(fEntity="All Entities",$BV125=fEntity),OR(fPType="All Property Types",$BZ125=fPType),OR(fDefeased="Include",$CJ125=0)),1,0)</f>
        <v/>
      </c>
      <c r="DF125" s="83">
        <f>$DE125*N($I125)</f>
        <v/>
      </c>
      <c r="DG125" s="78">
        <f>IF($DE125=1,IF(COUNTIFS($F$8:$F125,$F125,$DE$8:$DE125,1)=1,1,0),0)</f>
        <v/>
      </c>
      <c r="DH125" s="83">
        <f>IF($DG125=1,SUMIFS($DF$8:$DF$1600,$F$8:$F$1600,$F125),0)</f>
        <v/>
      </c>
      <c r="DI125" s="78">
        <f>IF($DG125=1,COUNTIFS($F$8:$F$1600,$F125,$DE$8:$DE$1600,1),0)</f>
        <v/>
      </c>
      <c r="DJ125" s="84">
        <f>IF($DG125=1,$DH125+(100000-ROW())/mTieBreak,0)</f>
        <v/>
      </c>
    </row>
    <row r="126">
      <c r="B126" s="68" t="n">
        <v>3</v>
      </c>
      <c r="C126" s="69" t="inlineStr">
        <is>
          <t>WFC18C47</t>
        </is>
      </c>
      <c r="D126" s="69" t="inlineStr">
        <is>
          <t>3.TR</t>
        </is>
      </c>
      <c r="E126" s="69" t="inlineStr">
        <is>
          <t>Christiana Mall - Trust</t>
        </is>
      </c>
      <c r="F126" s="69" t="inlineStr">
        <is>
          <t>SPLIT_LOAN_01318</t>
        </is>
      </c>
      <c r="G126" s="70" t="n">
        <v>1318</v>
      </c>
      <c r="H126" s="71" t="n">
        <v>50000000</v>
      </c>
      <c r="I126" s="71" t="n">
        <v>50000000</v>
      </c>
      <c r="J126" s="72" t="n">
        <v>4.2775</v>
      </c>
      <c r="K126" s="69" t="inlineStr">
        <is>
          <t>Fixed rate</t>
        </is>
      </c>
      <c r="L126" s="68" t="n">
        <v>120</v>
      </c>
      <c r="M126" s="68" t="n">
        <v>23</v>
      </c>
      <c r="N126" s="68" t="n">
        <v>120</v>
      </c>
      <c r="O126" s="68" t="n">
        <v>120</v>
      </c>
      <c r="P126" s="68" t="n">
        <v>23</v>
      </c>
      <c r="Q126" s="68" t="n">
        <v>97</v>
      </c>
      <c r="R126" s="69" t="inlineStr">
        <is>
          <t>IO</t>
        </is>
      </c>
      <c r="S126" s="69" t="inlineStr">
        <is>
          <t>Yes</t>
        </is>
      </c>
      <c r="T126" s="73" t="n">
        <v>43313</v>
      </c>
      <c r="U126" s="73" t="n">
        <v>46966</v>
      </c>
      <c r="V126" s="73" t="n"/>
      <c r="W126" s="69" t="n"/>
      <c r="X126" s="69" t="inlineStr">
        <is>
          <t>Current</t>
        </is>
      </c>
      <c r="Y126" s="68" t="n"/>
      <c r="Z126" s="69" t="inlineStr">
        <is>
          <t>No Defeasance Occurred</t>
        </is>
      </c>
      <c r="AA126" s="69" t="n"/>
      <c r="AB126" s="69" t="inlineStr">
        <is>
          <t>Never special serv</t>
        </is>
      </c>
      <c r="AC126" s="73" t="n"/>
      <c r="AD126" s="69" t="n"/>
      <c r="AE126" s="69" t="n"/>
      <c r="AF126" s="69" t="inlineStr">
        <is>
          <t>DE</t>
        </is>
      </c>
      <c r="AG126" s="69" t="inlineStr">
        <is>
          <t>Newark</t>
        </is>
      </c>
      <c r="AH126" s="69" t="inlineStr">
        <is>
          <t>Philadelphia-Camden-Wilmington, PA-NJ-DE-MD</t>
        </is>
      </c>
      <c r="AI126" s="69" t="inlineStr">
        <is>
          <t>Northeast / Mid-Atlantic</t>
        </is>
      </c>
      <c r="AJ126" s="69" t="inlineStr">
        <is>
          <t>RT</t>
        </is>
      </c>
      <c r="AK126" s="69" t="inlineStr">
        <is>
          <t>Super Regional Mall</t>
        </is>
      </c>
      <c r="AL126" s="68" t="n">
        <v>1</v>
      </c>
      <c r="AM126" s="68" t="n"/>
      <c r="AN126" s="68" t="n">
        <v>779084</v>
      </c>
      <c r="AO126" s="69" t="inlineStr">
        <is>
          <t>1978</t>
        </is>
      </c>
      <c r="AP126" s="70" t="n">
        <v>2014</v>
      </c>
      <c r="AQ126" s="74" t="n">
        <v>3.15</v>
      </c>
      <c r="AR126" s="74" t="n">
        <v>2.8</v>
      </c>
      <c r="AS126" s="74" t="n">
        <v>32.5</v>
      </c>
      <c r="AT126" s="74" t="n">
        <v>32.5</v>
      </c>
      <c r="AU126" s="74" t="n">
        <v>32.5</v>
      </c>
      <c r="AV126" s="74" t="n">
        <v>13.640403642</v>
      </c>
      <c r="AW126" s="74" t="n">
        <v>12.305089435</v>
      </c>
      <c r="AX126" s="75" t="n">
        <v>97</v>
      </c>
      <c r="AY126" s="71" t="n">
        <v>1040000000</v>
      </c>
      <c r="AZ126" s="71" t="n">
        <v>1040000000</v>
      </c>
      <c r="BA126" s="71" t="n">
        <v>46104564.31</v>
      </c>
      <c r="BB126" s="71" t="n">
        <v>20483519.47</v>
      </c>
      <c r="BC126" s="69" t="inlineStr">
        <is>
          <t>Refinance</t>
        </is>
      </c>
      <c r="BD126" s="69" t="inlineStr">
        <is>
          <t>Y</t>
        </is>
      </c>
      <c r="BE126" s="71" t="n">
        <v>288000000</v>
      </c>
      <c r="BF126" s="71" t="n">
        <v>212000000</v>
      </c>
      <c r="BG126" s="71" t="n"/>
      <c r="BH126" s="71" t="n">
        <v>0</v>
      </c>
      <c r="BI126" s="71" t="n">
        <v>0</v>
      </c>
      <c r="BJ126" s="69" t="inlineStr">
        <is>
          <t>N</t>
        </is>
      </c>
      <c r="BK126" s="69" t="inlineStr">
        <is>
          <t>Target</t>
        </is>
      </c>
      <c r="BL126" s="75" t="n">
        <v>18.65</v>
      </c>
      <c r="BM126" s="73" t="n">
        <v>50040</v>
      </c>
      <c r="BN126" s="69" t="inlineStr">
        <is>
          <t>GGP Inc.; PPF Retail, LLC</t>
        </is>
      </c>
      <c r="BO126" s="69" t="inlineStr">
        <is>
          <t>Barclays</t>
        </is>
      </c>
      <c r="BP126" s="69" t="inlineStr">
        <is>
          <t>TriMont Real Estate Advisors</t>
        </is>
      </c>
      <c r="BQ126" s="69" t="inlineStr">
        <is>
          <t>Wells Fargo</t>
        </is>
      </c>
      <c r="BR126" s="69" t="n"/>
      <c r="BS126" s="73" t="n">
        <v>46276</v>
      </c>
      <c r="BU126" s="76">
        <f>IF($C126="","",IFERROR(INDEX(dmName,MATCH($C126,dmID,0)),"Unmapped"))</f>
        <v/>
      </c>
      <c r="BV126" s="76">
        <f>IF($C126="","",IFERROR(INDEX(dmEntity,MATCH($C126,dmID,0)),"Unmapped"))</f>
        <v/>
      </c>
      <c r="BW126" s="77">
        <f>IF($C126="","",IFERROR(INDEX(dmVintage,MATCH($C126,dmID,0)),""))</f>
        <v/>
      </c>
      <c r="BX126" s="78">
        <f>IFERROR(INDEX(dmInclude,MATCH($C126,dmID,0)),0)</f>
        <v/>
      </c>
      <c r="BY126" s="78">
        <f>IF(N($I126)&gt;0,1,0)</f>
        <v/>
      </c>
      <c r="BZ126" s="76">
        <f>IF($AJ126="","Other / Leased Fee",IFERROR(INDEX(mapPTGroup,MATCH(LEFT(TRIM($AJ126),2),mapPTCode,0)),"Other / Leased Fee"))</f>
        <v/>
      </c>
      <c r="CA126" s="76">
        <f>IF(TRIM($AF126&amp;"")="","NR",LEFT(TRIM($AF126),2))</f>
        <v/>
      </c>
      <c r="CB126" s="76">
        <f>IFERROR(LOOKUP(2,1/(LEFT(TRIM($AI126&amp;""),LEN(mapRegion))=mapRegion),mapRegion),"Not Reported")</f>
        <v/>
      </c>
      <c r="CC126" s="76">
        <f>IF($BY126=0,"",IF(TRIM($W126&amp;"")="REO","REO",IF(TRIM($W126&amp;"")="FC","Foreclosure",IF(TRIM($W126&amp;"")="90+","90+ Days Delinquent",IF(TRIM($W126&amp;"")="60","60 Days Delinquent",IF(TRIM($W126&amp;"")="30","30 Days Delinquent",IF($X126="Non-Performing Matured Balloon","Non-Performing Matured Balloon",IF(OR($X126="Late Payment But Less Than 30 Days Delinquent",LEFT($X126&amp;"",20)="Payment Not Received"),"Late / In Grace (&lt;30 Days)",IF($X126="Performing Matured Balloon","Performing Matured Balloon","Current")))))))))</f>
        <v/>
      </c>
      <c r="CD126" s="78">
        <f>IF(OR($CC126="REO",$CC126="Foreclosure",$CC126="90+ Days Delinquent",$CC126="60 Days Delinquent",$CC126="30 Days Delinquent",$CC126="Non-Performing Matured Balloon"),1,0)</f>
        <v/>
      </c>
      <c r="CE126" s="76">
        <f>IF($AB126="Currently special serv","Currently Specially Serviced",IF($AB126="Returned to master serv","Previously Specially Serviced","Never Specially Serviced"))</f>
        <v/>
      </c>
      <c r="CF126" s="78">
        <f>IF($CE126="Currently Specially Serviced",1,0)</f>
        <v/>
      </c>
      <c r="CG126" s="76">
        <f>IF($AA126="Yes","Currently on Watchlist",IF($AA126="Previously","Previously on Watchlist","Never on Watchlist"))</f>
        <v/>
      </c>
      <c r="CH126" s="78">
        <f>IF($CG126="Currently on Watchlist",1,0)</f>
        <v/>
      </c>
      <c r="CI126" s="76">
        <f>IF($Z126="Full Defeasance","Fully Defeased",IF($Z126="Portion Of Loan Previously Defeased","Partially Defeased",IF($Z126="Defeasance Not Allowable","Not Defeased (Not Permitted)","Not Defeased")))</f>
        <v/>
      </c>
      <c r="CJ126" s="78">
        <f>IF($CI126="Fully Defeased",1,0)</f>
        <v/>
      </c>
      <c r="CK126" s="76">
        <f>IF($R126="IO","Full IO",IF(LEFT($R126&amp;"",7)="IO then","Partial IO","Amortizing"))</f>
        <v/>
      </c>
      <c r="CL126" s="78">
        <f>IF($CK126="Full IO",1,0)</f>
        <v/>
      </c>
      <c r="CM126" s="78">
        <f>IF($CK126="Partial IO",1,0)</f>
        <v/>
      </c>
      <c r="CN126" s="76">
        <f>IF(LEFT($F126&amp;"",10)="SPLIT_LOAN","Pari Passu Split","Standalone")</f>
        <v/>
      </c>
      <c r="CO126" s="78">
        <f>IF($CN126="Pari Passu Split",1,0)</f>
        <v/>
      </c>
      <c r="CP126" s="77">
        <f>IF(ISNUMBER($T126),YEAR($T126),"")</f>
        <v/>
      </c>
      <c r="CQ126" s="79">
        <f>IF(ISNUMBER($V126),$V126,IF(ISNUMBER($U126),$U126,""))</f>
        <v/>
      </c>
      <c r="CR126" s="77">
        <f>IF(ISNUMBER($CQ126),YEAR($CQ126),"")</f>
        <v/>
      </c>
      <c r="CS126" s="78">
        <f>IF(ISNUMBER($M126),MAX(0,$M126),IF(TRIM($M126&amp;"")="matured",0,""))</f>
        <v/>
      </c>
      <c r="CT126" s="78">
        <f>IF(AND(ISNUMBER($CS126),N($CS126)&lt;=mMatWindow),1,0)</f>
        <v/>
      </c>
      <c r="CU126" s="80">
        <f>IF(ISNUMBER($J126),$J126/100,"")</f>
        <v/>
      </c>
      <c r="CV126" s="81">
        <f>IF(ISNUMBER($AQ126),$AQ126,"")</f>
        <v/>
      </c>
      <c r="CW126" s="81">
        <f>IF(ISNUMBER($AR126),$AR126,"")</f>
        <v/>
      </c>
      <c r="CX126" s="82">
        <f>IF(ISNUMBER($AS126),$AS126/100,"")</f>
        <v/>
      </c>
      <c r="CY126" s="82">
        <f>IF(ISNUMBER($AT126),$AT126/100,"")</f>
        <v/>
      </c>
      <c r="CZ126" s="82">
        <f>IF(ISNUMBER($AU126),$AU126/100,"")</f>
        <v/>
      </c>
      <c r="DA126" s="82">
        <f>IF(ISNUMBER($AV126),$AV126/100,"")</f>
        <v/>
      </c>
      <c r="DB126" s="82">
        <f>IF(ISNUMBER($AW126),$AW126/100,"")</f>
        <v/>
      </c>
      <c r="DC126" s="82">
        <f>IF(ISNUMBER($AX126),$AX126/100,"")</f>
        <v/>
      </c>
      <c r="DD126" s="77">
        <f>IFERROR(VALUE(LEFT(TRIM($AO126&amp;""),4)),"")</f>
        <v/>
      </c>
      <c r="DE126" s="78">
        <f>IF(AND($BY126=1,$BX126=1,OR(fDeal="All Deals",$BU126=fDeal),OR(fEntity="All Entities",$BV126=fEntity),OR(fPType="All Property Types",$BZ126=fPType),OR(fDefeased="Include",$CJ126=0)),1,0)</f>
        <v/>
      </c>
      <c r="DF126" s="83">
        <f>$DE126*N($I126)</f>
        <v/>
      </c>
      <c r="DG126" s="78">
        <f>IF($DE126=1,IF(COUNTIFS($F$8:$F126,$F126,$DE$8:$DE126,1)=1,1,0),0)</f>
        <v/>
      </c>
      <c r="DH126" s="83">
        <f>IF($DG126=1,SUMIFS($DF$8:$DF$1600,$F$8:$F$1600,$F126),0)</f>
        <v/>
      </c>
      <c r="DI126" s="78">
        <f>IF($DG126=1,COUNTIFS($F$8:$F$1600,$F126,$DE$8:$DE$1600,1),0)</f>
        <v/>
      </c>
      <c r="DJ126" s="84">
        <f>IF($DG126=1,$DH126+(100000-ROW())/mTieBreak,0)</f>
        <v/>
      </c>
    </row>
    <row r="127">
      <c r="B127" s="68" t="n">
        <v>4</v>
      </c>
      <c r="C127" s="69" t="inlineStr">
        <is>
          <t>WFC18C47</t>
        </is>
      </c>
      <c r="D127" s="69" t="inlineStr">
        <is>
          <t>4.000</t>
        </is>
      </c>
      <c r="E127" s="69" t="inlineStr">
        <is>
          <t>Showcase II</t>
        </is>
      </c>
      <c r="F127" s="69" t="inlineStr">
        <is>
          <t>SPLIT_LOAN_01320</t>
        </is>
      </c>
      <c r="G127" s="70" t="n">
        <v>1320</v>
      </c>
      <c r="H127" s="71" t="n">
        <v>45000000</v>
      </c>
      <c r="I127" s="71" t="n">
        <v>45000000</v>
      </c>
      <c r="J127" s="72" t="n">
        <v>4.8963</v>
      </c>
      <c r="K127" s="69" t="inlineStr">
        <is>
          <t>Fixed rate</t>
        </is>
      </c>
      <c r="L127" s="68" t="n">
        <v>120</v>
      </c>
      <c r="M127" s="68" t="n">
        <v>20</v>
      </c>
      <c r="N127" s="68" t="n">
        <v>120</v>
      </c>
      <c r="O127" s="68" t="n">
        <v>120</v>
      </c>
      <c r="P127" s="68" t="n">
        <v>20</v>
      </c>
      <c r="Q127" s="68" t="n">
        <v>100</v>
      </c>
      <c r="R127" s="69" t="inlineStr">
        <is>
          <t>IO</t>
        </is>
      </c>
      <c r="S127" s="69" t="inlineStr">
        <is>
          <t>Yes</t>
        </is>
      </c>
      <c r="T127" s="73" t="n">
        <v>43221</v>
      </c>
      <c r="U127" s="73" t="n">
        <v>46884</v>
      </c>
      <c r="V127" s="73" t="n"/>
      <c r="W127" s="69" t="n"/>
      <c r="X127" s="69" t="inlineStr">
        <is>
          <t>Current</t>
        </is>
      </c>
      <c r="Y127" s="68" t="n"/>
      <c r="Z127" s="69" t="inlineStr">
        <is>
          <t>No Defeasance Occurred</t>
        </is>
      </c>
      <c r="AA127" s="69" t="n"/>
      <c r="AB127" s="69" t="inlineStr">
        <is>
          <t>Never special serv</t>
        </is>
      </c>
      <c r="AC127" s="73" t="n"/>
      <c r="AD127" s="69" t="n"/>
      <c r="AE127" s="69" t="n"/>
      <c r="AF127" s="69" t="inlineStr">
        <is>
          <t>NV</t>
        </is>
      </c>
      <c r="AG127" s="69" t="inlineStr">
        <is>
          <t>Las Vegas</t>
        </is>
      </c>
      <c r="AH127" s="69" t="inlineStr">
        <is>
          <t>Las Vegas-Henderson-North Las Vegas, NV</t>
        </is>
      </c>
      <c r="AI127" s="69" t="inlineStr">
        <is>
          <t>West / Mountain</t>
        </is>
      </c>
      <c r="AJ127" s="69" t="inlineStr">
        <is>
          <t>RT</t>
        </is>
      </c>
      <c r="AK127" s="69" t="inlineStr">
        <is>
          <t>Anchored</t>
        </is>
      </c>
      <c r="AL127" s="68" t="n">
        <v>1</v>
      </c>
      <c r="AM127" s="68" t="n"/>
      <c r="AN127" s="68" t="n">
        <v>41407</v>
      </c>
      <c r="AO127" s="69" t="inlineStr">
        <is>
          <t>2001</t>
        </is>
      </c>
      <c r="AP127" s="70" t="n">
        <v>2018</v>
      </c>
      <c r="AQ127" s="74" t="n">
        <v>1.62</v>
      </c>
      <c r="AR127" s="74" t="n">
        <v>1.57</v>
      </c>
      <c r="AS127" s="74" t="n">
        <v>54</v>
      </c>
      <c r="AT127" s="74" t="n">
        <v>54.01</v>
      </c>
      <c r="AU127" s="74" t="n">
        <v>54</v>
      </c>
      <c r="AV127" s="74" t="n">
        <v>8.048772656000001</v>
      </c>
      <c r="AW127" s="74" t="n">
        <v>8.442860242</v>
      </c>
      <c r="AX127" s="75" t="n">
        <v>100</v>
      </c>
      <c r="AY127" s="71" t="n">
        <v>237000000</v>
      </c>
      <c r="AZ127" s="71" t="n">
        <v>237000000</v>
      </c>
      <c r="BA127" s="71" t="n">
        <v>10302429</v>
      </c>
      <c r="BB127" s="71" t="n">
        <v>4960217.35</v>
      </c>
      <c r="BC127" s="69" t="inlineStr">
        <is>
          <t>Refinance</t>
        </is>
      </c>
      <c r="BD127" s="69" t="inlineStr">
        <is>
          <t>N</t>
        </is>
      </c>
      <c r="BE127" s="71" t="n">
        <v>83000000</v>
      </c>
      <c r="BF127" s="71" t="n"/>
      <c r="BG127" s="71" t="n">
        <v>37000000</v>
      </c>
      <c r="BH127" s="71" t="n">
        <v>0</v>
      </c>
      <c r="BI127" s="71" t="n">
        <v>0</v>
      </c>
      <c r="BJ127" s="69" t="inlineStr">
        <is>
          <t>N</t>
        </is>
      </c>
      <c r="BK127" s="69" t="inlineStr">
        <is>
          <t>Hat World  Inc.</t>
        </is>
      </c>
      <c r="BL127" s="75" t="n">
        <v>26.47</v>
      </c>
      <c r="BM127" s="73" t="n">
        <v>50436</v>
      </c>
      <c r="BN127" s="69" t="inlineStr">
        <is>
          <t>Nakash Properties LLC; Nakash Holding LLC; Eli Gindi; Jeffrey Gindi</t>
        </is>
      </c>
      <c r="BO127" s="69" t="inlineStr">
        <is>
          <t>Wells Fargo</t>
        </is>
      </c>
      <c r="BP127" s="69" t="inlineStr">
        <is>
          <t>TriMont Real Estate Advisors</t>
        </is>
      </c>
      <c r="BQ127" s="69" t="inlineStr">
        <is>
          <t>Mount Street US LLP</t>
        </is>
      </c>
      <c r="BR127" s="69" t="n"/>
      <c r="BS127" s="73" t="n">
        <v>46276</v>
      </c>
      <c r="BU127" s="76">
        <f>IF($C127="","",IFERROR(INDEX(dmName,MATCH($C127,dmID,0)),"Unmapped"))</f>
        <v/>
      </c>
      <c r="BV127" s="76">
        <f>IF($C127="","",IFERROR(INDEX(dmEntity,MATCH($C127,dmID,0)),"Unmapped"))</f>
        <v/>
      </c>
      <c r="BW127" s="77">
        <f>IF($C127="","",IFERROR(INDEX(dmVintage,MATCH($C127,dmID,0)),""))</f>
        <v/>
      </c>
      <c r="BX127" s="78">
        <f>IFERROR(INDEX(dmInclude,MATCH($C127,dmID,0)),0)</f>
        <v/>
      </c>
      <c r="BY127" s="78">
        <f>IF(N($I127)&gt;0,1,0)</f>
        <v/>
      </c>
      <c r="BZ127" s="76">
        <f>IF($AJ127="","Other / Leased Fee",IFERROR(INDEX(mapPTGroup,MATCH(LEFT(TRIM($AJ127),2),mapPTCode,0)),"Other / Leased Fee"))</f>
        <v/>
      </c>
      <c r="CA127" s="76">
        <f>IF(TRIM($AF127&amp;"")="","NR",LEFT(TRIM($AF127),2))</f>
        <v/>
      </c>
      <c r="CB127" s="76">
        <f>IFERROR(LOOKUP(2,1/(LEFT(TRIM($AI127&amp;""),LEN(mapRegion))=mapRegion),mapRegion),"Not Reported")</f>
        <v/>
      </c>
      <c r="CC127" s="76">
        <f>IF($BY127=0,"",IF(TRIM($W127&amp;"")="REO","REO",IF(TRIM($W127&amp;"")="FC","Foreclosure",IF(TRIM($W127&amp;"")="90+","90+ Days Delinquent",IF(TRIM($W127&amp;"")="60","60 Days Delinquent",IF(TRIM($W127&amp;"")="30","30 Days Delinquent",IF($X127="Non-Performing Matured Balloon","Non-Performing Matured Balloon",IF(OR($X127="Late Payment But Less Than 30 Days Delinquent",LEFT($X127&amp;"",20)="Payment Not Received"),"Late / In Grace (&lt;30 Days)",IF($X127="Performing Matured Balloon","Performing Matured Balloon","Current")))))))))</f>
        <v/>
      </c>
      <c r="CD127" s="78">
        <f>IF(OR($CC127="REO",$CC127="Foreclosure",$CC127="90+ Days Delinquent",$CC127="60 Days Delinquent",$CC127="30 Days Delinquent",$CC127="Non-Performing Matured Balloon"),1,0)</f>
        <v/>
      </c>
      <c r="CE127" s="76">
        <f>IF($AB127="Currently special serv","Currently Specially Serviced",IF($AB127="Returned to master serv","Previously Specially Serviced","Never Specially Serviced"))</f>
        <v/>
      </c>
      <c r="CF127" s="78">
        <f>IF($CE127="Currently Specially Serviced",1,0)</f>
        <v/>
      </c>
      <c r="CG127" s="76">
        <f>IF($AA127="Yes","Currently on Watchlist",IF($AA127="Previously","Previously on Watchlist","Never on Watchlist"))</f>
        <v/>
      </c>
      <c r="CH127" s="78">
        <f>IF($CG127="Currently on Watchlist",1,0)</f>
        <v/>
      </c>
      <c r="CI127" s="76">
        <f>IF($Z127="Full Defeasance","Fully Defeased",IF($Z127="Portion Of Loan Previously Defeased","Partially Defeased",IF($Z127="Defeasance Not Allowable","Not Defeased (Not Permitted)","Not Defeased")))</f>
        <v/>
      </c>
      <c r="CJ127" s="78">
        <f>IF($CI127="Fully Defeased",1,0)</f>
        <v/>
      </c>
      <c r="CK127" s="76">
        <f>IF($R127="IO","Full IO",IF(LEFT($R127&amp;"",7)="IO then","Partial IO","Amortizing"))</f>
        <v/>
      </c>
      <c r="CL127" s="78">
        <f>IF($CK127="Full IO",1,0)</f>
        <v/>
      </c>
      <c r="CM127" s="78">
        <f>IF($CK127="Partial IO",1,0)</f>
        <v/>
      </c>
      <c r="CN127" s="76">
        <f>IF(LEFT($F127&amp;"",10)="SPLIT_LOAN","Pari Passu Split","Standalone")</f>
        <v/>
      </c>
      <c r="CO127" s="78">
        <f>IF($CN127="Pari Passu Split",1,0)</f>
        <v/>
      </c>
      <c r="CP127" s="77">
        <f>IF(ISNUMBER($T127),YEAR($T127),"")</f>
        <v/>
      </c>
      <c r="CQ127" s="79">
        <f>IF(ISNUMBER($V127),$V127,IF(ISNUMBER($U127),$U127,""))</f>
        <v/>
      </c>
      <c r="CR127" s="77">
        <f>IF(ISNUMBER($CQ127),YEAR($CQ127),"")</f>
        <v/>
      </c>
      <c r="CS127" s="78">
        <f>IF(ISNUMBER($M127),MAX(0,$M127),IF(TRIM($M127&amp;"")="matured",0,""))</f>
        <v/>
      </c>
      <c r="CT127" s="78">
        <f>IF(AND(ISNUMBER($CS127),N($CS127)&lt;=mMatWindow),1,0)</f>
        <v/>
      </c>
      <c r="CU127" s="80">
        <f>IF(ISNUMBER($J127),$J127/100,"")</f>
        <v/>
      </c>
      <c r="CV127" s="81">
        <f>IF(ISNUMBER($AQ127),$AQ127,"")</f>
        <v/>
      </c>
      <c r="CW127" s="81">
        <f>IF(ISNUMBER($AR127),$AR127,"")</f>
        <v/>
      </c>
      <c r="CX127" s="82">
        <f>IF(ISNUMBER($AS127),$AS127/100,"")</f>
        <v/>
      </c>
      <c r="CY127" s="82">
        <f>IF(ISNUMBER($AT127),$AT127/100,"")</f>
        <v/>
      </c>
      <c r="CZ127" s="82">
        <f>IF(ISNUMBER($AU127),$AU127/100,"")</f>
        <v/>
      </c>
      <c r="DA127" s="82">
        <f>IF(ISNUMBER($AV127),$AV127/100,"")</f>
        <v/>
      </c>
      <c r="DB127" s="82">
        <f>IF(ISNUMBER($AW127),$AW127/100,"")</f>
        <v/>
      </c>
      <c r="DC127" s="82">
        <f>IF(ISNUMBER($AX127),$AX127/100,"")</f>
        <v/>
      </c>
      <c r="DD127" s="77">
        <f>IFERROR(VALUE(LEFT(TRIM($AO127&amp;""),4)),"")</f>
        <v/>
      </c>
      <c r="DE127" s="78">
        <f>IF(AND($BY127=1,$BX127=1,OR(fDeal="All Deals",$BU127=fDeal),OR(fEntity="All Entities",$BV127=fEntity),OR(fPType="All Property Types",$BZ127=fPType),OR(fDefeased="Include",$CJ127=0)),1,0)</f>
        <v/>
      </c>
      <c r="DF127" s="83">
        <f>$DE127*N($I127)</f>
        <v/>
      </c>
      <c r="DG127" s="78">
        <f>IF($DE127=1,IF(COUNTIFS($F$8:$F127,$F127,$DE$8:$DE127,1)=1,1,0),0)</f>
        <v/>
      </c>
      <c r="DH127" s="83">
        <f>IF($DG127=1,SUMIFS($DF$8:$DF$1600,$F$8:$F$1600,$F127),0)</f>
        <v/>
      </c>
      <c r="DI127" s="78">
        <f>IF($DG127=1,COUNTIFS($F$8:$F$1600,$F127,$DE$8:$DE$1600,1),0)</f>
        <v/>
      </c>
      <c r="DJ127" s="84">
        <f>IF($DG127=1,$DH127+(100000-ROW())/mTieBreak,0)</f>
        <v/>
      </c>
    </row>
    <row r="128">
      <c r="B128" s="68" t="n">
        <v>5</v>
      </c>
      <c r="C128" s="69" t="inlineStr">
        <is>
          <t>WFC18C47</t>
        </is>
      </c>
      <c r="D128" s="69" t="inlineStr">
        <is>
          <t>5.000</t>
        </is>
      </c>
      <c r="E128" s="69" t="inlineStr">
        <is>
          <t>Virginia Beach Hotel Portfolio</t>
        </is>
      </c>
      <c r="F128" s="69" t="inlineStr">
        <is>
          <t>SPLIT_LOAN_01373</t>
        </is>
      </c>
      <c r="G128" s="70" t="n">
        <v>1373</v>
      </c>
      <c r="H128" s="71" t="n">
        <v>45000000</v>
      </c>
      <c r="I128" s="71" t="n">
        <v>40619396.34999</v>
      </c>
      <c r="J128" s="72" t="n">
        <v>4.9125</v>
      </c>
      <c r="K128" s="69" t="inlineStr">
        <is>
          <t>Fixed rate</t>
        </is>
      </c>
      <c r="L128" s="68" t="n">
        <v>120</v>
      </c>
      <c r="M128" s="68" t="n">
        <v>24</v>
      </c>
      <c r="N128" s="68" t="n">
        <v>384</v>
      </c>
      <c r="O128" s="68" t="n">
        <v>24</v>
      </c>
      <c r="P128" s="68" t="n">
        <v>0</v>
      </c>
      <c r="Q128" s="68" t="n">
        <v>96</v>
      </c>
      <c r="R128" s="69" t="inlineStr">
        <is>
          <t>IO then Amort</t>
        </is>
      </c>
      <c r="S128" s="69" t="inlineStr">
        <is>
          <t>No</t>
        </is>
      </c>
      <c r="T128" s="73" t="n">
        <v>43344</v>
      </c>
      <c r="U128" s="73" t="n">
        <v>47002</v>
      </c>
      <c r="V128" s="73" t="n"/>
      <c r="W128" s="69" t="n"/>
      <c r="X128" s="69" t="inlineStr">
        <is>
          <t>Current</t>
        </is>
      </c>
      <c r="Y128" s="68" t="n"/>
      <c r="Z128" s="69" t="inlineStr">
        <is>
          <t>No Defeasance Occurred</t>
        </is>
      </c>
      <c r="AA128" s="69" t="inlineStr">
        <is>
          <t>Previously</t>
        </is>
      </c>
      <c r="AB128" s="69" t="inlineStr">
        <is>
          <t>Never special serv</t>
        </is>
      </c>
      <c r="AC128" s="73" t="n"/>
      <c r="AD128" s="69" t="n"/>
      <c r="AE128" s="69" t="n"/>
      <c r="AF128" s="69" t="inlineStr">
        <is>
          <t>VA</t>
        </is>
      </c>
      <c r="AG128" s="69" t="inlineStr">
        <is>
          <t>Virginia Beach</t>
        </is>
      </c>
      <c r="AH128" s="69" t="inlineStr">
        <is>
          <t>Virginia Beach-Chesapeake-Norfolk, VA-NC</t>
        </is>
      </c>
      <c r="AI128" s="69" t="inlineStr">
        <is>
          <t>South / Atlantic</t>
        </is>
      </c>
      <c r="AJ128" s="69" t="inlineStr">
        <is>
          <t>HT</t>
        </is>
      </c>
      <c r="AK128" s="69" t="inlineStr">
        <is>
          <t>Full Service</t>
        </is>
      </c>
      <c r="AL128" s="68" t="n">
        <v>2</v>
      </c>
      <c r="AM128" s="68" t="n">
        <v>456</v>
      </c>
      <c r="AN128" s="68" t="n"/>
      <c r="AO128" s="69" t="n"/>
      <c r="AP128" s="70" t="n">
        <v>2018</v>
      </c>
      <c r="AQ128" s="74" t="n">
        <v>1.84</v>
      </c>
      <c r="AR128" s="74" t="n">
        <v>1.9</v>
      </c>
      <c r="AS128" s="74" t="n">
        <v>69</v>
      </c>
      <c r="AT128" s="74" t="n">
        <v>62.3</v>
      </c>
      <c r="AU128" s="74" t="n">
        <v>59.6</v>
      </c>
      <c r="AV128" s="74" t="n">
        <v>11.760592222</v>
      </c>
      <c r="AW128" s="74" t="n">
        <v>13.395208137</v>
      </c>
      <c r="AX128" s="75" t="n">
        <v>64</v>
      </c>
      <c r="AY128" s="71" t="n">
        <v>130400000</v>
      </c>
      <c r="AZ128" s="71" t="n">
        <v>130400000</v>
      </c>
      <c r="BA128" s="71" t="n">
        <v>10584533</v>
      </c>
      <c r="BB128" s="71" t="n">
        <v>10882105.37</v>
      </c>
      <c r="BC128" s="69" t="inlineStr">
        <is>
          <t>Acquisition</t>
        </is>
      </c>
      <c r="BD128" s="69" t="inlineStr">
        <is>
          <t>Y</t>
        </is>
      </c>
      <c r="BE128" s="71" t="n">
        <v>40619396.35</v>
      </c>
      <c r="BF128" s="71" t="n"/>
      <c r="BG128" s="71" t="n"/>
      <c r="BH128" s="71" t="n">
        <v>0</v>
      </c>
      <c r="BI128" s="71" t="n">
        <v>0</v>
      </c>
      <c r="BJ128" s="69" t="inlineStr">
        <is>
          <t>Y</t>
        </is>
      </c>
      <c r="BK128" s="69" t="n"/>
      <c r="BL128" s="75" t="n"/>
      <c r="BM128" s="73" t="n"/>
      <c r="BN128" s="69" t="inlineStr">
        <is>
          <t>Neil P. Amin; Jay B. Shah</t>
        </is>
      </c>
      <c r="BO128" s="69" t="inlineStr">
        <is>
          <t>Barclays</t>
        </is>
      </c>
      <c r="BP128" s="69" t="inlineStr">
        <is>
          <t>TriMont Real Estate Advisors</t>
        </is>
      </c>
      <c r="BQ128" s="69" t="inlineStr">
        <is>
          <t>K-Star Asset Management LLC</t>
        </is>
      </c>
      <c r="BR128" s="69" t="n"/>
      <c r="BS128" s="73" t="n">
        <v>46276</v>
      </c>
      <c r="BU128" s="76">
        <f>IF($C128="","",IFERROR(INDEX(dmName,MATCH($C128,dmID,0)),"Unmapped"))</f>
        <v/>
      </c>
      <c r="BV128" s="76">
        <f>IF($C128="","",IFERROR(INDEX(dmEntity,MATCH($C128,dmID,0)),"Unmapped"))</f>
        <v/>
      </c>
      <c r="BW128" s="77">
        <f>IF($C128="","",IFERROR(INDEX(dmVintage,MATCH($C128,dmID,0)),""))</f>
        <v/>
      </c>
      <c r="BX128" s="78">
        <f>IFERROR(INDEX(dmInclude,MATCH($C128,dmID,0)),0)</f>
        <v/>
      </c>
      <c r="BY128" s="78">
        <f>IF(N($I128)&gt;0,1,0)</f>
        <v/>
      </c>
      <c r="BZ128" s="76">
        <f>IF($AJ128="","Other / Leased Fee",IFERROR(INDEX(mapPTGroup,MATCH(LEFT(TRIM($AJ128),2),mapPTCode,0)),"Other / Leased Fee"))</f>
        <v/>
      </c>
      <c r="CA128" s="76">
        <f>IF(TRIM($AF128&amp;"")="","NR",LEFT(TRIM($AF128),2))</f>
        <v/>
      </c>
      <c r="CB128" s="76">
        <f>IFERROR(LOOKUP(2,1/(LEFT(TRIM($AI128&amp;""),LEN(mapRegion))=mapRegion),mapRegion),"Not Reported")</f>
        <v/>
      </c>
      <c r="CC128" s="76">
        <f>IF($BY128=0,"",IF(TRIM($W128&amp;"")="REO","REO",IF(TRIM($W128&amp;"")="FC","Foreclosure",IF(TRIM($W128&amp;"")="90+","90+ Days Delinquent",IF(TRIM($W128&amp;"")="60","60 Days Delinquent",IF(TRIM($W128&amp;"")="30","30 Days Delinquent",IF($X128="Non-Performing Matured Balloon","Non-Performing Matured Balloon",IF(OR($X128="Late Payment But Less Than 30 Days Delinquent",LEFT($X128&amp;"",20)="Payment Not Received"),"Late / In Grace (&lt;30 Days)",IF($X128="Performing Matured Balloon","Performing Matured Balloon","Current")))))))))</f>
        <v/>
      </c>
      <c r="CD128" s="78">
        <f>IF(OR($CC128="REO",$CC128="Foreclosure",$CC128="90+ Days Delinquent",$CC128="60 Days Delinquent",$CC128="30 Days Delinquent",$CC128="Non-Performing Matured Balloon"),1,0)</f>
        <v/>
      </c>
      <c r="CE128" s="76">
        <f>IF($AB128="Currently special serv","Currently Specially Serviced",IF($AB128="Returned to master serv","Previously Specially Serviced","Never Specially Serviced"))</f>
        <v/>
      </c>
      <c r="CF128" s="78">
        <f>IF($CE128="Currently Specially Serviced",1,0)</f>
        <v/>
      </c>
      <c r="CG128" s="76">
        <f>IF($AA128="Yes","Currently on Watchlist",IF($AA128="Previously","Previously on Watchlist","Never on Watchlist"))</f>
        <v/>
      </c>
      <c r="CH128" s="78">
        <f>IF($CG128="Currently on Watchlist",1,0)</f>
        <v/>
      </c>
      <c r="CI128" s="76">
        <f>IF($Z128="Full Defeasance","Fully Defeased",IF($Z128="Portion Of Loan Previously Defeased","Partially Defeased",IF($Z128="Defeasance Not Allowable","Not Defeased (Not Permitted)","Not Defeased")))</f>
        <v/>
      </c>
      <c r="CJ128" s="78">
        <f>IF($CI128="Fully Defeased",1,0)</f>
        <v/>
      </c>
      <c r="CK128" s="76">
        <f>IF($R128="IO","Full IO",IF(LEFT($R128&amp;"",7)="IO then","Partial IO","Amortizing"))</f>
        <v/>
      </c>
      <c r="CL128" s="78">
        <f>IF($CK128="Full IO",1,0)</f>
        <v/>
      </c>
      <c r="CM128" s="78">
        <f>IF($CK128="Partial IO",1,0)</f>
        <v/>
      </c>
      <c r="CN128" s="76">
        <f>IF(LEFT($F128&amp;"",10)="SPLIT_LOAN","Pari Passu Split","Standalone")</f>
        <v/>
      </c>
      <c r="CO128" s="78">
        <f>IF($CN128="Pari Passu Split",1,0)</f>
        <v/>
      </c>
      <c r="CP128" s="77">
        <f>IF(ISNUMBER($T128),YEAR($T128),"")</f>
        <v/>
      </c>
      <c r="CQ128" s="79">
        <f>IF(ISNUMBER($V128),$V128,IF(ISNUMBER($U128),$U128,""))</f>
        <v/>
      </c>
      <c r="CR128" s="77">
        <f>IF(ISNUMBER($CQ128),YEAR($CQ128),"")</f>
        <v/>
      </c>
      <c r="CS128" s="78">
        <f>IF(ISNUMBER($M128),MAX(0,$M128),IF(TRIM($M128&amp;"")="matured",0,""))</f>
        <v/>
      </c>
      <c r="CT128" s="78">
        <f>IF(AND(ISNUMBER($CS128),N($CS128)&lt;=mMatWindow),1,0)</f>
        <v/>
      </c>
      <c r="CU128" s="80">
        <f>IF(ISNUMBER($J128),$J128/100,"")</f>
        <v/>
      </c>
      <c r="CV128" s="81">
        <f>IF(ISNUMBER($AQ128),$AQ128,"")</f>
        <v/>
      </c>
      <c r="CW128" s="81">
        <f>IF(ISNUMBER($AR128),$AR128,"")</f>
        <v/>
      </c>
      <c r="CX128" s="82">
        <f>IF(ISNUMBER($AS128),$AS128/100,"")</f>
        <v/>
      </c>
      <c r="CY128" s="82">
        <f>IF(ISNUMBER($AT128),$AT128/100,"")</f>
        <v/>
      </c>
      <c r="CZ128" s="82">
        <f>IF(ISNUMBER($AU128),$AU128/100,"")</f>
        <v/>
      </c>
      <c r="DA128" s="82">
        <f>IF(ISNUMBER($AV128),$AV128/100,"")</f>
        <v/>
      </c>
      <c r="DB128" s="82">
        <f>IF(ISNUMBER($AW128),$AW128/100,"")</f>
        <v/>
      </c>
      <c r="DC128" s="82">
        <f>IF(ISNUMBER($AX128),$AX128/100,"")</f>
        <v/>
      </c>
      <c r="DD128" s="77">
        <f>IFERROR(VALUE(LEFT(TRIM($AO128&amp;""),4)),"")</f>
        <v/>
      </c>
      <c r="DE128" s="78">
        <f>IF(AND($BY128=1,$BX128=1,OR(fDeal="All Deals",$BU128=fDeal),OR(fEntity="All Entities",$BV128=fEntity),OR(fPType="All Property Types",$BZ128=fPType),OR(fDefeased="Include",$CJ128=0)),1,0)</f>
        <v/>
      </c>
      <c r="DF128" s="83">
        <f>$DE128*N($I128)</f>
        <v/>
      </c>
      <c r="DG128" s="78">
        <f>IF($DE128=1,IF(COUNTIFS($F$8:$F128,$F128,$DE$8:$DE128,1)=1,1,0),0)</f>
        <v/>
      </c>
      <c r="DH128" s="83">
        <f>IF($DG128=1,SUMIFS($DF$8:$DF$1600,$F$8:$F$1600,$F128),0)</f>
        <v/>
      </c>
      <c r="DI128" s="78">
        <f>IF($DG128=1,COUNTIFS($F$8:$F$1600,$F128,$DE$8:$DE$1600,1),0)</f>
        <v/>
      </c>
      <c r="DJ128" s="84">
        <f>IF($DG128=1,$DH128+(100000-ROW())/mTieBreak,0)</f>
        <v/>
      </c>
    </row>
    <row r="129">
      <c r="B129" s="68" t="n">
        <v>6</v>
      </c>
      <c r="C129" s="69" t="inlineStr">
        <is>
          <t>WFC18C47</t>
        </is>
      </c>
      <c r="D129" s="69" t="inlineStr">
        <is>
          <t>6.TR</t>
        </is>
      </c>
      <c r="E129" s="69" t="inlineStr">
        <is>
          <t>Holiday Inn FiDi - Trust</t>
        </is>
      </c>
      <c r="F129" s="69" t="inlineStr">
        <is>
          <t>SPLIT_LOAN_01374</t>
        </is>
      </c>
      <c r="G129" s="70" t="n">
        <v>1374</v>
      </c>
      <c r="H129" s="71" t="n">
        <v>35000000</v>
      </c>
      <c r="I129" s="71" t="n">
        <v>35000000</v>
      </c>
      <c r="J129" s="72" t="n">
        <v>5.1205</v>
      </c>
      <c r="K129" s="69" t="inlineStr">
        <is>
          <t>Fixed rate</t>
        </is>
      </c>
      <c r="L129" s="68" t="n">
        <v>120</v>
      </c>
      <c r="M129" s="68" t="n">
        <v>25</v>
      </c>
      <c r="N129" s="68" t="n">
        <v>120</v>
      </c>
      <c r="O129" s="68" t="n">
        <v>120</v>
      </c>
      <c r="P129" s="68" t="n">
        <v>25</v>
      </c>
      <c r="Q129" s="68" t="n">
        <v>95</v>
      </c>
      <c r="R129" s="69" t="inlineStr">
        <is>
          <t>IO</t>
        </is>
      </c>
      <c r="S129" s="69" t="inlineStr">
        <is>
          <t>Yes</t>
        </is>
      </c>
      <c r="T129" s="73" t="n">
        <v>43374</v>
      </c>
      <c r="U129" s="73" t="n">
        <v>47032</v>
      </c>
      <c r="V129" s="73" t="n"/>
      <c r="W129" s="69" t="n"/>
      <c r="X129" s="69" t="inlineStr">
        <is>
          <t>Late Payment But Less Than 30 Days Delinquent</t>
        </is>
      </c>
      <c r="Y129" s="68" t="n"/>
      <c r="Z129" s="69" t="inlineStr">
        <is>
          <t>No Defeasance Occurred</t>
        </is>
      </c>
      <c r="AA129" s="69" t="inlineStr">
        <is>
          <t>Yes</t>
        </is>
      </c>
      <c r="AB129" s="69" t="inlineStr">
        <is>
          <t>Returned to master serv</t>
        </is>
      </c>
      <c r="AC129" s="73" t="n"/>
      <c r="AD129" s="69" t="inlineStr">
        <is>
          <t>Imminent Monetary Default (excluding Balloon/Maturity Default &amp; Single Tenant Bankruptcy/Vacate)</t>
        </is>
      </c>
      <c r="AE129" s="69" t="inlineStr">
        <is>
          <t>Resolved</t>
        </is>
      </c>
      <c r="AF129" s="69" t="inlineStr">
        <is>
          <t>NY</t>
        </is>
      </c>
      <c r="AG129" s="69" t="inlineStr">
        <is>
          <t>New York</t>
        </is>
      </c>
      <c r="AH129" s="69" t="inlineStr">
        <is>
          <t>New York-Newark-Jersey City, NY-NJ</t>
        </is>
      </c>
      <c r="AI129" s="69" t="inlineStr">
        <is>
          <t>Northeast / Mid-Atlantic</t>
        </is>
      </c>
      <c r="AJ129" s="69" t="inlineStr">
        <is>
          <t>HT</t>
        </is>
      </c>
      <c r="AK129" s="69" t="inlineStr">
        <is>
          <t>Full Service</t>
        </is>
      </c>
      <c r="AL129" s="68" t="n">
        <v>1</v>
      </c>
      <c r="AM129" s="68" t="n">
        <v>492</v>
      </c>
      <c r="AN129" s="68" t="n"/>
      <c r="AO129" s="69" t="inlineStr">
        <is>
          <t>2014</t>
        </is>
      </c>
      <c r="AP129" s="70" t="n">
        <v>2014</v>
      </c>
      <c r="AQ129" s="74" t="n">
        <v>2.47</v>
      </c>
      <c r="AR129" s="74" t="n">
        <v>-0.15</v>
      </c>
      <c r="AS129" s="74" t="n">
        <v>37.3</v>
      </c>
      <c r="AT129" s="74" t="n">
        <v>58.02</v>
      </c>
      <c r="AU129" s="74" t="n">
        <v>37.3</v>
      </c>
      <c r="AV129" s="74" t="n">
        <v>12.811396082</v>
      </c>
      <c r="AW129" s="74" t="n">
        <v>-6.349815432</v>
      </c>
      <c r="AX129" s="75" t="n">
        <v>38</v>
      </c>
      <c r="AY129" s="71" t="n">
        <v>233000000</v>
      </c>
      <c r="AZ129" s="71" t="n">
        <v>150000000</v>
      </c>
      <c r="BA129" s="71" t="n">
        <v>11149117.44</v>
      </c>
      <c r="BB129" s="71" t="n">
        <v>-694420</v>
      </c>
      <c r="BC129" s="69" t="inlineStr">
        <is>
          <t>Refinance</t>
        </is>
      </c>
      <c r="BD129" s="69" t="inlineStr">
        <is>
          <t>N</t>
        </is>
      </c>
      <c r="BE129" s="71" t="n">
        <v>52025000</v>
      </c>
      <c r="BF129" s="71" t="n">
        <v>50000000</v>
      </c>
      <c r="BG129" s="71" t="n"/>
      <c r="BH129" s="71" t="n">
        <v>0</v>
      </c>
      <c r="BI129" s="71" t="n">
        <v>152632.23</v>
      </c>
      <c r="BJ129" s="69" t="inlineStr">
        <is>
          <t>Y</t>
        </is>
      </c>
      <c r="BK129" s="69" t="n"/>
      <c r="BL129" s="75" t="n"/>
      <c r="BM129" s="73" t="n"/>
      <c r="BN129" s="69" t="inlineStr">
        <is>
          <t>Jubao Xie</t>
        </is>
      </c>
      <c r="BO129" s="69" t="inlineStr">
        <is>
          <t>Ladder Capital Finance</t>
        </is>
      </c>
      <c r="BP129" s="69" t="inlineStr">
        <is>
          <t>TriMont Real Estate Advisors</t>
        </is>
      </c>
      <c r="BQ129" s="69" t="inlineStr">
        <is>
          <t>Midland Loan Services</t>
        </is>
      </c>
      <c r="BR129" s="69" t="n"/>
      <c r="BS129" s="73" t="n">
        <v>46276</v>
      </c>
      <c r="BU129" s="76">
        <f>IF($C129="","",IFERROR(INDEX(dmName,MATCH($C129,dmID,0)),"Unmapped"))</f>
        <v/>
      </c>
      <c r="BV129" s="76">
        <f>IF($C129="","",IFERROR(INDEX(dmEntity,MATCH($C129,dmID,0)),"Unmapped"))</f>
        <v/>
      </c>
      <c r="BW129" s="77">
        <f>IF($C129="","",IFERROR(INDEX(dmVintage,MATCH($C129,dmID,0)),""))</f>
        <v/>
      </c>
      <c r="BX129" s="78">
        <f>IFERROR(INDEX(dmInclude,MATCH($C129,dmID,0)),0)</f>
        <v/>
      </c>
      <c r="BY129" s="78">
        <f>IF(N($I129)&gt;0,1,0)</f>
        <v/>
      </c>
      <c r="BZ129" s="76">
        <f>IF($AJ129="","Other / Leased Fee",IFERROR(INDEX(mapPTGroup,MATCH(LEFT(TRIM($AJ129),2),mapPTCode,0)),"Other / Leased Fee"))</f>
        <v/>
      </c>
      <c r="CA129" s="76">
        <f>IF(TRIM($AF129&amp;"")="","NR",LEFT(TRIM($AF129),2))</f>
        <v/>
      </c>
      <c r="CB129" s="76">
        <f>IFERROR(LOOKUP(2,1/(LEFT(TRIM($AI129&amp;""),LEN(mapRegion))=mapRegion),mapRegion),"Not Reported")</f>
        <v/>
      </c>
      <c r="CC129" s="76">
        <f>IF($BY129=0,"",IF(TRIM($W129&amp;"")="REO","REO",IF(TRIM($W129&amp;"")="FC","Foreclosure",IF(TRIM($W129&amp;"")="90+","90+ Days Delinquent",IF(TRIM($W129&amp;"")="60","60 Days Delinquent",IF(TRIM($W129&amp;"")="30","30 Days Delinquent",IF($X129="Non-Performing Matured Balloon","Non-Performing Matured Balloon",IF(OR($X129="Late Payment But Less Than 30 Days Delinquent",LEFT($X129&amp;"",20)="Payment Not Received"),"Late / In Grace (&lt;30 Days)",IF($X129="Performing Matured Balloon","Performing Matured Balloon","Current")))))))))</f>
        <v/>
      </c>
      <c r="CD129" s="78">
        <f>IF(OR($CC129="REO",$CC129="Foreclosure",$CC129="90+ Days Delinquent",$CC129="60 Days Delinquent",$CC129="30 Days Delinquent",$CC129="Non-Performing Matured Balloon"),1,0)</f>
        <v/>
      </c>
      <c r="CE129" s="76">
        <f>IF($AB129="Currently special serv","Currently Specially Serviced",IF($AB129="Returned to master serv","Previously Specially Serviced","Never Specially Serviced"))</f>
        <v/>
      </c>
      <c r="CF129" s="78">
        <f>IF($CE129="Currently Specially Serviced",1,0)</f>
        <v/>
      </c>
      <c r="CG129" s="76">
        <f>IF($AA129="Yes","Currently on Watchlist",IF($AA129="Previously","Previously on Watchlist","Never on Watchlist"))</f>
        <v/>
      </c>
      <c r="CH129" s="78">
        <f>IF($CG129="Currently on Watchlist",1,0)</f>
        <v/>
      </c>
      <c r="CI129" s="76">
        <f>IF($Z129="Full Defeasance","Fully Defeased",IF($Z129="Portion Of Loan Previously Defeased","Partially Defeased",IF($Z129="Defeasance Not Allowable","Not Defeased (Not Permitted)","Not Defeased")))</f>
        <v/>
      </c>
      <c r="CJ129" s="78">
        <f>IF($CI129="Fully Defeased",1,0)</f>
        <v/>
      </c>
      <c r="CK129" s="76">
        <f>IF($R129="IO","Full IO",IF(LEFT($R129&amp;"",7)="IO then","Partial IO","Amortizing"))</f>
        <v/>
      </c>
      <c r="CL129" s="78">
        <f>IF($CK129="Full IO",1,0)</f>
        <v/>
      </c>
      <c r="CM129" s="78">
        <f>IF($CK129="Partial IO",1,0)</f>
        <v/>
      </c>
      <c r="CN129" s="76">
        <f>IF(LEFT($F129&amp;"",10)="SPLIT_LOAN","Pari Passu Split","Standalone")</f>
        <v/>
      </c>
      <c r="CO129" s="78">
        <f>IF($CN129="Pari Passu Split",1,0)</f>
        <v/>
      </c>
      <c r="CP129" s="77">
        <f>IF(ISNUMBER($T129),YEAR($T129),"")</f>
        <v/>
      </c>
      <c r="CQ129" s="79">
        <f>IF(ISNUMBER($V129),$V129,IF(ISNUMBER($U129),$U129,""))</f>
        <v/>
      </c>
      <c r="CR129" s="77">
        <f>IF(ISNUMBER($CQ129),YEAR($CQ129),"")</f>
        <v/>
      </c>
      <c r="CS129" s="78">
        <f>IF(ISNUMBER($M129),MAX(0,$M129),IF(TRIM($M129&amp;"")="matured",0,""))</f>
        <v/>
      </c>
      <c r="CT129" s="78">
        <f>IF(AND(ISNUMBER($CS129),N($CS129)&lt;=mMatWindow),1,0)</f>
        <v/>
      </c>
      <c r="CU129" s="80">
        <f>IF(ISNUMBER($J129),$J129/100,"")</f>
        <v/>
      </c>
      <c r="CV129" s="81">
        <f>IF(ISNUMBER($AQ129),$AQ129,"")</f>
        <v/>
      </c>
      <c r="CW129" s="81">
        <f>IF(ISNUMBER($AR129),$AR129,"")</f>
        <v/>
      </c>
      <c r="CX129" s="82">
        <f>IF(ISNUMBER($AS129),$AS129/100,"")</f>
        <v/>
      </c>
      <c r="CY129" s="82">
        <f>IF(ISNUMBER($AT129),$AT129/100,"")</f>
        <v/>
      </c>
      <c r="CZ129" s="82">
        <f>IF(ISNUMBER($AU129),$AU129/100,"")</f>
        <v/>
      </c>
      <c r="DA129" s="82">
        <f>IF(ISNUMBER($AV129),$AV129/100,"")</f>
        <v/>
      </c>
      <c r="DB129" s="82">
        <f>IF(ISNUMBER($AW129),$AW129/100,"")</f>
        <v/>
      </c>
      <c r="DC129" s="82">
        <f>IF(ISNUMBER($AX129),$AX129/100,"")</f>
        <v/>
      </c>
      <c r="DD129" s="77">
        <f>IFERROR(VALUE(LEFT(TRIM($AO129&amp;""),4)),"")</f>
        <v/>
      </c>
      <c r="DE129" s="78">
        <f>IF(AND($BY129=1,$BX129=1,OR(fDeal="All Deals",$BU129=fDeal),OR(fEntity="All Entities",$BV129=fEntity),OR(fPType="All Property Types",$BZ129=fPType),OR(fDefeased="Include",$CJ129=0)),1,0)</f>
        <v/>
      </c>
      <c r="DF129" s="83">
        <f>$DE129*N($I129)</f>
        <v/>
      </c>
      <c r="DG129" s="78">
        <f>IF($DE129=1,IF(COUNTIFS($F$8:$F129,$F129,$DE$8:$DE129,1)=1,1,0),0)</f>
        <v/>
      </c>
      <c r="DH129" s="83">
        <f>IF($DG129=1,SUMIFS($DF$8:$DF$1600,$F$8:$F$1600,$F129),0)</f>
        <v/>
      </c>
      <c r="DI129" s="78">
        <f>IF($DG129=1,COUNTIFS($F$8:$F$1600,$F129,$DE$8:$DE$1600,1),0)</f>
        <v/>
      </c>
      <c r="DJ129" s="84">
        <f>IF($DG129=1,$DH129+(100000-ROW())/mTieBreak,0)</f>
        <v/>
      </c>
    </row>
    <row r="130">
      <c r="B130" s="68" t="n">
        <v>7</v>
      </c>
      <c r="C130" s="69" t="inlineStr">
        <is>
          <t>WFC18C47</t>
        </is>
      </c>
      <c r="D130" s="69" t="inlineStr">
        <is>
          <t>7.000</t>
        </is>
      </c>
      <c r="E130" s="69" t="inlineStr">
        <is>
          <t>Lower Makefield Corporate Center - North</t>
        </is>
      </c>
      <c r="F130" s="69" t="inlineStr">
        <is>
          <t>LNWFC18C47-7.000</t>
        </is>
      </c>
      <c r="G130" s="70" t="n"/>
      <c r="H130" s="71" t="n">
        <v>29150000</v>
      </c>
      <c r="I130" s="71" t="n">
        <v>27770466.5299908</v>
      </c>
      <c r="J130" s="72" t="n">
        <v>4.64</v>
      </c>
      <c r="K130" s="69" t="inlineStr">
        <is>
          <t>Fixed rate</t>
        </is>
      </c>
      <c r="L130" s="68" t="n">
        <v>117</v>
      </c>
      <c r="M130" s="68" t="n">
        <v>21</v>
      </c>
      <c r="N130" s="68" t="n">
        <v>420</v>
      </c>
      <c r="O130" s="68" t="n">
        <v>60</v>
      </c>
      <c r="P130" s="68" t="n">
        <v>0</v>
      </c>
      <c r="Q130" s="68" t="n">
        <v>96</v>
      </c>
      <c r="R130" s="69" t="inlineStr">
        <is>
          <t>IO then Amort</t>
        </is>
      </c>
      <c r="S130" s="69" t="inlineStr">
        <is>
          <t>No</t>
        </is>
      </c>
      <c r="T130" s="73" t="n">
        <v>43344</v>
      </c>
      <c r="U130" s="73" t="n">
        <v>46910</v>
      </c>
      <c r="V130" s="73" t="n"/>
      <c r="W130" s="69" t="n"/>
      <c r="X130" s="69" t="inlineStr">
        <is>
          <t>Current</t>
        </is>
      </c>
      <c r="Y130" s="68" t="n"/>
      <c r="Z130" s="69" t="inlineStr">
        <is>
          <t>Full Defeasance</t>
        </is>
      </c>
      <c r="AA130" s="69" t="n"/>
      <c r="AB130" s="69" t="inlineStr">
        <is>
          <t>Never special serv</t>
        </is>
      </c>
      <c r="AC130" s="73" t="n"/>
      <c r="AD130" s="69" t="n"/>
      <c r="AE130" s="69" t="n"/>
      <c r="AF130" s="69" t="inlineStr">
        <is>
          <t>PA</t>
        </is>
      </c>
      <c r="AG130" s="69" t="inlineStr">
        <is>
          <t>Lower Makefield Township</t>
        </is>
      </c>
      <c r="AH130" s="69" t="inlineStr">
        <is>
          <t>Philadelphia-Camden-Wilmington, PA-NJ-DE-MD</t>
        </is>
      </c>
      <c r="AI130" s="69" t="inlineStr">
        <is>
          <t>Northeast / Mid-Atlantic</t>
        </is>
      </c>
      <c r="AJ130" s="69" t="inlineStr">
        <is>
          <t>OF</t>
        </is>
      </c>
      <c r="AK130" s="69" t="inlineStr">
        <is>
          <t>Suburban</t>
        </is>
      </c>
      <c r="AL130" s="68" t="n">
        <v>1</v>
      </c>
      <c r="AM130" s="68" t="n"/>
      <c r="AN130" s="68" t="n">
        <v>190183</v>
      </c>
      <c r="AO130" s="69" t="inlineStr">
        <is>
          <t>2000</t>
        </is>
      </c>
      <c r="AP130" s="70" t="n">
        <v>2000</v>
      </c>
      <c r="AQ130" s="74" t="n">
        <v>1.71</v>
      </c>
      <c r="AR130" s="74" t="n">
        <v>2.09</v>
      </c>
      <c r="AS130" s="74" t="n">
        <v>69.09999999999999</v>
      </c>
      <c r="AT130" s="74" t="n">
        <v>65.81</v>
      </c>
      <c r="AU130" s="74" t="n">
        <v>63.4</v>
      </c>
      <c r="AV130" s="74" t="n">
        <v>10.560487136</v>
      </c>
      <c r="AW130" s="74" t="n">
        <v>13.114776974</v>
      </c>
      <c r="AX130" s="75" t="n">
        <v>89</v>
      </c>
      <c r="AY130" s="71" t="n">
        <v>42200000</v>
      </c>
      <c r="AZ130" s="71" t="n">
        <v>42200000</v>
      </c>
      <c r="BA130" s="71" t="n">
        <v>3078382</v>
      </c>
      <c r="BB130" s="71" t="n">
        <v>2153923.32</v>
      </c>
      <c r="BC130" s="69" t="inlineStr">
        <is>
          <t>Acquisition</t>
        </is>
      </c>
      <c r="BD130" s="69" t="inlineStr">
        <is>
          <t>N</t>
        </is>
      </c>
      <c r="BE130" s="71" t="n"/>
      <c r="BF130" s="71" t="n"/>
      <c r="BG130" s="71" t="n"/>
      <c r="BH130" s="71" t="n">
        <v>0</v>
      </c>
      <c r="BI130" s="71" t="n">
        <v>0</v>
      </c>
      <c r="BJ130" s="69" t="inlineStr">
        <is>
          <t>N</t>
        </is>
      </c>
      <c r="BK130" s="69" t="inlineStr">
        <is>
          <t>OptiNose US  Inc.</t>
        </is>
      </c>
      <c r="BL130" s="75" t="n">
        <v>15.83</v>
      </c>
      <c r="BM130" s="73" t="n">
        <v>45443</v>
      </c>
      <c r="BN130" s="69" t="inlineStr">
        <is>
          <t>Rubenstein Properties Fund III, L.P.</t>
        </is>
      </c>
      <c r="BO130" s="69" t="inlineStr">
        <is>
          <t>RMF</t>
        </is>
      </c>
      <c r="BP130" s="69" t="inlineStr">
        <is>
          <t>TriMont Real Estate Advisors</t>
        </is>
      </c>
      <c r="BQ130" s="69" t="inlineStr">
        <is>
          <t>K-Star Asset Management LLC</t>
        </is>
      </c>
      <c r="BR130" s="69" t="n"/>
      <c r="BS130" s="73" t="n">
        <v>46276</v>
      </c>
      <c r="BU130" s="76">
        <f>IF($C130="","",IFERROR(INDEX(dmName,MATCH($C130,dmID,0)),"Unmapped"))</f>
        <v/>
      </c>
      <c r="BV130" s="76">
        <f>IF($C130="","",IFERROR(INDEX(dmEntity,MATCH($C130,dmID,0)),"Unmapped"))</f>
        <v/>
      </c>
      <c r="BW130" s="77">
        <f>IF($C130="","",IFERROR(INDEX(dmVintage,MATCH($C130,dmID,0)),""))</f>
        <v/>
      </c>
      <c r="BX130" s="78">
        <f>IFERROR(INDEX(dmInclude,MATCH($C130,dmID,0)),0)</f>
        <v/>
      </c>
      <c r="BY130" s="78">
        <f>IF(N($I130)&gt;0,1,0)</f>
        <v/>
      </c>
      <c r="BZ130" s="76">
        <f>IF($AJ130="","Other / Leased Fee",IFERROR(INDEX(mapPTGroup,MATCH(LEFT(TRIM($AJ130),2),mapPTCode,0)),"Other / Leased Fee"))</f>
        <v/>
      </c>
      <c r="CA130" s="76">
        <f>IF(TRIM($AF130&amp;"")="","NR",LEFT(TRIM($AF130),2))</f>
        <v/>
      </c>
      <c r="CB130" s="76">
        <f>IFERROR(LOOKUP(2,1/(LEFT(TRIM($AI130&amp;""),LEN(mapRegion))=mapRegion),mapRegion),"Not Reported")</f>
        <v/>
      </c>
      <c r="CC130" s="76">
        <f>IF($BY130=0,"",IF(TRIM($W130&amp;"")="REO","REO",IF(TRIM($W130&amp;"")="FC","Foreclosure",IF(TRIM($W130&amp;"")="90+","90+ Days Delinquent",IF(TRIM($W130&amp;"")="60","60 Days Delinquent",IF(TRIM($W130&amp;"")="30","30 Days Delinquent",IF($X130="Non-Performing Matured Balloon","Non-Performing Matured Balloon",IF(OR($X130="Late Payment But Less Than 30 Days Delinquent",LEFT($X130&amp;"",20)="Payment Not Received"),"Late / In Grace (&lt;30 Days)",IF($X130="Performing Matured Balloon","Performing Matured Balloon","Current")))))))))</f>
        <v/>
      </c>
      <c r="CD130" s="78">
        <f>IF(OR($CC130="REO",$CC130="Foreclosure",$CC130="90+ Days Delinquent",$CC130="60 Days Delinquent",$CC130="30 Days Delinquent",$CC130="Non-Performing Matured Balloon"),1,0)</f>
        <v/>
      </c>
      <c r="CE130" s="76">
        <f>IF($AB130="Currently special serv","Currently Specially Serviced",IF($AB130="Returned to master serv","Previously Specially Serviced","Never Specially Serviced"))</f>
        <v/>
      </c>
      <c r="CF130" s="78">
        <f>IF($CE130="Currently Specially Serviced",1,0)</f>
        <v/>
      </c>
      <c r="CG130" s="76">
        <f>IF($AA130="Yes","Currently on Watchlist",IF($AA130="Previously","Previously on Watchlist","Never on Watchlist"))</f>
        <v/>
      </c>
      <c r="CH130" s="78">
        <f>IF($CG130="Currently on Watchlist",1,0)</f>
        <v/>
      </c>
      <c r="CI130" s="76">
        <f>IF($Z130="Full Defeasance","Fully Defeased",IF($Z130="Portion Of Loan Previously Defeased","Partially Defeased",IF($Z130="Defeasance Not Allowable","Not Defeased (Not Permitted)","Not Defeased")))</f>
        <v/>
      </c>
      <c r="CJ130" s="78">
        <f>IF($CI130="Fully Defeased",1,0)</f>
        <v/>
      </c>
      <c r="CK130" s="76">
        <f>IF($R130="IO","Full IO",IF(LEFT($R130&amp;"",7)="IO then","Partial IO","Amortizing"))</f>
        <v/>
      </c>
      <c r="CL130" s="78">
        <f>IF($CK130="Full IO",1,0)</f>
        <v/>
      </c>
      <c r="CM130" s="78">
        <f>IF($CK130="Partial IO",1,0)</f>
        <v/>
      </c>
      <c r="CN130" s="76">
        <f>IF(LEFT($F130&amp;"",10)="SPLIT_LOAN","Pari Passu Split","Standalone")</f>
        <v/>
      </c>
      <c r="CO130" s="78">
        <f>IF($CN130="Pari Passu Split",1,0)</f>
        <v/>
      </c>
      <c r="CP130" s="77">
        <f>IF(ISNUMBER($T130),YEAR($T130),"")</f>
        <v/>
      </c>
      <c r="CQ130" s="79">
        <f>IF(ISNUMBER($V130),$V130,IF(ISNUMBER($U130),$U130,""))</f>
        <v/>
      </c>
      <c r="CR130" s="77">
        <f>IF(ISNUMBER($CQ130),YEAR($CQ130),"")</f>
        <v/>
      </c>
      <c r="CS130" s="78">
        <f>IF(ISNUMBER($M130),MAX(0,$M130),IF(TRIM($M130&amp;"")="matured",0,""))</f>
        <v/>
      </c>
      <c r="CT130" s="78">
        <f>IF(AND(ISNUMBER($CS130),N($CS130)&lt;=mMatWindow),1,0)</f>
        <v/>
      </c>
      <c r="CU130" s="80">
        <f>IF(ISNUMBER($J130),$J130/100,"")</f>
        <v/>
      </c>
      <c r="CV130" s="81">
        <f>IF(ISNUMBER($AQ130),$AQ130,"")</f>
        <v/>
      </c>
      <c r="CW130" s="81">
        <f>IF(ISNUMBER($AR130),$AR130,"")</f>
        <v/>
      </c>
      <c r="CX130" s="82">
        <f>IF(ISNUMBER($AS130),$AS130/100,"")</f>
        <v/>
      </c>
      <c r="CY130" s="82">
        <f>IF(ISNUMBER($AT130),$AT130/100,"")</f>
        <v/>
      </c>
      <c r="CZ130" s="82">
        <f>IF(ISNUMBER($AU130),$AU130/100,"")</f>
        <v/>
      </c>
      <c r="DA130" s="82">
        <f>IF(ISNUMBER($AV130),$AV130/100,"")</f>
        <v/>
      </c>
      <c r="DB130" s="82">
        <f>IF(ISNUMBER($AW130),$AW130/100,"")</f>
        <v/>
      </c>
      <c r="DC130" s="82">
        <f>IF(ISNUMBER($AX130),$AX130/100,"")</f>
        <v/>
      </c>
      <c r="DD130" s="77">
        <f>IFERROR(VALUE(LEFT(TRIM($AO130&amp;""),4)),"")</f>
        <v/>
      </c>
      <c r="DE130" s="78">
        <f>IF(AND($BY130=1,$BX130=1,OR(fDeal="All Deals",$BU130=fDeal),OR(fEntity="All Entities",$BV130=fEntity),OR(fPType="All Property Types",$BZ130=fPType),OR(fDefeased="Include",$CJ130=0)),1,0)</f>
        <v/>
      </c>
      <c r="DF130" s="83">
        <f>$DE130*N($I130)</f>
        <v/>
      </c>
      <c r="DG130" s="78">
        <f>IF($DE130=1,IF(COUNTIFS($F$8:$F130,$F130,$DE$8:$DE130,1)=1,1,0),0)</f>
        <v/>
      </c>
      <c r="DH130" s="83">
        <f>IF($DG130=1,SUMIFS($DF$8:$DF$1600,$F$8:$F$1600,$F130),0)</f>
        <v/>
      </c>
      <c r="DI130" s="78">
        <f>IF($DG130=1,COUNTIFS($F$8:$F$1600,$F130,$DE$8:$DE$1600,1),0)</f>
        <v/>
      </c>
      <c r="DJ130" s="84">
        <f>IF($DG130=1,$DH130+(100000-ROW())/mTieBreak,0)</f>
        <v/>
      </c>
    </row>
    <row r="131">
      <c r="B131" s="68" t="n">
        <v>8</v>
      </c>
      <c r="C131" s="69" t="inlineStr">
        <is>
          <t>WFC18C47</t>
        </is>
      </c>
      <c r="D131" s="69" t="inlineStr">
        <is>
          <t>8.000</t>
        </is>
      </c>
      <c r="E131" s="69" t="inlineStr">
        <is>
          <t>2747 Park Boulevard</t>
        </is>
      </c>
      <c r="F131" s="69" t="inlineStr">
        <is>
          <t>LNWFC18C47-8.000</t>
        </is>
      </c>
      <c r="G131" s="70" t="n"/>
      <c r="H131" s="71" t="n">
        <v>26000000</v>
      </c>
      <c r="I131" s="71" t="n">
        <v>24711159.18999</v>
      </c>
      <c r="J131" s="72" t="n">
        <v>4.2173</v>
      </c>
      <c r="K131" s="69" t="inlineStr">
        <is>
          <t>Fixed rate</t>
        </is>
      </c>
      <c r="L131" s="68" t="n">
        <v>119</v>
      </c>
      <c r="M131" s="68" t="n">
        <v>24</v>
      </c>
      <c r="N131" s="68" t="n">
        <v>420</v>
      </c>
      <c r="O131" s="68" t="n">
        <v>60</v>
      </c>
      <c r="P131" s="68" t="n">
        <v>0</v>
      </c>
      <c r="Q131" s="68" t="n">
        <v>95</v>
      </c>
      <c r="R131" s="69" t="inlineStr">
        <is>
          <t>IO then Amort</t>
        </is>
      </c>
      <c r="S131" s="69" t="inlineStr">
        <is>
          <t>No</t>
        </is>
      </c>
      <c r="T131" s="73" t="n">
        <v>43374</v>
      </c>
      <c r="U131" s="73" t="n">
        <v>47002</v>
      </c>
      <c r="V131" s="73" t="n"/>
      <c r="W131" s="69" t="n"/>
      <c r="X131" s="69" t="inlineStr">
        <is>
          <t>Current</t>
        </is>
      </c>
      <c r="Y131" s="68" t="n"/>
      <c r="Z131" s="69" t="inlineStr">
        <is>
          <t>No Defeasance Occurred</t>
        </is>
      </c>
      <c r="AA131" s="69" t="n"/>
      <c r="AB131" s="69" t="inlineStr">
        <is>
          <t>Never special serv</t>
        </is>
      </c>
      <c r="AC131" s="73" t="n"/>
      <c r="AD131" s="69" t="n"/>
      <c r="AE131" s="69" t="n"/>
      <c r="AF131" s="69" t="inlineStr">
        <is>
          <t>CA</t>
        </is>
      </c>
      <c r="AG131" s="69" t="inlineStr">
        <is>
          <t>Palo Alto</t>
        </is>
      </c>
      <c r="AH131" s="69" t="inlineStr">
        <is>
          <t>San Jose-Sunnyvale-Santa Clara, CA</t>
        </is>
      </c>
      <c r="AI131" s="69" t="inlineStr">
        <is>
          <t>West / Pacific North</t>
        </is>
      </c>
      <c r="AJ131" s="69" t="inlineStr">
        <is>
          <t>OF</t>
        </is>
      </c>
      <c r="AK131" s="69" t="inlineStr">
        <is>
          <t>Suburban</t>
        </is>
      </c>
      <c r="AL131" s="68" t="n">
        <v>1</v>
      </c>
      <c r="AM131" s="68" t="n"/>
      <c r="AN131" s="68" t="n">
        <v>36120</v>
      </c>
      <c r="AO131" s="69" t="inlineStr">
        <is>
          <t>2018</t>
        </is>
      </c>
      <c r="AP131" s="70" t="n">
        <v>2018</v>
      </c>
      <c r="AQ131" s="74" t="n">
        <v>2.42</v>
      </c>
      <c r="AR131" s="74" t="n">
        <v>2.64</v>
      </c>
      <c r="AS131" s="74" t="n">
        <v>37.7</v>
      </c>
      <c r="AT131" s="74" t="n">
        <v>35.81</v>
      </c>
      <c r="AU131" s="74" t="n">
        <v>34.4</v>
      </c>
      <c r="AV131" s="74" t="n">
        <v>14.252728038</v>
      </c>
      <c r="AW131" s="74" t="n">
        <v>16.072709861</v>
      </c>
      <c r="AX131" s="75" t="n">
        <v>100</v>
      </c>
      <c r="AY131" s="71" t="n">
        <v>69000000</v>
      </c>
      <c r="AZ131" s="71" t="n">
        <v>69000000</v>
      </c>
      <c r="BA131" s="71" t="n">
        <v>3705709.29</v>
      </c>
      <c r="BB131" s="71" t="n">
        <v>2019028.59</v>
      </c>
      <c r="BC131" s="69" t="inlineStr">
        <is>
          <t>Refinance</t>
        </is>
      </c>
      <c r="BD131" s="69" t="inlineStr">
        <is>
          <t>N</t>
        </is>
      </c>
      <c r="BE131" s="71" t="n"/>
      <c r="BF131" s="71" t="n"/>
      <c r="BG131" s="71" t="n">
        <v>24000000</v>
      </c>
      <c r="BH131" s="71" t="n">
        <v>0</v>
      </c>
      <c r="BI131" s="71" t="n">
        <v>0</v>
      </c>
      <c r="BJ131" s="69" t="inlineStr">
        <is>
          <t>N</t>
        </is>
      </c>
      <c r="BK131" s="69" t="inlineStr">
        <is>
          <t>Tencent America LLC</t>
        </is>
      </c>
      <c r="BL131" s="75" t="n">
        <v>100</v>
      </c>
      <c r="BM131" s="73" t="n">
        <v>46996</v>
      </c>
      <c r="BN131" s="69" t="inlineStr">
        <is>
          <t>The Jay Paul Company</t>
        </is>
      </c>
      <c r="BO131" s="69" t="inlineStr">
        <is>
          <t>Barclays</t>
        </is>
      </c>
      <c r="BP131" s="69" t="inlineStr">
        <is>
          <t>TriMont Real Estate Advisors</t>
        </is>
      </c>
      <c r="BQ131" s="69" t="inlineStr">
        <is>
          <t>K-Star Asset Management LLC</t>
        </is>
      </c>
      <c r="BR131" s="69" t="n"/>
      <c r="BS131" s="73" t="n">
        <v>46276</v>
      </c>
      <c r="BU131" s="76">
        <f>IF($C131="","",IFERROR(INDEX(dmName,MATCH($C131,dmID,0)),"Unmapped"))</f>
        <v/>
      </c>
      <c r="BV131" s="76">
        <f>IF($C131="","",IFERROR(INDEX(dmEntity,MATCH($C131,dmID,0)),"Unmapped"))</f>
        <v/>
      </c>
      <c r="BW131" s="77">
        <f>IF($C131="","",IFERROR(INDEX(dmVintage,MATCH($C131,dmID,0)),""))</f>
        <v/>
      </c>
      <c r="BX131" s="78">
        <f>IFERROR(INDEX(dmInclude,MATCH($C131,dmID,0)),0)</f>
        <v/>
      </c>
      <c r="BY131" s="78">
        <f>IF(N($I131)&gt;0,1,0)</f>
        <v/>
      </c>
      <c r="BZ131" s="76">
        <f>IF($AJ131="","Other / Leased Fee",IFERROR(INDEX(mapPTGroup,MATCH(LEFT(TRIM($AJ131),2),mapPTCode,0)),"Other / Leased Fee"))</f>
        <v/>
      </c>
      <c r="CA131" s="76">
        <f>IF(TRIM($AF131&amp;"")="","NR",LEFT(TRIM($AF131),2))</f>
        <v/>
      </c>
      <c r="CB131" s="76">
        <f>IFERROR(LOOKUP(2,1/(LEFT(TRIM($AI131&amp;""),LEN(mapRegion))=mapRegion),mapRegion),"Not Reported")</f>
        <v/>
      </c>
      <c r="CC131" s="76">
        <f>IF($BY131=0,"",IF(TRIM($W131&amp;"")="REO","REO",IF(TRIM($W131&amp;"")="FC","Foreclosure",IF(TRIM($W131&amp;"")="90+","90+ Days Delinquent",IF(TRIM($W131&amp;"")="60","60 Days Delinquent",IF(TRIM($W131&amp;"")="30","30 Days Delinquent",IF($X131="Non-Performing Matured Balloon","Non-Performing Matured Balloon",IF(OR($X131="Late Payment But Less Than 30 Days Delinquent",LEFT($X131&amp;"",20)="Payment Not Received"),"Late / In Grace (&lt;30 Days)",IF($X131="Performing Matured Balloon","Performing Matured Balloon","Current")))))))))</f>
        <v/>
      </c>
      <c r="CD131" s="78">
        <f>IF(OR($CC131="REO",$CC131="Foreclosure",$CC131="90+ Days Delinquent",$CC131="60 Days Delinquent",$CC131="30 Days Delinquent",$CC131="Non-Performing Matured Balloon"),1,0)</f>
        <v/>
      </c>
      <c r="CE131" s="76">
        <f>IF($AB131="Currently special serv","Currently Specially Serviced",IF($AB131="Returned to master serv","Previously Specially Serviced","Never Specially Serviced"))</f>
        <v/>
      </c>
      <c r="CF131" s="78">
        <f>IF($CE131="Currently Specially Serviced",1,0)</f>
        <v/>
      </c>
      <c r="CG131" s="76">
        <f>IF($AA131="Yes","Currently on Watchlist",IF($AA131="Previously","Previously on Watchlist","Never on Watchlist"))</f>
        <v/>
      </c>
      <c r="CH131" s="78">
        <f>IF($CG131="Currently on Watchlist",1,0)</f>
        <v/>
      </c>
      <c r="CI131" s="76">
        <f>IF($Z131="Full Defeasance","Fully Defeased",IF($Z131="Portion Of Loan Previously Defeased","Partially Defeased",IF($Z131="Defeasance Not Allowable","Not Defeased (Not Permitted)","Not Defeased")))</f>
        <v/>
      </c>
      <c r="CJ131" s="78">
        <f>IF($CI131="Fully Defeased",1,0)</f>
        <v/>
      </c>
      <c r="CK131" s="76">
        <f>IF($R131="IO","Full IO",IF(LEFT($R131&amp;"",7)="IO then","Partial IO","Amortizing"))</f>
        <v/>
      </c>
      <c r="CL131" s="78">
        <f>IF($CK131="Full IO",1,0)</f>
        <v/>
      </c>
      <c r="CM131" s="78">
        <f>IF($CK131="Partial IO",1,0)</f>
        <v/>
      </c>
      <c r="CN131" s="76">
        <f>IF(LEFT($F131&amp;"",10)="SPLIT_LOAN","Pari Passu Split","Standalone")</f>
        <v/>
      </c>
      <c r="CO131" s="78">
        <f>IF($CN131="Pari Passu Split",1,0)</f>
        <v/>
      </c>
      <c r="CP131" s="77">
        <f>IF(ISNUMBER($T131),YEAR($T131),"")</f>
        <v/>
      </c>
      <c r="CQ131" s="79">
        <f>IF(ISNUMBER($V131),$V131,IF(ISNUMBER($U131),$U131,""))</f>
        <v/>
      </c>
      <c r="CR131" s="77">
        <f>IF(ISNUMBER($CQ131),YEAR($CQ131),"")</f>
        <v/>
      </c>
      <c r="CS131" s="78">
        <f>IF(ISNUMBER($M131),MAX(0,$M131),IF(TRIM($M131&amp;"")="matured",0,""))</f>
        <v/>
      </c>
      <c r="CT131" s="78">
        <f>IF(AND(ISNUMBER($CS131),N($CS131)&lt;=mMatWindow),1,0)</f>
        <v/>
      </c>
      <c r="CU131" s="80">
        <f>IF(ISNUMBER($J131),$J131/100,"")</f>
        <v/>
      </c>
      <c r="CV131" s="81">
        <f>IF(ISNUMBER($AQ131),$AQ131,"")</f>
        <v/>
      </c>
      <c r="CW131" s="81">
        <f>IF(ISNUMBER($AR131),$AR131,"")</f>
        <v/>
      </c>
      <c r="CX131" s="82">
        <f>IF(ISNUMBER($AS131),$AS131/100,"")</f>
        <v/>
      </c>
      <c r="CY131" s="82">
        <f>IF(ISNUMBER($AT131),$AT131/100,"")</f>
        <v/>
      </c>
      <c r="CZ131" s="82">
        <f>IF(ISNUMBER($AU131),$AU131/100,"")</f>
        <v/>
      </c>
      <c r="DA131" s="82">
        <f>IF(ISNUMBER($AV131),$AV131/100,"")</f>
        <v/>
      </c>
      <c r="DB131" s="82">
        <f>IF(ISNUMBER($AW131),$AW131/100,"")</f>
        <v/>
      </c>
      <c r="DC131" s="82">
        <f>IF(ISNUMBER($AX131),$AX131/100,"")</f>
        <v/>
      </c>
      <c r="DD131" s="77">
        <f>IFERROR(VALUE(LEFT(TRIM($AO131&amp;""),4)),"")</f>
        <v/>
      </c>
      <c r="DE131" s="78">
        <f>IF(AND($BY131=1,$BX131=1,OR(fDeal="All Deals",$BU131=fDeal),OR(fEntity="All Entities",$BV131=fEntity),OR(fPType="All Property Types",$BZ131=fPType),OR(fDefeased="Include",$CJ131=0)),1,0)</f>
        <v/>
      </c>
      <c r="DF131" s="83">
        <f>$DE131*N($I131)</f>
        <v/>
      </c>
      <c r="DG131" s="78">
        <f>IF($DE131=1,IF(COUNTIFS($F$8:$F131,$F131,$DE$8:$DE131,1)=1,1,0),0)</f>
        <v/>
      </c>
      <c r="DH131" s="83">
        <f>IF($DG131=1,SUMIFS($DF$8:$DF$1600,$F$8:$F$1600,$F131),0)</f>
        <v/>
      </c>
      <c r="DI131" s="78">
        <f>IF($DG131=1,COUNTIFS($F$8:$F$1600,$F131,$DE$8:$DE$1600,1),0)</f>
        <v/>
      </c>
      <c r="DJ131" s="84">
        <f>IF($DG131=1,$DH131+(100000-ROW())/mTieBreak,0)</f>
        <v/>
      </c>
    </row>
    <row r="132">
      <c r="B132" s="68" t="n">
        <v>9</v>
      </c>
      <c r="C132" s="69" t="inlineStr">
        <is>
          <t>WFC18C47</t>
        </is>
      </c>
      <c r="D132" s="69" t="inlineStr">
        <is>
          <t>9.000</t>
        </is>
      </c>
      <c r="E132" s="69" t="inlineStr">
        <is>
          <t>Meridian at North</t>
        </is>
      </c>
      <c r="F132" s="69" t="inlineStr">
        <is>
          <t>LNWFC18C47-9.000</t>
        </is>
      </c>
      <c r="G132" s="70" t="n"/>
      <c r="H132" s="71" t="n">
        <v>25900000</v>
      </c>
      <c r="I132" s="71" t="n">
        <v>23912648.330011</v>
      </c>
      <c r="J132" s="72" t="n">
        <v>5.076</v>
      </c>
      <c r="K132" s="69" t="inlineStr">
        <is>
          <t>Fixed rate</t>
        </is>
      </c>
      <c r="L132" s="68" t="n">
        <v>120</v>
      </c>
      <c r="M132" s="68" t="n">
        <v>24</v>
      </c>
      <c r="N132" s="68" t="n">
        <v>396</v>
      </c>
      <c r="O132" s="68" t="n">
        <v>36</v>
      </c>
      <c r="P132" s="68" t="n">
        <v>0</v>
      </c>
      <c r="Q132" s="68" t="n">
        <v>96</v>
      </c>
      <c r="R132" s="69" t="inlineStr">
        <is>
          <t>IO then Amort</t>
        </is>
      </c>
      <c r="S132" s="69" t="inlineStr">
        <is>
          <t>No</t>
        </is>
      </c>
      <c r="T132" s="73" t="n">
        <v>43344</v>
      </c>
      <c r="U132" s="73" t="n">
        <v>47002</v>
      </c>
      <c r="V132" s="73" t="n"/>
      <c r="W132" s="69" t="n"/>
      <c r="X132" s="69" t="inlineStr">
        <is>
          <t>Current</t>
        </is>
      </c>
      <c r="Y132" s="68" t="n"/>
      <c r="Z132" s="69" t="inlineStr">
        <is>
          <t>Defeasance Not Allowable</t>
        </is>
      </c>
      <c r="AA132" s="69" t="inlineStr">
        <is>
          <t>Yes</t>
        </is>
      </c>
      <c r="AB132" s="69" t="inlineStr">
        <is>
          <t>Never special serv</t>
        </is>
      </c>
      <c r="AC132" s="73" t="n"/>
      <c r="AD132" s="69" t="n"/>
      <c r="AE132" s="69" t="n"/>
      <c r="AF132" s="69" t="inlineStr">
        <is>
          <t>IN</t>
        </is>
      </c>
      <c r="AG132" s="69" t="inlineStr">
        <is>
          <t>Indianapolis</t>
        </is>
      </c>
      <c r="AH132" s="69" t="inlineStr">
        <is>
          <t>Indianapolis-Carmel-Greenwood, IN</t>
        </is>
      </c>
      <c r="AI132" s="69" t="inlineStr">
        <is>
          <t>Midwest / Central East</t>
        </is>
      </c>
      <c r="AJ132" s="69" t="inlineStr">
        <is>
          <t>OF</t>
        </is>
      </c>
      <c r="AK132" s="69" t="inlineStr">
        <is>
          <t>CBD</t>
        </is>
      </c>
      <c r="AL132" s="68" t="n">
        <v>1</v>
      </c>
      <c r="AM132" s="68" t="n"/>
      <c r="AN132" s="68" t="n">
        <v>334506</v>
      </c>
      <c r="AO132" s="69" t="inlineStr">
        <is>
          <t>1975</t>
        </is>
      </c>
      <c r="AP132" s="70" t="n">
        <v>2014</v>
      </c>
      <c r="AQ132" s="74" t="n">
        <v>1.53</v>
      </c>
      <c r="AR132" s="74" t="n">
        <v>0.38</v>
      </c>
      <c r="AS132" s="74" t="n">
        <v>61.1</v>
      </c>
      <c r="AT132" s="74" t="n">
        <v>56.4</v>
      </c>
      <c r="AU132" s="74" t="n">
        <v>54.2</v>
      </c>
      <c r="AV132" s="74" t="n">
        <v>9.961955907</v>
      </c>
      <c r="AW132" s="74" t="n">
        <v>6.360598538</v>
      </c>
      <c r="AX132" s="75" t="n">
        <v>65</v>
      </c>
      <c r="AY132" s="71" t="n">
        <v>42400000</v>
      </c>
      <c r="AZ132" s="71" t="n">
        <v>42400000</v>
      </c>
      <c r="BA132" s="71" t="n">
        <v>2580146.58</v>
      </c>
      <c r="BB132" s="71" t="n">
        <v>319030.69</v>
      </c>
      <c r="BC132" s="69" t="inlineStr">
        <is>
          <t>Acquisition</t>
        </is>
      </c>
      <c r="BD132" s="69" t="inlineStr">
        <is>
          <t>N</t>
        </is>
      </c>
      <c r="BE132" s="71" t="n"/>
      <c r="BF132" s="71" t="n"/>
      <c r="BG132" s="71" t="n"/>
      <c r="BH132" s="71" t="n">
        <v>0</v>
      </c>
      <c r="BI132" s="71" t="n">
        <v>0</v>
      </c>
      <c r="BJ132" s="69" t="inlineStr">
        <is>
          <t>N</t>
        </is>
      </c>
      <c r="BK132" s="69" t="inlineStr">
        <is>
          <t>Hall Render</t>
        </is>
      </c>
      <c r="BL132" s="75" t="n">
        <v>31.05</v>
      </c>
      <c r="BM132" s="73" t="n">
        <v>47938</v>
      </c>
      <c r="BN132" s="69" t="inlineStr">
        <is>
          <t>Yoav Merary</t>
        </is>
      </c>
      <c r="BO132" s="69" t="inlineStr">
        <is>
          <t>Ladder Capital Finance</t>
        </is>
      </c>
      <c r="BP132" s="69" t="inlineStr">
        <is>
          <t>TriMont Real Estate Advisors</t>
        </is>
      </c>
      <c r="BQ132" s="69" t="inlineStr">
        <is>
          <t>K-Star Asset Management LLC</t>
        </is>
      </c>
      <c r="BR132" s="69" t="n"/>
      <c r="BS132" s="73" t="n">
        <v>46276</v>
      </c>
      <c r="BU132" s="76">
        <f>IF($C132="","",IFERROR(INDEX(dmName,MATCH($C132,dmID,0)),"Unmapped"))</f>
        <v/>
      </c>
      <c r="BV132" s="76">
        <f>IF($C132="","",IFERROR(INDEX(dmEntity,MATCH($C132,dmID,0)),"Unmapped"))</f>
        <v/>
      </c>
      <c r="BW132" s="77">
        <f>IF($C132="","",IFERROR(INDEX(dmVintage,MATCH($C132,dmID,0)),""))</f>
        <v/>
      </c>
      <c r="BX132" s="78">
        <f>IFERROR(INDEX(dmInclude,MATCH($C132,dmID,0)),0)</f>
        <v/>
      </c>
      <c r="BY132" s="78">
        <f>IF(N($I132)&gt;0,1,0)</f>
        <v/>
      </c>
      <c r="BZ132" s="76">
        <f>IF($AJ132="","Other / Leased Fee",IFERROR(INDEX(mapPTGroup,MATCH(LEFT(TRIM($AJ132),2),mapPTCode,0)),"Other / Leased Fee"))</f>
        <v/>
      </c>
      <c r="CA132" s="76">
        <f>IF(TRIM($AF132&amp;"")="","NR",LEFT(TRIM($AF132),2))</f>
        <v/>
      </c>
      <c r="CB132" s="76">
        <f>IFERROR(LOOKUP(2,1/(LEFT(TRIM($AI132&amp;""),LEN(mapRegion))=mapRegion),mapRegion),"Not Reported")</f>
        <v/>
      </c>
      <c r="CC132" s="76">
        <f>IF($BY132=0,"",IF(TRIM($W132&amp;"")="REO","REO",IF(TRIM($W132&amp;"")="FC","Foreclosure",IF(TRIM($W132&amp;"")="90+","90+ Days Delinquent",IF(TRIM($W132&amp;"")="60","60 Days Delinquent",IF(TRIM($W132&amp;"")="30","30 Days Delinquent",IF($X132="Non-Performing Matured Balloon","Non-Performing Matured Balloon",IF(OR($X132="Late Payment But Less Than 30 Days Delinquent",LEFT($X132&amp;"",20)="Payment Not Received"),"Late / In Grace (&lt;30 Days)",IF($X132="Performing Matured Balloon","Performing Matured Balloon","Current")))))))))</f>
        <v/>
      </c>
      <c r="CD132" s="78">
        <f>IF(OR($CC132="REO",$CC132="Foreclosure",$CC132="90+ Days Delinquent",$CC132="60 Days Delinquent",$CC132="30 Days Delinquent",$CC132="Non-Performing Matured Balloon"),1,0)</f>
        <v/>
      </c>
      <c r="CE132" s="76">
        <f>IF($AB132="Currently special serv","Currently Specially Serviced",IF($AB132="Returned to master serv","Previously Specially Serviced","Never Specially Serviced"))</f>
        <v/>
      </c>
      <c r="CF132" s="78">
        <f>IF($CE132="Currently Specially Serviced",1,0)</f>
        <v/>
      </c>
      <c r="CG132" s="76">
        <f>IF($AA132="Yes","Currently on Watchlist",IF($AA132="Previously","Previously on Watchlist","Never on Watchlist"))</f>
        <v/>
      </c>
      <c r="CH132" s="78">
        <f>IF($CG132="Currently on Watchlist",1,0)</f>
        <v/>
      </c>
      <c r="CI132" s="76">
        <f>IF($Z132="Full Defeasance","Fully Defeased",IF($Z132="Portion Of Loan Previously Defeased","Partially Defeased",IF($Z132="Defeasance Not Allowable","Not Defeased (Not Permitted)","Not Defeased")))</f>
        <v/>
      </c>
      <c r="CJ132" s="78">
        <f>IF($CI132="Fully Defeased",1,0)</f>
        <v/>
      </c>
      <c r="CK132" s="76">
        <f>IF($R132="IO","Full IO",IF(LEFT($R132&amp;"",7)="IO then","Partial IO","Amortizing"))</f>
        <v/>
      </c>
      <c r="CL132" s="78">
        <f>IF($CK132="Full IO",1,0)</f>
        <v/>
      </c>
      <c r="CM132" s="78">
        <f>IF($CK132="Partial IO",1,0)</f>
        <v/>
      </c>
      <c r="CN132" s="76">
        <f>IF(LEFT($F132&amp;"",10)="SPLIT_LOAN","Pari Passu Split","Standalone")</f>
        <v/>
      </c>
      <c r="CO132" s="78">
        <f>IF($CN132="Pari Passu Split",1,0)</f>
        <v/>
      </c>
      <c r="CP132" s="77">
        <f>IF(ISNUMBER($T132),YEAR($T132),"")</f>
        <v/>
      </c>
      <c r="CQ132" s="79">
        <f>IF(ISNUMBER($V132),$V132,IF(ISNUMBER($U132),$U132,""))</f>
        <v/>
      </c>
      <c r="CR132" s="77">
        <f>IF(ISNUMBER($CQ132),YEAR($CQ132),"")</f>
        <v/>
      </c>
      <c r="CS132" s="78">
        <f>IF(ISNUMBER($M132),MAX(0,$M132),IF(TRIM($M132&amp;"")="matured",0,""))</f>
        <v/>
      </c>
      <c r="CT132" s="78">
        <f>IF(AND(ISNUMBER($CS132),N($CS132)&lt;=mMatWindow),1,0)</f>
        <v/>
      </c>
      <c r="CU132" s="80">
        <f>IF(ISNUMBER($J132),$J132/100,"")</f>
        <v/>
      </c>
      <c r="CV132" s="81">
        <f>IF(ISNUMBER($AQ132),$AQ132,"")</f>
        <v/>
      </c>
      <c r="CW132" s="81">
        <f>IF(ISNUMBER($AR132),$AR132,"")</f>
        <v/>
      </c>
      <c r="CX132" s="82">
        <f>IF(ISNUMBER($AS132),$AS132/100,"")</f>
        <v/>
      </c>
      <c r="CY132" s="82">
        <f>IF(ISNUMBER($AT132),$AT132/100,"")</f>
        <v/>
      </c>
      <c r="CZ132" s="82">
        <f>IF(ISNUMBER($AU132),$AU132/100,"")</f>
        <v/>
      </c>
      <c r="DA132" s="82">
        <f>IF(ISNUMBER($AV132),$AV132/100,"")</f>
        <v/>
      </c>
      <c r="DB132" s="82">
        <f>IF(ISNUMBER($AW132),$AW132/100,"")</f>
        <v/>
      </c>
      <c r="DC132" s="82">
        <f>IF(ISNUMBER($AX132),$AX132/100,"")</f>
        <v/>
      </c>
      <c r="DD132" s="77">
        <f>IFERROR(VALUE(LEFT(TRIM($AO132&amp;""),4)),"")</f>
        <v/>
      </c>
      <c r="DE132" s="78">
        <f>IF(AND($BY132=1,$BX132=1,OR(fDeal="All Deals",$BU132=fDeal),OR(fEntity="All Entities",$BV132=fEntity),OR(fPType="All Property Types",$BZ132=fPType),OR(fDefeased="Include",$CJ132=0)),1,0)</f>
        <v/>
      </c>
      <c r="DF132" s="83">
        <f>$DE132*N($I132)</f>
        <v/>
      </c>
      <c r="DG132" s="78">
        <f>IF($DE132=1,IF(COUNTIFS($F$8:$F132,$F132,$DE$8:$DE132,1)=1,1,0),0)</f>
        <v/>
      </c>
      <c r="DH132" s="83">
        <f>IF($DG132=1,SUMIFS($DF$8:$DF$1600,$F$8:$F$1600,$F132),0)</f>
        <v/>
      </c>
      <c r="DI132" s="78">
        <f>IF($DG132=1,COUNTIFS($F$8:$F$1600,$F132,$DE$8:$DE$1600,1),0)</f>
        <v/>
      </c>
      <c r="DJ132" s="84">
        <f>IF($DG132=1,$DH132+(100000-ROW())/mTieBreak,0)</f>
        <v/>
      </c>
    </row>
    <row r="133">
      <c r="B133" s="68" t="n">
        <v>10</v>
      </c>
      <c r="C133" s="69" t="inlineStr">
        <is>
          <t>WFC18C47</t>
        </is>
      </c>
      <c r="D133" s="69" t="inlineStr">
        <is>
          <t>10.000</t>
        </is>
      </c>
      <c r="E133" s="69" t="inlineStr">
        <is>
          <t>Ellsworth Place</t>
        </is>
      </c>
      <c r="F133" s="69" t="inlineStr">
        <is>
          <t>SPLIT_LOAN_01362</t>
        </is>
      </c>
      <c r="G133" s="70" t="n">
        <v>1362</v>
      </c>
      <c r="H133" s="71" t="n">
        <v>24000000</v>
      </c>
      <c r="I133" s="71" t="n">
        <v>22103679.319992</v>
      </c>
      <c r="J133" s="72" t="n">
        <v>5.01</v>
      </c>
      <c r="K133" s="69" t="inlineStr">
        <is>
          <t>Fixed rate</t>
        </is>
      </c>
      <c r="L133" s="68" t="n">
        <v>120</v>
      </c>
      <c r="M133" s="68" t="n">
        <v>23</v>
      </c>
      <c r="N133" s="68" t="n">
        <v>396</v>
      </c>
      <c r="O133" s="68" t="n">
        <v>36</v>
      </c>
      <c r="P133" s="68" t="n">
        <v>0</v>
      </c>
      <c r="Q133" s="68" t="n">
        <v>97</v>
      </c>
      <c r="R133" s="69" t="inlineStr">
        <is>
          <t>IO then Amort</t>
        </is>
      </c>
      <c r="S133" s="69" t="inlineStr">
        <is>
          <t>No</t>
        </is>
      </c>
      <c r="T133" s="73" t="n">
        <v>43313</v>
      </c>
      <c r="U133" s="73" t="n">
        <v>46971</v>
      </c>
      <c r="V133" s="73" t="n"/>
      <c r="W133" s="69" t="inlineStr">
        <is>
          <t>90+</t>
        </is>
      </c>
      <c r="X133" s="69" t="inlineStr">
        <is>
          <t>121+ Days Delinquent</t>
        </is>
      </c>
      <c r="Y133" s="68" t="n">
        <v>9</v>
      </c>
      <c r="Z133" s="69" t="inlineStr">
        <is>
          <t>Defeasance Not Allowable</t>
        </is>
      </c>
      <c r="AA133" s="69" t="inlineStr">
        <is>
          <t>Previously</t>
        </is>
      </c>
      <c r="AB133" s="69" t="inlineStr">
        <is>
          <t>Currently special serv</t>
        </is>
      </c>
      <c r="AC133" s="73" t="n">
        <v>45957</v>
      </c>
      <c r="AD133" s="69" t="inlineStr">
        <is>
          <t>Imminent Monetary Default (excluding Balloon/Maturity Default &amp; Single Tenant Bankruptcy/Vacate)</t>
        </is>
      </c>
      <c r="AE133" s="69" t="inlineStr">
        <is>
          <t>Foreclosure</t>
        </is>
      </c>
      <c r="AF133" s="69" t="inlineStr">
        <is>
          <t>MD</t>
        </is>
      </c>
      <c r="AG133" s="69" t="inlineStr">
        <is>
          <t>Silver Spring</t>
        </is>
      </c>
      <c r="AH133" s="69" t="inlineStr">
        <is>
          <t>Washington-Arlington-Alexandria, DC-VA-MD-WV</t>
        </is>
      </c>
      <c r="AI133" s="69" t="inlineStr">
        <is>
          <t>South / Atlantic</t>
        </is>
      </c>
      <c r="AJ133" s="69" t="inlineStr">
        <is>
          <t>RT</t>
        </is>
      </c>
      <c r="AK133" s="69" t="inlineStr">
        <is>
          <t>Anchored</t>
        </is>
      </c>
      <c r="AL133" s="68" t="n">
        <v>1</v>
      </c>
      <c r="AM133" s="68" t="n"/>
      <c r="AN133" s="68" t="n">
        <v>347758</v>
      </c>
      <c r="AO133" s="69" t="inlineStr">
        <is>
          <t>1947</t>
        </is>
      </c>
      <c r="AP133" s="70" t="n">
        <v>2015</v>
      </c>
      <c r="AQ133" s="74" t="n">
        <v>1.46</v>
      </c>
      <c r="AR133" s="74" t="n">
        <v>1.22</v>
      </c>
      <c r="AS133" s="74" t="n">
        <v>71.90000000000001</v>
      </c>
      <c r="AT133" s="74" t="n">
        <v>92.77</v>
      </c>
      <c r="AU133" s="74" t="n">
        <v>63.7</v>
      </c>
      <c r="AV133" s="74" t="n">
        <v>9.435697101000001</v>
      </c>
      <c r="AW133" s="74" t="n">
        <v>8.541078513</v>
      </c>
      <c r="AX133" s="75" t="n">
        <v>91</v>
      </c>
      <c r="AY133" s="71" t="n">
        <v>95900000</v>
      </c>
      <c r="AZ133" s="71" t="n">
        <v>68500000</v>
      </c>
      <c r="BA133" s="71" t="n">
        <v>6510631</v>
      </c>
      <c r="BB133" s="71" t="n">
        <v>2713845.62</v>
      </c>
      <c r="BC133" s="69" t="inlineStr">
        <is>
          <t>Acquisition</t>
        </is>
      </c>
      <c r="BD133" s="69" t="inlineStr">
        <is>
          <t>N</t>
        </is>
      </c>
      <c r="BE133" s="71" t="n">
        <v>41444398.73</v>
      </c>
      <c r="BF133" s="71" t="n"/>
      <c r="BG133" s="71" t="n"/>
      <c r="BH133" s="71" t="n">
        <v>1247796.12</v>
      </c>
      <c r="BI133" s="71" t="n">
        <v>1257205.17</v>
      </c>
      <c r="BJ133" s="69" t="inlineStr">
        <is>
          <t>Y</t>
        </is>
      </c>
      <c r="BK133" s="69" t="inlineStr">
        <is>
          <t>Burlington Coat Factory</t>
        </is>
      </c>
      <c r="BL133" s="75" t="n">
        <v>18.72</v>
      </c>
      <c r="BM133" s="73" t="n">
        <v>46081</v>
      </c>
      <c r="BN133" s="69" t="inlineStr">
        <is>
          <t>George B. Tomlin, Jr.</t>
        </is>
      </c>
      <c r="BO133" s="69" t="inlineStr">
        <is>
          <t>RMF</t>
        </is>
      </c>
      <c r="BP133" s="69" t="inlineStr">
        <is>
          <t>TriMont Real Estate Advisors</t>
        </is>
      </c>
      <c r="BQ133" s="69" t="inlineStr">
        <is>
          <t>K-Star Asset Management LLC</t>
        </is>
      </c>
      <c r="BR133" s="69" t="n"/>
      <c r="BS133" s="73" t="n">
        <v>46276</v>
      </c>
      <c r="BU133" s="76">
        <f>IF($C133="","",IFERROR(INDEX(dmName,MATCH($C133,dmID,0)),"Unmapped"))</f>
        <v/>
      </c>
      <c r="BV133" s="76">
        <f>IF($C133="","",IFERROR(INDEX(dmEntity,MATCH($C133,dmID,0)),"Unmapped"))</f>
        <v/>
      </c>
      <c r="BW133" s="77">
        <f>IF($C133="","",IFERROR(INDEX(dmVintage,MATCH($C133,dmID,0)),""))</f>
        <v/>
      </c>
      <c r="BX133" s="78">
        <f>IFERROR(INDEX(dmInclude,MATCH($C133,dmID,0)),0)</f>
        <v/>
      </c>
      <c r="BY133" s="78">
        <f>IF(N($I133)&gt;0,1,0)</f>
        <v/>
      </c>
      <c r="BZ133" s="76">
        <f>IF($AJ133="","Other / Leased Fee",IFERROR(INDEX(mapPTGroup,MATCH(LEFT(TRIM($AJ133),2),mapPTCode,0)),"Other / Leased Fee"))</f>
        <v/>
      </c>
      <c r="CA133" s="76">
        <f>IF(TRIM($AF133&amp;"")="","NR",LEFT(TRIM($AF133),2))</f>
        <v/>
      </c>
      <c r="CB133" s="76">
        <f>IFERROR(LOOKUP(2,1/(LEFT(TRIM($AI133&amp;""),LEN(mapRegion))=mapRegion),mapRegion),"Not Reported")</f>
        <v/>
      </c>
      <c r="CC133" s="76">
        <f>IF($BY133=0,"",IF(TRIM($W133&amp;"")="REO","REO",IF(TRIM($W133&amp;"")="FC","Foreclosure",IF(TRIM($W133&amp;"")="90+","90+ Days Delinquent",IF(TRIM($W133&amp;"")="60","60 Days Delinquent",IF(TRIM($W133&amp;"")="30","30 Days Delinquent",IF($X133="Non-Performing Matured Balloon","Non-Performing Matured Balloon",IF(OR($X133="Late Payment But Less Than 30 Days Delinquent",LEFT($X133&amp;"",20)="Payment Not Received"),"Late / In Grace (&lt;30 Days)",IF($X133="Performing Matured Balloon","Performing Matured Balloon","Current")))))))))</f>
        <v/>
      </c>
      <c r="CD133" s="78">
        <f>IF(OR($CC133="REO",$CC133="Foreclosure",$CC133="90+ Days Delinquent",$CC133="60 Days Delinquent",$CC133="30 Days Delinquent",$CC133="Non-Performing Matured Balloon"),1,0)</f>
        <v/>
      </c>
      <c r="CE133" s="76">
        <f>IF($AB133="Currently special serv","Currently Specially Serviced",IF($AB133="Returned to master serv","Previously Specially Serviced","Never Specially Serviced"))</f>
        <v/>
      </c>
      <c r="CF133" s="78">
        <f>IF($CE133="Currently Specially Serviced",1,0)</f>
        <v/>
      </c>
      <c r="CG133" s="76">
        <f>IF($AA133="Yes","Currently on Watchlist",IF($AA133="Previously","Previously on Watchlist","Never on Watchlist"))</f>
        <v/>
      </c>
      <c r="CH133" s="78">
        <f>IF($CG133="Currently on Watchlist",1,0)</f>
        <v/>
      </c>
      <c r="CI133" s="76">
        <f>IF($Z133="Full Defeasance","Fully Defeased",IF($Z133="Portion Of Loan Previously Defeased","Partially Defeased",IF($Z133="Defeasance Not Allowable","Not Defeased (Not Permitted)","Not Defeased")))</f>
        <v/>
      </c>
      <c r="CJ133" s="78">
        <f>IF($CI133="Fully Defeased",1,0)</f>
        <v/>
      </c>
      <c r="CK133" s="76">
        <f>IF($R133="IO","Full IO",IF(LEFT($R133&amp;"",7)="IO then","Partial IO","Amortizing"))</f>
        <v/>
      </c>
      <c r="CL133" s="78">
        <f>IF($CK133="Full IO",1,0)</f>
        <v/>
      </c>
      <c r="CM133" s="78">
        <f>IF($CK133="Partial IO",1,0)</f>
        <v/>
      </c>
      <c r="CN133" s="76">
        <f>IF(LEFT($F133&amp;"",10)="SPLIT_LOAN","Pari Passu Split","Standalone")</f>
        <v/>
      </c>
      <c r="CO133" s="78">
        <f>IF($CN133="Pari Passu Split",1,0)</f>
        <v/>
      </c>
      <c r="CP133" s="77">
        <f>IF(ISNUMBER($T133),YEAR($T133),"")</f>
        <v/>
      </c>
      <c r="CQ133" s="79">
        <f>IF(ISNUMBER($V133),$V133,IF(ISNUMBER($U133),$U133,""))</f>
        <v/>
      </c>
      <c r="CR133" s="77">
        <f>IF(ISNUMBER($CQ133),YEAR($CQ133),"")</f>
        <v/>
      </c>
      <c r="CS133" s="78">
        <f>IF(ISNUMBER($M133),MAX(0,$M133),IF(TRIM($M133&amp;"")="matured",0,""))</f>
        <v/>
      </c>
      <c r="CT133" s="78">
        <f>IF(AND(ISNUMBER($CS133),N($CS133)&lt;=mMatWindow),1,0)</f>
        <v/>
      </c>
      <c r="CU133" s="80">
        <f>IF(ISNUMBER($J133),$J133/100,"")</f>
        <v/>
      </c>
      <c r="CV133" s="81">
        <f>IF(ISNUMBER($AQ133),$AQ133,"")</f>
        <v/>
      </c>
      <c r="CW133" s="81">
        <f>IF(ISNUMBER($AR133),$AR133,"")</f>
        <v/>
      </c>
      <c r="CX133" s="82">
        <f>IF(ISNUMBER($AS133),$AS133/100,"")</f>
        <v/>
      </c>
      <c r="CY133" s="82">
        <f>IF(ISNUMBER($AT133),$AT133/100,"")</f>
        <v/>
      </c>
      <c r="CZ133" s="82">
        <f>IF(ISNUMBER($AU133),$AU133/100,"")</f>
        <v/>
      </c>
      <c r="DA133" s="82">
        <f>IF(ISNUMBER($AV133),$AV133/100,"")</f>
        <v/>
      </c>
      <c r="DB133" s="82">
        <f>IF(ISNUMBER($AW133),$AW133/100,"")</f>
        <v/>
      </c>
      <c r="DC133" s="82">
        <f>IF(ISNUMBER($AX133),$AX133/100,"")</f>
        <v/>
      </c>
      <c r="DD133" s="77">
        <f>IFERROR(VALUE(LEFT(TRIM($AO133&amp;""),4)),"")</f>
        <v/>
      </c>
      <c r="DE133" s="78">
        <f>IF(AND($BY133=1,$BX133=1,OR(fDeal="All Deals",$BU133=fDeal),OR(fEntity="All Entities",$BV133=fEntity),OR(fPType="All Property Types",$BZ133=fPType),OR(fDefeased="Include",$CJ133=0)),1,0)</f>
        <v/>
      </c>
      <c r="DF133" s="83">
        <f>$DE133*N($I133)</f>
        <v/>
      </c>
      <c r="DG133" s="78">
        <f>IF($DE133=1,IF(COUNTIFS($F$8:$F133,$F133,$DE$8:$DE133,1)=1,1,0),0)</f>
        <v/>
      </c>
      <c r="DH133" s="83">
        <f>IF($DG133=1,SUMIFS($DF$8:$DF$1600,$F$8:$F$1600,$F133),0)</f>
        <v/>
      </c>
      <c r="DI133" s="78">
        <f>IF($DG133=1,COUNTIFS($F$8:$F$1600,$F133,$DE$8:$DE$1600,1),0)</f>
        <v/>
      </c>
      <c r="DJ133" s="84">
        <f>IF($DG133=1,$DH133+(100000-ROW())/mTieBreak,0)</f>
        <v/>
      </c>
    </row>
    <row r="134">
      <c r="B134" s="68" t="n">
        <v>11</v>
      </c>
      <c r="C134" s="69" t="inlineStr">
        <is>
          <t>WFC18C47</t>
        </is>
      </c>
      <c r="D134" s="69" t="inlineStr">
        <is>
          <t>11.000</t>
        </is>
      </c>
      <c r="E134" s="69" t="inlineStr">
        <is>
          <t>Triyar Portfolio II</t>
        </is>
      </c>
      <c r="F134" s="69" t="inlineStr">
        <is>
          <t>LNWFC18C47-11.000</t>
        </is>
      </c>
      <c r="G134" s="70" t="n"/>
      <c r="H134" s="71" t="n">
        <v>22051995</v>
      </c>
      <c r="I134" s="71" t="n">
        <v>19181296.00999878</v>
      </c>
      <c r="J134" s="72" t="n">
        <v>5.282</v>
      </c>
      <c r="K134" s="69" t="inlineStr">
        <is>
          <t>Fixed rate</t>
        </is>
      </c>
      <c r="L134" s="68" t="n">
        <v>120</v>
      </c>
      <c r="M134" s="68" t="n">
        <v>23</v>
      </c>
      <c r="N134" s="68" t="n">
        <v>360</v>
      </c>
      <c r="O134" s="68" t="n"/>
      <c r="P134" s="68" t="n"/>
      <c r="Q134" s="68" t="n">
        <v>97</v>
      </c>
      <c r="R134" s="69" t="n"/>
      <c r="S134" s="69" t="inlineStr">
        <is>
          <t>No</t>
        </is>
      </c>
      <c r="T134" s="73" t="n">
        <v>43313</v>
      </c>
      <c r="U134" s="73" t="n">
        <v>46971</v>
      </c>
      <c r="V134" s="73" t="n"/>
      <c r="W134" s="69" t="n"/>
      <c r="X134" s="69" t="inlineStr">
        <is>
          <t>Current</t>
        </is>
      </c>
      <c r="Y134" s="68" t="n"/>
      <c r="Z134" s="69" t="inlineStr">
        <is>
          <t>Full Defeasance</t>
        </is>
      </c>
      <c r="AA134" s="69" t="inlineStr">
        <is>
          <t>Previously</t>
        </is>
      </c>
      <c r="AB134" s="69" t="inlineStr">
        <is>
          <t>Never special serv</t>
        </is>
      </c>
      <c r="AC134" s="73" t="n"/>
      <c r="AD134" s="69" t="n"/>
      <c r="AE134" s="69" t="n"/>
      <c r="AF134" s="69" t="inlineStr">
        <is>
          <t>MS-40.053039982% TX-26.346819982% NY-19.655820014% IL-13.944320022%</t>
        </is>
      </c>
      <c r="AG134" s="69" t="n"/>
      <c r="AH134" s="69" t="inlineStr">
        <is>
          <t>Jackson, MS-40.053039982% Longview, TX-26.346819982% Ottawa, IL-13.944320022%</t>
        </is>
      </c>
      <c r="AI134" s="69" t="inlineStr">
        <is>
          <t>South / Central East-40.053039982% South / Central West-26.346819982% Northeast / Mid-Atlantic-19.655820014% Midwest / Central East-13.944320022%</t>
        </is>
      </c>
      <c r="AJ134" s="69" t="inlineStr">
        <is>
          <t>IN</t>
        </is>
      </c>
      <c r="AK134" s="69" t="inlineStr">
        <is>
          <t>Warehouse</t>
        </is>
      </c>
      <c r="AL134" s="68" t="n">
        <v>5</v>
      </c>
      <c r="AM134" s="68" t="n"/>
      <c r="AN134" s="68" t="n">
        <v>818802</v>
      </c>
      <c r="AO134" s="69" t="n"/>
      <c r="AP134" s="70" t="n">
        <v>2012</v>
      </c>
      <c r="AQ134" s="74" t="n">
        <v>1.51</v>
      </c>
      <c r="AR134" s="74" t="n">
        <v>1.49</v>
      </c>
      <c r="AS134" s="74" t="n">
        <v>72.09999999999999</v>
      </c>
      <c r="AT134" s="74" t="n">
        <v>68.23999999999999</v>
      </c>
      <c r="AU134" s="74" t="n">
        <v>58.9</v>
      </c>
      <c r="AV134" s="74" t="n">
        <v>10.025912213</v>
      </c>
      <c r="AW134" s="74" t="n">
        <v>11.360134367</v>
      </c>
      <c r="AX134" s="75" t="n">
        <v>77</v>
      </c>
      <c r="AY134" s="71" t="n">
        <v>28110000</v>
      </c>
      <c r="AZ134" s="71" t="n">
        <v>28110000</v>
      </c>
      <c r="BA134" s="71" t="n">
        <v>2210913.66</v>
      </c>
      <c r="BB134" s="71" t="n">
        <v>2179021</v>
      </c>
      <c r="BC134" s="69" t="inlineStr">
        <is>
          <t>Acquisition</t>
        </is>
      </c>
      <c r="BD134" s="69" t="inlineStr">
        <is>
          <t>N</t>
        </is>
      </c>
      <c r="BE134" s="71" t="n"/>
      <c r="BF134" s="71" t="n"/>
      <c r="BG134" s="71" t="n"/>
      <c r="BH134" s="71" t="n">
        <v>0</v>
      </c>
      <c r="BI134" s="71" t="n">
        <v>0</v>
      </c>
      <c r="BJ134" s="69" t="inlineStr">
        <is>
          <t>N</t>
        </is>
      </c>
      <c r="BK134" s="69" t="inlineStr">
        <is>
          <t>Office Depot</t>
        </is>
      </c>
      <c r="BL134" s="75" t="n">
        <v>23.71</v>
      </c>
      <c r="BM134" s="73" t="n">
        <v>45330</v>
      </c>
      <c r="BN134" s="69" t="inlineStr">
        <is>
          <t>Bob Yari</t>
        </is>
      </c>
      <c r="BO134" s="69" t="inlineStr">
        <is>
          <t>Ladder Capital Finance</t>
        </is>
      </c>
      <c r="BP134" s="69" t="inlineStr">
        <is>
          <t>TriMont Real Estate Advisors</t>
        </is>
      </c>
      <c r="BQ134" s="69" t="inlineStr">
        <is>
          <t>K-Star Asset Management LLC</t>
        </is>
      </c>
      <c r="BR134" s="69" t="n"/>
      <c r="BS134" s="73" t="n">
        <v>46276</v>
      </c>
      <c r="BU134" s="76">
        <f>IF($C134="","",IFERROR(INDEX(dmName,MATCH($C134,dmID,0)),"Unmapped"))</f>
        <v/>
      </c>
      <c r="BV134" s="76">
        <f>IF($C134="","",IFERROR(INDEX(dmEntity,MATCH($C134,dmID,0)),"Unmapped"))</f>
        <v/>
      </c>
      <c r="BW134" s="77">
        <f>IF($C134="","",IFERROR(INDEX(dmVintage,MATCH($C134,dmID,0)),""))</f>
        <v/>
      </c>
      <c r="BX134" s="78">
        <f>IFERROR(INDEX(dmInclude,MATCH($C134,dmID,0)),0)</f>
        <v/>
      </c>
      <c r="BY134" s="78">
        <f>IF(N($I134)&gt;0,1,0)</f>
        <v/>
      </c>
      <c r="BZ134" s="76">
        <f>IF($AJ134="","Other / Leased Fee",IFERROR(INDEX(mapPTGroup,MATCH(LEFT(TRIM($AJ134),2),mapPTCode,0)),"Other / Leased Fee"))</f>
        <v/>
      </c>
      <c r="CA134" s="76">
        <f>IF(TRIM($AF134&amp;"")="","NR",LEFT(TRIM($AF134),2))</f>
        <v/>
      </c>
      <c r="CB134" s="76">
        <f>IFERROR(LOOKUP(2,1/(LEFT(TRIM($AI134&amp;""),LEN(mapRegion))=mapRegion),mapRegion),"Not Reported")</f>
        <v/>
      </c>
      <c r="CC134" s="76">
        <f>IF($BY134=0,"",IF(TRIM($W134&amp;"")="REO","REO",IF(TRIM($W134&amp;"")="FC","Foreclosure",IF(TRIM($W134&amp;"")="90+","90+ Days Delinquent",IF(TRIM($W134&amp;"")="60","60 Days Delinquent",IF(TRIM($W134&amp;"")="30","30 Days Delinquent",IF($X134="Non-Performing Matured Balloon","Non-Performing Matured Balloon",IF(OR($X134="Late Payment But Less Than 30 Days Delinquent",LEFT($X134&amp;"",20)="Payment Not Received"),"Late / In Grace (&lt;30 Days)",IF($X134="Performing Matured Balloon","Performing Matured Balloon","Current")))))))))</f>
        <v/>
      </c>
      <c r="CD134" s="78">
        <f>IF(OR($CC134="REO",$CC134="Foreclosure",$CC134="90+ Days Delinquent",$CC134="60 Days Delinquent",$CC134="30 Days Delinquent",$CC134="Non-Performing Matured Balloon"),1,0)</f>
        <v/>
      </c>
      <c r="CE134" s="76">
        <f>IF($AB134="Currently special serv","Currently Specially Serviced",IF($AB134="Returned to master serv","Previously Specially Serviced","Never Specially Serviced"))</f>
        <v/>
      </c>
      <c r="CF134" s="78">
        <f>IF($CE134="Currently Specially Serviced",1,0)</f>
        <v/>
      </c>
      <c r="CG134" s="76">
        <f>IF($AA134="Yes","Currently on Watchlist",IF($AA134="Previously","Previously on Watchlist","Never on Watchlist"))</f>
        <v/>
      </c>
      <c r="CH134" s="78">
        <f>IF($CG134="Currently on Watchlist",1,0)</f>
        <v/>
      </c>
      <c r="CI134" s="76">
        <f>IF($Z134="Full Defeasance","Fully Defeased",IF($Z134="Portion Of Loan Previously Defeased","Partially Defeased",IF($Z134="Defeasance Not Allowable","Not Defeased (Not Permitted)","Not Defeased")))</f>
        <v/>
      </c>
      <c r="CJ134" s="78">
        <f>IF($CI134="Fully Defeased",1,0)</f>
        <v/>
      </c>
      <c r="CK134" s="76">
        <f>IF($R134="IO","Full IO",IF(LEFT($R134&amp;"",7)="IO then","Partial IO","Amortizing"))</f>
        <v/>
      </c>
      <c r="CL134" s="78">
        <f>IF($CK134="Full IO",1,0)</f>
        <v/>
      </c>
      <c r="CM134" s="78">
        <f>IF($CK134="Partial IO",1,0)</f>
        <v/>
      </c>
      <c r="CN134" s="76">
        <f>IF(LEFT($F134&amp;"",10)="SPLIT_LOAN","Pari Passu Split","Standalone")</f>
        <v/>
      </c>
      <c r="CO134" s="78">
        <f>IF($CN134="Pari Passu Split",1,0)</f>
        <v/>
      </c>
      <c r="CP134" s="77">
        <f>IF(ISNUMBER($T134),YEAR($T134),"")</f>
        <v/>
      </c>
      <c r="CQ134" s="79">
        <f>IF(ISNUMBER($V134),$V134,IF(ISNUMBER($U134),$U134,""))</f>
        <v/>
      </c>
      <c r="CR134" s="77">
        <f>IF(ISNUMBER($CQ134),YEAR($CQ134),"")</f>
        <v/>
      </c>
      <c r="CS134" s="78">
        <f>IF(ISNUMBER($M134),MAX(0,$M134),IF(TRIM($M134&amp;"")="matured",0,""))</f>
        <v/>
      </c>
      <c r="CT134" s="78">
        <f>IF(AND(ISNUMBER($CS134),N($CS134)&lt;=mMatWindow),1,0)</f>
        <v/>
      </c>
      <c r="CU134" s="80">
        <f>IF(ISNUMBER($J134),$J134/100,"")</f>
        <v/>
      </c>
      <c r="CV134" s="81">
        <f>IF(ISNUMBER($AQ134),$AQ134,"")</f>
        <v/>
      </c>
      <c r="CW134" s="81">
        <f>IF(ISNUMBER($AR134),$AR134,"")</f>
        <v/>
      </c>
      <c r="CX134" s="82">
        <f>IF(ISNUMBER($AS134),$AS134/100,"")</f>
        <v/>
      </c>
      <c r="CY134" s="82">
        <f>IF(ISNUMBER($AT134),$AT134/100,"")</f>
        <v/>
      </c>
      <c r="CZ134" s="82">
        <f>IF(ISNUMBER($AU134),$AU134/100,"")</f>
        <v/>
      </c>
      <c r="DA134" s="82">
        <f>IF(ISNUMBER($AV134),$AV134/100,"")</f>
        <v/>
      </c>
      <c r="DB134" s="82">
        <f>IF(ISNUMBER($AW134),$AW134/100,"")</f>
        <v/>
      </c>
      <c r="DC134" s="82">
        <f>IF(ISNUMBER($AX134),$AX134/100,"")</f>
        <v/>
      </c>
      <c r="DD134" s="77">
        <f>IFERROR(VALUE(LEFT(TRIM($AO134&amp;""),4)),"")</f>
        <v/>
      </c>
      <c r="DE134" s="78">
        <f>IF(AND($BY134=1,$BX134=1,OR(fDeal="All Deals",$BU134=fDeal),OR(fEntity="All Entities",$BV134=fEntity),OR(fPType="All Property Types",$BZ134=fPType),OR(fDefeased="Include",$CJ134=0)),1,0)</f>
        <v/>
      </c>
      <c r="DF134" s="83">
        <f>$DE134*N($I134)</f>
        <v/>
      </c>
      <c r="DG134" s="78">
        <f>IF($DE134=1,IF(COUNTIFS($F$8:$F134,$F134,$DE$8:$DE134,1)=1,1,0),0)</f>
        <v/>
      </c>
      <c r="DH134" s="83">
        <f>IF($DG134=1,SUMIFS($DF$8:$DF$1600,$F$8:$F$1600,$F134),0)</f>
        <v/>
      </c>
      <c r="DI134" s="78">
        <f>IF($DG134=1,COUNTIFS($F$8:$F$1600,$F134,$DE$8:$DE$1600,1),0)</f>
        <v/>
      </c>
      <c r="DJ134" s="84">
        <f>IF($DG134=1,$DH134+(100000-ROW())/mTieBreak,0)</f>
        <v/>
      </c>
    </row>
    <row r="135">
      <c r="B135" s="68" t="n">
        <v>12</v>
      </c>
      <c r="C135" s="69" t="inlineStr">
        <is>
          <t>WFC18C47</t>
        </is>
      </c>
      <c r="D135" s="69" t="inlineStr">
        <is>
          <t>12.000</t>
        </is>
      </c>
      <c r="E135" s="69" t="inlineStr">
        <is>
          <t>Indian Hills Senior Community</t>
        </is>
      </c>
      <c r="F135" s="69" t="inlineStr">
        <is>
          <t>SPLIT_LOAN_01375</t>
        </is>
      </c>
      <c r="G135" s="70" t="n">
        <v>1375</v>
      </c>
      <c r="H135" s="71" t="n">
        <v>22000000</v>
      </c>
      <c r="I135" s="71" t="n">
        <v>21050990.879996</v>
      </c>
      <c r="J135" s="72" t="n">
        <v>5.13</v>
      </c>
      <c r="K135" s="69" t="inlineStr">
        <is>
          <t>Fixed rate</t>
        </is>
      </c>
      <c r="L135" s="68" t="n">
        <v>120</v>
      </c>
      <c r="M135" s="68" t="n">
        <v>24</v>
      </c>
      <c r="N135" s="68" t="n">
        <v>420</v>
      </c>
      <c r="O135" s="68" t="n">
        <v>60</v>
      </c>
      <c r="P135" s="68" t="n">
        <v>0</v>
      </c>
      <c r="Q135" s="68" t="n">
        <v>96</v>
      </c>
      <c r="R135" s="69" t="inlineStr">
        <is>
          <t>IO then Amort</t>
        </is>
      </c>
      <c r="S135" s="69" t="inlineStr">
        <is>
          <t>No</t>
        </is>
      </c>
      <c r="T135" s="73" t="n">
        <v>43344</v>
      </c>
      <c r="U135" s="73" t="n">
        <v>47002</v>
      </c>
      <c r="V135" s="73" t="n"/>
      <c r="W135" s="69" t="n"/>
      <c r="X135" s="69" t="inlineStr">
        <is>
          <t>Current</t>
        </is>
      </c>
      <c r="Y135" s="68" t="n"/>
      <c r="Z135" s="69" t="inlineStr">
        <is>
          <t>No Defeasance Occurred</t>
        </is>
      </c>
      <c r="AA135" s="69" t="n"/>
      <c r="AB135" s="69" t="inlineStr">
        <is>
          <t>Never special serv</t>
        </is>
      </c>
      <c r="AC135" s="73" t="n"/>
      <c r="AD135" s="69" t="n"/>
      <c r="AE135" s="69" t="n"/>
      <c r="AF135" s="69" t="inlineStr">
        <is>
          <t>OH</t>
        </is>
      </c>
      <c r="AG135" s="69" t="inlineStr">
        <is>
          <t>Euclid</t>
        </is>
      </c>
      <c r="AH135" s="69" t="inlineStr">
        <is>
          <t>Cleveland, OH</t>
        </is>
      </c>
      <c r="AI135" s="69" t="inlineStr">
        <is>
          <t>Midwest / Central East</t>
        </is>
      </c>
      <c r="AJ135" s="69" t="inlineStr">
        <is>
          <t>MF</t>
        </is>
      </c>
      <c r="AK135" s="69" t="inlineStr">
        <is>
          <t>High Rise</t>
        </is>
      </c>
      <c r="AL135" s="68" t="n">
        <v>1</v>
      </c>
      <c r="AM135" s="68" t="n">
        <v>1572</v>
      </c>
      <c r="AN135" s="68" t="n"/>
      <c r="AO135" s="69" t="inlineStr">
        <is>
          <t>1964</t>
        </is>
      </c>
      <c r="AP135" s="70" t="n">
        <v>2006</v>
      </c>
      <c r="AQ135" s="74" t="n">
        <v>1.26</v>
      </c>
      <c r="AR135" s="74" t="n">
        <v>1.39</v>
      </c>
      <c r="AS135" s="74" t="n">
        <v>64.2</v>
      </c>
      <c r="AT135" s="74" t="n">
        <v>61.42</v>
      </c>
      <c r="AU135" s="74" t="n">
        <v>59.3</v>
      </c>
      <c r="AV135" s="74" t="n">
        <v>8.234756164</v>
      </c>
      <c r="AW135" s="74" t="n">
        <v>8.303028753</v>
      </c>
      <c r="AX135" s="75" t="n">
        <v>88</v>
      </c>
      <c r="AY135" s="71" t="n">
        <v>80000000</v>
      </c>
      <c r="AZ135" s="71" t="n">
        <v>80000000</v>
      </c>
      <c r="BA135" s="71" t="n">
        <v>4228547.29</v>
      </c>
      <c r="BB135" s="71" t="n">
        <v>2326409.2</v>
      </c>
      <c r="BC135" s="69" t="inlineStr">
        <is>
          <t>Refinance</t>
        </is>
      </c>
      <c r="BD135" s="69" t="inlineStr">
        <is>
          <t>N</t>
        </is>
      </c>
      <c r="BE135" s="71" t="n">
        <v>28083935.56</v>
      </c>
      <c r="BF135" s="71" t="n"/>
      <c r="BG135" s="71" t="n"/>
      <c r="BH135" s="71" t="n">
        <v>0</v>
      </c>
      <c r="BI135" s="71" t="n">
        <v>0</v>
      </c>
      <c r="BJ135" s="69" t="inlineStr">
        <is>
          <t>N</t>
        </is>
      </c>
      <c r="BK135" s="69" t="n"/>
      <c r="BL135" s="75" t="n"/>
      <c r="BM135" s="73" t="n"/>
      <c r="BN135" s="69" t="inlineStr">
        <is>
          <t>Michael E. Gibbons</t>
        </is>
      </c>
      <c r="BO135" s="69" t="inlineStr">
        <is>
          <t>Ladder Capital Finance</t>
        </is>
      </c>
      <c r="BP135" s="69" t="inlineStr">
        <is>
          <t>TriMont Real Estate Advisors</t>
        </is>
      </c>
      <c r="BQ135" s="69" t="inlineStr">
        <is>
          <t>Rialto Capital</t>
        </is>
      </c>
      <c r="BR135" s="69" t="n"/>
      <c r="BS135" s="73" t="n">
        <v>46276</v>
      </c>
      <c r="BU135" s="76">
        <f>IF($C135="","",IFERROR(INDEX(dmName,MATCH($C135,dmID,0)),"Unmapped"))</f>
        <v/>
      </c>
      <c r="BV135" s="76">
        <f>IF($C135="","",IFERROR(INDEX(dmEntity,MATCH($C135,dmID,0)),"Unmapped"))</f>
        <v/>
      </c>
      <c r="BW135" s="77">
        <f>IF($C135="","",IFERROR(INDEX(dmVintage,MATCH($C135,dmID,0)),""))</f>
        <v/>
      </c>
      <c r="BX135" s="78">
        <f>IFERROR(INDEX(dmInclude,MATCH($C135,dmID,0)),0)</f>
        <v/>
      </c>
      <c r="BY135" s="78">
        <f>IF(N($I135)&gt;0,1,0)</f>
        <v/>
      </c>
      <c r="BZ135" s="76">
        <f>IF($AJ135="","Other / Leased Fee",IFERROR(INDEX(mapPTGroup,MATCH(LEFT(TRIM($AJ135),2),mapPTCode,0)),"Other / Leased Fee"))</f>
        <v/>
      </c>
      <c r="CA135" s="76">
        <f>IF(TRIM($AF135&amp;"")="","NR",LEFT(TRIM($AF135),2))</f>
        <v/>
      </c>
      <c r="CB135" s="76">
        <f>IFERROR(LOOKUP(2,1/(LEFT(TRIM($AI135&amp;""),LEN(mapRegion))=mapRegion),mapRegion),"Not Reported")</f>
        <v/>
      </c>
      <c r="CC135" s="76">
        <f>IF($BY135=0,"",IF(TRIM($W135&amp;"")="REO","REO",IF(TRIM($W135&amp;"")="FC","Foreclosure",IF(TRIM($W135&amp;"")="90+","90+ Days Delinquent",IF(TRIM($W135&amp;"")="60","60 Days Delinquent",IF(TRIM($W135&amp;"")="30","30 Days Delinquent",IF($X135="Non-Performing Matured Balloon","Non-Performing Matured Balloon",IF(OR($X135="Late Payment But Less Than 30 Days Delinquent",LEFT($X135&amp;"",20)="Payment Not Received"),"Late / In Grace (&lt;30 Days)",IF($X135="Performing Matured Balloon","Performing Matured Balloon","Current")))))))))</f>
        <v/>
      </c>
      <c r="CD135" s="78">
        <f>IF(OR($CC135="REO",$CC135="Foreclosure",$CC135="90+ Days Delinquent",$CC135="60 Days Delinquent",$CC135="30 Days Delinquent",$CC135="Non-Performing Matured Balloon"),1,0)</f>
        <v/>
      </c>
      <c r="CE135" s="76">
        <f>IF($AB135="Currently special serv","Currently Specially Serviced",IF($AB135="Returned to master serv","Previously Specially Serviced","Never Specially Serviced"))</f>
        <v/>
      </c>
      <c r="CF135" s="78">
        <f>IF($CE135="Currently Specially Serviced",1,0)</f>
        <v/>
      </c>
      <c r="CG135" s="76">
        <f>IF($AA135="Yes","Currently on Watchlist",IF($AA135="Previously","Previously on Watchlist","Never on Watchlist"))</f>
        <v/>
      </c>
      <c r="CH135" s="78">
        <f>IF($CG135="Currently on Watchlist",1,0)</f>
        <v/>
      </c>
      <c r="CI135" s="76">
        <f>IF($Z135="Full Defeasance","Fully Defeased",IF($Z135="Portion Of Loan Previously Defeased","Partially Defeased",IF($Z135="Defeasance Not Allowable","Not Defeased (Not Permitted)","Not Defeased")))</f>
        <v/>
      </c>
      <c r="CJ135" s="78">
        <f>IF($CI135="Fully Defeased",1,0)</f>
        <v/>
      </c>
      <c r="CK135" s="76">
        <f>IF($R135="IO","Full IO",IF(LEFT($R135&amp;"",7)="IO then","Partial IO","Amortizing"))</f>
        <v/>
      </c>
      <c r="CL135" s="78">
        <f>IF($CK135="Full IO",1,0)</f>
        <v/>
      </c>
      <c r="CM135" s="78">
        <f>IF($CK135="Partial IO",1,0)</f>
        <v/>
      </c>
      <c r="CN135" s="76">
        <f>IF(LEFT($F135&amp;"",10)="SPLIT_LOAN","Pari Passu Split","Standalone")</f>
        <v/>
      </c>
      <c r="CO135" s="78">
        <f>IF($CN135="Pari Passu Split",1,0)</f>
        <v/>
      </c>
      <c r="CP135" s="77">
        <f>IF(ISNUMBER($T135),YEAR($T135),"")</f>
        <v/>
      </c>
      <c r="CQ135" s="79">
        <f>IF(ISNUMBER($V135),$V135,IF(ISNUMBER($U135),$U135,""))</f>
        <v/>
      </c>
      <c r="CR135" s="77">
        <f>IF(ISNUMBER($CQ135),YEAR($CQ135),"")</f>
        <v/>
      </c>
      <c r="CS135" s="78">
        <f>IF(ISNUMBER($M135),MAX(0,$M135),IF(TRIM($M135&amp;"")="matured",0,""))</f>
        <v/>
      </c>
      <c r="CT135" s="78">
        <f>IF(AND(ISNUMBER($CS135),N($CS135)&lt;=mMatWindow),1,0)</f>
        <v/>
      </c>
      <c r="CU135" s="80">
        <f>IF(ISNUMBER($J135),$J135/100,"")</f>
        <v/>
      </c>
      <c r="CV135" s="81">
        <f>IF(ISNUMBER($AQ135),$AQ135,"")</f>
        <v/>
      </c>
      <c r="CW135" s="81">
        <f>IF(ISNUMBER($AR135),$AR135,"")</f>
        <v/>
      </c>
      <c r="CX135" s="82">
        <f>IF(ISNUMBER($AS135),$AS135/100,"")</f>
        <v/>
      </c>
      <c r="CY135" s="82">
        <f>IF(ISNUMBER($AT135),$AT135/100,"")</f>
        <v/>
      </c>
      <c r="CZ135" s="82">
        <f>IF(ISNUMBER($AU135),$AU135/100,"")</f>
        <v/>
      </c>
      <c r="DA135" s="82">
        <f>IF(ISNUMBER($AV135),$AV135/100,"")</f>
        <v/>
      </c>
      <c r="DB135" s="82">
        <f>IF(ISNUMBER($AW135),$AW135/100,"")</f>
        <v/>
      </c>
      <c r="DC135" s="82">
        <f>IF(ISNUMBER($AX135),$AX135/100,"")</f>
        <v/>
      </c>
      <c r="DD135" s="77">
        <f>IFERROR(VALUE(LEFT(TRIM($AO135&amp;""),4)),"")</f>
        <v/>
      </c>
      <c r="DE135" s="78">
        <f>IF(AND($BY135=1,$BX135=1,OR(fDeal="All Deals",$BU135=fDeal),OR(fEntity="All Entities",$BV135=fEntity),OR(fPType="All Property Types",$BZ135=fPType),OR(fDefeased="Include",$CJ135=0)),1,0)</f>
        <v/>
      </c>
      <c r="DF135" s="83">
        <f>$DE135*N($I135)</f>
        <v/>
      </c>
      <c r="DG135" s="78">
        <f>IF($DE135=1,IF(COUNTIFS($F$8:$F135,$F135,$DE$8:$DE135,1)=1,1,0),0)</f>
        <v/>
      </c>
      <c r="DH135" s="83">
        <f>IF($DG135=1,SUMIFS($DF$8:$DF$1600,$F$8:$F$1600,$F135),0)</f>
        <v/>
      </c>
      <c r="DI135" s="78">
        <f>IF($DG135=1,COUNTIFS($F$8:$F$1600,$F135,$DE$8:$DE$1600,1),0)</f>
        <v/>
      </c>
      <c r="DJ135" s="84">
        <f>IF($DG135=1,$DH135+(100000-ROW())/mTieBreak,0)</f>
        <v/>
      </c>
    </row>
    <row r="136">
      <c r="B136" s="68" t="n">
        <v>13</v>
      </c>
      <c r="C136" s="69" t="inlineStr">
        <is>
          <t>WFC18C47</t>
        </is>
      </c>
      <c r="D136" s="69" t="inlineStr">
        <is>
          <t>13.000</t>
        </is>
      </c>
      <c r="E136" s="69" t="inlineStr">
        <is>
          <t>Boca Village Corporate Center</t>
        </is>
      </c>
      <c r="F136" s="69" t="inlineStr">
        <is>
          <t>LNWFC18C47-13.000</t>
        </is>
      </c>
      <c r="G136" s="70" t="n"/>
      <c r="H136" s="71" t="n">
        <v>20260000</v>
      </c>
      <c r="I136" s="71" t="n">
        <v>20260000</v>
      </c>
      <c r="J136" s="72" t="n">
        <v>4.36</v>
      </c>
      <c r="K136" s="69" t="inlineStr">
        <is>
          <t>Fixed rate</t>
        </is>
      </c>
      <c r="L136" s="68" t="n">
        <v>120</v>
      </c>
      <c r="M136" s="68" t="n">
        <v>25</v>
      </c>
      <c r="N136" s="68" t="n">
        <v>120</v>
      </c>
      <c r="O136" s="68" t="n">
        <v>120</v>
      </c>
      <c r="P136" s="68" t="n">
        <v>25</v>
      </c>
      <c r="Q136" s="68" t="n">
        <v>95</v>
      </c>
      <c r="R136" s="69" t="inlineStr">
        <is>
          <t>IO</t>
        </is>
      </c>
      <c r="S136" s="69" t="inlineStr">
        <is>
          <t>Yes</t>
        </is>
      </c>
      <c r="T136" s="73" t="n">
        <v>43374</v>
      </c>
      <c r="U136" s="73" t="n">
        <v>47027</v>
      </c>
      <c r="V136" s="73" t="n"/>
      <c r="W136" s="69" t="n"/>
      <c r="X136" s="69" t="inlineStr">
        <is>
          <t>Current</t>
        </is>
      </c>
      <c r="Y136" s="68" t="n"/>
      <c r="Z136" s="69" t="inlineStr">
        <is>
          <t>No Defeasance Occurred</t>
        </is>
      </c>
      <c r="AA136" s="69" t="inlineStr">
        <is>
          <t>Previously</t>
        </is>
      </c>
      <c r="AB136" s="69" t="inlineStr">
        <is>
          <t>Never special serv</t>
        </is>
      </c>
      <c r="AC136" s="73" t="n"/>
      <c r="AD136" s="69" t="n"/>
      <c r="AE136" s="69" t="n"/>
      <c r="AF136" s="69" t="inlineStr">
        <is>
          <t>FL</t>
        </is>
      </c>
      <c r="AG136" s="69" t="inlineStr">
        <is>
          <t>Boca Raton</t>
        </is>
      </c>
      <c r="AH136" s="69" t="inlineStr">
        <is>
          <t>Miami-Fort Lauderdale-West Palm Beach, FL</t>
        </is>
      </c>
      <c r="AI136" s="69" t="inlineStr">
        <is>
          <t>South / Atlantic</t>
        </is>
      </c>
      <c r="AJ136" s="69" t="inlineStr">
        <is>
          <t>OF</t>
        </is>
      </c>
      <c r="AK136" s="69" t="inlineStr">
        <is>
          <t>Suburban</t>
        </is>
      </c>
      <c r="AL136" s="68" t="n">
        <v>1</v>
      </c>
      <c r="AM136" s="68" t="n"/>
      <c r="AN136" s="68" t="n">
        <v>108616</v>
      </c>
      <c r="AO136" s="69" t="inlineStr">
        <is>
          <t>2008</t>
        </is>
      </c>
      <c r="AP136" s="70" t="n">
        <v>2008</v>
      </c>
      <c r="AQ136" s="74" t="n">
        <v>2.75</v>
      </c>
      <c r="AR136" s="74" t="n">
        <v>3.74</v>
      </c>
      <c r="AS136" s="74" t="n">
        <v>50.1</v>
      </c>
      <c r="AT136" s="74" t="n">
        <v>50.15</v>
      </c>
      <c r="AU136" s="74" t="n">
        <v>50.1</v>
      </c>
      <c r="AV136" s="74" t="n">
        <v>12.135036969</v>
      </c>
      <c r="AW136" s="74" t="n">
        <v>16.535668806</v>
      </c>
      <c r="AX136" s="75" t="n">
        <v>95</v>
      </c>
      <c r="AY136" s="71" t="n">
        <v>40400000</v>
      </c>
      <c r="AZ136" s="71" t="n">
        <v>40400000</v>
      </c>
      <c r="BA136" s="71" t="n">
        <v>2458558.49</v>
      </c>
      <c r="BB136" s="71" t="n">
        <v>3350126.5</v>
      </c>
      <c r="BC136" s="69" t="inlineStr">
        <is>
          <t>Refinance</t>
        </is>
      </c>
      <c r="BD136" s="69" t="inlineStr">
        <is>
          <t>N</t>
        </is>
      </c>
      <c r="BE136" s="71" t="n"/>
      <c r="BF136" s="71" t="n"/>
      <c r="BG136" s="71" t="n"/>
      <c r="BH136" s="71" t="n">
        <v>0</v>
      </c>
      <c r="BI136" s="71" t="n">
        <v>0</v>
      </c>
      <c r="BJ136" s="69" t="inlineStr">
        <is>
          <t>N</t>
        </is>
      </c>
      <c r="BK136" s="69" t="inlineStr">
        <is>
          <t>MCRT South Florida LLC t0038503</t>
        </is>
      </c>
      <c r="BL136" s="75" t="n">
        <v>24.93</v>
      </c>
      <c r="BM136" s="73" t="n">
        <v>48518</v>
      </c>
      <c r="BN136" s="69" t="inlineStr">
        <is>
          <t>AGS Properties Corporation</t>
        </is>
      </c>
      <c r="BO136" s="69" t="inlineStr">
        <is>
          <t>Barclays</t>
        </is>
      </c>
      <c r="BP136" s="69" t="inlineStr">
        <is>
          <t>TriMont Real Estate Advisors</t>
        </is>
      </c>
      <c r="BQ136" s="69" t="inlineStr">
        <is>
          <t>K-Star Asset Management LLC</t>
        </is>
      </c>
      <c r="BR136" s="69" t="n"/>
      <c r="BS136" s="73" t="n">
        <v>46276</v>
      </c>
      <c r="BU136" s="76">
        <f>IF($C136="","",IFERROR(INDEX(dmName,MATCH($C136,dmID,0)),"Unmapped"))</f>
        <v/>
      </c>
      <c r="BV136" s="76">
        <f>IF($C136="","",IFERROR(INDEX(dmEntity,MATCH($C136,dmID,0)),"Unmapped"))</f>
        <v/>
      </c>
      <c r="BW136" s="77">
        <f>IF($C136="","",IFERROR(INDEX(dmVintage,MATCH($C136,dmID,0)),""))</f>
        <v/>
      </c>
      <c r="BX136" s="78">
        <f>IFERROR(INDEX(dmInclude,MATCH($C136,dmID,0)),0)</f>
        <v/>
      </c>
      <c r="BY136" s="78">
        <f>IF(N($I136)&gt;0,1,0)</f>
        <v/>
      </c>
      <c r="BZ136" s="76">
        <f>IF($AJ136="","Other / Leased Fee",IFERROR(INDEX(mapPTGroup,MATCH(LEFT(TRIM($AJ136),2),mapPTCode,0)),"Other / Leased Fee"))</f>
        <v/>
      </c>
      <c r="CA136" s="76">
        <f>IF(TRIM($AF136&amp;"")="","NR",LEFT(TRIM($AF136),2))</f>
        <v/>
      </c>
      <c r="CB136" s="76">
        <f>IFERROR(LOOKUP(2,1/(LEFT(TRIM($AI136&amp;""),LEN(mapRegion))=mapRegion),mapRegion),"Not Reported")</f>
        <v/>
      </c>
      <c r="CC136" s="76">
        <f>IF($BY136=0,"",IF(TRIM($W136&amp;"")="REO","REO",IF(TRIM($W136&amp;"")="FC","Foreclosure",IF(TRIM($W136&amp;"")="90+","90+ Days Delinquent",IF(TRIM($W136&amp;"")="60","60 Days Delinquent",IF(TRIM($W136&amp;"")="30","30 Days Delinquent",IF($X136="Non-Performing Matured Balloon","Non-Performing Matured Balloon",IF(OR($X136="Late Payment But Less Than 30 Days Delinquent",LEFT($X136&amp;"",20)="Payment Not Received"),"Late / In Grace (&lt;30 Days)",IF($X136="Performing Matured Balloon","Performing Matured Balloon","Current")))))))))</f>
        <v/>
      </c>
      <c r="CD136" s="78">
        <f>IF(OR($CC136="REO",$CC136="Foreclosure",$CC136="90+ Days Delinquent",$CC136="60 Days Delinquent",$CC136="30 Days Delinquent",$CC136="Non-Performing Matured Balloon"),1,0)</f>
        <v/>
      </c>
      <c r="CE136" s="76">
        <f>IF($AB136="Currently special serv","Currently Specially Serviced",IF($AB136="Returned to master serv","Previously Specially Serviced","Never Specially Serviced"))</f>
        <v/>
      </c>
      <c r="CF136" s="78">
        <f>IF($CE136="Currently Specially Serviced",1,0)</f>
        <v/>
      </c>
      <c r="CG136" s="76">
        <f>IF($AA136="Yes","Currently on Watchlist",IF($AA136="Previously","Previously on Watchlist","Never on Watchlist"))</f>
        <v/>
      </c>
      <c r="CH136" s="78">
        <f>IF($CG136="Currently on Watchlist",1,0)</f>
        <v/>
      </c>
      <c r="CI136" s="76">
        <f>IF($Z136="Full Defeasance","Fully Defeased",IF($Z136="Portion Of Loan Previously Defeased","Partially Defeased",IF($Z136="Defeasance Not Allowable","Not Defeased (Not Permitted)","Not Defeased")))</f>
        <v/>
      </c>
      <c r="CJ136" s="78">
        <f>IF($CI136="Fully Defeased",1,0)</f>
        <v/>
      </c>
      <c r="CK136" s="76">
        <f>IF($R136="IO","Full IO",IF(LEFT($R136&amp;"",7)="IO then","Partial IO","Amortizing"))</f>
        <v/>
      </c>
      <c r="CL136" s="78">
        <f>IF($CK136="Full IO",1,0)</f>
        <v/>
      </c>
      <c r="CM136" s="78">
        <f>IF($CK136="Partial IO",1,0)</f>
        <v/>
      </c>
      <c r="CN136" s="76">
        <f>IF(LEFT($F136&amp;"",10)="SPLIT_LOAN","Pari Passu Split","Standalone")</f>
        <v/>
      </c>
      <c r="CO136" s="78">
        <f>IF($CN136="Pari Passu Split",1,0)</f>
        <v/>
      </c>
      <c r="CP136" s="77">
        <f>IF(ISNUMBER($T136),YEAR($T136),"")</f>
        <v/>
      </c>
      <c r="CQ136" s="79">
        <f>IF(ISNUMBER($V136),$V136,IF(ISNUMBER($U136),$U136,""))</f>
        <v/>
      </c>
      <c r="CR136" s="77">
        <f>IF(ISNUMBER($CQ136),YEAR($CQ136),"")</f>
        <v/>
      </c>
      <c r="CS136" s="78">
        <f>IF(ISNUMBER($M136),MAX(0,$M136),IF(TRIM($M136&amp;"")="matured",0,""))</f>
        <v/>
      </c>
      <c r="CT136" s="78">
        <f>IF(AND(ISNUMBER($CS136),N($CS136)&lt;=mMatWindow),1,0)</f>
        <v/>
      </c>
      <c r="CU136" s="80">
        <f>IF(ISNUMBER($J136),$J136/100,"")</f>
        <v/>
      </c>
      <c r="CV136" s="81">
        <f>IF(ISNUMBER($AQ136),$AQ136,"")</f>
        <v/>
      </c>
      <c r="CW136" s="81">
        <f>IF(ISNUMBER($AR136),$AR136,"")</f>
        <v/>
      </c>
      <c r="CX136" s="82">
        <f>IF(ISNUMBER($AS136),$AS136/100,"")</f>
        <v/>
      </c>
      <c r="CY136" s="82">
        <f>IF(ISNUMBER($AT136),$AT136/100,"")</f>
        <v/>
      </c>
      <c r="CZ136" s="82">
        <f>IF(ISNUMBER($AU136),$AU136/100,"")</f>
        <v/>
      </c>
      <c r="DA136" s="82">
        <f>IF(ISNUMBER($AV136),$AV136/100,"")</f>
        <v/>
      </c>
      <c r="DB136" s="82">
        <f>IF(ISNUMBER($AW136),$AW136/100,"")</f>
        <v/>
      </c>
      <c r="DC136" s="82">
        <f>IF(ISNUMBER($AX136),$AX136/100,"")</f>
        <v/>
      </c>
      <c r="DD136" s="77">
        <f>IFERROR(VALUE(LEFT(TRIM($AO136&amp;""),4)),"")</f>
        <v/>
      </c>
      <c r="DE136" s="78">
        <f>IF(AND($BY136=1,$BX136=1,OR(fDeal="All Deals",$BU136=fDeal),OR(fEntity="All Entities",$BV136=fEntity),OR(fPType="All Property Types",$BZ136=fPType),OR(fDefeased="Include",$CJ136=0)),1,0)</f>
        <v/>
      </c>
      <c r="DF136" s="83">
        <f>$DE136*N($I136)</f>
        <v/>
      </c>
      <c r="DG136" s="78">
        <f>IF($DE136=1,IF(COUNTIFS($F$8:$F136,$F136,$DE$8:$DE136,1)=1,1,0),0)</f>
        <v/>
      </c>
      <c r="DH136" s="83">
        <f>IF($DG136=1,SUMIFS($DF$8:$DF$1600,$F$8:$F$1600,$F136),0)</f>
        <v/>
      </c>
      <c r="DI136" s="78">
        <f>IF($DG136=1,COUNTIFS($F$8:$F$1600,$F136,$DE$8:$DE$1600,1),0)</f>
        <v/>
      </c>
      <c r="DJ136" s="84">
        <f>IF($DG136=1,$DH136+(100000-ROW())/mTieBreak,0)</f>
        <v/>
      </c>
    </row>
    <row r="137">
      <c r="B137" s="68" t="n">
        <v>14</v>
      </c>
      <c r="C137" s="69" t="inlineStr">
        <is>
          <t>WFC18C47</t>
        </is>
      </c>
      <c r="D137" s="69" t="inlineStr">
        <is>
          <t>14.000</t>
        </is>
      </c>
      <c r="E137" s="69" t="inlineStr">
        <is>
          <t>Embassy Suites Overland Park</t>
        </is>
      </c>
      <c r="F137" s="69" t="inlineStr">
        <is>
          <t>LNWFC18C47-14.000</t>
        </is>
      </c>
      <c r="G137" s="70" t="n"/>
      <c r="H137" s="71" t="n">
        <v>19000000</v>
      </c>
      <c r="I137" s="71" t="n">
        <v>16616743.860004</v>
      </c>
      <c r="J137" s="72" t="n">
        <v>5.352</v>
      </c>
      <c r="K137" s="69" t="inlineStr">
        <is>
          <t>Fixed rate</t>
        </is>
      </c>
      <c r="L137" s="68" t="n">
        <v>120</v>
      </c>
      <c r="M137" s="68" t="n">
        <v>25</v>
      </c>
      <c r="N137" s="68" t="n">
        <v>360</v>
      </c>
      <c r="O137" s="68" t="n"/>
      <c r="P137" s="68" t="n"/>
      <c r="Q137" s="68" t="n">
        <v>95</v>
      </c>
      <c r="R137" s="69" t="n"/>
      <c r="S137" s="69" t="inlineStr">
        <is>
          <t>No</t>
        </is>
      </c>
      <c r="T137" s="73" t="n">
        <v>43374</v>
      </c>
      <c r="U137" s="73" t="n">
        <v>47032</v>
      </c>
      <c r="V137" s="73" t="n"/>
      <c r="W137" s="69" t="n"/>
      <c r="X137" s="69" t="inlineStr">
        <is>
          <t>Current</t>
        </is>
      </c>
      <c r="Y137" s="68" t="n"/>
      <c r="Z137" s="69" t="inlineStr">
        <is>
          <t>No Defeasance Occurred</t>
        </is>
      </c>
      <c r="AA137" s="69" t="inlineStr">
        <is>
          <t>Yes</t>
        </is>
      </c>
      <c r="AB137" s="69" t="inlineStr">
        <is>
          <t>Never special serv</t>
        </is>
      </c>
      <c r="AC137" s="73" t="n"/>
      <c r="AD137" s="69" t="n"/>
      <c r="AE137" s="69" t="n"/>
      <c r="AF137" s="69" t="inlineStr">
        <is>
          <t>KS</t>
        </is>
      </c>
      <c r="AG137" s="69" t="inlineStr">
        <is>
          <t>Overland Park</t>
        </is>
      </c>
      <c r="AH137" s="69" t="inlineStr">
        <is>
          <t>Kansas City, MO-KS</t>
        </is>
      </c>
      <c r="AI137" s="69" t="inlineStr">
        <is>
          <t>Midwest / Central West</t>
        </is>
      </c>
      <c r="AJ137" s="69" t="inlineStr">
        <is>
          <t>HT</t>
        </is>
      </c>
      <c r="AK137" s="69" t="inlineStr">
        <is>
          <t>Full Service</t>
        </is>
      </c>
      <c r="AL137" s="68" t="n">
        <v>1</v>
      </c>
      <c r="AM137" s="68" t="n">
        <v>199</v>
      </c>
      <c r="AN137" s="68" t="n"/>
      <c r="AO137" s="69" t="inlineStr">
        <is>
          <t>1984</t>
        </is>
      </c>
      <c r="AP137" s="70" t="n">
        <v>2015</v>
      </c>
      <c r="AQ137" s="74" t="n">
        <v>1.7</v>
      </c>
      <c r="AR137" s="74" t="n">
        <v>1.11</v>
      </c>
      <c r="AS137" s="74" t="n">
        <v>60.7</v>
      </c>
      <c r="AT137" s="74" t="n">
        <v>53.09</v>
      </c>
      <c r="AU137" s="74" t="n">
        <v>50.5</v>
      </c>
      <c r="AV137" s="74" t="n">
        <v>11.384232526</v>
      </c>
      <c r="AW137" s="74" t="n">
        <v>8.67678591</v>
      </c>
      <c r="AX137" s="75" t="n">
        <v>70</v>
      </c>
      <c r="AY137" s="71" t="n">
        <v>31300000</v>
      </c>
      <c r="AZ137" s="71" t="n">
        <v>31300000</v>
      </c>
      <c r="BA137" s="71" t="n">
        <v>2163004.18</v>
      </c>
      <c r="BB137" s="71" t="n">
        <v>1419457.69</v>
      </c>
      <c r="BC137" s="69" t="inlineStr">
        <is>
          <t>Acquisition</t>
        </is>
      </c>
      <c r="BD137" s="69" t="inlineStr">
        <is>
          <t>N</t>
        </is>
      </c>
      <c r="BE137" s="71" t="n"/>
      <c r="BF137" s="71" t="n"/>
      <c r="BG137" s="71" t="n"/>
      <c r="BH137" s="71" t="n">
        <v>0</v>
      </c>
      <c r="BI137" s="71" t="n">
        <v>0</v>
      </c>
      <c r="BJ137" s="69" t="inlineStr">
        <is>
          <t>N</t>
        </is>
      </c>
      <c r="BK137" s="69" t="n"/>
      <c r="BL137" s="75" t="n"/>
      <c r="BM137" s="73" t="n"/>
      <c r="BN137" s="69" t="inlineStr">
        <is>
          <t>Encore Enterprises, Inc.</t>
        </is>
      </c>
      <c r="BO137" s="69" t="inlineStr">
        <is>
          <t>Ladder Capital Finance</t>
        </is>
      </c>
      <c r="BP137" s="69" t="inlineStr">
        <is>
          <t>TriMont Real Estate Advisors</t>
        </is>
      </c>
      <c r="BQ137" s="69" t="inlineStr">
        <is>
          <t>K-Star Asset Management LLC</t>
        </is>
      </c>
      <c r="BR137" s="69" t="n"/>
      <c r="BS137" s="73" t="n">
        <v>46276</v>
      </c>
      <c r="BU137" s="76">
        <f>IF($C137="","",IFERROR(INDEX(dmName,MATCH($C137,dmID,0)),"Unmapped"))</f>
        <v/>
      </c>
      <c r="BV137" s="76">
        <f>IF($C137="","",IFERROR(INDEX(dmEntity,MATCH($C137,dmID,0)),"Unmapped"))</f>
        <v/>
      </c>
      <c r="BW137" s="77">
        <f>IF($C137="","",IFERROR(INDEX(dmVintage,MATCH($C137,dmID,0)),""))</f>
        <v/>
      </c>
      <c r="BX137" s="78">
        <f>IFERROR(INDEX(dmInclude,MATCH($C137,dmID,0)),0)</f>
        <v/>
      </c>
      <c r="BY137" s="78">
        <f>IF(N($I137)&gt;0,1,0)</f>
        <v/>
      </c>
      <c r="BZ137" s="76">
        <f>IF($AJ137="","Other / Leased Fee",IFERROR(INDEX(mapPTGroup,MATCH(LEFT(TRIM($AJ137),2),mapPTCode,0)),"Other / Leased Fee"))</f>
        <v/>
      </c>
      <c r="CA137" s="76">
        <f>IF(TRIM($AF137&amp;"")="","NR",LEFT(TRIM($AF137),2))</f>
        <v/>
      </c>
      <c r="CB137" s="76">
        <f>IFERROR(LOOKUP(2,1/(LEFT(TRIM($AI137&amp;""),LEN(mapRegion))=mapRegion),mapRegion),"Not Reported")</f>
        <v/>
      </c>
      <c r="CC137" s="76">
        <f>IF($BY137=0,"",IF(TRIM($W137&amp;"")="REO","REO",IF(TRIM($W137&amp;"")="FC","Foreclosure",IF(TRIM($W137&amp;"")="90+","90+ Days Delinquent",IF(TRIM($W137&amp;"")="60","60 Days Delinquent",IF(TRIM($W137&amp;"")="30","30 Days Delinquent",IF($X137="Non-Performing Matured Balloon","Non-Performing Matured Balloon",IF(OR($X137="Late Payment But Less Than 30 Days Delinquent",LEFT($X137&amp;"",20)="Payment Not Received"),"Late / In Grace (&lt;30 Days)",IF($X137="Performing Matured Balloon","Performing Matured Balloon","Current")))))))))</f>
        <v/>
      </c>
      <c r="CD137" s="78">
        <f>IF(OR($CC137="REO",$CC137="Foreclosure",$CC137="90+ Days Delinquent",$CC137="60 Days Delinquent",$CC137="30 Days Delinquent",$CC137="Non-Performing Matured Balloon"),1,0)</f>
        <v/>
      </c>
      <c r="CE137" s="76">
        <f>IF($AB137="Currently special serv","Currently Specially Serviced",IF($AB137="Returned to master serv","Previously Specially Serviced","Never Specially Serviced"))</f>
        <v/>
      </c>
      <c r="CF137" s="78">
        <f>IF($CE137="Currently Specially Serviced",1,0)</f>
        <v/>
      </c>
      <c r="CG137" s="76">
        <f>IF($AA137="Yes","Currently on Watchlist",IF($AA137="Previously","Previously on Watchlist","Never on Watchlist"))</f>
        <v/>
      </c>
      <c r="CH137" s="78">
        <f>IF($CG137="Currently on Watchlist",1,0)</f>
        <v/>
      </c>
      <c r="CI137" s="76">
        <f>IF($Z137="Full Defeasance","Fully Defeased",IF($Z137="Portion Of Loan Previously Defeased","Partially Defeased",IF($Z137="Defeasance Not Allowable","Not Defeased (Not Permitted)","Not Defeased")))</f>
        <v/>
      </c>
      <c r="CJ137" s="78">
        <f>IF($CI137="Fully Defeased",1,0)</f>
        <v/>
      </c>
      <c r="CK137" s="76">
        <f>IF($R137="IO","Full IO",IF(LEFT($R137&amp;"",7)="IO then","Partial IO","Amortizing"))</f>
        <v/>
      </c>
      <c r="CL137" s="78">
        <f>IF($CK137="Full IO",1,0)</f>
        <v/>
      </c>
      <c r="CM137" s="78">
        <f>IF($CK137="Partial IO",1,0)</f>
        <v/>
      </c>
      <c r="CN137" s="76">
        <f>IF(LEFT($F137&amp;"",10)="SPLIT_LOAN","Pari Passu Split","Standalone")</f>
        <v/>
      </c>
      <c r="CO137" s="78">
        <f>IF($CN137="Pari Passu Split",1,0)</f>
        <v/>
      </c>
      <c r="CP137" s="77">
        <f>IF(ISNUMBER($T137),YEAR($T137),"")</f>
        <v/>
      </c>
      <c r="CQ137" s="79">
        <f>IF(ISNUMBER($V137),$V137,IF(ISNUMBER($U137),$U137,""))</f>
        <v/>
      </c>
      <c r="CR137" s="77">
        <f>IF(ISNUMBER($CQ137),YEAR($CQ137),"")</f>
        <v/>
      </c>
      <c r="CS137" s="78">
        <f>IF(ISNUMBER($M137),MAX(0,$M137),IF(TRIM($M137&amp;"")="matured",0,""))</f>
        <v/>
      </c>
      <c r="CT137" s="78">
        <f>IF(AND(ISNUMBER($CS137),N($CS137)&lt;=mMatWindow),1,0)</f>
        <v/>
      </c>
      <c r="CU137" s="80">
        <f>IF(ISNUMBER($J137),$J137/100,"")</f>
        <v/>
      </c>
      <c r="CV137" s="81">
        <f>IF(ISNUMBER($AQ137),$AQ137,"")</f>
        <v/>
      </c>
      <c r="CW137" s="81">
        <f>IF(ISNUMBER($AR137),$AR137,"")</f>
        <v/>
      </c>
      <c r="CX137" s="82">
        <f>IF(ISNUMBER($AS137),$AS137/100,"")</f>
        <v/>
      </c>
      <c r="CY137" s="82">
        <f>IF(ISNUMBER($AT137),$AT137/100,"")</f>
        <v/>
      </c>
      <c r="CZ137" s="82">
        <f>IF(ISNUMBER($AU137),$AU137/100,"")</f>
        <v/>
      </c>
      <c r="DA137" s="82">
        <f>IF(ISNUMBER($AV137),$AV137/100,"")</f>
        <v/>
      </c>
      <c r="DB137" s="82">
        <f>IF(ISNUMBER($AW137),$AW137/100,"")</f>
        <v/>
      </c>
      <c r="DC137" s="82">
        <f>IF(ISNUMBER($AX137),$AX137/100,"")</f>
        <v/>
      </c>
      <c r="DD137" s="77">
        <f>IFERROR(VALUE(LEFT(TRIM($AO137&amp;""),4)),"")</f>
        <v/>
      </c>
      <c r="DE137" s="78">
        <f>IF(AND($BY137=1,$BX137=1,OR(fDeal="All Deals",$BU137=fDeal),OR(fEntity="All Entities",$BV137=fEntity),OR(fPType="All Property Types",$BZ137=fPType),OR(fDefeased="Include",$CJ137=0)),1,0)</f>
        <v/>
      </c>
      <c r="DF137" s="83">
        <f>$DE137*N($I137)</f>
        <v/>
      </c>
      <c r="DG137" s="78">
        <f>IF($DE137=1,IF(COUNTIFS($F$8:$F137,$F137,$DE$8:$DE137,1)=1,1,0),0)</f>
        <v/>
      </c>
      <c r="DH137" s="83">
        <f>IF($DG137=1,SUMIFS($DF$8:$DF$1600,$F$8:$F$1600,$F137),0)</f>
        <v/>
      </c>
      <c r="DI137" s="78">
        <f>IF($DG137=1,COUNTIFS($F$8:$F$1600,$F137,$DE$8:$DE$1600,1),0)</f>
        <v/>
      </c>
      <c r="DJ137" s="84">
        <f>IF($DG137=1,$DH137+(100000-ROW())/mTieBreak,0)</f>
        <v/>
      </c>
    </row>
    <row r="138">
      <c r="B138" s="68" t="n">
        <v>15</v>
      </c>
      <c r="C138" s="69" t="inlineStr">
        <is>
          <t>WFC18C47</t>
        </is>
      </c>
      <c r="D138" s="69" t="inlineStr">
        <is>
          <t>15.000</t>
        </is>
      </c>
      <c r="E138" s="69" t="inlineStr">
        <is>
          <t>Christenbury Corners</t>
        </is>
      </c>
      <c r="F138" s="69" t="inlineStr">
        <is>
          <t>LNWFC18C47-15.000</t>
        </is>
      </c>
      <c r="G138" s="70" t="n"/>
      <c r="H138" s="71" t="n">
        <v>18500000</v>
      </c>
      <c r="I138" s="71" t="n">
        <v>17020863.2600055</v>
      </c>
      <c r="J138" s="72" t="n">
        <v>5.04</v>
      </c>
      <c r="K138" s="69" t="inlineStr">
        <is>
          <t>Fixed rate</t>
        </is>
      </c>
      <c r="L138" s="68" t="n">
        <v>120</v>
      </c>
      <c r="M138" s="68" t="n">
        <v>22</v>
      </c>
      <c r="N138" s="68" t="n">
        <v>396</v>
      </c>
      <c r="O138" s="68" t="n">
        <v>36</v>
      </c>
      <c r="P138" s="68" t="n">
        <v>0</v>
      </c>
      <c r="Q138" s="68" t="n">
        <v>98</v>
      </c>
      <c r="R138" s="69" t="inlineStr">
        <is>
          <t>IO then Amort</t>
        </is>
      </c>
      <c r="S138" s="69" t="inlineStr">
        <is>
          <t>No</t>
        </is>
      </c>
      <c r="T138" s="73" t="n">
        <v>43282</v>
      </c>
      <c r="U138" s="73" t="n">
        <v>46945</v>
      </c>
      <c r="V138" s="73" t="n"/>
      <c r="W138" s="69" t="n"/>
      <c r="X138" s="69" t="inlineStr">
        <is>
          <t>Current</t>
        </is>
      </c>
      <c r="Y138" s="68" t="n"/>
      <c r="Z138" s="69" t="inlineStr">
        <is>
          <t>No Defeasance Occurred</t>
        </is>
      </c>
      <c r="AA138" s="69" t="inlineStr">
        <is>
          <t>Yes</t>
        </is>
      </c>
      <c r="AB138" s="69" t="inlineStr">
        <is>
          <t>Never special serv</t>
        </is>
      </c>
      <c r="AC138" s="73" t="n"/>
      <c r="AD138" s="69" t="n"/>
      <c r="AE138" s="69" t="n"/>
      <c r="AF138" s="69" t="inlineStr">
        <is>
          <t>NC</t>
        </is>
      </c>
      <c r="AG138" s="69" t="inlineStr">
        <is>
          <t>Concord</t>
        </is>
      </c>
      <c r="AH138" s="69" t="inlineStr">
        <is>
          <t>Charlotte-Concord-Gastonia, NC-SC</t>
        </is>
      </c>
      <c r="AI138" s="69" t="inlineStr">
        <is>
          <t>South / Atlantic</t>
        </is>
      </c>
      <c r="AJ138" s="69" t="inlineStr">
        <is>
          <t>RT</t>
        </is>
      </c>
      <c r="AK138" s="69" t="inlineStr">
        <is>
          <t>Anchored</t>
        </is>
      </c>
      <c r="AL138" s="68" t="n">
        <v>1</v>
      </c>
      <c r="AM138" s="68" t="n"/>
      <c r="AN138" s="68" t="n">
        <v>118473</v>
      </c>
      <c r="AO138" s="69" t="inlineStr">
        <is>
          <t>2017</t>
        </is>
      </c>
      <c r="AP138" s="70" t="n">
        <v>2017</v>
      </c>
      <c r="AQ138" s="74" t="n">
        <v>1.42</v>
      </c>
      <c r="AR138" s="74" t="n">
        <v>0.99</v>
      </c>
      <c r="AS138" s="74" t="n">
        <v>68.3</v>
      </c>
      <c r="AT138" s="74" t="n">
        <v>62.81</v>
      </c>
      <c r="AU138" s="74" t="n">
        <v>60.5</v>
      </c>
      <c r="AV138" s="74" t="n">
        <v>9.160075676</v>
      </c>
      <c r="AW138" s="74" t="n">
        <v>9.28912944</v>
      </c>
      <c r="AX138" s="75" t="n">
        <v>80</v>
      </c>
      <c r="AY138" s="71" t="n">
        <v>27100000</v>
      </c>
      <c r="AZ138" s="71" t="n">
        <v>27100000</v>
      </c>
      <c r="BA138" s="71" t="n">
        <v>1694614</v>
      </c>
      <c r="BB138" s="71" t="n">
        <v>593504.29</v>
      </c>
      <c r="BC138" s="69" t="inlineStr">
        <is>
          <t>Refinance</t>
        </is>
      </c>
      <c r="BD138" s="69" t="inlineStr">
        <is>
          <t>N</t>
        </is>
      </c>
      <c r="BE138" s="71" t="n"/>
      <c r="BF138" s="71" t="n"/>
      <c r="BG138" s="71" t="n">
        <v>2500000</v>
      </c>
      <c r="BH138" s="71" t="n">
        <v>0</v>
      </c>
      <c r="BI138" s="71" t="n">
        <v>0</v>
      </c>
      <c r="BJ138" s="69" t="inlineStr">
        <is>
          <t>N</t>
        </is>
      </c>
      <c r="BK138" s="69" t="inlineStr">
        <is>
          <t>Kohl's Department Store</t>
        </is>
      </c>
      <c r="BL138" s="75" t="n">
        <v>46.85</v>
      </c>
      <c r="BM138" s="73" t="n">
        <v>50436</v>
      </c>
      <c r="BN138" s="69" t="inlineStr">
        <is>
          <t>John G. Thompson; John G. Thompson Revocable Trust u/t/d December 2, 2003; Paul M. Thrift Revocable Trust u/t/d May 16, 2003; Paul M. Thrift</t>
        </is>
      </c>
      <c r="BO138" s="69" t="inlineStr">
        <is>
          <t>Wells Fargo</t>
        </is>
      </c>
      <c r="BP138" s="69" t="inlineStr">
        <is>
          <t>TriMont Real Estate Advisors</t>
        </is>
      </c>
      <c r="BQ138" s="69" t="inlineStr">
        <is>
          <t>K-Star Asset Management LLC</t>
        </is>
      </c>
      <c r="BR138" s="69" t="n"/>
      <c r="BS138" s="73" t="n">
        <v>46276</v>
      </c>
      <c r="BU138" s="76">
        <f>IF($C138="","",IFERROR(INDEX(dmName,MATCH($C138,dmID,0)),"Unmapped"))</f>
        <v/>
      </c>
      <c r="BV138" s="76">
        <f>IF($C138="","",IFERROR(INDEX(dmEntity,MATCH($C138,dmID,0)),"Unmapped"))</f>
        <v/>
      </c>
      <c r="BW138" s="77">
        <f>IF($C138="","",IFERROR(INDEX(dmVintage,MATCH($C138,dmID,0)),""))</f>
        <v/>
      </c>
      <c r="BX138" s="78">
        <f>IFERROR(INDEX(dmInclude,MATCH($C138,dmID,0)),0)</f>
        <v/>
      </c>
      <c r="BY138" s="78">
        <f>IF(N($I138)&gt;0,1,0)</f>
        <v/>
      </c>
      <c r="BZ138" s="76">
        <f>IF($AJ138="","Other / Leased Fee",IFERROR(INDEX(mapPTGroup,MATCH(LEFT(TRIM($AJ138),2),mapPTCode,0)),"Other / Leased Fee"))</f>
        <v/>
      </c>
      <c r="CA138" s="76">
        <f>IF(TRIM($AF138&amp;"")="","NR",LEFT(TRIM($AF138),2))</f>
        <v/>
      </c>
      <c r="CB138" s="76">
        <f>IFERROR(LOOKUP(2,1/(LEFT(TRIM($AI138&amp;""),LEN(mapRegion))=mapRegion),mapRegion),"Not Reported")</f>
        <v/>
      </c>
      <c r="CC138" s="76">
        <f>IF($BY138=0,"",IF(TRIM($W138&amp;"")="REO","REO",IF(TRIM($W138&amp;"")="FC","Foreclosure",IF(TRIM($W138&amp;"")="90+","90+ Days Delinquent",IF(TRIM($W138&amp;"")="60","60 Days Delinquent",IF(TRIM($W138&amp;"")="30","30 Days Delinquent",IF($X138="Non-Performing Matured Balloon","Non-Performing Matured Balloon",IF(OR($X138="Late Payment But Less Than 30 Days Delinquent",LEFT($X138&amp;"",20)="Payment Not Received"),"Late / In Grace (&lt;30 Days)",IF($X138="Performing Matured Balloon","Performing Matured Balloon","Current")))))))))</f>
        <v/>
      </c>
      <c r="CD138" s="78">
        <f>IF(OR($CC138="REO",$CC138="Foreclosure",$CC138="90+ Days Delinquent",$CC138="60 Days Delinquent",$CC138="30 Days Delinquent",$CC138="Non-Performing Matured Balloon"),1,0)</f>
        <v/>
      </c>
      <c r="CE138" s="76">
        <f>IF($AB138="Currently special serv","Currently Specially Serviced",IF($AB138="Returned to master serv","Previously Specially Serviced","Never Specially Serviced"))</f>
        <v/>
      </c>
      <c r="CF138" s="78">
        <f>IF($CE138="Currently Specially Serviced",1,0)</f>
        <v/>
      </c>
      <c r="CG138" s="76">
        <f>IF($AA138="Yes","Currently on Watchlist",IF($AA138="Previously","Previously on Watchlist","Never on Watchlist"))</f>
        <v/>
      </c>
      <c r="CH138" s="78">
        <f>IF($CG138="Currently on Watchlist",1,0)</f>
        <v/>
      </c>
      <c r="CI138" s="76">
        <f>IF($Z138="Full Defeasance","Fully Defeased",IF($Z138="Portion Of Loan Previously Defeased","Partially Defeased",IF($Z138="Defeasance Not Allowable","Not Defeased (Not Permitted)","Not Defeased")))</f>
        <v/>
      </c>
      <c r="CJ138" s="78">
        <f>IF($CI138="Fully Defeased",1,0)</f>
        <v/>
      </c>
      <c r="CK138" s="76">
        <f>IF($R138="IO","Full IO",IF(LEFT($R138&amp;"",7)="IO then","Partial IO","Amortizing"))</f>
        <v/>
      </c>
      <c r="CL138" s="78">
        <f>IF($CK138="Full IO",1,0)</f>
        <v/>
      </c>
      <c r="CM138" s="78">
        <f>IF($CK138="Partial IO",1,0)</f>
        <v/>
      </c>
      <c r="CN138" s="76">
        <f>IF(LEFT($F138&amp;"",10)="SPLIT_LOAN","Pari Passu Split","Standalone")</f>
        <v/>
      </c>
      <c r="CO138" s="78">
        <f>IF($CN138="Pari Passu Split",1,0)</f>
        <v/>
      </c>
      <c r="CP138" s="77">
        <f>IF(ISNUMBER($T138),YEAR($T138),"")</f>
        <v/>
      </c>
      <c r="CQ138" s="79">
        <f>IF(ISNUMBER($V138),$V138,IF(ISNUMBER($U138),$U138,""))</f>
        <v/>
      </c>
      <c r="CR138" s="77">
        <f>IF(ISNUMBER($CQ138),YEAR($CQ138),"")</f>
        <v/>
      </c>
      <c r="CS138" s="78">
        <f>IF(ISNUMBER($M138),MAX(0,$M138),IF(TRIM($M138&amp;"")="matured",0,""))</f>
        <v/>
      </c>
      <c r="CT138" s="78">
        <f>IF(AND(ISNUMBER($CS138),N($CS138)&lt;=mMatWindow),1,0)</f>
        <v/>
      </c>
      <c r="CU138" s="80">
        <f>IF(ISNUMBER($J138),$J138/100,"")</f>
        <v/>
      </c>
      <c r="CV138" s="81">
        <f>IF(ISNUMBER($AQ138),$AQ138,"")</f>
        <v/>
      </c>
      <c r="CW138" s="81">
        <f>IF(ISNUMBER($AR138),$AR138,"")</f>
        <v/>
      </c>
      <c r="CX138" s="82">
        <f>IF(ISNUMBER($AS138),$AS138/100,"")</f>
        <v/>
      </c>
      <c r="CY138" s="82">
        <f>IF(ISNUMBER($AT138),$AT138/100,"")</f>
        <v/>
      </c>
      <c r="CZ138" s="82">
        <f>IF(ISNUMBER($AU138),$AU138/100,"")</f>
        <v/>
      </c>
      <c r="DA138" s="82">
        <f>IF(ISNUMBER($AV138),$AV138/100,"")</f>
        <v/>
      </c>
      <c r="DB138" s="82">
        <f>IF(ISNUMBER($AW138),$AW138/100,"")</f>
        <v/>
      </c>
      <c r="DC138" s="82">
        <f>IF(ISNUMBER($AX138),$AX138/100,"")</f>
        <v/>
      </c>
      <c r="DD138" s="77">
        <f>IFERROR(VALUE(LEFT(TRIM($AO138&amp;""),4)),"")</f>
        <v/>
      </c>
      <c r="DE138" s="78">
        <f>IF(AND($BY138=1,$BX138=1,OR(fDeal="All Deals",$BU138=fDeal),OR(fEntity="All Entities",$BV138=fEntity),OR(fPType="All Property Types",$BZ138=fPType),OR(fDefeased="Include",$CJ138=0)),1,0)</f>
        <v/>
      </c>
      <c r="DF138" s="83">
        <f>$DE138*N($I138)</f>
        <v/>
      </c>
      <c r="DG138" s="78">
        <f>IF($DE138=1,IF(COUNTIFS($F$8:$F138,$F138,$DE$8:$DE138,1)=1,1,0),0)</f>
        <v/>
      </c>
      <c r="DH138" s="83">
        <f>IF($DG138=1,SUMIFS($DF$8:$DF$1600,$F$8:$F$1600,$F138),0)</f>
        <v/>
      </c>
      <c r="DI138" s="78">
        <f>IF($DG138=1,COUNTIFS($F$8:$F$1600,$F138,$DE$8:$DE$1600,1),0)</f>
        <v/>
      </c>
      <c r="DJ138" s="84">
        <f>IF($DG138=1,$DH138+(100000-ROW())/mTieBreak,0)</f>
        <v/>
      </c>
    </row>
    <row r="139">
      <c r="B139" s="68" t="n">
        <v>16</v>
      </c>
      <c r="C139" s="69" t="inlineStr">
        <is>
          <t>WFC18C47</t>
        </is>
      </c>
      <c r="D139" s="69" t="inlineStr">
        <is>
          <t>16.000</t>
        </is>
      </c>
      <c r="E139" s="69" t="inlineStr">
        <is>
          <t>Vista Centre Shoppes</t>
        </is>
      </c>
      <c r="F139" s="69" t="inlineStr">
        <is>
          <t>LNWFC18C47-16.000</t>
        </is>
      </c>
      <c r="G139" s="70" t="n"/>
      <c r="H139" s="71" t="n">
        <v>18000000</v>
      </c>
      <c r="I139" s="71" t="n">
        <v>17196513.820002</v>
      </c>
      <c r="J139" s="72" t="n">
        <v>4.951</v>
      </c>
      <c r="K139" s="69" t="inlineStr">
        <is>
          <t>Fixed rate</t>
        </is>
      </c>
      <c r="L139" s="68" t="n">
        <v>120</v>
      </c>
      <c r="M139" s="68" t="n">
        <v>24</v>
      </c>
      <c r="N139" s="68" t="n">
        <v>420</v>
      </c>
      <c r="O139" s="68" t="n">
        <v>60</v>
      </c>
      <c r="P139" s="68" t="n">
        <v>0</v>
      </c>
      <c r="Q139" s="68" t="n">
        <v>96</v>
      </c>
      <c r="R139" s="69" t="inlineStr">
        <is>
          <t>IO then Amort</t>
        </is>
      </c>
      <c r="S139" s="69" t="inlineStr">
        <is>
          <t>No</t>
        </is>
      </c>
      <c r="T139" s="73" t="n">
        <v>43344</v>
      </c>
      <c r="U139" s="73" t="n">
        <v>47002</v>
      </c>
      <c r="V139" s="73" t="n"/>
      <c r="W139" s="69" t="n"/>
      <c r="X139" s="69" t="inlineStr">
        <is>
          <t>Current</t>
        </is>
      </c>
      <c r="Y139" s="68" t="n"/>
      <c r="Z139" s="69" t="inlineStr">
        <is>
          <t>No Defeasance Occurred</t>
        </is>
      </c>
      <c r="AA139" s="69" t="inlineStr">
        <is>
          <t>Previously</t>
        </is>
      </c>
      <c r="AB139" s="69" t="inlineStr">
        <is>
          <t>Never special serv</t>
        </is>
      </c>
      <c r="AC139" s="73" t="n"/>
      <c r="AD139" s="69" t="n"/>
      <c r="AE139" s="69" t="n"/>
      <c r="AF139" s="69" t="inlineStr">
        <is>
          <t>FL</t>
        </is>
      </c>
      <c r="AG139" s="69" t="inlineStr">
        <is>
          <t>Orlando</t>
        </is>
      </c>
      <c r="AH139" s="69" t="inlineStr">
        <is>
          <t>Orlando-Kissimmee-Sanford, FL</t>
        </is>
      </c>
      <c r="AI139" s="69" t="inlineStr">
        <is>
          <t>South / Atlantic</t>
        </is>
      </c>
      <c r="AJ139" s="69" t="inlineStr">
        <is>
          <t>RT</t>
        </is>
      </c>
      <c r="AK139" s="69" t="inlineStr">
        <is>
          <t>Unanchored</t>
        </is>
      </c>
      <c r="AL139" s="68" t="n">
        <v>1</v>
      </c>
      <c r="AM139" s="68" t="n"/>
      <c r="AN139" s="68" t="n">
        <v>98136</v>
      </c>
      <c r="AO139" s="69" t="inlineStr">
        <is>
          <t>1989</t>
        </is>
      </c>
      <c r="AP139" s="70" t="n">
        <v>1989</v>
      </c>
      <c r="AQ139" s="74" t="n">
        <v>1.54</v>
      </c>
      <c r="AR139" s="74" t="n">
        <v>2.03</v>
      </c>
      <c r="AS139" s="74" t="n">
        <v>56.3</v>
      </c>
      <c r="AT139" s="74" t="n">
        <v>53.74</v>
      </c>
      <c r="AU139" s="74" t="n">
        <v>51.8</v>
      </c>
      <c r="AV139" s="74" t="n">
        <v>9.845276167</v>
      </c>
      <c r="AW139" s="74" t="n">
        <v>17.056706497</v>
      </c>
      <c r="AX139" s="75" t="n">
        <v>100</v>
      </c>
      <c r="AY139" s="71" t="n">
        <v>32000000</v>
      </c>
      <c r="AZ139" s="71" t="n">
        <v>32000000</v>
      </c>
      <c r="BA139" s="71" t="n">
        <v>1772149.71</v>
      </c>
      <c r="BB139" s="71" t="n">
        <v>1171573</v>
      </c>
      <c r="BC139" s="69" t="inlineStr">
        <is>
          <t>Refinance</t>
        </is>
      </c>
      <c r="BD139" s="69" t="inlineStr">
        <is>
          <t>N</t>
        </is>
      </c>
      <c r="BE139" s="71" t="n"/>
      <c r="BF139" s="71" t="n"/>
      <c r="BG139" s="71" t="n"/>
      <c r="BH139" s="71" t="n">
        <v>0</v>
      </c>
      <c r="BI139" s="71" t="n">
        <v>0</v>
      </c>
      <c r="BJ139" s="69" t="inlineStr">
        <is>
          <t>N</t>
        </is>
      </c>
      <c r="BK139" s="69" t="inlineStr">
        <is>
          <t>KBBQ Orlando  LLC</t>
        </is>
      </c>
      <c r="BL139" s="75" t="n">
        <v>13.76</v>
      </c>
      <c r="BM139" s="73" t="n">
        <v>48304</v>
      </c>
      <c r="BN139" s="69" t="inlineStr">
        <is>
          <t>Michael Lapointe; Adam Greenberg</t>
        </is>
      </c>
      <c r="BO139" s="69" t="inlineStr">
        <is>
          <t>Barclays</t>
        </is>
      </c>
      <c r="BP139" s="69" t="inlineStr">
        <is>
          <t>TriMont Real Estate Advisors</t>
        </is>
      </c>
      <c r="BQ139" s="69" t="inlineStr">
        <is>
          <t>K-Star Asset Management LLC</t>
        </is>
      </c>
      <c r="BR139" s="69" t="n"/>
      <c r="BS139" s="73" t="n">
        <v>46276</v>
      </c>
      <c r="BU139" s="76">
        <f>IF($C139="","",IFERROR(INDEX(dmName,MATCH($C139,dmID,0)),"Unmapped"))</f>
        <v/>
      </c>
      <c r="BV139" s="76">
        <f>IF($C139="","",IFERROR(INDEX(dmEntity,MATCH($C139,dmID,0)),"Unmapped"))</f>
        <v/>
      </c>
      <c r="BW139" s="77">
        <f>IF($C139="","",IFERROR(INDEX(dmVintage,MATCH($C139,dmID,0)),""))</f>
        <v/>
      </c>
      <c r="BX139" s="78">
        <f>IFERROR(INDEX(dmInclude,MATCH($C139,dmID,0)),0)</f>
        <v/>
      </c>
      <c r="BY139" s="78">
        <f>IF(N($I139)&gt;0,1,0)</f>
        <v/>
      </c>
      <c r="BZ139" s="76">
        <f>IF($AJ139="","Other / Leased Fee",IFERROR(INDEX(mapPTGroup,MATCH(LEFT(TRIM($AJ139),2),mapPTCode,0)),"Other / Leased Fee"))</f>
        <v/>
      </c>
      <c r="CA139" s="76">
        <f>IF(TRIM($AF139&amp;"")="","NR",LEFT(TRIM($AF139),2))</f>
        <v/>
      </c>
      <c r="CB139" s="76">
        <f>IFERROR(LOOKUP(2,1/(LEFT(TRIM($AI139&amp;""),LEN(mapRegion))=mapRegion),mapRegion),"Not Reported")</f>
        <v/>
      </c>
      <c r="CC139" s="76">
        <f>IF($BY139=0,"",IF(TRIM($W139&amp;"")="REO","REO",IF(TRIM($W139&amp;"")="FC","Foreclosure",IF(TRIM($W139&amp;"")="90+","90+ Days Delinquent",IF(TRIM($W139&amp;"")="60","60 Days Delinquent",IF(TRIM($W139&amp;"")="30","30 Days Delinquent",IF($X139="Non-Performing Matured Balloon","Non-Performing Matured Balloon",IF(OR($X139="Late Payment But Less Than 30 Days Delinquent",LEFT($X139&amp;"",20)="Payment Not Received"),"Late / In Grace (&lt;30 Days)",IF($X139="Performing Matured Balloon","Performing Matured Balloon","Current")))))))))</f>
        <v/>
      </c>
      <c r="CD139" s="78">
        <f>IF(OR($CC139="REO",$CC139="Foreclosure",$CC139="90+ Days Delinquent",$CC139="60 Days Delinquent",$CC139="30 Days Delinquent",$CC139="Non-Performing Matured Balloon"),1,0)</f>
        <v/>
      </c>
      <c r="CE139" s="76">
        <f>IF($AB139="Currently special serv","Currently Specially Serviced",IF($AB139="Returned to master serv","Previously Specially Serviced","Never Specially Serviced"))</f>
        <v/>
      </c>
      <c r="CF139" s="78">
        <f>IF($CE139="Currently Specially Serviced",1,0)</f>
        <v/>
      </c>
      <c r="CG139" s="76">
        <f>IF($AA139="Yes","Currently on Watchlist",IF($AA139="Previously","Previously on Watchlist","Never on Watchlist"))</f>
        <v/>
      </c>
      <c r="CH139" s="78">
        <f>IF($CG139="Currently on Watchlist",1,0)</f>
        <v/>
      </c>
      <c r="CI139" s="76">
        <f>IF($Z139="Full Defeasance","Fully Defeased",IF($Z139="Portion Of Loan Previously Defeased","Partially Defeased",IF($Z139="Defeasance Not Allowable","Not Defeased (Not Permitted)","Not Defeased")))</f>
        <v/>
      </c>
      <c r="CJ139" s="78">
        <f>IF($CI139="Fully Defeased",1,0)</f>
        <v/>
      </c>
      <c r="CK139" s="76">
        <f>IF($R139="IO","Full IO",IF(LEFT($R139&amp;"",7)="IO then","Partial IO","Amortizing"))</f>
        <v/>
      </c>
      <c r="CL139" s="78">
        <f>IF($CK139="Full IO",1,0)</f>
        <v/>
      </c>
      <c r="CM139" s="78">
        <f>IF($CK139="Partial IO",1,0)</f>
        <v/>
      </c>
      <c r="CN139" s="76">
        <f>IF(LEFT($F139&amp;"",10)="SPLIT_LOAN","Pari Passu Split","Standalone")</f>
        <v/>
      </c>
      <c r="CO139" s="78">
        <f>IF($CN139="Pari Passu Split",1,0)</f>
        <v/>
      </c>
      <c r="CP139" s="77">
        <f>IF(ISNUMBER($T139),YEAR($T139),"")</f>
        <v/>
      </c>
      <c r="CQ139" s="79">
        <f>IF(ISNUMBER($V139),$V139,IF(ISNUMBER($U139),$U139,""))</f>
        <v/>
      </c>
      <c r="CR139" s="77">
        <f>IF(ISNUMBER($CQ139),YEAR($CQ139),"")</f>
        <v/>
      </c>
      <c r="CS139" s="78">
        <f>IF(ISNUMBER($M139),MAX(0,$M139),IF(TRIM($M139&amp;"")="matured",0,""))</f>
        <v/>
      </c>
      <c r="CT139" s="78">
        <f>IF(AND(ISNUMBER($CS139),N($CS139)&lt;=mMatWindow),1,0)</f>
        <v/>
      </c>
      <c r="CU139" s="80">
        <f>IF(ISNUMBER($J139),$J139/100,"")</f>
        <v/>
      </c>
      <c r="CV139" s="81">
        <f>IF(ISNUMBER($AQ139),$AQ139,"")</f>
        <v/>
      </c>
      <c r="CW139" s="81">
        <f>IF(ISNUMBER($AR139),$AR139,"")</f>
        <v/>
      </c>
      <c r="CX139" s="82">
        <f>IF(ISNUMBER($AS139),$AS139/100,"")</f>
        <v/>
      </c>
      <c r="CY139" s="82">
        <f>IF(ISNUMBER($AT139),$AT139/100,"")</f>
        <v/>
      </c>
      <c r="CZ139" s="82">
        <f>IF(ISNUMBER($AU139),$AU139/100,"")</f>
        <v/>
      </c>
      <c r="DA139" s="82">
        <f>IF(ISNUMBER($AV139),$AV139/100,"")</f>
        <v/>
      </c>
      <c r="DB139" s="82">
        <f>IF(ISNUMBER($AW139),$AW139/100,"")</f>
        <v/>
      </c>
      <c r="DC139" s="82">
        <f>IF(ISNUMBER($AX139),$AX139/100,"")</f>
        <v/>
      </c>
      <c r="DD139" s="77">
        <f>IFERROR(VALUE(LEFT(TRIM($AO139&amp;""),4)),"")</f>
        <v/>
      </c>
      <c r="DE139" s="78">
        <f>IF(AND($BY139=1,$BX139=1,OR(fDeal="All Deals",$BU139=fDeal),OR(fEntity="All Entities",$BV139=fEntity),OR(fPType="All Property Types",$BZ139=fPType),OR(fDefeased="Include",$CJ139=0)),1,0)</f>
        <v/>
      </c>
      <c r="DF139" s="83">
        <f>$DE139*N($I139)</f>
        <v/>
      </c>
      <c r="DG139" s="78">
        <f>IF($DE139=1,IF(COUNTIFS($F$8:$F139,$F139,$DE$8:$DE139,1)=1,1,0),0)</f>
        <v/>
      </c>
      <c r="DH139" s="83">
        <f>IF($DG139=1,SUMIFS($DF$8:$DF$1600,$F$8:$F$1600,$F139),0)</f>
        <v/>
      </c>
      <c r="DI139" s="78">
        <f>IF($DG139=1,COUNTIFS($F$8:$F$1600,$F139,$DE$8:$DE$1600,1),0)</f>
        <v/>
      </c>
      <c r="DJ139" s="84">
        <f>IF($DG139=1,$DH139+(100000-ROW())/mTieBreak,0)</f>
        <v/>
      </c>
    </row>
    <row r="140">
      <c r="B140" s="68" t="n">
        <v>17</v>
      </c>
      <c r="C140" s="69" t="inlineStr">
        <is>
          <t>WFC18C47</t>
        </is>
      </c>
      <c r="D140" s="69" t="inlineStr">
        <is>
          <t>17.000</t>
        </is>
      </c>
      <c r="E140" s="69" t="inlineStr">
        <is>
          <t>Airport Square - NV</t>
        </is>
      </c>
      <c r="F140" s="69" t="inlineStr">
        <is>
          <t>LNWFC18C47-17.000</t>
        </is>
      </c>
      <c r="G140" s="70" t="n"/>
      <c r="H140" s="71" t="n">
        <v>17000000</v>
      </c>
      <c r="I140" s="71" t="n">
        <v>16227232.740001</v>
      </c>
      <c r="J140" s="72" t="n">
        <v>4.855</v>
      </c>
      <c r="K140" s="69" t="inlineStr">
        <is>
          <t>Fixed rate</t>
        </is>
      </c>
      <c r="L140" s="68" t="n">
        <v>120</v>
      </c>
      <c r="M140" s="68" t="n">
        <v>24</v>
      </c>
      <c r="N140" s="68" t="n">
        <v>420</v>
      </c>
      <c r="O140" s="68" t="n">
        <v>60</v>
      </c>
      <c r="P140" s="68" t="n">
        <v>0</v>
      </c>
      <c r="Q140" s="68" t="n">
        <v>96</v>
      </c>
      <c r="R140" s="69" t="inlineStr">
        <is>
          <t>IO then Amort</t>
        </is>
      </c>
      <c r="S140" s="69" t="inlineStr">
        <is>
          <t>No</t>
        </is>
      </c>
      <c r="T140" s="73" t="n">
        <v>43344</v>
      </c>
      <c r="U140" s="73" t="n">
        <v>47007</v>
      </c>
      <c r="V140" s="73" t="n"/>
      <c r="W140" s="69" t="n"/>
      <c r="X140" s="69" t="inlineStr">
        <is>
          <t>Current</t>
        </is>
      </c>
      <c r="Y140" s="68" t="n"/>
      <c r="Z140" s="69" t="inlineStr">
        <is>
          <t>No Defeasance Occurred</t>
        </is>
      </c>
      <c r="AA140" s="69" t="n"/>
      <c r="AB140" s="69" t="inlineStr">
        <is>
          <t>Never special serv</t>
        </is>
      </c>
      <c r="AC140" s="73" t="n"/>
      <c r="AD140" s="69" t="n"/>
      <c r="AE140" s="69" t="n"/>
      <c r="AF140" s="69" t="inlineStr">
        <is>
          <t>NV</t>
        </is>
      </c>
      <c r="AG140" s="69" t="inlineStr">
        <is>
          <t>Reno</t>
        </is>
      </c>
      <c r="AH140" s="69" t="inlineStr">
        <is>
          <t>Reno, NV</t>
        </is>
      </c>
      <c r="AI140" s="69" t="inlineStr">
        <is>
          <t>West / Mountain</t>
        </is>
      </c>
      <c r="AJ140" s="69" t="inlineStr">
        <is>
          <t>RT</t>
        </is>
      </c>
      <c r="AK140" s="69" t="inlineStr">
        <is>
          <t>Shadow Anchored</t>
        </is>
      </c>
      <c r="AL140" s="68" t="n">
        <v>1</v>
      </c>
      <c r="AM140" s="68" t="n"/>
      <c r="AN140" s="68" t="n">
        <v>170796</v>
      </c>
      <c r="AO140" s="69" t="inlineStr">
        <is>
          <t>1989</t>
        </is>
      </c>
      <c r="AP140" s="70" t="n">
        <v>1989</v>
      </c>
      <c r="AQ140" s="74" t="n">
        <v>1.83</v>
      </c>
      <c r="AR140" s="74" t="n">
        <v>2.97</v>
      </c>
      <c r="AS140" s="74" t="n">
        <v>65.90000000000001</v>
      </c>
      <c r="AT140" s="74" t="n">
        <v>62.9</v>
      </c>
      <c r="AU140" s="74" t="n">
        <v>60.6</v>
      </c>
      <c r="AV140" s="74" t="n">
        <v>11.564623647</v>
      </c>
      <c r="AW140" s="74" t="n">
        <v>17.629506989</v>
      </c>
      <c r="AX140" s="75" t="n">
        <v>99</v>
      </c>
      <c r="AY140" s="71" t="n">
        <v>25800000</v>
      </c>
      <c r="AZ140" s="71" t="n">
        <v>25800000</v>
      </c>
      <c r="BA140" s="71" t="n">
        <v>1965986.02</v>
      </c>
      <c r="BB140" s="71" t="n">
        <v>1601483.31</v>
      </c>
      <c r="BC140" s="69" t="inlineStr">
        <is>
          <t>Refinance</t>
        </is>
      </c>
      <c r="BD140" s="69" t="inlineStr">
        <is>
          <t>N</t>
        </is>
      </c>
      <c r="BE140" s="71" t="n"/>
      <c r="BF140" s="71" t="n"/>
      <c r="BG140" s="71" t="n"/>
      <c r="BH140" s="71" t="n">
        <v>0</v>
      </c>
      <c r="BI140" s="71" t="n">
        <v>0</v>
      </c>
      <c r="BJ140" s="69" t="inlineStr">
        <is>
          <t>N</t>
        </is>
      </c>
      <c r="BK140" s="69" t="inlineStr">
        <is>
          <t>Mor Furniture</t>
        </is>
      </c>
      <c r="BL140" s="75" t="n">
        <v>22.88</v>
      </c>
      <c r="BM140" s="73" t="n">
        <v>48334</v>
      </c>
      <c r="BN140" s="69" t="inlineStr">
        <is>
          <t>Jahan Moslehi; Andy Chien</t>
        </is>
      </c>
      <c r="BO140" s="69" t="inlineStr">
        <is>
          <t>Wells Fargo</t>
        </is>
      </c>
      <c r="BP140" s="69" t="inlineStr">
        <is>
          <t>TriMont Real Estate Advisors</t>
        </is>
      </c>
      <c r="BQ140" s="69" t="inlineStr">
        <is>
          <t>K-Star Asset Management LLC</t>
        </is>
      </c>
      <c r="BR140" s="69" t="n"/>
      <c r="BS140" s="73" t="n">
        <v>46276</v>
      </c>
      <c r="BU140" s="76">
        <f>IF($C140="","",IFERROR(INDEX(dmName,MATCH($C140,dmID,0)),"Unmapped"))</f>
        <v/>
      </c>
      <c r="BV140" s="76">
        <f>IF($C140="","",IFERROR(INDEX(dmEntity,MATCH($C140,dmID,0)),"Unmapped"))</f>
        <v/>
      </c>
      <c r="BW140" s="77">
        <f>IF($C140="","",IFERROR(INDEX(dmVintage,MATCH($C140,dmID,0)),""))</f>
        <v/>
      </c>
      <c r="BX140" s="78">
        <f>IFERROR(INDEX(dmInclude,MATCH($C140,dmID,0)),0)</f>
        <v/>
      </c>
      <c r="BY140" s="78">
        <f>IF(N($I140)&gt;0,1,0)</f>
        <v/>
      </c>
      <c r="BZ140" s="76">
        <f>IF($AJ140="","Other / Leased Fee",IFERROR(INDEX(mapPTGroup,MATCH(LEFT(TRIM($AJ140),2),mapPTCode,0)),"Other / Leased Fee"))</f>
        <v/>
      </c>
      <c r="CA140" s="76">
        <f>IF(TRIM($AF140&amp;"")="","NR",LEFT(TRIM($AF140),2))</f>
        <v/>
      </c>
      <c r="CB140" s="76">
        <f>IFERROR(LOOKUP(2,1/(LEFT(TRIM($AI140&amp;""),LEN(mapRegion))=mapRegion),mapRegion),"Not Reported")</f>
        <v/>
      </c>
      <c r="CC140" s="76">
        <f>IF($BY140=0,"",IF(TRIM($W140&amp;"")="REO","REO",IF(TRIM($W140&amp;"")="FC","Foreclosure",IF(TRIM($W140&amp;"")="90+","90+ Days Delinquent",IF(TRIM($W140&amp;"")="60","60 Days Delinquent",IF(TRIM($W140&amp;"")="30","30 Days Delinquent",IF($X140="Non-Performing Matured Balloon","Non-Performing Matured Balloon",IF(OR($X140="Late Payment But Less Than 30 Days Delinquent",LEFT($X140&amp;"",20)="Payment Not Received"),"Late / In Grace (&lt;30 Days)",IF($X140="Performing Matured Balloon","Performing Matured Balloon","Current")))))))))</f>
        <v/>
      </c>
      <c r="CD140" s="78">
        <f>IF(OR($CC140="REO",$CC140="Foreclosure",$CC140="90+ Days Delinquent",$CC140="60 Days Delinquent",$CC140="30 Days Delinquent",$CC140="Non-Performing Matured Balloon"),1,0)</f>
        <v/>
      </c>
      <c r="CE140" s="76">
        <f>IF($AB140="Currently special serv","Currently Specially Serviced",IF($AB140="Returned to master serv","Previously Specially Serviced","Never Specially Serviced"))</f>
        <v/>
      </c>
      <c r="CF140" s="78">
        <f>IF($CE140="Currently Specially Serviced",1,0)</f>
        <v/>
      </c>
      <c r="CG140" s="76">
        <f>IF($AA140="Yes","Currently on Watchlist",IF($AA140="Previously","Previously on Watchlist","Never on Watchlist"))</f>
        <v/>
      </c>
      <c r="CH140" s="78">
        <f>IF($CG140="Currently on Watchlist",1,0)</f>
        <v/>
      </c>
      <c r="CI140" s="76">
        <f>IF($Z140="Full Defeasance","Fully Defeased",IF($Z140="Portion Of Loan Previously Defeased","Partially Defeased",IF($Z140="Defeasance Not Allowable","Not Defeased (Not Permitted)","Not Defeased")))</f>
        <v/>
      </c>
      <c r="CJ140" s="78">
        <f>IF($CI140="Fully Defeased",1,0)</f>
        <v/>
      </c>
      <c r="CK140" s="76">
        <f>IF($R140="IO","Full IO",IF(LEFT($R140&amp;"",7)="IO then","Partial IO","Amortizing"))</f>
        <v/>
      </c>
      <c r="CL140" s="78">
        <f>IF($CK140="Full IO",1,0)</f>
        <v/>
      </c>
      <c r="CM140" s="78">
        <f>IF($CK140="Partial IO",1,0)</f>
        <v/>
      </c>
      <c r="CN140" s="76">
        <f>IF(LEFT($F140&amp;"",10)="SPLIT_LOAN","Pari Passu Split","Standalone")</f>
        <v/>
      </c>
      <c r="CO140" s="78">
        <f>IF($CN140="Pari Passu Split",1,0)</f>
        <v/>
      </c>
      <c r="CP140" s="77">
        <f>IF(ISNUMBER($T140),YEAR($T140),"")</f>
        <v/>
      </c>
      <c r="CQ140" s="79">
        <f>IF(ISNUMBER($V140),$V140,IF(ISNUMBER($U140),$U140,""))</f>
        <v/>
      </c>
      <c r="CR140" s="77">
        <f>IF(ISNUMBER($CQ140),YEAR($CQ140),"")</f>
        <v/>
      </c>
      <c r="CS140" s="78">
        <f>IF(ISNUMBER($M140),MAX(0,$M140),IF(TRIM($M140&amp;"")="matured",0,""))</f>
        <v/>
      </c>
      <c r="CT140" s="78">
        <f>IF(AND(ISNUMBER($CS140),N($CS140)&lt;=mMatWindow),1,0)</f>
        <v/>
      </c>
      <c r="CU140" s="80">
        <f>IF(ISNUMBER($J140),$J140/100,"")</f>
        <v/>
      </c>
      <c r="CV140" s="81">
        <f>IF(ISNUMBER($AQ140),$AQ140,"")</f>
        <v/>
      </c>
      <c r="CW140" s="81">
        <f>IF(ISNUMBER($AR140),$AR140,"")</f>
        <v/>
      </c>
      <c r="CX140" s="82">
        <f>IF(ISNUMBER($AS140),$AS140/100,"")</f>
        <v/>
      </c>
      <c r="CY140" s="82">
        <f>IF(ISNUMBER($AT140),$AT140/100,"")</f>
        <v/>
      </c>
      <c r="CZ140" s="82">
        <f>IF(ISNUMBER($AU140),$AU140/100,"")</f>
        <v/>
      </c>
      <c r="DA140" s="82">
        <f>IF(ISNUMBER($AV140),$AV140/100,"")</f>
        <v/>
      </c>
      <c r="DB140" s="82">
        <f>IF(ISNUMBER($AW140),$AW140/100,"")</f>
        <v/>
      </c>
      <c r="DC140" s="82">
        <f>IF(ISNUMBER($AX140),$AX140/100,"")</f>
        <v/>
      </c>
      <c r="DD140" s="77">
        <f>IFERROR(VALUE(LEFT(TRIM($AO140&amp;""),4)),"")</f>
        <v/>
      </c>
      <c r="DE140" s="78">
        <f>IF(AND($BY140=1,$BX140=1,OR(fDeal="All Deals",$BU140=fDeal),OR(fEntity="All Entities",$BV140=fEntity),OR(fPType="All Property Types",$BZ140=fPType),OR(fDefeased="Include",$CJ140=0)),1,0)</f>
        <v/>
      </c>
      <c r="DF140" s="83">
        <f>$DE140*N($I140)</f>
        <v/>
      </c>
      <c r="DG140" s="78">
        <f>IF($DE140=1,IF(COUNTIFS($F$8:$F140,$F140,$DE$8:$DE140,1)=1,1,0),0)</f>
        <v/>
      </c>
      <c r="DH140" s="83">
        <f>IF($DG140=1,SUMIFS($DF$8:$DF$1600,$F$8:$F$1600,$F140),0)</f>
        <v/>
      </c>
      <c r="DI140" s="78">
        <f>IF($DG140=1,COUNTIFS($F$8:$F$1600,$F140,$DE$8:$DE$1600,1),0)</f>
        <v/>
      </c>
      <c r="DJ140" s="84">
        <f>IF($DG140=1,$DH140+(100000-ROW())/mTieBreak,0)</f>
        <v/>
      </c>
    </row>
    <row r="141">
      <c r="B141" s="68" t="n">
        <v>18</v>
      </c>
      <c r="C141" s="69" t="inlineStr">
        <is>
          <t>WFC18C47</t>
        </is>
      </c>
      <c r="D141" s="69" t="inlineStr">
        <is>
          <t>18.000</t>
        </is>
      </c>
      <c r="E141" s="69" t="inlineStr">
        <is>
          <t>Schuyler Commons</t>
        </is>
      </c>
      <c r="F141" s="69" t="inlineStr">
        <is>
          <t>LNWFC18C47-18.000</t>
        </is>
      </c>
      <c r="G141" s="70" t="n"/>
      <c r="H141" s="71" t="n">
        <v>16800000</v>
      </c>
      <c r="I141" s="71" t="n">
        <v>15973573.8299928</v>
      </c>
      <c r="J141" s="72" t="n">
        <v>4.726</v>
      </c>
      <c r="K141" s="69" t="inlineStr">
        <is>
          <t>Fixed rate</t>
        </is>
      </c>
      <c r="L141" s="68" t="n">
        <v>120</v>
      </c>
      <c r="M141" s="68" t="n">
        <v>22</v>
      </c>
      <c r="N141" s="68" t="n">
        <v>420</v>
      </c>
      <c r="O141" s="68" t="n">
        <v>60</v>
      </c>
      <c r="P141" s="68" t="n">
        <v>0</v>
      </c>
      <c r="Q141" s="68" t="n">
        <v>98</v>
      </c>
      <c r="R141" s="69" t="inlineStr">
        <is>
          <t>IO then Amort</t>
        </is>
      </c>
      <c r="S141" s="69" t="inlineStr">
        <is>
          <t>No</t>
        </is>
      </c>
      <c r="T141" s="73" t="n">
        <v>43282</v>
      </c>
      <c r="U141" s="73" t="n">
        <v>46940</v>
      </c>
      <c r="V141" s="73" t="n"/>
      <c r="W141" s="69" t="n"/>
      <c r="X141" s="69" t="inlineStr">
        <is>
          <t>Current</t>
        </is>
      </c>
      <c r="Y141" s="68" t="n"/>
      <c r="Z141" s="69" t="inlineStr">
        <is>
          <t>No Defeasance Occurred</t>
        </is>
      </c>
      <c r="AA141" s="69" t="n"/>
      <c r="AB141" s="69" t="inlineStr">
        <is>
          <t>Never special serv</t>
        </is>
      </c>
      <c r="AC141" s="73" t="n"/>
      <c r="AD141" s="69" t="n"/>
      <c r="AE141" s="69" t="n"/>
      <c r="AF141" s="69" t="inlineStr">
        <is>
          <t>NY</t>
        </is>
      </c>
      <c r="AG141" s="69" t="inlineStr">
        <is>
          <t>Utica</t>
        </is>
      </c>
      <c r="AH141" s="69" t="inlineStr">
        <is>
          <t>Utica-Rome, NY</t>
        </is>
      </c>
      <c r="AI141" s="69" t="inlineStr">
        <is>
          <t>Northeast / Mid-Atlantic</t>
        </is>
      </c>
      <c r="AJ141" s="69" t="inlineStr">
        <is>
          <t>MF</t>
        </is>
      </c>
      <c r="AK141" s="69" t="n"/>
      <c r="AL141" s="68" t="n">
        <v>1</v>
      </c>
      <c r="AM141" s="68" t="n">
        <v>144</v>
      </c>
      <c r="AN141" s="68" t="n"/>
      <c r="AO141" s="69" t="inlineStr">
        <is>
          <t>2008</t>
        </is>
      </c>
      <c r="AP141" s="70" t="n">
        <v>2008</v>
      </c>
      <c r="AQ141" s="74" t="n">
        <v>1.33</v>
      </c>
      <c r="AR141" s="74" t="n">
        <v>2.19</v>
      </c>
      <c r="AS141" s="74" t="n">
        <v>64.59999999999999</v>
      </c>
      <c r="AT141" s="74" t="n">
        <v>61.44</v>
      </c>
      <c r="AU141" s="74" t="n">
        <v>59.4</v>
      </c>
      <c r="AV141" s="74" t="n">
        <v>8.307749048</v>
      </c>
      <c r="AW141" s="74" t="n">
        <v>14.700074604</v>
      </c>
      <c r="AX141" s="75" t="n">
        <v>98</v>
      </c>
      <c r="AY141" s="71" t="n">
        <v>26000000</v>
      </c>
      <c r="AZ141" s="71" t="n">
        <v>26000000</v>
      </c>
      <c r="BA141" s="71" t="n">
        <v>1395701.84</v>
      </c>
      <c r="BB141" s="71" t="n">
        <v>1150944.44</v>
      </c>
      <c r="BC141" s="69" t="inlineStr">
        <is>
          <t>Acquisition</t>
        </is>
      </c>
      <c r="BD141" s="69" t="inlineStr">
        <is>
          <t>N</t>
        </is>
      </c>
      <c r="BE141" s="71" t="n"/>
      <c r="BF141" s="71" t="n"/>
      <c r="BG141" s="71" t="n"/>
      <c r="BH141" s="71" t="n">
        <v>0</v>
      </c>
      <c r="BI141" s="71" t="n">
        <v>0</v>
      </c>
      <c r="BJ141" s="69" t="inlineStr">
        <is>
          <t>N</t>
        </is>
      </c>
      <c r="BK141" s="69" t="n"/>
      <c r="BL141" s="75" t="n"/>
      <c r="BM141" s="73" t="n"/>
      <c r="BN141" s="69" t="inlineStr">
        <is>
          <t>Pietro V. Scola; Joseph L. Fox</t>
        </is>
      </c>
      <c r="BO141" s="69" t="inlineStr">
        <is>
          <t>Barclays</t>
        </is>
      </c>
      <c r="BP141" s="69" t="inlineStr">
        <is>
          <t>TriMont Real Estate Advisors</t>
        </is>
      </c>
      <c r="BQ141" s="69" t="inlineStr">
        <is>
          <t>K-Star Asset Management LLC</t>
        </is>
      </c>
      <c r="BR141" s="69" t="n"/>
      <c r="BS141" s="73" t="n">
        <v>46276</v>
      </c>
      <c r="BU141" s="76">
        <f>IF($C141="","",IFERROR(INDEX(dmName,MATCH($C141,dmID,0)),"Unmapped"))</f>
        <v/>
      </c>
      <c r="BV141" s="76">
        <f>IF($C141="","",IFERROR(INDEX(dmEntity,MATCH($C141,dmID,0)),"Unmapped"))</f>
        <v/>
      </c>
      <c r="BW141" s="77">
        <f>IF($C141="","",IFERROR(INDEX(dmVintage,MATCH($C141,dmID,0)),""))</f>
        <v/>
      </c>
      <c r="BX141" s="78">
        <f>IFERROR(INDEX(dmInclude,MATCH($C141,dmID,0)),0)</f>
        <v/>
      </c>
      <c r="BY141" s="78">
        <f>IF(N($I141)&gt;0,1,0)</f>
        <v/>
      </c>
      <c r="BZ141" s="76">
        <f>IF($AJ141="","Other / Leased Fee",IFERROR(INDEX(mapPTGroup,MATCH(LEFT(TRIM($AJ141),2),mapPTCode,0)),"Other / Leased Fee"))</f>
        <v/>
      </c>
      <c r="CA141" s="76">
        <f>IF(TRIM($AF141&amp;"")="","NR",LEFT(TRIM($AF141),2))</f>
        <v/>
      </c>
      <c r="CB141" s="76">
        <f>IFERROR(LOOKUP(2,1/(LEFT(TRIM($AI141&amp;""),LEN(mapRegion))=mapRegion),mapRegion),"Not Reported")</f>
        <v/>
      </c>
      <c r="CC141" s="76">
        <f>IF($BY141=0,"",IF(TRIM($W141&amp;"")="REO","REO",IF(TRIM($W141&amp;"")="FC","Foreclosure",IF(TRIM($W141&amp;"")="90+","90+ Days Delinquent",IF(TRIM($W141&amp;"")="60","60 Days Delinquent",IF(TRIM($W141&amp;"")="30","30 Days Delinquent",IF($X141="Non-Performing Matured Balloon","Non-Performing Matured Balloon",IF(OR($X141="Late Payment But Less Than 30 Days Delinquent",LEFT($X141&amp;"",20)="Payment Not Received"),"Late / In Grace (&lt;30 Days)",IF($X141="Performing Matured Balloon","Performing Matured Balloon","Current")))))))))</f>
        <v/>
      </c>
      <c r="CD141" s="78">
        <f>IF(OR($CC141="REO",$CC141="Foreclosure",$CC141="90+ Days Delinquent",$CC141="60 Days Delinquent",$CC141="30 Days Delinquent",$CC141="Non-Performing Matured Balloon"),1,0)</f>
        <v/>
      </c>
      <c r="CE141" s="76">
        <f>IF($AB141="Currently special serv","Currently Specially Serviced",IF($AB141="Returned to master serv","Previously Specially Serviced","Never Specially Serviced"))</f>
        <v/>
      </c>
      <c r="CF141" s="78">
        <f>IF($CE141="Currently Specially Serviced",1,0)</f>
        <v/>
      </c>
      <c r="CG141" s="76">
        <f>IF($AA141="Yes","Currently on Watchlist",IF($AA141="Previously","Previously on Watchlist","Never on Watchlist"))</f>
        <v/>
      </c>
      <c r="CH141" s="78">
        <f>IF($CG141="Currently on Watchlist",1,0)</f>
        <v/>
      </c>
      <c r="CI141" s="76">
        <f>IF($Z141="Full Defeasance","Fully Defeased",IF($Z141="Portion Of Loan Previously Defeased","Partially Defeased",IF($Z141="Defeasance Not Allowable","Not Defeased (Not Permitted)","Not Defeased")))</f>
        <v/>
      </c>
      <c r="CJ141" s="78">
        <f>IF($CI141="Fully Defeased",1,0)</f>
        <v/>
      </c>
      <c r="CK141" s="76">
        <f>IF($R141="IO","Full IO",IF(LEFT($R141&amp;"",7)="IO then","Partial IO","Amortizing"))</f>
        <v/>
      </c>
      <c r="CL141" s="78">
        <f>IF($CK141="Full IO",1,0)</f>
        <v/>
      </c>
      <c r="CM141" s="78">
        <f>IF($CK141="Partial IO",1,0)</f>
        <v/>
      </c>
      <c r="CN141" s="76">
        <f>IF(LEFT($F141&amp;"",10)="SPLIT_LOAN","Pari Passu Split","Standalone")</f>
        <v/>
      </c>
      <c r="CO141" s="78">
        <f>IF($CN141="Pari Passu Split",1,0)</f>
        <v/>
      </c>
      <c r="CP141" s="77">
        <f>IF(ISNUMBER($T141),YEAR($T141),"")</f>
        <v/>
      </c>
      <c r="CQ141" s="79">
        <f>IF(ISNUMBER($V141),$V141,IF(ISNUMBER($U141),$U141,""))</f>
        <v/>
      </c>
      <c r="CR141" s="77">
        <f>IF(ISNUMBER($CQ141),YEAR($CQ141),"")</f>
        <v/>
      </c>
      <c r="CS141" s="78">
        <f>IF(ISNUMBER($M141),MAX(0,$M141),IF(TRIM($M141&amp;"")="matured",0,""))</f>
        <v/>
      </c>
      <c r="CT141" s="78">
        <f>IF(AND(ISNUMBER($CS141),N($CS141)&lt;=mMatWindow),1,0)</f>
        <v/>
      </c>
      <c r="CU141" s="80">
        <f>IF(ISNUMBER($J141),$J141/100,"")</f>
        <v/>
      </c>
      <c r="CV141" s="81">
        <f>IF(ISNUMBER($AQ141),$AQ141,"")</f>
        <v/>
      </c>
      <c r="CW141" s="81">
        <f>IF(ISNUMBER($AR141),$AR141,"")</f>
        <v/>
      </c>
      <c r="CX141" s="82">
        <f>IF(ISNUMBER($AS141),$AS141/100,"")</f>
        <v/>
      </c>
      <c r="CY141" s="82">
        <f>IF(ISNUMBER($AT141),$AT141/100,"")</f>
        <v/>
      </c>
      <c r="CZ141" s="82">
        <f>IF(ISNUMBER($AU141),$AU141/100,"")</f>
        <v/>
      </c>
      <c r="DA141" s="82">
        <f>IF(ISNUMBER($AV141),$AV141/100,"")</f>
        <v/>
      </c>
      <c r="DB141" s="82">
        <f>IF(ISNUMBER($AW141),$AW141/100,"")</f>
        <v/>
      </c>
      <c r="DC141" s="82">
        <f>IF(ISNUMBER($AX141),$AX141/100,"")</f>
        <v/>
      </c>
      <c r="DD141" s="77">
        <f>IFERROR(VALUE(LEFT(TRIM($AO141&amp;""),4)),"")</f>
        <v/>
      </c>
      <c r="DE141" s="78">
        <f>IF(AND($BY141=1,$BX141=1,OR(fDeal="All Deals",$BU141=fDeal),OR(fEntity="All Entities",$BV141=fEntity),OR(fPType="All Property Types",$BZ141=fPType),OR(fDefeased="Include",$CJ141=0)),1,0)</f>
        <v/>
      </c>
      <c r="DF141" s="83">
        <f>$DE141*N($I141)</f>
        <v/>
      </c>
      <c r="DG141" s="78">
        <f>IF($DE141=1,IF(COUNTIFS($F$8:$F141,$F141,$DE$8:$DE141,1)=1,1,0),0)</f>
        <v/>
      </c>
      <c r="DH141" s="83">
        <f>IF($DG141=1,SUMIFS($DF$8:$DF$1600,$F$8:$F$1600,$F141),0)</f>
        <v/>
      </c>
      <c r="DI141" s="78">
        <f>IF($DG141=1,COUNTIFS($F$8:$F$1600,$F141,$DE$8:$DE$1600,1),0)</f>
        <v/>
      </c>
      <c r="DJ141" s="84">
        <f>IF($DG141=1,$DH141+(100000-ROW())/mTieBreak,0)</f>
        <v/>
      </c>
    </row>
    <row r="142">
      <c r="B142" s="68" t="n">
        <v>19</v>
      </c>
      <c r="C142" s="69" t="inlineStr">
        <is>
          <t>WFC18C47</t>
        </is>
      </c>
      <c r="D142" s="69" t="inlineStr">
        <is>
          <t>19.000</t>
        </is>
      </c>
      <c r="E142" s="69" t="inlineStr">
        <is>
          <t>26-49 96th Street</t>
        </is>
      </c>
      <c r="F142" s="69" t="inlineStr">
        <is>
          <t>LNWFC18C47-19.000</t>
        </is>
      </c>
      <c r="G142" s="70" t="n"/>
      <c r="H142" s="71" t="n">
        <v>15800000</v>
      </c>
      <c r="I142" s="71" t="n">
        <v>15800000</v>
      </c>
      <c r="J142" s="72" t="n">
        <v>5.45</v>
      </c>
      <c r="K142" s="69" t="inlineStr">
        <is>
          <t>Fixed rate</t>
        </is>
      </c>
      <c r="L142" s="68" t="n">
        <v>120</v>
      </c>
      <c r="M142" s="68" t="n">
        <v>24</v>
      </c>
      <c r="N142" s="68" t="n">
        <v>120</v>
      </c>
      <c r="O142" s="68" t="n">
        <v>120</v>
      </c>
      <c r="P142" s="68" t="n">
        <v>24</v>
      </c>
      <c r="Q142" s="68" t="n">
        <v>96</v>
      </c>
      <c r="R142" s="69" t="inlineStr">
        <is>
          <t>IO</t>
        </is>
      </c>
      <c r="S142" s="69" t="inlineStr">
        <is>
          <t>Yes</t>
        </is>
      </c>
      <c r="T142" s="73" t="n">
        <v>43344</v>
      </c>
      <c r="U142" s="73" t="n">
        <v>47002</v>
      </c>
      <c r="V142" s="73" t="n"/>
      <c r="W142" s="69" t="n"/>
      <c r="X142" s="69" t="inlineStr">
        <is>
          <t>Current</t>
        </is>
      </c>
      <c r="Y142" s="68" t="n"/>
      <c r="Z142" s="69" t="inlineStr">
        <is>
          <t>No Defeasance Occurred</t>
        </is>
      </c>
      <c r="AA142" s="69" t="n"/>
      <c r="AB142" s="69" t="inlineStr">
        <is>
          <t>Never special serv</t>
        </is>
      </c>
      <c r="AC142" s="73" t="n"/>
      <c r="AD142" s="69" t="n"/>
      <c r="AE142" s="69" t="n"/>
      <c r="AF142" s="69" t="inlineStr">
        <is>
          <t>NY</t>
        </is>
      </c>
      <c r="AG142" s="69" t="inlineStr">
        <is>
          <t>East Elmhurst</t>
        </is>
      </c>
      <c r="AH142" s="69" t="inlineStr">
        <is>
          <t>New York-Newark-Jersey City, NY-NJ</t>
        </is>
      </c>
      <c r="AI142" s="69" t="inlineStr">
        <is>
          <t>Northeast / Mid-Atlantic</t>
        </is>
      </c>
      <c r="AJ142" s="69" t="inlineStr">
        <is>
          <t>MF</t>
        </is>
      </c>
      <c r="AK142" s="69" t="inlineStr">
        <is>
          <t>Garden</t>
        </is>
      </c>
      <c r="AL142" s="68" t="n">
        <v>1</v>
      </c>
      <c r="AM142" s="68" t="n">
        <v>69</v>
      </c>
      <c r="AN142" s="68" t="n"/>
      <c r="AO142" s="69" t="inlineStr">
        <is>
          <t>1927</t>
        </is>
      </c>
      <c r="AP142" s="70" t="n">
        <v>2017</v>
      </c>
      <c r="AQ142" s="74" t="n">
        <v>1.26</v>
      </c>
      <c r="AR142" s="74" t="n">
        <v>1.39</v>
      </c>
      <c r="AS142" s="74" t="n">
        <v>54.7</v>
      </c>
      <c r="AT142" s="74" t="n">
        <v>54.67</v>
      </c>
      <c r="AU142" s="74" t="n">
        <v>54.7</v>
      </c>
      <c r="AV142" s="74" t="n">
        <v>6.946955949</v>
      </c>
      <c r="AW142" s="74" t="n">
        <v>7.211442342</v>
      </c>
      <c r="AX142" s="75" t="n">
        <v>100</v>
      </c>
      <c r="AY142" s="71" t="n">
        <v>28900000</v>
      </c>
      <c r="AZ142" s="71" t="n">
        <v>28900000</v>
      </c>
      <c r="BA142" s="71" t="n">
        <v>1097619.04</v>
      </c>
      <c r="BB142" s="71" t="n">
        <v>607862.75</v>
      </c>
      <c r="BC142" s="69" t="inlineStr">
        <is>
          <t>Refinance</t>
        </is>
      </c>
      <c r="BD142" s="69" t="inlineStr">
        <is>
          <t>N</t>
        </is>
      </c>
      <c r="BE142" s="71" t="n"/>
      <c r="BF142" s="71" t="n"/>
      <c r="BG142" s="71" t="n"/>
      <c r="BH142" s="71" t="n">
        <v>0</v>
      </c>
      <c r="BI142" s="71" t="n">
        <v>0</v>
      </c>
      <c r="BJ142" s="69" t="inlineStr">
        <is>
          <t>N</t>
        </is>
      </c>
      <c r="BK142" s="69" t="n"/>
      <c r="BL142" s="75" t="n"/>
      <c r="BM142" s="73" t="n"/>
      <c r="BN142" s="69" t="inlineStr">
        <is>
          <t>Aaron Jungreis; Marc Blumenfrucht; Edward Lifshitz</t>
        </is>
      </c>
      <c r="BO142" s="69" t="inlineStr">
        <is>
          <t>Ladder Capital Finance</t>
        </is>
      </c>
      <c r="BP142" s="69" t="inlineStr">
        <is>
          <t>TriMont Real Estate Advisors</t>
        </is>
      </c>
      <c r="BQ142" s="69" t="inlineStr">
        <is>
          <t>K-Star Asset Management LLC</t>
        </is>
      </c>
      <c r="BR142" s="69" t="n"/>
      <c r="BS142" s="73" t="n">
        <v>46276</v>
      </c>
      <c r="BU142" s="76">
        <f>IF($C142="","",IFERROR(INDEX(dmName,MATCH($C142,dmID,0)),"Unmapped"))</f>
        <v/>
      </c>
      <c r="BV142" s="76">
        <f>IF($C142="","",IFERROR(INDEX(dmEntity,MATCH($C142,dmID,0)),"Unmapped"))</f>
        <v/>
      </c>
      <c r="BW142" s="77">
        <f>IF($C142="","",IFERROR(INDEX(dmVintage,MATCH($C142,dmID,0)),""))</f>
        <v/>
      </c>
      <c r="BX142" s="78">
        <f>IFERROR(INDEX(dmInclude,MATCH($C142,dmID,0)),0)</f>
        <v/>
      </c>
      <c r="BY142" s="78">
        <f>IF(N($I142)&gt;0,1,0)</f>
        <v/>
      </c>
      <c r="BZ142" s="76">
        <f>IF($AJ142="","Other / Leased Fee",IFERROR(INDEX(mapPTGroup,MATCH(LEFT(TRIM($AJ142),2),mapPTCode,0)),"Other / Leased Fee"))</f>
        <v/>
      </c>
      <c r="CA142" s="76">
        <f>IF(TRIM($AF142&amp;"")="","NR",LEFT(TRIM($AF142),2))</f>
        <v/>
      </c>
      <c r="CB142" s="76">
        <f>IFERROR(LOOKUP(2,1/(LEFT(TRIM($AI142&amp;""),LEN(mapRegion))=mapRegion),mapRegion),"Not Reported")</f>
        <v/>
      </c>
      <c r="CC142" s="76">
        <f>IF($BY142=0,"",IF(TRIM($W142&amp;"")="REO","REO",IF(TRIM($W142&amp;"")="FC","Foreclosure",IF(TRIM($W142&amp;"")="90+","90+ Days Delinquent",IF(TRIM($W142&amp;"")="60","60 Days Delinquent",IF(TRIM($W142&amp;"")="30","30 Days Delinquent",IF($X142="Non-Performing Matured Balloon","Non-Performing Matured Balloon",IF(OR($X142="Late Payment But Less Than 30 Days Delinquent",LEFT($X142&amp;"",20)="Payment Not Received"),"Late / In Grace (&lt;30 Days)",IF($X142="Performing Matured Balloon","Performing Matured Balloon","Current")))))))))</f>
        <v/>
      </c>
      <c r="CD142" s="78">
        <f>IF(OR($CC142="REO",$CC142="Foreclosure",$CC142="90+ Days Delinquent",$CC142="60 Days Delinquent",$CC142="30 Days Delinquent",$CC142="Non-Performing Matured Balloon"),1,0)</f>
        <v/>
      </c>
      <c r="CE142" s="76">
        <f>IF($AB142="Currently special serv","Currently Specially Serviced",IF($AB142="Returned to master serv","Previously Specially Serviced","Never Specially Serviced"))</f>
        <v/>
      </c>
      <c r="CF142" s="78">
        <f>IF($CE142="Currently Specially Serviced",1,0)</f>
        <v/>
      </c>
      <c r="CG142" s="76">
        <f>IF($AA142="Yes","Currently on Watchlist",IF($AA142="Previously","Previously on Watchlist","Never on Watchlist"))</f>
        <v/>
      </c>
      <c r="CH142" s="78">
        <f>IF($CG142="Currently on Watchlist",1,0)</f>
        <v/>
      </c>
      <c r="CI142" s="76">
        <f>IF($Z142="Full Defeasance","Fully Defeased",IF($Z142="Portion Of Loan Previously Defeased","Partially Defeased",IF($Z142="Defeasance Not Allowable","Not Defeased (Not Permitted)","Not Defeased")))</f>
        <v/>
      </c>
      <c r="CJ142" s="78">
        <f>IF($CI142="Fully Defeased",1,0)</f>
        <v/>
      </c>
      <c r="CK142" s="76">
        <f>IF($R142="IO","Full IO",IF(LEFT($R142&amp;"",7)="IO then","Partial IO","Amortizing"))</f>
        <v/>
      </c>
      <c r="CL142" s="78">
        <f>IF($CK142="Full IO",1,0)</f>
        <v/>
      </c>
      <c r="CM142" s="78">
        <f>IF($CK142="Partial IO",1,0)</f>
        <v/>
      </c>
      <c r="CN142" s="76">
        <f>IF(LEFT($F142&amp;"",10)="SPLIT_LOAN","Pari Passu Split","Standalone")</f>
        <v/>
      </c>
      <c r="CO142" s="78">
        <f>IF($CN142="Pari Passu Split",1,0)</f>
        <v/>
      </c>
      <c r="CP142" s="77">
        <f>IF(ISNUMBER($T142),YEAR($T142),"")</f>
        <v/>
      </c>
      <c r="CQ142" s="79">
        <f>IF(ISNUMBER($V142),$V142,IF(ISNUMBER($U142),$U142,""))</f>
        <v/>
      </c>
      <c r="CR142" s="77">
        <f>IF(ISNUMBER($CQ142),YEAR($CQ142),"")</f>
        <v/>
      </c>
      <c r="CS142" s="78">
        <f>IF(ISNUMBER($M142),MAX(0,$M142),IF(TRIM($M142&amp;"")="matured",0,""))</f>
        <v/>
      </c>
      <c r="CT142" s="78">
        <f>IF(AND(ISNUMBER($CS142),N($CS142)&lt;=mMatWindow),1,0)</f>
        <v/>
      </c>
      <c r="CU142" s="80">
        <f>IF(ISNUMBER($J142),$J142/100,"")</f>
        <v/>
      </c>
      <c r="CV142" s="81">
        <f>IF(ISNUMBER($AQ142),$AQ142,"")</f>
        <v/>
      </c>
      <c r="CW142" s="81">
        <f>IF(ISNUMBER($AR142),$AR142,"")</f>
        <v/>
      </c>
      <c r="CX142" s="82">
        <f>IF(ISNUMBER($AS142),$AS142/100,"")</f>
        <v/>
      </c>
      <c r="CY142" s="82">
        <f>IF(ISNUMBER($AT142),$AT142/100,"")</f>
        <v/>
      </c>
      <c r="CZ142" s="82">
        <f>IF(ISNUMBER($AU142),$AU142/100,"")</f>
        <v/>
      </c>
      <c r="DA142" s="82">
        <f>IF(ISNUMBER($AV142),$AV142/100,"")</f>
        <v/>
      </c>
      <c r="DB142" s="82">
        <f>IF(ISNUMBER($AW142),$AW142/100,"")</f>
        <v/>
      </c>
      <c r="DC142" s="82">
        <f>IF(ISNUMBER($AX142),$AX142/100,"")</f>
        <v/>
      </c>
      <c r="DD142" s="77">
        <f>IFERROR(VALUE(LEFT(TRIM($AO142&amp;""),4)),"")</f>
        <v/>
      </c>
      <c r="DE142" s="78">
        <f>IF(AND($BY142=1,$BX142=1,OR(fDeal="All Deals",$BU142=fDeal),OR(fEntity="All Entities",$BV142=fEntity),OR(fPType="All Property Types",$BZ142=fPType),OR(fDefeased="Include",$CJ142=0)),1,0)</f>
        <v/>
      </c>
      <c r="DF142" s="83">
        <f>$DE142*N($I142)</f>
        <v/>
      </c>
      <c r="DG142" s="78">
        <f>IF($DE142=1,IF(COUNTIFS($F$8:$F142,$F142,$DE$8:$DE142,1)=1,1,0),0)</f>
        <v/>
      </c>
      <c r="DH142" s="83">
        <f>IF($DG142=1,SUMIFS($DF$8:$DF$1600,$F$8:$F$1600,$F142),0)</f>
        <v/>
      </c>
      <c r="DI142" s="78">
        <f>IF($DG142=1,COUNTIFS($F$8:$F$1600,$F142,$DE$8:$DE$1600,1),0)</f>
        <v/>
      </c>
      <c r="DJ142" s="84">
        <f>IF($DG142=1,$DH142+(100000-ROW())/mTieBreak,0)</f>
        <v/>
      </c>
    </row>
    <row r="143">
      <c r="B143" s="68" t="n">
        <v>20</v>
      </c>
      <c r="C143" s="69" t="inlineStr">
        <is>
          <t>WFC18C47</t>
        </is>
      </c>
      <c r="D143" s="69" t="inlineStr">
        <is>
          <t>20.000</t>
        </is>
      </c>
      <c r="E143" s="69" t="inlineStr">
        <is>
          <t>438 Summit Avenue</t>
        </is>
      </c>
      <c r="F143" s="69" t="inlineStr">
        <is>
          <t>LNWFC18C47-20.000</t>
        </is>
      </c>
      <c r="G143" s="70" t="n"/>
      <c r="H143" s="71" t="n">
        <v>15500000</v>
      </c>
      <c r="I143" s="71" t="n">
        <v>15500000</v>
      </c>
      <c r="J143" s="72" t="n">
        <v>4.535</v>
      </c>
      <c r="K143" s="69" t="inlineStr">
        <is>
          <t>Fixed rate</t>
        </is>
      </c>
      <c r="L143" s="68" t="n">
        <v>120</v>
      </c>
      <c r="M143" s="68" t="n">
        <v>25</v>
      </c>
      <c r="N143" s="68" t="n">
        <v>120</v>
      </c>
      <c r="O143" s="68" t="n">
        <v>120</v>
      </c>
      <c r="P143" s="68" t="n">
        <v>25</v>
      </c>
      <c r="Q143" s="68" t="n">
        <v>95</v>
      </c>
      <c r="R143" s="69" t="inlineStr">
        <is>
          <t>IO</t>
        </is>
      </c>
      <c r="S143" s="69" t="inlineStr">
        <is>
          <t>Yes</t>
        </is>
      </c>
      <c r="T143" s="73" t="n">
        <v>43374</v>
      </c>
      <c r="U143" s="73" t="n">
        <v>47037</v>
      </c>
      <c r="V143" s="73" t="n"/>
      <c r="W143" s="69" t="n"/>
      <c r="X143" s="69" t="inlineStr">
        <is>
          <t>Current</t>
        </is>
      </c>
      <c r="Y143" s="68" t="n"/>
      <c r="Z143" s="69" t="inlineStr">
        <is>
          <t>No Defeasance Occurred</t>
        </is>
      </c>
      <c r="AA143" s="69" t="inlineStr">
        <is>
          <t>Previously</t>
        </is>
      </c>
      <c r="AB143" s="69" t="inlineStr">
        <is>
          <t>Never special serv</t>
        </is>
      </c>
      <c r="AC143" s="73" t="n"/>
      <c r="AD143" s="69" t="n"/>
      <c r="AE143" s="69" t="n"/>
      <c r="AF143" s="69" t="inlineStr">
        <is>
          <t>NJ</t>
        </is>
      </c>
      <c r="AG143" s="69" t="inlineStr">
        <is>
          <t>Jersey City</t>
        </is>
      </c>
      <c r="AH143" s="69" t="inlineStr">
        <is>
          <t>New York-Newark-Jersey City, NY-NJ</t>
        </is>
      </c>
      <c r="AI143" s="69" t="inlineStr">
        <is>
          <t>Northeast / Mid-Atlantic</t>
        </is>
      </c>
      <c r="AJ143" s="69" t="inlineStr">
        <is>
          <t>OF</t>
        </is>
      </c>
      <c r="AK143" s="69" t="inlineStr">
        <is>
          <t>CBD</t>
        </is>
      </c>
      <c r="AL143" s="68" t="n">
        <v>1</v>
      </c>
      <c r="AM143" s="68" t="n"/>
      <c r="AN143" s="68" t="n">
        <v>123760</v>
      </c>
      <c r="AO143" s="69" t="inlineStr">
        <is>
          <t>1993</t>
        </is>
      </c>
      <c r="AP143" s="70" t="n">
        <v>1993</v>
      </c>
      <c r="AQ143" s="74" t="n">
        <v>3.32</v>
      </c>
      <c r="AR143" s="74" t="n">
        <v>4.25</v>
      </c>
      <c r="AS143" s="74" t="n">
        <v>43.8</v>
      </c>
      <c r="AT143" s="74" t="n">
        <v>43.79</v>
      </c>
      <c r="AU143" s="74" t="n">
        <v>43.8</v>
      </c>
      <c r="AV143" s="74" t="n">
        <v>15.251809742</v>
      </c>
      <c r="AW143" s="74" t="n">
        <v>18.135794903</v>
      </c>
      <c r="AX143" s="75" t="n">
        <v>100</v>
      </c>
      <c r="AY143" s="71" t="n">
        <v>35400000</v>
      </c>
      <c r="AZ143" s="71" t="n">
        <v>35400000</v>
      </c>
      <c r="BA143" s="71" t="n">
        <v>2364030.51</v>
      </c>
      <c r="BB143" s="71" t="n">
        <v>1510977.98</v>
      </c>
      <c r="BC143" s="69" t="inlineStr">
        <is>
          <t>Refinance</t>
        </is>
      </c>
      <c r="BD143" s="69" t="inlineStr">
        <is>
          <t>N</t>
        </is>
      </c>
      <c r="BE143" s="71" t="n"/>
      <c r="BF143" s="71" t="n"/>
      <c r="BG143" s="71" t="n"/>
      <c r="BH143" s="71" t="n">
        <v>0</v>
      </c>
      <c r="BI143" s="71" t="n">
        <v>0</v>
      </c>
      <c r="BJ143" s="69" t="inlineStr">
        <is>
          <t>N</t>
        </is>
      </c>
      <c r="BK143" s="69" t="inlineStr">
        <is>
          <t>State Of New Jersey</t>
        </is>
      </c>
      <c r="BL143" s="75" t="n">
        <v>100</v>
      </c>
      <c r="BM143" s="73" t="n">
        <v>46721</v>
      </c>
      <c r="BN143" s="69" t="inlineStr">
        <is>
          <t>Jason Kimmel; Carol Kimmel</t>
        </is>
      </c>
      <c r="BO143" s="69" t="inlineStr">
        <is>
          <t>Wells Fargo</t>
        </is>
      </c>
      <c r="BP143" s="69" t="inlineStr">
        <is>
          <t>TriMont Real Estate Advisors</t>
        </is>
      </c>
      <c r="BQ143" s="69" t="inlineStr">
        <is>
          <t>K-Star Asset Management LLC</t>
        </is>
      </c>
      <c r="BR143" s="69" t="n"/>
      <c r="BS143" s="73" t="n">
        <v>46276</v>
      </c>
      <c r="BU143" s="76">
        <f>IF($C143="","",IFERROR(INDEX(dmName,MATCH($C143,dmID,0)),"Unmapped"))</f>
        <v/>
      </c>
      <c r="BV143" s="76">
        <f>IF($C143="","",IFERROR(INDEX(dmEntity,MATCH($C143,dmID,0)),"Unmapped"))</f>
        <v/>
      </c>
      <c r="BW143" s="77">
        <f>IF($C143="","",IFERROR(INDEX(dmVintage,MATCH($C143,dmID,0)),""))</f>
        <v/>
      </c>
      <c r="BX143" s="78">
        <f>IFERROR(INDEX(dmInclude,MATCH($C143,dmID,0)),0)</f>
        <v/>
      </c>
      <c r="BY143" s="78">
        <f>IF(N($I143)&gt;0,1,0)</f>
        <v/>
      </c>
      <c r="BZ143" s="76">
        <f>IF($AJ143="","Other / Leased Fee",IFERROR(INDEX(mapPTGroup,MATCH(LEFT(TRIM($AJ143),2),mapPTCode,0)),"Other / Leased Fee"))</f>
        <v/>
      </c>
      <c r="CA143" s="76">
        <f>IF(TRIM($AF143&amp;"")="","NR",LEFT(TRIM($AF143),2))</f>
        <v/>
      </c>
      <c r="CB143" s="76">
        <f>IFERROR(LOOKUP(2,1/(LEFT(TRIM($AI143&amp;""),LEN(mapRegion))=mapRegion),mapRegion),"Not Reported")</f>
        <v/>
      </c>
      <c r="CC143" s="76">
        <f>IF($BY143=0,"",IF(TRIM($W143&amp;"")="REO","REO",IF(TRIM($W143&amp;"")="FC","Foreclosure",IF(TRIM($W143&amp;"")="90+","90+ Days Delinquent",IF(TRIM($W143&amp;"")="60","60 Days Delinquent",IF(TRIM($W143&amp;"")="30","30 Days Delinquent",IF($X143="Non-Performing Matured Balloon","Non-Performing Matured Balloon",IF(OR($X143="Late Payment But Less Than 30 Days Delinquent",LEFT($X143&amp;"",20)="Payment Not Received"),"Late / In Grace (&lt;30 Days)",IF($X143="Performing Matured Balloon","Performing Matured Balloon","Current")))))))))</f>
        <v/>
      </c>
      <c r="CD143" s="78">
        <f>IF(OR($CC143="REO",$CC143="Foreclosure",$CC143="90+ Days Delinquent",$CC143="60 Days Delinquent",$CC143="30 Days Delinquent",$CC143="Non-Performing Matured Balloon"),1,0)</f>
        <v/>
      </c>
      <c r="CE143" s="76">
        <f>IF($AB143="Currently special serv","Currently Specially Serviced",IF($AB143="Returned to master serv","Previously Specially Serviced","Never Specially Serviced"))</f>
        <v/>
      </c>
      <c r="CF143" s="78">
        <f>IF($CE143="Currently Specially Serviced",1,0)</f>
        <v/>
      </c>
      <c r="CG143" s="76">
        <f>IF($AA143="Yes","Currently on Watchlist",IF($AA143="Previously","Previously on Watchlist","Never on Watchlist"))</f>
        <v/>
      </c>
      <c r="CH143" s="78">
        <f>IF($CG143="Currently on Watchlist",1,0)</f>
        <v/>
      </c>
      <c r="CI143" s="76">
        <f>IF($Z143="Full Defeasance","Fully Defeased",IF($Z143="Portion Of Loan Previously Defeased","Partially Defeased",IF($Z143="Defeasance Not Allowable","Not Defeased (Not Permitted)","Not Defeased")))</f>
        <v/>
      </c>
      <c r="CJ143" s="78">
        <f>IF($CI143="Fully Defeased",1,0)</f>
        <v/>
      </c>
      <c r="CK143" s="76">
        <f>IF($R143="IO","Full IO",IF(LEFT($R143&amp;"",7)="IO then","Partial IO","Amortizing"))</f>
        <v/>
      </c>
      <c r="CL143" s="78">
        <f>IF($CK143="Full IO",1,0)</f>
        <v/>
      </c>
      <c r="CM143" s="78">
        <f>IF($CK143="Partial IO",1,0)</f>
        <v/>
      </c>
      <c r="CN143" s="76">
        <f>IF(LEFT($F143&amp;"",10)="SPLIT_LOAN","Pari Passu Split","Standalone")</f>
        <v/>
      </c>
      <c r="CO143" s="78">
        <f>IF($CN143="Pari Passu Split",1,0)</f>
        <v/>
      </c>
      <c r="CP143" s="77">
        <f>IF(ISNUMBER($T143),YEAR($T143),"")</f>
        <v/>
      </c>
      <c r="CQ143" s="79">
        <f>IF(ISNUMBER($V143),$V143,IF(ISNUMBER($U143),$U143,""))</f>
        <v/>
      </c>
      <c r="CR143" s="77">
        <f>IF(ISNUMBER($CQ143),YEAR($CQ143),"")</f>
        <v/>
      </c>
      <c r="CS143" s="78">
        <f>IF(ISNUMBER($M143),MAX(0,$M143),IF(TRIM($M143&amp;"")="matured",0,""))</f>
        <v/>
      </c>
      <c r="CT143" s="78">
        <f>IF(AND(ISNUMBER($CS143),N($CS143)&lt;=mMatWindow),1,0)</f>
        <v/>
      </c>
      <c r="CU143" s="80">
        <f>IF(ISNUMBER($J143),$J143/100,"")</f>
        <v/>
      </c>
      <c r="CV143" s="81">
        <f>IF(ISNUMBER($AQ143),$AQ143,"")</f>
        <v/>
      </c>
      <c r="CW143" s="81">
        <f>IF(ISNUMBER($AR143),$AR143,"")</f>
        <v/>
      </c>
      <c r="CX143" s="82">
        <f>IF(ISNUMBER($AS143),$AS143/100,"")</f>
        <v/>
      </c>
      <c r="CY143" s="82">
        <f>IF(ISNUMBER($AT143),$AT143/100,"")</f>
        <v/>
      </c>
      <c r="CZ143" s="82">
        <f>IF(ISNUMBER($AU143),$AU143/100,"")</f>
        <v/>
      </c>
      <c r="DA143" s="82">
        <f>IF(ISNUMBER($AV143),$AV143/100,"")</f>
        <v/>
      </c>
      <c r="DB143" s="82">
        <f>IF(ISNUMBER($AW143),$AW143/100,"")</f>
        <v/>
      </c>
      <c r="DC143" s="82">
        <f>IF(ISNUMBER($AX143),$AX143/100,"")</f>
        <v/>
      </c>
      <c r="DD143" s="77">
        <f>IFERROR(VALUE(LEFT(TRIM($AO143&amp;""),4)),"")</f>
        <v/>
      </c>
      <c r="DE143" s="78">
        <f>IF(AND($BY143=1,$BX143=1,OR(fDeal="All Deals",$BU143=fDeal),OR(fEntity="All Entities",$BV143=fEntity),OR(fPType="All Property Types",$BZ143=fPType),OR(fDefeased="Include",$CJ143=0)),1,0)</f>
        <v/>
      </c>
      <c r="DF143" s="83">
        <f>$DE143*N($I143)</f>
        <v/>
      </c>
      <c r="DG143" s="78">
        <f>IF($DE143=1,IF(COUNTIFS($F$8:$F143,$F143,$DE$8:$DE143,1)=1,1,0),0)</f>
        <v/>
      </c>
      <c r="DH143" s="83">
        <f>IF($DG143=1,SUMIFS($DF$8:$DF$1600,$F$8:$F$1600,$F143),0)</f>
        <v/>
      </c>
      <c r="DI143" s="78">
        <f>IF($DG143=1,COUNTIFS($F$8:$F$1600,$F143,$DE$8:$DE$1600,1),0)</f>
        <v/>
      </c>
      <c r="DJ143" s="84">
        <f>IF($DG143=1,$DH143+(100000-ROW())/mTieBreak,0)</f>
        <v/>
      </c>
    </row>
    <row r="144">
      <c r="B144" s="68" t="n">
        <v>21</v>
      </c>
      <c r="C144" s="69" t="inlineStr">
        <is>
          <t>WFC18C47</t>
        </is>
      </c>
      <c r="D144" s="69" t="inlineStr">
        <is>
          <t>21.000</t>
        </is>
      </c>
      <c r="E144" s="69" t="inlineStr">
        <is>
          <t>Camden Oakes</t>
        </is>
      </c>
      <c r="F144" s="69" t="inlineStr">
        <is>
          <t>LNWFC18C47-21.000</t>
        </is>
      </c>
      <c r="G144" s="70" t="n"/>
      <c r="H144" s="71" t="n">
        <v>15500000</v>
      </c>
      <c r="I144" s="71" t="n">
        <v>14385088.0399995</v>
      </c>
      <c r="J144" s="72" t="n">
        <v>4.91</v>
      </c>
      <c r="K144" s="69" t="inlineStr">
        <is>
          <t>Fixed rate</t>
        </is>
      </c>
      <c r="L144" s="68" t="n">
        <v>120</v>
      </c>
      <c r="M144" s="68" t="n">
        <v>24</v>
      </c>
      <c r="N144" s="68" t="n">
        <v>480</v>
      </c>
      <c r="O144" s="68" t="n"/>
      <c r="P144" s="68" t="n"/>
      <c r="Q144" s="68" t="n">
        <v>96</v>
      </c>
      <c r="R144" s="69" t="n"/>
      <c r="S144" s="69" t="inlineStr">
        <is>
          <t>No</t>
        </is>
      </c>
      <c r="T144" s="73" t="n">
        <v>43344</v>
      </c>
      <c r="U144" s="73" t="n">
        <v>47002</v>
      </c>
      <c r="V144" s="73" t="n"/>
      <c r="W144" s="69" t="n"/>
      <c r="X144" s="69" t="inlineStr">
        <is>
          <t>Current</t>
        </is>
      </c>
      <c r="Y144" s="68" t="n"/>
      <c r="Z144" s="69" t="inlineStr">
        <is>
          <t>No Defeasance Occurred</t>
        </is>
      </c>
      <c r="AA144" s="69" t="inlineStr">
        <is>
          <t>Previously</t>
        </is>
      </c>
      <c r="AB144" s="69" t="inlineStr">
        <is>
          <t>Never special serv</t>
        </is>
      </c>
      <c r="AC144" s="73" t="n"/>
      <c r="AD144" s="69" t="n"/>
      <c r="AE144" s="69" t="n"/>
      <c r="AF144" s="69" t="inlineStr">
        <is>
          <t>IN</t>
        </is>
      </c>
      <c r="AG144" s="69" t="inlineStr">
        <is>
          <t>Indianapolis</t>
        </is>
      </c>
      <c r="AH144" s="69" t="inlineStr">
        <is>
          <t>Indianapolis-Carmel-Greenwood, IN</t>
        </is>
      </c>
      <c r="AI144" s="69" t="inlineStr">
        <is>
          <t>Midwest / Central East</t>
        </is>
      </c>
      <c r="AJ144" s="69" t="inlineStr">
        <is>
          <t>MF</t>
        </is>
      </c>
      <c r="AK144" s="69" t="inlineStr">
        <is>
          <t>Garden</t>
        </is>
      </c>
      <c r="AL144" s="68" t="n">
        <v>1</v>
      </c>
      <c r="AM144" s="68" t="n">
        <v>110</v>
      </c>
      <c r="AN144" s="68" t="n"/>
      <c r="AO144" s="69" t="inlineStr">
        <is>
          <t>2017</t>
        </is>
      </c>
      <c r="AP144" s="70" t="n">
        <v>2017</v>
      </c>
      <c r="AQ144" s="74" t="n">
        <v>1.47</v>
      </c>
      <c r="AR144" s="74" t="n">
        <v>1.79</v>
      </c>
      <c r="AS144" s="74" t="n">
        <v>68.5</v>
      </c>
      <c r="AT144" s="74" t="n">
        <v>63.65</v>
      </c>
      <c r="AU144" s="74" t="n">
        <v>62.1</v>
      </c>
      <c r="AV144" s="74" t="n">
        <v>8.411072581000001</v>
      </c>
      <c r="AW144" s="74" t="n">
        <v>10.213625359</v>
      </c>
      <c r="AX144" s="75" t="n">
        <v>96</v>
      </c>
      <c r="AY144" s="71" t="n">
        <v>22600000</v>
      </c>
      <c r="AZ144" s="71" t="n">
        <v>22600000</v>
      </c>
      <c r="BA144" s="71" t="n">
        <v>1303716.25</v>
      </c>
      <c r="BB144" s="71" t="n">
        <v>793243.46</v>
      </c>
      <c r="BC144" s="69" t="inlineStr">
        <is>
          <t>Refinance</t>
        </is>
      </c>
      <c r="BD144" s="69" t="inlineStr">
        <is>
          <t>N</t>
        </is>
      </c>
      <c r="BE144" s="71" t="n"/>
      <c r="BF144" s="71" t="n"/>
      <c r="BG144" s="71" t="n"/>
      <c r="BH144" s="71" t="n">
        <v>0</v>
      </c>
      <c r="BI144" s="71" t="n">
        <v>0</v>
      </c>
      <c r="BJ144" s="69" t="inlineStr">
        <is>
          <t>N</t>
        </is>
      </c>
      <c r="BK144" s="69" t="n"/>
      <c r="BL144" s="75" t="n"/>
      <c r="BM144" s="73" t="n"/>
      <c r="BN144" s="69" t="inlineStr">
        <is>
          <t>David M. Conwill; Steven B. Kimmelman; Leslie Leohr</t>
        </is>
      </c>
      <c r="BO144" s="69" t="inlineStr">
        <is>
          <t>Ladder Capital Finance</t>
        </is>
      </c>
      <c r="BP144" s="69" t="inlineStr">
        <is>
          <t>TriMont Real Estate Advisors</t>
        </is>
      </c>
      <c r="BQ144" s="69" t="inlineStr">
        <is>
          <t>K-Star Asset Management LLC</t>
        </is>
      </c>
      <c r="BR144" s="69" t="n"/>
      <c r="BS144" s="73" t="n">
        <v>46276</v>
      </c>
      <c r="BU144" s="76">
        <f>IF($C144="","",IFERROR(INDEX(dmName,MATCH($C144,dmID,0)),"Unmapped"))</f>
        <v/>
      </c>
      <c r="BV144" s="76">
        <f>IF($C144="","",IFERROR(INDEX(dmEntity,MATCH($C144,dmID,0)),"Unmapped"))</f>
        <v/>
      </c>
      <c r="BW144" s="77">
        <f>IF($C144="","",IFERROR(INDEX(dmVintage,MATCH($C144,dmID,0)),""))</f>
        <v/>
      </c>
      <c r="BX144" s="78">
        <f>IFERROR(INDEX(dmInclude,MATCH($C144,dmID,0)),0)</f>
        <v/>
      </c>
      <c r="BY144" s="78">
        <f>IF(N($I144)&gt;0,1,0)</f>
        <v/>
      </c>
      <c r="BZ144" s="76">
        <f>IF($AJ144="","Other / Leased Fee",IFERROR(INDEX(mapPTGroup,MATCH(LEFT(TRIM($AJ144),2),mapPTCode,0)),"Other / Leased Fee"))</f>
        <v/>
      </c>
      <c r="CA144" s="76">
        <f>IF(TRIM($AF144&amp;"")="","NR",LEFT(TRIM($AF144),2))</f>
        <v/>
      </c>
      <c r="CB144" s="76">
        <f>IFERROR(LOOKUP(2,1/(LEFT(TRIM($AI144&amp;""),LEN(mapRegion))=mapRegion),mapRegion),"Not Reported")</f>
        <v/>
      </c>
      <c r="CC144" s="76">
        <f>IF($BY144=0,"",IF(TRIM($W144&amp;"")="REO","REO",IF(TRIM($W144&amp;"")="FC","Foreclosure",IF(TRIM($W144&amp;"")="90+","90+ Days Delinquent",IF(TRIM($W144&amp;"")="60","60 Days Delinquent",IF(TRIM($W144&amp;"")="30","30 Days Delinquent",IF($X144="Non-Performing Matured Balloon","Non-Performing Matured Balloon",IF(OR($X144="Late Payment But Less Than 30 Days Delinquent",LEFT($X144&amp;"",20)="Payment Not Received"),"Late / In Grace (&lt;30 Days)",IF($X144="Performing Matured Balloon","Performing Matured Balloon","Current")))))))))</f>
        <v/>
      </c>
      <c r="CD144" s="78">
        <f>IF(OR($CC144="REO",$CC144="Foreclosure",$CC144="90+ Days Delinquent",$CC144="60 Days Delinquent",$CC144="30 Days Delinquent",$CC144="Non-Performing Matured Balloon"),1,0)</f>
        <v/>
      </c>
      <c r="CE144" s="76">
        <f>IF($AB144="Currently special serv","Currently Specially Serviced",IF($AB144="Returned to master serv","Previously Specially Serviced","Never Specially Serviced"))</f>
        <v/>
      </c>
      <c r="CF144" s="78">
        <f>IF($CE144="Currently Specially Serviced",1,0)</f>
        <v/>
      </c>
      <c r="CG144" s="76">
        <f>IF($AA144="Yes","Currently on Watchlist",IF($AA144="Previously","Previously on Watchlist","Never on Watchlist"))</f>
        <v/>
      </c>
      <c r="CH144" s="78">
        <f>IF($CG144="Currently on Watchlist",1,0)</f>
        <v/>
      </c>
      <c r="CI144" s="76">
        <f>IF($Z144="Full Defeasance","Fully Defeased",IF($Z144="Portion Of Loan Previously Defeased","Partially Defeased",IF($Z144="Defeasance Not Allowable","Not Defeased (Not Permitted)","Not Defeased")))</f>
        <v/>
      </c>
      <c r="CJ144" s="78">
        <f>IF($CI144="Fully Defeased",1,0)</f>
        <v/>
      </c>
      <c r="CK144" s="76">
        <f>IF($R144="IO","Full IO",IF(LEFT($R144&amp;"",7)="IO then","Partial IO","Amortizing"))</f>
        <v/>
      </c>
      <c r="CL144" s="78">
        <f>IF($CK144="Full IO",1,0)</f>
        <v/>
      </c>
      <c r="CM144" s="78">
        <f>IF($CK144="Partial IO",1,0)</f>
        <v/>
      </c>
      <c r="CN144" s="76">
        <f>IF(LEFT($F144&amp;"",10)="SPLIT_LOAN","Pari Passu Split","Standalone")</f>
        <v/>
      </c>
      <c r="CO144" s="78">
        <f>IF($CN144="Pari Passu Split",1,0)</f>
        <v/>
      </c>
      <c r="CP144" s="77">
        <f>IF(ISNUMBER($T144),YEAR($T144),"")</f>
        <v/>
      </c>
      <c r="CQ144" s="79">
        <f>IF(ISNUMBER($V144),$V144,IF(ISNUMBER($U144),$U144,""))</f>
        <v/>
      </c>
      <c r="CR144" s="77">
        <f>IF(ISNUMBER($CQ144),YEAR($CQ144),"")</f>
        <v/>
      </c>
      <c r="CS144" s="78">
        <f>IF(ISNUMBER($M144),MAX(0,$M144),IF(TRIM($M144&amp;"")="matured",0,""))</f>
        <v/>
      </c>
      <c r="CT144" s="78">
        <f>IF(AND(ISNUMBER($CS144),N($CS144)&lt;=mMatWindow),1,0)</f>
        <v/>
      </c>
      <c r="CU144" s="80">
        <f>IF(ISNUMBER($J144),$J144/100,"")</f>
        <v/>
      </c>
      <c r="CV144" s="81">
        <f>IF(ISNUMBER($AQ144),$AQ144,"")</f>
        <v/>
      </c>
      <c r="CW144" s="81">
        <f>IF(ISNUMBER($AR144),$AR144,"")</f>
        <v/>
      </c>
      <c r="CX144" s="82">
        <f>IF(ISNUMBER($AS144),$AS144/100,"")</f>
        <v/>
      </c>
      <c r="CY144" s="82">
        <f>IF(ISNUMBER($AT144),$AT144/100,"")</f>
        <v/>
      </c>
      <c r="CZ144" s="82">
        <f>IF(ISNUMBER($AU144),$AU144/100,"")</f>
        <v/>
      </c>
      <c r="DA144" s="82">
        <f>IF(ISNUMBER($AV144),$AV144/100,"")</f>
        <v/>
      </c>
      <c r="DB144" s="82">
        <f>IF(ISNUMBER($AW144),$AW144/100,"")</f>
        <v/>
      </c>
      <c r="DC144" s="82">
        <f>IF(ISNUMBER($AX144),$AX144/100,"")</f>
        <v/>
      </c>
      <c r="DD144" s="77">
        <f>IFERROR(VALUE(LEFT(TRIM($AO144&amp;""),4)),"")</f>
        <v/>
      </c>
      <c r="DE144" s="78">
        <f>IF(AND($BY144=1,$BX144=1,OR(fDeal="All Deals",$BU144=fDeal),OR(fEntity="All Entities",$BV144=fEntity),OR(fPType="All Property Types",$BZ144=fPType),OR(fDefeased="Include",$CJ144=0)),1,0)</f>
        <v/>
      </c>
      <c r="DF144" s="83">
        <f>$DE144*N($I144)</f>
        <v/>
      </c>
      <c r="DG144" s="78">
        <f>IF($DE144=1,IF(COUNTIFS($F$8:$F144,$F144,$DE$8:$DE144,1)=1,1,0),0)</f>
        <v/>
      </c>
      <c r="DH144" s="83">
        <f>IF($DG144=1,SUMIFS($DF$8:$DF$1600,$F$8:$F$1600,$F144),0)</f>
        <v/>
      </c>
      <c r="DI144" s="78">
        <f>IF($DG144=1,COUNTIFS($F$8:$F$1600,$F144,$DE$8:$DE$1600,1),0)</f>
        <v/>
      </c>
      <c r="DJ144" s="84">
        <f>IF($DG144=1,$DH144+(100000-ROW())/mTieBreak,0)</f>
        <v/>
      </c>
    </row>
    <row r="145">
      <c r="B145" s="68" t="n">
        <v>22</v>
      </c>
      <c r="C145" s="69" t="inlineStr">
        <is>
          <t>WFC18C47</t>
        </is>
      </c>
      <c r="D145" s="69" t="inlineStr">
        <is>
          <t>22.000</t>
        </is>
      </c>
      <c r="E145" s="69" t="inlineStr">
        <is>
          <t>Allen Central Market</t>
        </is>
      </c>
      <c r="F145" s="69" t="inlineStr">
        <is>
          <t>LNWFC18C47-22.000</t>
        </is>
      </c>
      <c r="G145" s="70" t="n"/>
      <c r="H145" s="71" t="n">
        <v>14500000</v>
      </c>
      <c r="I145" s="71" t="n">
        <v>12630782.829993</v>
      </c>
      <c r="J145" s="72" t="n">
        <v>5.27</v>
      </c>
      <c r="K145" s="69" t="inlineStr">
        <is>
          <t>Fixed rate</t>
        </is>
      </c>
      <c r="L145" s="68" t="n">
        <v>120</v>
      </c>
      <c r="M145" s="68" t="n">
        <v>24</v>
      </c>
      <c r="N145" s="68" t="n">
        <v>360</v>
      </c>
      <c r="O145" s="68" t="n"/>
      <c r="P145" s="68" t="n"/>
      <c r="Q145" s="68" t="n">
        <v>96</v>
      </c>
      <c r="R145" s="69" t="n"/>
      <c r="S145" s="69" t="inlineStr">
        <is>
          <t>No</t>
        </is>
      </c>
      <c r="T145" s="73" t="n">
        <v>43344</v>
      </c>
      <c r="U145" s="73" t="n">
        <v>47002</v>
      </c>
      <c r="V145" s="73" t="n"/>
      <c r="W145" s="69" t="n"/>
      <c r="X145" s="69" t="inlineStr">
        <is>
          <t>Current</t>
        </is>
      </c>
      <c r="Y145" s="68" t="n"/>
      <c r="Z145" s="69" t="inlineStr">
        <is>
          <t>Defeasance Not Allowable</t>
        </is>
      </c>
      <c r="AA145" s="69" t="inlineStr">
        <is>
          <t>Previously</t>
        </is>
      </c>
      <c r="AB145" s="69" t="inlineStr">
        <is>
          <t>Never special serv</t>
        </is>
      </c>
      <c r="AC145" s="73" t="n"/>
      <c r="AD145" s="69" t="n"/>
      <c r="AE145" s="69" t="n"/>
      <c r="AF145" s="69" t="inlineStr">
        <is>
          <t>TX</t>
        </is>
      </c>
      <c r="AG145" s="69" t="inlineStr">
        <is>
          <t>Allen</t>
        </is>
      </c>
      <c r="AH145" s="69" t="inlineStr">
        <is>
          <t>Dallas-Fort Worth-Arlington, TX</t>
        </is>
      </c>
      <c r="AI145" s="69" t="inlineStr">
        <is>
          <t>South / Central West</t>
        </is>
      </c>
      <c r="AJ145" s="69" t="inlineStr">
        <is>
          <t>RT</t>
        </is>
      </c>
      <c r="AK145" s="69" t="inlineStr">
        <is>
          <t>Shadow Anchored</t>
        </is>
      </c>
      <c r="AL145" s="68" t="n">
        <v>1</v>
      </c>
      <c r="AM145" s="68" t="n"/>
      <c r="AN145" s="68" t="n">
        <v>77833</v>
      </c>
      <c r="AO145" s="69" t="inlineStr">
        <is>
          <t>1999</t>
        </is>
      </c>
      <c r="AP145" s="70" t="n">
        <v>1999</v>
      </c>
      <c r="AQ145" s="74" t="n">
        <v>1.44</v>
      </c>
      <c r="AR145" s="74" t="n">
        <v>1.25</v>
      </c>
      <c r="AS145" s="74" t="n">
        <v>51.2</v>
      </c>
      <c r="AT145" s="74" t="n">
        <v>44.68</v>
      </c>
      <c r="AU145" s="74" t="n">
        <v>42.5</v>
      </c>
      <c r="AV145" s="74" t="n">
        <v>9.560393102999999</v>
      </c>
      <c r="AW145" s="74" t="n">
        <v>9.814262162</v>
      </c>
      <c r="AX145" s="75" t="n">
        <v>86</v>
      </c>
      <c r="AY145" s="71" t="n">
        <v>28270000</v>
      </c>
      <c r="AZ145" s="71" t="n">
        <v>28270000</v>
      </c>
      <c r="BA145" s="71" t="n">
        <v>1386257</v>
      </c>
      <c r="BB145" s="71" t="n">
        <v>603569.37</v>
      </c>
      <c r="BC145" s="69" t="inlineStr">
        <is>
          <t>Acquisition</t>
        </is>
      </c>
      <c r="BD145" s="69" t="inlineStr">
        <is>
          <t>N</t>
        </is>
      </c>
      <c r="BE145" s="71" t="n"/>
      <c r="BF145" s="71" t="n"/>
      <c r="BG145" s="71" t="n"/>
      <c r="BH145" s="71" t="n">
        <v>0</v>
      </c>
      <c r="BI145" s="71" t="n">
        <v>0</v>
      </c>
      <c r="BJ145" s="69" t="inlineStr">
        <is>
          <t>N</t>
        </is>
      </c>
      <c r="BK145" s="69" t="inlineStr">
        <is>
          <t>ATS Grocery Store</t>
        </is>
      </c>
      <c r="BL145" s="75" t="n">
        <v>19.34</v>
      </c>
      <c r="BM145" s="73" t="n">
        <v>51774</v>
      </c>
      <c r="BN145" s="69" t="inlineStr">
        <is>
          <t>Lakeview Crossing Shopping Center Dallas, TX. Limited Partnership</t>
        </is>
      </c>
      <c r="BO145" s="69" t="inlineStr">
        <is>
          <t>RMF</t>
        </is>
      </c>
      <c r="BP145" s="69" t="inlineStr">
        <is>
          <t>TriMont Real Estate Advisors</t>
        </is>
      </c>
      <c r="BQ145" s="69" t="inlineStr">
        <is>
          <t>K-Star Asset Management LLC</t>
        </is>
      </c>
      <c r="BR145" s="69" t="n"/>
      <c r="BS145" s="73" t="n">
        <v>46276</v>
      </c>
      <c r="BU145" s="76">
        <f>IF($C145="","",IFERROR(INDEX(dmName,MATCH($C145,dmID,0)),"Unmapped"))</f>
        <v/>
      </c>
      <c r="BV145" s="76">
        <f>IF($C145="","",IFERROR(INDEX(dmEntity,MATCH($C145,dmID,0)),"Unmapped"))</f>
        <v/>
      </c>
      <c r="BW145" s="77">
        <f>IF($C145="","",IFERROR(INDEX(dmVintage,MATCH($C145,dmID,0)),""))</f>
        <v/>
      </c>
      <c r="BX145" s="78">
        <f>IFERROR(INDEX(dmInclude,MATCH($C145,dmID,0)),0)</f>
        <v/>
      </c>
      <c r="BY145" s="78">
        <f>IF(N($I145)&gt;0,1,0)</f>
        <v/>
      </c>
      <c r="BZ145" s="76">
        <f>IF($AJ145="","Other / Leased Fee",IFERROR(INDEX(mapPTGroup,MATCH(LEFT(TRIM($AJ145),2),mapPTCode,0)),"Other / Leased Fee"))</f>
        <v/>
      </c>
      <c r="CA145" s="76">
        <f>IF(TRIM($AF145&amp;"")="","NR",LEFT(TRIM($AF145),2))</f>
        <v/>
      </c>
      <c r="CB145" s="76">
        <f>IFERROR(LOOKUP(2,1/(LEFT(TRIM($AI145&amp;""),LEN(mapRegion))=mapRegion),mapRegion),"Not Reported")</f>
        <v/>
      </c>
      <c r="CC145" s="76">
        <f>IF($BY145=0,"",IF(TRIM($W145&amp;"")="REO","REO",IF(TRIM($W145&amp;"")="FC","Foreclosure",IF(TRIM($W145&amp;"")="90+","90+ Days Delinquent",IF(TRIM($W145&amp;"")="60","60 Days Delinquent",IF(TRIM($W145&amp;"")="30","30 Days Delinquent",IF($X145="Non-Performing Matured Balloon","Non-Performing Matured Balloon",IF(OR($X145="Late Payment But Less Than 30 Days Delinquent",LEFT($X145&amp;"",20)="Payment Not Received"),"Late / In Grace (&lt;30 Days)",IF($X145="Performing Matured Balloon","Performing Matured Balloon","Current")))))))))</f>
        <v/>
      </c>
      <c r="CD145" s="78">
        <f>IF(OR($CC145="REO",$CC145="Foreclosure",$CC145="90+ Days Delinquent",$CC145="60 Days Delinquent",$CC145="30 Days Delinquent",$CC145="Non-Performing Matured Balloon"),1,0)</f>
        <v/>
      </c>
      <c r="CE145" s="76">
        <f>IF($AB145="Currently special serv","Currently Specially Serviced",IF($AB145="Returned to master serv","Previously Specially Serviced","Never Specially Serviced"))</f>
        <v/>
      </c>
      <c r="CF145" s="78">
        <f>IF($CE145="Currently Specially Serviced",1,0)</f>
        <v/>
      </c>
      <c r="CG145" s="76">
        <f>IF($AA145="Yes","Currently on Watchlist",IF($AA145="Previously","Previously on Watchlist","Never on Watchlist"))</f>
        <v/>
      </c>
      <c r="CH145" s="78">
        <f>IF($CG145="Currently on Watchlist",1,0)</f>
        <v/>
      </c>
      <c r="CI145" s="76">
        <f>IF($Z145="Full Defeasance","Fully Defeased",IF($Z145="Portion Of Loan Previously Defeased","Partially Defeased",IF($Z145="Defeasance Not Allowable","Not Defeased (Not Permitted)","Not Defeased")))</f>
        <v/>
      </c>
      <c r="CJ145" s="78">
        <f>IF($CI145="Fully Defeased",1,0)</f>
        <v/>
      </c>
      <c r="CK145" s="76">
        <f>IF($R145="IO","Full IO",IF(LEFT($R145&amp;"",7)="IO then","Partial IO","Amortizing"))</f>
        <v/>
      </c>
      <c r="CL145" s="78">
        <f>IF($CK145="Full IO",1,0)</f>
        <v/>
      </c>
      <c r="CM145" s="78">
        <f>IF($CK145="Partial IO",1,0)</f>
        <v/>
      </c>
      <c r="CN145" s="76">
        <f>IF(LEFT($F145&amp;"",10)="SPLIT_LOAN","Pari Passu Split","Standalone")</f>
        <v/>
      </c>
      <c r="CO145" s="78">
        <f>IF($CN145="Pari Passu Split",1,0)</f>
        <v/>
      </c>
      <c r="CP145" s="77">
        <f>IF(ISNUMBER($T145),YEAR($T145),"")</f>
        <v/>
      </c>
      <c r="CQ145" s="79">
        <f>IF(ISNUMBER($V145),$V145,IF(ISNUMBER($U145),$U145,""))</f>
        <v/>
      </c>
      <c r="CR145" s="77">
        <f>IF(ISNUMBER($CQ145),YEAR($CQ145),"")</f>
        <v/>
      </c>
      <c r="CS145" s="78">
        <f>IF(ISNUMBER($M145),MAX(0,$M145),IF(TRIM($M145&amp;"")="matured",0,""))</f>
        <v/>
      </c>
      <c r="CT145" s="78">
        <f>IF(AND(ISNUMBER($CS145),N($CS145)&lt;=mMatWindow),1,0)</f>
        <v/>
      </c>
      <c r="CU145" s="80">
        <f>IF(ISNUMBER($J145),$J145/100,"")</f>
        <v/>
      </c>
      <c r="CV145" s="81">
        <f>IF(ISNUMBER($AQ145),$AQ145,"")</f>
        <v/>
      </c>
      <c r="CW145" s="81">
        <f>IF(ISNUMBER($AR145),$AR145,"")</f>
        <v/>
      </c>
      <c r="CX145" s="82">
        <f>IF(ISNUMBER($AS145),$AS145/100,"")</f>
        <v/>
      </c>
      <c r="CY145" s="82">
        <f>IF(ISNUMBER($AT145),$AT145/100,"")</f>
        <v/>
      </c>
      <c r="CZ145" s="82">
        <f>IF(ISNUMBER($AU145),$AU145/100,"")</f>
        <v/>
      </c>
      <c r="DA145" s="82">
        <f>IF(ISNUMBER($AV145),$AV145/100,"")</f>
        <v/>
      </c>
      <c r="DB145" s="82">
        <f>IF(ISNUMBER($AW145),$AW145/100,"")</f>
        <v/>
      </c>
      <c r="DC145" s="82">
        <f>IF(ISNUMBER($AX145),$AX145/100,"")</f>
        <v/>
      </c>
      <c r="DD145" s="77">
        <f>IFERROR(VALUE(LEFT(TRIM($AO145&amp;""),4)),"")</f>
        <v/>
      </c>
      <c r="DE145" s="78">
        <f>IF(AND($BY145=1,$BX145=1,OR(fDeal="All Deals",$BU145=fDeal),OR(fEntity="All Entities",$BV145=fEntity),OR(fPType="All Property Types",$BZ145=fPType),OR(fDefeased="Include",$CJ145=0)),1,0)</f>
        <v/>
      </c>
      <c r="DF145" s="83">
        <f>$DE145*N($I145)</f>
        <v/>
      </c>
      <c r="DG145" s="78">
        <f>IF($DE145=1,IF(COUNTIFS($F$8:$F145,$F145,$DE$8:$DE145,1)=1,1,0),0)</f>
        <v/>
      </c>
      <c r="DH145" s="83">
        <f>IF($DG145=1,SUMIFS($DF$8:$DF$1600,$F$8:$F$1600,$F145),0)</f>
        <v/>
      </c>
      <c r="DI145" s="78">
        <f>IF($DG145=1,COUNTIFS($F$8:$F$1600,$F145,$DE$8:$DE$1600,1),0)</f>
        <v/>
      </c>
      <c r="DJ145" s="84">
        <f>IF($DG145=1,$DH145+(100000-ROW())/mTieBreak,0)</f>
        <v/>
      </c>
    </row>
    <row r="146">
      <c r="B146" s="68" t="n">
        <v>23</v>
      </c>
      <c r="C146" s="69" t="inlineStr">
        <is>
          <t>WFC18C47</t>
        </is>
      </c>
      <c r="D146" s="69" t="inlineStr">
        <is>
          <t>23.000</t>
        </is>
      </c>
      <c r="E146" s="69" t="inlineStr">
        <is>
          <t>Four Points by Sheraton Miami Airport</t>
        </is>
      </c>
      <c r="F146" s="69" t="inlineStr">
        <is>
          <t>LNWFC18C47-23.000</t>
        </is>
      </c>
      <c r="G146" s="70" t="n"/>
      <c r="H146" s="71" t="n">
        <v>13750000</v>
      </c>
      <c r="I146" s="71" t="n">
        <v>0</v>
      </c>
      <c r="J146" s="72" t="n">
        <v>5.58</v>
      </c>
      <c r="K146" s="69" t="inlineStr">
        <is>
          <t>Fixed rate</t>
        </is>
      </c>
      <c r="L146" s="68" t="n">
        <v>61</v>
      </c>
      <c r="M146" s="68" t="n"/>
      <c r="N146" s="68" t="n">
        <v>384</v>
      </c>
      <c r="O146" s="68" t="n">
        <v>24</v>
      </c>
      <c r="P146" s="68" t="n"/>
      <c r="Q146" s="68" t="n"/>
      <c r="R146" s="69" t="inlineStr">
        <is>
          <t>IO then Amort</t>
        </is>
      </c>
      <c r="S146" s="69" t="inlineStr">
        <is>
          <t>No</t>
        </is>
      </c>
      <c r="T146" s="73" t="n">
        <v>43344</v>
      </c>
      <c r="U146" s="73" t="n">
        <v>45210</v>
      </c>
      <c r="V146" s="73" t="n"/>
      <c r="W146" s="69" t="n"/>
      <c r="X146" s="69" t="inlineStr">
        <is>
          <t>Current</t>
        </is>
      </c>
      <c r="Y146" s="68" t="n"/>
      <c r="Z146" s="69" t="inlineStr">
        <is>
          <t>No Defeasance Occurred</t>
        </is>
      </c>
      <c r="AA146" s="69" t="inlineStr">
        <is>
          <t>Previously</t>
        </is>
      </c>
      <c r="AB146" s="69" t="inlineStr">
        <is>
          <t>Never special serv</t>
        </is>
      </c>
      <c r="AC146" s="73" t="n"/>
      <c r="AD146" s="69" t="n"/>
      <c r="AE146" s="69" t="n"/>
      <c r="AF146" s="69" t="inlineStr">
        <is>
          <t>FL</t>
        </is>
      </c>
      <c r="AG146" s="69" t="inlineStr">
        <is>
          <t>Miami</t>
        </is>
      </c>
      <c r="AH146" s="69" t="inlineStr">
        <is>
          <t>Miami-Fort Lauderdale-West Palm Beach, FL</t>
        </is>
      </c>
      <c r="AI146" s="69" t="inlineStr">
        <is>
          <t>South / Atlantic</t>
        </is>
      </c>
      <c r="AJ146" s="69" t="inlineStr">
        <is>
          <t>HT</t>
        </is>
      </c>
      <c r="AK146" s="69" t="inlineStr">
        <is>
          <t>Select Service</t>
        </is>
      </c>
      <c r="AL146" s="68" t="n">
        <v>1</v>
      </c>
      <c r="AM146" s="68" t="n">
        <v>124</v>
      </c>
      <c r="AN146" s="68" t="n"/>
      <c r="AO146" s="69" t="inlineStr">
        <is>
          <t>2017</t>
        </is>
      </c>
      <c r="AP146" s="70" t="n">
        <v>2017</v>
      </c>
      <c r="AQ146" s="74" t="n">
        <v>1.62</v>
      </c>
      <c r="AR146" s="74" t="n">
        <v>2.11</v>
      </c>
      <c r="AS146" s="74" t="n">
        <v>58.8</v>
      </c>
      <c r="AT146" s="74" t="n"/>
      <c r="AU146" s="74" t="n">
        <v>56.4</v>
      </c>
      <c r="AV146" s="74" t="n">
        <v>11.141468364</v>
      </c>
      <c r="AW146" s="74" t="n"/>
      <c r="AX146" s="75" t="n">
        <v>94.63</v>
      </c>
      <c r="AY146" s="71" t="n">
        <v>23400000</v>
      </c>
      <c r="AZ146" s="71" t="n">
        <v>23400000</v>
      </c>
      <c r="BA146" s="71" t="n">
        <v>1531951.9</v>
      </c>
      <c r="BB146" s="71" t="n">
        <v>1998677.01</v>
      </c>
      <c r="BC146" s="69" t="inlineStr">
        <is>
          <t>Refinance</t>
        </is>
      </c>
      <c r="BD146" s="69" t="inlineStr">
        <is>
          <t>N</t>
        </is>
      </c>
      <c r="BE146" s="71" t="n"/>
      <c r="BF146" s="71" t="n"/>
      <c r="BG146" s="71" t="n"/>
      <c r="BH146" s="71" t="n">
        <v>0</v>
      </c>
      <c r="BI146" s="71" t="n">
        <v>0</v>
      </c>
      <c r="BJ146" s="69" t="inlineStr">
        <is>
          <t>Y</t>
        </is>
      </c>
      <c r="BK146" s="69" t="n"/>
      <c r="BL146" s="75" t="n"/>
      <c r="BM146" s="73" t="n"/>
      <c r="BN146" s="69" t="inlineStr">
        <is>
          <t>Nicholas Economos, Sr.</t>
        </is>
      </c>
      <c r="BO146" s="69" t="inlineStr">
        <is>
          <t>Wells Fargo</t>
        </is>
      </c>
      <c r="BP146" s="69" t="inlineStr">
        <is>
          <t>Wells Fargo</t>
        </is>
      </c>
      <c r="BQ146" s="69" t="inlineStr">
        <is>
          <t>K-Star Asset Management LLC</t>
        </is>
      </c>
      <c r="BR146" s="69" t="inlineStr">
        <is>
          <t>Payoff Prior To Maturity</t>
        </is>
      </c>
      <c r="BS146" s="73" t="n">
        <v>45180</v>
      </c>
      <c r="BU146" s="76">
        <f>IF($C146="","",IFERROR(INDEX(dmName,MATCH($C146,dmID,0)),"Unmapped"))</f>
        <v/>
      </c>
      <c r="BV146" s="76">
        <f>IF($C146="","",IFERROR(INDEX(dmEntity,MATCH($C146,dmID,0)),"Unmapped"))</f>
        <v/>
      </c>
      <c r="BW146" s="77">
        <f>IF($C146="","",IFERROR(INDEX(dmVintage,MATCH($C146,dmID,0)),""))</f>
        <v/>
      </c>
      <c r="BX146" s="78">
        <f>IFERROR(INDEX(dmInclude,MATCH($C146,dmID,0)),0)</f>
        <v/>
      </c>
      <c r="BY146" s="78">
        <f>IF(N($I146)&gt;0,1,0)</f>
        <v/>
      </c>
      <c r="BZ146" s="76">
        <f>IF($AJ146="","Other / Leased Fee",IFERROR(INDEX(mapPTGroup,MATCH(LEFT(TRIM($AJ146),2),mapPTCode,0)),"Other / Leased Fee"))</f>
        <v/>
      </c>
      <c r="CA146" s="76">
        <f>IF(TRIM($AF146&amp;"")="","NR",LEFT(TRIM($AF146),2))</f>
        <v/>
      </c>
      <c r="CB146" s="76">
        <f>IFERROR(LOOKUP(2,1/(LEFT(TRIM($AI146&amp;""),LEN(mapRegion))=mapRegion),mapRegion),"Not Reported")</f>
        <v/>
      </c>
      <c r="CC146" s="76">
        <f>IF($BY146=0,"",IF(TRIM($W146&amp;"")="REO","REO",IF(TRIM($W146&amp;"")="FC","Foreclosure",IF(TRIM($W146&amp;"")="90+","90+ Days Delinquent",IF(TRIM($W146&amp;"")="60","60 Days Delinquent",IF(TRIM($W146&amp;"")="30","30 Days Delinquent",IF($X146="Non-Performing Matured Balloon","Non-Performing Matured Balloon",IF(OR($X146="Late Payment But Less Than 30 Days Delinquent",LEFT($X146&amp;"",20)="Payment Not Received"),"Late / In Grace (&lt;30 Days)",IF($X146="Performing Matured Balloon","Performing Matured Balloon","Current")))))))))</f>
        <v/>
      </c>
      <c r="CD146" s="78">
        <f>IF(OR($CC146="REO",$CC146="Foreclosure",$CC146="90+ Days Delinquent",$CC146="60 Days Delinquent",$CC146="30 Days Delinquent",$CC146="Non-Performing Matured Balloon"),1,0)</f>
        <v/>
      </c>
      <c r="CE146" s="76">
        <f>IF($AB146="Currently special serv","Currently Specially Serviced",IF($AB146="Returned to master serv","Previously Specially Serviced","Never Specially Serviced"))</f>
        <v/>
      </c>
      <c r="CF146" s="78">
        <f>IF($CE146="Currently Specially Serviced",1,0)</f>
        <v/>
      </c>
      <c r="CG146" s="76">
        <f>IF($AA146="Yes","Currently on Watchlist",IF($AA146="Previously","Previously on Watchlist","Never on Watchlist"))</f>
        <v/>
      </c>
      <c r="CH146" s="78">
        <f>IF($CG146="Currently on Watchlist",1,0)</f>
        <v/>
      </c>
      <c r="CI146" s="76">
        <f>IF($Z146="Full Defeasance","Fully Defeased",IF($Z146="Portion Of Loan Previously Defeased","Partially Defeased",IF($Z146="Defeasance Not Allowable","Not Defeased (Not Permitted)","Not Defeased")))</f>
        <v/>
      </c>
      <c r="CJ146" s="78">
        <f>IF($CI146="Fully Defeased",1,0)</f>
        <v/>
      </c>
      <c r="CK146" s="76">
        <f>IF($R146="IO","Full IO",IF(LEFT($R146&amp;"",7)="IO then","Partial IO","Amortizing"))</f>
        <v/>
      </c>
      <c r="CL146" s="78">
        <f>IF($CK146="Full IO",1,0)</f>
        <v/>
      </c>
      <c r="CM146" s="78">
        <f>IF($CK146="Partial IO",1,0)</f>
        <v/>
      </c>
      <c r="CN146" s="76">
        <f>IF(LEFT($F146&amp;"",10)="SPLIT_LOAN","Pari Passu Split","Standalone")</f>
        <v/>
      </c>
      <c r="CO146" s="78">
        <f>IF($CN146="Pari Passu Split",1,0)</f>
        <v/>
      </c>
      <c r="CP146" s="77">
        <f>IF(ISNUMBER($T146),YEAR($T146),"")</f>
        <v/>
      </c>
      <c r="CQ146" s="79">
        <f>IF(ISNUMBER($V146),$V146,IF(ISNUMBER($U146),$U146,""))</f>
        <v/>
      </c>
      <c r="CR146" s="77">
        <f>IF(ISNUMBER($CQ146),YEAR($CQ146),"")</f>
        <v/>
      </c>
      <c r="CS146" s="78">
        <f>IF(ISNUMBER($M146),MAX(0,$M146),IF(TRIM($M146&amp;"")="matured",0,""))</f>
        <v/>
      </c>
      <c r="CT146" s="78">
        <f>IF(AND(ISNUMBER($CS146),N($CS146)&lt;=mMatWindow),1,0)</f>
        <v/>
      </c>
      <c r="CU146" s="80">
        <f>IF(ISNUMBER($J146),$J146/100,"")</f>
        <v/>
      </c>
      <c r="CV146" s="81">
        <f>IF(ISNUMBER($AQ146),$AQ146,"")</f>
        <v/>
      </c>
      <c r="CW146" s="81">
        <f>IF(ISNUMBER($AR146),$AR146,"")</f>
        <v/>
      </c>
      <c r="CX146" s="82">
        <f>IF(ISNUMBER($AS146),$AS146/100,"")</f>
        <v/>
      </c>
      <c r="CY146" s="82">
        <f>IF(ISNUMBER($AT146),$AT146/100,"")</f>
        <v/>
      </c>
      <c r="CZ146" s="82">
        <f>IF(ISNUMBER($AU146),$AU146/100,"")</f>
        <v/>
      </c>
      <c r="DA146" s="82">
        <f>IF(ISNUMBER($AV146),$AV146/100,"")</f>
        <v/>
      </c>
      <c r="DB146" s="82">
        <f>IF(ISNUMBER($AW146),$AW146/100,"")</f>
        <v/>
      </c>
      <c r="DC146" s="82">
        <f>IF(ISNUMBER($AX146),$AX146/100,"")</f>
        <v/>
      </c>
      <c r="DD146" s="77">
        <f>IFERROR(VALUE(LEFT(TRIM($AO146&amp;""),4)),"")</f>
        <v/>
      </c>
      <c r="DE146" s="78">
        <f>IF(AND($BY146=1,$BX146=1,OR(fDeal="All Deals",$BU146=fDeal),OR(fEntity="All Entities",$BV146=fEntity),OR(fPType="All Property Types",$BZ146=fPType),OR(fDefeased="Include",$CJ146=0)),1,0)</f>
        <v/>
      </c>
      <c r="DF146" s="83">
        <f>$DE146*N($I146)</f>
        <v/>
      </c>
      <c r="DG146" s="78">
        <f>IF($DE146=1,IF(COUNTIFS($F$8:$F146,$F146,$DE$8:$DE146,1)=1,1,0),0)</f>
        <v/>
      </c>
      <c r="DH146" s="83">
        <f>IF($DG146=1,SUMIFS($DF$8:$DF$1600,$F$8:$F$1600,$F146),0)</f>
        <v/>
      </c>
      <c r="DI146" s="78">
        <f>IF($DG146=1,COUNTIFS($F$8:$F$1600,$F146,$DE$8:$DE$1600,1),0)</f>
        <v/>
      </c>
      <c r="DJ146" s="84">
        <f>IF($DG146=1,$DH146+(100000-ROW())/mTieBreak,0)</f>
        <v/>
      </c>
    </row>
    <row r="147">
      <c r="B147" s="68" t="n">
        <v>24</v>
      </c>
      <c r="C147" s="69" t="inlineStr">
        <is>
          <t>WFC18C47</t>
        </is>
      </c>
      <c r="D147" s="69" t="inlineStr">
        <is>
          <t>24.000</t>
        </is>
      </c>
      <c r="E147" s="69" t="inlineStr">
        <is>
          <t>Fairfield Oakes</t>
        </is>
      </c>
      <c r="F147" s="69" t="inlineStr">
        <is>
          <t>LNWFC18C47-24.000</t>
        </is>
      </c>
      <c r="G147" s="70" t="n"/>
      <c r="H147" s="71" t="n">
        <v>13500000</v>
      </c>
      <c r="I147" s="71" t="n">
        <v>12888970.610004</v>
      </c>
      <c r="J147" s="72" t="n">
        <v>5.023</v>
      </c>
      <c r="K147" s="69" t="inlineStr">
        <is>
          <t>Fixed rate</t>
        </is>
      </c>
      <c r="L147" s="68" t="n">
        <v>120</v>
      </c>
      <c r="M147" s="68" t="n">
        <v>23</v>
      </c>
      <c r="N147" s="68" t="n">
        <v>420</v>
      </c>
      <c r="O147" s="68" t="n">
        <v>60</v>
      </c>
      <c r="P147" s="68" t="n">
        <v>0</v>
      </c>
      <c r="Q147" s="68" t="n">
        <v>97</v>
      </c>
      <c r="R147" s="69" t="inlineStr">
        <is>
          <t>IO then Amort</t>
        </is>
      </c>
      <c r="S147" s="69" t="inlineStr">
        <is>
          <t>No</t>
        </is>
      </c>
      <c r="T147" s="73" t="n">
        <v>43313</v>
      </c>
      <c r="U147" s="73" t="n">
        <v>46971</v>
      </c>
      <c r="V147" s="73" t="n"/>
      <c r="W147" s="69" t="n"/>
      <c r="X147" s="69" t="inlineStr">
        <is>
          <t>Current</t>
        </is>
      </c>
      <c r="Y147" s="68" t="n"/>
      <c r="Z147" s="69" t="inlineStr">
        <is>
          <t>No Defeasance Occurred</t>
        </is>
      </c>
      <c r="AA147" s="69" t="n"/>
      <c r="AB147" s="69" t="inlineStr">
        <is>
          <t>Never special serv</t>
        </is>
      </c>
      <c r="AC147" s="73" t="n"/>
      <c r="AD147" s="69" t="n"/>
      <c r="AE147" s="69" t="n"/>
      <c r="AF147" s="69" t="inlineStr">
        <is>
          <t>OH</t>
        </is>
      </c>
      <c r="AG147" s="69" t="inlineStr">
        <is>
          <t>Fairborn</t>
        </is>
      </c>
      <c r="AH147" s="69" t="inlineStr">
        <is>
          <t>Dayton-Kettering-Beavercreek, OH</t>
        </is>
      </c>
      <c r="AI147" s="69" t="inlineStr">
        <is>
          <t>Midwest / Central East</t>
        </is>
      </c>
      <c r="AJ147" s="69" t="inlineStr">
        <is>
          <t>MF</t>
        </is>
      </c>
      <c r="AK147" s="69" t="inlineStr">
        <is>
          <t>Garden</t>
        </is>
      </c>
      <c r="AL147" s="68" t="n">
        <v>1</v>
      </c>
      <c r="AM147" s="68" t="n">
        <v>102</v>
      </c>
      <c r="AN147" s="68" t="n"/>
      <c r="AO147" s="69" t="inlineStr">
        <is>
          <t>2016</t>
        </is>
      </c>
      <c r="AP147" s="70" t="n">
        <v>2016</v>
      </c>
      <c r="AQ147" s="74" t="n">
        <v>1.31</v>
      </c>
      <c r="AR147" s="74" t="n">
        <v>1.75</v>
      </c>
      <c r="AS147" s="74" t="n">
        <v>68.5</v>
      </c>
      <c r="AT147" s="74" t="n">
        <v>65.43000000000001</v>
      </c>
      <c r="AU147" s="74" t="n">
        <v>63.2</v>
      </c>
      <c r="AV147" s="74" t="n">
        <v>8.453765852</v>
      </c>
      <c r="AW147" s="74" t="n">
        <v>10.849656907</v>
      </c>
      <c r="AX147" s="75" t="n">
        <v>94</v>
      </c>
      <c r="AY147" s="71" t="n">
        <v>19700000</v>
      </c>
      <c r="AZ147" s="71" t="n">
        <v>19700000</v>
      </c>
      <c r="BA147" s="71" t="n">
        <v>1141258.39</v>
      </c>
      <c r="BB147" s="71" t="n">
        <v>763984.3</v>
      </c>
      <c r="BC147" s="69" t="inlineStr">
        <is>
          <t>Refinance</t>
        </is>
      </c>
      <c r="BD147" s="69" t="inlineStr">
        <is>
          <t>N</t>
        </is>
      </c>
      <c r="BE147" s="71" t="n"/>
      <c r="BF147" s="71" t="n"/>
      <c r="BG147" s="71" t="n"/>
      <c r="BH147" s="71" t="n">
        <v>0</v>
      </c>
      <c r="BI147" s="71" t="n">
        <v>0</v>
      </c>
      <c r="BJ147" s="69" t="inlineStr">
        <is>
          <t>N</t>
        </is>
      </c>
      <c r="BK147" s="69" t="n"/>
      <c r="BL147" s="75" t="n"/>
      <c r="BM147" s="73" t="n"/>
      <c r="BN147" s="69" t="inlineStr">
        <is>
          <t>David M. Conwill; Steven B. Kimmelman; Leslie Leohr</t>
        </is>
      </c>
      <c r="BO147" s="69" t="inlineStr">
        <is>
          <t>Ladder Capital Finance</t>
        </is>
      </c>
      <c r="BP147" s="69" t="inlineStr">
        <is>
          <t>TriMont Real Estate Advisors</t>
        </is>
      </c>
      <c r="BQ147" s="69" t="inlineStr">
        <is>
          <t>K-Star Asset Management LLC</t>
        </is>
      </c>
      <c r="BR147" s="69" t="n"/>
      <c r="BS147" s="73" t="n">
        <v>46276</v>
      </c>
      <c r="BU147" s="76">
        <f>IF($C147="","",IFERROR(INDEX(dmName,MATCH($C147,dmID,0)),"Unmapped"))</f>
        <v/>
      </c>
      <c r="BV147" s="76">
        <f>IF($C147="","",IFERROR(INDEX(dmEntity,MATCH($C147,dmID,0)),"Unmapped"))</f>
        <v/>
      </c>
      <c r="BW147" s="77">
        <f>IF($C147="","",IFERROR(INDEX(dmVintage,MATCH($C147,dmID,0)),""))</f>
        <v/>
      </c>
      <c r="BX147" s="78">
        <f>IFERROR(INDEX(dmInclude,MATCH($C147,dmID,0)),0)</f>
        <v/>
      </c>
      <c r="BY147" s="78">
        <f>IF(N($I147)&gt;0,1,0)</f>
        <v/>
      </c>
      <c r="BZ147" s="76">
        <f>IF($AJ147="","Other / Leased Fee",IFERROR(INDEX(mapPTGroup,MATCH(LEFT(TRIM($AJ147),2),mapPTCode,0)),"Other / Leased Fee"))</f>
        <v/>
      </c>
      <c r="CA147" s="76">
        <f>IF(TRIM($AF147&amp;"")="","NR",LEFT(TRIM($AF147),2))</f>
        <v/>
      </c>
      <c r="CB147" s="76">
        <f>IFERROR(LOOKUP(2,1/(LEFT(TRIM($AI147&amp;""),LEN(mapRegion))=mapRegion),mapRegion),"Not Reported")</f>
        <v/>
      </c>
      <c r="CC147" s="76">
        <f>IF($BY147=0,"",IF(TRIM($W147&amp;"")="REO","REO",IF(TRIM($W147&amp;"")="FC","Foreclosure",IF(TRIM($W147&amp;"")="90+","90+ Days Delinquent",IF(TRIM($W147&amp;"")="60","60 Days Delinquent",IF(TRIM($W147&amp;"")="30","30 Days Delinquent",IF($X147="Non-Performing Matured Balloon","Non-Performing Matured Balloon",IF(OR($X147="Late Payment But Less Than 30 Days Delinquent",LEFT($X147&amp;"",20)="Payment Not Received"),"Late / In Grace (&lt;30 Days)",IF($X147="Performing Matured Balloon","Performing Matured Balloon","Current")))))))))</f>
        <v/>
      </c>
      <c r="CD147" s="78">
        <f>IF(OR($CC147="REO",$CC147="Foreclosure",$CC147="90+ Days Delinquent",$CC147="60 Days Delinquent",$CC147="30 Days Delinquent",$CC147="Non-Performing Matured Balloon"),1,0)</f>
        <v/>
      </c>
      <c r="CE147" s="76">
        <f>IF($AB147="Currently special serv","Currently Specially Serviced",IF($AB147="Returned to master serv","Previously Specially Serviced","Never Specially Serviced"))</f>
        <v/>
      </c>
      <c r="CF147" s="78">
        <f>IF($CE147="Currently Specially Serviced",1,0)</f>
        <v/>
      </c>
      <c r="CG147" s="76">
        <f>IF($AA147="Yes","Currently on Watchlist",IF($AA147="Previously","Previously on Watchlist","Never on Watchlist"))</f>
        <v/>
      </c>
      <c r="CH147" s="78">
        <f>IF($CG147="Currently on Watchlist",1,0)</f>
        <v/>
      </c>
      <c r="CI147" s="76">
        <f>IF($Z147="Full Defeasance","Fully Defeased",IF($Z147="Portion Of Loan Previously Defeased","Partially Defeased",IF($Z147="Defeasance Not Allowable","Not Defeased (Not Permitted)","Not Defeased")))</f>
        <v/>
      </c>
      <c r="CJ147" s="78">
        <f>IF($CI147="Fully Defeased",1,0)</f>
        <v/>
      </c>
      <c r="CK147" s="76">
        <f>IF($R147="IO","Full IO",IF(LEFT($R147&amp;"",7)="IO then","Partial IO","Amortizing"))</f>
        <v/>
      </c>
      <c r="CL147" s="78">
        <f>IF($CK147="Full IO",1,0)</f>
        <v/>
      </c>
      <c r="CM147" s="78">
        <f>IF($CK147="Partial IO",1,0)</f>
        <v/>
      </c>
      <c r="CN147" s="76">
        <f>IF(LEFT($F147&amp;"",10)="SPLIT_LOAN","Pari Passu Split","Standalone")</f>
        <v/>
      </c>
      <c r="CO147" s="78">
        <f>IF($CN147="Pari Passu Split",1,0)</f>
        <v/>
      </c>
      <c r="CP147" s="77">
        <f>IF(ISNUMBER($T147),YEAR($T147),"")</f>
        <v/>
      </c>
      <c r="CQ147" s="79">
        <f>IF(ISNUMBER($V147),$V147,IF(ISNUMBER($U147),$U147,""))</f>
        <v/>
      </c>
      <c r="CR147" s="77">
        <f>IF(ISNUMBER($CQ147),YEAR($CQ147),"")</f>
        <v/>
      </c>
      <c r="CS147" s="78">
        <f>IF(ISNUMBER($M147),MAX(0,$M147),IF(TRIM($M147&amp;"")="matured",0,""))</f>
        <v/>
      </c>
      <c r="CT147" s="78">
        <f>IF(AND(ISNUMBER($CS147),N($CS147)&lt;=mMatWindow),1,0)</f>
        <v/>
      </c>
      <c r="CU147" s="80">
        <f>IF(ISNUMBER($J147),$J147/100,"")</f>
        <v/>
      </c>
      <c r="CV147" s="81">
        <f>IF(ISNUMBER($AQ147),$AQ147,"")</f>
        <v/>
      </c>
      <c r="CW147" s="81">
        <f>IF(ISNUMBER($AR147),$AR147,"")</f>
        <v/>
      </c>
      <c r="CX147" s="82">
        <f>IF(ISNUMBER($AS147),$AS147/100,"")</f>
        <v/>
      </c>
      <c r="CY147" s="82">
        <f>IF(ISNUMBER($AT147),$AT147/100,"")</f>
        <v/>
      </c>
      <c r="CZ147" s="82">
        <f>IF(ISNUMBER($AU147),$AU147/100,"")</f>
        <v/>
      </c>
      <c r="DA147" s="82">
        <f>IF(ISNUMBER($AV147),$AV147/100,"")</f>
        <v/>
      </c>
      <c r="DB147" s="82">
        <f>IF(ISNUMBER($AW147),$AW147/100,"")</f>
        <v/>
      </c>
      <c r="DC147" s="82">
        <f>IF(ISNUMBER($AX147),$AX147/100,"")</f>
        <v/>
      </c>
      <c r="DD147" s="77">
        <f>IFERROR(VALUE(LEFT(TRIM($AO147&amp;""),4)),"")</f>
        <v/>
      </c>
      <c r="DE147" s="78">
        <f>IF(AND($BY147=1,$BX147=1,OR(fDeal="All Deals",$BU147=fDeal),OR(fEntity="All Entities",$BV147=fEntity),OR(fPType="All Property Types",$BZ147=fPType),OR(fDefeased="Include",$CJ147=0)),1,0)</f>
        <v/>
      </c>
      <c r="DF147" s="83">
        <f>$DE147*N($I147)</f>
        <v/>
      </c>
      <c r="DG147" s="78">
        <f>IF($DE147=1,IF(COUNTIFS($F$8:$F147,$F147,$DE$8:$DE147,1)=1,1,0),0)</f>
        <v/>
      </c>
      <c r="DH147" s="83">
        <f>IF($DG147=1,SUMIFS($DF$8:$DF$1600,$F$8:$F$1600,$F147),0)</f>
        <v/>
      </c>
      <c r="DI147" s="78">
        <f>IF($DG147=1,COUNTIFS($F$8:$F$1600,$F147,$DE$8:$DE$1600,1),0)</f>
        <v/>
      </c>
      <c r="DJ147" s="84">
        <f>IF($DG147=1,$DH147+(100000-ROW())/mTieBreak,0)</f>
        <v/>
      </c>
    </row>
    <row r="148">
      <c r="B148" s="68" t="n">
        <v>25</v>
      </c>
      <c r="C148" s="69" t="inlineStr">
        <is>
          <t>WFC18C47</t>
        </is>
      </c>
      <c r="D148" s="69" t="inlineStr">
        <is>
          <t>25.000</t>
        </is>
      </c>
      <c r="E148" s="69" t="inlineStr">
        <is>
          <t>UA Roseville</t>
        </is>
      </c>
      <c r="F148" s="69" t="inlineStr">
        <is>
          <t>LNWFC18C47-25.000</t>
        </is>
      </c>
      <c r="G148" s="70" t="n"/>
      <c r="H148" s="71" t="n">
        <v>13065000</v>
      </c>
      <c r="I148" s="71" t="n">
        <v>11347038.3299949</v>
      </c>
      <c r="J148" s="72" t="n">
        <v>5.15</v>
      </c>
      <c r="K148" s="69" t="inlineStr">
        <is>
          <t>Fixed rate</t>
        </is>
      </c>
      <c r="L148" s="68" t="n">
        <v>120</v>
      </c>
      <c r="M148" s="68" t="n">
        <v>24</v>
      </c>
      <c r="N148" s="68" t="n">
        <v>360</v>
      </c>
      <c r="O148" s="68" t="n"/>
      <c r="P148" s="68" t="n"/>
      <c r="Q148" s="68" t="n">
        <v>96</v>
      </c>
      <c r="R148" s="69" t="n"/>
      <c r="S148" s="69" t="inlineStr">
        <is>
          <t>No</t>
        </is>
      </c>
      <c r="T148" s="73" t="n">
        <v>43344</v>
      </c>
      <c r="U148" s="73" t="n">
        <v>47007</v>
      </c>
      <c r="V148" s="73" t="n"/>
      <c r="W148" s="69" t="n"/>
      <c r="X148" s="69" t="inlineStr">
        <is>
          <t>Current</t>
        </is>
      </c>
      <c r="Y148" s="68" t="n"/>
      <c r="Z148" s="69" t="inlineStr">
        <is>
          <t>No Defeasance Occurred</t>
        </is>
      </c>
      <c r="AA148" s="69" t="inlineStr">
        <is>
          <t>Yes</t>
        </is>
      </c>
      <c r="AB148" s="69" t="inlineStr">
        <is>
          <t>Never special serv</t>
        </is>
      </c>
      <c r="AC148" s="73" t="n"/>
      <c r="AD148" s="69" t="n"/>
      <c r="AE148" s="69" t="n"/>
      <c r="AF148" s="69" t="inlineStr">
        <is>
          <t>CA</t>
        </is>
      </c>
      <c r="AG148" s="69" t="inlineStr">
        <is>
          <t>Roseville</t>
        </is>
      </c>
      <c r="AH148" s="69" t="inlineStr">
        <is>
          <t>Sacramento-Roseville-Folsom, CA</t>
        </is>
      </c>
      <c r="AI148" s="69" t="inlineStr">
        <is>
          <t>West / Pacific North</t>
        </is>
      </c>
      <c r="AJ148" s="69" t="inlineStr">
        <is>
          <t>RT</t>
        </is>
      </c>
      <c r="AK148" s="69" t="inlineStr">
        <is>
          <t>Single Tenant</t>
        </is>
      </c>
      <c r="AL148" s="68" t="n">
        <v>1</v>
      </c>
      <c r="AM148" s="68" t="n"/>
      <c r="AN148" s="68" t="n">
        <v>47200</v>
      </c>
      <c r="AO148" s="69" t="inlineStr">
        <is>
          <t>2000</t>
        </is>
      </c>
      <c r="AP148" s="70" t="n">
        <v>2017</v>
      </c>
      <c r="AQ148" s="74" t="n">
        <v>1.57</v>
      </c>
      <c r="AR148" s="74" t="n">
        <v>1.2</v>
      </c>
      <c r="AS148" s="74" t="n">
        <v>64.90000000000001</v>
      </c>
      <c r="AT148" s="74" t="n">
        <v>56.45</v>
      </c>
      <c r="AU148" s="74" t="n">
        <v>53.7</v>
      </c>
      <c r="AV148" s="74" t="n">
        <v>10.298101799</v>
      </c>
      <c r="AW148" s="74" t="n">
        <v>5.676608479</v>
      </c>
      <c r="AX148" s="75" t="n">
        <v>100</v>
      </c>
      <c r="AY148" s="71" t="n">
        <v>20100000</v>
      </c>
      <c r="AZ148" s="71" t="n">
        <v>20100000</v>
      </c>
      <c r="BA148" s="71" t="n">
        <v>1345447</v>
      </c>
      <c r="BB148" s="71" t="n">
        <v>257481</v>
      </c>
      <c r="BC148" s="69" t="inlineStr">
        <is>
          <t>Refinance</t>
        </is>
      </c>
      <c r="BD148" s="69" t="inlineStr">
        <is>
          <t>N</t>
        </is>
      </c>
      <c r="BE148" s="71" t="n"/>
      <c r="BF148" s="71" t="n"/>
      <c r="BG148" s="71" t="n"/>
      <c r="BH148" s="71" t="n">
        <v>0</v>
      </c>
      <c r="BI148" s="71" t="n">
        <v>0</v>
      </c>
      <c r="BJ148" s="69" t="inlineStr">
        <is>
          <t>N</t>
        </is>
      </c>
      <c r="BK148" s="69" t="inlineStr">
        <is>
          <t>Roseville Cinema LLC</t>
        </is>
      </c>
      <c r="BL148" s="75" t="n">
        <v>100.6</v>
      </c>
      <c r="BM148" s="73" t="n">
        <v>49399</v>
      </c>
      <c r="BN148" s="69" t="inlineStr">
        <is>
          <t>Mark Cunningham</t>
        </is>
      </c>
      <c r="BO148" s="69" t="inlineStr">
        <is>
          <t>Wells Fargo</t>
        </is>
      </c>
      <c r="BP148" s="69" t="inlineStr">
        <is>
          <t>TriMont Real Estate Advisors</t>
        </is>
      </c>
      <c r="BQ148" s="69" t="inlineStr">
        <is>
          <t>K-Star Asset Management LLC</t>
        </is>
      </c>
      <c r="BR148" s="69" t="n"/>
      <c r="BS148" s="73" t="n">
        <v>46276</v>
      </c>
      <c r="BU148" s="76">
        <f>IF($C148="","",IFERROR(INDEX(dmName,MATCH($C148,dmID,0)),"Unmapped"))</f>
        <v/>
      </c>
      <c r="BV148" s="76">
        <f>IF($C148="","",IFERROR(INDEX(dmEntity,MATCH($C148,dmID,0)),"Unmapped"))</f>
        <v/>
      </c>
      <c r="BW148" s="77">
        <f>IF($C148="","",IFERROR(INDEX(dmVintage,MATCH($C148,dmID,0)),""))</f>
        <v/>
      </c>
      <c r="BX148" s="78">
        <f>IFERROR(INDEX(dmInclude,MATCH($C148,dmID,0)),0)</f>
        <v/>
      </c>
      <c r="BY148" s="78">
        <f>IF(N($I148)&gt;0,1,0)</f>
        <v/>
      </c>
      <c r="BZ148" s="76">
        <f>IF($AJ148="","Other / Leased Fee",IFERROR(INDEX(mapPTGroup,MATCH(LEFT(TRIM($AJ148),2),mapPTCode,0)),"Other / Leased Fee"))</f>
        <v/>
      </c>
      <c r="CA148" s="76">
        <f>IF(TRIM($AF148&amp;"")="","NR",LEFT(TRIM($AF148),2))</f>
        <v/>
      </c>
      <c r="CB148" s="76">
        <f>IFERROR(LOOKUP(2,1/(LEFT(TRIM($AI148&amp;""),LEN(mapRegion))=mapRegion),mapRegion),"Not Reported")</f>
        <v/>
      </c>
      <c r="CC148" s="76">
        <f>IF($BY148=0,"",IF(TRIM($W148&amp;"")="REO","REO",IF(TRIM($W148&amp;"")="FC","Foreclosure",IF(TRIM($W148&amp;"")="90+","90+ Days Delinquent",IF(TRIM($W148&amp;"")="60","60 Days Delinquent",IF(TRIM($W148&amp;"")="30","30 Days Delinquent",IF($X148="Non-Performing Matured Balloon","Non-Performing Matured Balloon",IF(OR($X148="Late Payment But Less Than 30 Days Delinquent",LEFT($X148&amp;"",20)="Payment Not Received"),"Late / In Grace (&lt;30 Days)",IF($X148="Performing Matured Balloon","Performing Matured Balloon","Current")))))))))</f>
        <v/>
      </c>
      <c r="CD148" s="78">
        <f>IF(OR($CC148="REO",$CC148="Foreclosure",$CC148="90+ Days Delinquent",$CC148="60 Days Delinquent",$CC148="30 Days Delinquent",$CC148="Non-Performing Matured Balloon"),1,0)</f>
        <v/>
      </c>
      <c r="CE148" s="76">
        <f>IF($AB148="Currently special serv","Currently Specially Serviced",IF($AB148="Returned to master serv","Previously Specially Serviced","Never Specially Serviced"))</f>
        <v/>
      </c>
      <c r="CF148" s="78">
        <f>IF($CE148="Currently Specially Serviced",1,0)</f>
        <v/>
      </c>
      <c r="CG148" s="76">
        <f>IF($AA148="Yes","Currently on Watchlist",IF($AA148="Previously","Previously on Watchlist","Never on Watchlist"))</f>
        <v/>
      </c>
      <c r="CH148" s="78">
        <f>IF($CG148="Currently on Watchlist",1,0)</f>
        <v/>
      </c>
      <c r="CI148" s="76">
        <f>IF($Z148="Full Defeasance","Fully Defeased",IF($Z148="Portion Of Loan Previously Defeased","Partially Defeased",IF($Z148="Defeasance Not Allowable","Not Defeased (Not Permitted)","Not Defeased")))</f>
        <v/>
      </c>
      <c r="CJ148" s="78">
        <f>IF($CI148="Fully Defeased",1,0)</f>
        <v/>
      </c>
      <c r="CK148" s="76">
        <f>IF($R148="IO","Full IO",IF(LEFT($R148&amp;"",7)="IO then","Partial IO","Amortizing"))</f>
        <v/>
      </c>
      <c r="CL148" s="78">
        <f>IF($CK148="Full IO",1,0)</f>
        <v/>
      </c>
      <c r="CM148" s="78">
        <f>IF($CK148="Partial IO",1,0)</f>
        <v/>
      </c>
      <c r="CN148" s="76">
        <f>IF(LEFT($F148&amp;"",10)="SPLIT_LOAN","Pari Passu Split","Standalone")</f>
        <v/>
      </c>
      <c r="CO148" s="78">
        <f>IF($CN148="Pari Passu Split",1,0)</f>
        <v/>
      </c>
      <c r="CP148" s="77">
        <f>IF(ISNUMBER($T148),YEAR($T148),"")</f>
        <v/>
      </c>
      <c r="CQ148" s="79">
        <f>IF(ISNUMBER($V148),$V148,IF(ISNUMBER($U148),$U148,""))</f>
        <v/>
      </c>
      <c r="CR148" s="77">
        <f>IF(ISNUMBER($CQ148),YEAR($CQ148),"")</f>
        <v/>
      </c>
      <c r="CS148" s="78">
        <f>IF(ISNUMBER($M148),MAX(0,$M148),IF(TRIM($M148&amp;"")="matured",0,""))</f>
        <v/>
      </c>
      <c r="CT148" s="78">
        <f>IF(AND(ISNUMBER($CS148),N($CS148)&lt;=mMatWindow),1,0)</f>
        <v/>
      </c>
      <c r="CU148" s="80">
        <f>IF(ISNUMBER($J148),$J148/100,"")</f>
        <v/>
      </c>
      <c r="CV148" s="81">
        <f>IF(ISNUMBER($AQ148),$AQ148,"")</f>
        <v/>
      </c>
      <c r="CW148" s="81">
        <f>IF(ISNUMBER($AR148),$AR148,"")</f>
        <v/>
      </c>
      <c r="CX148" s="82">
        <f>IF(ISNUMBER($AS148),$AS148/100,"")</f>
        <v/>
      </c>
      <c r="CY148" s="82">
        <f>IF(ISNUMBER($AT148),$AT148/100,"")</f>
        <v/>
      </c>
      <c r="CZ148" s="82">
        <f>IF(ISNUMBER($AU148),$AU148/100,"")</f>
        <v/>
      </c>
      <c r="DA148" s="82">
        <f>IF(ISNUMBER($AV148),$AV148/100,"")</f>
        <v/>
      </c>
      <c r="DB148" s="82">
        <f>IF(ISNUMBER($AW148),$AW148/100,"")</f>
        <v/>
      </c>
      <c r="DC148" s="82">
        <f>IF(ISNUMBER($AX148),$AX148/100,"")</f>
        <v/>
      </c>
      <c r="DD148" s="77">
        <f>IFERROR(VALUE(LEFT(TRIM($AO148&amp;""),4)),"")</f>
        <v/>
      </c>
      <c r="DE148" s="78">
        <f>IF(AND($BY148=1,$BX148=1,OR(fDeal="All Deals",$BU148=fDeal),OR(fEntity="All Entities",$BV148=fEntity),OR(fPType="All Property Types",$BZ148=fPType),OR(fDefeased="Include",$CJ148=0)),1,0)</f>
        <v/>
      </c>
      <c r="DF148" s="83">
        <f>$DE148*N($I148)</f>
        <v/>
      </c>
      <c r="DG148" s="78">
        <f>IF($DE148=1,IF(COUNTIFS($F$8:$F148,$F148,$DE$8:$DE148,1)=1,1,0),0)</f>
        <v/>
      </c>
      <c r="DH148" s="83">
        <f>IF($DG148=1,SUMIFS($DF$8:$DF$1600,$F$8:$F$1600,$F148),0)</f>
        <v/>
      </c>
      <c r="DI148" s="78">
        <f>IF($DG148=1,COUNTIFS($F$8:$F$1600,$F148,$DE$8:$DE$1600,1),0)</f>
        <v/>
      </c>
      <c r="DJ148" s="84">
        <f>IF($DG148=1,$DH148+(100000-ROW())/mTieBreak,0)</f>
        <v/>
      </c>
    </row>
    <row r="149">
      <c r="B149" s="68" t="n">
        <v>26</v>
      </c>
      <c r="C149" s="69" t="inlineStr">
        <is>
          <t>WFC18C47</t>
        </is>
      </c>
      <c r="D149" s="69" t="inlineStr">
        <is>
          <t>26.000</t>
        </is>
      </c>
      <c r="E149" s="69" t="inlineStr">
        <is>
          <t>1400 Fifth Avenue</t>
        </is>
      </c>
      <c r="F149" s="69" t="inlineStr">
        <is>
          <t>LNWFC18C47-26.000</t>
        </is>
      </c>
      <c r="G149" s="70" t="n"/>
      <c r="H149" s="71" t="n">
        <v>12300000</v>
      </c>
      <c r="I149" s="71" t="n">
        <v>12300000</v>
      </c>
      <c r="J149" s="72" t="n">
        <v>4.995</v>
      </c>
      <c r="K149" s="69" t="inlineStr">
        <is>
          <t>Fixed rate</t>
        </is>
      </c>
      <c r="L149" s="68" t="n">
        <v>120</v>
      </c>
      <c r="M149" s="68" t="n">
        <v>24</v>
      </c>
      <c r="N149" s="68" t="n">
        <v>120</v>
      </c>
      <c r="O149" s="68" t="n">
        <v>120</v>
      </c>
      <c r="P149" s="68" t="n">
        <v>24</v>
      </c>
      <c r="Q149" s="68" t="n">
        <v>96</v>
      </c>
      <c r="R149" s="69" t="inlineStr">
        <is>
          <t>IO</t>
        </is>
      </c>
      <c r="S149" s="69" t="inlineStr">
        <is>
          <t>Yes</t>
        </is>
      </c>
      <c r="T149" s="73" t="n">
        <v>43344</v>
      </c>
      <c r="U149" s="73" t="n">
        <v>47002</v>
      </c>
      <c r="V149" s="73" t="n"/>
      <c r="W149" s="69" t="n"/>
      <c r="X149" s="69" t="inlineStr">
        <is>
          <t>Late Payment But Less Than 30 Days Delinquent</t>
        </is>
      </c>
      <c r="Y149" s="68" t="n"/>
      <c r="Z149" s="69" t="inlineStr">
        <is>
          <t>No Defeasance Occurred</t>
        </is>
      </c>
      <c r="AA149" s="69" t="inlineStr">
        <is>
          <t>Previously</t>
        </is>
      </c>
      <c r="AB149" s="69" t="inlineStr">
        <is>
          <t>Returned to master serv</t>
        </is>
      </c>
      <c r="AC149" s="73" t="n"/>
      <c r="AD149" s="69" t="inlineStr">
        <is>
          <t>Imminent Monetary Default (excluding Balloon/Maturity Default &amp; Single Tenant Bankruptcy/Vacate)</t>
        </is>
      </c>
      <c r="AE149" s="69" t="inlineStr">
        <is>
          <t>Resolved</t>
        </is>
      </c>
      <c r="AF149" s="69" t="inlineStr">
        <is>
          <t>NY</t>
        </is>
      </c>
      <c r="AG149" s="69" t="inlineStr">
        <is>
          <t>New York</t>
        </is>
      </c>
      <c r="AH149" s="69" t="inlineStr">
        <is>
          <t>New York-Newark-Jersey City, NY-NJ</t>
        </is>
      </c>
      <c r="AI149" s="69" t="inlineStr">
        <is>
          <t>Northeast / Mid-Atlantic</t>
        </is>
      </c>
      <c r="AJ149" s="69" t="inlineStr">
        <is>
          <t>RT</t>
        </is>
      </c>
      <c r="AK149" s="69" t="inlineStr">
        <is>
          <t>Anchored</t>
        </is>
      </c>
      <c r="AL149" s="68" t="n">
        <v>1</v>
      </c>
      <c r="AM149" s="68" t="n"/>
      <c r="AN149" s="68" t="n">
        <v>31806</v>
      </c>
      <c r="AO149" s="69" t="inlineStr">
        <is>
          <t>2003</t>
        </is>
      </c>
      <c r="AP149" s="70" t="n">
        <v>2003</v>
      </c>
      <c r="AQ149" s="74" t="n">
        <v>1.6</v>
      </c>
      <c r="AR149" s="74" t="n">
        <v>1.36</v>
      </c>
      <c r="AS149" s="74" t="n">
        <v>55.9</v>
      </c>
      <c r="AT149" s="74" t="n">
        <v>82</v>
      </c>
      <c r="AU149" s="74" t="n">
        <v>55.9</v>
      </c>
      <c r="AV149" s="74" t="n">
        <v>8.122901219999999</v>
      </c>
      <c r="AW149" s="74" t="n">
        <v>5.074869268</v>
      </c>
      <c r="AX149" s="75" t="n">
        <v>89</v>
      </c>
      <c r="AY149" s="71" t="n">
        <v>22000000</v>
      </c>
      <c r="AZ149" s="71" t="n">
        <v>15000000</v>
      </c>
      <c r="BA149" s="71" t="n">
        <v>999116.85</v>
      </c>
      <c r="BB149" s="71" t="n">
        <v>421926.19</v>
      </c>
      <c r="BC149" s="69" t="inlineStr">
        <is>
          <t>Refinance</t>
        </is>
      </c>
      <c r="BD149" s="69" t="inlineStr">
        <is>
          <t>N</t>
        </is>
      </c>
      <c r="BE149" s="71" t="n"/>
      <c r="BF149" s="71" t="n"/>
      <c r="BG149" s="71" t="n"/>
      <c r="BH149" s="71" t="n">
        <v>0</v>
      </c>
      <c r="BI149" s="71" t="n">
        <v>52323.37</v>
      </c>
      <c r="BJ149" s="69" t="inlineStr">
        <is>
          <t>N</t>
        </is>
      </c>
      <c r="BK149" s="69" t="inlineStr">
        <is>
          <t>Care Plasma Lab</t>
        </is>
      </c>
      <c r="BL149" s="75" t="n">
        <v>34.73</v>
      </c>
      <c r="BM149" s="73" t="n">
        <v>48991</v>
      </c>
      <c r="BN149" s="69" t="inlineStr">
        <is>
          <t>Ashkenazy Acquisition Corporation; Andrew J. Cohen; Ben K. Ashkenazy</t>
        </is>
      </c>
      <c r="BO149" s="69" t="inlineStr">
        <is>
          <t>Barclays</t>
        </is>
      </c>
      <c r="BP149" s="69" t="inlineStr">
        <is>
          <t>TriMont Real Estate Advisors</t>
        </is>
      </c>
      <c r="BQ149" s="69" t="inlineStr">
        <is>
          <t>K-Star Asset Management LLC</t>
        </is>
      </c>
      <c r="BR149" s="69" t="n"/>
      <c r="BS149" s="73" t="n">
        <v>46276</v>
      </c>
      <c r="BU149" s="76">
        <f>IF($C149="","",IFERROR(INDEX(dmName,MATCH($C149,dmID,0)),"Unmapped"))</f>
        <v/>
      </c>
      <c r="BV149" s="76">
        <f>IF($C149="","",IFERROR(INDEX(dmEntity,MATCH($C149,dmID,0)),"Unmapped"))</f>
        <v/>
      </c>
      <c r="BW149" s="77">
        <f>IF($C149="","",IFERROR(INDEX(dmVintage,MATCH($C149,dmID,0)),""))</f>
        <v/>
      </c>
      <c r="BX149" s="78">
        <f>IFERROR(INDEX(dmInclude,MATCH($C149,dmID,0)),0)</f>
        <v/>
      </c>
      <c r="BY149" s="78">
        <f>IF(N($I149)&gt;0,1,0)</f>
        <v/>
      </c>
      <c r="BZ149" s="76">
        <f>IF($AJ149="","Other / Leased Fee",IFERROR(INDEX(mapPTGroup,MATCH(LEFT(TRIM($AJ149),2),mapPTCode,0)),"Other / Leased Fee"))</f>
        <v/>
      </c>
      <c r="CA149" s="76">
        <f>IF(TRIM($AF149&amp;"")="","NR",LEFT(TRIM($AF149),2))</f>
        <v/>
      </c>
      <c r="CB149" s="76">
        <f>IFERROR(LOOKUP(2,1/(LEFT(TRIM($AI149&amp;""),LEN(mapRegion))=mapRegion),mapRegion),"Not Reported")</f>
        <v/>
      </c>
      <c r="CC149" s="76">
        <f>IF($BY149=0,"",IF(TRIM($W149&amp;"")="REO","REO",IF(TRIM($W149&amp;"")="FC","Foreclosure",IF(TRIM($W149&amp;"")="90+","90+ Days Delinquent",IF(TRIM($W149&amp;"")="60","60 Days Delinquent",IF(TRIM($W149&amp;"")="30","30 Days Delinquent",IF($X149="Non-Performing Matured Balloon","Non-Performing Matured Balloon",IF(OR($X149="Late Payment But Less Than 30 Days Delinquent",LEFT($X149&amp;"",20)="Payment Not Received"),"Late / In Grace (&lt;30 Days)",IF($X149="Performing Matured Balloon","Performing Matured Balloon","Current")))))))))</f>
        <v/>
      </c>
      <c r="CD149" s="78">
        <f>IF(OR($CC149="REO",$CC149="Foreclosure",$CC149="90+ Days Delinquent",$CC149="60 Days Delinquent",$CC149="30 Days Delinquent",$CC149="Non-Performing Matured Balloon"),1,0)</f>
        <v/>
      </c>
      <c r="CE149" s="76">
        <f>IF($AB149="Currently special serv","Currently Specially Serviced",IF($AB149="Returned to master serv","Previously Specially Serviced","Never Specially Serviced"))</f>
        <v/>
      </c>
      <c r="CF149" s="78">
        <f>IF($CE149="Currently Specially Serviced",1,0)</f>
        <v/>
      </c>
      <c r="CG149" s="76">
        <f>IF($AA149="Yes","Currently on Watchlist",IF($AA149="Previously","Previously on Watchlist","Never on Watchlist"))</f>
        <v/>
      </c>
      <c r="CH149" s="78">
        <f>IF($CG149="Currently on Watchlist",1,0)</f>
        <v/>
      </c>
      <c r="CI149" s="76">
        <f>IF($Z149="Full Defeasance","Fully Defeased",IF($Z149="Portion Of Loan Previously Defeased","Partially Defeased",IF($Z149="Defeasance Not Allowable","Not Defeased (Not Permitted)","Not Defeased")))</f>
        <v/>
      </c>
      <c r="CJ149" s="78">
        <f>IF($CI149="Fully Defeased",1,0)</f>
        <v/>
      </c>
      <c r="CK149" s="76">
        <f>IF($R149="IO","Full IO",IF(LEFT($R149&amp;"",7)="IO then","Partial IO","Amortizing"))</f>
        <v/>
      </c>
      <c r="CL149" s="78">
        <f>IF($CK149="Full IO",1,0)</f>
        <v/>
      </c>
      <c r="CM149" s="78">
        <f>IF($CK149="Partial IO",1,0)</f>
        <v/>
      </c>
      <c r="CN149" s="76">
        <f>IF(LEFT($F149&amp;"",10)="SPLIT_LOAN","Pari Passu Split","Standalone")</f>
        <v/>
      </c>
      <c r="CO149" s="78">
        <f>IF($CN149="Pari Passu Split",1,0)</f>
        <v/>
      </c>
      <c r="CP149" s="77">
        <f>IF(ISNUMBER($T149),YEAR($T149),"")</f>
        <v/>
      </c>
      <c r="CQ149" s="79">
        <f>IF(ISNUMBER($V149),$V149,IF(ISNUMBER($U149),$U149,""))</f>
        <v/>
      </c>
      <c r="CR149" s="77">
        <f>IF(ISNUMBER($CQ149),YEAR($CQ149),"")</f>
        <v/>
      </c>
      <c r="CS149" s="78">
        <f>IF(ISNUMBER($M149),MAX(0,$M149),IF(TRIM($M149&amp;"")="matured",0,""))</f>
        <v/>
      </c>
      <c r="CT149" s="78">
        <f>IF(AND(ISNUMBER($CS149),N($CS149)&lt;=mMatWindow),1,0)</f>
        <v/>
      </c>
      <c r="CU149" s="80">
        <f>IF(ISNUMBER($J149),$J149/100,"")</f>
        <v/>
      </c>
      <c r="CV149" s="81">
        <f>IF(ISNUMBER($AQ149),$AQ149,"")</f>
        <v/>
      </c>
      <c r="CW149" s="81">
        <f>IF(ISNUMBER($AR149),$AR149,"")</f>
        <v/>
      </c>
      <c r="CX149" s="82">
        <f>IF(ISNUMBER($AS149),$AS149/100,"")</f>
        <v/>
      </c>
      <c r="CY149" s="82">
        <f>IF(ISNUMBER($AT149),$AT149/100,"")</f>
        <v/>
      </c>
      <c r="CZ149" s="82">
        <f>IF(ISNUMBER($AU149),$AU149/100,"")</f>
        <v/>
      </c>
      <c r="DA149" s="82">
        <f>IF(ISNUMBER($AV149),$AV149/100,"")</f>
        <v/>
      </c>
      <c r="DB149" s="82">
        <f>IF(ISNUMBER($AW149),$AW149/100,"")</f>
        <v/>
      </c>
      <c r="DC149" s="82">
        <f>IF(ISNUMBER($AX149),$AX149/100,"")</f>
        <v/>
      </c>
      <c r="DD149" s="77">
        <f>IFERROR(VALUE(LEFT(TRIM($AO149&amp;""),4)),"")</f>
        <v/>
      </c>
      <c r="DE149" s="78">
        <f>IF(AND($BY149=1,$BX149=1,OR(fDeal="All Deals",$BU149=fDeal),OR(fEntity="All Entities",$BV149=fEntity),OR(fPType="All Property Types",$BZ149=fPType),OR(fDefeased="Include",$CJ149=0)),1,0)</f>
        <v/>
      </c>
      <c r="DF149" s="83">
        <f>$DE149*N($I149)</f>
        <v/>
      </c>
      <c r="DG149" s="78">
        <f>IF($DE149=1,IF(COUNTIFS($F$8:$F149,$F149,$DE$8:$DE149,1)=1,1,0),0)</f>
        <v/>
      </c>
      <c r="DH149" s="83">
        <f>IF($DG149=1,SUMIFS($DF$8:$DF$1600,$F$8:$F$1600,$F149),0)</f>
        <v/>
      </c>
      <c r="DI149" s="78">
        <f>IF($DG149=1,COUNTIFS($F$8:$F$1600,$F149,$DE$8:$DE$1600,1),0)</f>
        <v/>
      </c>
      <c r="DJ149" s="84">
        <f>IF($DG149=1,$DH149+(100000-ROW())/mTieBreak,0)</f>
        <v/>
      </c>
    </row>
    <row r="150">
      <c r="B150" s="68" t="n">
        <v>27</v>
      </c>
      <c r="C150" s="69" t="inlineStr">
        <is>
          <t>WFC18C47</t>
        </is>
      </c>
      <c r="D150" s="69" t="inlineStr">
        <is>
          <t>27.000</t>
        </is>
      </c>
      <c r="E150" s="69" t="inlineStr">
        <is>
          <t>4645 Live Oak Street</t>
        </is>
      </c>
      <c r="F150" s="69" t="inlineStr">
        <is>
          <t>LNWFC18C47-27.000</t>
        </is>
      </c>
      <c r="G150" s="70" t="n"/>
      <c r="H150" s="71" t="n">
        <v>11750000</v>
      </c>
      <c r="I150" s="71" t="n">
        <v>0</v>
      </c>
      <c r="J150" s="72" t="n">
        <v>4.94</v>
      </c>
      <c r="K150" s="69" t="inlineStr">
        <is>
          <t>Fixed rate</t>
        </is>
      </c>
      <c r="L150" s="68" t="n">
        <v>60</v>
      </c>
      <c r="M150" s="68" t="n"/>
      <c r="N150" s="68" t="n">
        <v>60</v>
      </c>
      <c r="O150" s="68" t="n">
        <v>60</v>
      </c>
      <c r="P150" s="68" t="n"/>
      <c r="Q150" s="68" t="n"/>
      <c r="R150" s="69" t="inlineStr">
        <is>
          <t>IO</t>
        </is>
      </c>
      <c r="S150" s="69" t="inlineStr">
        <is>
          <t>Yes</t>
        </is>
      </c>
      <c r="T150" s="73" t="n">
        <v>43374</v>
      </c>
      <c r="U150" s="73" t="n">
        <v>45180</v>
      </c>
      <c r="V150" s="73" t="n"/>
      <c r="W150" s="69" t="n"/>
      <c r="X150" s="69" t="inlineStr">
        <is>
          <t>Current</t>
        </is>
      </c>
      <c r="Y150" s="68" t="n"/>
      <c r="Z150" s="69" t="inlineStr">
        <is>
          <t>Full Defeasance</t>
        </is>
      </c>
      <c r="AA150" s="69" t="n"/>
      <c r="AB150" s="69" t="inlineStr">
        <is>
          <t>Never special serv</t>
        </is>
      </c>
      <c r="AC150" s="73" t="n"/>
      <c r="AD150" s="69" t="n"/>
      <c r="AE150" s="69" t="n"/>
      <c r="AF150" s="69" t="inlineStr">
        <is>
          <t>CA</t>
        </is>
      </c>
      <c r="AG150" s="69" t="inlineStr">
        <is>
          <t>Cudahy</t>
        </is>
      </c>
      <c r="AH150" s="69" t="inlineStr">
        <is>
          <t>Los Angeles-Long Beach-Anaheim, CA</t>
        </is>
      </c>
      <c r="AI150" s="69" t="inlineStr">
        <is>
          <t>West / Pacific South</t>
        </is>
      </c>
      <c r="AJ150" s="69" t="inlineStr">
        <is>
          <t>MF</t>
        </is>
      </c>
      <c r="AK150" s="69" t="inlineStr">
        <is>
          <t>Garden</t>
        </is>
      </c>
      <c r="AL150" s="68" t="n">
        <v>1</v>
      </c>
      <c r="AM150" s="68" t="n">
        <v>83</v>
      </c>
      <c r="AN150" s="68" t="n"/>
      <c r="AO150" s="69" t="inlineStr">
        <is>
          <t>1952</t>
        </is>
      </c>
      <c r="AP150" s="70" t="n">
        <v>2018</v>
      </c>
      <c r="AQ150" s="74" t="n">
        <v>1.69</v>
      </c>
      <c r="AR150" s="74" t="n">
        <v>2.05</v>
      </c>
      <c r="AS150" s="74" t="n">
        <v>64.2</v>
      </c>
      <c r="AT150" s="74" t="n"/>
      <c r="AU150" s="74" t="n">
        <v>64.2</v>
      </c>
      <c r="AV150" s="74" t="n">
        <v>8.484238297999999</v>
      </c>
      <c r="AW150" s="74" t="n"/>
      <c r="AX150" s="75" t="n">
        <v>100</v>
      </c>
      <c r="AY150" s="71" t="n">
        <v>18300000</v>
      </c>
      <c r="AZ150" s="71" t="n">
        <v>18300000</v>
      </c>
      <c r="BA150" s="71" t="n">
        <v>996898</v>
      </c>
      <c r="BB150" s="71" t="n">
        <v>1204196.44</v>
      </c>
      <c r="BC150" s="69" t="inlineStr">
        <is>
          <t>Refinance</t>
        </is>
      </c>
      <c r="BD150" s="69" t="inlineStr">
        <is>
          <t>N</t>
        </is>
      </c>
      <c r="BE150" s="71" t="n"/>
      <c r="BF150" s="71" t="n"/>
      <c r="BG150" s="71" t="n"/>
      <c r="BH150" s="71" t="n">
        <v>0</v>
      </c>
      <c r="BI150" s="71" t="n">
        <v>0</v>
      </c>
      <c r="BJ150" s="69" t="inlineStr">
        <is>
          <t>N</t>
        </is>
      </c>
      <c r="BK150" s="69" t="n"/>
      <c r="BL150" s="75" t="n"/>
      <c r="BM150" s="73" t="n"/>
      <c r="BN150" s="69" t="inlineStr">
        <is>
          <t>Daniel A. Murillo</t>
        </is>
      </c>
      <c r="BO150" s="69" t="inlineStr">
        <is>
          <t>Wells Fargo</t>
        </is>
      </c>
      <c r="BP150" s="69" t="inlineStr">
        <is>
          <t>Wells Fargo</t>
        </is>
      </c>
      <c r="BQ150" s="69" t="inlineStr">
        <is>
          <t>K-Star Asset Management LLC</t>
        </is>
      </c>
      <c r="BR150" s="69" t="inlineStr">
        <is>
          <t>Full Payoff At Maturity</t>
        </is>
      </c>
      <c r="BS150" s="73" t="n">
        <v>45180</v>
      </c>
      <c r="BU150" s="76">
        <f>IF($C150="","",IFERROR(INDEX(dmName,MATCH($C150,dmID,0)),"Unmapped"))</f>
        <v/>
      </c>
      <c r="BV150" s="76">
        <f>IF($C150="","",IFERROR(INDEX(dmEntity,MATCH($C150,dmID,0)),"Unmapped"))</f>
        <v/>
      </c>
      <c r="BW150" s="77">
        <f>IF($C150="","",IFERROR(INDEX(dmVintage,MATCH($C150,dmID,0)),""))</f>
        <v/>
      </c>
      <c r="BX150" s="78">
        <f>IFERROR(INDEX(dmInclude,MATCH($C150,dmID,0)),0)</f>
        <v/>
      </c>
      <c r="BY150" s="78">
        <f>IF(N($I150)&gt;0,1,0)</f>
        <v/>
      </c>
      <c r="BZ150" s="76">
        <f>IF($AJ150="","Other / Leased Fee",IFERROR(INDEX(mapPTGroup,MATCH(LEFT(TRIM($AJ150),2),mapPTCode,0)),"Other / Leased Fee"))</f>
        <v/>
      </c>
      <c r="CA150" s="76">
        <f>IF(TRIM($AF150&amp;"")="","NR",LEFT(TRIM($AF150),2))</f>
        <v/>
      </c>
      <c r="CB150" s="76">
        <f>IFERROR(LOOKUP(2,1/(LEFT(TRIM($AI150&amp;""),LEN(mapRegion))=mapRegion),mapRegion),"Not Reported")</f>
        <v/>
      </c>
      <c r="CC150" s="76">
        <f>IF($BY150=0,"",IF(TRIM($W150&amp;"")="REO","REO",IF(TRIM($W150&amp;"")="FC","Foreclosure",IF(TRIM($W150&amp;"")="90+","90+ Days Delinquent",IF(TRIM($W150&amp;"")="60","60 Days Delinquent",IF(TRIM($W150&amp;"")="30","30 Days Delinquent",IF($X150="Non-Performing Matured Balloon","Non-Performing Matured Balloon",IF(OR($X150="Late Payment But Less Than 30 Days Delinquent",LEFT($X150&amp;"",20)="Payment Not Received"),"Late / In Grace (&lt;30 Days)",IF($X150="Performing Matured Balloon","Performing Matured Balloon","Current")))))))))</f>
        <v/>
      </c>
      <c r="CD150" s="78">
        <f>IF(OR($CC150="REO",$CC150="Foreclosure",$CC150="90+ Days Delinquent",$CC150="60 Days Delinquent",$CC150="30 Days Delinquent",$CC150="Non-Performing Matured Balloon"),1,0)</f>
        <v/>
      </c>
      <c r="CE150" s="76">
        <f>IF($AB150="Currently special serv","Currently Specially Serviced",IF($AB150="Returned to master serv","Previously Specially Serviced","Never Specially Serviced"))</f>
        <v/>
      </c>
      <c r="CF150" s="78">
        <f>IF($CE150="Currently Specially Serviced",1,0)</f>
        <v/>
      </c>
      <c r="CG150" s="76">
        <f>IF($AA150="Yes","Currently on Watchlist",IF($AA150="Previously","Previously on Watchlist","Never on Watchlist"))</f>
        <v/>
      </c>
      <c r="CH150" s="78">
        <f>IF($CG150="Currently on Watchlist",1,0)</f>
        <v/>
      </c>
      <c r="CI150" s="76">
        <f>IF($Z150="Full Defeasance","Fully Defeased",IF($Z150="Portion Of Loan Previously Defeased","Partially Defeased",IF($Z150="Defeasance Not Allowable","Not Defeased (Not Permitted)","Not Defeased")))</f>
        <v/>
      </c>
      <c r="CJ150" s="78">
        <f>IF($CI150="Fully Defeased",1,0)</f>
        <v/>
      </c>
      <c r="CK150" s="76">
        <f>IF($R150="IO","Full IO",IF(LEFT($R150&amp;"",7)="IO then","Partial IO","Amortizing"))</f>
        <v/>
      </c>
      <c r="CL150" s="78">
        <f>IF($CK150="Full IO",1,0)</f>
        <v/>
      </c>
      <c r="CM150" s="78">
        <f>IF($CK150="Partial IO",1,0)</f>
        <v/>
      </c>
      <c r="CN150" s="76">
        <f>IF(LEFT($F150&amp;"",10)="SPLIT_LOAN","Pari Passu Split","Standalone")</f>
        <v/>
      </c>
      <c r="CO150" s="78">
        <f>IF($CN150="Pari Passu Split",1,0)</f>
        <v/>
      </c>
      <c r="CP150" s="77">
        <f>IF(ISNUMBER($T150),YEAR($T150),"")</f>
        <v/>
      </c>
      <c r="CQ150" s="79">
        <f>IF(ISNUMBER($V150),$V150,IF(ISNUMBER($U150),$U150,""))</f>
        <v/>
      </c>
      <c r="CR150" s="77">
        <f>IF(ISNUMBER($CQ150),YEAR($CQ150),"")</f>
        <v/>
      </c>
      <c r="CS150" s="78">
        <f>IF(ISNUMBER($M150),MAX(0,$M150),IF(TRIM($M150&amp;"")="matured",0,""))</f>
        <v/>
      </c>
      <c r="CT150" s="78">
        <f>IF(AND(ISNUMBER($CS150),N($CS150)&lt;=mMatWindow),1,0)</f>
        <v/>
      </c>
      <c r="CU150" s="80">
        <f>IF(ISNUMBER($J150),$J150/100,"")</f>
        <v/>
      </c>
      <c r="CV150" s="81">
        <f>IF(ISNUMBER($AQ150),$AQ150,"")</f>
        <v/>
      </c>
      <c r="CW150" s="81">
        <f>IF(ISNUMBER($AR150),$AR150,"")</f>
        <v/>
      </c>
      <c r="CX150" s="82">
        <f>IF(ISNUMBER($AS150),$AS150/100,"")</f>
        <v/>
      </c>
      <c r="CY150" s="82">
        <f>IF(ISNUMBER($AT150),$AT150/100,"")</f>
        <v/>
      </c>
      <c r="CZ150" s="82">
        <f>IF(ISNUMBER($AU150),$AU150/100,"")</f>
        <v/>
      </c>
      <c r="DA150" s="82">
        <f>IF(ISNUMBER($AV150),$AV150/100,"")</f>
        <v/>
      </c>
      <c r="DB150" s="82">
        <f>IF(ISNUMBER($AW150),$AW150/100,"")</f>
        <v/>
      </c>
      <c r="DC150" s="82">
        <f>IF(ISNUMBER($AX150),$AX150/100,"")</f>
        <v/>
      </c>
      <c r="DD150" s="77">
        <f>IFERROR(VALUE(LEFT(TRIM($AO150&amp;""),4)),"")</f>
        <v/>
      </c>
      <c r="DE150" s="78">
        <f>IF(AND($BY150=1,$BX150=1,OR(fDeal="All Deals",$BU150=fDeal),OR(fEntity="All Entities",$BV150=fEntity),OR(fPType="All Property Types",$BZ150=fPType),OR(fDefeased="Include",$CJ150=0)),1,0)</f>
        <v/>
      </c>
      <c r="DF150" s="83">
        <f>$DE150*N($I150)</f>
        <v/>
      </c>
      <c r="DG150" s="78">
        <f>IF($DE150=1,IF(COUNTIFS($F$8:$F150,$F150,$DE$8:$DE150,1)=1,1,0),0)</f>
        <v/>
      </c>
      <c r="DH150" s="83">
        <f>IF($DG150=1,SUMIFS($DF$8:$DF$1600,$F$8:$F$1600,$F150),0)</f>
        <v/>
      </c>
      <c r="DI150" s="78">
        <f>IF($DG150=1,COUNTIFS($F$8:$F$1600,$F150,$DE$8:$DE$1600,1),0)</f>
        <v/>
      </c>
      <c r="DJ150" s="84">
        <f>IF($DG150=1,$DH150+(100000-ROW())/mTieBreak,0)</f>
        <v/>
      </c>
    </row>
    <row r="151">
      <c r="B151" s="68" t="n">
        <v>28</v>
      </c>
      <c r="C151" s="69" t="inlineStr">
        <is>
          <t>WFC18C47</t>
        </is>
      </c>
      <c r="D151" s="69" t="inlineStr">
        <is>
          <t>28.000</t>
        </is>
      </c>
      <c r="E151" s="69" t="inlineStr">
        <is>
          <t>Batavia Founders</t>
        </is>
      </c>
      <c r="F151" s="69" t="inlineStr">
        <is>
          <t>LNWFC18C47-28.000</t>
        </is>
      </c>
      <c r="G151" s="70" t="n"/>
      <c r="H151" s="71" t="n">
        <v>11750000</v>
      </c>
      <c r="I151" s="71" t="n">
        <v>10310090.989995</v>
      </c>
      <c r="J151" s="72" t="n">
        <v>5.49</v>
      </c>
      <c r="K151" s="69" t="inlineStr">
        <is>
          <t>Fixed rate</t>
        </is>
      </c>
      <c r="L151" s="68" t="n">
        <v>120</v>
      </c>
      <c r="M151" s="68" t="n">
        <v>25</v>
      </c>
      <c r="N151" s="68" t="n">
        <v>360</v>
      </c>
      <c r="O151" s="68" t="n"/>
      <c r="P151" s="68" t="n"/>
      <c r="Q151" s="68" t="n">
        <v>95</v>
      </c>
      <c r="R151" s="69" t="n"/>
      <c r="S151" s="69" t="inlineStr">
        <is>
          <t>No</t>
        </is>
      </c>
      <c r="T151" s="73" t="n">
        <v>43374</v>
      </c>
      <c r="U151" s="73" t="n">
        <v>47037</v>
      </c>
      <c r="V151" s="73" t="n"/>
      <c r="W151" s="69" t="n"/>
      <c r="X151" s="69" t="inlineStr">
        <is>
          <t>Current</t>
        </is>
      </c>
      <c r="Y151" s="68" t="n"/>
      <c r="Z151" s="69" t="inlineStr">
        <is>
          <t>No Defeasance Occurred</t>
        </is>
      </c>
      <c r="AA151" s="69" t="inlineStr">
        <is>
          <t>Previously</t>
        </is>
      </c>
      <c r="AB151" s="69" t="inlineStr">
        <is>
          <t>Never special serv</t>
        </is>
      </c>
      <c r="AC151" s="73" t="n"/>
      <c r="AD151" s="69" t="n"/>
      <c r="AE151" s="69" t="n"/>
      <c r="AF151" s="69" t="inlineStr">
        <is>
          <t>OH</t>
        </is>
      </c>
      <c r="AG151" s="69" t="inlineStr">
        <is>
          <t>Batavia</t>
        </is>
      </c>
      <c r="AH151" s="69" t="inlineStr">
        <is>
          <t>Cincinnati, OH-KY-IN</t>
        </is>
      </c>
      <c r="AI151" s="69" t="inlineStr">
        <is>
          <t>Midwest / Central East</t>
        </is>
      </c>
      <c r="AJ151" s="69" t="inlineStr">
        <is>
          <t>IN</t>
        </is>
      </c>
      <c r="AK151" s="69" t="inlineStr">
        <is>
          <t>Flex</t>
        </is>
      </c>
      <c r="AL151" s="68" t="n">
        <v>1</v>
      </c>
      <c r="AM151" s="68" t="n"/>
      <c r="AN151" s="68" t="n">
        <v>292500</v>
      </c>
      <c r="AO151" s="69" t="inlineStr">
        <is>
          <t>1993</t>
        </is>
      </c>
      <c r="AP151" s="70" t="n">
        <v>2018</v>
      </c>
      <c r="AQ151" s="74" t="n">
        <v>1.28</v>
      </c>
      <c r="AR151" s="74" t="n">
        <v>1.44</v>
      </c>
      <c r="AS151" s="74" t="n">
        <v>74.09999999999999</v>
      </c>
      <c r="AT151" s="74" t="n">
        <v>65.05</v>
      </c>
      <c r="AU151" s="74" t="n">
        <v>61.9</v>
      </c>
      <c r="AV151" s="74" t="n">
        <v>8.691909702</v>
      </c>
      <c r="AW151" s="74" t="n">
        <v>8.363722113</v>
      </c>
      <c r="AX151" s="75" t="n">
        <v>88</v>
      </c>
      <c r="AY151" s="71" t="n">
        <v>15850000</v>
      </c>
      <c r="AZ151" s="71" t="n">
        <v>15850000</v>
      </c>
      <c r="BA151" s="71" t="n">
        <v>1021299.39</v>
      </c>
      <c r="BB151" s="71" t="n">
        <v>862307.36</v>
      </c>
      <c r="BC151" s="69" t="inlineStr">
        <is>
          <t>Refinance</t>
        </is>
      </c>
      <c r="BD151" s="69" t="inlineStr">
        <is>
          <t>N</t>
        </is>
      </c>
      <c r="BE151" s="71" t="n"/>
      <c r="BF151" s="71" t="n"/>
      <c r="BG151" s="71" t="n"/>
      <c r="BH151" s="71" t="n">
        <v>0</v>
      </c>
      <c r="BI151" s="71" t="n">
        <v>0</v>
      </c>
      <c r="BJ151" s="69" t="inlineStr">
        <is>
          <t>N</t>
        </is>
      </c>
      <c r="BK151" s="69" t="inlineStr">
        <is>
          <t>Mygrant Glass Company  Inc.</t>
        </is>
      </c>
      <c r="BL151" s="75" t="n">
        <v>47.38</v>
      </c>
      <c r="BM151" s="73" t="n">
        <v>47907</v>
      </c>
      <c r="BN151" s="69" t="inlineStr">
        <is>
          <t>Christopher Semarjian; Stuart Lichter</t>
        </is>
      </c>
      <c r="BO151" s="69" t="inlineStr">
        <is>
          <t>Wells Fargo</t>
        </is>
      </c>
      <c r="BP151" s="69" t="inlineStr">
        <is>
          <t>TriMont Real Estate Advisors</t>
        </is>
      </c>
      <c r="BQ151" s="69" t="inlineStr">
        <is>
          <t>K-Star Asset Management LLC</t>
        </is>
      </c>
      <c r="BR151" s="69" t="n"/>
      <c r="BS151" s="73" t="n">
        <v>46276</v>
      </c>
      <c r="BU151" s="76">
        <f>IF($C151="","",IFERROR(INDEX(dmName,MATCH($C151,dmID,0)),"Unmapped"))</f>
        <v/>
      </c>
      <c r="BV151" s="76">
        <f>IF($C151="","",IFERROR(INDEX(dmEntity,MATCH($C151,dmID,0)),"Unmapped"))</f>
        <v/>
      </c>
      <c r="BW151" s="77">
        <f>IF($C151="","",IFERROR(INDEX(dmVintage,MATCH($C151,dmID,0)),""))</f>
        <v/>
      </c>
      <c r="BX151" s="78">
        <f>IFERROR(INDEX(dmInclude,MATCH($C151,dmID,0)),0)</f>
        <v/>
      </c>
      <c r="BY151" s="78">
        <f>IF(N($I151)&gt;0,1,0)</f>
        <v/>
      </c>
      <c r="BZ151" s="76">
        <f>IF($AJ151="","Other / Leased Fee",IFERROR(INDEX(mapPTGroup,MATCH(LEFT(TRIM($AJ151),2),mapPTCode,0)),"Other / Leased Fee"))</f>
        <v/>
      </c>
      <c r="CA151" s="76">
        <f>IF(TRIM($AF151&amp;"")="","NR",LEFT(TRIM($AF151),2))</f>
        <v/>
      </c>
      <c r="CB151" s="76">
        <f>IFERROR(LOOKUP(2,1/(LEFT(TRIM($AI151&amp;""),LEN(mapRegion))=mapRegion),mapRegion),"Not Reported")</f>
        <v/>
      </c>
      <c r="CC151" s="76">
        <f>IF($BY151=0,"",IF(TRIM($W151&amp;"")="REO","REO",IF(TRIM($W151&amp;"")="FC","Foreclosure",IF(TRIM($W151&amp;"")="90+","90+ Days Delinquent",IF(TRIM($W151&amp;"")="60","60 Days Delinquent",IF(TRIM($W151&amp;"")="30","30 Days Delinquent",IF($X151="Non-Performing Matured Balloon","Non-Performing Matured Balloon",IF(OR($X151="Late Payment But Less Than 30 Days Delinquent",LEFT($X151&amp;"",20)="Payment Not Received"),"Late / In Grace (&lt;30 Days)",IF($X151="Performing Matured Balloon","Performing Matured Balloon","Current")))))))))</f>
        <v/>
      </c>
      <c r="CD151" s="78">
        <f>IF(OR($CC151="REO",$CC151="Foreclosure",$CC151="90+ Days Delinquent",$CC151="60 Days Delinquent",$CC151="30 Days Delinquent",$CC151="Non-Performing Matured Balloon"),1,0)</f>
        <v/>
      </c>
      <c r="CE151" s="76">
        <f>IF($AB151="Currently special serv","Currently Specially Serviced",IF($AB151="Returned to master serv","Previously Specially Serviced","Never Specially Serviced"))</f>
        <v/>
      </c>
      <c r="CF151" s="78">
        <f>IF($CE151="Currently Specially Serviced",1,0)</f>
        <v/>
      </c>
      <c r="CG151" s="76">
        <f>IF($AA151="Yes","Currently on Watchlist",IF($AA151="Previously","Previously on Watchlist","Never on Watchlist"))</f>
        <v/>
      </c>
      <c r="CH151" s="78">
        <f>IF($CG151="Currently on Watchlist",1,0)</f>
        <v/>
      </c>
      <c r="CI151" s="76">
        <f>IF($Z151="Full Defeasance","Fully Defeased",IF($Z151="Portion Of Loan Previously Defeased","Partially Defeased",IF($Z151="Defeasance Not Allowable","Not Defeased (Not Permitted)","Not Defeased")))</f>
        <v/>
      </c>
      <c r="CJ151" s="78">
        <f>IF($CI151="Fully Defeased",1,0)</f>
        <v/>
      </c>
      <c r="CK151" s="76">
        <f>IF($R151="IO","Full IO",IF(LEFT($R151&amp;"",7)="IO then","Partial IO","Amortizing"))</f>
        <v/>
      </c>
      <c r="CL151" s="78">
        <f>IF($CK151="Full IO",1,0)</f>
        <v/>
      </c>
      <c r="CM151" s="78">
        <f>IF($CK151="Partial IO",1,0)</f>
        <v/>
      </c>
      <c r="CN151" s="76">
        <f>IF(LEFT($F151&amp;"",10)="SPLIT_LOAN","Pari Passu Split","Standalone")</f>
        <v/>
      </c>
      <c r="CO151" s="78">
        <f>IF($CN151="Pari Passu Split",1,0)</f>
        <v/>
      </c>
      <c r="CP151" s="77">
        <f>IF(ISNUMBER($T151),YEAR($T151),"")</f>
        <v/>
      </c>
      <c r="CQ151" s="79">
        <f>IF(ISNUMBER($V151),$V151,IF(ISNUMBER($U151),$U151,""))</f>
        <v/>
      </c>
      <c r="CR151" s="77">
        <f>IF(ISNUMBER($CQ151),YEAR($CQ151),"")</f>
        <v/>
      </c>
      <c r="CS151" s="78">
        <f>IF(ISNUMBER($M151),MAX(0,$M151),IF(TRIM($M151&amp;"")="matured",0,""))</f>
        <v/>
      </c>
      <c r="CT151" s="78">
        <f>IF(AND(ISNUMBER($CS151),N($CS151)&lt;=mMatWindow),1,0)</f>
        <v/>
      </c>
      <c r="CU151" s="80">
        <f>IF(ISNUMBER($J151),$J151/100,"")</f>
        <v/>
      </c>
      <c r="CV151" s="81">
        <f>IF(ISNUMBER($AQ151),$AQ151,"")</f>
        <v/>
      </c>
      <c r="CW151" s="81">
        <f>IF(ISNUMBER($AR151),$AR151,"")</f>
        <v/>
      </c>
      <c r="CX151" s="82">
        <f>IF(ISNUMBER($AS151),$AS151/100,"")</f>
        <v/>
      </c>
      <c r="CY151" s="82">
        <f>IF(ISNUMBER($AT151),$AT151/100,"")</f>
        <v/>
      </c>
      <c r="CZ151" s="82">
        <f>IF(ISNUMBER($AU151),$AU151/100,"")</f>
        <v/>
      </c>
      <c r="DA151" s="82">
        <f>IF(ISNUMBER($AV151),$AV151/100,"")</f>
        <v/>
      </c>
      <c r="DB151" s="82">
        <f>IF(ISNUMBER($AW151),$AW151/100,"")</f>
        <v/>
      </c>
      <c r="DC151" s="82">
        <f>IF(ISNUMBER($AX151),$AX151/100,"")</f>
        <v/>
      </c>
      <c r="DD151" s="77">
        <f>IFERROR(VALUE(LEFT(TRIM($AO151&amp;""),4)),"")</f>
        <v/>
      </c>
      <c r="DE151" s="78">
        <f>IF(AND($BY151=1,$BX151=1,OR(fDeal="All Deals",$BU151=fDeal),OR(fEntity="All Entities",$BV151=fEntity),OR(fPType="All Property Types",$BZ151=fPType),OR(fDefeased="Include",$CJ151=0)),1,0)</f>
        <v/>
      </c>
      <c r="DF151" s="83">
        <f>$DE151*N($I151)</f>
        <v/>
      </c>
      <c r="DG151" s="78">
        <f>IF($DE151=1,IF(COUNTIFS($F$8:$F151,$F151,$DE$8:$DE151,1)=1,1,0),0)</f>
        <v/>
      </c>
      <c r="DH151" s="83">
        <f>IF($DG151=1,SUMIFS($DF$8:$DF$1600,$F$8:$F$1600,$F151),0)</f>
        <v/>
      </c>
      <c r="DI151" s="78">
        <f>IF($DG151=1,COUNTIFS($F$8:$F$1600,$F151,$DE$8:$DE$1600,1),0)</f>
        <v/>
      </c>
      <c r="DJ151" s="84">
        <f>IF($DG151=1,$DH151+(100000-ROW())/mTieBreak,0)</f>
        <v/>
      </c>
    </row>
    <row r="152">
      <c r="B152" s="68" t="n">
        <v>29</v>
      </c>
      <c r="C152" s="69" t="inlineStr">
        <is>
          <t>WFC18C47</t>
        </is>
      </c>
      <c r="D152" s="69" t="inlineStr">
        <is>
          <t>29.000</t>
        </is>
      </c>
      <c r="E152" s="69" t="inlineStr">
        <is>
          <t>Atlanta Cold Storage</t>
        </is>
      </c>
      <c r="F152" s="69" t="inlineStr">
        <is>
          <t>LNWFC18C47-29.000</t>
        </is>
      </c>
      <c r="G152" s="70" t="n"/>
      <c r="H152" s="71" t="n">
        <v>10900000</v>
      </c>
      <c r="I152" s="71" t="n">
        <v>9824689.9900045</v>
      </c>
      <c r="J152" s="72" t="n">
        <v>4.835</v>
      </c>
      <c r="K152" s="69" t="inlineStr">
        <is>
          <t>Fixed rate</t>
        </is>
      </c>
      <c r="L152" s="68" t="n">
        <v>120</v>
      </c>
      <c r="M152" s="68" t="n">
        <v>24</v>
      </c>
      <c r="N152" s="68" t="n">
        <v>384</v>
      </c>
      <c r="O152" s="68" t="n">
        <v>24</v>
      </c>
      <c r="P152" s="68" t="n">
        <v>0</v>
      </c>
      <c r="Q152" s="68" t="n">
        <v>96</v>
      </c>
      <c r="R152" s="69" t="inlineStr">
        <is>
          <t>IO then Amort</t>
        </is>
      </c>
      <c r="S152" s="69" t="inlineStr">
        <is>
          <t>No</t>
        </is>
      </c>
      <c r="T152" s="73" t="n">
        <v>43344</v>
      </c>
      <c r="U152" s="73" t="n">
        <v>47002</v>
      </c>
      <c r="V152" s="73" t="n"/>
      <c r="W152" s="69" t="n"/>
      <c r="X152" s="69" t="inlineStr">
        <is>
          <t>Current</t>
        </is>
      </c>
      <c r="Y152" s="68" t="n"/>
      <c r="Z152" s="69" t="inlineStr">
        <is>
          <t>No Defeasance Occurred</t>
        </is>
      </c>
      <c r="AA152" s="69" t="inlineStr">
        <is>
          <t>Previously</t>
        </is>
      </c>
      <c r="AB152" s="69" t="inlineStr">
        <is>
          <t>Never special serv</t>
        </is>
      </c>
      <c r="AC152" s="73" t="n"/>
      <c r="AD152" s="69" t="n"/>
      <c r="AE152" s="69" t="n"/>
      <c r="AF152" s="69" t="inlineStr">
        <is>
          <t>GA</t>
        </is>
      </c>
      <c r="AG152" s="69" t="n"/>
      <c r="AH152" s="69" t="inlineStr">
        <is>
          <t>Atlanta-Sandy Springs-Roswell, GA</t>
        </is>
      </c>
      <c r="AI152" s="69" t="inlineStr">
        <is>
          <t>South / Atlantic</t>
        </is>
      </c>
      <c r="AJ152" s="69" t="inlineStr">
        <is>
          <t>IN</t>
        </is>
      </c>
      <c r="AK152" s="69" t="inlineStr">
        <is>
          <t>Cold Storage</t>
        </is>
      </c>
      <c r="AL152" s="68" t="n">
        <v>2</v>
      </c>
      <c r="AM152" s="68" t="n"/>
      <c r="AN152" s="68" t="n">
        <v>277915</v>
      </c>
      <c r="AO152" s="69" t="n"/>
      <c r="AP152" s="70" t="n">
        <v>2017</v>
      </c>
      <c r="AQ152" s="74" t="n">
        <v>1.73</v>
      </c>
      <c r="AR152" s="74" t="n">
        <v>1.49</v>
      </c>
      <c r="AS152" s="74" t="n">
        <v>65</v>
      </c>
      <c r="AT152" s="74" t="n">
        <v>58.57</v>
      </c>
      <c r="AU152" s="74" t="n">
        <v>56</v>
      </c>
      <c r="AV152" s="74" t="n">
        <v>10.957481284</v>
      </c>
      <c r="AW152" s="74" t="n">
        <v>2.977323053</v>
      </c>
      <c r="AX152" s="75" t="n">
        <v>57</v>
      </c>
      <c r="AY152" s="71" t="n">
        <v>16775000</v>
      </c>
      <c r="AZ152" s="71" t="n">
        <v>16775000</v>
      </c>
      <c r="BA152" s="71" t="n">
        <v>1194365.46</v>
      </c>
      <c r="BB152" s="71" t="n">
        <v>255971.39</v>
      </c>
      <c r="BC152" s="69" t="inlineStr">
        <is>
          <t>Refinance</t>
        </is>
      </c>
      <c r="BD152" s="69" t="inlineStr">
        <is>
          <t>N</t>
        </is>
      </c>
      <c r="BE152" s="71" t="n"/>
      <c r="BF152" s="71" t="n"/>
      <c r="BG152" s="71" t="n"/>
      <c r="BH152" s="71" t="n">
        <v>0</v>
      </c>
      <c r="BI152" s="71" t="n">
        <v>0</v>
      </c>
      <c r="BJ152" s="69" t="inlineStr">
        <is>
          <t>N</t>
        </is>
      </c>
      <c r="BK152" s="69" t="inlineStr">
        <is>
          <t>Mgmt Office</t>
        </is>
      </c>
      <c r="BL152" s="75" t="n">
        <v>33.12</v>
      </c>
      <c r="BM152" s="73" t="n">
        <v>47756</v>
      </c>
      <c r="BN152" s="69" t="inlineStr">
        <is>
          <t>Mark Cusumano; John V. Cusumano, Jr.</t>
        </is>
      </c>
      <c r="BO152" s="69" t="inlineStr">
        <is>
          <t>Barclays</t>
        </is>
      </c>
      <c r="BP152" s="69" t="inlineStr">
        <is>
          <t>TriMont Real Estate Advisors</t>
        </is>
      </c>
      <c r="BQ152" s="69" t="inlineStr">
        <is>
          <t>K-Star Asset Management LLC</t>
        </is>
      </c>
      <c r="BR152" s="69" t="n"/>
      <c r="BS152" s="73" t="n">
        <v>46276</v>
      </c>
      <c r="BU152" s="76">
        <f>IF($C152="","",IFERROR(INDEX(dmName,MATCH($C152,dmID,0)),"Unmapped"))</f>
        <v/>
      </c>
      <c r="BV152" s="76">
        <f>IF($C152="","",IFERROR(INDEX(dmEntity,MATCH($C152,dmID,0)),"Unmapped"))</f>
        <v/>
      </c>
      <c r="BW152" s="77">
        <f>IF($C152="","",IFERROR(INDEX(dmVintage,MATCH($C152,dmID,0)),""))</f>
        <v/>
      </c>
      <c r="BX152" s="78">
        <f>IFERROR(INDEX(dmInclude,MATCH($C152,dmID,0)),0)</f>
        <v/>
      </c>
      <c r="BY152" s="78">
        <f>IF(N($I152)&gt;0,1,0)</f>
        <v/>
      </c>
      <c r="BZ152" s="76">
        <f>IF($AJ152="","Other / Leased Fee",IFERROR(INDEX(mapPTGroup,MATCH(LEFT(TRIM($AJ152),2),mapPTCode,0)),"Other / Leased Fee"))</f>
        <v/>
      </c>
      <c r="CA152" s="76">
        <f>IF(TRIM($AF152&amp;"")="","NR",LEFT(TRIM($AF152),2))</f>
        <v/>
      </c>
      <c r="CB152" s="76">
        <f>IFERROR(LOOKUP(2,1/(LEFT(TRIM($AI152&amp;""),LEN(mapRegion))=mapRegion),mapRegion),"Not Reported")</f>
        <v/>
      </c>
      <c r="CC152" s="76">
        <f>IF($BY152=0,"",IF(TRIM($W152&amp;"")="REO","REO",IF(TRIM($W152&amp;"")="FC","Foreclosure",IF(TRIM($W152&amp;"")="90+","90+ Days Delinquent",IF(TRIM($W152&amp;"")="60","60 Days Delinquent",IF(TRIM($W152&amp;"")="30","30 Days Delinquent",IF($X152="Non-Performing Matured Balloon","Non-Performing Matured Balloon",IF(OR($X152="Late Payment But Less Than 30 Days Delinquent",LEFT($X152&amp;"",20)="Payment Not Received"),"Late / In Grace (&lt;30 Days)",IF($X152="Performing Matured Balloon","Performing Matured Balloon","Current")))))))))</f>
        <v/>
      </c>
      <c r="CD152" s="78">
        <f>IF(OR($CC152="REO",$CC152="Foreclosure",$CC152="90+ Days Delinquent",$CC152="60 Days Delinquent",$CC152="30 Days Delinquent",$CC152="Non-Performing Matured Balloon"),1,0)</f>
        <v/>
      </c>
      <c r="CE152" s="76">
        <f>IF($AB152="Currently special serv","Currently Specially Serviced",IF($AB152="Returned to master serv","Previously Specially Serviced","Never Specially Serviced"))</f>
        <v/>
      </c>
      <c r="CF152" s="78">
        <f>IF($CE152="Currently Specially Serviced",1,0)</f>
        <v/>
      </c>
      <c r="CG152" s="76">
        <f>IF($AA152="Yes","Currently on Watchlist",IF($AA152="Previously","Previously on Watchlist","Never on Watchlist"))</f>
        <v/>
      </c>
      <c r="CH152" s="78">
        <f>IF($CG152="Currently on Watchlist",1,0)</f>
        <v/>
      </c>
      <c r="CI152" s="76">
        <f>IF($Z152="Full Defeasance","Fully Defeased",IF($Z152="Portion Of Loan Previously Defeased","Partially Defeased",IF($Z152="Defeasance Not Allowable","Not Defeased (Not Permitted)","Not Defeased")))</f>
        <v/>
      </c>
      <c r="CJ152" s="78">
        <f>IF($CI152="Fully Defeased",1,0)</f>
        <v/>
      </c>
      <c r="CK152" s="76">
        <f>IF($R152="IO","Full IO",IF(LEFT($R152&amp;"",7)="IO then","Partial IO","Amortizing"))</f>
        <v/>
      </c>
      <c r="CL152" s="78">
        <f>IF($CK152="Full IO",1,0)</f>
        <v/>
      </c>
      <c r="CM152" s="78">
        <f>IF($CK152="Partial IO",1,0)</f>
        <v/>
      </c>
      <c r="CN152" s="76">
        <f>IF(LEFT($F152&amp;"",10)="SPLIT_LOAN","Pari Passu Split","Standalone")</f>
        <v/>
      </c>
      <c r="CO152" s="78">
        <f>IF($CN152="Pari Passu Split",1,0)</f>
        <v/>
      </c>
      <c r="CP152" s="77">
        <f>IF(ISNUMBER($T152),YEAR($T152),"")</f>
        <v/>
      </c>
      <c r="CQ152" s="79">
        <f>IF(ISNUMBER($V152),$V152,IF(ISNUMBER($U152),$U152,""))</f>
        <v/>
      </c>
      <c r="CR152" s="77">
        <f>IF(ISNUMBER($CQ152),YEAR($CQ152),"")</f>
        <v/>
      </c>
      <c r="CS152" s="78">
        <f>IF(ISNUMBER($M152),MAX(0,$M152),IF(TRIM($M152&amp;"")="matured",0,""))</f>
        <v/>
      </c>
      <c r="CT152" s="78">
        <f>IF(AND(ISNUMBER($CS152),N($CS152)&lt;=mMatWindow),1,0)</f>
        <v/>
      </c>
      <c r="CU152" s="80">
        <f>IF(ISNUMBER($J152),$J152/100,"")</f>
        <v/>
      </c>
      <c r="CV152" s="81">
        <f>IF(ISNUMBER($AQ152),$AQ152,"")</f>
        <v/>
      </c>
      <c r="CW152" s="81">
        <f>IF(ISNUMBER($AR152),$AR152,"")</f>
        <v/>
      </c>
      <c r="CX152" s="82">
        <f>IF(ISNUMBER($AS152),$AS152/100,"")</f>
        <v/>
      </c>
      <c r="CY152" s="82">
        <f>IF(ISNUMBER($AT152),$AT152/100,"")</f>
        <v/>
      </c>
      <c r="CZ152" s="82">
        <f>IF(ISNUMBER($AU152),$AU152/100,"")</f>
        <v/>
      </c>
      <c r="DA152" s="82">
        <f>IF(ISNUMBER($AV152),$AV152/100,"")</f>
        <v/>
      </c>
      <c r="DB152" s="82">
        <f>IF(ISNUMBER($AW152),$AW152/100,"")</f>
        <v/>
      </c>
      <c r="DC152" s="82">
        <f>IF(ISNUMBER($AX152),$AX152/100,"")</f>
        <v/>
      </c>
      <c r="DD152" s="77">
        <f>IFERROR(VALUE(LEFT(TRIM($AO152&amp;""),4)),"")</f>
        <v/>
      </c>
      <c r="DE152" s="78">
        <f>IF(AND($BY152=1,$BX152=1,OR(fDeal="All Deals",$BU152=fDeal),OR(fEntity="All Entities",$BV152=fEntity),OR(fPType="All Property Types",$BZ152=fPType),OR(fDefeased="Include",$CJ152=0)),1,0)</f>
        <v/>
      </c>
      <c r="DF152" s="83">
        <f>$DE152*N($I152)</f>
        <v/>
      </c>
      <c r="DG152" s="78">
        <f>IF($DE152=1,IF(COUNTIFS($F$8:$F152,$F152,$DE$8:$DE152,1)=1,1,0),0)</f>
        <v/>
      </c>
      <c r="DH152" s="83">
        <f>IF($DG152=1,SUMIFS($DF$8:$DF$1600,$F$8:$F$1600,$F152),0)</f>
        <v/>
      </c>
      <c r="DI152" s="78">
        <f>IF($DG152=1,COUNTIFS($F$8:$F$1600,$F152,$DE$8:$DE$1600,1),0)</f>
        <v/>
      </c>
      <c r="DJ152" s="84">
        <f>IF($DG152=1,$DH152+(100000-ROW())/mTieBreak,0)</f>
        <v/>
      </c>
    </row>
    <row r="153">
      <c r="B153" s="68" t="n">
        <v>30</v>
      </c>
      <c r="C153" s="69" t="inlineStr">
        <is>
          <t>WFC18C47</t>
        </is>
      </c>
      <c r="D153" s="69" t="inlineStr">
        <is>
          <t>30.000</t>
        </is>
      </c>
      <c r="E153" s="69" t="inlineStr">
        <is>
          <t>Frisco Medical Office Building and Terramont Village Shopping Center</t>
        </is>
      </c>
      <c r="F153" s="69" t="inlineStr">
        <is>
          <t>LNWFC18C47-30.000</t>
        </is>
      </c>
      <c r="G153" s="70" t="n"/>
      <c r="H153" s="71" t="n">
        <v>10538000</v>
      </c>
      <c r="I153" s="71" t="n">
        <v>10538000</v>
      </c>
      <c r="J153" s="72" t="n">
        <v>4.857</v>
      </c>
      <c r="K153" s="69" t="inlineStr">
        <is>
          <t>Fixed rate</t>
        </is>
      </c>
      <c r="L153" s="68" t="n">
        <v>120</v>
      </c>
      <c r="M153" s="68" t="n">
        <v>24</v>
      </c>
      <c r="N153" s="68" t="n">
        <v>120</v>
      </c>
      <c r="O153" s="68" t="n">
        <v>120</v>
      </c>
      <c r="P153" s="68" t="n">
        <v>24</v>
      </c>
      <c r="Q153" s="68" t="n">
        <v>96</v>
      </c>
      <c r="R153" s="69" t="inlineStr">
        <is>
          <t>IO</t>
        </is>
      </c>
      <c r="S153" s="69" t="inlineStr">
        <is>
          <t>Yes</t>
        </is>
      </c>
      <c r="T153" s="73" t="n">
        <v>43344</v>
      </c>
      <c r="U153" s="73" t="n">
        <v>47002</v>
      </c>
      <c r="V153" s="73" t="n"/>
      <c r="W153" s="69" t="n"/>
      <c r="X153" s="69" t="inlineStr">
        <is>
          <t>Current</t>
        </is>
      </c>
      <c r="Y153" s="68" t="n"/>
      <c r="Z153" s="69" t="inlineStr">
        <is>
          <t>No Defeasance Occurred</t>
        </is>
      </c>
      <c r="AA153" s="69" t="inlineStr">
        <is>
          <t>Previously</t>
        </is>
      </c>
      <c r="AB153" s="69" t="inlineStr">
        <is>
          <t>Never special serv</t>
        </is>
      </c>
      <c r="AC153" s="73" t="n"/>
      <c r="AD153" s="69" t="n"/>
      <c r="AE153" s="69" t="n"/>
      <c r="AF153" s="69" t="inlineStr">
        <is>
          <t>TX</t>
        </is>
      </c>
      <c r="AG153" s="69" t="n"/>
      <c r="AH153" s="69" t="inlineStr">
        <is>
          <t>Dallas-Fort Worth-Arlington, TX-53.926700038% Houston-Pasadena-The Woodlands, TX-46.073299962%</t>
        </is>
      </c>
      <c r="AI153" s="69" t="inlineStr">
        <is>
          <t>South / Central West</t>
        </is>
      </c>
      <c r="AJ153" s="69" t="inlineStr">
        <is>
          <t>OF-53.926700038% RT-46.073299962%</t>
        </is>
      </c>
      <c r="AK153" s="69" t="n"/>
      <c r="AL153" s="68" t="n">
        <v>2</v>
      </c>
      <c r="AM153" s="68" t="n"/>
      <c r="AN153" s="68" t="n">
        <v>49348</v>
      </c>
      <c r="AO153" s="69" t="n"/>
      <c r="AP153" s="70" t="n">
        <v>2014</v>
      </c>
      <c r="AQ153" s="74" t="n">
        <v>1.89</v>
      </c>
      <c r="AR153" s="74" t="n">
        <v>2.3</v>
      </c>
      <c r="AS153" s="74" t="n">
        <v>55.2</v>
      </c>
      <c r="AT153" s="74" t="n">
        <v>55.17</v>
      </c>
      <c r="AU153" s="74" t="n">
        <v>55.2</v>
      </c>
      <c r="AV153" s="74" t="n">
        <v>9.31155817</v>
      </c>
      <c r="AW153" s="74" t="n">
        <v>11.340163124</v>
      </c>
      <c r="AX153" s="75" t="n">
        <v>100</v>
      </c>
      <c r="AY153" s="71" t="n">
        <v>19100000</v>
      </c>
      <c r="AZ153" s="71" t="n">
        <v>19100000</v>
      </c>
      <c r="BA153" s="71" t="n">
        <v>981252</v>
      </c>
      <c r="BB153" s="71" t="n">
        <v>1195026.39</v>
      </c>
      <c r="BC153" s="69" t="inlineStr">
        <is>
          <t>Refinance</t>
        </is>
      </c>
      <c r="BD153" s="69" t="inlineStr">
        <is>
          <t>Y</t>
        </is>
      </c>
      <c r="BE153" s="71" t="n"/>
      <c r="BF153" s="71" t="n"/>
      <c r="BG153" s="71" t="n"/>
      <c r="BH153" s="71" t="n">
        <v>0</v>
      </c>
      <c r="BI153" s="71" t="n">
        <v>0</v>
      </c>
      <c r="BJ153" s="69" t="inlineStr">
        <is>
          <t>N</t>
        </is>
      </c>
      <c r="BK153" s="69" t="inlineStr">
        <is>
          <t>USMD PPM  LLC</t>
        </is>
      </c>
      <c r="BL153" s="75" t="n">
        <v>25.55</v>
      </c>
      <c r="BM153" s="73" t="n">
        <v>47026</v>
      </c>
      <c r="BN153" s="69" t="inlineStr">
        <is>
          <t>Pinecroft Core Holdings, LLC</t>
        </is>
      </c>
      <c r="BO153" s="69" t="inlineStr">
        <is>
          <t>Barclays</t>
        </is>
      </c>
      <c r="BP153" s="69" t="inlineStr">
        <is>
          <t>TriMont Real Estate Advisors</t>
        </is>
      </c>
      <c r="BQ153" s="69" t="inlineStr">
        <is>
          <t>K-Star Asset Management LLC</t>
        </is>
      </c>
      <c r="BR153" s="69" t="n"/>
      <c r="BS153" s="73" t="n">
        <v>46276</v>
      </c>
      <c r="BU153" s="76">
        <f>IF($C153="","",IFERROR(INDEX(dmName,MATCH($C153,dmID,0)),"Unmapped"))</f>
        <v/>
      </c>
      <c r="BV153" s="76">
        <f>IF($C153="","",IFERROR(INDEX(dmEntity,MATCH($C153,dmID,0)),"Unmapped"))</f>
        <v/>
      </c>
      <c r="BW153" s="77">
        <f>IF($C153="","",IFERROR(INDEX(dmVintage,MATCH($C153,dmID,0)),""))</f>
        <v/>
      </c>
      <c r="BX153" s="78">
        <f>IFERROR(INDEX(dmInclude,MATCH($C153,dmID,0)),0)</f>
        <v/>
      </c>
      <c r="BY153" s="78">
        <f>IF(N($I153)&gt;0,1,0)</f>
        <v/>
      </c>
      <c r="BZ153" s="76">
        <f>IF($AJ153="","Other / Leased Fee",IFERROR(INDEX(mapPTGroup,MATCH(LEFT(TRIM($AJ153),2),mapPTCode,0)),"Other / Leased Fee"))</f>
        <v/>
      </c>
      <c r="CA153" s="76">
        <f>IF(TRIM($AF153&amp;"")="","NR",LEFT(TRIM($AF153),2))</f>
        <v/>
      </c>
      <c r="CB153" s="76">
        <f>IFERROR(LOOKUP(2,1/(LEFT(TRIM($AI153&amp;""),LEN(mapRegion))=mapRegion),mapRegion),"Not Reported")</f>
        <v/>
      </c>
      <c r="CC153" s="76">
        <f>IF($BY153=0,"",IF(TRIM($W153&amp;"")="REO","REO",IF(TRIM($W153&amp;"")="FC","Foreclosure",IF(TRIM($W153&amp;"")="90+","90+ Days Delinquent",IF(TRIM($W153&amp;"")="60","60 Days Delinquent",IF(TRIM($W153&amp;"")="30","30 Days Delinquent",IF($X153="Non-Performing Matured Balloon","Non-Performing Matured Balloon",IF(OR($X153="Late Payment But Less Than 30 Days Delinquent",LEFT($X153&amp;"",20)="Payment Not Received"),"Late / In Grace (&lt;30 Days)",IF($X153="Performing Matured Balloon","Performing Matured Balloon","Current")))))))))</f>
        <v/>
      </c>
      <c r="CD153" s="78">
        <f>IF(OR($CC153="REO",$CC153="Foreclosure",$CC153="90+ Days Delinquent",$CC153="60 Days Delinquent",$CC153="30 Days Delinquent",$CC153="Non-Performing Matured Balloon"),1,0)</f>
        <v/>
      </c>
      <c r="CE153" s="76">
        <f>IF($AB153="Currently special serv","Currently Specially Serviced",IF($AB153="Returned to master serv","Previously Specially Serviced","Never Specially Serviced"))</f>
        <v/>
      </c>
      <c r="CF153" s="78">
        <f>IF($CE153="Currently Specially Serviced",1,0)</f>
        <v/>
      </c>
      <c r="CG153" s="76">
        <f>IF($AA153="Yes","Currently on Watchlist",IF($AA153="Previously","Previously on Watchlist","Never on Watchlist"))</f>
        <v/>
      </c>
      <c r="CH153" s="78">
        <f>IF($CG153="Currently on Watchlist",1,0)</f>
        <v/>
      </c>
      <c r="CI153" s="76">
        <f>IF($Z153="Full Defeasance","Fully Defeased",IF($Z153="Portion Of Loan Previously Defeased","Partially Defeased",IF($Z153="Defeasance Not Allowable","Not Defeased (Not Permitted)","Not Defeased")))</f>
        <v/>
      </c>
      <c r="CJ153" s="78">
        <f>IF($CI153="Fully Defeased",1,0)</f>
        <v/>
      </c>
      <c r="CK153" s="76">
        <f>IF($R153="IO","Full IO",IF(LEFT($R153&amp;"",7)="IO then","Partial IO","Amortizing"))</f>
        <v/>
      </c>
      <c r="CL153" s="78">
        <f>IF($CK153="Full IO",1,0)</f>
        <v/>
      </c>
      <c r="CM153" s="78">
        <f>IF($CK153="Partial IO",1,0)</f>
        <v/>
      </c>
      <c r="CN153" s="76">
        <f>IF(LEFT($F153&amp;"",10)="SPLIT_LOAN","Pari Passu Split","Standalone")</f>
        <v/>
      </c>
      <c r="CO153" s="78">
        <f>IF($CN153="Pari Passu Split",1,0)</f>
        <v/>
      </c>
      <c r="CP153" s="77">
        <f>IF(ISNUMBER($T153),YEAR($T153),"")</f>
        <v/>
      </c>
      <c r="CQ153" s="79">
        <f>IF(ISNUMBER($V153),$V153,IF(ISNUMBER($U153),$U153,""))</f>
        <v/>
      </c>
      <c r="CR153" s="77">
        <f>IF(ISNUMBER($CQ153),YEAR($CQ153),"")</f>
        <v/>
      </c>
      <c r="CS153" s="78">
        <f>IF(ISNUMBER($M153),MAX(0,$M153),IF(TRIM($M153&amp;"")="matured",0,""))</f>
        <v/>
      </c>
      <c r="CT153" s="78">
        <f>IF(AND(ISNUMBER($CS153),N($CS153)&lt;=mMatWindow),1,0)</f>
        <v/>
      </c>
      <c r="CU153" s="80">
        <f>IF(ISNUMBER($J153),$J153/100,"")</f>
        <v/>
      </c>
      <c r="CV153" s="81">
        <f>IF(ISNUMBER($AQ153),$AQ153,"")</f>
        <v/>
      </c>
      <c r="CW153" s="81">
        <f>IF(ISNUMBER($AR153),$AR153,"")</f>
        <v/>
      </c>
      <c r="CX153" s="82">
        <f>IF(ISNUMBER($AS153),$AS153/100,"")</f>
        <v/>
      </c>
      <c r="CY153" s="82">
        <f>IF(ISNUMBER($AT153),$AT153/100,"")</f>
        <v/>
      </c>
      <c r="CZ153" s="82">
        <f>IF(ISNUMBER($AU153),$AU153/100,"")</f>
        <v/>
      </c>
      <c r="DA153" s="82">
        <f>IF(ISNUMBER($AV153),$AV153/100,"")</f>
        <v/>
      </c>
      <c r="DB153" s="82">
        <f>IF(ISNUMBER($AW153),$AW153/100,"")</f>
        <v/>
      </c>
      <c r="DC153" s="82">
        <f>IF(ISNUMBER($AX153),$AX153/100,"")</f>
        <v/>
      </c>
      <c r="DD153" s="77">
        <f>IFERROR(VALUE(LEFT(TRIM($AO153&amp;""),4)),"")</f>
        <v/>
      </c>
      <c r="DE153" s="78">
        <f>IF(AND($BY153=1,$BX153=1,OR(fDeal="All Deals",$BU153=fDeal),OR(fEntity="All Entities",$BV153=fEntity),OR(fPType="All Property Types",$BZ153=fPType),OR(fDefeased="Include",$CJ153=0)),1,0)</f>
        <v/>
      </c>
      <c r="DF153" s="83">
        <f>$DE153*N($I153)</f>
        <v/>
      </c>
      <c r="DG153" s="78">
        <f>IF($DE153=1,IF(COUNTIFS($F$8:$F153,$F153,$DE$8:$DE153,1)=1,1,0),0)</f>
        <v/>
      </c>
      <c r="DH153" s="83">
        <f>IF($DG153=1,SUMIFS($DF$8:$DF$1600,$F$8:$F$1600,$F153),0)</f>
        <v/>
      </c>
      <c r="DI153" s="78">
        <f>IF($DG153=1,COUNTIFS($F$8:$F$1600,$F153,$DE$8:$DE$1600,1),0)</f>
        <v/>
      </c>
      <c r="DJ153" s="84">
        <f>IF($DG153=1,$DH153+(100000-ROW())/mTieBreak,0)</f>
        <v/>
      </c>
    </row>
    <row r="154">
      <c r="B154" s="68" t="n">
        <v>31</v>
      </c>
      <c r="C154" s="69" t="inlineStr">
        <is>
          <t>WFC18C47</t>
        </is>
      </c>
      <c r="D154" s="69" t="inlineStr">
        <is>
          <t>31.000</t>
        </is>
      </c>
      <c r="E154" s="69" t="inlineStr">
        <is>
          <t>Skyline Village</t>
        </is>
      </c>
      <c r="F154" s="69" t="inlineStr">
        <is>
          <t>SPLIT_LOAN_01337</t>
        </is>
      </c>
      <c r="G154" s="70" t="n">
        <v>1337</v>
      </c>
      <c r="H154" s="71" t="n">
        <v>9800000</v>
      </c>
      <c r="I154" s="71" t="n">
        <v>9029829.519997999</v>
      </c>
      <c r="J154" s="72" t="n">
        <v>5.04</v>
      </c>
      <c r="K154" s="69" t="inlineStr">
        <is>
          <t>Fixed rate</t>
        </is>
      </c>
      <c r="L154" s="68" t="n">
        <v>120</v>
      </c>
      <c r="M154" s="68" t="n">
        <v>23</v>
      </c>
      <c r="N154" s="68" t="n">
        <v>396</v>
      </c>
      <c r="O154" s="68" t="n">
        <v>36</v>
      </c>
      <c r="P154" s="68" t="n">
        <v>0</v>
      </c>
      <c r="Q154" s="68" t="n">
        <v>97</v>
      </c>
      <c r="R154" s="69" t="inlineStr">
        <is>
          <t>IO then Amort</t>
        </is>
      </c>
      <c r="S154" s="69" t="inlineStr">
        <is>
          <t>No</t>
        </is>
      </c>
      <c r="T154" s="73" t="n">
        <v>43313</v>
      </c>
      <c r="U154" s="73" t="n">
        <v>46971</v>
      </c>
      <c r="V154" s="73" t="n"/>
      <c r="W154" s="69" t="n"/>
      <c r="X154" s="69" t="inlineStr">
        <is>
          <t>Current</t>
        </is>
      </c>
      <c r="Y154" s="68" t="n"/>
      <c r="Z154" s="69" t="inlineStr">
        <is>
          <t>No Defeasance Occurred</t>
        </is>
      </c>
      <c r="AA154" s="69" t="inlineStr">
        <is>
          <t>Previously</t>
        </is>
      </c>
      <c r="AB154" s="69" t="inlineStr">
        <is>
          <t>Never special serv</t>
        </is>
      </c>
      <c r="AC154" s="73" t="n"/>
      <c r="AD154" s="69" t="n"/>
      <c r="AE154" s="69" t="n"/>
      <c r="AF154" s="69" t="inlineStr">
        <is>
          <t>VA</t>
        </is>
      </c>
      <c r="AG154" s="69" t="inlineStr">
        <is>
          <t>Harrisonburg</t>
        </is>
      </c>
      <c r="AH154" s="69" t="inlineStr">
        <is>
          <t>Harrisonburg, VA</t>
        </is>
      </c>
      <c r="AI154" s="69" t="inlineStr">
        <is>
          <t>South / Atlantic</t>
        </is>
      </c>
      <c r="AJ154" s="69" t="inlineStr">
        <is>
          <t>RT</t>
        </is>
      </c>
      <c r="AK154" s="69" t="inlineStr">
        <is>
          <t>Anchored</t>
        </is>
      </c>
      <c r="AL154" s="68" t="n">
        <v>1</v>
      </c>
      <c r="AM154" s="68" t="n"/>
      <c r="AN154" s="68" t="n">
        <v>190384</v>
      </c>
      <c r="AO154" s="69" t="inlineStr">
        <is>
          <t>1988</t>
        </is>
      </c>
      <c r="AP154" s="70" t="n">
        <v>1988</v>
      </c>
      <c r="AQ154" s="74" t="n">
        <v>1.54</v>
      </c>
      <c r="AR154" s="74" t="n">
        <v>1.23</v>
      </c>
      <c r="AS154" s="74" t="n">
        <v>74.09999999999999</v>
      </c>
      <c r="AT154" s="74" t="n">
        <v>68.29000000000001</v>
      </c>
      <c r="AU154" s="74" t="n">
        <v>65.7</v>
      </c>
      <c r="AV154" s="74" t="n">
        <v>9.945513225999999</v>
      </c>
      <c r="AW154" s="74" t="n">
        <v>10.62989144</v>
      </c>
      <c r="AX154" s="75" t="n">
        <v>98</v>
      </c>
      <c r="AY154" s="71" t="n">
        <v>33460000</v>
      </c>
      <c r="AZ154" s="71" t="n">
        <v>33460000</v>
      </c>
      <c r="BA154" s="71" t="n">
        <v>2466487.28</v>
      </c>
      <c r="BB154" s="71" t="n">
        <v>493011.78</v>
      </c>
      <c r="BC154" s="69" t="inlineStr">
        <is>
          <t>Acquisition</t>
        </is>
      </c>
      <c r="BD154" s="69" t="inlineStr">
        <is>
          <t>N</t>
        </is>
      </c>
      <c r="BE154" s="71" t="n">
        <v>13821167.63</v>
      </c>
      <c r="BF154" s="71" t="n"/>
      <c r="BG154" s="71" t="n"/>
      <c r="BH154" s="71" t="n">
        <v>0</v>
      </c>
      <c r="BI154" s="71" t="n">
        <v>0</v>
      </c>
      <c r="BJ154" s="69" t="inlineStr">
        <is>
          <t>N</t>
        </is>
      </c>
      <c r="BK154" s="69" t="inlineStr">
        <is>
          <t>Kohl's Department Store</t>
        </is>
      </c>
      <c r="BL154" s="75" t="n">
        <v>46.35</v>
      </c>
      <c r="BM154" s="73" t="n">
        <v>47224</v>
      </c>
      <c r="BN154" s="69" t="inlineStr">
        <is>
          <t>Bon Investments USA LLC</t>
        </is>
      </c>
      <c r="BO154" s="69" t="inlineStr">
        <is>
          <t>Barclays</t>
        </is>
      </c>
      <c r="BP154" s="69" t="inlineStr">
        <is>
          <t>TriMont Real Estate Advisors</t>
        </is>
      </c>
      <c r="BQ154" s="69" t="inlineStr">
        <is>
          <t>Argentic Services Company LP</t>
        </is>
      </c>
      <c r="BR154" s="69" t="n"/>
      <c r="BS154" s="73" t="n">
        <v>46276</v>
      </c>
      <c r="BU154" s="76">
        <f>IF($C154="","",IFERROR(INDEX(dmName,MATCH($C154,dmID,0)),"Unmapped"))</f>
        <v/>
      </c>
      <c r="BV154" s="76">
        <f>IF($C154="","",IFERROR(INDEX(dmEntity,MATCH($C154,dmID,0)),"Unmapped"))</f>
        <v/>
      </c>
      <c r="BW154" s="77">
        <f>IF($C154="","",IFERROR(INDEX(dmVintage,MATCH($C154,dmID,0)),""))</f>
        <v/>
      </c>
      <c r="BX154" s="78">
        <f>IFERROR(INDEX(dmInclude,MATCH($C154,dmID,0)),0)</f>
        <v/>
      </c>
      <c r="BY154" s="78">
        <f>IF(N($I154)&gt;0,1,0)</f>
        <v/>
      </c>
      <c r="BZ154" s="76">
        <f>IF($AJ154="","Other / Leased Fee",IFERROR(INDEX(mapPTGroup,MATCH(LEFT(TRIM($AJ154),2),mapPTCode,0)),"Other / Leased Fee"))</f>
        <v/>
      </c>
      <c r="CA154" s="76">
        <f>IF(TRIM($AF154&amp;"")="","NR",LEFT(TRIM($AF154),2))</f>
        <v/>
      </c>
      <c r="CB154" s="76">
        <f>IFERROR(LOOKUP(2,1/(LEFT(TRIM($AI154&amp;""),LEN(mapRegion))=mapRegion),mapRegion),"Not Reported")</f>
        <v/>
      </c>
      <c r="CC154" s="76">
        <f>IF($BY154=0,"",IF(TRIM($W154&amp;"")="REO","REO",IF(TRIM($W154&amp;"")="FC","Foreclosure",IF(TRIM($W154&amp;"")="90+","90+ Days Delinquent",IF(TRIM($W154&amp;"")="60","60 Days Delinquent",IF(TRIM($W154&amp;"")="30","30 Days Delinquent",IF($X154="Non-Performing Matured Balloon","Non-Performing Matured Balloon",IF(OR($X154="Late Payment But Less Than 30 Days Delinquent",LEFT($X154&amp;"",20)="Payment Not Received"),"Late / In Grace (&lt;30 Days)",IF($X154="Performing Matured Balloon","Performing Matured Balloon","Current")))))))))</f>
        <v/>
      </c>
      <c r="CD154" s="78">
        <f>IF(OR($CC154="REO",$CC154="Foreclosure",$CC154="90+ Days Delinquent",$CC154="60 Days Delinquent",$CC154="30 Days Delinquent",$CC154="Non-Performing Matured Balloon"),1,0)</f>
        <v/>
      </c>
      <c r="CE154" s="76">
        <f>IF($AB154="Currently special serv","Currently Specially Serviced",IF($AB154="Returned to master serv","Previously Specially Serviced","Never Specially Serviced"))</f>
        <v/>
      </c>
      <c r="CF154" s="78">
        <f>IF($CE154="Currently Specially Serviced",1,0)</f>
        <v/>
      </c>
      <c r="CG154" s="76">
        <f>IF($AA154="Yes","Currently on Watchlist",IF($AA154="Previously","Previously on Watchlist","Never on Watchlist"))</f>
        <v/>
      </c>
      <c r="CH154" s="78">
        <f>IF($CG154="Currently on Watchlist",1,0)</f>
        <v/>
      </c>
      <c r="CI154" s="76">
        <f>IF($Z154="Full Defeasance","Fully Defeased",IF($Z154="Portion Of Loan Previously Defeased","Partially Defeased",IF($Z154="Defeasance Not Allowable","Not Defeased (Not Permitted)","Not Defeased")))</f>
        <v/>
      </c>
      <c r="CJ154" s="78">
        <f>IF($CI154="Fully Defeased",1,0)</f>
        <v/>
      </c>
      <c r="CK154" s="76">
        <f>IF($R154="IO","Full IO",IF(LEFT($R154&amp;"",7)="IO then","Partial IO","Amortizing"))</f>
        <v/>
      </c>
      <c r="CL154" s="78">
        <f>IF($CK154="Full IO",1,0)</f>
        <v/>
      </c>
      <c r="CM154" s="78">
        <f>IF($CK154="Partial IO",1,0)</f>
        <v/>
      </c>
      <c r="CN154" s="76">
        <f>IF(LEFT($F154&amp;"",10)="SPLIT_LOAN","Pari Passu Split","Standalone")</f>
        <v/>
      </c>
      <c r="CO154" s="78">
        <f>IF($CN154="Pari Passu Split",1,0)</f>
        <v/>
      </c>
      <c r="CP154" s="77">
        <f>IF(ISNUMBER($T154),YEAR($T154),"")</f>
        <v/>
      </c>
      <c r="CQ154" s="79">
        <f>IF(ISNUMBER($V154),$V154,IF(ISNUMBER($U154),$U154,""))</f>
        <v/>
      </c>
      <c r="CR154" s="77">
        <f>IF(ISNUMBER($CQ154),YEAR($CQ154),"")</f>
        <v/>
      </c>
      <c r="CS154" s="78">
        <f>IF(ISNUMBER($M154),MAX(0,$M154),IF(TRIM($M154&amp;"")="matured",0,""))</f>
        <v/>
      </c>
      <c r="CT154" s="78">
        <f>IF(AND(ISNUMBER($CS154),N($CS154)&lt;=mMatWindow),1,0)</f>
        <v/>
      </c>
      <c r="CU154" s="80">
        <f>IF(ISNUMBER($J154),$J154/100,"")</f>
        <v/>
      </c>
      <c r="CV154" s="81">
        <f>IF(ISNUMBER($AQ154),$AQ154,"")</f>
        <v/>
      </c>
      <c r="CW154" s="81">
        <f>IF(ISNUMBER($AR154),$AR154,"")</f>
        <v/>
      </c>
      <c r="CX154" s="82">
        <f>IF(ISNUMBER($AS154),$AS154/100,"")</f>
        <v/>
      </c>
      <c r="CY154" s="82">
        <f>IF(ISNUMBER($AT154),$AT154/100,"")</f>
        <v/>
      </c>
      <c r="CZ154" s="82">
        <f>IF(ISNUMBER($AU154),$AU154/100,"")</f>
        <v/>
      </c>
      <c r="DA154" s="82">
        <f>IF(ISNUMBER($AV154),$AV154/100,"")</f>
        <v/>
      </c>
      <c r="DB154" s="82">
        <f>IF(ISNUMBER($AW154),$AW154/100,"")</f>
        <v/>
      </c>
      <c r="DC154" s="82">
        <f>IF(ISNUMBER($AX154),$AX154/100,"")</f>
        <v/>
      </c>
      <c r="DD154" s="77">
        <f>IFERROR(VALUE(LEFT(TRIM($AO154&amp;""),4)),"")</f>
        <v/>
      </c>
      <c r="DE154" s="78">
        <f>IF(AND($BY154=1,$BX154=1,OR(fDeal="All Deals",$BU154=fDeal),OR(fEntity="All Entities",$BV154=fEntity),OR(fPType="All Property Types",$BZ154=fPType),OR(fDefeased="Include",$CJ154=0)),1,0)</f>
        <v/>
      </c>
      <c r="DF154" s="83">
        <f>$DE154*N($I154)</f>
        <v/>
      </c>
      <c r="DG154" s="78">
        <f>IF($DE154=1,IF(COUNTIFS($F$8:$F154,$F154,$DE$8:$DE154,1)=1,1,0),0)</f>
        <v/>
      </c>
      <c r="DH154" s="83">
        <f>IF($DG154=1,SUMIFS($DF$8:$DF$1600,$F$8:$F$1600,$F154),0)</f>
        <v/>
      </c>
      <c r="DI154" s="78">
        <f>IF($DG154=1,COUNTIFS($F$8:$F$1600,$F154,$DE$8:$DE$1600,1),0)</f>
        <v/>
      </c>
      <c r="DJ154" s="84">
        <f>IF($DG154=1,$DH154+(100000-ROW())/mTieBreak,0)</f>
        <v/>
      </c>
    </row>
    <row r="155">
      <c r="B155" s="68" t="n">
        <v>32</v>
      </c>
      <c r="C155" s="69" t="inlineStr">
        <is>
          <t>WFC18C47</t>
        </is>
      </c>
      <c r="D155" s="69" t="inlineStr">
        <is>
          <t>32.000</t>
        </is>
      </c>
      <c r="E155" s="69" t="inlineStr">
        <is>
          <t>Oak Lane MHC</t>
        </is>
      </c>
      <c r="F155" s="69" t="inlineStr">
        <is>
          <t>LNWFC18C47-32.000</t>
        </is>
      </c>
      <c r="G155" s="70" t="n"/>
      <c r="H155" s="71" t="n">
        <v>9775000</v>
      </c>
      <c r="I155" s="71" t="n">
        <v>8485419.79000365</v>
      </c>
      <c r="J155" s="72" t="n">
        <v>5.13</v>
      </c>
      <c r="K155" s="69" t="inlineStr">
        <is>
          <t>Fixed rate</t>
        </is>
      </c>
      <c r="L155" s="68" t="n">
        <v>120</v>
      </c>
      <c r="M155" s="68" t="n">
        <v>24</v>
      </c>
      <c r="N155" s="68" t="n">
        <v>360</v>
      </c>
      <c r="O155" s="68" t="n"/>
      <c r="P155" s="68" t="n"/>
      <c r="Q155" s="68" t="n">
        <v>96</v>
      </c>
      <c r="R155" s="69" t="n"/>
      <c r="S155" s="69" t="inlineStr">
        <is>
          <t>No</t>
        </is>
      </c>
      <c r="T155" s="73" t="n">
        <v>43344</v>
      </c>
      <c r="U155" s="73" t="n">
        <v>47007</v>
      </c>
      <c r="V155" s="73" t="n"/>
      <c r="W155" s="69" t="n"/>
      <c r="X155" s="69" t="inlineStr">
        <is>
          <t>Current</t>
        </is>
      </c>
      <c r="Y155" s="68" t="n"/>
      <c r="Z155" s="69" t="inlineStr">
        <is>
          <t>Full Defeasance</t>
        </is>
      </c>
      <c r="AA155" s="69" t="inlineStr">
        <is>
          <t>Previously</t>
        </is>
      </c>
      <c r="AB155" s="69" t="inlineStr">
        <is>
          <t>Never special serv</t>
        </is>
      </c>
      <c r="AC155" s="73" t="n"/>
      <c r="AD155" s="69" t="n"/>
      <c r="AE155" s="69" t="n"/>
      <c r="AF155" s="69" t="inlineStr">
        <is>
          <t>IL</t>
        </is>
      </c>
      <c r="AG155" s="69" t="inlineStr">
        <is>
          <t>Merrionette Park</t>
        </is>
      </c>
      <c r="AH155" s="69" t="inlineStr">
        <is>
          <t>Chicago-Naperville-Elgin, IL-IN</t>
        </is>
      </c>
      <c r="AI155" s="69" t="inlineStr">
        <is>
          <t>Midwest / Central East</t>
        </is>
      </c>
      <c r="AJ155" s="69" t="inlineStr">
        <is>
          <t>MH</t>
        </is>
      </c>
      <c r="AK155" s="69" t="n"/>
      <c r="AL155" s="68" t="n">
        <v>1</v>
      </c>
      <c r="AM155" s="68" t="n">
        <v>231</v>
      </c>
      <c r="AN155" s="68" t="n"/>
      <c r="AO155" s="69" t="inlineStr">
        <is>
          <t>1959</t>
        </is>
      </c>
      <c r="AP155" s="70" t="n">
        <v>2017</v>
      </c>
      <c r="AQ155" s="74" t="n">
        <v>1.3</v>
      </c>
      <c r="AR155" s="74" t="n">
        <v>1.12</v>
      </c>
      <c r="AS155" s="74" t="n">
        <v>71.8</v>
      </c>
      <c r="AT155" s="74" t="n">
        <v>62.39</v>
      </c>
      <c r="AU155" s="74" t="n">
        <v>59.3</v>
      </c>
      <c r="AV155" s="74" t="n">
        <v>8.507366751999999</v>
      </c>
      <c r="AW155" s="74" t="n">
        <v>10.150974864</v>
      </c>
      <c r="AX155" s="75" t="n">
        <v>96</v>
      </c>
      <c r="AY155" s="71" t="n">
        <v>13600000</v>
      </c>
      <c r="AZ155" s="71" t="n">
        <v>13600000</v>
      </c>
      <c r="BA155" s="71" t="n">
        <v>831595.1</v>
      </c>
      <c r="BB155" s="71" t="n">
        <v>356301.2</v>
      </c>
      <c r="BC155" s="69" t="inlineStr">
        <is>
          <t>Refinance</t>
        </is>
      </c>
      <c r="BD155" s="69" t="inlineStr">
        <is>
          <t>N</t>
        </is>
      </c>
      <c r="BE155" s="71" t="n"/>
      <c r="BF155" s="71" t="n"/>
      <c r="BG155" s="71" t="n"/>
      <c r="BH155" s="71" t="n">
        <v>0</v>
      </c>
      <c r="BI155" s="71" t="n">
        <v>0</v>
      </c>
      <c r="BJ155" s="69" t="inlineStr">
        <is>
          <t>N</t>
        </is>
      </c>
      <c r="BK155" s="69" t="n"/>
      <c r="BL155" s="75" t="n"/>
      <c r="BM155" s="73" t="n"/>
      <c r="BN155" s="69" t="inlineStr">
        <is>
          <t>James W. Soboleski; Benjamin L. Kadish</t>
        </is>
      </c>
      <c r="BO155" s="69" t="inlineStr">
        <is>
          <t>CIII Capital</t>
        </is>
      </c>
      <c r="BP155" s="69" t="inlineStr">
        <is>
          <t>TriMont Real Estate Advisors</t>
        </is>
      </c>
      <c r="BQ155" s="69" t="inlineStr">
        <is>
          <t>K-Star Asset Management LLC</t>
        </is>
      </c>
      <c r="BR155" s="69" t="n"/>
      <c r="BS155" s="73" t="n">
        <v>46276</v>
      </c>
      <c r="BU155" s="76">
        <f>IF($C155="","",IFERROR(INDEX(dmName,MATCH($C155,dmID,0)),"Unmapped"))</f>
        <v/>
      </c>
      <c r="BV155" s="76">
        <f>IF($C155="","",IFERROR(INDEX(dmEntity,MATCH($C155,dmID,0)),"Unmapped"))</f>
        <v/>
      </c>
      <c r="BW155" s="77">
        <f>IF($C155="","",IFERROR(INDEX(dmVintage,MATCH($C155,dmID,0)),""))</f>
        <v/>
      </c>
      <c r="BX155" s="78">
        <f>IFERROR(INDEX(dmInclude,MATCH($C155,dmID,0)),0)</f>
        <v/>
      </c>
      <c r="BY155" s="78">
        <f>IF(N($I155)&gt;0,1,0)</f>
        <v/>
      </c>
      <c r="BZ155" s="76">
        <f>IF($AJ155="","Other / Leased Fee",IFERROR(INDEX(mapPTGroup,MATCH(LEFT(TRIM($AJ155),2),mapPTCode,0)),"Other / Leased Fee"))</f>
        <v/>
      </c>
      <c r="CA155" s="76">
        <f>IF(TRIM($AF155&amp;"")="","NR",LEFT(TRIM($AF155),2))</f>
        <v/>
      </c>
      <c r="CB155" s="76">
        <f>IFERROR(LOOKUP(2,1/(LEFT(TRIM($AI155&amp;""),LEN(mapRegion))=mapRegion),mapRegion),"Not Reported")</f>
        <v/>
      </c>
      <c r="CC155" s="76">
        <f>IF($BY155=0,"",IF(TRIM($W155&amp;"")="REO","REO",IF(TRIM($W155&amp;"")="FC","Foreclosure",IF(TRIM($W155&amp;"")="90+","90+ Days Delinquent",IF(TRIM($W155&amp;"")="60","60 Days Delinquent",IF(TRIM($W155&amp;"")="30","30 Days Delinquent",IF($X155="Non-Performing Matured Balloon","Non-Performing Matured Balloon",IF(OR($X155="Late Payment But Less Than 30 Days Delinquent",LEFT($X155&amp;"",20)="Payment Not Received"),"Late / In Grace (&lt;30 Days)",IF($X155="Performing Matured Balloon","Performing Matured Balloon","Current")))))))))</f>
        <v/>
      </c>
      <c r="CD155" s="78">
        <f>IF(OR($CC155="REO",$CC155="Foreclosure",$CC155="90+ Days Delinquent",$CC155="60 Days Delinquent",$CC155="30 Days Delinquent",$CC155="Non-Performing Matured Balloon"),1,0)</f>
        <v/>
      </c>
      <c r="CE155" s="76">
        <f>IF($AB155="Currently special serv","Currently Specially Serviced",IF($AB155="Returned to master serv","Previously Specially Serviced","Never Specially Serviced"))</f>
        <v/>
      </c>
      <c r="CF155" s="78">
        <f>IF($CE155="Currently Specially Serviced",1,0)</f>
        <v/>
      </c>
      <c r="CG155" s="76">
        <f>IF($AA155="Yes","Currently on Watchlist",IF($AA155="Previously","Previously on Watchlist","Never on Watchlist"))</f>
        <v/>
      </c>
      <c r="CH155" s="78">
        <f>IF($CG155="Currently on Watchlist",1,0)</f>
        <v/>
      </c>
      <c r="CI155" s="76">
        <f>IF($Z155="Full Defeasance","Fully Defeased",IF($Z155="Portion Of Loan Previously Defeased","Partially Defeased",IF($Z155="Defeasance Not Allowable","Not Defeased (Not Permitted)","Not Defeased")))</f>
        <v/>
      </c>
      <c r="CJ155" s="78">
        <f>IF($CI155="Fully Defeased",1,0)</f>
        <v/>
      </c>
      <c r="CK155" s="76">
        <f>IF($R155="IO","Full IO",IF(LEFT($R155&amp;"",7)="IO then","Partial IO","Amortizing"))</f>
        <v/>
      </c>
      <c r="CL155" s="78">
        <f>IF($CK155="Full IO",1,0)</f>
        <v/>
      </c>
      <c r="CM155" s="78">
        <f>IF($CK155="Partial IO",1,0)</f>
        <v/>
      </c>
      <c r="CN155" s="76">
        <f>IF(LEFT($F155&amp;"",10)="SPLIT_LOAN","Pari Passu Split","Standalone")</f>
        <v/>
      </c>
      <c r="CO155" s="78">
        <f>IF($CN155="Pari Passu Split",1,0)</f>
        <v/>
      </c>
      <c r="CP155" s="77">
        <f>IF(ISNUMBER($T155),YEAR($T155),"")</f>
        <v/>
      </c>
      <c r="CQ155" s="79">
        <f>IF(ISNUMBER($V155),$V155,IF(ISNUMBER($U155),$U155,""))</f>
        <v/>
      </c>
      <c r="CR155" s="77">
        <f>IF(ISNUMBER($CQ155),YEAR($CQ155),"")</f>
        <v/>
      </c>
      <c r="CS155" s="78">
        <f>IF(ISNUMBER($M155),MAX(0,$M155),IF(TRIM($M155&amp;"")="matured",0,""))</f>
        <v/>
      </c>
      <c r="CT155" s="78">
        <f>IF(AND(ISNUMBER($CS155),N($CS155)&lt;=mMatWindow),1,0)</f>
        <v/>
      </c>
      <c r="CU155" s="80">
        <f>IF(ISNUMBER($J155),$J155/100,"")</f>
        <v/>
      </c>
      <c r="CV155" s="81">
        <f>IF(ISNUMBER($AQ155),$AQ155,"")</f>
        <v/>
      </c>
      <c r="CW155" s="81">
        <f>IF(ISNUMBER($AR155),$AR155,"")</f>
        <v/>
      </c>
      <c r="CX155" s="82">
        <f>IF(ISNUMBER($AS155),$AS155/100,"")</f>
        <v/>
      </c>
      <c r="CY155" s="82">
        <f>IF(ISNUMBER($AT155),$AT155/100,"")</f>
        <v/>
      </c>
      <c r="CZ155" s="82">
        <f>IF(ISNUMBER($AU155),$AU155/100,"")</f>
        <v/>
      </c>
      <c r="DA155" s="82">
        <f>IF(ISNUMBER($AV155),$AV155/100,"")</f>
        <v/>
      </c>
      <c r="DB155" s="82">
        <f>IF(ISNUMBER($AW155),$AW155/100,"")</f>
        <v/>
      </c>
      <c r="DC155" s="82">
        <f>IF(ISNUMBER($AX155),$AX155/100,"")</f>
        <v/>
      </c>
      <c r="DD155" s="77">
        <f>IFERROR(VALUE(LEFT(TRIM($AO155&amp;""),4)),"")</f>
        <v/>
      </c>
      <c r="DE155" s="78">
        <f>IF(AND($BY155=1,$BX155=1,OR(fDeal="All Deals",$BU155=fDeal),OR(fEntity="All Entities",$BV155=fEntity),OR(fPType="All Property Types",$BZ155=fPType),OR(fDefeased="Include",$CJ155=0)),1,0)</f>
        <v/>
      </c>
      <c r="DF155" s="83">
        <f>$DE155*N($I155)</f>
        <v/>
      </c>
      <c r="DG155" s="78">
        <f>IF($DE155=1,IF(COUNTIFS($F$8:$F155,$F155,$DE$8:$DE155,1)=1,1,0),0)</f>
        <v/>
      </c>
      <c r="DH155" s="83">
        <f>IF($DG155=1,SUMIFS($DF$8:$DF$1600,$F$8:$F$1600,$F155),0)</f>
        <v/>
      </c>
      <c r="DI155" s="78">
        <f>IF($DG155=1,COUNTIFS($F$8:$F$1600,$F155,$DE$8:$DE$1600,1),0)</f>
        <v/>
      </c>
      <c r="DJ155" s="84">
        <f>IF($DG155=1,$DH155+(100000-ROW())/mTieBreak,0)</f>
        <v/>
      </c>
    </row>
    <row r="156">
      <c r="B156" s="68" t="n">
        <v>33</v>
      </c>
      <c r="C156" s="69" t="inlineStr">
        <is>
          <t>WFC18C47</t>
        </is>
      </c>
      <c r="D156" s="69" t="inlineStr">
        <is>
          <t>33.000</t>
        </is>
      </c>
      <c r="E156" s="69" t="inlineStr">
        <is>
          <t>Hurricane Creek Village</t>
        </is>
      </c>
      <c r="F156" s="69" t="inlineStr">
        <is>
          <t>LNWFC18C47-33.000</t>
        </is>
      </c>
      <c r="G156" s="70" t="n"/>
      <c r="H156" s="71" t="n">
        <v>9750000</v>
      </c>
      <c r="I156" s="71" t="n">
        <v>8566023.03999975</v>
      </c>
      <c r="J156" s="72" t="n">
        <v>4.98</v>
      </c>
      <c r="K156" s="69" t="inlineStr">
        <is>
          <t>Fixed rate</t>
        </is>
      </c>
      <c r="L156" s="68" t="n">
        <v>120</v>
      </c>
      <c r="M156" s="68" t="n">
        <v>20</v>
      </c>
      <c r="N156" s="68" t="n">
        <v>372</v>
      </c>
      <c r="O156" s="68" t="n">
        <v>12</v>
      </c>
      <c r="P156" s="68" t="n">
        <v>0</v>
      </c>
      <c r="Q156" s="68" t="n">
        <v>100</v>
      </c>
      <c r="R156" s="69" t="inlineStr">
        <is>
          <t>IO then Amort</t>
        </is>
      </c>
      <c r="S156" s="69" t="inlineStr">
        <is>
          <t>No</t>
        </is>
      </c>
      <c r="T156" s="73" t="n">
        <v>43221</v>
      </c>
      <c r="U156" s="73" t="n">
        <v>46884</v>
      </c>
      <c r="V156" s="73" t="n"/>
      <c r="W156" s="69" t="n"/>
      <c r="X156" s="69" t="inlineStr">
        <is>
          <t>Current</t>
        </is>
      </c>
      <c r="Y156" s="68" t="n"/>
      <c r="Z156" s="69" t="inlineStr">
        <is>
          <t>Full Defeasance</t>
        </is>
      </c>
      <c r="AA156" s="69" t="inlineStr">
        <is>
          <t>Previously</t>
        </is>
      </c>
      <c r="AB156" s="69" t="inlineStr">
        <is>
          <t>Never special serv</t>
        </is>
      </c>
      <c r="AC156" s="73" t="n"/>
      <c r="AD156" s="69" t="n"/>
      <c r="AE156" s="69" t="n"/>
      <c r="AF156" s="69" t="inlineStr">
        <is>
          <t>AR</t>
        </is>
      </c>
      <c r="AG156" s="69" t="inlineStr">
        <is>
          <t>Benton</t>
        </is>
      </c>
      <c r="AH156" s="69" t="inlineStr">
        <is>
          <t>Little Rock-North Little Rock-Conway, AR</t>
        </is>
      </c>
      <c r="AI156" s="69" t="inlineStr">
        <is>
          <t>South / Central West</t>
        </is>
      </c>
      <c r="AJ156" s="69" t="inlineStr">
        <is>
          <t>RT</t>
        </is>
      </c>
      <c r="AK156" s="69" t="inlineStr">
        <is>
          <t>Anchored</t>
        </is>
      </c>
      <c r="AL156" s="68" t="n">
        <v>1</v>
      </c>
      <c r="AM156" s="68" t="n"/>
      <c r="AN156" s="68" t="n">
        <v>79291</v>
      </c>
      <c r="AO156" s="69" t="inlineStr">
        <is>
          <t>2015</t>
        </is>
      </c>
      <c r="AP156" s="70" t="n">
        <v>2015</v>
      </c>
      <c r="AQ156" s="74" t="n">
        <v>1.41</v>
      </c>
      <c r="AR156" s="74" t="n">
        <v>1.71</v>
      </c>
      <c r="AS156" s="74" t="n">
        <v>65.2</v>
      </c>
      <c r="AT156" s="74" t="n">
        <v>57.26</v>
      </c>
      <c r="AU156" s="74" t="n">
        <v>55</v>
      </c>
      <c r="AV156" s="74" t="n">
        <v>9.064367691999999</v>
      </c>
      <c r="AW156" s="74" t="n">
        <v>11.001115169</v>
      </c>
      <c r="AX156" s="75" t="n">
        <v>100</v>
      </c>
      <c r="AY156" s="71" t="n">
        <v>14960000</v>
      </c>
      <c r="AZ156" s="71" t="n">
        <v>14960000</v>
      </c>
      <c r="BA156" s="71" t="n">
        <v>883775.85</v>
      </c>
      <c r="BB156" s="71" t="n">
        <v>268047.54</v>
      </c>
      <c r="BC156" s="69" t="inlineStr">
        <is>
          <t>Refinance</t>
        </is>
      </c>
      <c r="BD156" s="69" t="inlineStr">
        <is>
          <t>N</t>
        </is>
      </c>
      <c r="BE156" s="71" t="n"/>
      <c r="BF156" s="71" t="n"/>
      <c r="BG156" s="71" t="n"/>
      <c r="BH156" s="71" t="n">
        <v>0</v>
      </c>
      <c r="BI156" s="71" t="n">
        <v>0</v>
      </c>
      <c r="BJ156" s="69" t="inlineStr">
        <is>
          <t>N</t>
        </is>
      </c>
      <c r="BK156" s="69" t="inlineStr">
        <is>
          <t>Academy Sports + Outdoors</t>
        </is>
      </c>
      <c r="BL156" s="75" t="n">
        <v>79.14</v>
      </c>
      <c r="BM156" s="73" t="n">
        <v>48091</v>
      </c>
      <c r="BN156" s="69" t="inlineStr">
        <is>
          <t>Alan P. Shor; David C. Wilson; Steven A. Lieberman</t>
        </is>
      </c>
      <c r="BO156" s="69" t="inlineStr">
        <is>
          <t>Wells Fargo</t>
        </is>
      </c>
      <c r="BP156" s="69" t="inlineStr">
        <is>
          <t>TriMont Real Estate Advisors</t>
        </is>
      </c>
      <c r="BQ156" s="69" t="inlineStr">
        <is>
          <t>K-Star Asset Management LLC</t>
        </is>
      </c>
      <c r="BR156" s="69" t="n"/>
      <c r="BS156" s="73" t="n">
        <v>46276</v>
      </c>
      <c r="BU156" s="76">
        <f>IF($C156="","",IFERROR(INDEX(dmName,MATCH($C156,dmID,0)),"Unmapped"))</f>
        <v/>
      </c>
      <c r="BV156" s="76">
        <f>IF($C156="","",IFERROR(INDEX(dmEntity,MATCH($C156,dmID,0)),"Unmapped"))</f>
        <v/>
      </c>
      <c r="BW156" s="77">
        <f>IF($C156="","",IFERROR(INDEX(dmVintage,MATCH($C156,dmID,0)),""))</f>
        <v/>
      </c>
      <c r="BX156" s="78">
        <f>IFERROR(INDEX(dmInclude,MATCH($C156,dmID,0)),0)</f>
        <v/>
      </c>
      <c r="BY156" s="78">
        <f>IF(N($I156)&gt;0,1,0)</f>
        <v/>
      </c>
      <c r="BZ156" s="76">
        <f>IF($AJ156="","Other / Leased Fee",IFERROR(INDEX(mapPTGroup,MATCH(LEFT(TRIM($AJ156),2),mapPTCode,0)),"Other / Leased Fee"))</f>
        <v/>
      </c>
      <c r="CA156" s="76">
        <f>IF(TRIM($AF156&amp;"")="","NR",LEFT(TRIM($AF156),2))</f>
        <v/>
      </c>
      <c r="CB156" s="76">
        <f>IFERROR(LOOKUP(2,1/(LEFT(TRIM($AI156&amp;""),LEN(mapRegion))=mapRegion),mapRegion),"Not Reported")</f>
        <v/>
      </c>
      <c r="CC156" s="76">
        <f>IF($BY156=0,"",IF(TRIM($W156&amp;"")="REO","REO",IF(TRIM($W156&amp;"")="FC","Foreclosure",IF(TRIM($W156&amp;"")="90+","90+ Days Delinquent",IF(TRIM($W156&amp;"")="60","60 Days Delinquent",IF(TRIM($W156&amp;"")="30","30 Days Delinquent",IF($X156="Non-Performing Matured Balloon","Non-Performing Matured Balloon",IF(OR($X156="Late Payment But Less Than 30 Days Delinquent",LEFT($X156&amp;"",20)="Payment Not Received"),"Late / In Grace (&lt;30 Days)",IF($X156="Performing Matured Balloon","Performing Matured Balloon","Current")))))))))</f>
        <v/>
      </c>
      <c r="CD156" s="78">
        <f>IF(OR($CC156="REO",$CC156="Foreclosure",$CC156="90+ Days Delinquent",$CC156="60 Days Delinquent",$CC156="30 Days Delinquent",$CC156="Non-Performing Matured Balloon"),1,0)</f>
        <v/>
      </c>
      <c r="CE156" s="76">
        <f>IF($AB156="Currently special serv","Currently Specially Serviced",IF($AB156="Returned to master serv","Previously Specially Serviced","Never Specially Serviced"))</f>
        <v/>
      </c>
      <c r="CF156" s="78">
        <f>IF($CE156="Currently Specially Serviced",1,0)</f>
        <v/>
      </c>
      <c r="CG156" s="76">
        <f>IF($AA156="Yes","Currently on Watchlist",IF($AA156="Previously","Previously on Watchlist","Never on Watchlist"))</f>
        <v/>
      </c>
      <c r="CH156" s="78">
        <f>IF($CG156="Currently on Watchlist",1,0)</f>
        <v/>
      </c>
      <c r="CI156" s="76">
        <f>IF($Z156="Full Defeasance","Fully Defeased",IF($Z156="Portion Of Loan Previously Defeased","Partially Defeased",IF($Z156="Defeasance Not Allowable","Not Defeased (Not Permitted)","Not Defeased")))</f>
        <v/>
      </c>
      <c r="CJ156" s="78">
        <f>IF($CI156="Fully Defeased",1,0)</f>
        <v/>
      </c>
      <c r="CK156" s="76">
        <f>IF($R156="IO","Full IO",IF(LEFT($R156&amp;"",7)="IO then","Partial IO","Amortizing"))</f>
        <v/>
      </c>
      <c r="CL156" s="78">
        <f>IF($CK156="Full IO",1,0)</f>
        <v/>
      </c>
      <c r="CM156" s="78">
        <f>IF($CK156="Partial IO",1,0)</f>
        <v/>
      </c>
      <c r="CN156" s="76">
        <f>IF(LEFT($F156&amp;"",10)="SPLIT_LOAN","Pari Passu Split","Standalone")</f>
        <v/>
      </c>
      <c r="CO156" s="78">
        <f>IF($CN156="Pari Passu Split",1,0)</f>
        <v/>
      </c>
      <c r="CP156" s="77">
        <f>IF(ISNUMBER($T156),YEAR($T156),"")</f>
        <v/>
      </c>
      <c r="CQ156" s="79">
        <f>IF(ISNUMBER($V156),$V156,IF(ISNUMBER($U156),$U156,""))</f>
        <v/>
      </c>
      <c r="CR156" s="77">
        <f>IF(ISNUMBER($CQ156),YEAR($CQ156),"")</f>
        <v/>
      </c>
      <c r="CS156" s="78">
        <f>IF(ISNUMBER($M156),MAX(0,$M156),IF(TRIM($M156&amp;"")="matured",0,""))</f>
        <v/>
      </c>
      <c r="CT156" s="78">
        <f>IF(AND(ISNUMBER($CS156),N($CS156)&lt;=mMatWindow),1,0)</f>
        <v/>
      </c>
      <c r="CU156" s="80">
        <f>IF(ISNUMBER($J156),$J156/100,"")</f>
        <v/>
      </c>
      <c r="CV156" s="81">
        <f>IF(ISNUMBER($AQ156),$AQ156,"")</f>
        <v/>
      </c>
      <c r="CW156" s="81">
        <f>IF(ISNUMBER($AR156),$AR156,"")</f>
        <v/>
      </c>
      <c r="CX156" s="82">
        <f>IF(ISNUMBER($AS156),$AS156/100,"")</f>
        <v/>
      </c>
      <c r="CY156" s="82">
        <f>IF(ISNUMBER($AT156),$AT156/100,"")</f>
        <v/>
      </c>
      <c r="CZ156" s="82">
        <f>IF(ISNUMBER($AU156),$AU156/100,"")</f>
        <v/>
      </c>
      <c r="DA156" s="82">
        <f>IF(ISNUMBER($AV156),$AV156/100,"")</f>
        <v/>
      </c>
      <c r="DB156" s="82">
        <f>IF(ISNUMBER($AW156),$AW156/100,"")</f>
        <v/>
      </c>
      <c r="DC156" s="82">
        <f>IF(ISNUMBER($AX156),$AX156/100,"")</f>
        <v/>
      </c>
      <c r="DD156" s="77">
        <f>IFERROR(VALUE(LEFT(TRIM($AO156&amp;""),4)),"")</f>
        <v/>
      </c>
      <c r="DE156" s="78">
        <f>IF(AND($BY156=1,$BX156=1,OR(fDeal="All Deals",$BU156=fDeal),OR(fEntity="All Entities",$BV156=fEntity),OR(fPType="All Property Types",$BZ156=fPType),OR(fDefeased="Include",$CJ156=0)),1,0)</f>
        <v/>
      </c>
      <c r="DF156" s="83">
        <f>$DE156*N($I156)</f>
        <v/>
      </c>
      <c r="DG156" s="78">
        <f>IF($DE156=1,IF(COUNTIFS($F$8:$F156,$F156,$DE$8:$DE156,1)=1,1,0),0)</f>
        <v/>
      </c>
      <c r="DH156" s="83">
        <f>IF($DG156=1,SUMIFS($DF$8:$DF$1600,$F$8:$F$1600,$F156),0)</f>
        <v/>
      </c>
      <c r="DI156" s="78">
        <f>IF($DG156=1,COUNTIFS($F$8:$F$1600,$F156,$DE$8:$DE$1600,1),0)</f>
        <v/>
      </c>
      <c r="DJ156" s="84">
        <f>IF($DG156=1,$DH156+(100000-ROW())/mTieBreak,0)</f>
        <v/>
      </c>
    </row>
    <row r="157">
      <c r="B157" s="68" t="n">
        <v>34</v>
      </c>
      <c r="C157" s="69" t="inlineStr">
        <is>
          <t>WFC18C47</t>
        </is>
      </c>
      <c r="D157" s="69" t="inlineStr">
        <is>
          <t>34.000</t>
        </is>
      </c>
      <c r="E157" s="69" t="inlineStr">
        <is>
          <t>Shady Park</t>
        </is>
      </c>
      <c r="F157" s="69" t="inlineStr">
        <is>
          <t>LNWFC18C47-34.000</t>
        </is>
      </c>
      <c r="G157" s="70" t="n"/>
      <c r="H157" s="71" t="n">
        <v>9710000</v>
      </c>
      <c r="I157" s="71" t="n">
        <v>9269029.88999732</v>
      </c>
      <c r="J157" s="72" t="n">
        <v>4.86</v>
      </c>
      <c r="K157" s="69" t="inlineStr">
        <is>
          <t>Fixed rate</t>
        </is>
      </c>
      <c r="L157" s="68" t="n">
        <v>117</v>
      </c>
      <c r="M157" s="68" t="n">
        <v>21</v>
      </c>
      <c r="N157" s="68" t="n">
        <v>420</v>
      </c>
      <c r="O157" s="68" t="n">
        <v>60</v>
      </c>
      <c r="P157" s="68" t="n">
        <v>0</v>
      </c>
      <c r="Q157" s="68" t="n">
        <v>96</v>
      </c>
      <c r="R157" s="69" t="inlineStr">
        <is>
          <t>IO then Amort</t>
        </is>
      </c>
      <c r="S157" s="69" t="inlineStr">
        <is>
          <t>No</t>
        </is>
      </c>
      <c r="T157" s="73" t="n">
        <v>43344</v>
      </c>
      <c r="U157" s="73" t="n">
        <v>46910</v>
      </c>
      <c r="V157" s="73" t="n"/>
      <c r="W157" s="69" t="n"/>
      <c r="X157" s="69" t="inlineStr">
        <is>
          <t>Current</t>
        </is>
      </c>
      <c r="Y157" s="68" t="n"/>
      <c r="Z157" s="69" t="inlineStr">
        <is>
          <t>Full Defeasance</t>
        </is>
      </c>
      <c r="AA157" s="69" t="n"/>
      <c r="AB157" s="69" t="inlineStr">
        <is>
          <t>Never special serv</t>
        </is>
      </c>
      <c r="AC157" s="73" t="n"/>
      <c r="AD157" s="69" t="n"/>
      <c r="AE157" s="69" t="n"/>
      <c r="AF157" s="69" t="inlineStr">
        <is>
          <t>DE</t>
        </is>
      </c>
      <c r="AG157" s="69" t="inlineStr">
        <is>
          <t>Selbyville</t>
        </is>
      </c>
      <c r="AH157" s="69" t="inlineStr">
        <is>
          <t>Seaford, DE</t>
        </is>
      </c>
      <c r="AI157" s="69" t="inlineStr">
        <is>
          <t>South / Atlantic</t>
        </is>
      </c>
      <c r="AJ157" s="69" t="inlineStr">
        <is>
          <t>MH</t>
        </is>
      </c>
      <c r="AK157" s="69" t="n"/>
      <c r="AL157" s="68" t="n">
        <v>1</v>
      </c>
      <c r="AM157" s="68" t="n">
        <v>304</v>
      </c>
      <c r="AN157" s="68" t="n"/>
      <c r="AO157" s="69" t="inlineStr">
        <is>
          <t>1970</t>
        </is>
      </c>
      <c r="AP157" s="70" t="n">
        <v>1970</v>
      </c>
      <c r="AQ157" s="74" t="n">
        <v>1.34</v>
      </c>
      <c r="AR157" s="74" t="n">
        <v>2.23</v>
      </c>
      <c r="AS157" s="74" t="n">
        <v>60.3</v>
      </c>
      <c r="AT157" s="74" t="n">
        <v>57.57</v>
      </c>
      <c r="AU157" s="74" t="n">
        <v>55.5</v>
      </c>
      <c r="AV157" s="74" t="n">
        <v>8.473749022</v>
      </c>
      <c r="AW157" s="74" t="n">
        <v>13.606493505</v>
      </c>
      <c r="AX157" s="75" t="n">
        <v>100</v>
      </c>
      <c r="AY157" s="71" t="n">
        <v>16100000</v>
      </c>
      <c r="AZ157" s="71" t="n">
        <v>16100000</v>
      </c>
      <c r="BA157" s="71" t="n">
        <v>822801.03</v>
      </c>
      <c r="BB157" s="71" t="n">
        <v>685170.47</v>
      </c>
      <c r="BC157" s="69" t="inlineStr">
        <is>
          <t>Acquisition</t>
        </is>
      </c>
      <c r="BD157" s="69" t="inlineStr">
        <is>
          <t>N</t>
        </is>
      </c>
      <c r="BE157" s="71" t="n"/>
      <c r="BF157" s="71" t="n"/>
      <c r="BG157" s="71" t="n"/>
      <c r="BH157" s="71" t="n">
        <v>0</v>
      </c>
      <c r="BI157" s="71" t="n">
        <v>0</v>
      </c>
      <c r="BJ157" s="69" t="inlineStr">
        <is>
          <t>N</t>
        </is>
      </c>
      <c r="BK157" s="69" t="n"/>
      <c r="BL157" s="75" t="n"/>
      <c r="BM157" s="73" t="n"/>
      <c r="BN157" s="69" t="inlineStr">
        <is>
          <t>Ross H. Patrich</t>
        </is>
      </c>
      <c r="BO157" s="69" t="inlineStr">
        <is>
          <t>Barclays</t>
        </is>
      </c>
      <c r="BP157" s="69" t="inlineStr">
        <is>
          <t>TriMont Real Estate Advisors</t>
        </is>
      </c>
      <c r="BQ157" s="69" t="inlineStr">
        <is>
          <t>K-Star Asset Management LLC</t>
        </is>
      </c>
      <c r="BR157" s="69" t="n"/>
      <c r="BS157" s="73" t="n">
        <v>46276</v>
      </c>
      <c r="BU157" s="76">
        <f>IF($C157="","",IFERROR(INDEX(dmName,MATCH($C157,dmID,0)),"Unmapped"))</f>
        <v/>
      </c>
      <c r="BV157" s="76">
        <f>IF($C157="","",IFERROR(INDEX(dmEntity,MATCH($C157,dmID,0)),"Unmapped"))</f>
        <v/>
      </c>
      <c r="BW157" s="77">
        <f>IF($C157="","",IFERROR(INDEX(dmVintage,MATCH($C157,dmID,0)),""))</f>
        <v/>
      </c>
      <c r="BX157" s="78">
        <f>IFERROR(INDEX(dmInclude,MATCH($C157,dmID,0)),0)</f>
        <v/>
      </c>
      <c r="BY157" s="78">
        <f>IF(N($I157)&gt;0,1,0)</f>
        <v/>
      </c>
      <c r="BZ157" s="76">
        <f>IF($AJ157="","Other / Leased Fee",IFERROR(INDEX(mapPTGroup,MATCH(LEFT(TRIM($AJ157),2),mapPTCode,0)),"Other / Leased Fee"))</f>
        <v/>
      </c>
      <c r="CA157" s="76">
        <f>IF(TRIM($AF157&amp;"")="","NR",LEFT(TRIM($AF157),2))</f>
        <v/>
      </c>
      <c r="CB157" s="76">
        <f>IFERROR(LOOKUP(2,1/(LEFT(TRIM($AI157&amp;""),LEN(mapRegion))=mapRegion),mapRegion),"Not Reported")</f>
        <v/>
      </c>
      <c r="CC157" s="76">
        <f>IF($BY157=0,"",IF(TRIM($W157&amp;"")="REO","REO",IF(TRIM($W157&amp;"")="FC","Foreclosure",IF(TRIM($W157&amp;"")="90+","90+ Days Delinquent",IF(TRIM($W157&amp;"")="60","60 Days Delinquent",IF(TRIM($W157&amp;"")="30","30 Days Delinquent",IF($X157="Non-Performing Matured Balloon","Non-Performing Matured Balloon",IF(OR($X157="Late Payment But Less Than 30 Days Delinquent",LEFT($X157&amp;"",20)="Payment Not Received"),"Late / In Grace (&lt;30 Days)",IF($X157="Performing Matured Balloon","Performing Matured Balloon","Current")))))))))</f>
        <v/>
      </c>
      <c r="CD157" s="78">
        <f>IF(OR($CC157="REO",$CC157="Foreclosure",$CC157="90+ Days Delinquent",$CC157="60 Days Delinquent",$CC157="30 Days Delinquent",$CC157="Non-Performing Matured Balloon"),1,0)</f>
        <v/>
      </c>
      <c r="CE157" s="76">
        <f>IF($AB157="Currently special serv","Currently Specially Serviced",IF($AB157="Returned to master serv","Previously Specially Serviced","Never Specially Serviced"))</f>
        <v/>
      </c>
      <c r="CF157" s="78">
        <f>IF($CE157="Currently Specially Serviced",1,0)</f>
        <v/>
      </c>
      <c r="CG157" s="76">
        <f>IF($AA157="Yes","Currently on Watchlist",IF($AA157="Previously","Previously on Watchlist","Never on Watchlist"))</f>
        <v/>
      </c>
      <c r="CH157" s="78">
        <f>IF($CG157="Currently on Watchlist",1,0)</f>
        <v/>
      </c>
      <c r="CI157" s="76">
        <f>IF($Z157="Full Defeasance","Fully Defeased",IF($Z157="Portion Of Loan Previously Defeased","Partially Defeased",IF($Z157="Defeasance Not Allowable","Not Defeased (Not Permitted)","Not Defeased")))</f>
        <v/>
      </c>
      <c r="CJ157" s="78">
        <f>IF($CI157="Fully Defeased",1,0)</f>
        <v/>
      </c>
      <c r="CK157" s="76">
        <f>IF($R157="IO","Full IO",IF(LEFT($R157&amp;"",7)="IO then","Partial IO","Amortizing"))</f>
        <v/>
      </c>
      <c r="CL157" s="78">
        <f>IF($CK157="Full IO",1,0)</f>
        <v/>
      </c>
      <c r="CM157" s="78">
        <f>IF($CK157="Partial IO",1,0)</f>
        <v/>
      </c>
      <c r="CN157" s="76">
        <f>IF(LEFT($F157&amp;"",10)="SPLIT_LOAN","Pari Passu Split","Standalone")</f>
        <v/>
      </c>
      <c r="CO157" s="78">
        <f>IF($CN157="Pari Passu Split",1,0)</f>
        <v/>
      </c>
      <c r="CP157" s="77">
        <f>IF(ISNUMBER($T157),YEAR($T157),"")</f>
        <v/>
      </c>
      <c r="CQ157" s="79">
        <f>IF(ISNUMBER($V157),$V157,IF(ISNUMBER($U157),$U157,""))</f>
        <v/>
      </c>
      <c r="CR157" s="77">
        <f>IF(ISNUMBER($CQ157),YEAR($CQ157),"")</f>
        <v/>
      </c>
      <c r="CS157" s="78">
        <f>IF(ISNUMBER($M157),MAX(0,$M157),IF(TRIM($M157&amp;"")="matured",0,""))</f>
        <v/>
      </c>
      <c r="CT157" s="78">
        <f>IF(AND(ISNUMBER($CS157),N($CS157)&lt;=mMatWindow),1,0)</f>
        <v/>
      </c>
      <c r="CU157" s="80">
        <f>IF(ISNUMBER($J157),$J157/100,"")</f>
        <v/>
      </c>
      <c r="CV157" s="81">
        <f>IF(ISNUMBER($AQ157),$AQ157,"")</f>
        <v/>
      </c>
      <c r="CW157" s="81">
        <f>IF(ISNUMBER($AR157),$AR157,"")</f>
        <v/>
      </c>
      <c r="CX157" s="82">
        <f>IF(ISNUMBER($AS157),$AS157/100,"")</f>
        <v/>
      </c>
      <c r="CY157" s="82">
        <f>IF(ISNUMBER($AT157),$AT157/100,"")</f>
        <v/>
      </c>
      <c r="CZ157" s="82">
        <f>IF(ISNUMBER($AU157),$AU157/100,"")</f>
        <v/>
      </c>
      <c r="DA157" s="82">
        <f>IF(ISNUMBER($AV157),$AV157/100,"")</f>
        <v/>
      </c>
      <c r="DB157" s="82">
        <f>IF(ISNUMBER($AW157),$AW157/100,"")</f>
        <v/>
      </c>
      <c r="DC157" s="82">
        <f>IF(ISNUMBER($AX157),$AX157/100,"")</f>
        <v/>
      </c>
      <c r="DD157" s="77">
        <f>IFERROR(VALUE(LEFT(TRIM($AO157&amp;""),4)),"")</f>
        <v/>
      </c>
      <c r="DE157" s="78">
        <f>IF(AND($BY157=1,$BX157=1,OR(fDeal="All Deals",$BU157=fDeal),OR(fEntity="All Entities",$BV157=fEntity),OR(fPType="All Property Types",$BZ157=fPType),OR(fDefeased="Include",$CJ157=0)),1,0)</f>
        <v/>
      </c>
      <c r="DF157" s="83">
        <f>$DE157*N($I157)</f>
        <v/>
      </c>
      <c r="DG157" s="78">
        <f>IF($DE157=1,IF(COUNTIFS($F$8:$F157,$F157,$DE$8:$DE157,1)=1,1,0),0)</f>
        <v/>
      </c>
      <c r="DH157" s="83">
        <f>IF($DG157=1,SUMIFS($DF$8:$DF$1600,$F$8:$F$1600,$F157),0)</f>
        <v/>
      </c>
      <c r="DI157" s="78">
        <f>IF($DG157=1,COUNTIFS($F$8:$F$1600,$F157,$DE$8:$DE$1600,1),0)</f>
        <v/>
      </c>
      <c r="DJ157" s="84">
        <f>IF($DG157=1,$DH157+(100000-ROW())/mTieBreak,0)</f>
        <v/>
      </c>
    </row>
    <row r="158">
      <c r="B158" s="68" t="n">
        <v>35</v>
      </c>
      <c r="C158" s="69" t="inlineStr">
        <is>
          <t>WFC18C47</t>
        </is>
      </c>
      <c r="D158" s="69" t="inlineStr">
        <is>
          <t>35.000</t>
        </is>
      </c>
      <c r="E158" s="69" t="inlineStr">
        <is>
          <t>Courtyard by Marriott Deptford</t>
        </is>
      </c>
      <c r="F158" s="69" t="inlineStr">
        <is>
          <t>LNWFC18C47-35.000</t>
        </is>
      </c>
      <c r="G158" s="70" t="n"/>
      <c r="H158" s="71" t="n">
        <v>9700000</v>
      </c>
      <c r="I158" s="71" t="n">
        <v>7121434.370004101</v>
      </c>
      <c r="J158" s="72" t="n">
        <v>5.48</v>
      </c>
      <c r="K158" s="69" t="inlineStr">
        <is>
          <t>Fixed rate</t>
        </is>
      </c>
      <c r="L158" s="68" t="n">
        <v>120</v>
      </c>
      <c r="M158" s="68" t="n">
        <v>25</v>
      </c>
      <c r="N158" s="68" t="n">
        <v>240</v>
      </c>
      <c r="O158" s="68" t="n"/>
      <c r="P158" s="68" t="n"/>
      <c r="Q158" s="68" t="n">
        <v>95</v>
      </c>
      <c r="R158" s="69" t="n"/>
      <c r="S158" s="69" t="inlineStr">
        <is>
          <t>No</t>
        </is>
      </c>
      <c r="T158" s="73" t="n">
        <v>43374</v>
      </c>
      <c r="U158" s="73" t="n">
        <v>47037</v>
      </c>
      <c r="V158" s="73" t="n"/>
      <c r="W158" s="69" t="n"/>
      <c r="X158" s="69" t="inlineStr">
        <is>
          <t>Current</t>
        </is>
      </c>
      <c r="Y158" s="68" t="n"/>
      <c r="Z158" s="69" t="inlineStr">
        <is>
          <t>No Defeasance Occurred</t>
        </is>
      </c>
      <c r="AA158" s="69" t="inlineStr">
        <is>
          <t>Previously</t>
        </is>
      </c>
      <c r="AB158" s="69" t="inlineStr">
        <is>
          <t>Never special serv</t>
        </is>
      </c>
      <c r="AC158" s="73" t="n"/>
      <c r="AD158" s="69" t="n"/>
      <c r="AE158" s="69" t="n"/>
      <c r="AF158" s="69" t="inlineStr">
        <is>
          <t>NJ</t>
        </is>
      </c>
      <c r="AG158" s="69" t="inlineStr">
        <is>
          <t>Deptford Township</t>
        </is>
      </c>
      <c r="AH158" s="69" t="inlineStr">
        <is>
          <t>Philadelphia-Camden-Wilmington, PA-NJ-DE-MD</t>
        </is>
      </c>
      <c r="AI158" s="69" t="inlineStr">
        <is>
          <t>Northeast / Mid-Atlantic</t>
        </is>
      </c>
      <c r="AJ158" s="69" t="inlineStr">
        <is>
          <t>HT</t>
        </is>
      </c>
      <c r="AK158" s="69" t="inlineStr">
        <is>
          <t>Limited Service</t>
        </is>
      </c>
      <c r="AL158" s="68" t="n">
        <v>1</v>
      </c>
      <c r="AM158" s="68" t="n">
        <v>108</v>
      </c>
      <c r="AN158" s="68" t="n"/>
      <c r="AO158" s="69" t="inlineStr">
        <is>
          <t>2017</t>
        </is>
      </c>
      <c r="AP158" s="70" t="n">
        <v>2017</v>
      </c>
      <c r="AQ158" s="74" t="n">
        <v>1.52</v>
      </c>
      <c r="AR158" s="74" t="n">
        <v>1.69</v>
      </c>
      <c r="AS158" s="74" t="n">
        <v>55.7</v>
      </c>
      <c r="AT158" s="74" t="n">
        <v>40.93</v>
      </c>
      <c r="AU158" s="74" t="n">
        <v>35.8</v>
      </c>
      <c r="AV158" s="74" t="n">
        <v>12.561891237</v>
      </c>
      <c r="AW158" s="74" t="n">
        <v>19.16566634</v>
      </c>
      <c r="AX158" s="75" t="n">
        <v>61</v>
      </c>
      <c r="AY158" s="71" t="n">
        <v>17400000</v>
      </c>
      <c r="AZ158" s="71" t="n">
        <v>17400000</v>
      </c>
      <c r="BA158" s="71" t="n">
        <v>1218503.45</v>
      </c>
      <c r="BB158" s="71" t="n">
        <v>1350966.43</v>
      </c>
      <c r="BC158" s="69" t="inlineStr">
        <is>
          <t>Refinance</t>
        </is>
      </c>
      <c r="BD158" s="69" t="inlineStr">
        <is>
          <t>N</t>
        </is>
      </c>
      <c r="BE158" s="71" t="n"/>
      <c r="BF158" s="71" t="n"/>
      <c r="BG158" s="71" t="n"/>
      <c r="BH158" s="71" t="n">
        <v>0</v>
      </c>
      <c r="BI158" s="71" t="n">
        <v>0</v>
      </c>
      <c r="BJ158" s="69" t="inlineStr">
        <is>
          <t>Y</t>
        </is>
      </c>
      <c r="BK158" s="69" t="n"/>
      <c r="BL158" s="75" t="n"/>
      <c r="BM158" s="73" t="n"/>
      <c r="BN158" s="69" t="inlineStr">
        <is>
          <t>Ajesh Patel</t>
        </is>
      </c>
      <c r="BO158" s="69" t="inlineStr">
        <is>
          <t>CIII Capital</t>
        </is>
      </c>
      <c r="BP158" s="69" t="inlineStr">
        <is>
          <t>TriMont Real Estate Advisors</t>
        </is>
      </c>
      <c r="BQ158" s="69" t="inlineStr">
        <is>
          <t>K-Star Asset Management LLC</t>
        </is>
      </c>
      <c r="BR158" s="69" t="n"/>
      <c r="BS158" s="73" t="n">
        <v>46276</v>
      </c>
      <c r="BU158" s="76">
        <f>IF($C158="","",IFERROR(INDEX(dmName,MATCH($C158,dmID,0)),"Unmapped"))</f>
        <v/>
      </c>
      <c r="BV158" s="76">
        <f>IF($C158="","",IFERROR(INDEX(dmEntity,MATCH($C158,dmID,0)),"Unmapped"))</f>
        <v/>
      </c>
      <c r="BW158" s="77">
        <f>IF($C158="","",IFERROR(INDEX(dmVintage,MATCH($C158,dmID,0)),""))</f>
        <v/>
      </c>
      <c r="BX158" s="78">
        <f>IFERROR(INDEX(dmInclude,MATCH($C158,dmID,0)),0)</f>
        <v/>
      </c>
      <c r="BY158" s="78">
        <f>IF(N($I158)&gt;0,1,0)</f>
        <v/>
      </c>
      <c r="BZ158" s="76">
        <f>IF($AJ158="","Other / Leased Fee",IFERROR(INDEX(mapPTGroup,MATCH(LEFT(TRIM($AJ158),2),mapPTCode,0)),"Other / Leased Fee"))</f>
        <v/>
      </c>
      <c r="CA158" s="76">
        <f>IF(TRIM($AF158&amp;"")="","NR",LEFT(TRIM($AF158),2))</f>
        <v/>
      </c>
      <c r="CB158" s="76">
        <f>IFERROR(LOOKUP(2,1/(LEFT(TRIM($AI158&amp;""),LEN(mapRegion))=mapRegion),mapRegion),"Not Reported")</f>
        <v/>
      </c>
      <c r="CC158" s="76">
        <f>IF($BY158=0,"",IF(TRIM($W158&amp;"")="REO","REO",IF(TRIM($W158&amp;"")="FC","Foreclosure",IF(TRIM($W158&amp;"")="90+","90+ Days Delinquent",IF(TRIM($W158&amp;"")="60","60 Days Delinquent",IF(TRIM($W158&amp;"")="30","30 Days Delinquent",IF($X158="Non-Performing Matured Balloon","Non-Performing Matured Balloon",IF(OR($X158="Late Payment But Less Than 30 Days Delinquent",LEFT($X158&amp;"",20)="Payment Not Received"),"Late / In Grace (&lt;30 Days)",IF($X158="Performing Matured Balloon","Performing Matured Balloon","Current")))))))))</f>
        <v/>
      </c>
      <c r="CD158" s="78">
        <f>IF(OR($CC158="REO",$CC158="Foreclosure",$CC158="90+ Days Delinquent",$CC158="60 Days Delinquent",$CC158="30 Days Delinquent",$CC158="Non-Performing Matured Balloon"),1,0)</f>
        <v/>
      </c>
      <c r="CE158" s="76">
        <f>IF($AB158="Currently special serv","Currently Specially Serviced",IF($AB158="Returned to master serv","Previously Specially Serviced","Never Specially Serviced"))</f>
        <v/>
      </c>
      <c r="CF158" s="78">
        <f>IF($CE158="Currently Specially Serviced",1,0)</f>
        <v/>
      </c>
      <c r="CG158" s="76">
        <f>IF($AA158="Yes","Currently on Watchlist",IF($AA158="Previously","Previously on Watchlist","Never on Watchlist"))</f>
        <v/>
      </c>
      <c r="CH158" s="78">
        <f>IF($CG158="Currently on Watchlist",1,0)</f>
        <v/>
      </c>
      <c r="CI158" s="76">
        <f>IF($Z158="Full Defeasance","Fully Defeased",IF($Z158="Portion Of Loan Previously Defeased","Partially Defeased",IF($Z158="Defeasance Not Allowable","Not Defeased (Not Permitted)","Not Defeased")))</f>
        <v/>
      </c>
      <c r="CJ158" s="78">
        <f>IF($CI158="Fully Defeased",1,0)</f>
        <v/>
      </c>
      <c r="CK158" s="76">
        <f>IF($R158="IO","Full IO",IF(LEFT($R158&amp;"",7)="IO then","Partial IO","Amortizing"))</f>
        <v/>
      </c>
      <c r="CL158" s="78">
        <f>IF($CK158="Full IO",1,0)</f>
        <v/>
      </c>
      <c r="CM158" s="78">
        <f>IF($CK158="Partial IO",1,0)</f>
        <v/>
      </c>
      <c r="CN158" s="76">
        <f>IF(LEFT($F158&amp;"",10)="SPLIT_LOAN","Pari Passu Split","Standalone")</f>
        <v/>
      </c>
      <c r="CO158" s="78">
        <f>IF($CN158="Pari Passu Split",1,0)</f>
        <v/>
      </c>
      <c r="CP158" s="77">
        <f>IF(ISNUMBER($T158),YEAR($T158),"")</f>
        <v/>
      </c>
      <c r="CQ158" s="79">
        <f>IF(ISNUMBER($V158),$V158,IF(ISNUMBER($U158),$U158,""))</f>
        <v/>
      </c>
      <c r="CR158" s="77">
        <f>IF(ISNUMBER($CQ158),YEAR($CQ158),"")</f>
        <v/>
      </c>
      <c r="CS158" s="78">
        <f>IF(ISNUMBER($M158),MAX(0,$M158),IF(TRIM($M158&amp;"")="matured",0,""))</f>
        <v/>
      </c>
      <c r="CT158" s="78">
        <f>IF(AND(ISNUMBER($CS158),N($CS158)&lt;=mMatWindow),1,0)</f>
        <v/>
      </c>
      <c r="CU158" s="80">
        <f>IF(ISNUMBER($J158),$J158/100,"")</f>
        <v/>
      </c>
      <c r="CV158" s="81">
        <f>IF(ISNUMBER($AQ158),$AQ158,"")</f>
        <v/>
      </c>
      <c r="CW158" s="81">
        <f>IF(ISNUMBER($AR158),$AR158,"")</f>
        <v/>
      </c>
      <c r="CX158" s="82">
        <f>IF(ISNUMBER($AS158),$AS158/100,"")</f>
        <v/>
      </c>
      <c r="CY158" s="82">
        <f>IF(ISNUMBER($AT158),$AT158/100,"")</f>
        <v/>
      </c>
      <c r="CZ158" s="82">
        <f>IF(ISNUMBER($AU158),$AU158/100,"")</f>
        <v/>
      </c>
      <c r="DA158" s="82">
        <f>IF(ISNUMBER($AV158),$AV158/100,"")</f>
        <v/>
      </c>
      <c r="DB158" s="82">
        <f>IF(ISNUMBER($AW158),$AW158/100,"")</f>
        <v/>
      </c>
      <c r="DC158" s="82">
        <f>IF(ISNUMBER($AX158),$AX158/100,"")</f>
        <v/>
      </c>
      <c r="DD158" s="77">
        <f>IFERROR(VALUE(LEFT(TRIM($AO158&amp;""),4)),"")</f>
        <v/>
      </c>
      <c r="DE158" s="78">
        <f>IF(AND($BY158=1,$BX158=1,OR(fDeal="All Deals",$BU158=fDeal),OR(fEntity="All Entities",$BV158=fEntity),OR(fPType="All Property Types",$BZ158=fPType),OR(fDefeased="Include",$CJ158=0)),1,0)</f>
        <v/>
      </c>
      <c r="DF158" s="83">
        <f>$DE158*N($I158)</f>
        <v/>
      </c>
      <c r="DG158" s="78">
        <f>IF($DE158=1,IF(COUNTIFS($F$8:$F158,$F158,$DE$8:$DE158,1)=1,1,0),0)</f>
        <v/>
      </c>
      <c r="DH158" s="83">
        <f>IF($DG158=1,SUMIFS($DF$8:$DF$1600,$F$8:$F$1600,$F158),0)</f>
        <v/>
      </c>
      <c r="DI158" s="78">
        <f>IF($DG158=1,COUNTIFS($F$8:$F$1600,$F158,$DE$8:$DE$1600,1),0)</f>
        <v/>
      </c>
      <c r="DJ158" s="84">
        <f>IF($DG158=1,$DH158+(100000-ROW())/mTieBreak,0)</f>
        <v/>
      </c>
    </row>
    <row r="159">
      <c r="B159" s="68" t="n">
        <v>36</v>
      </c>
      <c r="C159" s="69" t="inlineStr">
        <is>
          <t>WFC18C47</t>
        </is>
      </c>
      <c r="D159" s="69" t="inlineStr">
        <is>
          <t>36.000</t>
        </is>
      </c>
      <c r="E159" s="69" t="inlineStr">
        <is>
          <t>1685 Monroe Avenue</t>
        </is>
      </c>
      <c r="F159" s="69" t="inlineStr">
        <is>
          <t>LNWFC18C47-36.000</t>
        </is>
      </c>
      <c r="G159" s="70" t="n"/>
      <c r="H159" s="71" t="n">
        <v>9700000</v>
      </c>
      <c r="I159" s="71" t="n">
        <v>9700000</v>
      </c>
      <c r="J159" s="72" t="n">
        <v>5.465</v>
      </c>
      <c r="K159" s="69" t="inlineStr">
        <is>
          <t>Fixed rate</t>
        </is>
      </c>
      <c r="L159" s="68" t="n">
        <v>120</v>
      </c>
      <c r="M159" s="68" t="n">
        <v>24</v>
      </c>
      <c r="N159" s="68" t="n">
        <v>120</v>
      </c>
      <c r="O159" s="68" t="n">
        <v>120</v>
      </c>
      <c r="P159" s="68" t="n">
        <v>24</v>
      </c>
      <c r="Q159" s="68" t="n">
        <v>96</v>
      </c>
      <c r="R159" s="69" t="inlineStr">
        <is>
          <t>IO</t>
        </is>
      </c>
      <c r="S159" s="69" t="inlineStr">
        <is>
          <t>Yes</t>
        </is>
      </c>
      <c r="T159" s="73" t="n">
        <v>43344</v>
      </c>
      <c r="U159" s="73" t="n">
        <v>47002</v>
      </c>
      <c r="V159" s="73" t="n"/>
      <c r="W159" s="69" t="n"/>
      <c r="X159" s="69" t="inlineStr">
        <is>
          <t>Current</t>
        </is>
      </c>
      <c r="Y159" s="68" t="n"/>
      <c r="Z159" s="69" t="inlineStr">
        <is>
          <t>No Defeasance Occurred</t>
        </is>
      </c>
      <c r="AA159" s="69" t="inlineStr">
        <is>
          <t>Previously</t>
        </is>
      </c>
      <c r="AB159" s="69" t="inlineStr">
        <is>
          <t>Never special serv</t>
        </is>
      </c>
      <c r="AC159" s="73" t="n"/>
      <c r="AD159" s="69" t="n"/>
      <c r="AE159" s="69" t="n"/>
      <c r="AF159" s="69" t="inlineStr">
        <is>
          <t>NY</t>
        </is>
      </c>
      <c r="AG159" s="69" t="inlineStr">
        <is>
          <t>Bronx</t>
        </is>
      </c>
      <c r="AH159" s="69" t="inlineStr">
        <is>
          <t>New York-Newark-Jersey City, NY-NJ</t>
        </is>
      </c>
      <c r="AI159" s="69" t="inlineStr">
        <is>
          <t>Northeast / Mid-Atlantic</t>
        </is>
      </c>
      <c r="AJ159" s="69" t="inlineStr">
        <is>
          <t>MF</t>
        </is>
      </c>
      <c r="AK159" s="69" t="inlineStr">
        <is>
          <t>Mid Rise</t>
        </is>
      </c>
      <c r="AL159" s="68" t="n">
        <v>1</v>
      </c>
      <c r="AM159" s="68" t="n">
        <v>42</v>
      </c>
      <c r="AN159" s="68" t="n"/>
      <c r="AO159" s="69" t="inlineStr">
        <is>
          <t>2016</t>
        </is>
      </c>
      <c r="AP159" s="70" t="n">
        <v>2016</v>
      </c>
      <c r="AQ159" s="74" t="n">
        <v>1.24</v>
      </c>
      <c r="AR159" s="74" t="n">
        <v>1.19</v>
      </c>
      <c r="AS159" s="74" t="n">
        <v>65.09999999999999</v>
      </c>
      <c r="AT159" s="74" t="n">
        <v>65.09999999999999</v>
      </c>
      <c r="AU159" s="74" t="n">
        <v>65.09999999999999</v>
      </c>
      <c r="AV159" s="74" t="n">
        <v>6.851606289</v>
      </c>
      <c r="AW159" s="74" t="n">
        <v>6.560964124</v>
      </c>
      <c r="AX159" s="75" t="n">
        <v>98</v>
      </c>
      <c r="AY159" s="71" t="n">
        <v>14900000</v>
      </c>
      <c r="AZ159" s="71" t="n">
        <v>14900000</v>
      </c>
      <c r="BA159" s="71" t="n">
        <v>664605.8100000001</v>
      </c>
      <c r="BB159" s="71" t="n">
        <v>319598.02</v>
      </c>
      <c r="BC159" s="69" t="inlineStr">
        <is>
          <t>Refinance</t>
        </is>
      </c>
      <c r="BD159" s="69" t="inlineStr">
        <is>
          <t>N</t>
        </is>
      </c>
      <c r="BE159" s="71" t="n"/>
      <c r="BF159" s="71" t="n"/>
      <c r="BG159" s="71" t="n"/>
      <c r="BH159" s="71" t="n">
        <v>0</v>
      </c>
      <c r="BI159" s="71" t="n">
        <v>0</v>
      </c>
      <c r="BJ159" s="69" t="inlineStr">
        <is>
          <t>N</t>
        </is>
      </c>
      <c r="BK159" s="69" t="n"/>
      <c r="BL159" s="75" t="n"/>
      <c r="BM159" s="73" t="n"/>
      <c r="BN159" s="69" t="inlineStr">
        <is>
          <t>Ayush Kapahi; Michael Froning</t>
        </is>
      </c>
      <c r="BO159" s="69" t="inlineStr">
        <is>
          <t>Ladder Capital Finance</t>
        </is>
      </c>
      <c r="BP159" s="69" t="inlineStr">
        <is>
          <t>TriMont Real Estate Advisors</t>
        </is>
      </c>
      <c r="BQ159" s="69" t="inlineStr">
        <is>
          <t>K-Star Asset Management LLC</t>
        </is>
      </c>
      <c r="BR159" s="69" t="n"/>
      <c r="BS159" s="73" t="n">
        <v>46276</v>
      </c>
      <c r="BU159" s="76">
        <f>IF($C159="","",IFERROR(INDEX(dmName,MATCH($C159,dmID,0)),"Unmapped"))</f>
        <v/>
      </c>
      <c r="BV159" s="76">
        <f>IF($C159="","",IFERROR(INDEX(dmEntity,MATCH($C159,dmID,0)),"Unmapped"))</f>
        <v/>
      </c>
      <c r="BW159" s="77">
        <f>IF($C159="","",IFERROR(INDEX(dmVintage,MATCH($C159,dmID,0)),""))</f>
        <v/>
      </c>
      <c r="BX159" s="78">
        <f>IFERROR(INDEX(dmInclude,MATCH($C159,dmID,0)),0)</f>
        <v/>
      </c>
      <c r="BY159" s="78">
        <f>IF(N($I159)&gt;0,1,0)</f>
        <v/>
      </c>
      <c r="BZ159" s="76">
        <f>IF($AJ159="","Other / Leased Fee",IFERROR(INDEX(mapPTGroup,MATCH(LEFT(TRIM($AJ159),2),mapPTCode,0)),"Other / Leased Fee"))</f>
        <v/>
      </c>
      <c r="CA159" s="76">
        <f>IF(TRIM($AF159&amp;"")="","NR",LEFT(TRIM($AF159),2))</f>
        <v/>
      </c>
      <c r="CB159" s="76">
        <f>IFERROR(LOOKUP(2,1/(LEFT(TRIM($AI159&amp;""),LEN(mapRegion))=mapRegion),mapRegion),"Not Reported")</f>
        <v/>
      </c>
      <c r="CC159" s="76">
        <f>IF($BY159=0,"",IF(TRIM($W159&amp;"")="REO","REO",IF(TRIM($W159&amp;"")="FC","Foreclosure",IF(TRIM($W159&amp;"")="90+","90+ Days Delinquent",IF(TRIM($W159&amp;"")="60","60 Days Delinquent",IF(TRIM($W159&amp;"")="30","30 Days Delinquent",IF($X159="Non-Performing Matured Balloon","Non-Performing Matured Balloon",IF(OR($X159="Late Payment But Less Than 30 Days Delinquent",LEFT($X159&amp;"",20)="Payment Not Received"),"Late / In Grace (&lt;30 Days)",IF($X159="Performing Matured Balloon","Performing Matured Balloon","Current")))))))))</f>
        <v/>
      </c>
      <c r="CD159" s="78">
        <f>IF(OR($CC159="REO",$CC159="Foreclosure",$CC159="90+ Days Delinquent",$CC159="60 Days Delinquent",$CC159="30 Days Delinquent",$CC159="Non-Performing Matured Balloon"),1,0)</f>
        <v/>
      </c>
      <c r="CE159" s="76">
        <f>IF($AB159="Currently special serv","Currently Specially Serviced",IF($AB159="Returned to master serv","Previously Specially Serviced","Never Specially Serviced"))</f>
        <v/>
      </c>
      <c r="CF159" s="78">
        <f>IF($CE159="Currently Specially Serviced",1,0)</f>
        <v/>
      </c>
      <c r="CG159" s="76">
        <f>IF($AA159="Yes","Currently on Watchlist",IF($AA159="Previously","Previously on Watchlist","Never on Watchlist"))</f>
        <v/>
      </c>
      <c r="CH159" s="78">
        <f>IF($CG159="Currently on Watchlist",1,0)</f>
        <v/>
      </c>
      <c r="CI159" s="76">
        <f>IF($Z159="Full Defeasance","Fully Defeased",IF($Z159="Portion Of Loan Previously Defeased","Partially Defeased",IF($Z159="Defeasance Not Allowable","Not Defeased (Not Permitted)","Not Defeased")))</f>
        <v/>
      </c>
      <c r="CJ159" s="78">
        <f>IF($CI159="Fully Defeased",1,0)</f>
        <v/>
      </c>
      <c r="CK159" s="76">
        <f>IF($R159="IO","Full IO",IF(LEFT($R159&amp;"",7)="IO then","Partial IO","Amortizing"))</f>
        <v/>
      </c>
      <c r="CL159" s="78">
        <f>IF($CK159="Full IO",1,0)</f>
        <v/>
      </c>
      <c r="CM159" s="78">
        <f>IF($CK159="Partial IO",1,0)</f>
        <v/>
      </c>
      <c r="CN159" s="76">
        <f>IF(LEFT($F159&amp;"",10)="SPLIT_LOAN","Pari Passu Split","Standalone")</f>
        <v/>
      </c>
      <c r="CO159" s="78">
        <f>IF($CN159="Pari Passu Split",1,0)</f>
        <v/>
      </c>
      <c r="CP159" s="77">
        <f>IF(ISNUMBER($T159),YEAR($T159),"")</f>
        <v/>
      </c>
      <c r="CQ159" s="79">
        <f>IF(ISNUMBER($V159),$V159,IF(ISNUMBER($U159),$U159,""))</f>
        <v/>
      </c>
      <c r="CR159" s="77">
        <f>IF(ISNUMBER($CQ159),YEAR($CQ159),"")</f>
        <v/>
      </c>
      <c r="CS159" s="78">
        <f>IF(ISNUMBER($M159),MAX(0,$M159),IF(TRIM($M159&amp;"")="matured",0,""))</f>
        <v/>
      </c>
      <c r="CT159" s="78">
        <f>IF(AND(ISNUMBER($CS159),N($CS159)&lt;=mMatWindow),1,0)</f>
        <v/>
      </c>
      <c r="CU159" s="80">
        <f>IF(ISNUMBER($J159),$J159/100,"")</f>
        <v/>
      </c>
      <c r="CV159" s="81">
        <f>IF(ISNUMBER($AQ159),$AQ159,"")</f>
        <v/>
      </c>
      <c r="CW159" s="81">
        <f>IF(ISNUMBER($AR159),$AR159,"")</f>
        <v/>
      </c>
      <c r="CX159" s="82">
        <f>IF(ISNUMBER($AS159),$AS159/100,"")</f>
        <v/>
      </c>
      <c r="CY159" s="82">
        <f>IF(ISNUMBER($AT159),$AT159/100,"")</f>
        <v/>
      </c>
      <c r="CZ159" s="82">
        <f>IF(ISNUMBER($AU159),$AU159/100,"")</f>
        <v/>
      </c>
      <c r="DA159" s="82">
        <f>IF(ISNUMBER($AV159),$AV159/100,"")</f>
        <v/>
      </c>
      <c r="DB159" s="82">
        <f>IF(ISNUMBER($AW159),$AW159/100,"")</f>
        <v/>
      </c>
      <c r="DC159" s="82">
        <f>IF(ISNUMBER($AX159),$AX159/100,"")</f>
        <v/>
      </c>
      <c r="DD159" s="77">
        <f>IFERROR(VALUE(LEFT(TRIM($AO159&amp;""),4)),"")</f>
        <v/>
      </c>
      <c r="DE159" s="78">
        <f>IF(AND($BY159=1,$BX159=1,OR(fDeal="All Deals",$BU159=fDeal),OR(fEntity="All Entities",$BV159=fEntity),OR(fPType="All Property Types",$BZ159=fPType),OR(fDefeased="Include",$CJ159=0)),1,0)</f>
        <v/>
      </c>
      <c r="DF159" s="83">
        <f>$DE159*N($I159)</f>
        <v/>
      </c>
      <c r="DG159" s="78">
        <f>IF($DE159=1,IF(COUNTIFS($F$8:$F159,$F159,$DE$8:$DE159,1)=1,1,0),0)</f>
        <v/>
      </c>
      <c r="DH159" s="83">
        <f>IF($DG159=1,SUMIFS($DF$8:$DF$1600,$F$8:$F$1600,$F159),0)</f>
        <v/>
      </c>
      <c r="DI159" s="78">
        <f>IF($DG159=1,COUNTIFS($F$8:$F$1600,$F159,$DE$8:$DE$1600,1),0)</f>
        <v/>
      </c>
      <c r="DJ159" s="84">
        <f>IF($DG159=1,$DH159+(100000-ROW())/mTieBreak,0)</f>
        <v/>
      </c>
    </row>
    <row r="160">
      <c r="B160" s="68" t="n">
        <v>37</v>
      </c>
      <c r="C160" s="69" t="inlineStr">
        <is>
          <t>WFC18C47</t>
        </is>
      </c>
      <c r="D160" s="69" t="inlineStr">
        <is>
          <t>37.000</t>
        </is>
      </c>
      <c r="E160" s="69" t="inlineStr">
        <is>
          <t>Browning Business Center</t>
        </is>
      </c>
      <c r="F160" s="69" t="inlineStr">
        <is>
          <t>LNWFC18C47-37.000</t>
        </is>
      </c>
      <c r="G160" s="70" t="n"/>
      <c r="H160" s="71" t="n">
        <v>9500000</v>
      </c>
      <c r="I160" s="71" t="n">
        <v>5220532.7099965</v>
      </c>
      <c r="J160" s="72" t="n">
        <v>4.745</v>
      </c>
      <c r="K160" s="69" t="inlineStr">
        <is>
          <t>Fixed rate</t>
        </is>
      </c>
      <c r="L160" s="68" t="n">
        <v>120</v>
      </c>
      <c r="M160" s="68" t="n">
        <v>23</v>
      </c>
      <c r="N160" s="68" t="n">
        <v>384</v>
      </c>
      <c r="O160" s="68" t="n">
        <v>24</v>
      </c>
      <c r="P160" s="68" t="n">
        <v>0</v>
      </c>
      <c r="Q160" s="68" t="n">
        <v>97</v>
      </c>
      <c r="R160" s="69" t="inlineStr">
        <is>
          <t>IO then Amort</t>
        </is>
      </c>
      <c r="S160" s="69" t="inlineStr">
        <is>
          <t>No</t>
        </is>
      </c>
      <c r="T160" s="73" t="n">
        <v>43313</v>
      </c>
      <c r="U160" s="73" t="n">
        <v>46976</v>
      </c>
      <c r="V160" s="73" t="n"/>
      <c r="W160" s="69" t="n"/>
      <c r="X160" s="69" t="inlineStr">
        <is>
          <t>Current</t>
        </is>
      </c>
      <c r="Y160" s="68" t="n"/>
      <c r="Z160" s="69" t="inlineStr">
        <is>
          <t>No Defeasance Occurred</t>
        </is>
      </c>
      <c r="AA160" s="69" t="inlineStr">
        <is>
          <t>Yes</t>
        </is>
      </c>
      <c r="AB160" s="69" t="inlineStr">
        <is>
          <t>Never special serv</t>
        </is>
      </c>
      <c r="AC160" s="73" t="n"/>
      <c r="AD160" s="69" t="n"/>
      <c r="AE160" s="69" t="n"/>
      <c r="AF160" s="69" t="inlineStr">
        <is>
          <t>SC</t>
        </is>
      </c>
      <c r="AG160" s="69" t="inlineStr">
        <is>
          <t>Columbia</t>
        </is>
      </c>
      <c r="AH160" s="69" t="inlineStr">
        <is>
          <t>Columbia, SC</t>
        </is>
      </c>
      <c r="AI160" s="69" t="inlineStr">
        <is>
          <t>South / Atlantic</t>
        </is>
      </c>
      <c r="AJ160" s="69" t="inlineStr">
        <is>
          <t>OF</t>
        </is>
      </c>
      <c r="AK160" s="69" t="inlineStr">
        <is>
          <t>Suburban</t>
        </is>
      </c>
      <c r="AL160" s="68" t="n">
        <v>1</v>
      </c>
      <c r="AM160" s="68" t="n"/>
      <c r="AN160" s="68" t="n">
        <v>201777</v>
      </c>
      <c r="AO160" s="69" t="inlineStr">
        <is>
          <t>1974</t>
        </is>
      </c>
      <c r="AP160" s="70" t="n">
        <v>2007</v>
      </c>
      <c r="AQ160" s="74" t="n">
        <v>2.12</v>
      </c>
      <c r="AR160" s="74" t="n">
        <v>1.4</v>
      </c>
      <c r="AS160" s="74" t="n">
        <v>67.90000000000001</v>
      </c>
      <c r="AT160" s="74" t="n">
        <v>37.29</v>
      </c>
      <c r="AU160" s="74" t="n">
        <v>58.3</v>
      </c>
      <c r="AV160" s="74" t="n">
        <v>13.236267158</v>
      </c>
      <c r="AW160" s="74" t="n">
        <v>15.901303681</v>
      </c>
      <c r="AX160" s="75" t="n">
        <v>77</v>
      </c>
      <c r="AY160" s="71" t="n">
        <v>14000000</v>
      </c>
      <c r="AZ160" s="71" t="n">
        <v>14000000</v>
      </c>
      <c r="BA160" s="71" t="n">
        <v>1257445.38</v>
      </c>
      <c r="BB160" s="71" t="n">
        <v>830132.76</v>
      </c>
      <c r="BC160" s="69" t="inlineStr">
        <is>
          <t>Refinance</t>
        </is>
      </c>
      <c r="BD160" s="69" t="inlineStr">
        <is>
          <t>N</t>
        </is>
      </c>
      <c r="BE160" s="71" t="n"/>
      <c r="BF160" s="71" t="n"/>
      <c r="BG160" s="71" t="n"/>
      <c r="BH160" s="71" t="n">
        <v>0</v>
      </c>
      <c r="BI160" s="71" t="n">
        <v>0</v>
      </c>
      <c r="BJ160" s="69" t="inlineStr">
        <is>
          <t>N</t>
        </is>
      </c>
      <c r="BK160" s="69" t="inlineStr">
        <is>
          <t>DSS State of South Carolina</t>
        </is>
      </c>
      <c r="BL160" s="75" t="n">
        <v>34.71</v>
      </c>
      <c r="BM160" s="73" t="n">
        <v>46873</v>
      </c>
      <c r="BN160" s="69" t="inlineStr">
        <is>
          <t>Andrew C. Hooker</t>
        </is>
      </c>
      <c r="BO160" s="69" t="inlineStr">
        <is>
          <t>Wells Fargo</t>
        </is>
      </c>
      <c r="BP160" s="69" t="inlineStr">
        <is>
          <t>TriMont Real Estate Advisors</t>
        </is>
      </c>
      <c r="BQ160" s="69" t="inlineStr">
        <is>
          <t>K-Star Asset Management LLC</t>
        </is>
      </c>
      <c r="BR160" s="69" t="inlineStr">
        <is>
          <t>Partial Liquidation (Curtailment)</t>
        </is>
      </c>
      <c r="BS160" s="73" t="n">
        <v>46276</v>
      </c>
      <c r="BU160" s="76">
        <f>IF($C160="","",IFERROR(INDEX(dmName,MATCH($C160,dmID,0)),"Unmapped"))</f>
        <v/>
      </c>
      <c r="BV160" s="76">
        <f>IF($C160="","",IFERROR(INDEX(dmEntity,MATCH($C160,dmID,0)),"Unmapped"))</f>
        <v/>
      </c>
      <c r="BW160" s="77">
        <f>IF($C160="","",IFERROR(INDEX(dmVintage,MATCH($C160,dmID,0)),""))</f>
        <v/>
      </c>
      <c r="BX160" s="78">
        <f>IFERROR(INDEX(dmInclude,MATCH($C160,dmID,0)),0)</f>
        <v/>
      </c>
      <c r="BY160" s="78">
        <f>IF(N($I160)&gt;0,1,0)</f>
        <v/>
      </c>
      <c r="BZ160" s="76">
        <f>IF($AJ160="","Other / Leased Fee",IFERROR(INDEX(mapPTGroup,MATCH(LEFT(TRIM($AJ160),2),mapPTCode,0)),"Other / Leased Fee"))</f>
        <v/>
      </c>
      <c r="CA160" s="76">
        <f>IF(TRIM($AF160&amp;"")="","NR",LEFT(TRIM($AF160),2))</f>
        <v/>
      </c>
      <c r="CB160" s="76">
        <f>IFERROR(LOOKUP(2,1/(LEFT(TRIM($AI160&amp;""),LEN(mapRegion))=mapRegion),mapRegion),"Not Reported")</f>
        <v/>
      </c>
      <c r="CC160" s="76">
        <f>IF($BY160=0,"",IF(TRIM($W160&amp;"")="REO","REO",IF(TRIM($W160&amp;"")="FC","Foreclosure",IF(TRIM($W160&amp;"")="90+","90+ Days Delinquent",IF(TRIM($W160&amp;"")="60","60 Days Delinquent",IF(TRIM($W160&amp;"")="30","30 Days Delinquent",IF($X160="Non-Performing Matured Balloon","Non-Performing Matured Balloon",IF(OR($X160="Late Payment But Less Than 30 Days Delinquent",LEFT($X160&amp;"",20)="Payment Not Received"),"Late / In Grace (&lt;30 Days)",IF($X160="Performing Matured Balloon","Performing Matured Balloon","Current")))))))))</f>
        <v/>
      </c>
      <c r="CD160" s="78">
        <f>IF(OR($CC160="REO",$CC160="Foreclosure",$CC160="90+ Days Delinquent",$CC160="60 Days Delinquent",$CC160="30 Days Delinquent",$CC160="Non-Performing Matured Balloon"),1,0)</f>
        <v/>
      </c>
      <c r="CE160" s="76">
        <f>IF($AB160="Currently special serv","Currently Specially Serviced",IF($AB160="Returned to master serv","Previously Specially Serviced","Never Specially Serviced"))</f>
        <v/>
      </c>
      <c r="CF160" s="78">
        <f>IF($CE160="Currently Specially Serviced",1,0)</f>
        <v/>
      </c>
      <c r="CG160" s="76">
        <f>IF($AA160="Yes","Currently on Watchlist",IF($AA160="Previously","Previously on Watchlist","Never on Watchlist"))</f>
        <v/>
      </c>
      <c r="CH160" s="78">
        <f>IF($CG160="Currently on Watchlist",1,0)</f>
        <v/>
      </c>
      <c r="CI160" s="76">
        <f>IF($Z160="Full Defeasance","Fully Defeased",IF($Z160="Portion Of Loan Previously Defeased","Partially Defeased",IF($Z160="Defeasance Not Allowable","Not Defeased (Not Permitted)","Not Defeased")))</f>
        <v/>
      </c>
      <c r="CJ160" s="78">
        <f>IF($CI160="Fully Defeased",1,0)</f>
        <v/>
      </c>
      <c r="CK160" s="76">
        <f>IF($R160="IO","Full IO",IF(LEFT($R160&amp;"",7)="IO then","Partial IO","Amortizing"))</f>
        <v/>
      </c>
      <c r="CL160" s="78">
        <f>IF($CK160="Full IO",1,0)</f>
        <v/>
      </c>
      <c r="CM160" s="78">
        <f>IF($CK160="Partial IO",1,0)</f>
        <v/>
      </c>
      <c r="CN160" s="76">
        <f>IF(LEFT($F160&amp;"",10)="SPLIT_LOAN","Pari Passu Split","Standalone")</f>
        <v/>
      </c>
      <c r="CO160" s="78">
        <f>IF($CN160="Pari Passu Split",1,0)</f>
        <v/>
      </c>
      <c r="CP160" s="77">
        <f>IF(ISNUMBER($T160),YEAR($T160),"")</f>
        <v/>
      </c>
      <c r="CQ160" s="79">
        <f>IF(ISNUMBER($V160),$V160,IF(ISNUMBER($U160),$U160,""))</f>
        <v/>
      </c>
      <c r="CR160" s="77">
        <f>IF(ISNUMBER($CQ160),YEAR($CQ160),"")</f>
        <v/>
      </c>
      <c r="CS160" s="78">
        <f>IF(ISNUMBER($M160),MAX(0,$M160),IF(TRIM($M160&amp;"")="matured",0,""))</f>
        <v/>
      </c>
      <c r="CT160" s="78">
        <f>IF(AND(ISNUMBER($CS160),N($CS160)&lt;=mMatWindow),1,0)</f>
        <v/>
      </c>
      <c r="CU160" s="80">
        <f>IF(ISNUMBER($J160),$J160/100,"")</f>
        <v/>
      </c>
      <c r="CV160" s="81">
        <f>IF(ISNUMBER($AQ160),$AQ160,"")</f>
        <v/>
      </c>
      <c r="CW160" s="81">
        <f>IF(ISNUMBER($AR160),$AR160,"")</f>
        <v/>
      </c>
      <c r="CX160" s="82">
        <f>IF(ISNUMBER($AS160),$AS160/100,"")</f>
        <v/>
      </c>
      <c r="CY160" s="82">
        <f>IF(ISNUMBER($AT160),$AT160/100,"")</f>
        <v/>
      </c>
      <c r="CZ160" s="82">
        <f>IF(ISNUMBER($AU160),$AU160/100,"")</f>
        <v/>
      </c>
      <c r="DA160" s="82">
        <f>IF(ISNUMBER($AV160),$AV160/100,"")</f>
        <v/>
      </c>
      <c r="DB160" s="82">
        <f>IF(ISNUMBER($AW160),$AW160/100,"")</f>
        <v/>
      </c>
      <c r="DC160" s="82">
        <f>IF(ISNUMBER($AX160),$AX160/100,"")</f>
        <v/>
      </c>
      <c r="DD160" s="77">
        <f>IFERROR(VALUE(LEFT(TRIM($AO160&amp;""),4)),"")</f>
        <v/>
      </c>
      <c r="DE160" s="78">
        <f>IF(AND($BY160=1,$BX160=1,OR(fDeal="All Deals",$BU160=fDeal),OR(fEntity="All Entities",$BV160=fEntity),OR(fPType="All Property Types",$BZ160=fPType),OR(fDefeased="Include",$CJ160=0)),1,0)</f>
        <v/>
      </c>
      <c r="DF160" s="83">
        <f>$DE160*N($I160)</f>
        <v/>
      </c>
      <c r="DG160" s="78">
        <f>IF($DE160=1,IF(COUNTIFS($F$8:$F160,$F160,$DE$8:$DE160,1)=1,1,0),0)</f>
        <v/>
      </c>
      <c r="DH160" s="83">
        <f>IF($DG160=1,SUMIFS($DF$8:$DF$1600,$F$8:$F$1600,$F160),0)</f>
        <v/>
      </c>
      <c r="DI160" s="78">
        <f>IF($DG160=1,COUNTIFS($F$8:$F$1600,$F160,$DE$8:$DE$1600,1),0)</f>
        <v/>
      </c>
      <c r="DJ160" s="84">
        <f>IF($DG160=1,$DH160+(100000-ROW())/mTieBreak,0)</f>
        <v/>
      </c>
    </row>
    <row r="161">
      <c r="B161" s="68" t="n">
        <v>38</v>
      </c>
      <c r="C161" s="69" t="inlineStr">
        <is>
          <t>WFC18C47</t>
        </is>
      </c>
      <c r="D161" s="69" t="inlineStr">
        <is>
          <t>38.000</t>
        </is>
      </c>
      <c r="E161" s="69" t="inlineStr">
        <is>
          <t>SPS Martinez - CA</t>
        </is>
      </c>
      <c r="F161" s="69" t="inlineStr">
        <is>
          <t>LNWFC18C47-38.000</t>
        </is>
      </c>
      <c r="G161" s="70" t="n"/>
      <c r="H161" s="71" t="n">
        <v>9000000</v>
      </c>
      <c r="I161" s="71" t="n">
        <v>8270715.51</v>
      </c>
      <c r="J161" s="72" t="n">
        <v>4.77</v>
      </c>
      <c r="K161" s="69" t="inlineStr">
        <is>
          <t>Fixed rate</t>
        </is>
      </c>
      <c r="L161" s="68" t="n">
        <v>120</v>
      </c>
      <c r="M161" s="68" t="n">
        <v>24</v>
      </c>
      <c r="N161" s="68" t="n">
        <v>396</v>
      </c>
      <c r="O161" s="68" t="n">
        <v>36</v>
      </c>
      <c r="P161" s="68" t="n">
        <v>0</v>
      </c>
      <c r="Q161" s="68" t="n">
        <v>96</v>
      </c>
      <c r="R161" s="69" t="inlineStr">
        <is>
          <t>IO then Amort</t>
        </is>
      </c>
      <c r="S161" s="69" t="inlineStr">
        <is>
          <t>No</t>
        </is>
      </c>
      <c r="T161" s="73" t="n">
        <v>43344</v>
      </c>
      <c r="U161" s="73" t="n">
        <v>47007</v>
      </c>
      <c r="V161" s="73" t="n"/>
      <c r="W161" s="69" t="n"/>
      <c r="X161" s="69" t="inlineStr">
        <is>
          <t>Current</t>
        </is>
      </c>
      <c r="Y161" s="68" t="n"/>
      <c r="Z161" s="69" t="inlineStr">
        <is>
          <t>No Defeasance Occurred</t>
        </is>
      </c>
      <c r="AA161" s="69" t="n"/>
      <c r="AB161" s="69" t="inlineStr">
        <is>
          <t>Never special serv</t>
        </is>
      </c>
      <c r="AC161" s="73" t="n"/>
      <c r="AD161" s="69" t="n"/>
      <c r="AE161" s="69" t="n"/>
      <c r="AF161" s="69" t="inlineStr">
        <is>
          <t>CA</t>
        </is>
      </c>
      <c r="AG161" s="69" t="inlineStr">
        <is>
          <t>Martinez</t>
        </is>
      </c>
      <c r="AH161" s="69" t="inlineStr">
        <is>
          <t>San Francisco-Oakland-Fremont, CA</t>
        </is>
      </c>
      <c r="AI161" s="69" t="inlineStr">
        <is>
          <t>West / Pacific North</t>
        </is>
      </c>
      <c r="AJ161" s="69" t="inlineStr">
        <is>
          <t>SS</t>
        </is>
      </c>
      <c r="AK161" s="69" t="n"/>
      <c r="AL161" s="68" t="n">
        <v>1</v>
      </c>
      <c r="AM161" s="68" t="n"/>
      <c r="AN161" s="68" t="n">
        <v>59273</v>
      </c>
      <c r="AO161" s="69" t="inlineStr">
        <is>
          <t>1985</t>
        </is>
      </c>
      <c r="AP161" s="70" t="n">
        <v>1985</v>
      </c>
      <c r="AQ161" s="74" t="n">
        <v>1.78</v>
      </c>
      <c r="AR161" s="74" t="n">
        <v>1.83</v>
      </c>
      <c r="AS161" s="74" t="n">
        <v>56.3</v>
      </c>
      <c r="AT161" s="74" t="n">
        <v>51.69</v>
      </c>
      <c r="AU161" s="74" t="n">
        <v>49.5</v>
      </c>
      <c r="AV161" s="74" t="n">
        <v>11.185883</v>
      </c>
      <c r="AW161" s="74" t="n">
        <v>13.293429434</v>
      </c>
      <c r="AX161" s="75" t="n">
        <v>88</v>
      </c>
      <c r="AY161" s="71" t="n">
        <v>16000000</v>
      </c>
      <c r="AZ161" s="71" t="n">
        <v>16000000</v>
      </c>
      <c r="BA161" s="71" t="n">
        <v>1006729.47</v>
      </c>
      <c r="BB161" s="71" t="n">
        <v>258121.69</v>
      </c>
      <c r="BC161" s="69" t="inlineStr">
        <is>
          <t>Refinance</t>
        </is>
      </c>
      <c r="BD161" s="69" t="inlineStr">
        <is>
          <t>N</t>
        </is>
      </c>
      <c r="BE161" s="71" t="n"/>
      <c r="BF161" s="71" t="n"/>
      <c r="BG161" s="71" t="n"/>
      <c r="BH161" s="71" t="n">
        <v>0</v>
      </c>
      <c r="BI161" s="71" t="n">
        <v>0</v>
      </c>
      <c r="BJ161" s="69" t="inlineStr">
        <is>
          <t>N</t>
        </is>
      </c>
      <c r="BK161" s="69" t="n"/>
      <c r="BL161" s="75" t="n"/>
      <c r="BM161" s="73" t="n"/>
      <c r="BN161" s="69" t="inlineStr">
        <is>
          <t>Benjamin D. Eisler and Shirley E. Eisler, individually and as Co-Trustees of the Eisler Revocable Trust; Allen Orwitz and Lea Orwitz, individually and as Co-Trustees of the Allen Orwitz and Lea Orwitz Revocable Trusts</t>
        </is>
      </c>
      <c r="BO161" s="69" t="inlineStr">
        <is>
          <t>Wells Fargo</t>
        </is>
      </c>
      <c r="BP161" s="69" t="inlineStr">
        <is>
          <t>TriMont Real Estate Advisors</t>
        </is>
      </c>
      <c r="BQ161" s="69" t="inlineStr">
        <is>
          <t>K-Star Asset Management LLC</t>
        </is>
      </c>
      <c r="BR161" s="69" t="n"/>
      <c r="BS161" s="73" t="n">
        <v>46276</v>
      </c>
      <c r="BU161" s="76">
        <f>IF($C161="","",IFERROR(INDEX(dmName,MATCH($C161,dmID,0)),"Unmapped"))</f>
        <v/>
      </c>
      <c r="BV161" s="76">
        <f>IF($C161="","",IFERROR(INDEX(dmEntity,MATCH($C161,dmID,0)),"Unmapped"))</f>
        <v/>
      </c>
      <c r="BW161" s="77">
        <f>IF($C161="","",IFERROR(INDEX(dmVintage,MATCH($C161,dmID,0)),""))</f>
        <v/>
      </c>
      <c r="BX161" s="78">
        <f>IFERROR(INDEX(dmInclude,MATCH($C161,dmID,0)),0)</f>
        <v/>
      </c>
      <c r="BY161" s="78">
        <f>IF(N($I161)&gt;0,1,0)</f>
        <v/>
      </c>
      <c r="BZ161" s="76">
        <f>IF($AJ161="","Other / Leased Fee",IFERROR(INDEX(mapPTGroup,MATCH(LEFT(TRIM($AJ161),2),mapPTCode,0)),"Other / Leased Fee"))</f>
        <v/>
      </c>
      <c r="CA161" s="76">
        <f>IF(TRIM($AF161&amp;"")="","NR",LEFT(TRIM($AF161),2))</f>
        <v/>
      </c>
      <c r="CB161" s="76">
        <f>IFERROR(LOOKUP(2,1/(LEFT(TRIM($AI161&amp;""),LEN(mapRegion))=mapRegion),mapRegion),"Not Reported")</f>
        <v/>
      </c>
      <c r="CC161" s="76">
        <f>IF($BY161=0,"",IF(TRIM($W161&amp;"")="REO","REO",IF(TRIM($W161&amp;"")="FC","Foreclosure",IF(TRIM($W161&amp;"")="90+","90+ Days Delinquent",IF(TRIM($W161&amp;"")="60","60 Days Delinquent",IF(TRIM($W161&amp;"")="30","30 Days Delinquent",IF($X161="Non-Performing Matured Balloon","Non-Performing Matured Balloon",IF(OR($X161="Late Payment But Less Than 30 Days Delinquent",LEFT($X161&amp;"",20)="Payment Not Received"),"Late / In Grace (&lt;30 Days)",IF($X161="Performing Matured Balloon","Performing Matured Balloon","Current")))))))))</f>
        <v/>
      </c>
      <c r="CD161" s="78">
        <f>IF(OR($CC161="REO",$CC161="Foreclosure",$CC161="90+ Days Delinquent",$CC161="60 Days Delinquent",$CC161="30 Days Delinquent",$CC161="Non-Performing Matured Balloon"),1,0)</f>
        <v/>
      </c>
      <c r="CE161" s="76">
        <f>IF($AB161="Currently special serv","Currently Specially Serviced",IF($AB161="Returned to master serv","Previously Specially Serviced","Never Specially Serviced"))</f>
        <v/>
      </c>
      <c r="CF161" s="78">
        <f>IF($CE161="Currently Specially Serviced",1,0)</f>
        <v/>
      </c>
      <c r="CG161" s="76">
        <f>IF($AA161="Yes","Currently on Watchlist",IF($AA161="Previously","Previously on Watchlist","Never on Watchlist"))</f>
        <v/>
      </c>
      <c r="CH161" s="78">
        <f>IF($CG161="Currently on Watchlist",1,0)</f>
        <v/>
      </c>
      <c r="CI161" s="76">
        <f>IF($Z161="Full Defeasance","Fully Defeased",IF($Z161="Portion Of Loan Previously Defeased","Partially Defeased",IF($Z161="Defeasance Not Allowable","Not Defeased (Not Permitted)","Not Defeased")))</f>
        <v/>
      </c>
      <c r="CJ161" s="78">
        <f>IF($CI161="Fully Defeased",1,0)</f>
        <v/>
      </c>
      <c r="CK161" s="76">
        <f>IF($R161="IO","Full IO",IF(LEFT($R161&amp;"",7)="IO then","Partial IO","Amortizing"))</f>
        <v/>
      </c>
      <c r="CL161" s="78">
        <f>IF($CK161="Full IO",1,0)</f>
        <v/>
      </c>
      <c r="CM161" s="78">
        <f>IF($CK161="Partial IO",1,0)</f>
        <v/>
      </c>
      <c r="CN161" s="76">
        <f>IF(LEFT($F161&amp;"",10)="SPLIT_LOAN","Pari Passu Split","Standalone")</f>
        <v/>
      </c>
      <c r="CO161" s="78">
        <f>IF($CN161="Pari Passu Split",1,0)</f>
        <v/>
      </c>
      <c r="CP161" s="77">
        <f>IF(ISNUMBER($T161),YEAR($T161),"")</f>
        <v/>
      </c>
      <c r="CQ161" s="79">
        <f>IF(ISNUMBER($V161),$V161,IF(ISNUMBER($U161),$U161,""))</f>
        <v/>
      </c>
      <c r="CR161" s="77">
        <f>IF(ISNUMBER($CQ161),YEAR($CQ161),"")</f>
        <v/>
      </c>
      <c r="CS161" s="78">
        <f>IF(ISNUMBER($M161),MAX(0,$M161),IF(TRIM($M161&amp;"")="matured",0,""))</f>
        <v/>
      </c>
      <c r="CT161" s="78">
        <f>IF(AND(ISNUMBER($CS161),N($CS161)&lt;=mMatWindow),1,0)</f>
        <v/>
      </c>
      <c r="CU161" s="80">
        <f>IF(ISNUMBER($J161),$J161/100,"")</f>
        <v/>
      </c>
      <c r="CV161" s="81">
        <f>IF(ISNUMBER($AQ161),$AQ161,"")</f>
        <v/>
      </c>
      <c r="CW161" s="81">
        <f>IF(ISNUMBER($AR161),$AR161,"")</f>
        <v/>
      </c>
      <c r="CX161" s="82">
        <f>IF(ISNUMBER($AS161),$AS161/100,"")</f>
        <v/>
      </c>
      <c r="CY161" s="82">
        <f>IF(ISNUMBER($AT161),$AT161/100,"")</f>
        <v/>
      </c>
      <c r="CZ161" s="82">
        <f>IF(ISNUMBER($AU161),$AU161/100,"")</f>
        <v/>
      </c>
      <c r="DA161" s="82">
        <f>IF(ISNUMBER($AV161),$AV161/100,"")</f>
        <v/>
      </c>
      <c r="DB161" s="82">
        <f>IF(ISNUMBER($AW161),$AW161/100,"")</f>
        <v/>
      </c>
      <c r="DC161" s="82">
        <f>IF(ISNUMBER($AX161),$AX161/100,"")</f>
        <v/>
      </c>
      <c r="DD161" s="77">
        <f>IFERROR(VALUE(LEFT(TRIM($AO161&amp;""),4)),"")</f>
        <v/>
      </c>
      <c r="DE161" s="78">
        <f>IF(AND($BY161=1,$BX161=1,OR(fDeal="All Deals",$BU161=fDeal),OR(fEntity="All Entities",$BV161=fEntity),OR(fPType="All Property Types",$BZ161=fPType),OR(fDefeased="Include",$CJ161=0)),1,0)</f>
        <v/>
      </c>
      <c r="DF161" s="83">
        <f>$DE161*N($I161)</f>
        <v/>
      </c>
      <c r="DG161" s="78">
        <f>IF($DE161=1,IF(COUNTIFS($F$8:$F161,$F161,$DE$8:$DE161,1)=1,1,0),0)</f>
        <v/>
      </c>
      <c r="DH161" s="83">
        <f>IF($DG161=1,SUMIFS($DF$8:$DF$1600,$F$8:$F$1600,$F161),0)</f>
        <v/>
      </c>
      <c r="DI161" s="78">
        <f>IF($DG161=1,COUNTIFS($F$8:$F$1600,$F161,$DE$8:$DE$1600,1),0)</f>
        <v/>
      </c>
      <c r="DJ161" s="84">
        <f>IF($DG161=1,$DH161+(100000-ROW())/mTieBreak,0)</f>
        <v/>
      </c>
    </row>
    <row r="162">
      <c r="B162" s="68" t="n">
        <v>39</v>
      </c>
      <c r="C162" s="69" t="inlineStr">
        <is>
          <t>WFC18C47</t>
        </is>
      </c>
      <c r="D162" s="69" t="inlineStr">
        <is>
          <t>39.000</t>
        </is>
      </c>
      <c r="E162" s="69" t="inlineStr">
        <is>
          <t>Jewel-Osco</t>
        </is>
      </c>
      <c r="F162" s="69" t="inlineStr">
        <is>
          <t>LNWFC18C47-39.000</t>
        </is>
      </c>
      <c r="G162" s="70" t="n"/>
      <c r="H162" s="71" t="n">
        <v>8600000</v>
      </c>
      <c r="I162" s="71" t="n">
        <v>8600000</v>
      </c>
      <c r="J162" s="72" t="n">
        <v>5.42</v>
      </c>
      <c r="K162" s="69" t="inlineStr">
        <is>
          <t>Fixed rate</t>
        </is>
      </c>
      <c r="L162" s="68" t="n">
        <v>120</v>
      </c>
      <c r="M162" s="68" t="n">
        <v>24</v>
      </c>
      <c r="N162" s="68" t="n">
        <v>120</v>
      </c>
      <c r="O162" s="68" t="n">
        <v>120</v>
      </c>
      <c r="P162" s="68" t="n">
        <v>24</v>
      </c>
      <c r="Q162" s="68" t="n">
        <v>96</v>
      </c>
      <c r="R162" s="69" t="inlineStr">
        <is>
          <t>IO</t>
        </is>
      </c>
      <c r="S162" s="69" t="inlineStr">
        <is>
          <t>Yes</t>
        </is>
      </c>
      <c r="T162" s="73" t="n">
        <v>43344</v>
      </c>
      <c r="U162" s="73" t="n">
        <v>47002</v>
      </c>
      <c r="V162" s="73" t="n"/>
      <c r="W162" s="69" t="n"/>
      <c r="X162" s="69" t="inlineStr">
        <is>
          <t>Current</t>
        </is>
      </c>
      <c r="Y162" s="68" t="n"/>
      <c r="Z162" s="69" t="inlineStr">
        <is>
          <t>No Defeasance Occurred</t>
        </is>
      </c>
      <c r="AA162" s="69" t="inlineStr">
        <is>
          <t>Previously</t>
        </is>
      </c>
      <c r="AB162" s="69" t="inlineStr">
        <is>
          <t>Never special serv</t>
        </is>
      </c>
      <c r="AC162" s="73" t="n"/>
      <c r="AD162" s="69" t="n"/>
      <c r="AE162" s="69" t="n"/>
      <c r="AF162" s="69" t="inlineStr">
        <is>
          <t>IL</t>
        </is>
      </c>
      <c r="AG162" s="69" t="inlineStr">
        <is>
          <t>Shorewood</t>
        </is>
      </c>
      <c r="AH162" s="69" t="inlineStr">
        <is>
          <t>Chicago-Naperville-Elgin, IL-IN</t>
        </is>
      </c>
      <c r="AI162" s="69" t="inlineStr">
        <is>
          <t>Midwest / Central East</t>
        </is>
      </c>
      <c r="AJ162" s="69" t="inlineStr">
        <is>
          <t>RT</t>
        </is>
      </c>
      <c r="AK162" s="69" t="inlineStr">
        <is>
          <t>Anchored</t>
        </is>
      </c>
      <c r="AL162" s="68" t="n">
        <v>1</v>
      </c>
      <c r="AM162" s="68" t="n"/>
      <c r="AN162" s="68" t="n">
        <v>66437</v>
      </c>
      <c r="AO162" s="69" t="inlineStr">
        <is>
          <t>2002</t>
        </is>
      </c>
      <c r="AP162" s="70" t="n">
        <v>2012</v>
      </c>
      <c r="AQ162" s="74" t="n">
        <v>1.51</v>
      </c>
      <c r="AR162" s="74" t="n">
        <v>1.59</v>
      </c>
      <c r="AS162" s="74" t="n">
        <v>65.2</v>
      </c>
      <c r="AT162" s="74" t="n">
        <v>65.15000000000001</v>
      </c>
      <c r="AU162" s="74" t="n">
        <v>65.2</v>
      </c>
      <c r="AV162" s="74" t="n">
        <v>8.275902442</v>
      </c>
      <c r="AW162" s="74" t="n">
        <v>8.748633023</v>
      </c>
      <c r="AX162" s="75" t="n">
        <v>100</v>
      </c>
      <c r="AY162" s="71" t="n">
        <v>13200000</v>
      </c>
      <c r="AZ162" s="71" t="n">
        <v>13200000</v>
      </c>
      <c r="BA162" s="71" t="n">
        <v>711727.61</v>
      </c>
      <c r="BB162" s="71" t="n">
        <v>752382.4399999999</v>
      </c>
      <c r="BC162" s="69" t="inlineStr">
        <is>
          <t>Acquisition</t>
        </is>
      </c>
      <c r="BD162" s="69" t="inlineStr">
        <is>
          <t>N</t>
        </is>
      </c>
      <c r="BE162" s="71" t="n"/>
      <c r="BF162" s="71" t="n"/>
      <c r="BG162" s="71" t="n"/>
      <c r="BH162" s="71" t="n">
        <v>0</v>
      </c>
      <c r="BI162" s="71" t="n">
        <v>0</v>
      </c>
      <c r="BJ162" s="69" t="inlineStr">
        <is>
          <t>N</t>
        </is>
      </c>
      <c r="BK162" s="69" t="inlineStr">
        <is>
          <t>New Albertson's</t>
        </is>
      </c>
      <c r="BL162" s="75" t="n">
        <v>100</v>
      </c>
      <c r="BM162" s="73" t="n">
        <v>50344</v>
      </c>
      <c r="BN162" s="69" t="inlineStr">
        <is>
          <t>Elliott S. Horwitch; The Horwitch Family Living Trust</t>
        </is>
      </c>
      <c r="BO162" s="69" t="inlineStr">
        <is>
          <t>Ladder Capital Finance</t>
        </is>
      </c>
      <c r="BP162" s="69" t="inlineStr">
        <is>
          <t>TriMont Real Estate Advisors</t>
        </is>
      </c>
      <c r="BQ162" s="69" t="inlineStr">
        <is>
          <t>K-Star Asset Management LLC</t>
        </is>
      </c>
      <c r="BR162" s="69" t="n"/>
      <c r="BS162" s="73" t="n">
        <v>46276</v>
      </c>
      <c r="BU162" s="76">
        <f>IF($C162="","",IFERROR(INDEX(dmName,MATCH($C162,dmID,0)),"Unmapped"))</f>
        <v/>
      </c>
      <c r="BV162" s="76">
        <f>IF($C162="","",IFERROR(INDEX(dmEntity,MATCH($C162,dmID,0)),"Unmapped"))</f>
        <v/>
      </c>
      <c r="BW162" s="77">
        <f>IF($C162="","",IFERROR(INDEX(dmVintage,MATCH($C162,dmID,0)),""))</f>
        <v/>
      </c>
      <c r="BX162" s="78">
        <f>IFERROR(INDEX(dmInclude,MATCH($C162,dmID,0)),0)</f>
        <v/>
      </c>
      <c r="BY162" s="78">
        <f>IF(N($I162)&gt;0,1,0)</f>
        <v/>
      </c>
      <c r="BZ162" s="76">
        <f>IF($AJ162="","Other / Leased Fee",IFERROR(INDEX(mapPTGroup,MATCH(LEFT(TRIM($AJ162),2),mapPTCode,0)),"Other / Leased Fee"))</f>
        <v/>
      </c>
      <c r="CA162" s="76">
        <f>IF(TRIM($AF162&amp;"")="","NR",LEFT(TRIM($AF162),2))</f>
        <v/>
      </c>
      <c r="CB162" s="76">
        <f>IFERROR(LOOKUP(2,1/(LEFT(TRIM($AI162&amp;""),LEN(mapRegion))=mapRegion),mapRegion),"Not Reported")</f>
        <v/>
      </c>
      <c r="CC162" s="76">
        <f>IF($BY162=0,"",IF(TRIM($W162&amp;"")="REO","REO",IF(TRIM($W162&amp;"")="FC","Foreclosure",IF(TRIM($W162&amp;"")="90+","90+ Days Delinquent",IF(TRIM($W162&amp;"")="60","60 Days Delinquent",IF(TRIM($W162&amp;"")="30","30 Days Delinquent",IF($X162="Non-Performing Matured Balloon","Non-Performing Matured Balloon",IF(OR($X162="Late Payment But Less Than 30 Days Delinquent",LEFT($X162&amp;"",20)="Payment Not Received"),"Late / In Grace (&lt;30 Days)",IF($X162="Performing Matured Balloon","Performing Matured Balloon","Current")))))))))</f>
        <v/>
      </c>
      <c r="CD162" s="78">
        <f>IF(OR($CC162="REO",$CC162="Foreclosure",$CC162="90+ Days Delinquent",$CC162="60 Days Delinquent",$CC162="30 Days Delinquent",$CC162="Non-Performing Matured Balloon"),1,0)</f>
        <v/>
      </c>
      <c r="CE162" s="76">
        <f>IF($AB162="Currently special serv","Currently Specially Serviced",IF($AB162="Returned to master serv","Previously Specially Serviced","Never Specially Serviced"))</f>
        <v/>
      </c>
      <c r="CF162" s="78">
        <f>IF($CE162="Currently Specially Serviced",1,0)</f>
        <v/>
      </c>
      <c r="CG162" s="76">
        <f>IF($AA162="Yes","Currently on Watchlist",IF($AA162="Previously","Previously on Watchlist","Never on Watchlist"))</f>
        <v/>
      </c>
      <c r="CH162" s="78">
        <f>IF($CG162="Currently on Watchlist",1,0)</f>
        <v/>
      </c>
      <c r="CI162" s="76">
        <f>IF($Z162="Full Defeasance","Fully Defeased",IF($Z162="Portion Of Loan Previously Defeased","Partially Defeased",IF($Z162="Defeasance Not Allowable","Not Defeased (Not Permitted)","Not Defeased")))</f>
        <v/>
      </c>
      <c r="CJ162" s="78">
        <f>IF($CI162="Fully Defeased",1,0)</f>
        <v/>
      </c>
      <c r="CK162" s="76">
        <f>IF($R162="IO","Full IO",IF(LEFT($R162&amp;"",7)="IO then","Partial IO","Amortizing"))</f>
        <v/>
      </c>
      <c r="CL162" s="78">
        <f>IF($CK162="Full IO",1,0)</f>
        <v/>
      </c>
      <c r="CM162" s="78">
        <f>IF($CK162="Partial IO",1,0)</f>
        <v/>
      </c>
      <c r="CN162" s="76">
        <f>IF(LEFT($F162&amp;"",10)="SPLIT_LOAN","Pari Passu Split","Standalone")</f>
        <v/>
      </c>
      <c r="CO162" s="78">
        <f>IF($CN162="Pari Passu Split",1,0)</f>
        <v/>
      </c>
      <c r="CP162" s="77">
        <f>IF(ISNUMBER($T162),YEAR($T162),"")</f>
        <v/>
      </c>
      <c r="CQ162" s="79">
        <f>IF(ISNUMBER($V162),$V162,IF(ISNUMBER($U162),$U162,""))</f>
        <v/>
      </c>
      <c r="CR162" s="77">
        <f>IF(ISNUMBER($CQ162),YEAR($CQ162),"")</f>
        <v/>
      </c>
      <c r="CS162" s="78">
        <f>IF(ISNUMBER($M162),MAX(0,$M162),IF(TRIM($M162&amp;"")="matured",0,""))</f>
        <v/>
      </c>
      <c r="CT162" s="78">
        <f>IF(AND(ISNUMBER($CS162),N($CS162)&lt;=mMatWindow),1,0)</f>
        <v/>
      </c>
      <c r="CU162" s="80">
        <f>IF(ISNUMBER($J162),$J162/100,"")</f>
        <v/>
      </c>
      <c r="CV162" s="81">
        <f>IF(ISNUMBER($AQ162),$AQ162,"")</f>
        <v/>
      </c>
      <c r="CW162" s="81">
        <f>IF(ISNUMBER($AR162),$AR162,"")</f>
        <v/>
      </c>
      <c r="CX162" s="82">
        <f>IF(ISNUMBER($AS162),$AS162/100,"")</f>
        <v/>
      </c>
      <c r="CY162" s="82">
        <f>IF(ISNUMBER($AT162),$AT162/100,"")</f>
        <v/>
      </c>
      <c r="CZ162" s="82">
        <f>IF(ISNUMBER($AU162),$AU162/100,"")</f>
        <v/>
      </c>
      <c r="DA162" s="82">
        <f>IF(ISNUMBER($AV162),$AV162/100,"")</f>
        <v/>
      </c>
      <c r="DB162" s="82">
        <f>IF(ISNUMBER($AW162),$AW162/100,"")</f>
        <v/>
      </c>
      <c r="DC162" s="82">
        <f>IF(ISNUMBER($AX162),$AX162/100,"")</f>
        <v/>
      </c>
      <c r="DD162" s="77">
        <f>IFERROR(VALUE(LEFT(TRIM($AO162&amp;""),4)),"")</f>
        <v/>
      </c>
      <c r="DE162" s="78">
        <f>IF(AND($BY162=1,$BX162=1,OR(fDeal="All Deals",$BU162=fDeal),OR(fEntity="All Entities",$BV162=fEntity),OR(fPType="All Property Types",$BZ162=fPType),OR(fDefeased="Include",$CJ162=0)),1,0)</f>
        <v/>
      </c>
      <c r="DF162" s="83">
        <f>$DE162*N($I162)</f>
        <v/>
      </c>
      <c r="DG162" s="78">
        <f>IF($DE162=1,IF(COUNTIFS($F$8:$F162,$F162,$DE$8:$DE162,1)=1,1,0),0)</f>
        <v/>
      </c>
      <c r="DH162" s="83">
        <f>IF($DG162=1,SUMIFS($DF$8:$DF$1600,$F$8:$F$1600,$F162),0)</f>
        <v/>
      </c>
      <c r="DI162" s="78">
        <f>IF($DG162=1,COUNTIFS($F$8:$F$1600,$F162,$DE$8:$DE$1600,1),0)</f>
        <v/>
      </c>
      <c r="DJ162" s="84">
        <f>IF($DG162=1,$DH162+(100000-ROW())/mTieBreak,0)</f>
        <v/>
      </c>
    </row>
    <row r="163">
      <c r="B163" s="68" t="n">
        <v>40</v>
      </c>
      <c r="C163" s="69" t="inlineStr">
        <is>
          <t>WFC18C47</t>
        </is>
      </c>
      <c r="D163" s="69" t="inlineStr">
        <is>
          <t>40.000</t>
        </is>
      </c>
      <c r="E163" s="69" t="inlineStr">
        <is>
          <t>Chancellor Farms MHC</t>
        </is>
      </c>
      <c r="F163" s="69" t="inlineStr">
        <is>
          <t>LNWFC18C47-40.000</t>
        </is>
      </c>
      <c r="G163" s="70" t="n"/>
      <c r="H163" s="71" t="n">
        <v>8400000</v>
      </c>
      <c r="I163" s="71" t="n">
        <v>7291818.890000401</v>
      </c>
      <c r="J163" s="72" t="n">
        <v>5.13</v>
      </c>
      <c r="K163" s="69" t="inlineStr">
        <is>
          <t>Fixed rate</t>
        </is>
      </c>
      <c r="L163" s="68" t="n">
        <v>120</v>
      </c>
      <c r="M163" s="68" t="n">
        <v>24</v>
      </c>
      <c r="N163" s="68" t="n">
        <v>360</v>
      </c>
      <c r="O163" s="68" t="n"/>
      <c r="P163" s="68" t="n"/>
      <c r="Q163" s="68" t="n">
        <v>96</v>
      </c>
      <c r="R163" s="69" t="n"/>
      <c r="S163" s="69" t="inlineStr">
        <is>
          <t>No</t>
        </is>
      </c>
      <c r="T163" s="73" t="n">
        <v>43344</v>
      </c>
      <c r="U163" s="73" t="n">
        <v>47007</v>
      </c>
      <c r="V163" s="73" t="n"/>
      <c r="W163" s="69" t="n"/>
      <c r="X163" s="69" t="inlineStr">
        <is>
          <t>Current</t>
        </is>
      </c>
      <c r="Y163" s="68" t="n"/>
      <c r="Z163" s="69" t="inlineStr">
        <is>
          <t>Full Defeasance</t>
        </is>
      </c>
      <c r="AA163" s="69" t="inlineStr">
        <is>
          <t>Previously</t>
        </is>
      </c>
      <c r="AB163" s="69" t="inlineStr">
        <is>
          <t>Never special serv</t>
        </is>
      </c>
      <c r="AC163" s="73" t="n"/>
      <c r="AD163" s="69" t="n"/>
      <c r="AE163" s="69" t="n"/>
      <c r="AF163" s="69" t="inlineStr">
        <is>
          <t>MO</t>
        </is>
      </c>
      <c r="AG163" s="69" t="inlineStr">
        <is>
          <t>Fenton</t>
        </is>
      </c>
      <c r="AH163" s="69" t="inlineStr">
        <is>
          <t>St. Louis, MO-IL</t>
        </is>
      </c>
      <c r="AI163" s="69" t="inlineStr">
        <is>
          <t>Midwest / Central West</t>
        </is>
      </c>
      <c r="AJ163" s="69" t="inlineStr">
        <is>
          <t>MH</t>
        </is>
      </c>
      <c r="AK163" s="69" t="n"/>
      <c r="AL163" s="68" t="n">
        <v>1</v>
      </c>
      <c r="AM163" s="68" t="n">
        <v>284</v>
      </c>
      <c r="AN163" s="68" t="n"/>
      <c r="AO163" s="69" t="inlineStr">
        <is>
          <t>1988</t>
        </is>
      </c>
      <c r="AP163" s="70" t="n">
        <v>2018</v>
      </c>
      <c r="AQ163" s="74" t="n">
        <v>1.3</v>
      </c>
      <c r="AR163" s="74" t="n">
        <v>1.55</v>
      </c>
      <c r="AS163" s="74" t="n">
        <v>73.7</v>
      </c>
      <c r="AT163" s="74" t="n">
        <v>64.08</v>
      </c>
      <c r="AU163" s="74" t="n">
        <v>60.9</v>
      </c>
      <c r="AV163" s="74" t="n">
        <v>8.521309762</v>
      </c>
      <c r="AW163" s="74" t="n">
        <v>10.429593788</v>
      </c>
      <c r="AX163" s="75" t="n">
        <v>94</v>
      </c>
      <c r="AY163" s="71" t="n">
        <v>11380000</v>
      </c>
      <c r="AZ163" s="71" t="n">
        <v>11380000</v>
      </c>
      <c r="BA163" s="71" t="n">
        <v>715790.02</v>
      </c>
      <c r="BB163" s="71" t="n">
        <v>425205.38</v>
      </c>
      <c r="BC163" s="69" t="inlineStr">
        <is>
          <t>Refinance</t>
        </is>
      </c>
      <c r="BD163" s="69" t="inlineStr">
        <is>
          <t>N</t>
        </is>
      </c>
      <c r="BE163" s="71" t="n"/>
      <c r="BF163" s="71" t="n"/>
      <c r="BG163" s="71" t="n"/>
      <c r="BH163" s="71" t="n">
        <v>0</v>
      </c>
      <c r="BI163" s="71" t="n">
        <v>0</v>
      </c>
      <c r="BJ163" s="69" t="inlineStr">
        <is>
          <t>N</t>
        </is>
      </c>
      <c r="BK163" s="69" t="n"/>
      <c r="BL163" s="75" t="n"/>
      <c r="BM163" s="73" t="n"/>
      <c r="BN163" s="69" t="inlineStr">
        <is>
          <t>James W. Soboleski; Benjamin L. Kadish</t>
        </is>
      </c>
      <c r="BO163" s="69" t="inlineStr">
        <is>
          <t>CIII Capital</t>
        </is>
      </c>
      <c r="BP163" s="69" t="inlineStr">
        <is>
          <t>TriMont Real Estate Advisors</t>
        </is>
      </c>
      <c r="BQ163" s="69" t="inlineStr">
        <is>
          <t>K-Star Asset Management LLC</t>
        </is>
      </c>
      <c r="BR163" s="69" t="n"/>
      <c r="BS163" s="73" t="n">
        <v>46276</v>
      </c>
      <c r="BU163" s="76">
        <f>IF($C163="","",IFERROR(INDEX(dmName,MATCH($C163,dmID,0)),"Unmapped"))</f>
        <v/>
      </c>
      <c r="BV163" s="76">
        <f>IF($C163="","",IFERROR(INDEX(dmEntity,MATCH($C163,dmID,0)),"Unmapped"))</f>
        <v/>
      </c>
      <c r="BW163" s="77">
        <f>IF($C163="","",IFERROR(INDEX(dmVintage,MATCH($C163,dmID,0)),""))</f>
        <v/>
      </c>
      <c r="BX163" s="78">
        <f>IFERROR(INDEX(dmInclude,MATCH($C163,dmID,0)),0)</f>
        <v/>
      </c>
      <c r="BY163" s="78">
        <f>IF(N($I163)&gt;0,1,0)</f>
        <v/>
      </c>
      <c r="BZ163" s="76">
        <f>IF($AJ163="","Other / Leased Fee",IFERROR(INDEX(mapPTGroup,MATCH(LEFT(TRIM($AJ163),2),mapPTCode,0)),"Other / Leased Fee"))</f>
        <v/>
      </c>
      <c r="CA163" s="76">
        <f>IF(TRIM($AF163&amp;"")="","NR",LEFT(TRIM($AF163),2))</f>
        <v/>
      </c>
      <c r="CB163" s="76">
        <f>IFERROR(LOOKUP(2,1/(LEFT(TRIM($AI163&amp;""),LEN(mapRegion))=mapRegion),mapRegion),"Not Reported")</f>
        <v/>
      </c>
      <c r="CC163" s="76">
        <f>IF($BY163=0,"",IF(TRIM($W163&amp;"")="REO","REO",IF(TRIM($W163&amp;"")="FC","Foreclosure",IF(TRIM($W163&amp;"")="90+","90+ Days Delinquent",IF(TRIM($W163&amp;"")="60","60 Days Delinquent",IF(TRIM($W163&amp;"")="30","30 Days Delinquent",IF($X163="Non-Performing Matured Balloon","Non-Performing Matured Balloon",IF(OR($X163="Late Payment But Less Than 30 Days Delinquent",LEFT($X163&amp;"",20)="Payment Not Received"),"Late / In Grace (&lt;30 Days)",IF($X163="Performing Matured Balloon","Performing Matured Balloon","Current")))))))))</f>
        <v/>
      </c>
      <c r="CD163" s="78">
        <f>IF(OR($CC163="REO",$CC163="Foreclosure",$CC163="90+ Days Delinquent",$CC163="60 Days Delinquent",$CC163="30 Days Delinquent",$CC163="Non-Performing Matured Balloon"),1,0)</f>
        <v/>
      </c>
      <c r="CE163" s="76">
        <f>IF($AB163="Currently special serv","Currently Specially Serviced",IF($AB163="Returned to master serv","Previously Specially Serviced","Never Specially Serviced"))</f>
        <v/>
      </c>
      <c r="CF163" s="78">
        <f>IF($CE163="Currently Specially Serviced",1,0)</f>
        <v/>
      </c>
      <c r="CG163" s="76">
        <f>IF($AA163="Yes","Currently on Watchlist",IF($AA163="Previously","Previously on Watchlist","Never on Watchlist"))</f>
        <v/>
      </c>
      <c r="CH163" s="78">
        <f>IF($CG163="Currently on Watchlist",1,0)</f>
        <v/>
      </c>
      <c r="CI163" s="76">
        <f>IF($Z163="Full Defeasance","Fully Defeased",IF($Z163="Portion Of Loan Previously Defeased","Partially Defeased",IF($Z163="Defeasance Not Allowable","Not Defeased (Not Permitted)","Not Defeased")))</f>
        <v/>
      </c>
      <c r="CJ163" s="78">
        <f>IF($CI163="Fully Defeased",1,0)</f>
        <v/>
      </c>
      <c r="CK163" s="76">
        <f>IF($R163="IO","Full IO",IF(LEFT($R163&amp;"",7)="IO then","Partial IO","Amortizing"))</f>
        <v/>
      </c>
      <c r="CL163" s="78">
        <f>IF($CK163="Full IO",1,0)</f>
        <v/>
      </c>
      <c r="CM163" s="78">
        <f>IF($CK163="Partial IO",1,0)</f>
        <v/>
      </c>
      <c r="CN163" s="76">
        <f>IF(LEFT($F163&amp;"",10)="SPLIT_LOAN","Pari Passu Split","Standalone")</f>
        <v/>
      </c>
      <c r="CO163" s="78">
        <f>IF($CN163="Pari Passu Split",1,0)</f>
        <v/>
      </c>
      <c r="CP163" s="77">
        <f>IF(ISNUMBER($T163),YEAR($T163),"")</f>
        <v/>
      </c>
      <c r="CQ163" s="79">
        <f>IF(ISNUMBER($V163),$V163,IF(ISNUMBER($U163),$U163,""))</f>
        <v/>
      </c>
      <c r="CR163" s="77">
        <f>IF(ISNUMBER($CQ163),YEAR($CQ163),"")</f>
        <v/>
      </c>
      <c r="CS163" s="78">
        <f>IF(ISNUMBER($M163),MAX(0,$M163),IF(TRIM($M163&amp;"")="matured",0,""))</f>
        <v/>
      </c>
      <c r="CT163" s="78">
        <f>IF(AND(ISNUMBER($CS163),N($CS163)&lt;=mMatWindow),1,0)</f>
        <v/>
      </c>
      <c r="CU163" s="80">
        <f>IF(ISNUMBER($J163),$J163/100,"")</f>
        <v/>
      </c>
      <c r="CV163" s="81">
        <f>IF(ISNUMBER($AQ163),$AQ163,"")</f>
        <v/>
      </c>
      <c r="CW163" s="81">
        <f>IF(ISNUMBER($AR163),$AR163,"")</f>
        <v/>
      </c>
      <c r="CX163" s="82">
        <f>IF(ISNUMBER($AS163),$AS163/100,"")</f>
        <v/>
      </c>
      <c r="CY163" s="82">
        <f>IF(ISNUMBER($AT163),$AT163/100,"")</f>
        <v/>
      </c>
      <c r="CZ163" s="82">
        <f>IF(ISNUMBER($AU163),$AU163/100,"")</f>
        <v/>
      </c>
      <c r="DA163" s="82">
        <f>IF(ISNUMBER($AV163),$AV163/100,"")</f>
        <v/>
      </c>
      <c r="DB163" s="82">
        <f>IF(ISNUMBER($AW163),$AW163/100,"")</f>
        <v/>
      </c>
      <c r="DC163" s="82">
        <f>IF(ISNUMBER($AX163),$AX163/100,"")</f>
        <v/>
      </c>
      <c r="DD163" s="77">
        <f>IFERROR(VALUE(LEFT(TRIM($AO163&amp;""),4)),"")</f>
        <v/>
      </c>
      <c r="DE163" s="78">
        <f>IF(AND($BY163=1,$BX163=1,OR(fDeal="All Deals",$BU163=fDeal),OR(fEntity="All Entities",$BV163=fEntity),OR(fPType="All Property Types",$BZ163=fPType),OR(fDefeased="Include",$CJ163=0)),1,0)</f>
        <v/>
      </c>
      <c r="DF163" s="83">
        <f>$DE163*N($I163)</f>
        <v/>
      </c>
      <c r="DG163" s="78">
        <f>IF($DE163=1,IF(COUNTIFS($F$8:$F163,$F163,$DE$8:$DE163,1)=1,1,0),0)</f>
        <v/>
      </c>
      <c r="DH163" s="83">
        <f>IF($DG163=1,SUMIFS($DF$8:$DF$1600,$F$8:$F$1600,$F163),0)</f>
        <v/>
      </c>
      <c r="DI163" s="78">
        <f>IF($DG163=1,COUNTIFS($F$8:$F$1600,$F163,$DE$8:$DE$1600,1),0)</f>
        <v/>
      </c>
      <c r="DJ163" s="84">
        <f>IF($DG163=1,$DH163+(100000-ROW())/mTieBreak,0)</f>
        <v/>
      </c>
    </row>
    <row r="164">
      <c r="B164" s="68" t="n">
        <v>41</v>
      </c>
      <c r="C164" s="69" t="inlineStr">
        <is>
          <t>WFC18C47</t>
        </is>
      </c>
      <c r="D164" s="69" t="inlineStr">
        <is>
          <t>41.000</t>
        </is>
      </c>
      <c r="E164" s="69" t="inlineStr">
        <is>
          <t>Centerpointe at Natomas Crossing</t>
        </is>
      </c>
      <c r="F164" s="69" t="inlineStr">
        <is>
          <t>LNWFC18C47-41.000</t>
        </is>
      </c>
      <c r="G164" s="70" t="n"/>
      <c r="H164" s="71" t="n">
        <v>7500000</v>
      </c>
      <c r="I164" s="71" t="n">
        <v>6557344.4900025</v>
      </c>
      <c r="J164" s="72" t="n">
        <v>5.34</v>
      </c>
      <c r="K164" s="69" t="inlineStr">
        <is>
          <t>Fixed rate</t>
        </is>
      </c>
      <c r="L164" s="68" t="n">
        <v>120</v>
      </c>
      <c r="M164" s="68" t="n">
        <v>25</v>
      </c>
      <c r="N164" s="68" t="n">
        <v>360</v>
      </c>
      <c r="O164" s="68" t="n"/>
      <c r="P164" s="68" t="n"/>
      <c r="Q164" s="68" t="n">
        <v>95</v>
      </c>
      <c r="R164" s="69" t="n"/>
      <c r="S164" s="69" t="inlineStr">
        <is>
          <t>No</t>
        </is>
      </c>
      <c r="T164" s="73" t="n">
        <v>43374</v>
      </c>
      <c r="U164" s="73" t="n">
        <v>47032</v>
      </c>
      <c r="V164" s="73" t="n"/>
      <c r="W164" s="69" t="n"/>
      <c r="X164" s="69" t="inlineStr">
        <is>
          <t>Current</t>
        </is>
      </c>
      <c r="Y164" s="68" t="n"/>
      <c r="Z164" s="69" t="inlineStr">
        <is>
          <t>Full Defeasance</t>
        </is>
      </c>
      <c r="AA164" s="69" t="inlineStr">
        <is>
          <t>Previously</t>
        </is>
      </c>
      <c r="AB164" s="69" t="inlineStr">
        <is>
          <t>Never special serv</t>
        </is>
      </c>
      <c r="AC164" s="73" t="n"/>
      <c r="AD164" s="69" t="n"/>
      <c r="AE164" s="69" t="n"/>
      <c r="AF164" s="69" t="inlineStr">
        <is>
          <t>CA</t>
        </is>
      </c>
      <c r="AG164" s="69" t="inlineStr">
        <is>
          <t>Sacramento</t>
        </is>
      </c>
      <c r="AH164" s="69" t="inlineStr">
        <is>
          <t>Sacramento-Roseville-Folsom, CA</t>
        </is>
      </c>
      <c r="AI164" s="69" t="inlineStr">
        <is>
          <t>West / Pacific North</t>
        </is>
      </c>
      <c r="AJ164" s="69" t="inlineStr">
        <is>
          <t>OF</t>
        </is>
      </c>
      <c r="AK164" s="69" t="inlineStr">
        <is>
          <t>Suburban</t>
        </is>
      </c>
      <c r="AL164" s="68" t="n">
        <v>1</v>
      </c>
      <c r="AM164" s="68" t="n"/>
      <c r="AN164" s="68" t="n">
        <v>53500</v>
      </c>
      <c r="AO164" s="69" t="inlineStr">
        <is>
          <t>2005</t>
        </is>
      </c>
      <c r="AP164" s="70" t="n">
        <v>2005</v>
      </c>
      <c r="AQ164" s="74" t="n">
        <v>1.38</v>
      </c>
      <c r="AR164" s="74" t="n">
        <v>0.95</v>
      </c>
      <c r="AS164" s="74" t="n">
        <v>67.59999999999999</v>
      </c>
      <c r="AT164" s="74" t="n">
        <v>59.08</v>
      </c>
      <c r="AU164" s="74" t="n">
        <v>56.2</v>
      </c>
      <c r="AV164" s="74" t="n">
        <v>9.241226666999999</v>
      </c>
      <c r="AW164" s="74" t="n">
        <v>7.010349246</v>
      </c>
      <c r="AX164" s="75" t="n">
        <v>87</v>
      </c>
      <c r="AY164" s="71" t="n">
        <v>11100000</v>
      </c>
      <c r="AZ164" s="71" t="n">
        <v>11100000</v>
      </c>
      <c r="BA164" s="71" t="n">
        <v>693092</v>
      </c>
      <c r="BB164" s="71" t="n">
        <v>358779.32</v>
      </c>
      <c r="BC164" s="69" t="inlineStr">
        <is>
          <t>Refinance</t>
        </is>
      </c>
      <c r="BD164" s="69" t="inlineStr">
        <is>
          <t>N</t>
        </is>
      </c>
      <c r="BE164" s="71" t="n"/>
      <c r="BF164" s="71" t="n"/>
      <c r="BG164" s="71" t="n"/>
      <c r="BH164" s="71" t="n">
        <v>0</v>
      </c>
      <c r="BI164" s="71" t="n">
        <v>0</v>
      </c>
      <c r="BJ164" s="69" t="inlineStr">
        <is>
          <t>N</t>
        </is>
      </c>
      <c r="BK164" s="69" t="inlineStr">
        <is>
          <t>Soka Gakkai International</t>
        </is>
      </c>
      <c r="BL164" s="75" t="n">
        <v>15.85</v>
      </c>
      <c r="BM164" s="73" t="n">
        <v>47452</v>
      </c>
      <c r="BN164" s="69" t="inlineStr">
        <is>
          <t>Jack Meissner; Mary Anne Meissner; Jack and Mary Meissner Family Revocable Trust Dated February 23, 1984</t>
        </is>
      </c>
      <c r="BO164" s="69" t="inlineStr">
        <is>
          <t>RMF</t>
        </is>
      </c>
      <c r="BP164" s="69" t="inlineStr">
        <is>
          <t>TriMont Real Estate Advisors</t>
        </is>
      </c>
      <c r="BQ164" s="69" t="inlineStr">
        <is>
          <t>K-Star Asset Management LLC</t>
        </is>
      </c>
      <c r="BR164" s="69" t="n"/>
      <c r="BS164" s="73" t="n">
        <v>46276</v>
      </c>
      <c r="BU164" s="76">
        <f>IF($C164="","",IFERROR(INDEX(dmName,MATCH($C164,dmID,0)),"Unmapped"))</f>
        <v/>
      </c>
      <c r="BV164" s="76">
        <f>IF($C164="","",IFERROR(INDEX(dmEntity,MATCH($C164,dmID,0)),"Unmapped"))</f>
        <v/>
      </c>
      <c r="BW164" s="77">
        <f>IF($C164="","",IFERROR(INDEX(dmVintage,MATCH($C164,dmID,0)),""))</f>
        <v/>
      </c>
      <c r="BX164" s="78">
        <f>IFERROR(INDEX(dmInclude,MATCH($C164,dmID,0)),0)</f>
        <v/>
      </c>
      <c r="BY164" s="78">
        <f>IF(N($I164)&gt;0,1,0)</f>
        <v/>
      </c>
      <c r="BZ164" s="76">
        <f>IF($AJ164="","Other / Leased Fee",IFERROR(INDEX(mapPTGroup,MATCH(LEFT(TRIM($AJ164),2),mapPTCode,0)),"Other / Leased Fee"))</f>
        <v/>
      </c>
      <c r="CA164" s="76">
        <f>IF(TRIM($AF164&amp;"")="","NR",LEFT(TRIM($AF164),2))</f>
        <v/>
      </c>
      <c r="CB164" s="76">
        <f>IFERROR(LOOKUP(2,1/(LEFT(TRIM($AI164&amp;""),LEN(mapRegion))=mapRegion),mapRegion),"Not Reported")</f>
        <v/>
      </c>
      <c r="CC164" s="76">
        <f>IF($BY164=0,"",IF(TRIM($W164&amp;"")="REO","REO",IF(TRIM($W164&amp;"")="FC","Foreclosure",IF(TRIM($W164&amp;"")="90+","90+ Days Delinquent",IF(TRIM($W164&amp;"")="60","60 Days Delinquent",IF(TRIM($W164&amp;"")="30","30 Days Delinquent",IF($X164="Non-Performing Matured Balloon","Non-Performing Matured Balloon",IF(OR($X164="Late Payment But Less Than 30 Days Delinquent",LEFT($X164&amp;"",20)="Payment Not Received"),"Late / In Grace (&lt;30 Days)",IF($X164="Performing Matured Balloon","Performing Matured Balloon","Current")))))))))</f>
        <v/>
      </c>
      <c r="CD164" s="78">
        <f>IF(OR($CC164="REO",$CC164="Foreclosure",$CC164="90+ Days Delinquent",$CC164="60 Days Delinquent",$CC164="30 Days Delinquent",$CC164="Non-Performing Matured Balloon"),1,0)</f>
        <v/>
      </c>
      <c r="CE164" s="76">
        <f>IF($AB164="Currently special serv","Currently Specially Serviced",IF($AB164="Returned to master serv","Previously Specially Serviced","Never Specially Serviced"))</f>
        <v/>
      </c>
      <c r="CF164" s="78">
        <f>IF($CE164="Currently Specially Serviced",1,0)</f>
        <v/>
      </c>
      <c r="CG164" s="76">
        <f>IF($AA164="Yes","Currently on Watchlist",IF($AA164="Previously","Previously on Watchlist","Never on Watchlist"))</f>
        <v/>
      </c>
      <c r="CH164" s="78">
        <f>IF($CG164="Currently on Watchlist",1,0)</f>
        <v/>
      </c>
      <c r="CI164" s="76">
        <f>IF($Z164="Full Defeasance","Fully Defeased",IF($Z164="Portion Of Loan Previously Defeased","Partially Defeased",IF($Z164="Defeasance Not Allowable","Not Defeased (Not Permitted)","Not Defeased")))</f>
        <v/>
      </c>
      <c r="CJ164" s="78">
        <f>IF($CI164="Fully Defeased",1,0)</f>
        <v/>
      </c>
      <c r="CK164" s="76">
        <f>IF($R164="IO","Full IO",IF(LEFT($R164&amp;"",7)="IO then","Partial IO","Amortizing"))</f>
        <v/>
      </c>
      <c r="CL164" s="78">
        <f>IF($CK164="Full IO",1,0)</f>
        <v/>
      </c>
      <c r="CM164" s="78">
        <f>IF($CK164="Partial IO",1,0)</f>
        <v/>
      </c>
      <c r="CN164" s="76">
        <f>IF(LEFT($F164&amp;"",10)="SPLIT_LOAN","Pari Passu Split","Standalone")</f>
        <v/>
      </c>
      <c r="CO164" s="78">
        <f>IF($CN164="Pari Passu Split",1,0)</f>
        <v/>
      </c>
      <c r="CP164" s="77">
        <f>IF(ISNUMBER($T164),YEAR($T164),"")</f>
        <v/>
      </c>
      <c r="CQ164" s="79">
        <f>IF(ISNUMBER($V164),$V164,IF(ISNUMBER($U164),$U164,""))</f>
        <v/>
      </c>
      <c r="CR164" s="77">
        <f>IF(ISNUMBER($CQ164),YEAR($CQ164),"")</f>
        <v/>
      </c>
      <c r="CS164" s="78">
        <f>IF(ISNUMBER($M164),MAX(0,$M164),IF(TRIM($M164&amp;"")="matured",0,""))</f>
        <v/>
      </c>
      <c r="CT164" s="78">
        <f>IF(AND(ISNUMBER($CS164),N($CS164)&lt;=mMatWindow),1,0)</f>
        <v/>
      </c>
      <c r="CU164" s="80">
        <f>IF(ISNUMBER($J164),$J164/100,"")</f>
        <v/>
      </c>
      <c r="CV164" s="81">
        <f>IF(ISNUMBER($AQ164),$AQ164,"")</f>
        <v/>
      </c>
      <c r="CW164" s="81">
        <f>IF(ISNUMBER($AR164),$AR164,"")</f>
        <v/>
      </c>
      <c r="CX164" s="82">
        <f>IF(ISNUMBER($AS164),$AS164/100,"")</f>
        <v/>
      </c>
      <c r="CY164" s="82">
        <f>IF(ISNUMBER($AT164),$AT164/100,"")</f>
        <v/>
      </c>
      <c r="CZ164" s="82">
        <f>IF(ISNUMBER($AU164),$AU164/100,"")</f>
        <v/>
      </c>
      <c r="DA164" s="82">
        <f>IF(ISNUMBER($AV164),$AV164/100,"")</f>
        <v/>
      </c>
      <c r="DB164" s="82">
        <f>IF(ISNUMBER($AW164),$AW164/100,"")</f>
        <v/>
      </c>
      <c r="DC164" s="82">
        <f>IF(ISNUMBER($AX164),$AX164/100,"")</f>
        <v/>
      </c>
      <c r="DD164" s="77">
        <f>IFERROR(VALUE(LEFT(TRIM($AO164&amp;""),4)),"")</f>
        <v/>
      </c>
      <c r="DE164" s="78">
        <f>IF(AND($BY164=1,$BX164=1,OR(fDeal="All Deals",$BU164=fDeal),OR(fEntity="All Entities",$BV164=fEntity),OR(fPType="All Property Types",$BZ164=fPType),OR(fDefeased="Include",$CJ164=0)),1,0)</f>
        <v/>
      </c>
      <c r="DF164" s="83">
        <f>$DE164*N($I164)</f>
        <v/>
      </c>
      <c r="DG164" s="78">
        <f>IF($DE164=1,IF(COUNTIFS($F$8:$F164,$F164,$DE$8:$DE164,1)=1,1,0),0)</f>
        <v/>
      </c>
      <c r="DH164" s="83">
        <f>IF($DG164=1,SUMIFS($DF$8:$DF$1600,$F$8:$F$1600,$F164),0)</f>
        <v/>
      </c>
      <c r="DI164" s="78">
        <f>IF($DG164=1,COUNTIFS($F$8:$F$1600,$F164,$DE$8:$DE$1600,1),0)</f>
        <v/>
      </c>
      <c r="DJ164" s="84">
        <f>IF($DG164=1,$DH164+(100000-ROW())/mTieBreak,0)</f>
        <v/>
      </c>
    </row>
    <row r="165">
      <c r="B165" s="68" t="n">
        <v>42</v>
      </c>
      <c r="C165" s="69" t="inlineStr">
        <is>
          <t>WFC18C47</t>
        </is>
      </c>
      <c r="D165" s="69" t="inlineStr">
        <is>
          <t>42.000</t>
        </is>
      </c>
      <c r="E165" s="69" t="inlineStr">
        <is>
          <t>Indigo Corners</t>
        </is>
      </c>
      <c r="F165" s="69" t="inlineStr">
        <is>
          <t>LNWFC18C47-42.000</t>
        </is>
      </c>
      <c r="G165" s="70" t="n"/>
      <c r="H165" s="71" t="n">
        <v>7500000</v>
      </c>
      <c r="I165" s="71" t="n">
        <v>6775236.6</v>
      </c>
      <c r="J165" s="72" t="n">
        <v>4.955</v>
      </c>
      <c r="K165" s="69" t="inlineStr">
        <is>
          <t>Fixed rate</t>
        </is>
      </c>
      <c r="L165" s="68" t="n">
        <v>120</v>
      </c>
      <c r="M165" s="68" t="n">
        <v>24</v>
      </c>
      <c r="N165" s="68" t="n">
        <v>384</v>
      </c>
      <c r="O165" s="68" t="n">
        <v>24</v>
      </c>
      <c r="P165" s="68" t="n">
        <v>0</v>
      </c>
      <c r="Q165" s="68" t="n">
        <v>96</v>
      </c>
      <c r="R165" s="69" t="inlineStr">
        <is>
          <t>IO then Amort</t>
        </is>
      </c>
      <c r="S165" s="69" t="inlineStr">
        <is>
          <t>No</t>
        </is>
      </c>
      <c r="T165" s="73" t="n">
        <v>43344</v>
      </c>
      <c r="U165" s="73" t="n">
        <v>47002</v>
      </c>
      <c r="V165" s="73" t="n"/>
      <c r="W165" s="69" t="n"/>
      <c r="X165" s="69" t="inlineStr">
        <is>
          <t>Current</t>
        </is>
      </c>
      <c r="Y165" s="68" t="n"/>
      <c r="Z165" s="69" t="inlineStr">
        <is>
          <t>No Defeasance Occurred</t>
        </is>
      </c>
      <c r="AA165" s="69" t="n"/>
      <c r="AB165" s="69" t="inlineStr">
        <is>
          <t>Never special serv</t>
        </is>
      </c>
      <c r="AC165" s="73" t="n"/>
      <c r="AD165" s="69" t="n"/>
      <c r="AE165" s="69" t="n"/>
      <c r="AF165" s="69" t="inlineStr">
        <is>
          <t>NC</t>
        </is>
      </c>
      <c r="AG165" s="69" t="inlineStr">
        <is>
          <t>Durham</t>
        </is>
      </c>
      <c r="AH165" s="69" t="inlineStr">
        <is>
          <t>Durham-Chapel Hill, NC</t>
        </is>
      </c>
      <c r="AI165" s="69" t="inlineStr">
        <is>
          <t>South / Atlantic</t>
        </is>
      </c>
      <c r="AJ165" s="69" t="inlineStr">
        <is>
          <t>RT</t>
        </is>
      </c>
      <c r="AK165" s="69" t="inlineStr">
        <is>
          <t>Shadow Anchored</t>
        </is>
      </c>
      <c r="AL165" s="68" t="n">
        <v>1</v>
      </c>
      <c r="AM165" s="68" t="n"/>
      <c r="AN165" s="68" t="n">
        <v>28563</v>
      </c>
      <c r="AO165" s="69" t="inlineStr">
        <is>
          <t>2006</t>
        </is>
      </c>
      <c r="AP165" s="70" t="n">
        <v>2006</v>
      </c>
      <c r="AQ165" s="74" t="n">
        <v>1.36</v>
      </c>
      <c r="AR165" s="74" t="n">
        <v>1.24</v>
      </c>
      <c r="AS165" s="74" t="n">
        <v>70.09999999999999</v>
      </c>
      <c r="AT165" s="74" t="n">
        <v>63.32</v>
      </c>
      <c r="AU165" s="74" t="n">
        <v>60.6</v>
      </c>
      <c r="AV165" s="74" t="n">
        <v>8.736937599999999</v>
      </c>
      <c r="AW165" s="74" t="n">
        <v>11.613069719</v>
      </c>
      <c r="AX165" s="75" t="n">
        <v>77</v>
      </c>
      <c r="AY165" s="71" t="n">
        <v>10700000</v>
      </c>
      <c r="AZ165" s="71" t="n">
        <v>10700000</v>
      </c>
      <c r="BA165" s="71" t="n">
        <v>655270.3199999999</v>
      </c>
      <c r="BB165" s="71" t="n">
        <v>297901.1</v>
      </c>
      <c r="BC165" s="69" t="inlineStr">
        <is>
          <t>Acquisition</t>
        </is>
      </c>
      <c r="BD165" s="69" t="inlineStr">
        <is>
          <t>N</t>
        </is>
      </c>
      <c r="BE165" s="71" t="n"/>
      <c r="BF165" s="71" t="n"/>
      <c r="BG165" s="71" t="n"/>
      <c r="BH165" s="71" t="n">
        <v>0</v>
      </c>
      <c r="BI165" s="71" t="n">
        <v>0</v>
      </c>
      <c r="BJ165" s="69" t="inlineStr">
        <is>
          <t>N</t>
        </is>
      </c>
      <c r="BK165" s="69" t="inlineStr">
        <is>
          <t>Verizon</t>
        </is>
      </c>
      <c r="BL165" s="75" t="n">
        <v>21.01</v>
      </c>
      <c r="BM165" s="73" t="n">
        <v>47634</v>
      </c>
      <c r="BN165" s="69" t="inlineStr">
        <is>
          <t>Michael D. Reynolds</t>
        </is>
      </c>
      <c r="BO165" s="69" t="inlineStr">
        <is>
          <t>Barclays</t>
        </is>
      </c>
      <c r="BP165" s="69" t="inlineStr">
        <is>
          <t>TriMont Real Estate Advisors</t>
        </is>
      </c>
      <c r="BQ165" s="69" t="inlineStr">
        <is>
          <t>K-Star Asset Management LLC</t>
        </is>
      </c>
      <c r="BR165" s="69" t="n"/>
      <c r="BS165" s="73" t="n">
        <v>46276</v>
      </c>
      <c r="BU165" s="76">
        <f>IF($C165="","",IFERROR(INDEX(dmName,MATCH($C165,dmID,0)),"Unmapped"))</f>
        <v/>
      </c>
      <c r="BV165" s="76">
        <f>IF($C165="","",IFERROR(INDEX(dmEntity,MATCH($C165,dmID,0)),"Unmapped"))</f>
        <v/>
      </c>
      <c r="BW165" s="77">
        <f>IF($C165="","",IFERROR(INDEX(dmVintage,MATCH($C165,dmID,0)),""))</f>
        <v/>
      </c>
      <c r="BX165" s="78">
        <f>IFERROR(INDEX(dmInclude,MATCH($C165,dmID,0)),0)</f>
        <v/>
      </c>
      <c r="BY165" s="78">
        <f>IF(N($I165)&gt;0,1,0)</f>
        <v/>
      </c>
      <c r="BZ165" s="76">
        <f>IF($AJ165="","Other / Leased Fee",IFERROR(INDEX(mapPTGroup,MATCH(LEFT(TRIM($AJ165),2),mapPTCode,0)),"Other / Leased Fee"))</f>
        <v/>
      </c>
      <c r="CA165" s="76">
        <f>IF(TRIM($AF165&amp;"")="","NR",LEFT(TRIM($AF165),2))</f>
        <v/>
      </c>
      <c r="CB165" s="76">
        <f>IFERROR(LOOKUP(2,1/(LEFT(TRIM($AI165&amp;""),LEN(mapRegion))=mapRegion),mapRegion),"Not Reported")</f>
        <v/>
      </c>
      <c r="CC165" s="76">
        <f>IF($BY165=0,"",IF(TRIM($W165&amp;"")="REO","REO",IF(TRIM($W165&amp;"")="FC","Foreclosure",IF(TRIM($W165&amp;"")="90+","90+ Days Delinquent",IF(TRIM($W165&amp;"")="60","60 Days Delinquent",IF(TRIM($W165&amp;"")="30","30 Days Delinquent",IF($X165="Non-Performing Matured Balloon","Non-Performing Matured Balloon",IF(OR($X165="Late Payment But Less Than 30 Days Delinquent",LEFT($X165&amp;"",20)="Payment Not Received"),"Late / In Grace (&lt;30 Days)",IF($X165="Performing Matured Balloon","Performing Matured Balloon","Current")))))))))</f>
        <v/>
      </c>
      <c r="CD165" s="78">
        <f>IF(OR($CC165="REO",$CC165="Foreclosure",$CC165="90+ Days Delinquent",$CC165="60 Days Delinquent",$CC165="30 Days Delinquent",$CC165="Non-Performing Matured Balloon"),1,0)</f>
        <v/>
      </c>
      <c r="CE165" s="76">
        <f>IF($AB165="Currently special serv","Currently Specially Serviced",IF($AB165="Returned to master serv","Previously Specially Serviced","Never Specially Serviced"))</f>
        <v/>
      </c>
      <c r="CF165" s="78">
        <f>IF($CE165="Currently Specially Serviced",1,0)</f>
        <v/>
      </c>
      <c r="CG165" s="76">
        <f>IF($AA165="Yes","Currently on Watchlist",IF($AA165="Previously","Previously on Watchlist","Never on Watchlist"))</f>
        <v/>
      </c>
      <c r="CH165" s="78">
        <f>IF($CG165="Currently on Watchlist",1,0)</f>
        <v/>
      </c>
      <c r="CI165" s="76">
        <f>IF($Z165="Full Defeasance","Fully Defeased",IF($Z165="Portion Of Loan Previously Defeased","Partially Defeased",IF($Z165="Defeasance Not Allowable","Not Defeased (Not Permitted)","Not Defeased")))</f>
        <v/>
      </c>
      <c r="CJ165" s="78">
        <f>IF($CI165="Fully Defeased",1,0)</f>
        <v/>
      </c>
      <c r="CK165" s="76">
        <f>IF($R165="IO","Full IO",IF(LEFT($R165&amp;"",7)="IO then","Partial IO","Amortizing"))</f>
        <v/>
      </c>
      <c r="CL165" s="78">
        <f>IF($CK165="Full IO",1,0)</f>
        <v/>
      </c>
      <c r="CM165" s="78">
        <f>IF($CK165="Partial IO",1,0)</f>
        <v/>
      </c>
      <c r="CN165" s="76">
        <f>IF(LEFT($F165&amp;"",10)="SPLIT_LOAN","Pari Passu Split","Standalone")</f>
        <v/>
      </c>
      <c r="CO165" s="78">
        <f>IF($CN165="Pari Passu Split",1,0)</f>
        <v/>
      </c>
      <c r="CP165" s="77">
        <f>IF(ISNUMBER($T165),YEAR($T165),"")</f>
        <v/>
      </c>
      <c r="CQ165" s="79">
        <f>IF(ISNUMBER($V165),$V165,IF(ISNUMBER($U165),$U165,""))</f>
        <v/>
      </c>
      <c r="CR165" s="77">
        <f>IF(ISNUMBER($CQ165),YEAR($CQ165),"")</f>
        <v/>
      </c>
      <c r="CS165" s="78">
        <f>IF(ISNUMBER($M165),MAX(0,$M165),IF(TRIM($M165&amp;"")="matured",0,""))</f>
        <v/>
      </c>
      <c r="CT165" s="78">
        <f>IF(AND(ISNUMBER($CS165),N($CS165)&lt;=mMatWindow),1,0)</f>
        <v/>
      </c>
      <c r="CU165" s="80">
        <f>IF(ISNUMBER($J165),$J165/100,"")</f>
        <v/>
      </c>
      <c r="CV165" s="81">
        <f>IF(ISNUMBER($AQ165),$AQ165,"")</f>
        <v/>
      </c>
      <c r="CW165" s="81">
        <f>IF(ISNUMBER($AR165),$AR165,"")</f>
        <v/>
      </c>
      <c r="CX165" s="82">
        <f>IF(ISNUMBER($AS165),$AS165/100,"")</f>
        <v/>
      </c>
      <c r="CY165" s="82">
        <f>IF(ISNUMBER($AT165),$AT165/100,"")</f>
        <v/>
      </c>
      <c r="CZ165" s="82">
        <f>IF(ISNUMBER($AU165),$AU165/100,"")</f>
        <v/>
      </c>
      <c r="DA165" s="82">
        <f>IF(ISNUMBER($AV165),$AV165/100,"")</f>
        <v/>
      </c>
      <c r="DB165" s="82">
        <f>IF(ISNUMBER($AW165),$AW165/100,"")</f>
        <v/>
      </c>
      <c r="DC165" s="82">
        <f>IF(ISNUMBER($AX165),$AX165/100,"")</f>
        <v/>
      </c>
      <c r="DD165" s="77">
        <f>IFERROR(VALUE(LEFT(TRIM($AO165&amp;""),4)),"")</f>
        <v/>
      </c>
      <c r="DE165" s="78">
        <f>IF(AND($BY165=1,$BX165=1,OR(fDeal="All Deals",$BU165=fDeal),OR(fEntity="All Entities",$BV165=fEntity),OR(fPType="All Property Types",$BZ165=fPType),OR(fDefeased="Include",$CJ165=0)),1,0)</f>
        <v/>
      </c>
      <c r="DF165" s="83">
        <f>$DE165*N($I165)</f>
        <v/>
      </c>
      <c r="DG165" s="78">
        <f>IF($DE165=1,IF(COUNTIFS($F$8:$F165,$F165,$DE$8:$DE165,1)=1,1,0),0)</f>
        <v/>
      </c>
      <c r="DH165" s="83">
        <f>IF($DG165=1,SUMIFS($DF$8:$DF$1600,$F$8:$F$1600,$F165),0)</f>
        <v/>
      </c>
      <c r="DI165" s="78">
        <f>IF($DG165=1,COUNTIFS($F$8:$F$1600,$F165,$DE$8:$DE$1600,1),0)</f>
        <v/>
      </c>
      <c r="DJ165" s="84">
        <f>IF($DG165=1,$DH165+(100000-ROW())/mTieBreak,0)</f>
        <v/>
      </c>
    </row>
    <row r="166">
      <c r="B166" s="68" t="n">
        <v>43</v>
      </c>
      <c r="C166" s="69" t="inlineStr">
        <is>
          <t>WFC18C47</t>
        </is>
      </c>
      <c r="D166" s="69" t="inlineStr">
        <is>
          <t>43.000</t>
        </is>
      </c>
      <c r="E166" s="69" t="inlineStr">
        <is>
          <t>South Lake Center</t>
        </is>
      </c>
      <c r="F166" s="69" t="inlineStr">
        <is>
          <t>LNWFC18C47-43.000</t>
        </is>
      </c>
      <c r="G166" s="70" t="n"/>
      <c r="H166" s="71" t="n">
        <v>7500000</v>
      </c>
      <c r="I166" s="71" t="n">
        <v>6452817.870000001</v>
      </c>
      <c r="J166" s="72" t="n">
        <v>4.78</v>
      </c>
      <c r="K166" s="69" t="inlineStr">
        <is>
          <t>Fixed rate</t>
        </is>
      </c>
      <c r="L166" s="68" t="n">
        <v>120</v>
      </c>
      <c r="M166" s="68" t="n">
        <v>24</v>
      </c>
      <c r="N166" s="68" t="n">
        <v>360</v>
      </c>
      <c r="O166" s="68" t="n"/>
      <c r="P166" s="68" t="n"/>
      <c r="Q166" s="68" t="n">
        <v>96</v>
      </c>
      <c r="R166" s="69" t="n"/>
      <c r="S166" s="69" t="inlineStr">
        <is>
          <t>No</t>
        </is>
      </c>
      <c r="T166" s="73" t="n">
        <v>43344</v>
      </c>
      <c r="U166" s="73" t="n">
        <v>47007</v>
      </c>
      <c r="V166" s="73" t="n"/>
      <c r="W166" s="69" t="n"/>
      <c r="X166" s="69" t="inlineStr">
        <is>
          <t>Current</t>
        </is>
      </c>
      <c r="Y166" s="68" t="n"/>
      <c r="Z166" s="69" t="inlineStr">
        <is>
          <t>Defeasance Not Allowable</t>
        </is>
      </c>
      <c r="AA166" s="69" t="inlineStr">
        <is>
          <t>Yes</t>
        </is>
      </c>
      <c r="AB166" s="69" t="inlineStr">
        <is>
          <t>Never special serv</t>
        </is>
      </c>
      <c r="AC166" s="73" t="n"/>
      <c r="AD166" s="69" t="n"/>
      <c r="AE166" s="69" t="n"/>
      <c r="AF166" s="69" t="inlineStr">
        <is>
          <t>CA</t>
        </is>
      </c>
      <c r="AG166" s="69" t="inlineStr">
        <is>
          <t>Pasadena</t>
        </is>
      </c>
      <c r="AH166" s="69" t="inlineStr">
        <is>
          <t>Los Angeles-Long Beach-Anaheim, CA</t>
        </is>
      </c>
      <c r="AI166" s="69" t="inlineStr">
        <is>
          <t>West / Pacific South</t>
        </is>
      </c>
      <c r="AJ166" s="69" t="inlineStr">
        <is>
          <t>MX</t>
        </is>
      </c>
      <c r="AK166" s="69" t="inlineStr">
        <is>
          <t>Retail/Office</t>
        </is>
      </c>
      <c r="AL166" s="68" t="n">
        <v>1</v>
      </c>
      <c r="AM166" s="68" t="n"/>
      <c r="AN166" s="68" t="n">
        <v>39290</v>
      </c>
      <c r="AO166" s="69" t="inlineStr">
        <is>
          <t>1949</t>
        </is>
      </c>
      <c r="AP166" s="70" t="n">
        <v>2007</v>
      </c>
      <c r="AQ166" s="74" t="n">
        <v>2.34</v>
      </c>
      <c r="AR166" s="74" t="n">
        <v>3.47</v>
      </c>
      <c r="AS166" s="74" t="n">
        <v>32.4</v>
      </c>
      <c r="AT166" s="74" t="n">
        <v>27.93</v>
      </c>
      <c r="AU166" s="74" t="n">
        <v>26.5</v>
      </c>
      <c r="AV166" s="74" t="n">
        <v>14.669653333</v>
      </c>
      <c r="AW166" s="74" t="n">
        <v>18.128226824</v>
      </c>
      <c r="AX166" s="75" t="n">
        <v>100</v>
      </c>
      <c r="AY166" s="71" t="n">
        <v>23100000</v>
      </c>
      <c r="AZ166" s="71" t="n">
        <v>23100000</v>
      </c>
      <c r="BA166" s="71" t="n">
        <v>1100224</v>
      </c>
      <c r="BB166" s="71" t="n">
        <v>408203.7</v>
      </c>
      <c r="BC166" s="69" t="inlineStr">
        <is>
          <t>Refinance</t>
        </is>
      </c>
      <c r="BD166" s="69" t="inlineStr">
        <is>
          <t>N</t>
        </is>
      </c>
      <c r="BE166" s="71" t="n"/>
      <c r="BF166" s="71" t="n"/>
      <c r="BG166" s="71" t="n"/>
      <c r="BH166" s="71" t="n">
        <v>0</v>
      </c>
      <c r="BI166" s="71" t="n">
        <v>0</v>
      </c>
      <c r="BJ166" s="69" t="inlineStr">
        <is>
          <t>N</t>
        </is>
      </c>
      <c r="BK166" s="69" t="inlineStr">
        <is>
          <t>Walgreens</t>
        </is>
      </c>
      <c r="BL166" s="75" t="n">
        <v>68.78</v>
      </c>
      <c r="BM166" s="73" t="n">
        <v>46550</v>
      </c>
      <c r="BN166" s="69" t="inlineStr">
        <is>
          <t>Leon Zekaria; Isaac Zekaria</t>
        </is>
      </c>
      <c r="BO166" s="69" t="inlineStr">
        <is>
          <t>Wells Fargo</t>
        </is>
      </c>
      <c r="BP166" s="69" t="inlineStr">
        <is>
          <t>TriMont Real Estate Advisors</t>
        </is>
      </c>
      <c r="BQ166" s="69" t="inlineStr">
        <is>
          <t>K-Star Asset Management LLC</t>
        </is>
      </c>
      <c r="BR166" s="69" t="n"/>
      <c r="BS166" s="73" t="n">
        <v>46276</v>
      </c>
      <c r="BU166" s="76">
        <f>IF($C166="","",IFERROR(INDEX(dmName,MATCH($C166,dmID,0)),"Unmapped"))</f>
        <v/>
      </c>
      <c r="BV166" s="76">
        <f>IF($C166="","",IFERROR(INDEX(dmEntity,MATCH($C166,dmID,0)),"Unmapped"))</f>
        <v/>
      </c>
      <c r="BW166" s="77">
        <f>IF($C166="","",IFERROR(INDEX(dmVintage,MATCH($C166,dmID,0)),""))</f>
        <v/>
      </c>
      <c r="BX166" s="78">
        <f>IFERROR(INDEX(dmInclude,MATCH($C166,dmID,0)),0)</f>
        <v/>
      </c>
      <c r="BY166" s="78">
        <f>IF(N($I166)&gt;0,1,0)</f>
        <v/>
      </c>
      <c r="BZ166" s="76">
        <f>IF($AJ166="","Other / Leased Fee",IFERROR(INDEX(mapPTGroup,MATCH(LEFT(TRIM($AJ166),2),mapPTCode,0)),"Other / Leased Fee"))</f>
        <v/>
      </c>
      <c r="CA166" s="76">
        <f>IF(TRIM($AF166&amp;"")="","NR",LEFT(TRIM($AF166),2))</f>
        <v/>
      </c>
      <c r="CB166" s="76">
        <f>IFERROR(LOOKUP(2,1/(LEFT(TRIM($AI166&amp;""),LEN(mapRegion))=mapRegion),mapRegion),"Not Reported")</f>
        <v/>
      </c>
      <c r="CC166" s="76">
        <f>IF($BY166=0,"",IF(TRIM($W166&amp;"")="REO","REO",IF(TRIM($W166&amp;"")="FC","Foreclosure",IF(TRIM($W166&amp;"")="90+","90+ Days Delinquent",IF(TRIM($W166&amp;"")="60","60 Days Delinquent",IF(TRIM($W166&amp;"")="30","30 Days Delinquent",IF($X166="Non-Performing Matured Balloon","Non-Performing Matured Balloon",IF(OR($X166="Late Payment But Less Than 30 Days Delinquent",LEFT($X166&amp;"",20)="Payment Not Received"),"Late / In Grace (&lt;30 Days)",IF($X166="Performing Matured Balloon","Performing Matured Balloon","Current")))))))))</f>
        <v/>
      </c>
      <c r="CD166" s="78">
        <f>IF(OR($CC166="REO",$CC166="Foreclosure",$CC166="90+ Days Delinquent",$CC166="60 Days Delinquent",$CC166="30 Days Delinquent",$CC166="Non-Performing Matured Balloon"),1,0)</f>
        <v/>
      </c>
      <c r="CE166" s="76">
        <f>IF($AB166="Currently special serv","Currently Specially Serviced",IF($AB166="Returned to master serv","Previously Specially Serviced","Never Specially Serviced"))</f>
        <v/>
      </c>
      <c r="CF166" s="78">
        <f>IF($CE166="Currently Specially Serviced",1,0)</f>
        <v/>
      </c>
      <c r="CG166" s="76">
        <f>IF($AA166="Yes","Currently on Watchlist",IF($AA166="Previously","Previously on Watchlist","Never on Watchlist"))</f>
        <v/>
      </c>
      <c r="CH166" s="78">
        <f>IF($CG166="Currently on Watchlist",1,0)</f>
        <v/>
      </c>
      <c r="CI166" s="76">
        <f>IF($Z166="Full Defeasance","Fully Defeased",IF($Z166="Portion Of Loan Previously Defeased","Partially Defeased",IF($Z166="Defeasance Not Allowable","Not Defeased (Not Permitted)","Not Defeased")))</f>
        <v/>
      </c>
      <c r="CJ166" s="78">
        <f>IF($CI166="Fully Defeased",1,0)</f>
        <v/>
      </c>
      <c r="CK166" s="76">
        <f>IF($R166="IO","Full IO",IF(LEFT($R166&amp;"",7)="IO then","Partial IO","Amortizing"))</f>
        <v/>
      </c>
      <c r="CL166" s="78">
        <f>IF($CK166="Full IO",1,0)</f>
        <v/>
      </c>
      <c r="CM166" s="78">
        <f>IF($CK166="Partial IO",1,0)</f>
        <v/>
      </c>
      <c r="CN166" s="76">
        <f>IF(LEFT($F166&amp;"",10)="SPLIT_LOAN","Pari Passu Split","Standalone")</f>
        <v/>
      </c>
      <c r="CO166" s="78">
        <f>IF($CN166="Pari Passu Split",1,0)</f>
        <v/>
      </c>
      <c r="CP166" s="77">
        <f>IF(ISNUMBER($T166),YEAR($T166),"")</f>
        <v/>
      </c>
      <c r="CQ166" s="79">
        <f>IF(ISNUMBER($V166),$V166,IF(ISNUMBER($U166),$U166,""))</f>
        <v/>
      </c>
      <c r="CR166" s="77">
        <f>IF(ISNUMBER($CQ166),YEAR($CQ166),"")</f>
        <v/>
      </c>
      <c r="CS166" s="78">
        <f>IF(ISNUMBER($M166),MAX(0,$M166),IF(TRIM($M166&amp;"")="matured",0,""))</f>
        <v/>
      </c>
      <c r="CT166" s="78">
        <f>IF(AND(ISNUMBER($CS166),N($CS166)&lt;=mMatWindow),1,0)</f>
        <v/>
      </c>
      <c r="CU166" s="80">
        <f>IF(ISNUMBER($J166),$J166/100,"")</f>
        <v/>
      </c>
      <c r="CV166" s="81">
        <f>IF(ISNUMBER($AQ166),$AQ166,"")</f>
        <v/>
      </c>
      <c r="CW166" s="81">
        <f>IF(ISNUMBER($AR166),$AR166,"")</f>
        <v/>
      </c>
      <c r="CX166" s="82">
        <f>IF(ISNUMBER($AS166),$AS166/100,"")</f>
        <v/>
      </c>
      <c r="CY166" s="82">
        <f>IF(ISNUMBER($AT166),$AT166/100,"")</f>
        <v/>
      </c>
      <c r="CZ166" s="82">
        <f>IF(ISNUMBER($AU166),$AU166/100,"")</f>
        <v/>
      </c>
      <c r="DA166" s="82">
        <f>IF(ISNUMBER($AV166),$AV166/100,"")</f>
        <v/>
      </c>
      <c r="DB166" s="82">
        <f>IF(ISNUMBER($AW166),$AW166/100,"")</f>
        <v/>
      </c>
      <c r="DC166" s="82">
        <f>IF(ISNUMBER($AX166),$AX166/100,"")</f>
        <v/>
      </c>
      <c r="DD166" s="77">
        <f>IFERROR(VALUE(LEFT(TRIM($AO166&amp;""),4)),"")</f>
        <v/>
      </c>
      <c r="DE166" s="78">
        <f>IF(AND($BY166=1,$BX166=1,OR(fDeal="All Deals",$BU166=fDeal),OR(fEntity="All Entities",$BV166=fEntity),OR(fPType="All Property Types",$BZ166=fPType),OR(fDefeased="Include",$CJ166=0)),1,0)</f>
        <v/>
      </c>
      <c r="DF166" s="83">
        <f>$DE166*N($I166)</f>
        <v/>
      </c>
      <c r="DG166" s="78">
        <f>IF($DE166=1,IF(COUNTIFS($F$8:$F166,$F166,$DE$8:$DE166,1)=1,1,0),0)</f>
        <v/>
      </c>
      <c r="DH166" s="83">
        <f>IF($DG166=1,SUMIFS($DF$8:$DF$1600,$F$8:$F$1600,$F166),0)</f>
        <v/>
      </c>
      <c r="DI166" s="78">
        <f>IF($DG166=1,COUNTIFS($F$8:$F$1600,$F166,$DE$8:$DE$1600,1),0)</f>
        <v/>
      </c>
      <c r="DJ166" s="84">
        <f>IF($DG166=1,$DH166+(100000-ROW())/mTieBreak,0)</f>
        <v/>
      </c>
    </row>
    <row r="167">
      <c r="B167" s="68" t="n">
        <v>44</v>
      </c>
      <c r="C167" s="69" t="inlineStr">
        <is>
          <t>WFC18C47</t>
        </is>
      </c>
      <c r="D167" s="69" t="inlineStr">
        <is>
          <t>44.000</t>
        </is>
      </c>
      <c r="E167" s="69" t="inlineStr">
        <is>
          <t>Hampton Inn - Daytona-Ormond Beach</t>
        </is>
      </c>
      <c r="F167" s="69" t="inlineStr">
        <is>
          <t>LNWFC18C47-44.000</t>
        </is>
      </c>
      <c r="G167" s="70" t="n"/>
      <c r="H167" s="71" t="n">
        <v>7000000</v>
      </c>
      <c r="I167" s="71" t="n">
        <v>6163883.569997999</v>
      </c>
      <c r="J167" s="72" t="n">
        <v>5.64</v>
      </c>
      <c r="K167" s="69" t="inlineStr">
        <is>
          <t>Fixed rate</t>
        </is>
      </c>
      <c r="L167" s="68" t="n">
        <v>117</v>
      </c>
      <c r="M167" s="68" t="n">
        <v>22</v>
      </c>
      <c r="N167" s="68" t="n">
        <v>360</v>
      </c>
      <c r="O167" s="68" t="n"/>
      <c r="P167" s="68" t="n"/>
      <c r="Q167" s="68" t="n">
        <v>95</v>
      </c>
      <c r="R167" s="69" t="n"/>
      <c r="S167" s="69" t="inlineStr">
        <is>
          <t>No</t>
        </is>
      </c>
      <c r="T167" s="73" t="n">
        <v>43374</v>
      </c>
      <c r="U167" s="73" t="n">
        <v>46940</v>
      </c>
      <c r="V167" s="73" t="n"/>
      <c r="W167" s="69" t="n"/>
      <c r="X167" s="69" t="inlineStr">
        <is>
          <t>Current</t>
        </is>
      </c>
      <c r="Y167" s="68" t="n"/>
      <c r="Z167" s="69" t="inlineStr">
        <is>
          <t>Full Defeasance</t>
        </is>
      </c>
      <c r="AA167" s="69" t="inlineStr">
        <is>
          <t>Previously</t>
        </is>
      </c>
      <c r="AB167" s="69" t="inlineStr">
        <is>
          <t>Never special serv</t>
        </is>
      </c>
      <c r="AC167" s="73" t="n"/>
      <c r="AD167" s="69" t="n"/>
      <c r="AE167" s="69" t="n"/>
      <c r="AF167" s="69" t="inlineStr">
        <is>
          <t>FL</t>
        </is>
      </c>
      <c r="AG167" s="69" t="inlineStr">
        <is>
          <t>Ormond Beach</t>
        </is>
      </c>
      <c r="AH167" s="69" t="inlineStr">
        <is>
          <t>Deltona-Daytona Beach-Ormond Beach, FL</t>
        </is>
      </c>
      <c r="AI167" s="69" t="inlineStr">
        <is>
          <t>South / Atlantic</t>
        </is>
      </c>
      <c r="AJ167" s="69" t="inlineStr">
        <is>
          <t>HT</t>
        </is>
      </c>
      <c r="AK167" s="69" t="inlineStr">
        <is>
          <t>Limited Service</t>
        </is>
      </c>
      <c r="AL167" s="68" t="n">
        <v>1</v>
      </c>
      <c r="AM167" s="68" t="n">
        <v>84</v>
      </c>
      <c r="AN167" s="68" t="n"/>
      <c r="AO167" s="69" t="inlineStr">
        <is>
          <t>1998</t>
        </is>
      </c>
      <c r="AP167" s="70" t="n">
        <v>2017</v>
      </c>
      <c r="AQ167" s="74" t="n">
        <v>1.71</v>
      </c>
      <c r="AR167" s="74" t="n">
        <v>2.21</v>
      </c>
      <c r="AS167" s="74" t="n">
        <v>63.6</v>
      </c>
      <c r="AT167" s="74" t="n">
        <v>56.04</v>
      </c>
      <c r="AU167" s="74" t="n">
        <v>53.4</v>
      </c>
      <c r="AV167" s="74" t="n">
        <v>11.853557143</v>
      </c>
      <c r="AW167" s="74" t="n">
        <v>15.837213324</v>
      </c>
      <c r="AX167" s="75" t="n">
        <v>75</v>
      </c>
      <c r="AY167" s="71" t="n">
        <v>11000000</v>
      </c>
      <c r="AZ167" s="71" t="n">
        <v>11000000</v>
      </c>
      <c r="BA167" s="71" t="n">
        <v>829749</v>
      </c>
      <c r="BB167" s="71" t="n">
        <v>1072007.71</v>
      </c>
      <c r="BC167" s="69" t="inlineStr">
        <is>
          <t>Refinance</t>
        </is>
      </c>
      <c r="BD167" s="69" t="inlineStr">
        <is>
          <t>N</t>
        </is>
      </c>
      <c r="BE167" s="71" t="n"/>
      <c r="BF167" s="71" t="n"/>
      <c r="BG167" s="71" t="n"/>
      <c r="BH167" s="71" t="n">
        <v>0</v>
      </c>
      <c r="BI167" s="71" t="n">
        <v>0</v>
      </c>
      <c r="BJ167" s="69" t="inlineStr">
        <is>
          <t>Y</t>
        </is>
      </c>
      <c r="BK167" s="69" t="n"/>
      <c r="BL167" s="75" t="n"/>
      <c r="BM167" s="73" t="n"/>
      <c r="BN167" s="69" t="inlineStr">
        <is>
          <t>Punit R. Shah</t>
        </is>
      </c>
      <c r="BO167" s="69" t="inlineStr">
        <is>
          <t>RMF</t>
        </is>
      </c>
      <c r="BP167" s="69" t="inlineStr">
        <is>
          <t>TriMont Real Estate Advisors</t>
        </is>
      </c>
      <c r="BQ167" s="69" t="inlineStr">
        <is>
          <t>K-Star Asset Management LLC</t>
        </is>
      </c>
      <c r="BR167" s="69" t="n"/>
      <c r="BS167" s="73" t="n">
        <v>46276</v>
      </c>
      <c r="BU167" s="76">
        <f>IF($C167="","",IFERROR(INDEX(dmName,MATCH($C167,dmID,0)),"Unmapped"))</f>
        <v/>
      </c>
      <c r="BV167" s="76">
        <f>IF($C167="","",IFERROR(INDEX(dmEntity,MATCH($C167,dmID,0)),"Unmapped"))</f>
        <v/>
      </c>
      <c r="BW167" s="77">
        <f>IF($C167="","",IFERROR(INDEX(dmVintage,MATCH($C167,dmID,0)),""))</f>
        <v/>
      </c>
      <c r="BX167" s="78">
        <f>IFERROR(INDEX(dmInclude,MATCH($C167,dmID,0)),0)</f>
        <v/>
      </c>
      <c r="BY167" s="78">
        <f>IF(N($I167)&gt;0,1,0)</f>
        <v/>
      </c>
      <c r="BZ167" s="76">
        <f>IF($AJ167="","Other / Leased Fee",IFERROR(INDEX(mapPTGroup,MATCH(LEFT(TRIM($AJ167),2),mapPTCode,0)),"Other / Leased Fee"))</f>
        <v/>
      </c>
      <c r="CA167" s="76">
        <f>IF(TRIM($AF167&amp;"")="","NR",LEFT(TRIM($AF167),2))</f>
        <v/>
      </c>
      <c r="CB167" s="76">
        <f>IFERROR(LOOKUP(2,1/(LEFT(TRIM($AI167&amp;""),LEN(mapRegion))=mapRegion),mapRegion),"Not Reported")</f>
        <v/>
      </c>
      <c r="CC167" s="76">
        <f>IF($BY167=0,"",IF(TRIM($W167&amp;"")="REO","REO",IF(TRIM($W167&amp;"")="FC","Foreclosure",IF(TRIM($W167&amp;"")="90+","90+ Days Delinquent",IF(TRIM($W167&amp;"")="60","60 Days Delinquent",IF(TRIM($W167&amp;"")="30","30 Days Delinquent",IF($X167="Non-Performing Matured Balloon","Non-Performing Matured Balloon",IF(OR($X167="Late Payment But Less Than 30 Days Delinquent",LEFT($X167&amp;"",20)="Payment Not Received"),"Late / In Grace (&lt;30 Days)",IF($X167="Performing Matured Balloon","Performing Matured Balloon","Current")))))))))</f>
        <v/>
      </c>
      <c r="CD167" s="78">
        <f>IF(OR($CC167="REO",$CC167="Foreclosure",$CC167="90+ Days Delinquent",$CC167="60 Days Delinquent",$CC167="30 Days Delinquent",$CC167="Non-Performing Matured Balloon"),1,0)</f>
        <v/>
      </c>
      <c r="CE167" s="76">
        <f>IF($AB167="Currently special serv","Currently Specially Serviced",IF($AB167="Returned to master serv","Previously Specially Serviced","Never Specially Serviced"))</f>
        <v/>
      </c>
      <c r="CF167" s="78">
        <f>IF($CE167="Currently Specially Serviced",1,0)</f>
        <v/>
      </c>
      <c r="CG167" s="76">
        <f>IF($AA167="Yes","Currently on Watchlist",IF($AA167="Previously","Previously on Watchlist","Never on Watchlist"))</f>
        <v/>
      </c>
      <c r="CH167" s="78">
        <f>IF($CG167="Currently on Watchlist",1,0)</f>
        <v/>
      </c>
      <c r="CI167" s="76">
        <f>IF($Z167="Full Defeasance","Fully Defeased",IF($Z167="Portion Of Loan Previously Defeased","Partially Defeased",IF($Z167="Defeasance Not Allowable","Not Defeased (Not Permitted)","Not Defeased")))</f>
        <v/>
      </c>
      <c r="CJ167" s="78">
        <f>IF($CI167="Fully Defeased",1,0)</f>
        <v/>
      </c>
      <c r="CK167" s="76">
        <f>IF($R167="IO","Full IO",IF(LEFT($R167&amp;"",7)="IO then","Partial IO","Amortizing"))</f>
        <v/>
      </c>
      <c r="CL167" s="78">
        <f>IF($CK167="Full IO",1,0)</f>
        <v/>
      </c>
      <c r="CM167" s="78">
        <f>IF($CK167="Partial IO",1,0)</f>
        <v/>
      </c>
      <c r="CN167" s="76">
        <f>IF(LEFT($F167&amp;"",10)="SPLIT_LOAN","Pari Passu Split","Standalone")</f>
        <v/>
      </c>
      <c r="CO167" s="78">
        <f>IF($CN167="Pari Passu Split",1,0)</f>
        <v/>
      </c>
      <c r="CP167" s="77">
        <f>IF(ISNUMBER($T167),YEAR($T167),"")</f>
        <v/>
      </c>
      <c r="CQ167" s="79">
        <f>IF(ISNUMBER($V167),$V167,IF(ISNUMBER($U167),$U167,""))</f>
        <v/>
      </c>
      <c r="CR167" s="77">
        <f>IF(ISNUMBER($CQ167),YEAR($CQ167),"")</f>
        <v/>
      </c>
      <c r="CS167" s="78">
        <f>IF(ISNUMBER($M167),MAX(0,$M167),IF(TRIM($M167&amp;"")="matured",0,""))</f>
        <v/>
      </c>
      <c r="CT167" s="78">
        <f>IF(AND(ISNUMBER($CS167),N($CS167)&lt;=mMatWindow),1,0)</f>
        <v/>
      </c>
      <c r="CU167" s="80">
        <f>IF(ISNUMBER($J167),$J167/100,"")</f>
        <v/>
      </c>
      <c r="CV167" s="81">
        <f>IF(ISNUMBER($AQ167),$AQ167,"")</f>
        <v/>
      </c>
      <c r="CW167" s="81">
        <f>IF(ISNUMBER($AR167),$AR167,"")</f>
        <v/>
      </c>
      <c r="CX167" s="82">
        <f>IF(ISNUMBER($AS167),$AS167/100,"")</f>
        <v/>
      </c>
      <c r="CY167" s="82">
        <f>IF(ISNUMBER($AT167),$AT167/100,"")</f>
        <v/>
      </c>
      <c r="CZ167" s="82">
        <f>IF(ISNUMBER($AU167),$AU167/100,"")</f>
        <v/>
      </c>
      <c r="DA167" s="82">
        <f>IF(ISNUMBER($AV167),$AV167/100,"")</f>
        <v/>
      </c>
      <c r="DB167" s="82">
        <f>IF(ISNUMBER($AW167),$AW167/100,"")</f>
        <v/>
      </c>
      <c r="DC167" s="82">
        <f>IF(ISNUMBER($AX167),$AX167/100,"")</f>
        <v/>
      </c>
      <c r="DD167" s="77">
        <f>IFERROR(VALUE(LEFT(TRIM($AO167&amp;""),4)),"")</f>
        <v/>
      </c>
      <c r="DE167" s="78">
        <f>IF(AND($BY167=1,$BX167=1,OR(fDeal="All Deals",$BU167=fDeal),OR(fEntity="All Entities",$BV167=fEntity),OR(fPType="All Property Types",$BZ167=fPType),OR(fDefeased="Include",$CJ167=0)),1,0)</f>
        <v/>
      </c>
      <c r="DF167" s="83">
        <f>$DE167*N($I167)</f>
        <v/>
      </c>
      <c r="DG167" s="78">
        <f>IF($DE167=1,IF(COUNTIFS($F$8:$F167,$F167,$DE$8:$DE167,1)=1,1,0),0)</f>
        <v/>
      </c>
      <c r="DH167" s="83">
        <f>IF($DG167=1,SUMIFS($DF$8:$DF$1600,$F$8:$F$1600,$F167),0)</f>
        <v/>
      </c>
      <c r="DI167" s="78">
        <f>IF($DG167=1,COUNTIFS($F$8:$F$1600,$F167,$DE$8:$DE$1600,1),0)</f>
        <v/>
      </c>
      <c r="DJ167" s="84">
        <f>IF($DG167=1,$DH167+(100000-ROW())/mTieBreak,0)</f>
        <v/>
      </c>
    </row>
    <row r="168">
      <c r="B168" s="68" t="n">
        <v>45</v>
      </c>
      <c r="C168" s="69" t="inlineStr">
        <is>
          <t>WFC18C47</t>
        </is>
      </c>
      <c r="D168" s="69" t="inlineStr">
        <is>
          <t>45.000</t>
        </is>
      </c>
      <c r="E168" s="69" t="inlineStr">
        <is>
          <t>Academy Sports and USPS Portfolio</t>
        </is>
      </c>
      <c r="F168" s="69" t="inlineStr">
        <is>
          <t>LNWFC18C47-45.000</t>
        </is>
      </c>
      <c r="G168" s="70" t="n"/>
      <c r="H168" s="71" t="n">
        <v>6920000</v>
      </c>
      <c r="I168" s="71" t="n">
        <v>6205048.320000039</v>
      </c>
      <c r="J168" s="72" t="n">
        <v>5.52</v>
      </c>
      <c r="K168" s="69" t="inlineStr">
        <is>
          <t>Fixed rate</t>
        </is>
      </c>
      <c r="L168" s="68" t="n">
        <v>120</v>
      </c>
      <c r="M168" s="68" t="n">
        <v>25</v>
      </c>
      <c r="N168" s="68" t="n">
        <v>372</v>
      </c>
      <c r="O168" s="68" t="n">
        <v>12</v>
      </c>
      <c r="P168" s="68" t="n">
        <v>0</v>
      </c>
      <c r="Q168" s="68" t="n">
        <v>95</v>
      </c>
      <c r="R168" s="69" t="inlineStr">
        <is>
          <t>IO then Amort</t>
        </is>
      </c>
      <c r="S168" s="69" t="inlineStr">
        <is>
          <t>No</t>
        </is>
      </c>
      <c r="T168" s="73" t="n">
        <v>43374</v>
      </c>
      <c r="U168" s="73" t="n">
        <v>47032</v>
      </c>
      <c r="V168" s="73" t="n"/>
      <c r="W168" s="69" t="n"/>
      <c r="X168" s="69" t="inlineStr">
        <is>
          <t>Current</t>
        </is>
      </c>
      <c r="Y168" s="68" t="n"/>
      <c r="Z168" s="69" t="inlineStr">
        <is>
          <t>No Defeasance Occurred</t>
        </is>
      </c>
      <c r="AA168" s="69" t="inlineStr">
        <is>
          <t>Yes</t>
        </is>
      </c>
      <c r="AB168" s="69" t="inlineStr">
        <is>
          <t>Never special serv</t>
        </is>
      </c>
      <c r="AC168" s="73" t="n"/>
      <c r="AD168" s="69" t="n"/>
      <c r="AE168" s="69" t="n"/>
      <c r="AF168" s="69" t="inlineStr">
        <is>
          <t>GA-76.734099953% NY-23.265900047%</t>
        </is>
      </c>
      <c r="AG168" s="69" t="n"/>
      <c r="AH168" s="69" t="inlineStr">
        <is>
          <t>Atlanta-Sandy Springs-Roswell, GA-76.734099953% Kiryas Joel-Poughkeepsie-Newburgh, NY-23.265900047%</t>
        </is>
      </c>
      <c r="AI168" s="69" t="inlineStr">
        <is>
          <t>South / Atlantic-76.734099953% Northeast / Mid-Atlantic-23.265900047%</t>
        </is>
      </c>
      <c r="AJ168" s="69" t="inlineStr">
        <is>
          <t>RT</t>
        </is>
      </c>
      <c r="AK168" s="69" t="inlineStr">
        <is>
          <t>Single Tenant</t>
        </is>
      </c>
      <c r="AL168" s="68" t="n">
        <v>2</v>
      </c>
      <c r="AM168" s="68" t="n"/>
      <c r="AN168" s="68" t="n">
        <v>70031</v>
      </c>
      <c r="AO168" s="69" t="n"/>
      <c r="AP168" s="70" t="n">
        <v>2016</v>
      </c>
      <c r="AQ168" s="74" t="n">
        <v>1.54</v>
      </c>
      <c r="AR168" s="74" t="n">
        <v>1.53</v>
      </c>
      <c r="AS168" s="74" t="n">
        <v>60</v>
      </c>
      <c r="AT168" s="74" t="n">
        <v>53.84</v>
      </c>
      <c r="AU168" s="74" t="n">
        <v>51.4</v>
      </c>
      <c r="AV168" s="74" t="n">
        <v>10.520289017</v>
      </c>
      <c r="AW168" s="74" t="n">
        <v>11.618448122</v>
      </c>
      <c r="AX168" s="75" t="n">
        <v>100</v>
      </c>
      <c r="AY168" s="71" t="n">
        <v>11525000</v>
      </c>
      <c r="AZ168" s="71" t="n">
        <v>11525000</v>
      </c>
      <c r="BA168" s="71" t="n">
        <v>728004</v>
      </c>
      <c r="BB168" s="71" t="n">
        <v>720930.3199999999</v>
      </c>
      <c r="BC168" s="69" t="inlineStr">
        <is>
          <t>Acquisition</t>
        </is>
      </c>
      <c r="BD168" s="69" t="inlineStr">
        <is>
          <t>N</t>
        </is>
      </c>
      <c r="BE168" s="71" t="n"/>
      <c r="BF168" s="71" t="n"/>
      <c r="BG168" s="71" t="n"/>
      <c r="BH168" s="71" t="n">
        <v>0</v>
      </c>
      <c r="BI168" s="71" t="n">
        <v>0</v>
      </c>
      <c r="BJ168" s="69" t="inlineStr">
        <is>
          <t>N</t>
        </is>
      </c>
      <c r="BK168" s="69" t="inlineStr">
        <is>
          <t>Academy Sports + Outdoors</t>
        </is>
      </c>
      <c r="BL168" s="75" t="n">
        <v>89.90000000000001</v>
      </c>
      <c r="BM168" s="73" t="n">
        <v>48273</v>
      </c>
      <c r="BN168" s="69" t="inlineStr">
        <is>
          <t>Senthil Ranganathan; Valli V. Murugesan</t>
        </is>
      </c>
      <c r="BO168" s="69" t="inlineStr">
        <is>
          <t>RMF</t>
        </is>
      </c>
      <c r="BP168" s="69" t="inlineStr">
        <is>
          <t>TriMont Real Estate Advisors</t>
        </is>
      </c>
      <c r="BQ168" s="69" t="inlineStr">
        <is>
          <t>K-Star Asset Management LLC</t>
        </is>
      </c>
      <c r="BR168" s="69" t="n"/>
      <c r="BS168" s="73" t="n">
        <v>46276</v>
      </c>
      <c r="BU168" s="76">
        <f>IF($C168="","",IFERROR(INDEX(dmName,MATCH($C168,dmID,0)),"Unmapped"))</f>
        <v/>
      </c>
      <c r="BV168" s="76">
        <f>IF($C168="","",IFERROR(INDEX(dmEntity,MATCH($C168,dmID,0)),"Unmapped"))</f>
        <v/>
      </c>
      <c r="BW168" s="77">
        <f>IF($C168="","",IFERROR(INDEX(dmVintage,MATCH($C168,dmID,0)),""))</f>
        <v/>
      </c>
      <c r="BX168" s="78">
        <f>IFERROR(INDEX(dmInclude,MATCH($C168,dmID,0)),0)</f>
        <v/>
      </c>
      <c r="BY168" s="78">
        <f>IF(N($I168)&gt;0,1,0)</f>
        <v/>
      </c>
      <c r="BZ168" s="76">
        <f>IF($AJ168="","Other / Leased Fee",IFERROR(INDEX(mapPTGroup,MATCH(LEFT(TRIM($AJ168),2),mapPTCode,0)),"Other / Leased Fee"))</f>
        <v/>
      </c>
      <c r="CA168" s="76">
        <f>IF(TRIM($AF168&amp;"")="","NR",LEFT(TRIM($AF168),2))</f>
        <v/>
      </c>
      <c r="CB168" s="76">
        <f>IFERROR(LOOKUP(2,1/(LEFT(TRIM($AI168&amp;""),LEN(mapRegion))=mapRegion),mapRegion),"Not Reported")</f>
        <v/>
      </c>
      <c r="CC168" s="76">
        <f>IF($BY168=0,"",IF(TRIM($W168&amp;"")="REO","REO",IF(TRIM($W168&amp;"")="FC","Foreclosure",IF(TRIM($W168&amp;"")="90+","90+ Days Delinquent",IF(TRIM($W168&amp;"")="60","60 Days Delinquent",IF(TRIM($W168&amp;"")="30","30 Days Delinquent",IF($X168="Non-Performing Matured Balloon","Non-Performing Matured Balloon",IF(OR($X168="Late Payment But Less Than 30 Days Delinquent",LEFT($X168&amp;"",20)="Payment Not Received"),"Late / In Grace (&lt;30 Days)",IF($X168="Performing Matured Balloon","Performing Matured Balloon","Current")))))))))</f>
        <v/>
      </c>
      <c r="CD168" s="78">
        <f>IF(OR($CC168="REO",$CC168="Foreclosure",$CC168="90+ Days Delinquent",$CC168="60 Days Delinquent",$CC168="30 Days Delinquent",$CC168="Non-Performing Matured Balloon"),1,0)</f>
        <v/>
      </c>
      <c r="CE168" s="76">
        <f>IF($AB168="Currently special serv","Currently Specially Serviced",IF($AB168="Returned to master serv","Previously Specially Serviced","Never Specially Serviced"))</f>
        <v/>
      </c>
      <c r="CF168" s="78">
        <f>IF($CE168="Currently Specially Serviced",1,0)</f>
        <v/>
      </c>
      <c r="CG168" s="76">
        <f>IF($AA168="Yes","Currently on Watchlist",IF($AA168="Previously","Previously on Watchlist","Never on Watchlist"))</f>
        <v/>
      </c>
      <c r="CH168" s="78">
        <f>IF($CG168="Currently on Watchlist",1,0)</f>
        <v/>
      </c>
      <c r="CI168" s="76">
        <f>IF($Z168="Full Defeasance","Fully Defeased",IF($Z168="Portion Of Loan Previously Defeased","Partially Defeased",IF($Z168="Defeasance Not Allowable","Not Defeased (Not Permitted)","Not Defeased")))</f>
        <v/>
      </c>
      <c r="CJ168" s="78">
        <f>IF($CI168="Fully Defeased",1,0)</f>
        <v/>
      </c>
      <c r="CK168" s="76">
        <f>IF($R168="IO","Full IO",IF(LEFT($R168&amp;"",7)="IO then","Partial IO","Amortizing"))</f>
        <v/>
      </c>
      <c r="CL168" s="78">
        <f>IF($CK168="Full IO",1,0)</f>
        <v/>
      </c>
      <c r="CM168" s="78">
        <f>IF($CK168="Partial IO",1,0)</f>
        <v/>
      </c>
      <c r="CN168" s="76">
        <f>IF(LEFT($F168&amp;"",10)="SPLIT_LOAN","Pari Passu Split","Standalone")</f>
        <v/>
      </c>
      <c r="CO168" s="78">
        <f>IF($CN168="Pari Passu Split",1,0)</f>
        <v/>
      </c>
      <c r="CP168" s="77">
        <f>IF(ISNUMBER($T168),YEAR($T168),"")</f>
        <v/>
      </c>
      <c r="CQ168" s="79">
        <f>IF(ISNUMBER($V168),$V168,IF(ISNUMBER($U168),$U168,""))</f>
        <v/>
      </c>
      <c r="CR168" s="77">
        <f>IF(ISNUMBER($CQ168),YEAR($CQ168),"")</f>
        <v/>
      </c>
      <c r="CS168" s="78">
        <f>IF(ISNUMBER($M168),MAX(0,$M168),IF(TRIM($M168&amp;"")="matured",0,""))</f>
        <v/>
      </c>
      <c r="CT168" s="78">
        <f>IF(AND(ISNUMBER($CS168),N($CS168)&lt;=mMatWindow),1,0)</f>
        <v/>
      </c>
      <c r="CU168" s="80">
        <f>IF(ISNUMBER($J168),$J168/100,"")</f>
        <v/>
      </c>
      <c r="CV168" s="81">
        <f>IF(ISNUMBER($AQ168),$AQ168,"")</f>
        <v/>
      </c>
      <c r="CW168" s="81">
        <f>IF(ISNUMBER($AR168),$AR168,"")</f>
        <v/>
      </c>
      <c r="CX168" s="82">
        <f>IF(ISNUMBER($AS168),$AS168/100,"")</f>
        <v/>
      </c>
      <c r="CY168" s="82">
        <f>IF(ISNUMBER($AT168),$AT168/100,"")</f>
        <v/>
      </c>
      <c r="CZ168" s="82">
        <f>IF(ISNUMBER($AU168),$AU168/100,"")</f>
        <v/>
      </c>
      <c r="DA168" s="82">
        <f>IF(ISNUMBER($AV168),$AV168/100,"")</f>
        <v/>
      </c>
      <c r="DB168" s="82">
        <f>IF(ISNUMBER($AW168),$AW168/100,"")</f>
        <v/>
      </c>
      <c r="DC168" s="82">
        <f>IF(ISNUMBER($AX168),$AX168/100,"")</f>
        <v/>
      </c>
      <c r="DD168" s="77">
        <f>IFERROR(VALUE(LEFT(TRIM($AO168&amp;""),4)),"")</f>
        <v/>
      </c>
      <c r="DE168" s="78">
        <f>IF(AND($BY168=1,$BX168=1,OR(fDeal="All Deals",$BU168=fDeal),OR(fEntity="All Entities",$BV168=fEntity),OR(fPType="All Property Types",$BZ168=fPType),OR(fDefeased="Include",$CJ168=0)),1,0)</f>
        <v/>
      </c>
      <c r="DF168" s="83">
        <f>$DE168*N($I168)</f>
        <v/>
      </c>
      <c r="DG168" s="78">
        <f>IF($DE168=1,IF(COUNTIFS($F$8:$F168,$F168,$DE$8:$DE168,1)=1,1,0),0)</f>
        <v/>
      </c>
      <c r="DH168" s="83">
        <f>IF($DG168=1,SUMIFS($DF$8:$DF$1600,$F$8:$F$1600,$F168),0)</f>
        <v/>
      </c>
      <c r="DI168" s="78">
        <f>IF($DG168=1,COUNTIFS($F$8:$F$1600,$F168,$DE$8:$DE$1600,1),0)</f>
        <v/>
      </c>
      <c r="DJ168" s="84">
        <f>IF($DG168=1,$DH168+(100000-ROW())/mTieBreak,0)</f>
        <v/>
      </c>
    </row>
    <row r="169">
      <c r="B169" s="68" t="n">
        <v>46</v>
      </c>
      <c r="C169" s="69" t="inlineStr">
        <is>
          <t>WFC18C47</t>
        </is>
      </c>
      <c r="D169" s="69" t="inlineStr">
        <is>
          <t>46.000</t>
        </is>
      </c>
      <c r="E169" s="69" t="inlineStr">
        <is>
          <t>Jewel-Osco Oswego, IL</t>
        </is>
      </c>
      <c r="F169" s="69" t="inlineStr">
        <is>
          <t>LNWFC18C47-46.000</t>
        </is>
      </c>
      <c r="G169" s="70" t="n"/>
      <c r="H169" s="71" t="n">
        <v>6800000</v>
      </c>
      <c r="I169" s="71" t="n">
        <v>6800000</v>
      </c>
      <c r="J169" s="72" t="n">
        <v>5.32</v>
      </c>
      <c r="K169" s="69" t="inlineStr">
        <is>
          <t>Fixed rate</t>
        </is>
      </c>
      <c r="L169" s="68" t="n">
        <v>120</v>
      </c>
      <c r="M169" s="68" t="n">
        <v>25</v>
      </c>
      <c r="N169" s="68" t="n">
        <v>120</v>
      </c>
      <c r="O169" s="68" t="n">
        <v>120</v>
      </c>
      <c r="P169" s="68" t="n">
        <v>25</v>
      </c>
      <c r="Q169" s="68" t="n">
        <v>95</v>
      </c>
      <c r="R169" s="69" t="inlineStr">
        <is>
          <t>IO</t>
        </is>
      </c>
      <c r="S169" s="69" t="inlineStr">
        <is>
          <t>Yes</t>
        </is>
      </c>
      <c r="T169" s="73" t="n">
        <v>43374</v>
      </c>
      <c r="U169" s="73" t="n">
        <v>47037</v>
      </c>
      <c r="V169" s="73" t="n"/>
      <c r="W169" s="69" t="n"/>
      <c r="X169" s="69" t="inlineStr">
        <is>
          <t>Current</t>
        </is>
      </c>
      <c r="Y169" s="68" t="n"/>
      <c r="Z169" s="69" t="inlineStr">
        <is>
          <t>Full Defeasance</t>
        </is>
      </c>
      <c r="AA169" s="69" t="n"/>
      <c r="AB169" s="69" t="inlineStr">
        <is>
          <t>Never special serv</t>
        </is>
      </c>
      <c r="AC169" s="73" t="n"/>
      <c r="AD169" s="69" t="n"/>
      <c r="AE169" s="69" t="n"/>
      <c r="AF169" s="69" t="inlineStr">
        <is>
          <t>IL</t>
        </is>
      </c>
      <c r="AG169" s="69" t="inlineStr">
        <is>
          <t>Oswego</t>
        </is>
      </c>
      <c r="AH169" s="69" t="inlineStr">
        <is>
          <t>Chicago-Naperville-Elgin, IL-IN</t>
        </is>
      </c>
      <c r="AI169" s="69" t="inlineStr">
        <is>
          <t>Midwest / Central East</t>
        </is>
      </c>
      <c r="AJ169" s="69" t="inlineStr">
        <is>
          <t>RT</t>
        </is>
      </c>
      <c r="AK169" s="69" t="inlineStr">
        <is>
          <t>Single Tenant</t>
        </is>
      </c>
      <c r="AL169" s="68" t="n">
        <v>1</v>
      </c>
      <c r="AM169" s="68" t="n"/>
      <c r="AN169" s="68" t="n">
        <v>62164</v>
      </c>
      <c r="AO169" s="69" t="inlineStr">
        <is>
          <t>2007</t>
        </is>
      </c>
      <c r="AP169" s="70" t="n">
        <v>2007</v>
      </c>
      <c r="AQ169" s="74" t="n">
        <v>1.7</v>
      </c>
      <c r="AR169" s="74" t="n">
        <v>1.97</v>
      </c>
      <c r="AS169" s="74" t="n">
        <v>59.6</v>
      </c>
      <c r="AT169" s="74" t="n">
        <v>59.65</v>
      </c>
      <c r="AU169" s="74" t="n">
        <v>59.6</v>
      </c>
      <c r="AV169" s="74" t="n">
        <v>9.187014705999999</v>
      </c>
      <c r="AW169" s="74" t="n">
        <v>10.624607206</v>
      </c>
      <c r="AX169" s="75" t="n">
        <v>100</v>
      </c>
      <c r="AY169" s="71" t="n">
        <v>11400000</v>
      </c>
      <c r="AZ169" s="71" t="n">
        <v>11400000</v>
      </c>
      <c r="BA169" s="71" t="n">
        <v>624717</v>
      </c>
      <c r="BB169" s="71" t="n">
        <v>722473.29</v>
      </c>
      <c r="BC169" s="69" t="inlineStr">
        <is>
          <t>Acquisition</t>
        </is>
      </c>
      <c r="BD169" s="69" t="inlineStr">
        <is>
          <t>N</t>
        </is>
      </c>
      <c r="BE169" s="71" t="n"/>
      <c r="BF169" s="71" t="n"/>
      <c r="BG169" s="71" t="n"/>
      <c r="BH169" s="71" t="n">
        <v>0</v>
      </c>
      <c r="BI169" s="71" t="n">
        <v>0</v>
      </c>
      <c r="BJ169" s="69" t="inlineStr">
        <is>
          <t>N</t>
        </is>
      </c>
      <c r="BK169" s="69" t="inlineStr">
        <is>
          <t>NEW ALBERTSONS L.P</t>
        </is>
      </c>
      <c r="BL169" s="75" t="n">
        <v>100</v>
      </c>
      <c r="BM169" s="73" t="n">
        <v>50344</v>
      </c>
      <c r="BN169" s="69" t="inlineStr">
        <is>
          <t>Alton Butler; Sira Butler</t>
        </is>
      </c>
      <c r="BO169" s="69" t="inlineStr">
        <is>
          <t>Wells Fargo</t>
        </is>
      </c>
      <c r="BP169" s="69" t="inlineStr">
        <is>
          <t>TriMont Real Estate Advisors</t>
        </is>
      </c>
      <c r="BQ169" s="69" t="inlineStr">
        <is>
          <t>K-Star Asset Management LLC</t>
        </is>
      </c>
      <c r="BR169" s="69" t="n"/>
      <c r="BS169" s="73" t="n">
        <v>46276</v>
      </c>
      <c r="BU169" s="76">
        <f>IF($C169="","",IFERROR(INDEX(dmName,MATCH($C169,dmID,0)),"Unmapped"))</f>
        <v/>
      </c>
      <c r="BV169" s="76">
        <f>IF($C169="","",IFERROR(INDEX(dmEntity,MATCH($C169,dmID,0)),"Unmapped"))</f>
        <v/>
      </c>
      <c r="BW169" s="77">
        <f>IF($C169="","",IFERROR(INDEX(dmVintage,MATCH($C169,dmID,0)),""))</f>
        <v/>
      </c>
      <c r="BX169" s="78">
        <f>IFERROR(INDEX(dmInclude,MATCH($C169,dmID,0)),0)</f>
        <v/>
      </c>
      <c r="BY169" s="78">
        <f>IF(N($I169)&gt;0,1,0)</f>
        <v/>
      </c>
      <c r="BZ169" s="76">
        <f>IF($AJ169="","Other / Leased Fee",IFERROR(INDEX(mapPTGroup,MATCH(LEFT(TRIM($AJ169),2),mapPTCode,0)),"Other / Leased Fee"))</f>
        <v/>
      </c>
      <c r="CA169" s="76">
        <f>IF(TRIM($AF169&amp;"")="","NR",LEFT(TRIM($AF169),2))</f>
        <v/>
      </c>
      <c r="CB169" s="76">
        <f>IFERROR(LOOKUP(2,1/(LEFT(TRIM($AI169&amp;""),LEN(mapRegion))=mapRegion),mapRegion),"Not Reported")</f>
        <v/>
      </c>
      <c r="CC169" s="76">
        <f>IF($BY169=0,"",IF(TRIM($W169&amp;"")="REO","REO",IF(TRIM($W169&amp;"")="FC","Foreclosure",IF(TRIM($W169&amp;"")="90+","90+ Days Delinquent",IF(TRIM($W169&amp;"")="60","60 Days Delinquent",IF(TRIM($W169&amp;"")="30","30 Days Delinquent",IF($X169="Non-Performing Matured Balloon","Non-Performing Matured Balloon",IF(OR($X169="Late Payment But Less Than 30 Days Delinquent",LEFT($X169&amp;"",20)="Payment Not Received"),"Late / In Grace (&lt;30 Days)",IF($X169="Performing Matured Balloon","Performing Matured Balloon","Current")))))))))</f>
        <v/>
      </c>
      <c r="CD169" s="78">
        <f>IF(OR($CC169="REO",$CC169="Foreclosure",$CC169="90+ Days Delinquent",$CC169="60 Days Delinquent",$CC169="30 Days Delinquent",$CC169="Non-Performing Matured Balloon"),1,0)</f>
        <v/>
      </c>
      <c r="CE169" s="76">
        <f>IF($AB169="Currently special serv","Currently Specially Serviced",IF($AB169="Returned to master serv","Previously Specially Serviced","Never Specially Serviced"))</f>
        <v/>
      </c>
      <c r="CF169" s="78">
        <f>IF($CE169="Currently Specially Serviced",1,0)</f>
        <v/>
      </c>
      <c r="CG169" s="76">
        <f>IF($AA169="Yes","Currently on Watchlist",IF($AA169="Previously","Previously on Watchlist","Never on Watchlist"))</f>
        <v/>
      </c>
      <c r="CH169" s="78">
        <f>IF($CG169="Currently on Watchlist",1,0)</f>
        <v/>
      </c>
      <c r="CI169" s="76">
        <f>IF($Z169="Full Defeasance","Fully Defeased",IF($Z169="Portion Of Loan Previously Defeased","Partially Defeased",IF($Z169="Defeasance Not Allowable","Not Defeased (Not Permitted)","Not Defeased")))</f>
        <v/>
      </c>
      <c r="CJ169" s="78">
        <f>IF($CI169="Fully Defeased",1,0)</f>
        <v/>
      </c>
      <c r="CK169" s="76">
        <f>IF($R169="IO","Full IO",IF(LEFT($R169&amp;"",7)="IO then","Partial IO","Amortizing"))</f>
        <v/>
      </c>
      <c r="CL169" s="78">
        <f>IF($CK169="Full IO",1,0)</f>
        <v/>
      </c>
      <c r="CM169" s="78">
        <f>IF($CK169="Partial IO",1,0)</f>
        <v/>
      </c>
      <c r="CN169" s="76">
        <f>IF(LEFT($F169&amp;"",10)="SPLIT_LOAN","Pari Passu Split","Standalone")</f>
        <v/>
      </c>
      <c r="CO169" s="78">
        <f>IF($CN169="Pari Passu Split",1,0)</f>
        <v/>
      </c>
      <c r="CP169" s="77">
        <f>IF(ISNUMBER($T169),YEAR($T169),"")</f>
        <v/>
      </c>
      <c r="CQ169" s="79">
        <f>IF(ISNUMBER($V169),$V169,IF(ISNUMBER($U169),$U169,""))</f>
        <v/>
      </c>
      <c r="CR169" s="77">
        <f>IF(ISNUMBER($CQ169),YEAR($CQ169),"")</f>
        <v/>
      </c>
      <c r="CS169" s="78">
        <f>IF(ISNUMBER($M169),MAX(0,$M169),IF(TRIM($M169&amp;"")="matured",0,""))</f>
        <v/>
      </c>
      <c r="CT169" s="78">
        <f>IF(AND(ISNUMBER($CS169),N($CS169)&lt;=mMatWindow),1,0)</f>
        <v/>
      </c>
      <c r="CU169" s="80">
        <f>IF(ISNUMBER($J169),$J169/100,"")</f>
        <v/>
      </c>
      <c r="CV169" s="81">
        <f>IF(ISNUMBER($AQ169),$AQ169,"")</f>
        <v/>
      </c>
      <c r="CW169" s="81">
        <f>IF(ISNUMBER($AR169),$AR169,"")</f>
        <v/>
      </c>
      <c r="CX169" s="82">
        <f>IF(ISNUMBER($AS169),$AS169/100,"")</f>
        <v/>
      </c>
      <c r="CY169" s="82">
        <f>IF(ISNUMBER($AT169),$AT169/100,"")</f>
        <v/>
      </c>
      <c r="CZ169" s="82">
        <f>IF(ISNUMBER($AU169),$AU169/100,"")</f>
        <v/>
      </c>
      <c r="DA169" s="82">
        <f>IF(ISNUMBER($AV169),$AV169/100,"")</f>
        <v/>
      </c>
      <c r="DB169" s="82">
        <f>IF(ISNUMBER($AW169),$AW169/100,"")</f>
        <v/>
      </c>
      <c r="DC169" s="82">
        <f>IF(ISNUMBER($AX169),$AX169/100,"")</f>
        <v/>
      </c>
      <c r="DD169" s="77">
        <f>IFERROR(VALUE(LEFT(TRIM($AO169&amp;""),4)),"")</f>
        <v/>
      </c>
      <c r="DE169" s="78">
        <f>IF(AND($BY169=1,$BX169=1,OR(fDeal="All Deals",$BU169=fDeal),OR(fEntity="All Entities",$BV169=fEntity),OR(fPType="All Property Types",$BZ169=fPType),OR(fDefeased="Include",$CJ169=0)),1,0)</f>
        <v/>
      </c>
      <c r="DF169" s="83">
        <f>$DE169*N($I169)</f>
        <v/>
      </c>
      <c r="DG169" s="78">
        <f>IF($DE169=1,IF(COUNTIFS($F$8:$F169,$F169,$DE$8:$DE169,1)=1,1,0),0)</f>
        <v/>
      </c>
      <c r="DH169" s="83">
        <f>IF($DG169=1,SUMIFS($DF$8:$DF$1600,$F$8:$F$1600,$F169),0)</f>
        <v/>
      </c>
      <c r="DI169" s="78">
        <f>IF($DG169=1,COUNTIFS($F$8:$F$1600,$F169,$DE$8:$DE$1600,1),0)</f>
        <v/>
      </c>
      <c r="DJ169" s="84">
        <f>IF($DG169=1,$DH169+(100000-ROW())/mTieBreak,0)</f>
        <v/>
      </c>
    </row>
    <row r="170">
      <c r="B170" s="68" t="n">
        <v>47</v>
      </c>
      <c r="C170" s="69" t="inlineStr">
        <is>
          <t>WFC18C47</t>
        </is>
      </c>
      <c r="D170" s="69" t="inlineStr">
        <is>
          <t>47.000</t>
        </is>
      </c>
      <c r="E170" s="69" t="inlineStr">
        <is>
          <t>Willowdaile Shopping Center</t>
        </is>
      </c>
      <c r="F170" s="69" t="inlineStr">
        <is>
          <t>LNWFC18C47-47.000</t>
        </is>
      </c>
      <c r="G170" s="70" t="n"/>
      <c r="H170" s="71" t="n">
        <v>6800000</v>
      </c>
      <c r="I170" s="71" t="n">
        <v>5972340.9999968</v>
      </c>
      <c r="J170" s="72" t="n">
        <v>5.53</v>
      </c>
      <c r="K170" s="69" t="inlineStr">
        <is>
          <t>Fixed rate</t>
        </is>
      </c>
      <c r="L170" s="68" t="n">
        <v>120</v>
      </c>
      <c r="M170" s="68" t="n">
        <v>25</v>
      </c>
      <c r="N170" s="68" t="n">
        <v>360</v>
      </c>
      <c r="O170" s="68" t="n"/>
      <c r="P170" s="68" t="n"/>
      <c r="Q170" s="68" t="n">
        <v>95</v>
      </c>
      <c r="R170" s="69" t="n"/>
      <c r="S170" s="69" t="inlineStr">
        <is>
          <t>No</t>
        </is>
      </c>
      <c r="T170" s="73" t="n">
        <v>43374</v>
      </c>
      <c r="U170" s="73" t="n">
        <v>47032</v>
      </c>
      <c r="V170" s="73" t="n"/>
      <c r="W170" s="69" t="inlineStr">
        <is>
          <t>90+</t>
        </is>
      </c>
      <c r="X170" s="69" t="inlineStr">
        <is>
          <t>121+ Days Delinquent</t>
        </is>
      </c>
      <c r="Y170" s="68" t="n">
        <v>27</v>
      </c>
      <c r="Z170" s="69" t="inlineStr">
        <is>
          <t>No Defeasance Occurred</t>
        </is>
      </c>
      <c r="AA170" s="69" t="inlineStr">
        <is>
          <t>Previously</t>
        </is>
      </c>
      <c r="AB170" s="69" t="inlineStr">
        <is>
          <t>Currently special serv</t>
        </is>
      </c>
      <c r="AC170" s="73" t="n">
        <v>44463</v>
      </c>
      <c r="AD170" s="69" t="inlineStr">
        <is>
          <t>Payment Default (all payments excluding Balloon/Maturity Payment)</t>
        </is>
      </c>
      <c r="AE170" s="69" t="inlineStr">
        <is>
          <t>Bankruptcy</t>
        </is>
      </c>
      <c r="AF170" s="69" t="inlineStr">
        <is>
          <t>NC</t>
        </is>
      </c>
      <c r="AG170" s="69" t="inlineStr">
        <is>
          <t>Durham</t>
        </is>
      </c>
      <c r="AH170" s="69" t="inlineStr">
        <is>
          <t>Durham-Chapel Hill, NC</t>
        </is>
      </c>
      <c r="AI170" s="69" t="inlineStr">
        <is>
          <t>South / Atlantic</t>
        </is>
      </c>
      <c r="AJ170" s="69" t="inlineStr">
        <is>
          <t>RT</t>
        </is>
      </c>
      <c r="AK170" s="69" t="inlineStr">
        <is>
          <t>Anchored</t>
        </is>
      </c>
      <c r="AL170" s="68" t="n">
        <v>1</v>
      </c>
      <c r="AM170" s="68" t="n"/>
      <c r="AN170" s="68" t="n">
        <v>93217</v>
      </c>
      <c r="AO170" s="69" t="inlineStr">
        <is>
          <t>1985</t>
        </is>
      </c>
      <c r="AP170" s="70" t="n">
        <v>1985</v>
      </c>
      <c r="AQ170" s="74" t="n">
        <v>1.31</v>
      </c>
      <c r="AR170" s="74" t="n">
        <v>0.84</v>
      </c>
      <c r="AS170" s="74" t="n">
        <v>68</v>
      </c>
      <c r="AT170" s="74" t="n">
        <v>73.73</v>
      </c>
      <c r="AU170" s="74" t="n">
        <v>56.9</v>
      </c>
      <c r="AV170" s="74" t="n">
        <v>8.967029412</v>
      </c>
      <c r="AW170" s="74" t="n">
        <v>11.450618777</v>
      </c>
      <c r="AX170" s="75" t="n">
        <v>78</v>
      </c>
      <c r="AY170" s="71" t="n">
        <v>10000000</v>
      </c>
      <c r="AZ170" s="71" t="n">
        <v>8100000</v>
      </c>
      <c r="BA170" s="71" t="n">
        <v>609758</v>
      </c>
      <c r="BB170" s="71" t="n">
        <v>194434.37</v>
      </c>
      <c r="BC170" s="69" t="inlineStr">
        <is>
          <t>Refinance</t>
        </is>
      </c>
      <c r="BD170" s="69" t="inlineStr">
        <is>
          <t>N</t>
        </is>
      </c>
      <c r="BE170" s="71" t="n"/>
      <c r="BF170" s="71" t="n"/>
      <c r="BG170" s="71" t="n"/>
      <c r="BH170" s="71" t="n">
        <v>0</v>
      </c>
      <c r="BI170" s="71" t="n">
        <v>1083931.46</v>
      </c>
      <c r="BJ170" s="69" t="inlineStr">
        <is>
          <t>N</t>
        </is>
      </c>
      <c r="BK170" s="69" t="inlineStr">
        <is>
          <t>Ollie's Bargain Outlet</t>
        </is>
      </c>
      <c r="BL170" s="75" t="n">
        <v>33.77</v>
      </c>
      <c r="BM170" s="73" t="n">
        <v>46265</v>
      </c>
      <c r="BN170" s="69" t="inlineStr">
        <is>
          <t>Meyer Lebovitz</t>
        </is>
      </c>
      <c r="BO170" s="69" t="inlineStr">
        <is>
          <t>RMF</t>
        </is>
      </c>
      <c r="BP170" s="69" t="inlineStr">
        <is>
          <t>TriMont Real Estate Advisors</t>
        </is>
      </c>
      <c r="BQ170" s="69" t="inlineStr">
        <is>
          <t>K-Star Asset Management LLC</t>
        </is>
      </c>
      <c r="BR170" s="69" t="n"/>
      <c r="BS170" s="73" t="n">
        <v>46276</v>
      </c>
      <c r="BU170" s="76">
        <f>IF($C170="","",IFERROR(INDEX(dmName,MATCH($C170,dmID,0)),"Unmapped"))</f>
        <v/>
      </c>
      <c r="BV170" s="76">
        <f>IF($C170="","",IFERROR(INDEX(dmEntity,MATCH($C170,dmID,0)),"Unmapped"))</f>
        <v/>
      </c>
      <c r="BW170" s="77">
        <f>IF($C170="","",IFERROR(INDEX(dmVintage,MATCH($C170,dmID,0)),""))</f>
        <v/>
      </c>
      <c r="BX170" s="78">
        <f>IFERROR(INDEX(dmInclude,MATCH($C170,dmID,0)),0)</f>
        <v/>
      </c>
      <c r="BY170" s="78">
        <f>IF(N($I170)&gt;0,1,0)</f>
        <v/>
      </c>
      <c r="BZ170" s="76">
        <f>IF($AJ170="","Other / Leased Fee",IFERROR(INDEX(mapPTGroup,MATCH(LEFT(TRIM($AJ170),2),mapPTCode,0)),"Other / Leased Fee"))</f>
        <v/>
      </c>
      <c r="CA170" s="76">
        <f>IF(TRIM($AF170&amp;"")="","NR",LEFT(TRIM($AF170),2))</f>
        <v/>
      </c>
      <c r="CB170" s="76">
        <f>IFERROR(LOOKUP(2,1/(LEFT(TRIM($AI170&amp;""),LEN(mapRegion))=mapRegion),mapRegion),"Not Reported")</f>
        <v/>
      </c>
      <c r="CC170" s="76">
        <f>IF($BY170=0,"",IF(TRIM($W170&amp;"")="REO","REO",IF(TRIM($W170&amp;"")="FC","Foreclosure",IF(TRIM($W170&amp;"")="90+","90+ Days Delinquent",IF(TRIM($W170&amp;"")="60","60 Days Delinquent",IF(TRIM($W170&amp;"")="30","30 Days Delinquent",IF($X170="Non-Performing Matured Balloon","Non-Performing Matured Balloon",IF(OR($X170="Late Payment But Less Than 30 Days Delinquent",LEFT($X170&amp;"",20)="Payment Not Received"),"Late / In Grace (&lt;30 Days)",IF($X170="Performing Matured Balloon","Performing Matured Balloon","Current")))))))))</f>
        <v/>
      </c>
      <c r="CD170" s="78">
        <f>IF(OR($CC170="REO",$CC170="Foreclosure",$CC170="90+ Days Delinquent",$CC170="60 Days Delinquent",$CC170="30 Days Delinquent",$CC170="Non-Performing Matured Balloon"),1,0)</f>
        <v/>
      </c>
      <c r="CE170" s="76">
        <f>IF($AB170="Currently special serv","Currently Specially Serviced",IF($AB170="Returned to master serv","Previously Specially Serviced","Never Specially Serviced"))</f>
        <v/>
      </c>
      <c r="CF170" s="78">
        <f>IF($CE170="Currently Specially Serviced",1,0)</f>
        <v/>
      </c>
      <c r="CG170" s="76">
        <f>IF($AA170="Yes","Currently on Watchlist",IF($AA170="Previously","Previously on Watchlist","Never on Watchlist"))</f>
        <v/>
      </c>
      <c r="CH170" s="78">
        <f>IF($CG170="Currently on Watchlist",1,0)</f>
        <v/>
      </c>
      <c r="CI170" s="76">
        <f>IF($Z170="Full Defeasance","Fully Defeased",IF($Z170="Portion Of Loan Previously Defeased","Partially Defeased",IF($Z170="Defeasance Not Allowable","Not Defeased (Not Permitted)","Not Defeased")))</f>
        <v/>
      </c>
      <c r="CJ170" s="78">
        <f>IF($CI170="Fully Defeased",1,0)</f>
        <v/>
      </c>
      <c r="CK170" s="76">
        <f>IF($R170="IO","Full IO",IF(LEFT($R170&amp;"",7)="IO then","Partial IO","Amortizing"))</f>
        <v/>
      </c>
      <c r="CL170" s="78">
        <f>IF($CK170="Full IO",1,0)</f>
        <v/>
      </c>
      <c r="CM170" s="78">
        <f>IF($CK170="Partial IO",1,0)</f>
        <v/>
      </c>
      <c r="CN170" s="76">
        <f>IF(LEFT($F170&amp;"",10)="SPLIT_LOAN","Pari Passu Split","Standalone")</f>
        <v/>
      </c>
      <c r="CO170" s="78">
        <f>IF($CN170="Pari Passu Split",1,0)</f>
        <v/>
      </c>
      <c r="CP170" s="77">
        <f>IF(ISNUMBER($T170),YEAR($T170),"")</f>
        <v/>
      </c>
      <c r="CQ170" s="79">
        <f>IF(ISNUMBER($V170),$V170,IF(ISNUMBER($U170),$U170,""))</f>
        <v/>
      </c>
      <c r="CR170" s="77">
        <f>IF(ISNUMBER($CQ170),YEAR($CQ170),"")</f>
        <v/>
      </c>
      <c r="CS170" s="78">
        <f>IF(ISNUMBER($M170),MAX(0,$M170),IF(TRIM($M170&amp;"")="matured",0,""))</f>
        <v/>
      </c>
      <c r="CT170" s="78">
        <f>IF(AND(ISNUMBER($CS170),N($CS170)&lt;=mMatWindow),1,0)</f>
        <v/>
      </c>
      <c r="CU170" s="80">
        <f>IF(ISNUMBER($J170),$J170/100,"")</f>
        <v/>
      </c>
      <c r="CV170" s="81">
        <f>IF(ISNUMBER($AQ170),$AQ170,"")</f>
        <v/>
      </c>
      <c r="CW170" s="81">
        <f>IF(ISNUMBER($AR170),$AR170,"")</f>
        <v/>
      </c>
      <c r="CX170" s="82">
        <f>IF(ISNUMBER($AS170),$AS170/100,"")</f>
        <v/>
      </c>
      <c r="CY170" s="82">
        <f>IF(ISNUMBER($AT170),$AT170/100,"")</f>
        <v/>
      </c>
      <c r="CZ170" s="82">
        <f>IF(ISNUMBER($AU170),$AU170/100,"")</f>
        <v/>
      </c>
      <c r="DA170" s="82">
        <f>IF(ISNUMBER($AV170),$AV170/100,"")</f>
        <v/>
      </c>
      <c r="DB170" s="82">
        <f>IF(ISNUMBER($AW170),$AW170/100,"")</f>
        <v/>
      </c>
      <c r="DC170" s="82">
        <f>IF(ISNUMBER($AX170),$AX170/100,"")</f>
        <v/>
      </c>
      <c r="DD170" s="77">
        <f>IFERROR(VALUE(LEFT(TRIM($AO170&amp;""),4)),"")</f>
        <v/>
      </c>
      <c r="DE170" s="78">
        <f>IF(AND($BY170=1,$BX170=1,OR(fDeal="All Deals",$BU170=fDeal),OR(fEntity="All Entities",$BV170=fEntity),OR(fPType="All Property Types",$BZ170=fPType),OR(fDefeased="Include",$CJ170=0)),1,0)</f>
        <v/>
      </c>
      <c r="DF170" s="83">
        <f>$DE170*N($I170)</f>
        <v/>
      </c>
      <c r="DG170" s="78">
        <f>IF($DE170=1,IF(COUNTIFS($F$8:$F170,$F170,$DE$8:$DE170,1)=1,1,0),0)</f>
        <v/>
      </c>
      <c r="DH170" s="83">
        <f>IF($DG170=1,SUMIFS($DF$8:$DF$1600,$F$8:$F$1600,$F170),0)</f>
        <v/>
      </c>
      <c r="DI170" s="78">
        <f>IF($DG170=1,COUNTIFS($F$8:$F$1600,$F170,$DE$8:$DE$1600,1),0)</f>
        <v/>
      </c>
      <c r="DJ170" s="84">
        <f>IF($DG170=1,$DH170+(100000-ROW())/mTieBreak,0)</f>
        <v/>
      </c>
    </row>
    <row r="171">
      <c r="B171" s="68" t="n">
        <v>48</v>
      </c>
      <c r="C171" s="69" t="inlineStr">
        <is>
          <t>WFC18C47</t>
        </is>
      </c>
      <c r="D171" s="69" t="inlineStr">
        <is>
          <t>48.000</t>
        </is>
      </c>
      <c r="E171" s="69" t="inlineStr">
        <is>
          <t>Shoppes at Stonecreek</t>
        </is>
      </c>
      <c r="F171" s="69" t="inlineStr">
        <is>
          <t>LNWFC18C47-48.000</t>
        </is>
      </c>
      <c r="G171" s="70" t="n"/>
      <c r="H171" s="71" t="n">
        <v>6562500</v>
      </c>
      <c r="I171" s="71" t="n">
        <v>5684617.580000625</v>
      </c>
      <c r="J171" s="72" t="n">
        <v>5.117</v>
      </c>
      <c r="K171" s="69" t="inlineStr">
        <is>
          <t>Fixed rate</t>
        </is>
      </c>
      <c r="L171" s="68" t="n">
        <v>120</v>
      </c>
      <c r="M171" s="68" t="n">
        <v>23</v>
      </c>
      <c r="N171" s="68" t="n">
        <v>360</v>
      </c>
      <c r="O171" s="68" t="n"/>
      <c r="P171" s="68" t="n"/>
      <c r="Q171" s="68" t="n">
        <v>97</v>
      </c>
      <c r="R171" s="69" t="n"/>
      <c r="S171" s="69" t="inlineStr">
        <is>
          <t>No</t>
        </is>
      </c>
      <c r="T171" s="73" t="n">
        <v>43313</v>
      </c>
      <c r="U171" s="73" t="n">
        <v>46971</v>
      </c>
      <c r="V171" s="73" t="n"/>
      <c r="W171" s="69" t="n"/>
      <c r="X171" s="69" t="inlineStr">
        <is>
          <t>Current</t>
        </is>
      </c>
      <c r="Y171" s="68" t="n"/>
      <c r="Z171" s="69" t="inlineStr">
        <is>
          <t>No Defeasance Occurred</t>
        </is>
      </c>
      <c r="AA171" s="69" t="inlineStr">
        <is>
          <t>Yes</t>
        </is>
      </c>
      <c r="AB171" s="69" t="inlineStr">
        <is>
          <t>Never special serv</t>
        </is>
      </c>
      <c r="AC171" s="73" t="n"/>
      <c r="AD171" s="69" t="n"/>
      <c r="AE171" s="69" t="n"/>
      <c r="AF171" s="69" t="inlineStr">
        <is>
          <t>OH</t>
        </is>
      </c>
      <c r="AG171" s="69" t="inlineStr">
        <is>
          <t>Pickerington</t>
        </is>
      </c>
      <c r="AH171" s="69" t="inlineStr">
        <is>
          <t>Columbus, OH</t>
        </is>
      </c>
      <c r="AI171" s="69" t="inlineStr">
        <is>
          <t>Midwest / Central East</t>
        </is>
      </c>
      <c r="AJ171" s="69" t="inlineStr">
        <is>
          <t>RT</t>
        </is>
      </c>
      <c r="AK171" s="69" t="inlineStr">
        <is>
          <t>Anchored</t>
        </is>
      </c>
      <c r="AL171" s="68" t="n">
        <v>1</v>
      </c>
      <c r="AM171" s="68" t="n"/>
      <c r="AN171" s="68" t="n">
        <v>44874</v>
      </c>
      <c r="AO171" s="69" t="inlineStr">
        <is>
          <t>2013</t>
        </is>
      </c>
      <c r="AP171" s="70" t="n">
        <v>2013</v>
      </c>
      <c r="AQ171" s="74" t="n">
        <v>1.33</v>
      </c>
      <c r="AR171" s="74" t="n">
        <v>1.56</v>
      </c>
      <c r="AS171" s="74" t="n">
        <v>74.8</v>
      </c>
      <c r="AT171" s="74" t="n">
        <v>64.97</v>
      </c>
      <c r="AU171" s="74" t="n">
        <v>61.9</v>
      </c>
      <c r="AV171" s="74" t="n">
        <v>8.701991162000001</v>
      </c>
      <c r="AW171" s="74" t="n">
        <v>11.76603053</v>
      </c>
      <c r="AX171" s="75" t="n">
        <v>100</v>
      </c>
      <c r="AY171" s="71" t="n">
        <v>8750000</v>
      </c>
      <c r="AZ171" s="71" t="n">
        <v>8750000</v>
      </c>
      <c r="BA171" s="71" t="n">
        <v>571068.17</v>
      </c>
      <c r="BB171" s="71" t="n">
        <v>668853.84</v>
      </c>
      <c r="BC171" s="69" t="inlineStr">
        <is>
          <t>Refinance</t>
        </is>
      </c>
      <c r="BD171" s="69" t="inlineStr">
        <is>
          <t>N</t>
        </is>
      </c>
      <c r="BE171" s="71" t="n"/>
      <c r="BF171" s="71" t="n"/>
      <c r="BG171" s="71" t="n"/>
      <c r="BH171" s="71" t="n">
        <v>0</v>
      </c>
      <c r="BI171" s="71" t="n">
        <v>0</v>
      </c>
      <c r="BJ171" s="69" t="inlineStr">
        <is>
          <t>N</t>
        </is>
      </c>
      <c r="BK171" s="69" t="inlineStr">
        <is>
          <t>Lifetime Fitness</t>
        </is>
      </c>
      <c r="BL171" s="75" t="n">
        <v>60.17</v>
      </c>
      <c r="BM171" s="73" t="n">
        <v>46985</v>
      </c>
      <c r="BN171" s="69" t="inlineStr">
        <is>
          <t>Robert L. Stark</t>
        </is>
      </c>
      <c r="BO171" s="69" t="inlineStr">
        <is>
          <t>Ladder Capital Finance</t>
        </is>
      </c>
      <c r="BP171" s="69" t="inlineStr">
        <is>
          <t>TriMont Real Estate Advisors</t>
        </is>
      </c>
      <c r="BQ171" s="69" t="inlineStr">
        <is>
          <t>K-Star Asset Management LLC</t>
        </is>
      </c>
      <c r="BR171" s="69" t="n"/>
      <c r="BS171" s="73" t="n">
        <v>46276</v>
      </c>
      <c r="BU171" s="76">
        <f>IF($C171="","",IFERROR(INDEX(dmName,MATCH($C171,dmID,0)),"Unmapped"))</f>
        <v/>
      </c>
      <c r="BV171" s="76">
        <f>IF($C171="","",IFERROR(INDEX(dmEntity,MATCH($C171,dmID,0)),"Unmapped"))</f>
        <v/>
      </c>
      <c r="BW171" s="77">
        <f>IF($C171="","",IFERROR(INDEX(dmVintage,MATCH($C171,dmID,0)),""))</f>
        <v/>
      </c>
      <c r="BX171" s="78">
        <f>IFERROR(INDEX(dmInclude,MATCH($C171,dmID,0)),0)</f>
        <v/>
      </c>
      <c r="BY171" s="78">
        <f>IF(N($I171)&gt;0,1,0)</f>
        <v/>
      </c>
      <c r="BZ171" s="76">
        <f>IF($AJ171="","Other / Leased Fee",IFERROR(INDEX(mapPTGroup,MATCH(LEFT(TRIM($AJ171),2),mapPTCode,0)),"Other / Leased Fee"))</f>
        <v/>
      </c>
      <c r="CA171" s="76">
        <f>IF(TRIM($AF171&amp;"")="","NR",LEFT(TRIM($AF171),2))</f>
        <v/>
      </c>
      <c r="CB171" s="76">
        <f>IFERROR(LOOKUP(2,1/(LEFT(TRIM($AI171&amp;""),LEN(mapRegion))=mapRegion),mapRegion),"Not Reported")</f>
        <v/>
      </c>
      <c r="CC171" s="76">
        <f>IF($BY171=0,"",IF(TRIM($W171&amp;"")="REO","REO",IF(TRIM($W171&amp;"")="FC","Foreclosure",IF(TRIM($W171&amp;"")="90+","90+ Days Delinquent",IF(TRIM($W171&amp;"")="60","60 Days Delinquent",IF(TRIM($W171&amp;"")="30","30 Days Delinquent",IF($X171="Non-Performing Matured Balloon","Non-Performing Matured Balloon",IF(OR($X171="Late Payment But Less Than 30 Days Delinquent",LEFT($X171&amp;"",20)="Payment Not Received"),"Late / In Grace (&lt;30 Days)",IF($X171="Performing Matured Balloon","Performing Matured Balloon","Current")))))))))</f>
        <v/>
      </c>
      <c r="CD171" s="78">
        <f>IF(OR($CC171="REO",$CC171="Foreclosure",$CC171="90+ Days Delinquent",$CC171="60 Days Delinquent",$CC171="30 Days Delinquent",$CC171="Non-Performing Matured Balloon"),1,0)</f>
        <v/>
      </c>
      <c r="CE171" s="76">
        <f>IF($AB171="Currently special serv","Currently Specially Serviced",IF($AB171="Returned to master serv","Previously Specially Serviced","Never Specially Serviced"))</f>
        <v/>
      </c>
      <c r="CF171" s="78">
        <f>IF($CE171="Currently Specially Serviced",1,0)</f>
        <v/>
      </c>
      <c r="CG171" s="76">
        <f>IF($AA171="Yes","Currently on Watchlist",IF($AA171="Previously","Previously on Watchlist","Never on Watchlist"))</f>
        <v/>
      </c>
      <c r="CH171" s="78">
        <f>IF($CG171="Currently on Watchlist",1,0)</f>
        <v/>
      </c>
      <c r="CI171" s="76">
        <f>IF($Z171="Full Defeasance","Fully Defeased",IF($Z171="Portion Of Loan Previously Defeased","Partially Defeased",IF($Z171="Defeasance Not Allowable","Not Defeased (Not Permitted)","Not Defeased")))</f>
        <v/>
      </c>
      <c r="CJ171" s="78">
        <f>IF($CI171="Fully Defeased",1,0)</f>
        <v/>
      </c>
      <c r="CK171" s="76">
        <f>IF($R171="IO","Full IO",IF(LEFT($R171&amp;"",7)="IO then","Partial IO","Amortizing"))</f>
        <v/>
      </c>
      <c r="CL171" s="78">
        <f>IF($CK171="Full IO",1,0)</f>
        <v/>
      </c>
      <c r="CM171" s="78">
        <f>IF($CK171="Partial IO",1,0)</f>
        <v/>
      </c>
      <c r="CN171" s="76">
        <f>IF(LEFT($F171&amp;"",10)="SPLIT_LOAN","Pari Passu Split","Standalone")</f>
        <v/>
      </c>
      <c r="CO171" s="78">
        <f>IF($CN171="Pari Passu Split",1,0)</f>
        <v/>
      </c>
      <c r="CP171" s="77">
        <f>IF(ISNUMBER($T171),YEAR($T171),"")</f>
        <v/>
      </c>
      <c r="CQ171" s="79">
        <f>IF(ISNUMBER($V171),$V171,IF(ISNUMBER($U171),$U171,""))</f>
        <v/>
      </c>
      <c r="CR171" s="77">
        <f>IF(ISNUMBER($CQ171),YEAR($CQ171),"")</f>
        <v/>
      </c>
      <c r="CS171" s="78">
        <f>IF(ISNUMBER($M171),MAX(0,$M171),IF(TRIM($M171&amp;"")="matured",0,""))</f>
        <v/>
      </c>
      <c r="CT171" s="78">
        <f>IF(AND(ISNUMBER($CS171),N($CS171)&lt;=mMatWindow),1,0)</f>
        <v/>
      </c>
      <c r="CU171" s="80">
        <f>IF(ISNUMBER($J171),$J171/100,"")</f>
        <v/>
      </c>
      <c r="CV171" s="81">
        <f>IF(ISNUMBER($AQ171),$AQ171,"")</f>
        <v/>
      </c>
      <c r="CW171" s="81">
        <f>IF(ISNUMBER($AR171),$AR171,"")</f>
        <v/>
      </c>
      <c r="CX171" s="82">
        <f>IF(ISNUMBER($AS171),$AS171/100,"")</f>
        <v/>
      </c>
      <c r="CY171" s="82">
        <f>IF(ISNUMBER($AT171),$AT171/100,"")</f>
        <v/>
      </c>
      <c r="CZ171" s="82">
        <f>IF(ISNUMBER($AU171),$AU171/100,"")</f>
        <v/>
      </c>
      <c r="DA171" s="82">
        <f>IF(ISNUMBER($AV171),$AV171/100,"")</f>
        <v/>
      </c>
      <c r="DB171" s="82">
        <f>IF(ISNUMBER($AW171),$AW171/100,"")</f>
        <v/>
      </c>
      <c r="DC171" s="82">
        <f>IF(ISNUMBER($AX171),$AX171/100,"")</f>
        <v/>
      </c>
      <c r="DD171" s="77">
        <f>IFERROR(VALUE(LEFT(TRIM($AO171&amp;""),4)),"")</f>
        <v/>
      </c>
      <c r="DE171" s="78">
        <f>IF(AND($BY171=1,$BX171=1,OR(fDeal="All Deals",$BU171=fDeal),OR(fEntity="All Entities",$BV171=fEntity),OR(fPType="All Property Types",$BZ171=fPType),OR(fDefeased="Include",$CJ171=0)),1,0)</f>
        <v/>
      </c>
      <c r="DF171" s="83">
        <f>$DE171*N($I171)</f>
        <v/>
      </c>
      <c r="DG171" s="78">
        <f>IF($DE171=1,IF(COUNTIFS($F$8:$F171,$F171,$DE$8:$DE171,1)=1,1,0),0)</f>
        <v/>
      </c>
      <c r="DH171" s="83">
        <f>IF($DG171=1,SUMIFS($DF$8:$DF$1600,$F$8:$F$1600,$F171),0)</f>
        <v/>
      </c>
      <c r="DI171" s="78">
        <f>IF($DG171=1,COUNTIFS($F$8:$F$1600,$F171,$DE$8:$DE$1600,1),0)</f>
        <v/>
      </c>
      <c r="DJ171" s="84">
        <f>IF($DG171=1,$DH171+(100000-ROW())/mTieBreak,0)</f>
        <v/>
      </c>
    </row>
    <row r="172">
      <c r="B172" s="68" t="n">
        <v>49</v>
      </c>
      <c r="C172" s="69" t="inlineStr">
        <is>
          <t>WFC18C47</t>
        </is>
      </c>
      <c r="D172" s="69" t="inlineStr">
        <is>
          <t>49.000</t>
        </is>
      </c>
      <c r="E172" s="69" t="inlineStr">
        <is>
          <t>Holiday Inn Express - Tullahoma</t>
        </is>
      </c>
      <c r="F172" s="69" t="inlineStr">
        <is>
          <t>LNWFC18C47-49.000</t>
        </is>
      </c>
      <c r="G172" s="70" t="n"/>
      <c r="H172" s="71" t="n">
        <v>6500000</v>
      </c>
      <c r="I172" s="71" t="n">
        <v>5599682.0700015</v>
      </c>
      <c r="J172" s="72" t="n">
        <v>4.83</v>
      </c>
      <c r="K172" s="69" t="inlineStr">
        <is>
          <t>Fixed rate</t>
        </is>
      </c>
      <c r="L172" s="68" t="n">
        <v>120</v>
      </c>
      <c r="M172" s="68" t="n">
        <v>24</v>
      </c>
      <c r="N172" s="68" t="n">
        <v>360</v>
      </c>
      <c r="O172" s="68" t="n"/>
      <c r="P172" s="68" t="n"/>
      <c r="Q172" s="68" t="n">
        <v>96</v>
      </c>
      <c r="R172" s="69" t="n"/>
      <c r="S172" s="69" t="inlineStr">
        <is>
          <t>No</t>
        </is>
      </c>
      <c r="T172" s="73" t="n">
        <v>43344</v>
      </c>
      <c r="U172" s="73" t="n">
        <v>47002</v>
      </c>
      <c r="V172" s="73" t="n"/>
      <c r="W172" s="69" t="n"/>
      <c r="X172" s="69" t="inlineStr">
        <is>
          <t>Current</t>
        </is>
      </c>
      <c r="Y172" s="68" t="n"/>
      <c r="Z172" s="69" t="inlineStr">
        <is>
          <t>No Defeasance Occurred</t>
        </is>
      </c>
      <c r="AA172" s="69" t="inlineStr">
        <is>
          <t>Previously</t>
        </is>
      </c>
      <c r="AB172" s="69" t="inlineStr">
        <is>
          <t>Never special serv</t>
        </is>
      </c>
      <c r="AC172" s="73" t="n"/>
      <c r="AD172" s="69" t="n"/>
      <c r="AE172" s="69" t="n"/>
      <c r="AF172" s="69" t="inlineStr">
        <is>
          <t>TN</t>
        </is>
      </c>
      <c r="AG172" s="69" t="inlineStr">
        <is>
          <t>Tullahoma</t>
        </is>
      </c>
      <c r="AH172" s="69" t="inlineStr">
        <is>
          <t>Tullahoma-Manchester, TN</t>
        </is>
      </c>
      <c r="AI172" s="69" t="inlineStr">
        <is>
          <t>South / Central East</t>
        </is>
      </c>
      <c r="AJ172" s="69" t="inlineStr">
        <is>
          <t>HT</t>
        </is>
      </c>
      <c r="AK172" s="69" t="inlineStr">
        <is>
          <t>Limited Service</t>
        </is>
      </c>
      <c r="AL172" s="68" t="n">
        <v>1</v>
      </c>
      <c r="AM172" s="68" t="n">
        <v>80</v>
      </c>
      <c r="AN172" s="68" t="n"/>
      <c r="AO172" s="69" t="inlineStr">
        <is>
          <t>2011</t>
        </is>
      </c>
      <c r="AP172" s="70" t="n">
        <v>2018</v>
      </c>
      <c r="AQ172" s="74" t="n">
        <v>2.27</v>
      </c>
      <c r="AR172" s="74" t="n">
        <v>2.85</v>
      </c>
      <c r="AS172" s="74" t="n">
        <v>62.4</v>
      </c>
      <c r="AT172" s="74" t="n">
        <v>53.84</v>
      </c>
      <c r="AU172" s="74" t="n">
        <v>51.1</v>
      </c>
      <c r="AV172" s="74" t="n">
        <v>14.332636615</v>
      </c>
      <c r="AW172" s="74" t="n">
        <v>20.902649389</v>
      </c>
      <c r="AX172" s="75" t="n">
        <v>78</v>
      </c>
      <c r="AY172" s="71" t="n">
        <v>10400000</v>
      </c>
      <c r="AZ172" s="71" t="n">
        <v>10400000</v>
      </c>
      <c r="BA172" s="71" t="n">
        <v>931621.38</v>
      </c>
      <c r="BB172" s="71" t="n">
        <v>1170481.91</v>
      </c>
      <c r="BC172" s="69" t="inlineStr">
        <is>
          <t>Refinance</t>
        </is>
      </c>
      <c r="BD172" s="69" t="inlineStr">
        <is>
          <t>N</t>
        </is>
      </c>
      <c r="BE172" s="71" t="n"/>
      <c r="BF172" s="71" t="n"/>
      <c r="BG172" s="71" t="n"/>
      <c r="BH172" s="71" t="n">
        <v>0</v>
      </c>
      <c r="BI172" s="71" t="n">
        <v>0</v>
      </c>
      <c r="BJ172" s="69" t="inlineStr">
        <is>
          <t>N</t>
        </is>
      </c>
      <c r="BK172" s="69" t="n"/>
      <c r="BL172" s="75" t="n"/>
      <c r="BM172" s="73" t="n"/>
      <c r="BN172" s="69" t="inlineStr">
        <is>
          <t>Mitul I. Patel</t>
        </is>
      </c>
      <c r="BO172" s="69" t="inlineStr">
        <is>
          <t>Barclays</t>
        </is>
      </c>
      <c r="BP172" s="69" t="inlineStr">
        <is>
          <t>TriMont Real Estate Advisors</t>
        </is>
      </c>
      <c r="BQ172" s="69" t="inlineStr">
        <is>
          <t>K-Star Asset Management LLC</t>
        </is>
      </c>
      <c r="BR172" s="69" t="n"/>
      <c r="BS172" s="73" t="n">
        <v>46276</v>
      </c>
      <c r="BU172" s="76">
        <f>IF($C172="","",IFERROR(INDEX(dmName,MATCH($C172,dmID,0)),"Unmapped"))</f>
        <v/>
      </c>
      <c r="BV172" s="76">
        <f>IF($C172="","",IFERROR(INDEX(dmEntity,MATCH($C172,dmID,0)),"Unmapped"))</f>
        <v/>
      </c>
      <c r="BW172" s="77">
        <f>IF($C172="","",IFERROR(INDEX(dmVintage,MATCH($C172,dmID,0)),""))</f>
        <v/>
      </c>
      <c r="BX172" s="78">
        <f>IFERROR(INDEX(dmInclude,MATCH($C172,dmID,0)),0)</f>
        <v/>
      </c>
      <c r="BY172" s="78">
        <f>IF(N($I172)&gt;0,1,0)</f>
        <v/>
      </c>
      <c r="BZ172" s="76">
        <f>IF($AJ172="","Other / Leased Fee",IFERROR(INDEX(mapPTGroup,MATCH(LEFT(TRIM($AJ172),2),mapPTCode,0)),"Other / Leased Fee"))</f>
        <v/>
      </c>
      <c r="CA172" s="76">
        <f>IF(TRIM($AF172&amp;"")="","NR",LEFT(TRIM($AF172),2))</f>
        <v/>
      </c>
      <c r="CB172" s="76">
        <f>IFERROR(LOOKUP(2,1/(LEFT(TRIM($AI172&amp;""),LEN(mapRegion))=mapRegion),mapRegion),"Not Reported")</f>
        <v/>
      </c>
      <c r="CC172" s="76">
        <f>IF($BY172=0,"",IF(TRIM($W172&amp;"")="REO","REO",IF(TRIM($W172&amp;"")="FC","Foreclosure",IF(TRIM($W172&amp;"")="90+","90+ Days Delinquent",IF(TRIM($W172&amp;"")="60","60 Days Delinquent",IF(TRIM($W172&amp;"")="30","30 Days Delinquent",IF($X172="Non-Performing Matured Balloon","Non-Performing Matured Balloon",IF(OR($X172="Late Payment But Less Than 30 Days Delinquent",LEFT($X172&amp;"",20)="Payment Not Received"),"Late / In Grace (&lt;30 Days)",IF($X172="Performing Matured Balloon","Performing Matured Balloon","Current")))))))))</f>
        <v/>
      </c>
      <c r="CD172" s="78">
        <f>IF(OR($CC172="REO",$CC172="Foreclosure",$CC172="90+ Days Delinquent",$CC172="60 Days Delinquent",$CC172="30 Days Delinquent",$CC172="Non-Performing Matured Balloon"),1,0)</f>
        <v/>
      </c>
      <c r="CE172" s="76">
        <f>IF($AB172="Currently special serv","Currently Specially Serviced",IF($AB172="Returned to master serv","Previously Specially Serviced","Never Specially Serviced"))</f>
        <v/>
      </c>
      <c r="CF172" s="78">
        <f>IF($CE172="Currently Specially Serviced",1,0)</f>
        <v/>
      </c>
      <c r="CG172" s="76">
        <f>IF($AA172="Yes","Currently on Watchlist",IF($AA172="Previously","Previously on Watchlist","Never on Watchlist"))</f>
        <v/>
      </c>
      <c r="CH172" s="78">
        <f>IF($CG172="Currently on Watchlist",1,0)</f>
        <v/>
      </c>
      <c r="CI172" s="76">
        <f>IF($Z172="Full Defeasance","Fully Defeased",IF($Z172="Portion Of Loan Previously Defeased","Partially Defeased",IF($Z172="Defeasance Not Allowable","Not Defeased (Not Permitted)","Not Defeased")))</f>
        <v/>
      </c>
      <c r="CJ172" s="78">
        <f>IF($CI172="Fully Defeased",1,0)</f>
        <v/>
      </c>
      <c r="CK172" s="76">
        <f>IF($R172="IO","Full IO",IF(LEFT($R172&amp;"",7)="IO then","Partial IO","Amortizing"))</f>
        <v/>
      </c>
      <c r="CL172" s="78">
        <f>IF($CK172="Full IO",1,0)</f>
        <v/>
      </c>
      <c r="CM172" s="78">
        <f>IF($CK172="Partial IO",1,0)</f>
        <v/>
      </c>
      <c r="CN172" s="76">
        <f>IF(LEFT($F172&amp;"",10)="SPLIT_LOAN","Pari Passu Split","Standalone")</f>
        <v/>
      </c>
      <c r="CO172" s="78">
        <f>IF($CN172="Pari Passu Split",1,0)</f>
        <v/>
      </c>
      <c r="CP172" s="77">
        <f>IF(ISNUMBER($T172),YEAR($T172),"")</f>
        <v/>
      </c>
      <c r="CQ172" s="79">
        <f>IF(ISNUMBER($V172),$V172,IF(ISNUMBER($U172),$U172,""))</f>
        <v/>
      </c>
      <c r="CR172" s="77">
        <f>IF(ISNUMBER($CQ172),YEAR($CQ172),"")</f>
        <v/>
      </c>
      <c r="CS172" s="78">
        <f>IF(ISNUMBER($M172),MAX(0,$M172),IF(TRIM($M172&amp;"")="matured",0,""))</f>
        <v/>
      </c>
      <c r="CT172" s="78">
        <f>IF(AND(ISNUMBER($CS172),N($CS172)&lt;=mMatWindow),1,0)</f>
        <v/>
      </c>
      <c r="CU172" s="80">
        <f>IF(ISNUMBER($J172),$J172/100,"")</f>
        <v/>
      </c>
      <c r="CV172" s="81">
        <f>IF(ISNUMBER($AQ172),$AQ172,"")</f>
        <v/>
      </c>
      <c r="CW172" s="81">
        <f>IF(ISNUMBER($AR172),$AR172,"")</f>
        <v/>
      </c>
      <c r="CX172" s="82">
        <f>IF(ISNUMBER($AS172),$AS172/100,"")</f>
        <v/>
      </c>
      <c r="CY172" s="82">
        <f>IF(ISNUMBER($AT172),$AT172/100,"")</f>
        <v/>
      </c>
      <c r="CZ172" s="82">
        <f>IF(ISNUMBER($AU172),$AU172/100,"")</f>
        <v/>
      </c>
      <c r="DA172" s="82">
        <f>IF(ISNUMBER($AV172),$AV172/100,"")</f>
        <v/>
      </c>
      <c r="DB172" s="82">
        <f>IF(ISNUMBER($AW172),$AW172/100,"")</f>
        <v/>
      </c>
      <c r="DC172" s="82">
        <f>IF(ISNUMBER($AX172),$AX172/100,"")</f>
        <v/>
      </c>
      <c r="DD172" s="77">
        <f>IFERROR(VALUE(LEFT(TRIM($AO172&amp;""),4)),"")</f>
        <v/>
      </c>
      <c r="DE172" s="78">
        <f>IF(AND($BY172=1,$BX172=1,OR(fDeal="All Deals",$BU172=fDeal),OR(fEntity="All Entities",$BV172=fEntity),OR(fPType="All Property Types",$BZ172=fPType),OR(fDefeased="Include",$CJ172=0)),1,0)</f>
        <v/>
      </c>
      <c r="DF172" s="83">
        <f>$DE172*N($I172)</f>
        <v/>
      </c>
      <c r="DG172" s="78">
        <f>IF($DE172=1,IF(COUNTIFS($F$8:$F172,$F172,$DE$8:$DE172,1)=1,1,0),0)</f>
        <v/>
      </c>
      <c r="DH172" s="83">
        <f>IF($DG172=1,SUMIFS($DF$8:$DF$1600,$F$8:$F$1600,$F172),0)</f>
        <v/>
      </c>
      <c r="DI172" s="78">
        <f>IF($DG172=1,COUNTIFS($F$8:$F$1600,$F172,$DE$8:$DE$1600,1),0)</f>
        <v/>
      </c>
      <c r="DJ172" s="84">
        <f>IF($DG172=1,$DH172+(100000-ROW())/mTieBreak,0)</f>
        <v/>
      </c>
    </row>
    <row r="173">
      <c r="B173" s="68" t="n">
        <v>50</v>
      </c>
      <c r="C173" s="69" t="inlineStr">
        <is>
          <t>WFC18C47</t>
        </is>
      </c>
      <c r="D173" s="69" t="inlineStr">
        <is>
          <t>50.000</t>
        </is>
      </c>
      <c r="E173" s="69" t="inlineStr">
        <is>
          <t>Town View Retail Center</t>
        </is>
      </c>
      <c r="F173" s="69" t="inlineStr">
        <is>
          <t>LNWFC18C47-50.000</t>
        </is>
      </c>
      <c r="G173" s="70" t="n"/>
      <c r="H173" s="71" t="n">
        <v>6250000</v>
      </c>
      <c r="I173" s="71" t="n">
        <v>5461588.23</v>
      </c>
      <c r="J173" s="72" t="n">
        <v>5.47</v>
      </c>
      <c r="K173" s="69" t="inlineStr">
        <is>
          <t>Fixed rate</t>
        </is>
      </c>
      <c r="L173" s="68" t="n">
        <v>120</v>
      </c>
      <c r="M173" s="68" t="n">
        <v>23</v>
      </c>
      <c r="N173" s="68" t="n">
        <v>360</v>
      </c>
      <c r="O173" s="68" t="n"/>
      <c r="P173" s="68" t="n"/>
      <c r="Q173" s="68" t="n">
        <v>97</v>
      </c>
      <c r="R173" s="69" t="n"/>
      <c r="S173" s="69" t="inlineStr">
        <is>
          <t>No</t>
        </is>
      </c>
      <c r="T173" s="73" t="n">
        <v>43313</v>
      </c>
      <c r="U173" s="73" t="n">
        <v>46976</v>
      </c>
      <c r="V173" s="73" t="n"/>
      <c r="W173" s="69" t="n"/>
      <c r="X173" s="69" t="inlineStr">
        <is>
          <t>Current</t>
        </is>
      </c>
      <c r="Y173" s="68" t="n"/>
      <c r="Z173" s="69" t="inlineStr">
        <is>
          <t>Full Defeasance</t>
        </is>
      </c>
      <c r="AA173" s="69" t="n"/>
      <c r="AB173" s="69" t="inlineStr">
        <is>
          <t>Never special serv</t>
        </is>
      </c>
      <c r="AC173" s="73" t="n"/>
      <c r="AD173" s="69" t="n"/>
      <c r="AE173" s="69" t="n"/>
      <c r="AF173" s="69" t="inlineStr">
        <is>
          <t>FL</t>
        </is>
      </c>
      <c r="AG173" s="69" t="inlineStr">
        <is>
          <t>Zephyrhills</t>
        </is>
      </c>
      <c r="AH173" s="69" t="inlineStr">
        <is>
          <t>Tampa-St. Petersburg-Clearwater, FL</t>
        </is>
      </c>
      <c r="AI173" s="69" t="inlineStr">
        <is>
          <t>South / Atlantic</t>
        </is>
      </c>
      <c r="AJ173" s="69" t="inlineStr">
        <is>
          <t>RT</t>
        </is>
      </c>
      <c r="AK173" s="69" t="inlineStr">
        <is>
          <t>Anchored</t>
        </is>
      </c>
      <c r="AL173" s="68" t="n">
        <v>1</v>
      </c>
      <c r="AM173" s="68" t="n"/>
      <c r="AN173" s="68" t="n">
        <v>175471</v>
      </c>
      <c r="AO173" s="69" t="inlineStr">
        <is>
          <t>1990</t>
        </is>
      </c>
      <c r="AP173" s="70" t="n">
        <v>2003</v>
      </c>
      <c r="AQ173" s="74" t="n">
        <v>1.39</v>
      </c>
      <c r="AR173" s="74" t="n">
        <v>1.86</v>
      </c>
      <c r="AS173" s="74" t="n">
        <v>70.90000000000001</v>
      </c>
      <c r="AT173" s="74" t="n">
        <v>62.06</v>
      </c>
      <c r="AU173" s="74" t="n">
        <v>59.3</v>
      </c>
      <c r="AV173" s="74" t="n">
        <v>9.439155680000001</v>
      </c>
      <c r="AW173" s="74" t="n">
        <v>14.465702406</v>
      </c>
      <c r="AX173" s="75" t="n">
        <v>100</v>
      </c>
      <c r="AY173" s="71" t="n">
        <v>8800000</v>
      </c>
      <c r="AZ173" s="71" t="n">
        <v>8800000</v>
      </c>
      <c r="BA173" s="71" t="n">
        <v>589947.23</v>
      </c>
      <c r="BB173" s="71" t="n">
        <v>790057.1</v>
      </c>
      <c r="BC173" s="69" t="inlineStr">
        <is>
          <t>Acquisition</t>
        </is>
      </c>
      <c r="BD173" s="69" t="inlineStr">
        <is>
          <t>N</t>
        </is>
      </c>
      <c r="BE173" s="71" t="n"/>
      <c r="BF173" s="71" t="n"/>
      <c r="BG173" s="71" t="n"/>
      <c r="BH173" s="71" t="n">
        <v>0</v>
      </c>
      <c r="BI173" s="71" t="n">
        <v>0</v>
      </c>
      <c r="BJ173" s="69" t="inlineStr">
        <is>
          <t>N</t>
        </is>
      </c>
      <c r="BK173" s="69" t="inlineStr">
        <is>
          <t>RK Holdings  LLP</t>
        </is>
      </c>
      <c r="BL173" s="75" t="n">
        <v>49.23</v>
      </c>
      <c r="BM173" s="73" t="n">
        <v>46461</v>
      </c>
      <c r="BN173" s="69" t="inlineStr">
        <is>
          <t>Mark Salomon; Ram P. Gupta</t>
        </is>
      </c>
      <c r="BO173" s="69" t="inlineStr">
        <is>
          <t>CIII Capital</t>
        </is>
      </c>
      <c r="BP173" s="69" t="inlineStr">
        <is>
          <t>TriMont Real Estate Advisors</t>
        </is>
      </c>
      <c r="BQ173" s="69" t="inlineStr">
        <is>
          <t>K-Star Asset Management LLC</t>
        </is>
      </c>
      <c r="BR173" s="69" t="n"/>
      <c r="BS173" s="73" t="n">
        <v>46276</v>
      </c>
      <c r="BU173" s="76">
        <f>IF($C173="","",IFERROR(INDEX(dmName,MATCH($C173,dmID,0)),"Unmapped"))</f>
        <v/>
      </c>
      <c r="BV173" s="76">
        <f>IF($C173="","",IFERROR(INDEX(dmEntity,MATCH($C173,dmID,0)),"Unmapped"))</f>
        <v/>
      </c>
      <c r="BW173" s="77">
        <f>IF($C173="","",IFERROR(INDEX(dmVintage,MATCH($C173,dmID,0)),""))</f>
        <v/>
      </c>
      <c r="BX173" s="78">
        <f>IFERROR(INDEX(dmInclude,MATCH($C173,dmID,0)),0)</f>
        <v/>
      </c>
      <c r="BY173" s="78">
        <f>IF(N($I173)&gt;0,1,0)</f>
        <v/>
      </c>
      <c r="BZ173" s="76">
        <f>IF($AJ173="","Other / Leased Fee",IFERROR(INDEX(mapPTGroup,MATCH(LEFT(TRIM($AJ173),2),mapPTCode,0)),"Other / Leased Fee"))</f>
        <v/>
      </c>
      <c r="CA173" s="76">
        <f>IF(TRIM($AF173&amp;"")="","NR",LEFT(TRIM($AF173),2))</f>
        <v/>
      </c>
      <c r="CB173" s="76">
        <f>IFERROR(LOOKUP(2,1/(LEFT(TRIM($AI173&amp;""),LEN(mapRegion))=mapRegion),mapRegion),"Not Reported")</f>
        <v/>
      </c>
      <c r="CC173" s="76">
        <f>IF($BY173=0,"",IF(TRIM($W173&amp;"")="REO","REO",IF(TRIM($W173&amp;"")="FC","Foreclosure",IF(TRIM($W173&amp;"")="90+","90+ Days Delinquent",IF(TRIM($W173&amp;"")="60","60 Days Delinquent",IF(TRIM($W173&amp;"")="30","30 Days Delinquent",IF($X173="Non-Performing Matured Balloon","Non-Performing Matured Balloon",IF(OR($X173="Late Payment But Less Than 30 Days Delinquent",LEFT($X173&amp;"",20)="Payment Not Received"),"Late / In Grace (&lt;30 Days)",IF($X173="Performing Matured Balloon","Performing Matured Balloon","Current")))))))))</f>
        <v/>
      </c>
      <c r="CD173" s="78">
        <f>IF(OR($CC173="REO",$CC173="Foreclosure",$CC173="90+ Days Delinquent",$CC173="60 Days Delinquent",$CC173="30 Days Delinquent",$CC173="Non-Performing Matured Balloon"),1,0)</f>
        <v/>
      </c>
      <c r="CE173" s="76">
        <f>IF($AB173="Currently special serv","Currently Specially Serviced",IF($AB173="Returned to master serv","Previously Specially Serviced","Never Specially Serviced"))</f>
        <v/>
      </c>
      <c r="CF173" s="78">
        <f>IF($CE173="Currently Specially Serviced",1,0)</f>
        <v/>
      </c>
      <c r="CG173" s="76">
        <f>IF($AA173="Yes","Currently on Watchlist",IF($AA173="Previously","Previously on Watchlist","Never on Watchlist"))</f>
        <v/>
      </c>
      <c r="CH173" s="78">
        <f>IF($CG173="Currently on Watchlist",1,0)</f>
        <v/>
      </c>
      <c r="CI173" s="76">
        <f>IF($Z173="Full Defeasance","Fully Defeased",IF($Z173="Portion Of Loan Previously Defeased","Partially Defeased",IF($Z173="Defeasance Not Allowable","Not Defeased (Not Permitted)","Not Defeased")))</f>
        <v/>
      </c>
      <c r="CJ173" s="78">
        <f>IF($CI173="Fully Defeased",1,0)</f>
        <v/>
      </c>
      <c r="CK173" s="76">
        <f>IF($R173="IO","Full IO",IF(LEFT($R173&amp;"",7)="IO then","Partial IO","Amortizing"))</f>
        <v/>
      </c>
      <c r="CL173" s="78">
        <f>IF($CK173="Full IO",1,0)</f>
        <v/>
      </c>
      <c r="CM173" s="78">
        <f>IF($CK173="Partial IO",1,0)</f>
        <v/>
      </c>
      <c r="CN173" s="76">
        <f>IF(LEFT($F173&amp;"",10)="SPLIT_LOAN","Pari Passu Split","Standalone")</f>
        <v/>
      </c>
      <c r="CO173" s="78">
        <f>IF($CN173="Pari Passu Split",1,0)</f>
        <v/>
      </c>
      <c r="CP173" s="77">
        <f>IF(ISNUMBER($T173),YEAR($T173),"")</f>
        <v/>
      </c>
      <c r="CQ173" s="79">
        <f>IF(ISNUMBER($V173),$V173,IF(ISNUMBER($U173),$U173,""))</f>
        <v/>
      </c>
      <c r="CR173" s="77">
        <f>IF(ISNUMBER($CQ173),YEAR($CQ173),"")</f>
        <v/>
      </c>
      <c r="CS173" s="78">
        <f>IF(ISNUMBER($M173),MAX(0,$M173),IF(TRIM($M173&amp;"")="matured",0,""))</f>
        <v/>
      </c>
      <c r="CT173" s="78">
        <f>IF(AND(ISNUMBER($CS173),N($CS173)&lt;=mMatWindow),1,0)</f>
        <v/>
      </c>
      <c r="CU173" s="80">
        <f>IF(ISNUMBER($J173),$J173/100,"")</f>
        <v/>
      </c>
      <c r="CV173" s="81">
        <f>IF(ISNUMBER($AQ173),$AQ173,"")</f>
        <v/>
      </c>
      <c r="CW173" s="81">
        <f>IF(ISNUMBER($AR173),$AR173,"")</f>
        <v/>
      </c>
      <c r="CX173" s="82">
        <f>IF(ISNUMBER($AS173),$AS173/100,"")</f>
        <v/>
      </c>
      <c r="CY173" s="82">
        <f>IF(ISNUMBER($AT173),$AT173/100,"")</f>
        <v/>
      </c>
      <c r="CZ173" s="82">
        <f>IF(ISNUMBER($AU173),$AU173/100,"")</f>
        <v/>
      </c>
      <c r="DA173" s="82">
        <f>IF(ISNUMBER($AV173),$AV173/100,"")</f>
        <v/>
      </c>
      <c r="DB173" s="82">
        <f>IF(ISNUMBER($AW173),$AW173/100,"")</f>
        <v/>
      </c>
      <c r="DC173" s="82">
        <f>IF(ISNUMBER($AX173),$AX173/100,"")</f>
        <v/>
      </c>
      <c r="DD173" s="77">
        <f>IFERROR(VALUE(LEFT(TRIM($AO173&amp;""),4)),"")</f>
        <v/>
      </c>
      <c r="DE173" s="78">
        <f>IF(AND($BY173=1,$BX173=1,OR(fDeal="All Deals",$BU173=fDeal),OR(fEntity="All Entities",$BV173=fEntity),OR(fPType="All Property Types",$BZ173=fPType),OR(fDefeased="Include",$CJ173=0)),1,0)</f>
        <v/>
      </c>
      <c r="DF173" s="83">
        <f>$DE173*N($I173)</f>
        <v/>
      </c>
      <c r="DG173" s="78">
        <f>IF($DE173=1,IF(COUNTIFS($F$8:$F173,$F173,$DE$8:$DE173,1)=1,1,0),0)</f>
        <v/>
      </c>
      <c r="DH173" s="83">
        <f>IF($DG173=1,SUMIFS($DF$8:$DF$1600,$F$8:$F$1600,$F173),0)</f>
        <v/>
      </c>
      <c r="DI173" s="78">
        <f>IF($DG173=1,COUNTIFS($F$8:$F$1600,$F173,$DE$8:$DE$1600,1),0)</f>
        <v/>
      </c>
      <c r="DJ173" s="84">
        <f>IF($DG173=1,$DH173+(100000-ROW())/mTieBreak,0)</f>
        <v/>
      </c>
    </row>
    <row r="174">
      <c r="B174" s="68" t="n">
        <v>51</v>
      </c>
      <c r="C174" s="69" t="inlineStr">
        <is>
          <t>WFC18C47</t>
        </is>
      </c>
      <c r="D174" s="69" t="inlineStr">
        <is>
          <t>51.000</t>
        </is>
      </c>
      <c r="E174" s="69" t="inlineStr">
        <is>
          <t>Pine Ridge MHC</t>
        </is>
      </c>
      <c r="F174" s="69" t="inlineStr">
        <is>
          <t>LNWFC18C47-51.000</t>
        </is>
      </c>
      <c r="G174" s="70" t="n"/>
      <c r="H174" s="71" t="n">
        <v>5140000</v>
      </c>
      <c r="I174" s="71" t="n">
        <v>4756447.75999876</v>
      </c>
      <c r="J174" s="72" t="n">
        <v>5.23</v>
      </c>
      <c r="K174" s="69" t="inlineStr">
        <is>
          <t>Fixed rate</t>
        </is>
      </c>
      <c r="L174" s="68" t="n">
        <v>120</v>
      </c>
      <c r="M174" s="68" t="n">
        <v>24</v>
      </c>
      <c r="N174" s="68" t="n">
        <v>396</v>
      </c>
      <c r="O174" s="68" t="n">
        <v>36</v>
      </c>
      <c r="P174" s="68" t="n">
        <v>0</v>
      </c>
      <c r="Q174" s="68" t="n">
        <v>96</v>
      </c>
      <c r="R174" s="69" t="inlineStr">
        <is>
          <t>IO then Amort</t>
        </is>
      </c>
      <c r="S174" s="69" t="inlineStr">
        <is>
          <t>No</t>
        </is>
      </c>
      <c r="T174" s="73" t="n">
        <v>43344</v>
      </c>
      <c r="U174" s="73" t="n">
        <v>47007</v>
      </c>
      <c r="V174" s="73" t="n"/>
      <c r="W174" s="69" t="n"/>
      <c r="X174" s="69" t="inlineStr">
        <is>
          <t>Current</t>
        </is>
      </c>
      <c r="Y174" s="68" t="n"/>
      <c r="Z174" s="69" t="inlineStr">
        <is>
          <t>Full Defeasance</t>
        </is>
      </c>
      <c r="AA174" s="69" t="inlineStr">
        <is>
          <t>Previously</t>
        </is>
      </c>
      <c r="AB174" s="69" t="inlineStr">
        <is>
          <t>Never special serv</t>
        </is>
      </c>
      <c r="AC174" s="73" t="n"/>
      <c r="AD174" s="69" t="n"/>
      <c r="AE174" s="69" t="n"/>
      <c r="AF174" s="69" t="inlineStr">
        <is>
          <t>FL</t>
        </is>
      </c>
      <c r="AG174" s="69" t="inlineStr">
        <is>
          <t>Sarasota</t>
        </is>
      </c>
      <c r="AH174" s="69" t="inlineStr">
        <is>
          <t>North Port-Bradenton-Sarasota, FL</t>
        </is>
      </c>
      <c r="AI174" s="69" t="inlineStr">
        <is>
          <t>South / Atlantic</t>
        </is>
      </c>
      <c r="AJ174" s="69" t="inlineStr">
        <is>
          <t>MH</t>
        </is>
      </c>
      <c r="AK174" s="69" t="n"/>
      <c r="AL174" s="68" t="n">
        <v>1</v>
      </c>
      <c r="AM174" s="68" t="n">
        <v>127</v>
      </c>
      <c r="AN174" s="68" t="n"/>
      <c r="AO174" s="69" t="inlineStr">
        <is>
          <t>1967</t>
        </is>
      </c>
      <c r="AP174" s="70" t="n">
        <v>2018</v>
      </c>
      <c r="AQ174" s="74" t="n">
        <v>1.36</v>
      </c>
      <c r="AR174" s="74" t="n">
        <v>1.96</v>
      </c>
      <c r="AS174" s="74" t="n">
        <v>57.1</v>
      </c>
      <c r="AT174" s="74" t="n">
        <v>52.85</v>
      </c>
      <c r="AU174" s="74" t="n">
        <v>50.8</v>
      </c>
      <c r="AV174" s="74" t="n">
        <v>9.014395135999999</v>
      </c>
      <c r="AW174" s="74" t="n">
        <v>9.65240434</v>
      </c>
      <c r="AX174" s="75" t="n">
        <v>89</v>
      </c>
      <c r="AY174" s="71" t="n">
        <v>9000000</v>
      </c>
      <c r="AZ174" s="71" t="n">
        <v>9000000</v>
      </c>
      <c r="BA174" s="71" t="n">
        <v>463339.91</v>
      </c>
      <c r="BB174" s="71" t="n">
        <v>133335</v>
      </c>
      <c r="BC174" s="69" t="inlineStr">
        <is>
          <t>Acquisition</t>
        </is>
      </c>
      <c r="BD174" s="69" t="inlineStr">
        <is>
          <t>N</t>
        </is>
      </c>
      <c r="BE174" s="71" t="n"/>
      <c r="BF174" s="71" t="n"/>
      <c r="BG174" s="71" t="n"/>
      <c r="BH174" s="71" t="n">
        <v>0</v>
      </c>
      <c r="BI174" s="71" t="n">
        <v>0</v>
      </c>
      <c r="BJ174" s="69" t="inlineStr">
        <is>
          <t>N</t>
        </is>
      </c>
      <c r="BK174" s="69" t="n"/>
      <c r="BL174" s="75" t="n"/>
      <c r="BM174" s="73" t="n"/>
      <c r="BN174" s="69" t="inlineStr">
        <is>
          <t>Hugh Reid; Margaret Reid</t>
        </is>
      </c>
      <c r="BO174" s="69" t="inlineStr">
        <is>
          <t>CIII Capital</t>
        </is>
      </c>
      <c r="BP174" s="69" t="inlineStr">
        <is>
          <t>TriMont Real Estate Advisors</t>
        </is>
      </c>
      <c r="BQ174" s="69" t="inlineStr">
        <is>
          <t>K-Star Asset Management LLC</t>
        </is>
      </c>
      <c r="BR174" s="69" t="n"/>
      <c r="BS174" s="73" t="n">
        <v>46276</v>
      </c>
      <c r="BU174" s="76">
        <f>IF($C174="","",IFERROR(INDEX(dmName,MATCH($C174,dmID,0)),"Unmapped"))</f>
        <v/>
      </c>
      <c r="BV174" s="76">
        <f>IF($C174="","",IFERROR(INDEX(dmEntity,MATCH($C174,dmID,0)),"Unmapped"))</f>
        <v/>
      </c>
      <c r="BW174" s="77">
        <f>IF($C174="","",IFERROR(INDEX(dmVintage,MATCH($C174,dmID,0)),""))</f>
        <v/>
      </c>
      <c r="BX174" s="78">
        <f>IFERROR(INDEX(dmInclude,MATCH($C174,dmID,0)),0)</f>
        <v/>
      </c>
      <c r="BY174" s="78">
        <f>IF(N($I174)&gt;0,1,0)</f>
        <v/>
      </c>
      <c r="BZ174" s="76">
        <f>IF($AJ174="","Other / Leased Fee",IFERROR(INDEX(mapPTGroup,MATCH(LEFT(TRIM($AJ174),2),mapPTCode,0)),"Other / Leased Fee"))</f>
        <v/>
      </c>
      <c r="CA174" s="76">
        <f>IF(TRIM($AF174&amp;"")="","NR",LEFT(TRIM($AF174),2))</f>
        <v/>
      </c>
      <c r="CB174" s="76">
        <f>IFERROR(LOOKUP(2,1/(LEFT(TRIM($AI174&amp;""),LEN(mapRegion))=mapRegion),mapRegion),"Not Reported")</f>
        <v/>
      </c>
      <c r="CC174" s="76">
        <f>IF($BY174=0,"",IF(TRIM($W174&amp;"")="REO","REO",IF(TRIM($W174&amp;"")="FC","Foreclosure",IF(TRIM($W174&amp;"")="90+","90+ Days Delinquent",IF(TRIM($W174&amp;"")="60","60 Days Delinquent",IF(TRIM($W174&amp;"")="30","30 Days Delinquent",IF($X174="Non-Performing Matured Balloon","Non-Performing Matured Balloon",IF(OR($X174="Late Payment But Less Than 30 Days Delinquent",LEFT($X174&amp;"",20)="Payment Not Received"),"Late / In Grace (&lt;30 Days)",IF($X174="Performing Matured Balloon","Performing Matured Balloon","Current")))))))))</f>
        <v/>
      </c>
      <c r="CD174" s="78">
        <f>IF(OR($CC174="REO",$CC174="Foreclosure",$CC174="90+ Days Delinquent",$CC174="60 Days Delinquent",$CC174="30 Days Delinquent",$CC174="Non-Performing Matured Balloon"),1,0)</f>
        <v/>
      </c>
      <c r="CE174" s="76">
        <f>IF($AB174="Currently special serv","Currently Specially Serviced",IF($AB174="Returned to master serv","Previously Specially Serviced","Never Specially Serviced"))</f>
        <v/>
      </c>
      <c r="CF174" s="78">
        <f>IF($CE174="Currently Specially Serviced",1,0)</f>
        <v/>
      </c>
      <c r="CG174" s="76">
        <f>IF($AA174="Yes","Currently on Watchlist",IF($AA174="Previously","Previously on Watchlist","Never on Watchlist"))</f>
        <v/>
      </c>
      <c r="CH174" s="78">
        <f>IF($CG174="Currently on Watchlist",1,0)</f>
        <v/>
      </c>
      <c r="CI174" s="76">
        <f>IF($Z174="Full Defeasance","Fully Defeased",IF($Z174="Portion Of Loan Previously Defeased","Partially Defeased",IF($Z174="Defeasance Not Allowable","Not Defeased (Not Permitted)","Not Defeased")))</f>
        <v/>
      </c>
      <c r="CJ174" s="78">
        <f>IF($CI174="Fully Defeased",1,0)</f>
        <v/>
      </c>
      <c r="CK174" s="76">
        <f>IF($R174="IO","Full IO",IF(LEFT($R174&amp;"",7)="IO then","Partial IO","Amortizing"))</f>
        <v/>
      </c>
      <c r="CL174" s="78">
        <f>IF($CK174="Full IO",1,0)</f>
        <v/>
      </c>
      <c r="CM174" s="78">
        <f>IF($CK174="Partial IO",1,0)</f>
        <v/>
      </c>
      <c r="CN174" s="76">
        <f>IF(LEFT($F174&amp;"",10)="SPLIT_LOAN","Pari Passu Split","Standalone")</f>
        <v/>
      </c>
      <c r="CO174" s="78">
        <f>IF($CN174="Pari Passu Split",1,0)</f>
        <v/>
      </c>
      <c r="CP174" s="77">
        <f>IF(ISNUMBER($T174),YEAR($T174),"")</f>
        <v/>
      </c>
      <c r="CQ174" s="79">
        <f>IF(ISNUMBER($V174),$V174,IF(ISNUMBER($U174),$U174,""))</f>
        <v/>
      </c>
      <c r="CR174" s="77">
        <f>IF(ISNUMBER($CQ174),YEAR($CQ174),"")</f>
        <v/>
      </c>
      <c r="CS174" s="78">
        <f>IF(ISNUMBER($M174),MAX(0,$M174),IF(TRIM($M174&amp;"")="matured",0,""))</f>
        <v/>
      </c>
      <c r="CT174" s="78">
        <f>IF(AND(ISNUMBER($CS174),N($CS174)&lt;=mMatWindow),1,0)</f>
        <v/>
      </c>
      <c r="CU174" s="80">
        <f>IF(ISNUMBER($J174),$J174/100,"")</f>
        <v/>
      </c>
      <c r="CV174" s="81">
        <f>IF(ISNUMBER($AQ174),$AQ174,"")</f>
        <v/>
      </c>
      <c r="CW174" s="81">
        <f>IF(ISNUMBER($AR174),$AR174,"")</f>
        <v/>
      </c>
      <c r="CX174" s="82">
        <f>IF(ISNUMBER($AS174),$AS174/100,"")</f>
        <v/>
      </c>
      <c r="CY174" s="82">
        <f>IF(ISNUMBER($AT174),$AT174/100,"")</f>
        <v/>
      </c>
      <c r="CZ174" s="82">
        <f>IF(ISNUMBER($AU174),$AU174/100,"")</f>
        <v/>
      </c>
      <c r="DA174" s="82">
        <f>IF(ISNUMBER($AV174),$AV174/100,"")</f>
        <v/>
      </c>
      <c r="DB174" s="82">
        <f>IF(ISNUMBER($AW174),$AW174/100,"")</f>
        <v/>
      </c>
      <c r="DC174" s="82">
        <f>IF(ISNUMBER($AX174),$AX174/100,"")</f>
        <v/>
      </c>
      <c r="DD174" s="77">
        <f>IFERROR(VALUE(LEFT(TRIM($AO174&amp;""),4)),"")</f>
        <v/>
      </c>
      <c r="DE174" s="78">
        <f>IF(AND($BY174=1,$BX174=1,OR(fDeal="All Deals",$BU174=fDeal),OR(fEntity="All Entities",$BV174=fEntity),OR(fPType="All Property Types",$BZ174=fPType),OR(fDefeased="Include",$CJ174=0)),1,0)</f>
        <v/>
      </c>
      <c r="DF174" s="83">
        <f>$DE174*N($I174)</f>
        <v/>
      </c>
      <c r="DG174" s="78">
        <f>IF($DE174=1,IF(COUNTIFS($F$8:$F174,$F174,$DE$8:$DE174,1)=1,1,0),0)</f>
        <v/>
      </c>
      <c r="DH174" s="83">
        <f>IF($DG174=1,SUMIFS($DF$8:$DF$1600,$F$8:$F$1600,$F174),0)</f>
        <v/>
      </c>
      <c r="DI174" s="78">
        <f>IF($DG174=1,COUNTIFS($F$8:$F$1600,$F174,$DE$8:$DE$1600,1),0)</f>
        <v/>
      </c>
      <c r="DJ174" s="84">
        <f>IF($DG174=1,$DH174+(100000-ROW())/mTieBreak,0)</f>
        <v/>
      </c>
    </row>
    <row r="175">
      <c r="B175" s="68" t="n">
        <v>52</v>
      </c>
      <c r="C175" s="69" t="inlineStr">
        <is>
          <t>WFC18C47</t>
        </is>
      </c>
      <c r="D175" s="69" t="inlineStr">
        <is>
          <t>52.000</t>
        </is>
      </c>
      <c r="E175" s="69" t="inlineStr">
        <is>
          <t>Amalie Meadows Apartments</t>
        </is>
      </c>
      <c r="F175" s="69" t="inlineStr">
        <is>
          <t>LNWFC18C47-52.000</t>
        </is>
      </c>
      <c r="G175" s="70" t="n"/>
      <c r="H175" s="71" t="n">
        <v>5100000</v>
      </c>
      <c r="I175" s="71" t="n">
        <v>0</v>
      </c>
      <c r="J175" s="72" t="n">
        <v>5.36</v>
      </c>
      <c r="K175" s="69" t="inlineStr">
        <is>
          <t>Fixed rate</t>
        </is>
      </c>
      <c r="L175" s="68" t="n">
        <v>120</v>
      </c>
      <c r="M175" s="68" t="n"/>
      <c r="N175" s="68" t="n">
        <v>384</v>
      </c>
      <c r="O175" s="68" t="n">
        <v>24</v>
      </c>
      <c r="P175" s="68" t="n"/>
      <c r="Q175" s="68" t="n"/>
      <c r="R175" s="69" t="inlineStr">
        <is>
          <t>IO then Amort</t>
        </is>
      </c>
      <c r="S175" s="69" t="inlineStr">
        <is>
          <t>No</t>
        </is>
      </c>
      <c r="T175" s="73" t="n">
        <v>43374</v>
      </c>
      <c r="U175" s="73" t="n">
        <v>47032</v>
      </c>
      <c r="V175" s="73" t="n"/>
      <c r="W175" s="69" t="n"/>
      <c r="X175" s="69" t="inlineStr">
        <is>
          <t>Current</t>
        </is>
      </c>
      <c r="Y175" s="68" t="n"/>
      <c r="Z175" s="69" t="inlineStr">
        <is>
          <t>Defeasance Not Allowable</t>
        </is>
      </c>
      <c r="AA175" s="69" t="inlineStr">
        <is>
          <t>Previously</t>
        </is>
      </c>
      <c r="AB175" s="69" t="inlineStr">
        <is>
          <t>Never special serv</t>
        </is>
      </c>
      <c r="AC175" s="73" t="n"/>
      <c r="AD175" s="69" t="n"/>
      <c r="AE175" s="69" t="n"/>
      <c r="AF175" s="69" t="inlineStr">
        <is>
          <t>TN</t>
        </is>
      </c>
      <c r="AG175" s="69" t="inlineStr">
        <is>
          <t>Madison</t>
        </is>
      </c>
      <c r="AH175" s="69" t="inlineStr">
        <is>
          <t>Nashville-Davidson--Murfreesboro--Franklin, TN</t>
        </is>
      </c>
      <c r="AI175" s="69" t="inlineStr">
        <is>
          <t>South / Central East</t>
        </is>
      </c>
      <c r="AJ175" s="69" t="inlineStr">
        <is>
          <t>MF</t>
        </is>
      </c>
      <c r="AK175" s="69" t="inlineStr">
        <is>
          <t>Garden</t>
        </is>
      </c>
      <c r="AL175" s="68" t="n">
        <v>1</v>
      </c>
      <c r="AM175" s="68" t="n">
        <v>88</v>
      </c>
      <c r="AN175" s="68" t="n"/>
      <c r="AO175" s="69" t="inlineStr">
        <is>
          <t>1969</t>
        </is>
      </c>
      <c r="AP175" s="70" t="n">
        <v>1969</v>
      </c>
      <c r="AQ175" s="74" t="n">
        <v>1.44</v>
      </c>
      <c r="AR175" s="74" t="n">
        <v>0.65</v>
      </c>
      <c r="AS175" s="74" t="n">
        <v>65.8</v>
      </c>
      <c r="AT175" s="74" t="n"/>
      <c r="AU175" s="74" t="n">
        <v>57.4</v>
      </c>
      <c r="AV175" s="74" t="n">
        <v>9.671588235</v>
      </c>
      <c r="AW175" s="74" t="n"/>
      <c r="AX175" s="75" t="n">
        <v>81.81999999999999</v>
      </c>
      <c r="AY175" s="71" t="n">
        <v>7750000</v>
      </c>
      <c r="AZ175" s="71" t="n">
        <v>7750000</v>
      </c>
      <c r="BA175" s="71" t="n">
        <v>493251</v>
      </c>
      <c r="BB175" s="71" t="n">
        <v>165513.21</v>
      </c>
      <c r="BC175" s="69" t="inlineStr">
        <is>
          <t>Refinance</t>
        </is>
      </c>
      <c r="BD175" s="69" t="inlineStr">
        <is>
          <t>N</t>
        </is>
      </c>
      <c r="BE175" s="71" t="n"/>
      <c r="BF175" s="71" t="n"/>
      <c r="BG175" s="71" t="n"/>
      <c r="BH175" s="71" t="n">
        <v>0</v>
      </c>
      <c r="BI175" s="71" t="n">
        <v>0</v>
      </c>
      <c r="BJ175" s="69" t="inlineStr">
        <is>
          <t>N</t>
        </is>
      </c>
      <c r="BK175" s="69" t="n"/>
      <c r="BL175" s="75" t="n"/>
      <c r="BM175" s="73" t="n"/>
      <c r="BN175" s="69" t="inlineStr">
        <is>
          <t>Alan Kuatt</t>
        </is>
      </c>
      <c r="BO175" s="69" t="inlineStr">
        <is>
          <t>RMF</t>
        </is>
      </c>
      <c r="BP175" s="69" t="inlineStr">
        <is>
          <t>Wells Fargo</t>
        </is>
      </c>
      <c r="BQ175" s="69" t="inlineStr">
        <is>
          <t>Midland Loan Services</t>
        </is>
      </c>
      <c r="BR175" s="69" t="inlineStr">
        <is>
          <t>Payoff With Yield Maintenance</t>
        </is>
      </c>
      <c r="BS175" s="73" t="n">
        <v>44631</v>
      </c>
      <c r="BU175" s="76">
        <f>IF($C175="","",IFERROR(INDEX(dmName,MATCH($C175,dmID,0)),"Unmapped"))</f>
        <v/>
      </c>
      <c r="BV175" s="76">
        <f>IF($C175="","",IFERROR(INDEX(dmEntity,MATCH($C175,dmID,0)),"Unmapped"))</f>
        <v/>
      </c>
      <c r="BW175" s="77">
        <f>IF($C175="","",IFERROR(INDEX(dmVintage,MATCH($C175,dmID,0)),""))</f>
        <v/>
      </c>
      <c r="BX175" s="78">
        <f>IFERROR(INDEX(dmInclude,MATCH($C175,dmID,0)),0)</f>
        <v/>
      </c>
      <c r="BY175" s="78">
        <f>IF(N($I175)&gt;0,1,0)</f>
        <v/>
      </c>
      <c r="BZ175" s="76">
        <f>IF($AJ175="","Other / Leased Fee",IFERROR(INDEX(mapPTGroup,MATCH(LEFT(TRIM($AJ175),2),mapPTCode,0)),"Other / Leased Fee"))</f>
        <v/>
      </c>
      <c r="CA175" s="76">
        <f>IF(TRIM($AF175&amp;"")="","NR",LEFT(TRIM($AF175),2))</f>
        <v/>
      </c>
      <c r="CB175" s="76">
        <f>IFERROR(LOOKUP(2,1/(LEFT(TRIM($AI175&amp;""),LEN(mapRegion))=mapRegion),mapRegion),"Not Reported")</f>
        <v/>
      </c>
      <c r="CC175" s="76">
        <f>IF($BY175=0,"",IF(TRIM($W175&amp;"")="REO","REO",IF(TRIM($W175&amp;"")="FC","Foreclosure",IF(TRIM($W175&amp;"")="90+","90+ Days Delinquent",IF(TRIM($W175&amp;"")="60","60 Days Delinquent",IF(TRIM($W175&amp;"")="30","30 Days Delinquent",IF($X175="Non-Performing Matured Balloon","Non-Performing Matured Balloon",IF(OR($X175="Late Payment But Less Than 30 Days Delinquent",LEFT($X175&amp;"",20)="Payment Not Received"),"Late / In Grace (&lt;30 Days)",IF($X175="Performing Matured Balloon","Performing Matured Balloon","Current")))))))))</f>
        <v/>
      </c>
      <c r="CD175" s="78">
        <f>IF(OR($CC175="REO",$CC175="Foreclosure",$CC175="90+ Days Delinquent",$CC175="60 Days Delinquent",$CC175="30 Days Delinquent",$CC175="Non-Performing Matured Balloon"),1,0)</f>
        <v/>
      </c>
      <c r="CE175" s="76">
        <f>IF($AB175="Currently special serv","Currently Specially Serviced",IF($AB175="Returned to master serv","Previously Specially Serviced","Never Specially Serviced"))</f>
        <v/>
      </c>
      <c r="CF175" s="78">
        <f>IF($CE175="Currently Specially Serviced",1,0)</f>
        <v/>
      </c>
      <c r="CG175" s="76">
        <f>IF($AA175="Yes","Currently on Watchlist",IF($AA175="Previously","Previously on Watchlist","Never on Watchlist"))</f>
        <v/>
      </c>
      <c r="CH175" s="78">
        <f>IF($CG175="Currently on Watchlist",1,0)</f>
        <v/>
      </c>
      <c r="CI175" s="76">
        <f>IF($Z175="Full Defeasance","Fully Defeased",IF($Z175="Portion Of Loan Previously Defeased","Partially Defeased",IF($Z175="Defeasance Not Allowable","Not Defeased (Not Permitted)","Not Defeased")))</f>
        <v/>
      </c>
      <c r="CJ175" s="78">
        <f>IF($CI175="Fully Defeased",1,0)</f>
        <v/>
      </c>
      <c r="CK175" s="76">
        <f>IF($R175="IO","Full IO",IF(LEFT($R175&amp;"",7)="IO then","Partial IO","Amortizing"))</f>
        <v/>
      </c>
      <c r="CL175" s="78">
        <f>IF($CK175="Full IO",1,0)</f>
        <v/>
      </c>
      <c r="CM175" s="78">
        <f>IF($CK175="Partial IO",1,0)</f>
        <v/>
      </c>
      <c r="CN175" s="76">
        <f>IF(LEFT($F175&amp;"",10)="SPLIT_LOAN","Pari Passu Split","Standalone")</f>
        <v/>
      </c>
      <c r="CO175" s="78">
        <f>IF($CN175="Pari Passu Split",1,0)</f>
        <v/>
      </c>
      <c r="CP175" s="77">
        <f>IF(ISNUMBER($T175),YEAR($T175),"")</f>
        <v/>
      </c>
      <c r="CQ175" s="79">
        <f>IF(ISNUMBER($V175),$V175,IF(ISNUMBER($U175),$U175,""))</f>
        <v/>
      </c>
      <c r="CR175" s="77">
        <f>IF(ISNUMBER($CQ175),YEAR($CQ175),"")</f>
        <v/>
      </c>
      <c r="CS175" s="78">
        <f>IF(ISNUMBER($M175),MAX(0,$M175),IF(TRIM($M175&amp;"")="matured",0,""))</f>
        <v/>
      </c>
      <c r="CT175" s="78">
        <f>IF(AND(ISNUMBER($CS175),N($CS175)&lt;=mMatWindow),1,0)</f>
        <v/>
      </c>
      <c r="CU175" s="80">
        <f>IF(ISNUMBER($J175),$J175/100,"")</f>
        <v/>
      </c>
      <c r="CV175" s="81">
        <f>IF(ISNUMBER($AQ175),$AQ175,"")</f>
        <v/>
      </c>
      <c r="CW175" s="81">
        <f>IF(ISNUMBER($AR175),$AR175,"")</f>
        <v/>
      </c>
      <c r="CX175" s="82">
        <f>IF(ISNUMBER($AS175),$AS175/100,"")</f>
        <v/>
      </c>
      <c r="CY175" s="82">
        <f>IF(ISNUMBER($AT175),$AT175/100,"")</f>
        <v/>
      </c>
      <c r="CZ175" s="82">
        <f>IF(ISNUMBER($AU175),$AU175/100,"")</f>
        <v/>
      </c>
      <c r="DA175" s="82">
        <f>IF(ISNUMBER($AV175),$AV175/100,"")</f>
        <v/>
      </c>
      <c r="DB175" s="82">
        <f>IF(ISNUMBER($AW175),$AW175/100,"")</f>
        <v/>
      </c>
      <c r="DC175" s="82">
        <f>IF(ISNUMBER($AX175),$AX175/100,"")</f>
        <v/>
      </c>
      <c r="DD175" s="77">
        <f>IFERROR(VALUE(LEFT(TRIM($AO175&amp;""),4)),"")</f>
        <v/>
      </c>
      <c r="DE175" s="78">
        <f>IF(AND($BY175=1,$BX175=1,OR(fDeal="All Deals",$BU175=fDeal),OR(fEntity="All Entities",$BV175=fEntity),OR(fPType="All Property Types",$BZ175=fPType),OR(fDefeased="Include",$CJ175=0)),1,0)</f>
        <v/>
      </c>
      <c r="DF175" s="83">
        <f>$DE175*N($I175)</f>
        <v/>
      </c>
      <c r="DG175" s="78">
        <f>IF($DE175=1,IF(COUNTIFS($F$8:$F175,$F175,$DE$8:$DE175,1)=1,1,0),0)</f>
        <v/>
      </c>
      <c r="DH175" s="83">
        <f>IF($DG175=1,SUMIFS($DF$8:$DF$1600,$F$8:$F$1600,$F175),0)</f>
        <v/>
      </c>
      <c r="DI175" s="78">
        <f>IF($DG175=1,COUNTIFS($F$8:$F$1600,$F175,$DE$8:$DE$1600,1),0)</f>
        <v/>
      </c>
      <c r="DJ175" s="84">
        <f>IF($DG175=1,$DH175+(100000-ROW())/mTieBreak,0)</f>
        <v/>
      </c>
    </row>
    <row r="176">
      <c r="B176" s="68" t="n">
        <v>53</v>
      </c>
      <c r="C176" s="69" t="inlineStr">
        <is>
          <t>WFC18C47</t>
        </is>
      </c>
      <c r="D176" s="69" t="inlineStr">
        <is>
          <t>53.000</t>
        </is>
      </c>
      <c r="E176" s="69" t="inlineStr">
        <is>
          <t>Island Oaks Apartments</t>
        </is>
      </c>
      <c r="F176" s="69" t="inlineStr">
        <is>
          <t>LNWFC18C47-53.000</t>
        </is>
      </c>
      <c r="G176" s="70" t="n"/>
      <c r="H176" s="71" t="n">
        <v>5000000</v>
      </c>
      <c r="I176" s="71" t="n">
        <v>4365220.560000001</v>
      </c>
      <c r="J176" s="72" t="n">
        <v>5.28</v>
      </c>
      <c r="K176" s="69" t="inlineStr">
        <is>
          <t>Fixed rate</t>
        </is>
      </c>
      <c r="L176" s="68" t="n">
        <v>120</v>
      </c>
      <c r="M176" s="68" t="n">
        <v>25</v>
      </c>
      <c r="N176" s="68" t="n">
        <v>360</v>
      </c>
      <c r="O176" s="68" t="n"/>
      <c r="P176" s="68" t="n"/>
      <c r="Q176" s="68" t="n">
        <v>95</v>
      </c>
      <c r="R176" s="69" t="n"/>
      <c r="S176" s="69" t="inlineStr">
        <is>
          <t>No</t>
        </is>
      </c>
      <c r="T176" s="73" t="n">
        <v>43374</v>
      </c>
      <c r="U176" s="73" t="n">
        <v>47037</v>
      </c>
      <c r="V176" s="73" t="n"/>
      <c r="W176" s="69" t="n"/>
      <c r="X176" s="69" t="inlineStr">
        <is>
          <t>Current</t>
        </is>
      </c>
      <c r="Y176" s="68" t="n"/>
      <c r="Z176" s="69" t="inlineStr">
        <is>
          <t>Full Defeasance</t>
        </is>
      </c>
      <c r="AA176" s="69" t="n"/>
      <c r="AB176" s="69" t="inlineStr">
        <is>
          <t>Never special serv</t>
        </is>
      </c>
      <c r="AC176" s="73" t="n"/>
      <c r="AD176" s="69" t="n"/>
      <c r="AE176" s="69" t="n"/>
      <c r="AF176" s="69" t="inlineStr">
        <is>
          <t>AL</t>
        </is>
      </c>
      <c r="AG176" s="69" t="inlineStr">
        <is>
          <t>Orange Beach</t>
        </is>
      </c>
      <c r="AH176" s="69" t="inlineStr">
        <is>
          <t>Daphne-Fairhope-Foley, AL</t>
        </is>
      </c>
      <c r="AI176" s="69" t="inlineStr">
        <is>
          <t>South / Central East</t>
        </is>
      </c>
      <c r="AJ176" s="69" t="inlineStr">
        <is>
          <t>MF</t>
        </is>
      </c>
      <c r="AK176" s="69" t="inlineStr">
        <is>
          <t>Garden</t>
        </is>
      </c>
      <c r="AL176" s="68" t="n">
        <v>1</v>
      </c>
      <c r="AM176" s="68" t="n">
        <v>56</v>
      </c>
      <c r="AN176" s="68" t="n"/>
      <c r="AO176" s="69" t="inlineStr">
        <is>
          <t>2015</t>
        </is>
      </c>
      <c r="AP176" s="70" t="n">
        <v>2015</v>
      </c>
      <c r="AQ176" s="74" t="n">
        <v>1.52</v>
      </c>
      <c r="AR176" s="74" t="n">
        <v>1.47</v>
      </c>
      <c r="AS176" s="74" t="n">
        <v>74.90000000000001</v>
      </c>
      <c r="AT176" s="74" t="n">
        <v>65.40000000000001</v>
      </c>
      <c r="AU176" s="74" t="n">
        <v>62.1</v>
      </c>
      <c r="AV176" s="74" t="n">
        <v>10.1167134</v>
      </c>
      <c r="AW176" s="74" t="n">
        <v>11.262241695</v>
      </c>
      <c r="AX176" s="75" t="n">
        <v>100</v>
      </c>
      <c r="AY176" s="71" t="n">
        <v>6675000</v>
      </c>
      <c r="AZ176" s="71" t="n">
        <v>6675000</v>
      </c>
      <c r="BA176" s="71" t="n">
        <v>505835.67</v>
      </c>
      <c r="BB176" s="71" t="n">
        <v>365437</v>
      </c>
      <c r="BC176" s="69" t="inlineStr">
        <is>
          <t>Refinance</t>
        </is>
      </c>
      <c r="BD176" s="69" t="inlineStr">
        <is>
          <t>N</t>
        </is>
      </c>
      <c r="BE176" s="71" t="n"/>
      <c r="BF176" s="71" t="n"/>
      <c r="BG176" s="71" t="n"/>
      <c r="BH176" s="71" t="n">
        <v>0</v>
      </c>
      <c r="BI176" s="71" t="n">
        <v>0</v>
      </c>
      <c r="BJ176" s="69" t="inlineStr">
        <is>
          <t>N</t>
        </is>
      </c>
      <c r="BK176" s="69" t="n"/>
      <c r="BL176" s="75" t="n"/>
      <c r="BM176" s="73" t="n"/>
      <c r="BN176" s="69" t="inlineStr">
        <is>
          <t>J. Gregory Kennedy; Phillip D. Long; James R. Owen, Jr.</t>
        </is>
      </c>
      <c r="BO176" s="69" t="inlineStr">
        <is>
          <t>Wells Fargo</t>
        </is>
      </c>
      <c r="BP176" s="69" t="inlineStr">
        <is>
          <t>TriMont Real Estate Advisors</t>
        </is>
      </c>
      <c r="BQ176" s="69" t="inlineStr">
        <is>
          <t>K-Star Asset Management LLC</t>
        </is>
      </c>
      <c r="BR176" s="69" t="n"/>
      <c r="BS176" s="73" t="n">
        <v>46276</v>
      </c>
      <c r="BU176" s="76">
        <f>IF($C176="","",IFERROR(INDEX(dmName,MATCH($C176,dmID,0)),"Unmapped"))</f>
        <v/>
      </c>
      <c r="BV176" s="76">
        <f>IF($C176="","",IFERROR(INDEX(dmEntity,MATCH($C176,dmID,0)),"Unmapped"))</f>
        <v/>
      </c>
      <c r="BW176" s="77">
        <f>IF($C176="","",IFERROR(INDEX(dmVintage,MATCH($C176,dmID,0)),""))</f>
        <v/>
      </c>
      <c r="BX176" s="78">
        <f>IFERROR(INDEX(dmInclude,MATCH($C176,dmID,0)),0)</f>
        <v/>
      </c>
      <c r="BY176" s="78">
        <f>IF(N($I176)&gt;0,1,0)</f>
        <v/>
      </c>
      <c r="BZ176" s="76">
        <f>IF($AJ176="","Other / Leased Fee",IFERROR(INDEX(mapPTGroup,MATCH(LEFT(TRIM($AJ176),2),mapPTCode,0)),"Other / Leased Fee"))</f>
        <v/>
      </c>
      <c r="CA176" s="76">
        <f>IF(TRIM($AF176&amp;"")="","NR",LEFT(TRIM($AF176),2))</f>
        <v/>
      </c>
      <c r="CB176" s="76">
        <f>IFERROR(LOOKUP(2,1/(LEFT(TRIM($AI176&amp;""),LEN(mapRegion))=mapRegion),mapRegion),"Not Reported")</f>
        <v/>
      </c>
      <c r="CC176" s="76">
        <f>IF($BY176=0,"",IF(TRIM($W176&amp;"")="REO","REO",IF(TRIM($W176&amp;"")="FC","Foreclosure",IF(TRIM($W176&amp;"")="90+","90+ Days Delinquent",IF(TRIM($W176&amp;"")="60","60 Days Delinquent",IF(TRIM($W176&amp;"")="30","30 Days Delinquent",IF($X176="Non-Performing Matured Balloon","Non-Performing Matured Balloon",IF(OR($X176="Late Payment But Less Than 30 Days Delinquent",LEFT($X176&amp;"",20)="Payment Not Received"),"Late / In Grace (&lt;30 Days)",IF($X176="Performing Matured Balloon","Performing Matured Balloon","Current")))))))))</f>
        <v/>
      </c>
      <c r="CD176" s="78">
        <f>IF(OR($CC176="REO",$CC176="Foreclosure",$CC176="90+ Days Delinquent",$CC176="60 Days Delinquent",$CC176="30 Days Delinquent",$CC176="Non-Performing Matured Balloon"),1,0)</f>
        <v/>
      </c>
      <c r="CE176" s="76">
        <f>IF($AB176="Currently special serv","Currently Specially Serviced",IF($AB176="Returned to master serv","Previously Specially Serviced","Never Specially Serviced"))</f>
        <v/>
      </c>
      <c r="CF176" s="78">
        <f>IF($CE176="Currently Specially Serviced",1,0)</f>
        <v/>
      </c>
      <c r="CG176" s="76">
        <f>IF($AA176="Yes","Currently on Watchlist",IF($AA176="Previously","Previously on Watchlist","Never on Watchlist"))</f>
        <v/>
      </c>
      <c r="CH176" s="78">
        <f>IF($CG176="Currently on Watchlist",1,0)</f>
        <v/>
      </c>
      <c r="CI176" s="76">
        <f>IF($Z176="Full Defeasance","Fully Defeased",IF($Z176="Portion Of Loan Previously Defeased","Partially Defeased",IF($Z176="Defeasance Not Allowable","Not Defeased (Not Permitted)","Not Defeased")))</f>
        <v/>
      </c>
      <c r="CJ176" s="78">
        <f>IF($CI176="Fully Defeased",1,0)</f>
        <v/>
      </c>
      <c r="CK176" s="76">
        <f>IF($R176="IO","Full IO",IF(LEFT($R176&amp;"",7)="IO then","Partial IO","Amortizing"))</f>
        <v/>
      </c>
      <c r="CL176" s="78">
        <f>IF($CK176="Full IO",1,0)</f>
        <v/>
      </c>
      <c r="CM176" s="78">
        <f>IF($CK176="Partial IO",1,0)</f>
        <v/>
      </c>
      <c r="CN176" s="76">
        <f>IF(LEFT($F176&amp;"",10)="SPLIT_LOAN","Pari Passu Split","Standalone")</f>
        <v/>
      </c>
      <c r="CO176" s="78">
        <f>IF($CN176="Pari Passu Split",1,0)</f>
        <v/>
      </c>
      <c r="CP176" s="77">
        <f>IF(ISNUMBER($T176),YEAR($T176),"")</f>
        <v/>
      </c>
      <c r="CQ176" s="79">
        <f>IF(ISNUMBER($V176),$V176,IF(ISNUMBER($U176),$U176,""))</f>
        <v/>
      </c>
      <c r="CR176" s="77">
        <f>IF(ISNUMBER($CQ176),YEAR($CQ176),"")</f>
        <v/>
      </c>
      <c r="CS176" s="78">
        <f>IF(ISNUMBER($M176),MAX(0,$M176),IF(TRIM($M176&amp;"")="matured",0,""))</f>
        <v/>
      </c>
      <c r="CT176" s="78">
        <f>IF(AND(ISNUMBER($CS176),N($CS176)&lt;=mMatWindow),1,0)</f>
        <v/>
      </c>
      <c r="CU176" s="80">
        <f>IF(ISNUMBER($J176),$J176/100,"")</f>
        <v/>
      </c>
      <c r="CV176" s="81">
        <f>IF(ISNUMBER($AQ176),$AQ176,"")</f>
        <v/>
      </c>
      <c r="CW176" s="81">
        <f>IF(ISNUMBER($AR176),$AR176,"")</f>
        <v/>
      </c>
      <c r="CX176" s="82">
        <f>IF(ISNUMBER($AS176),$AS176/100,"")</f>
        <v/>
      </c>
      <c r="CY176" s="82">
        <f>IF(ISNUMBER($AT176),$AT176/100,"")</f>
        <v/>
      </c>
      <c r="CZ176" s="82">
        <f>IF(ISNUMBER($AU176),$AU176/100,"")</f>
        <v/>
      </c>
      <c r="DA176" s="82">
        <f>IF(ISNUMBER($AV176),$AV176/100,"")</f>
        <v/>
      </c>
      <c r="DB176" s="82">
        <f>IF(ISNUMBER($AW176),$AW176/100,"")</f>
        <v/>
      </c>
      <c r="DC176" s="82">
        <f>IF(ISNUMBER($AX176),$AX176/100,"")</f>
        <v/>
      </c>
      <c r="DD176" s="77">
        <f>IFERROR(VALUE(LEFT(TRIM($AO176&amp;""),4)),"")</f>
        <v/>
      </c>
      <c r="DE176" s="78">
        <f>IF(AND($BY176=1,$BX176=1,OR(fDeal="All Deals",$BU176=fDeal),OR(fEntity="All Entities",$BV176=fEntity),OR(fPType="All Property Types",$BZ176=fPType),OR(fDefeased="Include",$CJ176=0)),1,0)</f>
        <v/>
      </c>
      <c r="DF176" s="83">
        <f>$DE176*N($I176)</f>
        <v/>
      </c>
      <c r="DG176" s="78">
        <f>IF($DE176=1,IF(COUNTIFS($F$8:$F176,$F176,$DE$8:$DE176,1)=1,1,0),0)</f>
        <v/>
      </c>
      <c r="DH176" s="83">
        <f>IF($DG176=1,SUMIFS($DF$8:$DF$1600,$F$8:$F$1600,$F176),0)</f>
        <v/>
      </c>
      <c r="DI176" s="78">
        <f>IF($DG176=1,COUNTIFS($F$8:$F$1600,$F176,$DE$8:$DE$1600,1),0)</f>
        <v/>
      </c>
      <c r="DJ176" s="84">
        <f>IF($DG176=1,$DH176+(100000-ROW())/mTieBreak,0)</f>
        <v/>
      </c>
    </row>
    <row r="177">
      <c r="B177" s="68" t="n">
        <v>54</v>
      </c>
      <c r="C177" s="69" t="inlineStr">
        <is>
          <t>WFC18C47</t>
        </is>
      </c>
      <c r="D177" s="69" t="inlineStr">
        <is>
          <t>54.000</t>
        </is>
      </c>
      <c r="E177" s="69" t="inlineStr">
        <is>
          <t>UNICO Portfolio III</t>
        </is>
      </c>
      <c r="F177" s="69" t="inlineStr">
        <is>
          <t>LNWFC18C47-54.000</t>
        </is>
      </c>
      <c r="G177" s="70" t="n"/>
      <c r="H177" s="71" t="n">
        <v>4933500</v>
      </c>
      <c r="I177" s="71" t="n">
        <v>4933500</v>
      </c>
      <c r="J177" s="72" t="n">
        <v>5.28</v>
      </c>
      <c r="K177" s="69" t="inlineStr">
        <is>
          <t>Fixed rate</t>
        </is>
      </c>
      <c r="L177" s="68" t="n">
        <v>120</v>
      </c>
      <c r="M177" s="68" t="n">
        <v>24</v>
      </c>
      <c r="N177" s="68" t="n">
        <v>120</v>
      </c>
      <c r="O177" s="68" t="n">
        <v>120</v>
      </c>
      <c r="P177" s="68" t="n">
        <v>24</v>
      </c>
      <c r="Q177" s="68" t="n">
        <v>96</v>
      </c>
      <c r="R177" s="69" t="inlineStr">
        <is>
          <t>IO</t>
        </is>
      </c>
      <c r="S177" s="69" t="inlineStr">
        <is>
          <t>Yes</t>
        </is>
      </c>
      <c r="T177" s="73" t="n">
        <v>43344</v>
      </c>
      <c r="U177" s="73" t="n">
        <v>47007</v>
      </c>
      <c r="V177" s="73" t="n"/>
      <c r="W177" s="69" t="n"/>
      <c r="X177" s="69" t="inlineStr">
        <is>
          <t>Current</t>
        </is>
      </c>
      <c r="Y177" s="68" t="n"/>
      <c r="Z177" s="69" t="inlineStr">
        <is>
          <t>No Defeasance Occurred</t>
        </is>
      </c>
      <c r="AA177" s="69" t="inlineStr">
        <is>
          <t>Previously</t>
        </is>
      </c>
      <c r="AB177" s="69" t="inlineStr">
        <is>
          <t>Never special serv</t>
        </is>
      </c>
      <c r="AC177" s="73" t="n"/>
      <c r="AD177" s="69" t="n"/>
      <c r="AE177" s="69" t="n"/>
      <c r="AF177" s="69" t="inlineStr">
        <is>
          <t>FL-79.710142049% TX-20.289857951%</t>
        </is>
      </c>
      <c r="AG177" s="69" t="n"/>
      <c r="AH177" s="69" t="inlineStr">
        <is>
          <t>Lakeland-Winter Haven, FL-29.644267011% Jacksonville, FL-26.350457335% Pensacola-Ferry Pass-Brent, FL-23.715417703% Midland, TX-20.289857951%</t>
        </is>
      </c>
      <c r="AI177" s="69" t="inlineStr">
        <is>
          <t>South / Atlantic-79.710142049% South / Central West-20.289857951%</t>
        </is>
      </c>
      <c r="AJ177" s="69" t="inlineStr">
        <is>
          <t>RT</t>
        </is>
      </c>
      <c r="AK177" s="69" t="inlineStr">
        <is>
          <t>Single Tenant</t>
        </is>
      </c>
      <c r="AL177" s="68" t="n">
        <v>4</v>
      </c>
      <c r="AM177" s="68" t="n"/>
      <c r="AN177" s="68" t="n">
        <v>35448</v>
      </c>
      <c r="AO177" s="69" t="n"/>
      <c r="AP177" s="70" t="n">
        <v>2018</v>
      </c>
      <c r="AQ177" s="74" t="n">
        <v>1.61</v>
      </c>
      <c r="AR177" s="74" t="n">
        <v>1.11</v>
      </c>
      <c r="AS177" s="74" t="n">
        <v>65</v>
      </c>
      <c r="AT177" s="74" t="n">
        <v>65</v>
      </c>
      <c r="AU177" s="74" t="n">
        <v>65</v>
      </c>
      <c r="AV177" s="74" t="n">
        <v>8.599709130999999</v>
      </c>
      <c r="AW177" s="74" t="n">
        <v>7.765737509</v>
      </c>
      <c r="AX177" s="75" t="n">
        <v>100</v>
      </c>
      <c r="AY177" s="71" t="n">
        <v>7590000</v>
      </c>
      <c r="AZ177" s="71" t="n">
        <v>7590000</v>
      </c>
      <c r="BA177" s="71" t="n">
        <v>424266.65</v>
      </c>
      <c r="BB177" s="71" t="n">
        <v>145760.11</v>
      </c>
      <c r="BC177" s="69" t="inlineStr">
        <is>
          <t>Acquisition</t>
        </is>
      </c>
      <c r="BD177" s="69" t="inlineStr">
        <is>
          <t>N</t>
        </is>
      </c>
      <c r="BE177" s="71" t="n"/>
      <c r="BF177" s="71" t="n"/>
      <c r="BG177" s="71" t="n"/>
      <c r="BH177" s="71" t="n">
        <v>0</v>
      </c>
      <c r="BI177" s="71" t="n">
        <v>0</v>
      </c>
      <c r="BJ177" s="69" t="inlineStr">
        <is>
          <t>N</t>
        </is>
      </c>
      <c r="BK177" s="69" t="inlineStr">
        <is>
          <t>Dollar General</t>
        </is>
      </c>
      <c r="BL177" s="75" t="n">
        <v>100</v>
      </c>
      <c r="BM177" s="73" t="n">
        <v>48334</v>
      </c>
      <c r="BN177" s="69" t="inlineStr">
        <is>
          <t>Union Investment Company of Newport News, VA.</t>
        </is>
      </c>
      <c r="BO177" s="69" t="inlineStr">
        <is>
          <t>Wells Fargo</t>
        </is>
      </c>
      <c r="BP177" s="69" t="inlineStr">
        <is>
          <t>TriMont Real Estate Advisors</t>
        </is>
      </c>
      <c r="BQ177" s="69" t="inlineStr">
        <is>
          <t>K-Star Asset Management LLC</t>
        </is>
      </c>
      <c r="BR177" s="69" t="n"/>
      <c r="BS177" s="73" t="n">
        <v>46276</v>
      </c>
      <c r="BU177" s="76">
        <f>IF($C177="","",IFERROR(INDEX(dmName,MATCH($C177,dmID,0)),"Unmapped"))</f>
        <v/>
      </c>
      <c r="BV177" s="76">
        <f>IF($C177="","",IFERROR(INDEX(dmEntity,MATCH($C177,dmID,0)),"Unmapped"))</f>
        <v/>
      </c>
      <c r="BW177" s="77">
        <f>IF($C177="","",IFERROR(INDEX(dmVintage,MATCH($C177,dmID,0)),""))</f>
        <v/>
      </c>
      <c r="BX177" s="78">
        <f>IFERROR(INDEX(dmInclude,MATCH($C177,dmID,0)),0)</f>
        <v/>
      </c>
      <c r="BY177" s="78">
        <f>IF(N($I177)&gt;0,1,0)</f>
        <v/>
      </c>
      <c r="BZ177" s="76">
        <f>IF($AJ177="","Other / Leased Fee",IFERROR(INDEX(mapPTGroup,MATCH(LEFT(TRIM($AJ177),2),mapPTCode,0)),"Other / Leased Fee"))</f>
        <v/>
      </c>
      <c r="CA177" s="76">
        <f>IF(TRIM($AF177&amp;"")="","NR",LEFT(TRIM($AF177),2))</f>
        <v/>
      </c>
      <c r="CB177" s="76">
        <f>IFERROR(LOOKUP(2,1/(LEFT(TRIM($AI177&amp;""),LEN(mapRegion))=mapRegion),mapRegion),"Not Reported")</f>
        <v/>
      </c>
      <c r="CC177" s="76">
        <f>IF($BY177=0,"",IF(TRIM($W177&amp;"")="REO","REO",IF(TRIM($W177&amp;"")="FC","Foreclosure",IF(TRIM($W177&amp;"")="90+","90+ Days Delinquent",IF(TRIM($W177&amp;"")="60","60 Days Delinquent",IF(TRIM($W177&amp;"")="30","30 Days Delinquent",IF($X177="Non-Performing Matured Balloon","Non-Performing Matured Balloon",IF(OR($X177="Late Payment But Less Than 30 Days Delinquent",LEFT($X177&amp;"",20)="Payment Not Received"),"Late / In Grace (&lt;30 Days)",IF($X177="Performing Matured Balloon","Performing Matured Balloon","Current")))))))))</f>
        <v/>
      </c>
      <c r="CD177" s="78">
        <f>IF(OR($CC177="REO",$CC177="Foreclosure",$CC177="90+ Days Delinquent",$CC177="60 Days Delinquent",$CC177="30 Days Delinquent",$CC177="Non-Performing Matured Balloon"),1,0)</f>
        <v/>
      </c>
      <c r="CE177" s="76">
        <f>IF($AB177="Currently special serv","Currently Specially Serviced",IF($AB177="Returned to master serv","Previously Specially Serviced","Never Specially Serviced"))</f>
        <v/>
      </c>
      <c r="CF177" s="78">
        <f>IF($CE177="Currently Specially Serviced",1,0)</f>
        <v/>
      </c>
      <c r="CG177" s="76">
        <f>IF($AA177="Yes","Currently on Watchlist",IF($AA177="Previously","Previously on Watchlist","Never on Watchlist"))</f>
        <v/>
      </c>
      <c r="CH177" s="78">
        <f>IF($CG177="Currently on Watchlist",1,0)</f>
        <v/>
      </c>
      <c r="CI177" s="76">
        <f>IF($Z177="Full Defeasance","Fully Defeased",IF($Z177="Portion Of Loan Previously Defeased","Partially Defeased",IF($Z177="Defeasance Not Allowable","Not Defeased (Not Permitted)","Not Defeased")))</f>
        <v/>
      </c>
      <c r="CJ177" s="78">
        <f>IF($CI177="Fully Defeased",1,0)</f>
        <v/>
      </c>
      <c r="CK177" s="76">
        <f>IF($R177="IO","Full IO",IF(LEFT($R177&amp;"",7)="IO then","Partial IO","Amortizing"))</f>
        <v/>
      </c>
      <c r="CL177" s="78">
        <f>IF($CK177="Full IO",1,0)</f>
        <v/>
      </c>
      <c r="CM177" s="78">
        <f>IF($CK177="Partial IO",1,0)</f>
        <v/>
      </c>
      <c r="CN177" s="76">
        <f>IF(LEFT($F177&amp;"",10)="SPLIT_LOAN","Pari Passu Split","Standalone")</f>
        <v/>
      </c>
      <c r="CO177" s="78">
        <f>IF($CN177="Pari Passu Split",1,0)</f>
        <v/>
      </c>
      <c r="CP177" s="77">
        <f>IF(ISNUMBER($T177),YEAR($T177),"")</f>
        <v/>
      </c>
      <c r="CQ177" s="79">
        <f>IF(ISNUMBER($V177),$V177,IF(ISNUMBER($U177),$U177,""))</f>
        <v/>
      </c>
      <c r="CR177" s="77">
        <f>IF(ISNUMBER($CQ177),YEAR($CQ177),"")</f>
        <v/>
      </c>
      <c r="CS177" s="78">
        <f>IF(ISNUMBER($M177),MAX(0,$M177),IF(TRIM($M177&amp;"")="matured",0,""))</f>
        <v/>
      </c>
      <c r="CT177" s="78">
        <f>IF(AND(ISNUMBER($CS177),N($CS177)&lt;=mMatWindow),1,0)</f>
        <v/>
      </c>
      <c r="CU177" s="80">
        <f>IF(ISNUMBER($J177),$J177/100,"")</f>
        <v/>
      </c>
      <c r="CV177" s="81">
        <f>IF(ISNUMBER($AQ177),$AQ177,"")</f>
        <v/>
      </c>
      <c r="CW177" s="81">
        <f>IF(ISNUMBER($AR177),$AR177,"")</f>
        <v/>
      </c>
      <c r="CX177" s="82">
        <f>IF(ISNUMBER($AS177),$AS177/100,"")</f>
        <v/>
      </c>
      <c r="CY177" s="82">
        <f>IF(ISNUMBER($AT177),$AT177/100,"")</f>
        <v/>
      </c>
      <c r="CZ177" s="82">
        <f>IF(ISNUMBER($AU177),$AU177/100,"")</f>
        <v/>
      </c>
      <c r="DA177" s="82">
        <f>IF(ISNUMBER($AV177),$AV177/100,"")</f>
        <v/>
      </c>
      <c r="DB177" s="82">
        <f>IF(ISNUMBER($AW177),$AW177/100,"")</f>
        <v/>
      </c>
      <c r="DC177" s="82">
        <f>IF(ISNUMBER($AX177),$AX177/100,"")</f>
        <v/>
      </c>
      <c r="DD177" s="77">
        <f>IFERROR(VALUE(LEFT(TRIM($AO177&amp;""),4)),"")</f>
        <v/>
      </c>
      <c r="DE177" s="78">
        <f>IF(AND($BY177=1,$BX177=1,OR(fDeal="All Deals",$BU177=fDeal),OR(fEntity="All Entities",$BV177=fEntity),OR(fPType="All Property Types",$BZ177=fPType),OR(fDefeased="Include",$CJ177=0)),1,0)</f>
        <v/>
      </c>
      <c r="DF177" s="83">
        <f>$DE177*N($I177)</f>
        <v/>
      </c>
      <c r="DG177" s="78">
        <f>IF($DE177=1,IF(COUNTIFS($F$8:$F177,$F177,$DE$8:$DE177,1)=1,1,0),0)</f>
        <v/>
      </c>
      <c r="DH177" s="83">
        <f>IF($DG177=1,SUMIFS($DF$8:$DF$1600,$F$8:$F$1600,$F177),0)</f>
        <v/>
      </c>
      <c r="DI177" s="78">
        <f>IF($DG177=1,COUNTIFS($F$8:$F$1600,$F177,$DE$8:$DE$1600,1),0)</f>
        <v/>
      </c>
      <c r="DJ177" s="84">
        <f>IF($DG177=1,$DH177+(100000-ROW())/mTieBreak,0)</f>
        <v/>
      </c>
    </row>
    <row r="178">
      <c r="B178" s="68" t="n">
        <v>55</v>
      </c>
      <c r="C178" s="69" t="inlineStr">
        <is>
          <t>WFC18C47</t>
        </is>
      </c>
      <c r="D178" s="69" t="inlineStr">
        <is>
          <t>55.000</t>
        </is>
      </c>
      <c r="E178" s="69" t="inlineStr">
        <is>
          <t>Hampton Inn - Vero Beach</t>
        </is>
      </c>
      <c r="F178" s="69" t="inlineStr">
        <is>
          <t>LNWFC18C47-55.000</t>
        </is>
      </c>
      <c r="G178" s="70" t="n"/>
      <c r="H178" s="71" t="n">
        <v>4750000</v>
      </c>
      <c r="I178" s="71" t="n">
        <v>4156984.220002001</v>
      </c>
      <c r="J178" s="72" t="n">
        <v>5.38</v>
      </c>
      <c r="K178" s="69" t="inlineStr">
        <is>
          <t>Fixed rate</t>
        </is>
      </c>
      <c r="L178" s="68" t="n">
        <v>117</v>
      </c>
      <c r="M178" s="68" t="n">
        <v>22</v>
      </c>
      <c r="N178" s="68" t="n">
        <v>360</v>
      </c>
      <c r="O178" s="68" t="n"/>
      <c r="P178" s="68" t="n"/>
      <c r="Q178" s="68" t="n">
        <v>95</v>
      </c>
      <c r="R178" s="69" t="n"/>
      <c r="S178" s="69" t="inlineStr">
        <is>
          <t>No</t>
        </is>
      </c>
      <c r="T178" s="73" t="n">
        <v>43374</v>
      </c>
      <c r="U178" s="73" t="n">
        <v>46940</v>
      </c>
      <c r="V178" s="73" t="n"/>
      <c r="W178" s="69" t="n"/>
      <c r="X178" s="69" t="inlineStr">
        <is>
          <t>Current</t>
        </is>
      </c>
      <c r="Y178" s="68" t="n"/>
      <c r="Z178" s="69" t="inlineStr">
        <is>
          <t>Full Defeasance</t>
        </is>
      </c>
      <c r="AA178" s="69" t="inlineStr">
        <is>
          <t>Previously</t>
        </is>
      </c>
      <c r="AB178" s="69" t="inlineStr">
        <is>
          <t>Never special serv</t>
        </is>
      </c>
      <c r="AC178" s="73" t="n"/>
      <c r="AD178" s="69" t="n"/>
      <c r="AE178" s="69" t="n"/>
      <c r="AF178" s="69" t="inlineStr">
        <is>
          <t>FL</t>
        </is>
      </c>
      <c r="AG178" s="69" t="inlineStr">
        <is>
          <t>Vero Beach</t>
        </is>
      </c>
      <c r="AH178" s="69" t="inlineStr">
        <is>
          <t>Sebastian-Vero Beach-West Vero Corridor, FL</t>
        </is>
      </c>
      <c r="AI178" s="69" t="inlineStr">
        <is>
          <t>South / Atlantic</t>
        </is>
      </c>
      <c r="AJ178" s="69" t="inlineStr">
        <is>
          <t>HT</t>
        </is>
      </c>
      <c r="AK178" s="69" t="inlineStr">
        <is>
          <t>Limited Service</t>
        </is>
      </c>
      <c r="AL178" s="68" t="n">
        <v>1</v>
      </c>
      <c r="AM178" s="68" t="n">
        <v>63</v>
      </c>
      <c r="AN178" s="68" t="n"/>
      <c r="AO178" s="69" t="inlineStr">
        <is>
          <t>1997</t>
        </is>
      </c>
      <c r="AP178" s="70" t="n">
        <v>2017</v>
      </c>
      <c r="AQ178" s="74" t="n">
        <v>1.96</v>
      </c>
      <c r="AR178" s="74" t="n">
        <v>2.95</v>
      </c>
      <c r="AS178" s="74" t="n">
        <v>57.9</v>
      </c>
      <c r="AT178" s="74" t="n">
        <v>50.69</v>
      </c>
      <c r="AU178" s="74" t="n">
        <v>48.2</v>
      </c>
      <c r="AV178" s="74" t="n">
        <v>13.202105263</v>
      </c>
      <c r="AW178" s="74" t="n">
        <v>22.432806829</v>
      </c>
      <c r="AX178" s="75" t="n">
        <v>84</v>
      </c>
      <c r="AY178" s="71" t="n">
        <v>8200000</v>
      </c>
      <c r="AZ178" s="71" t="n">
        <v>8200000</v>
      </c>
      <c r="BA178" s="71" t="n">
        <v>627100</v>
      </c>
      <c r="BB178" s="71" t="n">
        <v>941269</v>
      </c>
      <c r="BC178" s="69" t="inlineStr">
        <is>
          <t>Refinance</t>
        </is>
      </c>
      <c r="BD178" s="69" t="inlineStr">
        <is>
          <t>N</t>
        </is>
      </c>
      <c r="BE178" s="71" t="n"/>
      <c r="BF178" s="71" t="n"/>
      <c r="BG178" s="71" t="n"/>
      <c r="BH178" s="71" t="n">
        <v>0</v>
      </c>
      <c r="BI178" s="71" t="n">
        <v>0</v>
      </c>
      <c r="BJ178" s="69" t="inlineStr">
        <is>
          <t>N</t>
        </is>
      </c>
      <c r="BK178" s="69" t="n"/>
      <c r="BL178" s="75" t="n"/>
      <c r="BM178" s="73" t="n"/>
      <c r="BN178" s="69" t="inlineStr">
        <is>
          <t>Punit R. Shah</t>
        </is>
      </c>
      <c r="BO178" s="69" t="inlineStr">
        <is>
          <t>RMF</t>
        </is>
      </c>
      <c r="BP178" s="69" t="inlineStr">
        <is>
          <t>TriMont Real Estate Advisors</t>
        </is>
      </c>
      <c r="BQ178" s="69" t="inlineStr">
        <is>
          <t>K-Star Asset Management LLC</t>
        </is>
      </c>
      <c r="BR178" s="69" t="n"/>
      <c r="BS178" s="73" t="n">
        <v>46276</v>
      </c>
      <c r="BU178" s="76">
        <f>IF($C178="","",IFERROR(INDEX(dmName,MATCH($C178,dmID,0)),"Unmapped"))</f>
        <v/>
      </c>
      <c r="BV178" s="76">
        <f>IF($C178="","",IFERROR(INDEX(dmEntity,MATCH($C178,dmID,0)),"Unmapped"))</f>
        <v/>
      </c>
      <c r="BW178" s="77">
        <f>IF($C178="","",IFERROR(INDEX(dmVintage,MATCH($C178,dmID,0)),""))</f>
        <v/>
      </c>
      <c r="BX178" s="78">
        <f>IFERROR(INDEX(dmInclude,MATCH($C178,dmID,0)),0)</f>
        <v/>
      </c>
      <c r="BY178" s="78">
        <f>IF(N($I178)&gt;0,1,0)</f>
        <v/>
      </c>
      <c r="BZ178" s="76">
        <f>IF($AJ178="","Other / Leased Fee",IFERROR(INDEX(mapPTGroup,MATCH(LEFT(TRIM($AJ178),2),mapPTCode,0)),"Other / Leased Fee"))</f>
        <v/>
      </c>
      <c r="CA178" s="76">
        <f>IF(TRIM($AF178&amp;"")="","NR",LEFT(TRIM($AF178),2))</f>
        <v/>
      </c>
      <c r="CB178" s="76">
        <f>IFERROR(LOOKUP(2,1/(LEFT(TRIM($AI178&amp;""),LEN(mapRegion))=mapRegion),mapRegion),"Not Reported")</f>
        <v/>
      </c>
      <c r="CC178" s="76">
        <f>IF($BY178=0,"",IF(TRIM($W178&amp;"")="REO","REO",IF(TRIM($W178&amp;"")="FC","Foreclosure",IF(TRIM($W178&amp;"")="90+","90+ Days Delinquent",IF(TRIM($W178&amp;"")="60","60 Days Delinquent",IF(TRIM($W178&amp;"")="30","30 Days Delinquent",IF($X178="Non-Performing Matured Balloon","Non-Performing Matured Balloon",IF(OR($X178="Late Payment But Less Than 30 Days Delinquent",LEFT($X178&amp;"",20)="Payment Not Received"),"Late / In Grace (&lt;30 Days)",IF($X178="Performing Matured Balloon","Performing Matured Balloon","Current")))))))))</f>
        <v/>
      </c>
      <c r="CD178" s="78">
        <f>IF(OR($CC178="REO",$CC178="Foreclosure",$CC178="90+ Days Delinquent",$CC178="60 Days Delinquent",$CC178="30 Days Delinquent",$CC178="Non-Performing Matured Balloon"),1,0)</f>
        <v/>
      </c>
      <c r="CE178" s="76">
        <f>IF($AB178="Currently special serv","Currently Specially Serviced",IF($AB178="Returned to master serv","Previously Specially Serviced","Never Specially Serviced"))</f>
        <v/>
      </c>
      <c r="CF178" s="78">
        <f>IF($CE178="Currently Specially Serviced",1,0)</f>
        <v/>
      </c>
      <c r="CG178" s="76">
        <f>IF($AA178="Yes","Currently on Watchlist",IF($AA178="Previously","Previously on Watchlist","Never on Watchlist"))</f>
        <v/>
      </c>
      <c r="CH178" s="78">
        <f>IF($CG178="Currently on Watchlist",1,0)</f>
        <v/>
      </c>
      <c r="CI178" s="76">
        <f>IF($Z178="Full Defeasance","Fully Defeased",IF($Z178="Portion Of Loan Previously Defeased","Partially Defeased",IF($Z178="Defeasance Not Allowable","Not Defeased (Not Permitted)","Not Defeased")))</f>
        <v/>
      </c>
      <c r="CJ178" s="78">
        <f>IF($CI178="Fully Defeased",1,0)</f>
        <v/>
      </c>
      <c r="CK178" s="76">
        <f>IF($R178="IO","Full IO",IF(LEFT($R178&amp;"",7)="IO then","Partial IO","Amortizing"))</f>
        <v/>
      </c>
      <c r="CL178" s="78">
        <f>IF($CK178="Full IO",1,0)</f>
        <v/>
      </c>
      <c r="CM178" s="78">
        <f>IF($CK178="Partial IO",1,0)</f>
        <v/>
      </c>
      <c r="CN178" s="76">
        <f>IF(LEFT($F178&amp;"",10)="SPLIT_LOAN","Pari Passu Split","Standalone")</f>
        <v/>
      </c>
      <c r="CO178" s="78">
        <f>IF($CN178="Pari Passu Split",1,0)</f>
        <v/>
      </c>
      <c r="CP178" s="77">
        <f>IF(ISNUMBER($T178),YEAR($T178),"")</f>
        <v/>
      </c>
      <c r="CQ178" s="79">
        <f>IF(ISNUMBER($V178),$V178,IF(ISNUMBER($U178),$U178,""))</f>
        <v/>
      </c>
      <c r="CR178" s="77">
        <f>IF(ISNUMBER($CQ178),YEAR($CQ178),"")</f>
        <v/>
      </c>
      <c r="CS178" s="78">
        <f>IF(ISNUMBER($M178),MAX(0,$M178),IF(TRIM($M178&amp;"")="matured",0,""))</f>
        <v/>
      </c>
      <c r="CT178" s="78">
        <f>IF(AND(ISNUMBER($CS178),N($CS178)&lt;=mMatWindow),1,0)</f>
        <v/>
      </c>
      <c r="CU178" s="80">
        <f>IF(ISNUMBER($J178),$J178/100,"")</f>
        <v/>
      </c>
      <c r="CV178" s="81">
        <f>IF(ISNUMBER($AQ178),$AQ178,"")</f>
        <v/>
      </c>
      <c r="CW178" s="81">
        <f>IF(ISNUMBER($AR178),$AR178,"")</f>
        <v/>
      </c>
      <c r="CX178" s="82">
        <f>IF(ISNUMBER($AS178),$AS178/100,"")</f>
        <v/>
      </c>
      <c r="CY178" s="82">
        <f>IF(ISNUMBER($AT178),$AT178/100,"")</f>
        <v/>
      </c>
      <c r="CZ178" s="82">
        <f>IF(ISNUMBER($AU178),$AU178/100,"")</f>
        <v/>
      </c>
      <c r="DA178" s="82">
        <f>IF(ISNUMBER($AV178),$AV178/100,"")</f>
        <v/>
      </c>
      <c r="DB178" s="82">
        <f>IF(ISNUMBER($AW178),$AW178/100,"")</f>
        <v/>
      </c>
      <c r="DC178" s="82">
        <f>IF(ISNUMBER($AX178),$AX178/100,"")</f>
        <v/>
      </c>
      <c r="DD178" s="77">
        <f>IFERROR(VALUE(LEFT(TRIM($AO178&amp;""),4)),"")</f>
        <v/>
      </c>
      <c r="DE178" s="78">
        <f>IF(AND($BY178=1,$BX178=1,OR(fDeal="All Deals",$BU178=fDeal),OR(fEntity="All Entities",$BV178=fEntity),OR(fPType="All Property Types",$BZ178=fPType),OR(fDefeased="Include",$CJ178=0)),1,0)</f>
        <v/>
      </c>
      <c r="DF178" s="83">
        <f>$DE178*N($I178)</f>
        <v/>
      </c>
      <c r="DG178" s="78">
        <f>IF($DE178=1,IF(COUNTIFS($F$8:$F178,$F178,$DE$8:$DE178,1)=1,1,0),0)</f>
        <v/>
      </c>
      <c r="DH178" s="83">
        <f>IF($DG178=1,SUMIFS($DF$8:$DF$1600,$F$8:$F$1600,$F178),0)</f>
        <v/>
      </c>
      <c r="DI178" s="78">
        <f>IF($DG178=1,COUNTIFS($F$8:$F$1600,$F178,$DE$8:$DE$1600,1),0)</f>
        <v/>
      </c>
      <c r="DJ178" s="84">
        <f>IF($DG178=1,$DH178+(100000-ROW())/mTieBreak,0)</f>
        <v/>
      </c>
    </row>
    <row r="179">
      <c r="B179" s="68" t="n">
        <v>56</v>
      </c>
      <c r="C179" s="69" t="inlineStr">
        <is>
          <t>WFC18C47</t>
        </is>
      </c>
      <c r="D179" s="69" t="inlineStr">
        <is>
          <t>56.000</t>
        </is>
      </c>
      <c r="E179" s="69" t="inlineStr">
        <is>
          <t>Baseline Professional Park</t>
        </is>
      </c>
      <c r="F179" s="69" t="inlineStr">
        <is>
          <t>LNWFC18C47-56.000</t>
        </is>
      </c>
      <c r="G179" s="70" t="n"/>
      <c r="H179" s="71" t="n">
        <v>4500000</v>
      </c>
      <c r="I179" s="71" t="n">
        <v>4241329.7999985</v>
      </c>
      <c r="J179" s="72" t="n">
        <v>5.15</v>
      </c>
      <c r="K179" s="69" t="inlineStr">
        <is>
          <t>Fixed rate</t>
        </is>
      </c>
      <c r="L179" s="68" t="n">
        <v>120</v>
      </c>
      <c r="M179" s="68" t="n">
        <v>25</v>
      </c>
      <c r="N179" s="68" t="n">
        <v>408</v>
      </c>
      <c r="O179" s="68" t="n">
        <v>48</v>
      </c>
      <c r="P179" s="68" t="n">
        <v>0</v>
      </c>
      <c r="Q179" s="68" t="n">
        <v>95</v>
      </c>
      <c r="R179" s="69" t="inlineStr">
        <is>
          <t>IO then Amort</t>
        </is>
      </c>
      <c r="S179" s="69" t="inlineStr">
        <is>
          <t>No</t>
        </is>
      </c>
      <c r="T179" s="73" t="n">
        <v>43374</v>
      </c>
      <c r="U179" s="73" t="n">
        <v>47037</v>
      </c>
      <c r="V179" s="73" t="n"/>
      <c r="W179" s="69" t="n"/>
      <c r="X179" s="69" t="inlineStr">
        <is>
          <t>Current</t>
        </is>
      </c>
      <c r="Y179" s="68" t="n"/>
      <c r="Z179" s="69" t="inlineStr">
        <is>
          <t>Full Defeasance</t>
        </is>
      </c>
      <c r="AA179" s="69" t="n"/>
      <c r="AB179" s="69" t="inlineStr">
        <is>
          <t>Never special serv</t>
        </is>
      </c>
      <c r="AC179" s="73" t="n"/>
      <c r="AD179" s="69" t="n"/>
      <c r="AE179" s="69" t="n"/>
      <c r="AF179" s="69" t="inlineStr">
        <is>
          <t>AZ</t>
        </is>
      </c>
      <c r="AG179" s="69" t="inlineStr">
        <is>
          <t>Gilbert</t>
        </is>
      </c>
      <c r="AH179" s="69" t="inlineStr">
        <is>
          <t>Phoenix-Mesa-Chandler, AZ</t>
        </is>
      </c>
      <c r="AI179" s="69" t="inlineStr">
        <is>
          <t>West / Mountain</t>
        </is>
      </c>
      <c r="AJ179" s="69" t="inlineStr">
        <is>
          <t>OF</t>
        </is>
      </c>
      <c r="AK179" s="69" t="inlineStr">
        <is>
          <t>Medical</t>
        </is>
      </c>
      <c r="AL179" s="68" t="n">
        <v>1</v>
      </c>
      <c r="AM179" s="68" t="n"/>
      <c r="AN179" s="68" t="n">
        <v>39315</v>
      </c>
      <c r="AO179" s="69" t="inlineStr">
        <is>
          <t>1995</t>
        </is>
      </c>
      <c r="AP179" s="70" t="n">
        <v>2018</v>
      </c>
      <c r="AQ179" s="74" t="n">
        <v>1.3</v>
      </c>
      <c r="AR179" s="74" t="n">
        <v>2.11</v>
      </c>
      <c r="AS179" s="74" t="n">
        <v>64.3</v>
      </c>
      <c r="AT179" s="74" t="n">
        <v>60.59</v>
      </c>
      <c r="AU179" s="74" t="n">
        <v>58.3</v>
      </c>
      <c r="AV179" s="74" t="n">
        <v>8.485292444000001</v>
      </c>
      <c r="AW179" s="74" t="n">
        <v>14.636490188</v>
      </c>
      <c r="AX179" s="75" t="n">
        <v>100</v>
      </c>
      <c r="AY179" s="71" t="n">
        <v>7000000</v>
      </c>
      <c r="AZ179" s="71" t="n">
        <v>7000000</v>
      </c>
      <c r="BA179" s="71" t="n">
        <v>381838.16</v>
      </c>
      <c r="BB179" s="71" t="n">
        <v>620781.8199999999</v>
      </c>
      <c r="BC179" s="69" t="inlineStr">
        <is>
          <t>Refinance</t>
        </is>
      </c>
      <c r="BD179" s="69" t="inlineStr">
        <is>
          <t>N</t>
        </is>
      </c>
      <c r="BE179" s="71" t="n"/>
      <c r="BF179" s="71" t="n"/>
      <c r="BG179" s="71" t="n"/>
      <c r="BH179" s="71" t="n">
        <v>0</v>
      </c>
      <c r="BI179" s="71" t="n">
        <v>0</v>
      </c>
      <c r="BJ179" s="69" t="inlineStr">
        <is>
          <t>N</t>
        </is>
      </c>
      <c r="BK179" s="69" t="inlineStr">
        <is>
          <t>Arizona Corporate Builders  LLC an Arizona Limited</t>
        </is>
      </c>
      <c r="BL179" s="75" t="n">
        <v>16.08</v>
      </c>
      <c r="BM179" s="73" t="n">
        <v>46996</v>
      </c>
      <c r="BN179" s="69" t="inlineStr">
        <is>
          <t>Neal Smaler; Charles Bruni</t>
        </is>
      </c>
      <c r="BO179" s="69" t="inlineStr">
        <is>
          <t>CIII Capital</t>
        </is>
      </c>
      <c r="BP179" s="69" t="inlineStr">
        <is>
          <t>TriMont Real Estate Advisors</t>
        </is>
      </c>
      <c r="BQ179" s="69" t="inlineStr">
        <is>
          <t>K-Star Asset Management LLC</t>
        </is>
      </c>
      <c r="BR179" s="69" t="n"/>
      <c r="BS179" s="73" t="n">
        <v>46276</v>
      </c>
      <c r="BU179" s="76">
        <f>IF($C179="","",IFERROR(INDEX(dmName,MATCH($C179,dmID,0)),"Unmapped"))</f>
        <v/>
      </c>
      <c r="BV179" s="76">
        <f>IF($C179="","",IFERROR(INDEX(dmEntity,MATCH($C179,dmID,0)),"Unmapped"))</f>
        <v/>
      </c>
      <c r="BW179" s="77">
        <f>IF($C179="","",IFERROR(INDEX(dmVintage,MATCH($C179,dmID,0)),""))</f>
        <v/>
      </c>
      <c r="BX179" s="78">
        <f>IFERROR(INDEX(dmInclude,MATCH($C179,dmID,0)),0)</f>
        <v/>
      </c>
      <c r="BY179" s="78">
        <f>IF(N($I179)&gt;0,1,0)</f>
        <v/>
      </c>
      <c r="BZ179" s="76">
        <f>IF($AJ179="","Other / Leased Fee",IFERROR(INDEX(mapPTGroup,MATCH(LEFT(TRIM($AJ179),2),mapPTCode,0)),"Other / Leased Fee"))</f>
        <v/>
      </c>
      <c r="CA179" s="76">
        <f>IF(TRIM($AF179&amp;"")="","NR",LEFT(TRIM($AF179),2))</f>
        <v/>
      </c>
      <c r="CB179" s="76">
        <f>IFERROR(LOOKUP(2,1/(LEFT(TRIM($AI179&amp;""),LEN(mapRegion))=mapRegion),mapRegion),"Not Reported")</f>
        <v/>
      </c>
      <c r="CC179" s="76">
        <f>IF($BY179=0,"",IF(TRIM($W179&amp;"")="REO","REO",IF(TRIM($W179&amp;"")="FC","Foreclosure",IF(TRIM($W179&amp;"")="90+","90+ Days Delinquent",IF(TRIM($W179&amp;"")="60","60 Days Delinquent",IF(TRIM($W179&amp;"")="30","30 Days Delinquent",IF($X179="Non-Performing Matured Balloon","Non-Performing Matured Balloon",IF(OR($X179="Late Payment But Less Than 30 Days Delinquent",LEFT($X179&amp;"",20)="Payment Not Received"),"Late / In Grace (&lt;30 Days)",IF($X179="Performing Matured Balloon","Performing Matured Balloon","Current")))))))))</f>
        <v/>
      </c>
      <c r="CD179" s="78">
        <f>IF(OR($CC179="REO",$CC179="Foreclosure",$CC179="90+ Days Delinquent",$CC179="60 Days Delinquent",$CC179="30 Days Delinquent",$CC179="Non-Performing Matured Balloon"),1,0)</f>
        <v/>
      </c>
      <c r="CE179" s="76">
        <f>IF($AB179="Currently special serv","Currently Specially Serviced",IF($AB179="Returned to master serv","Previously Specially Serviced","Never Specially Serviced"))</f>
        <v/>
      </c>
      <c r="CF179" s="78">
        <f>IF($CE179="Currently Specially Serviced",1,0)</f>
        <v/>
      </c>
      <c r="CG179" s="76">
        <f>IF($AA179="Yes","Currently on Watchlist",IF($AA179="Previously","Previously on Watchlist","Never on Watchlist"))</f>
        <v/>
      </c>
      <c r="CH179" s="78">
        <f>IF($CG179="Currently on Watchlist",1,0)</f>
        <v/>
      </c>
      <c r="CI179" s="76">
        <f>IF($Z179="Full Defeasance","Fully Defeased",IF($Z179="Portion Of Loan Previously Defeased","Partially Defeased",IF($Z179="Defeasance Not Allowable","Not Defeased (Not Permitted)","Not Defeased")))</f>
        <v/>
      </c>
      <c r="CJ179" s="78">
        <f>IF($CI179="Fully Defeased",1,0)</f>
        <v/>
      </c>
      <c r="CK179" s="76">
        <f>IF($R179="IO","Full IO",IF(LEFT($R179&amp;"",7)="IO then","Partial IO","Amortizing"))</f>
        <v/>
      </c>
      <c r="CL179" s="78">
        <f>IF($CK179="Full IO",1,0)</f>
        <v/>
      </c>
      <c r="CM179" s="78">
        <f>IF($CK179="Partial IO",1,0)</f>
        <v/>
      </c>
      <c r="CN179" s="76">
        <f>IF(LEFT($F179&amp;"",10)="SPLIT_LOAN","Pari Passu Split","Standalone")</f>
        <v/>
      </c>
      <c r="CO179" s="78">
        <f>IF($CN179="Pari Passu Split",1,0)</f>
        <v/>
      </c>
      <c r="CP179" s="77">
        <f>IF(ISNUMBER($T179),YEAR($T179),"")</f>
        <v/>
      </c>
      <c r="CQ179" s="79">
        <f>IF(ISNUMBER($V179),$V179,IF(ISNUMBER($U179),$U179,""))</f>
        <v/>
      </c>
      <c r="CR179" s="77">
        <f>IF(ISNUMBER($CQ179),YEAR($CQ179),"")</f>
        <v/>
      </c>
      <c r="CS179" s="78">
        <f>IF(ISNUMBER($M179),MAX(0,$M179),IF(TRIM($M179&amp;"")="matured",0,""))</f>
        <v/>
      </c>
      <c r="CT179" s="78">
        <f>IF(AND(ISNUMBER($CS179),N($CS179)&lt;=mMatWindow),1,0)</f>
        <v/>
      </c>
      <c r="CU179" s="80">
        <f>IF(ISNUMBER($J179),$J179/100,"")</f>
        <v/>
      </c>
      <c r="CV179" s="81">
        <f>IF(ISNUMBER($AQ179),$AQ179,"")</f>
        <v/>
      </c>
      <c r="CW179" s="81">
        <f>IF(ISNUMBER($AR179),$AR179,"")</f>
        <v/>
      </c>
      <c r="CX179" s="82">
        <f>IF(ISNUMBER($AS179),$AS179/100,"")</f>
        <v/>
      </c>
      <c r="CY179" s="82">
        <f>IF(ISNUMBER($AT179),$AT179/100,"")</f>
        <v/>
      </c>
      <c r="CZ179" s="82">
        <f>IF(ISNUMBER($AU179),$AU179/100,"")</f>
        <v/>
      </c>
      <c r="DA179" s="82">
        <f>IF(ISNUMBER($AV179),$AV179/100,"")</f>
        <v/>
      </c>
      <c r="DB179" s="82">
        <f>IF(ISNUMBER($AW179),$AW179/100,"")</f>
        <v/>
      </c>
      <c r="DC179" s="82">
        <f>IF(ISNUMBER($AX179),$AX179/100,"")</f>
        <v/>
      </c>
      <c r="DD179" s="77">
        <f>IFERROR(VALUE(LEFT(TRIM($AO179&amp;""),4)),"")</f>
        <v/>
      </c>
      <c r="DE179" s="78">
        <f>IF(AND($BY179=1,$BX179=1,OR(fDeal="All Deals",$BU179=fDeal),OR(fEntity="All Entities",$BV179=fEntity),OR(fPType="All Property Types",$BZ179=fPType),OR(fDefeased="Include",$CJ179=0)),1,0)</f>
        <v/>
      </c>
      <c r="DF179" s="83">
        <f>$DE179*N($I179)</f>
        <v/>
      </c>
      <c r="DG179" s="78">
        <f>IF($DE179=1,IF(COUNTIFS($F$8:$F179,$F179,$DE$8:$DE179,1)=1,1,0),0)</f>
        <v/>
      </c>
      <c r="DH179" s="83">
        <f>IF($DG179=1,SUMIFS($DF$8:$DF$1600,$F$8:$F$1600,$F179),0)</f>
        <v/>
      </c>
      <c r="DI179" s="78">
        <f>IF($DG179=1,COUNTIFS($F$8:$F$1600,$F179,$DE$8:$DE$1600,1),0)</f>
        <v/>
      </c>
      <c r="DJ179" s="84">
        <f>IF($DG179=1,$DH179+(100000-ROW())/mTieBreak,0)</f>
        <v/>
      </c>
    </row>
    <row r="180">
      <c r="B180" s="68" t="n">
        <v>57</v>
      </c>
      <c r="C180" s="69" t="inlineStr">
        <is>
          <t>WFC18C47</t>
        </is>
      </c>
      <c r="D180" s="69" t="inlineStr">
        <is>
          <t>57.000</t>
        </is>
      </c>
      <c r="E180" s="69" t="inlineStr">
        <is>
          <t>Northgate MHP</t>
        </is>
      </c>
      <c r="F180" s="69" t="inlineStr">
        <is>
          <t>LNWFC18C47-57.000</t>
        </is>
      </c>
      <c r="G180" s="70" t="n"/>
      <c r="H180" s="71" t="n">
        <v>4395000</v>
      </c>
      <c r="I180" s="71" t="n">
        <v>3760463.950001925</v>
      </c>
      <c r="J180" s="72" t="n">
        <v>5.4</v>
      </c>
      <c r="K180" s="69" t="inlineStr">
        <is>
          <t>Fixed rate</t>
        </is>
      </c>
      <c r="L180" s="68" t="n">
        <v>120</v>
      </c>
      <c r="M180" s="68" t="n">
        <v>25</v>
      </c>
      <c r="N180" s="68" t="n">
        <v>360</v>
      </c>
      <c r="O180" s="68" t="n"/>
      <c r="P180" s="68" t="n"/>
      <c r="Q180" s="68" t="n">
        <v>95</v>
      </c>
      <c r="R180" s="69" t="n"/>
      <c r="S180" s="69" t="inlineStr">
        <is>
          <t>No</t>
        </is>
      </c>
      <c r="T180" s="73" t="n">
        <v>43374</v>
      </c>
      <c r="U180" s="73" t="n">
        <v>47037</v>
      </c>
      <c r="V180" s="73" t="n"/>
      <c r="W180" s="69" t="n"/>
      <c r="X180" s="69" t="inlineStr">
        <is>
          <t>Current</t>
        </is>
      </c>
      <c r="Y180" s="68" t="n"/>
      <c r="Z180" s="69" t="inlineStr">
        <is>
          <t>Full Defeasance</t>
        </is>
      </c>
      <c r="AA180" s="69" t="n"/>
      <c r="AB180" s="69" t="inlineStr">
        <is>
          <t>Never special serv</t>
        </is>
      </c>
      <c r="AC180" s="73" t="n"/>
      <c r="AD180" s="69" t="n"/>
      <c r="AE180" s="69" t="n"/>
      <c r="AF180" s="69" t="inlineStr">
        <is>
          <t>FL</t>
        </is>
      </c>
      <c r="AG180" s="69" t="inlineStr">
        <is>
          <t>Mims</t>
        </is>
      </c>
      <c r="AH180" s="69" t="inlineStr">
        <is>
          <t>Palm Bay-Melbourne-Titusville, FL</t>
        </is>
      </c>
      <c r="AI180" s="69" t="inlineStr">
        <is>
          <t>South / Atlantic</t>
        </is>
      </c>
      <c r="AJ180" s="69" t="inlineStr">
        <is>
          <t>MH</t>
        </is>
      </c>
      <c r="AK180" s="69" t="n"/>
      <c r="AL180" s="68" t="n">
        <v>1</v>
      </c>
      <c r="AM180" s="68" t="n">
        <v>284</v>
      </c>
      <c r="AN180" s="68" t="n"/>
      <c r="AO180" s="69" t="inlineStr">
        <is>
          <t>1963</t>
        </is>
      </c>
      <c r="AP180" s="70" t="n">
        <v>1963</v>
      </c>
      <c r="AQ180" s="74" t="n">
        <v>1.34</v>
      </c>
      <c r="AR180" s="74" t="n">
        <v>1.95</v>
      </c>
      <c r="AS180" s="74" t="n">
        <v>59.4</v>
      </c>
      <c r="AT180" s="74" t="n">
        <v>50.82</v>
      </c>
      <c r="AU180" s="74" t="n">
        <v>49.5</v>
      </c>
      <c r="AV180" s="74" t="n">
        <v>9.00437975</v>
      </c>
      <c r="AW180" s="74" t="n">
        <v>10.684306121</v>
      </c>
      <c r="AX180" s="75" t="n">
        <v>82</v>
      </c>
      <c r="AY180" s="71" t="n">
        <v>7400000</v>
      </c>
      <c r="AZ180" s="71" t="n">
        <v>7400000</v>
      </c>
      <c r="BA180" s="71" t="n">
        <v>395742.49</v>
      </c>
      <c r="BB180" s="71" t="n">
        <v>144440.33</v>
      </c>
      <c r="BC180" s="69" t="inlineStr">
        <is>
          <t>Refinance</t>
        </is>
      </c>
      <c r="BD180" s="69" t="inlineStr">
        <is>
          <t>N</t>
        </is>
      </c>
      <c r="BE180" s="71" t="n"/>
      <c r="BF180" s="71" t="n"/>
      <c r="BG180" s="71" t="n"/>
      <c r="BH180" s="71" t="n">
        <v>0</v>
      </c>
      <c r="BI180" s="71" t="n">
        <v>0</v>
      </c>
      <c r="BJ180" s="69" t="inlineStr">
        <is>
          <t>N</t>
        </is>
      </c>
      <c r="BK180" s="69" t="n"/>
      <c r="BL180" s="75" t="n"/>
      <c r="BM180" s="73" t="n"/>
      <c r="BN180" s="69" t="inlineStr">
        <is>
          <t>Lester E. Grooms, Jr.</t>
        </is>
      </c>
      <c r="BO180" s="69" t="inlineStr">
        <is>
          <t>CIII Capital</t>
        </is>
      </c>
      <c r="BP180" s="69" t="inlineStr">
        <is>
          <t>TriMont Real Estate Advisors</t>
        </is>
      </c>
      <c r="BQ180" s="69" t="inlineStr">
        <is>
          <t>K-Star Asset Management LLC</t>
        </is>
      </c>
      <c r="BR180" s="69" t="inlineStr">
        <is>
          <t>Partial Liquidation (Curtailment)</t>
        </is>
      </c>
      <c r="BS180" s="73" t="n">
        <v>46276</v>
      </c>
      <c r="BU180" s="76">
        <f>IF($C180="","",IFERROR(INDEX(dmName,MATCH($C180,dmID,0)),"Unmapped"))</f>
        <v/>
      </c>
      <c r="BV180" s="76">
        <f>IF($C180="","",IFERROR(INDEX(dmEntity,MATCH($C180,dmID,0)),"Unmapped"))</f>
        <v/>
      </c>
      <c r="BW180" s="77">
        <f>IF($C180="","",IFERROR(INDEX(dmVintage,MATCH($C180,dmID,0)),""))</f>
        <v/>
      </c>
      <c r="BX180" s="78">
        <f>IFERROR(INDEX(dmInclude,MATCH($C180,dmID,0)),0)</f>
        <v/>
      </c>
      <c r="BY180" s="78">
        <f>IF(N($I180)&gt;0,1,0)</f>
        <v/>
      </c>
      <c r="BZ180" s="76">
        <f>IF($AJ180="","Other / Leased Fee",IFERROR(INDEX(mapPTGroup,MATCH(LEFT(TRIM($AJ180),2),mapPTCode,0)),"Other / Leased Fee"))</f>
        <v/>
      </c>
      <c r="CA180" s="76">
        <f>IF(TRIM($AF180&amp;"")="","NR",LEFT(TRIM($AF180),2))</f>
        <v/>
      </c>
      <c r="CB180" s="76">
        <f>IFERROR(LOOKUP(2,1/(LEFT(TRIM($AI180&amp;""),LEN(mapRegion))=mapRegion),mapRegion),"Not Reported")</f>
        <v/>
      </c>
      <c r="CC180" s="76">
        <f>IF($BY180=0,"",IF(TRIM($W180&amp;"")="REO","REO",IF(TRIM($W180&amp;"")="FC","Foreclosure",IF(TRIM($W180&amp;"")="90+","90+ Days Delinquent",IF(TRIM($W180&amp;"")="60","60 Days Delinquent",IF(TRIM($W180&amp;"")="30","30 Days Delinquent",IF($X180="Non-Performing Matured Balloon","Non-Performing Matured Balloon",IF(OR($X180="Late Payment But Less Than 30 Days Delinquent",LEFT($X180&amp;"",20)="Payment Not Received"),"Late / In Grace (&lt;30 Days)",IF($X180="Performing Matured Balloon","Performing Matured Balloon","Current")))))))))</f>
        <v/>
      </c>
      <c r="CD180" s="78">
        <f>IF(OR($CC180="REO",$CC180="Foreclosure",$CC180="90+ Days Delinquent",$CC180="60 Days Delinquent",$CC180="30 Days Delinquent",$CC180="Non-Performing Matured Balloon"),1,0)</f>
        <v/>
      </c>
      <c r="CE180" s="76">
        <f>IF($AB180="Currently special serv","Currently Specially Serviced",IF($AB180="Returned to master serv","Previously Specially Serviced","Never Specially Serviced"))</f>
        <v/>
      </c>
      <c r="CF180" s="78">
        <f>IF($CE180="Currently Specially Serviced",1,0)</f>
        <v/>
      </c>
      <c r="CG180" s="76">
        <f>IF($AA180="Yes","Currently on Watchlist",IF($AA180="Previously","Previously on Watchlist","Never on Watchlist"))</f>
        <v/>
      </c>
      <c r="CH180" s="78">
        <f>IF($CG180="Currently on Watchlist",1,0)</f>
        <v/>
      </c>
      <c r="CI180" s="76">
        <f>IF($Z180="Full Defeasance","Fully Defeased",IF($Z180="Portion Of Loan Previously Defeased","Partially Defeased",IF($Z180="Defeasance Not Allowable","Not Defeased (Not Permitted)","Not Defeased")))</f>
        <v/>
      </c>
      <c r="CJ180" s="78">
        <f>IF($CI180="Fully Defeased",1,0)</f>
        <v/>
      </c>
      <c r="CK180" s="76">
        <f>IF($R180="IO","Full IO",IF(LEFT($R180&amp;"",7)="IO then","Partial IO","Amortizing"))</f>
        <v/>
      </c>
      <c r="CL180" s="78">
        <f>IF($CK180="Full IO",1,0)</f>
        <v/>
      </c>
      <c r="CM180" s="78">
        <f>IF($CK180="Partial IO",1,0)</f>
        <v/>
      </c>
      <c r="CN180" s="76">
        <f>IF(LEFT($F180&amp;"",10)="SPLIT_LOAN","Pari Passu Split","Standalone")</f>
        <v/>
      </c>
      <c r="CO180" s="78">
        <f>IF($CN180="Pari Passu Split",1,0)</f>
        <v/>
      </c>
      <c r="CP180" s="77">
        <f>IF(ISNUMBER($T180),YEAR($T180),"")</f>
        <v/>
      </c>
      <c r="CQ180" s="79">
        <f>IF(ISNUMBER($V180),$V180,IF(ISNUMBER($U180),$U180,""))</f>
        <v/>
      </c>
      <c r="CR180" s="77">
        <f>IF(ISNUMBER($CQ180),YEAR($CQ180),"")</f>
        <v/>
      </c>
      <c r="CS180" s="78">
        <f>IF(ISNUMBER($M180),MAX(0,$M180),IF(TRIM($M180&amp;"")="matured",0,""))</f>
        <v/>
      </c>
      <c r="CT180" s="78">
        <f>IF(AND(ISNUMBER($CS180),N($CS180)&lt;=mMatWindow),1,0)</f>
        <v/>
      </c>
      <c r="CU180" s="80">
        <f>IF(ISNUMBER($J180),$J180/100,"")</f>
        <v/>
      </c>
      <c r="CV180" s="81">
        <f>IF(ISNUMBER($AQ180),$AQ180,"")</f>
        <v/>
      </c>
      <c r="CW180" s="81">
        <f>IF(ISNUMBER($AR180),$AR180,"")</f>
        <v/>
      </c>
      <c r="CX180" s="82">
        <f>IF(ISNUMBER($AS180),$AS180/100,"")</f>
        <v/>
      </c>
      <c r="CY180" s="82">
        <f>IF(ISNUMBER($AT180),$AT180/100,"")</f>
        <v/>
      </c>
      <c r="CZ180" s="82">
        <f>IF(ISNUMBER($AU180),$AU180/100,"")</f>
        <v/>
      </c>
      <c r="DA180" s="82">
        <f>IF(ISNUMBER($AV180),$AV180/100,"")</f>
        <v/>
      </c>
      <c r="DB180" s="82">
        <f>IF(ISNUMBER($AW180),$AW180/100,"")</f>
        <v/>
      </c>
      <c r="DC180" s="82">
        <f>IF(ISNUMBER($AX180),$AX180/100,"")</f>
        <v/>
      </c>
      <c r="DD180" s="77">
        <f>IFERROR(VALUE(LEFT(TRIM($AO180&amp;""),4)),"")</f>
        <v/>
      </c>
      <c r="DE180" s="78">
        <f>IF(AND($BY180=1,$BX180=1,OR(fDeal="All Deals",$BU180=fDeal),OR(fEntity="All Entities",$BV180=fEntity),OR(fPType="All Property Types",$BZ180=fPType),OR(fDefeased="Include",$CJ180=0)),1,0)</f>
        <v/>
      </c>
      <c r="DF180" s="83">
        <f>$DE180*N($I180)</f>
        <v/>
      </c>
      <c r="DG180" s="78">
        <f>IF($DE180=1,IF(COUNTIFS($F$8:$F180,$F180,$DE$8:$DE180,1)=1,1,0),0)</f>
        <v/>
      </c>
      <c r="DH180" s="83">
        <f>IF($DG180=1,SUMIFS($DF$8:$DF$1600,$F$8:$F$1600,$F180),0)</f>
        <v/>
      </c>
      <c r="DI180" s="78">
        <f>IF($DG180=1,COUNTIFS($F$8:$F$1600,$F180,$DE$8:$DE$1600,1),0)</f>
        <v/>
      </c>
      <c r="DJ180" s="84">
        <f>IF($DG180=1,$DH180+(100000-ROW())/mTieBreak,0)</f>
        <v/>
      </c>
    </row>
    <row r="181">
      <c r="B181" s="68" t="n">
        <v>58</v>
      </c>
      <c r="C181" s="69" t="inlineStr">
        <is>
          <t>WFC18C47</t>
        </is>
      </c>
      <c r="D181" s="69" t="inlineStr">
        <is>
          <t>58.000</t>
        </is>
      </c>
      <c r="E181" s="69" t="inlineStr">
        <is>
          <t>Lakeview Shopping Center</t>
        </is>
      </c>
      <c r="F181" s="69" t="inlineStr">
        <is>
          <t>LNWFC18C47-58.000</t>
        </is>
      </c>
      <c r="G181" s="70" t="n"/>
      <c r="H181" s="71" t="n">
        <v>3900000</v>
      </c>
      <c r="I181" s="71" t="n">
        <v>3174789.93</v>
      </c>
      <c r="J181" s="72" t="n">
        <v>5.23</v>
      </c>
      <c r="K181" s="69" t="inlineStr">
        <is>
          <t>Fixed rate</t>
        </is>
      </c>
      <c r="L181" s="68" t="n">
        <v>117</v>
      </c>
      <c r="M181" s="68" t="n">
        <v>21</v>
      </c>
      <c r="N181" s="68" t="n">
        <v>300</v>
      </c>
      <c r="O181" s="68" t="n"/>
      <c r="P181" s="68" t="n"/>
      <c r="Q181" s="68" t="n">
        <v>96</v>
      </c>
      <c r="R181" s="69" t="n"/>
      <c r="S181" s="69" t="inlineStr">
        <is>
          <t>No</t>
        </is>
      </c>
      <c r="T181" s="73" t="n">
        <v>43344</v>
      </c>
      <c r="U181" s="73" t="n">
        <v>46910</v>
      </c>
      <c r="V181" s="73" t="n"/>
      <c r="W181" s="69" t="n"/>
      <c r="X181" s="69" t="inlineStr">
        <is>
          <t>Current</t>
        </is>
      </c>
      <c r="Y181" s="68" t="n"/>
      <c r="Z181" s="69" t="inlineStr">
        <is>
          <t>Full Defeasance</t>
        </is>
      </c>
      <c r="AA181" s="69" t="inlineStr">
        <is>
          <t>Previously</t>
        </is>
      </c>
      <c r="AB181" s="69" t="inlineStr">
        <is>
          <t>Never special serv</t>
        </is>
      </c>
      <c r="AC181" s="73" t="n"/>
      <c r="AD181" s="69" t="n"/>
      <c r="AE181" s="69" t="n"/>
      <c r="AF181" s="69" t="inlineStr">
        <is>
          <t>WV</t>
        </is>
      </c>
      <c r="AG181" s="69" t="inlineStr">
        <is>
          <t>Parkersburg</t>
        </is>
      </c>
      <c r="AH181" s="69" t="inlineStr">
        <is>
          <t>Parkersburg-Vienna, WV</t>
        </is>
      </c>
      <c r="AI181" s="69" t="inlineStr">
        <is>
          <t>South / Atlantic</t>
        </is>
      </c>
      <c r="AJ181" s="69" t="inlineStr">
        <is>
          <t>RT</t>
        </is>
      </c>
      <c r="AK181" s="69" t="inlineStr">
        <is>
          <t>Anchored</t>
        </is>
      </c>
      <c r="AL181" s="68" t="n">
        <v>1</v>
      </c>
      <c r="AM181" s="68" t="n"/>
      <c r="AN181" s="68" t="n">
        <v>67172</v>
      </c>
      <c r="AO181" s="69" t="inlineStr">
        <is>
          <t>1983</t>
        </is>
      </c>
      <c r="AP181" s="70" t="n">
        <v>1983</v>
      </c>
      <c r="AQ181" s="74" t="n">
        <v>1.74</v>
      </c>
      <c r="AR181" s="74" t="n">
        <v>1.46</v>
      </c>
      <c r="AS181" s="74" t="n">
        <v>59</v>
      </c>
      <c r="AT181" s="74" t="n">
        <v>48.1</v>
      </c>
      <c r="AU181" s="74" t="n">
        <v>44.6</v>
      </c>
      <c r="AV181" s="74" t="n">
        <v>12.506641026</v>
      </c>
      <c r="AW181" s="74" t="n">
        <v>13.222042064</v>
      </c>
      <c r="AX181" s="75" t="n">
        <v>94</v>
      </c>
      <c r="AY181" s="71" t="n">
        <v>6600000</v>
      </c>
      <c r="AZ181" s="71" t="n">
        <v>6600000</v>
      </c>
      <c r="BA181" s="71" t="n">
        <v>487759</v>
      </c>
      <c r="BB181" s="71" t="n">
        <v>204628.29</v>
      </c>
      <c r="BC181" s="69" t="inlineStr">
        <is>
          <t>Recapitalization</t>
        </is>
      </c>
      <c r="BD181" s="69" t="inlineStr">
        <is>
          <t>N</t>
        </is>
      </c>
      <c r="BE181" s="71" t="n"/>
      <c r="BF181" s="71" t="n"/>
      <c r="BG181" s="71" t="n"/>
      <c r="BH181" s="71" t="n">
        <v>0</v>
      </c>
      <c r="BI181" s="71" t="n">
        <v>0</v>
      </c>
      <c r="BJ181" s="69" t="inlineStr">
        <is>
          <t>N</t>
        </is>
      </c>
      <c r="BK181" s="69" t="inlineStr">
        <is>
          <t>Goodwill Industries</t>
        </is>
      </c>
      <c r="BL181" s="75" t="n">
        <v>26.83</v>
      </c>
      <c r="BM181" s="73" t="n">
        <v>51226</v>
      </c>
      <c r="BN181" s="69" t="inlineStr">
        <is>
          <t>Stuart F. Kline; Stuart F. Kline Trust Under 2015 Restatement of Trust Agreement of Stuart F. Kline</t>
        </is>
      </c>
      <c r="BO181" s="69" t="inlineStr">
        <is>
          <t>RMF</t>
        </is>
      </c>
      <c r="BP181" s="69" t="inlineStr">
        <is>
          <t>TriMont Real Estate Advisors</t>
        </is>
      </c>
      <c r="BQ181" s="69" t="inlineStr">
        <is>
          <t>K-Star Asset Management LLC</t>
        </is>
      </c>
      <c r="BR181" s="69" t="n"/>
      <c r="BS181" s="73" t="n">
        <v>46276</v>
      </c>
      <c r="BU181" s="76">
        <f>IF($C181="","",IFERROR(INDEX(dmName,MATCH($C181,dmID,0)),"Unmapped"))</f>
        <v/>
      </c>
      <c r="BV181" s="76">
        <f>IF($C181="","",IFERROR(INDEX(dmEntity,MATCH($C181,dmID,0)),"Unmapped"))</f>
        <v/>
      </c>
      <c r="BW181" s="77">
        <f>IF($C181="","",IFERROR(INDEX(dmVintage,MATCH($C181,dmID,0)),""))</f>
        <v/>
      </c>
      <c r="BX181" s="78">
        <f>IFERROR(INDEX(dmInclude,MATCH($C181,dmID,0)),0)</f>
        <v/>
      </c>
      <c r="BY181" s="78">
        <f>IF(N($I181)&gt;0,1,0)</f>
        <v/>
      </c>
      <c r="BZ181" s="76">
        <f>IF($AJ181="","Other / Leased Fee",IFERROR(INDEX(mapPTGroup,MATCH(LEFT(TRIM($AJ181),2),mapPTCode,0)),"Other / Leased Fee"))</f>
        <v/>
      </c>
      <c r="CA181" s="76">
        <f>IF(TRIM($AF181&amp;"")="","NR",LEFT(TRIM($AF181),2))</f>
        <v/>
      </c>
      <c r="CB181" s="76">
        <f>IFERROR(LOOKUP(2,1/(LEFT(TRIM($AI181&amp;""),LEN(mapRegion))=mapRegion),mapRegion),"Not Reported")</f>
        <v/>
      </c>
      <c r="CC181" s="76">
        <f>IF($BY181=0,"",IF(TRIM($W181&amp;"")="REO","REO",IF(TRIM($W181&amp;"")="FC","Foreclosure",IF(TRIM($W181&amp;"")="90+","90+ Days Delinquent",IF(TRIM($W181&amp;"")="60","60 Days Delinquent",IF(TRIM($W181&amp;"")="30","30 Days Delinquent",IF($X181="Non-Performing Matured Balloon","Non-Performing Matured Balloon",IF(OR($X181="Late Payment But Less Than 30 Days Delinquent",LEFT($X181&amp;"",20)="Payment Not Received"),"Late / In Grace (&lt;30 Days)",IF($X181="Performing Matured Balloon","Performing Matured Balloon","Current")))))))))</f>
        <v/>
      </c>
      <c r="CD181" s="78">
        <f>IF(OR($CC181="REO",$CC181="Foreclosure",$CC181="90+ Days Delinquent",$CC181="60 Days Delinquent",$CC181="30 Days Delinquent",$CC181="Non-Performing Matured Balloon"),1,0)</f>
        <v/>
      </c>
      <c r="CE181" s="76">
        <f>IF($AB181="Currently special serv","Currently Specially Serviced",IF($AB181="Returned to master serv","Previously Specially Serviced","Never Specially Serviced"))</f>
        <v/>
      </c>
      <c r="CF181" s="78">
        <f>IF($CE181="Currently Specially Serviced",1,0)</f>
        <v/>
      </c>
      <c r="CG181" s="76">
        <f>IF($AA181="Yes","Currently on Watchlist",IF($AA181="Previously","Previously on Watchlist","Never on Watchlist"))</f>
        <v/>
      </c>
      <c r="CH181" s="78">
        <f>IF($CG181="Currently on Watchlist",1,0)</f>
        <v/>
      </c>
      <c r="CI181" s="76">
        <f>IF($Z181="Full Defeasance","Fully Defeased",IF($Z181="Portion Of Loan Previously Defeased","Partially Defeased",IF($Z181="Defeasance Not Allowable","Not Defeased (Not Permitted)","Not Defeased")))</f>
        <v/>
      </c>
      <c r="CJ181" s="78">
        <f>IF($CI181="Fully Defeased",1,0)</f>
        <v/>
      </c>
      <c r="CK181" s="76">
        <f>IF($R181="IO","Full IO",IF(LEFT($R181&amp;"",7)="IO then","Partial IO","Amortizing"))</f>
        <v/>
      </c>
      <c r="CL181" s="78">
        <f>IF($CK181="Full IO",1,0)</f>
        <v/>
      </c>
      <c r="CM181" s="78">
        <f>IF($CK181="Partial IO",1,0)</f>
        <v/>
      </c>
      <c r="CN181" s="76">
        <f>IF(LEFT($F181&amp;"",10)="SPLIT_LOAN","Pari Passu Split","Standalone")</f>
        <v/>
      </c>
      <c r="CO181" s="78">
        <f>IF($CN181="Pari Passu Split",1,0)</f>
        <v/>
      </c>
      <c r="CP181" s="77">
        <f>IF(ISNUMBER($T181),YEAR($T181),"")</f>
        <v/>
      </c>
      <c r="CQ181" s="79">
        <f>IF(ISNUMBER($V181),$V181,IF(ISNUMBER($U181),$U181,""))</f>
        <v/>
      </c>
      <c r="CR181" s="77">
        <f>IF(ISNUMBER($CQ181),YEAR($CQ181),"")</f>
        <v/>
      </c>
      <c r="CS181" s="78">
        <f>IF(ISNUMBER($M181),MAX(0,$M181),IF(TRIM($M181&amp;"")="matured",0,""))</f>
        <v/>
      </c>
      <c r="CT181" s="78">
        <f>IF(AND(ISNUMBER($CS181),N($CS181)&lt;=mMatWindow),1,0)</f>
        <v/>
      </c>
      <c r="CU181" s="80">
        <f>IF(ISNUMBER($J181),$J181/100,"")</f>
        <v/>
      </c>
      <c r="CV181" s="81">
        <f>IF(ISNUMBER($AQ181),$AQ181,"")</f>
        <v/>
      </c>
      <c r="CW181" s="81">
        <f>IF(ISNUMBER($AR181),$AR181,"")</f>
        <v/>
      </c>
      <c r="CX181" s="82">
        <f>IF(ISNUMBER($AS181),$AS181/100,"")</f>
        <v/>
      </c>
      <c r="CY181" s="82">
        <f>IF(ISNUMBER($AT181),$AT181/100,"")</f>
        <v/>
      </c>
      <c r="CZ181" s="82">
        <f>IF(ISNUMBER($AU181),$AU181/100,"")</f>
        <v/>
      </c>
      <c r="DA181" s="82">
        <f>IF(ISNUMBER($AV181),$AV181/100,"")</f>
        <v/>
      </c>
      <c r="DB181" s="82">
        <f>IF(ISNUMBER($AW181),$AW181/100,"")</f>
        <v/>
      </c>
      <c r="DC181" s="82">
        <f>IF(ISNUMBER($AX181),$AX181/100,"")</f>
        <v/>
      </c>
      <c r="DD181" s="77">
        <f>IFERROR(VALUE(LEFT(TRIM($AO181&amp;""),4)),"")</f>
        <v/>
      </c>
      <c r="DE181" s="78">
        <f>IF(AND($BY181=1,$BX181=1,OR(fDeal="All Deals",$BU181=fDeal),OR(fEntity="All Entities",$BV181=fEntity),OR(fPType="All Property Types",$BZ181=fPType),OR(fDefeased="Include",$CJ181=0)),1,0)</f>
        <v/>
      </c>
      <c r="DF181" s="83">
        <f>$DE181*N($I181)</f>
        <v/>
      </c>
      <c r="DG181" s="78">
        <f>IF($DE181=1,IF(COUNTIFS($F$8:$F181,$F181,$DE$8:$DE181,1)=1,1,0),0)</f>
        <v/>
      </c>
      <c r="DH181" s="83">
        <f>IF($DG181=1,SUMIFS($DF$8:$DF$1600,$F$8:$F$1600,$F181),0)</f>
        <v/>
      </c>
      <c r="DI181" s="78">
        <f>IF($DG181=1,COUNTIFS($F$8:$F$1600,$F181,$DE$8:$DE$1600,1),0)</f>
        <v/>
      </c>
      <c r="DJ181" s="84">
        <f>IF($DG181=1,$DH181+(100000-ROW())/mTieBreak,0)</f>
        <v/>
      </c>
    </row>
    <row r="182">
      <c r="B182" s="68" t="n">
        <v>59</v>
      </c>
      <c r="C182" s="69" t="inlineStr">
        <is>
          <t>WFC18C47</t>
        </is>
      </c>
      <c r="D182" s="69" t="inlineStr">
        <is>
          <t>59.000</t>
        </is>
      </c>
      <c r="E182" s="69" t="inlineStr">
        <is>
          <t>Highland Park Retail Center</t>
        </is>
      </c>
      <c r="F182" s="69" t="inlineStr">
        <is>
          <t>LNWFC18C47-59.000</t>
        </is>
      </c>
      <c r="G182" s="70" t="n"/>
      <c r="H182" s="71" t="n">
        <v>3300000</v>
      </c>
      <c r="I182" s="71" t="n">
        <v>2861216.6899998</v>
      </c>
      <c r="J182" s="72" t="n">
        <v>5</v>
      </c>
      <c r="K182" s="69" t="inlineStr">
        <is>
          <t>Fixed rate</t>
        </is>
      </c>
      <c r="L182" s="68" t="n">
        <v>120</v>
      </c>
      <c r="M182" s="68" t="n">
        <v>25</v>
      </c>
      <c r="N182" s="68" t="n">
        <v>360</v>
      </c>
      <c r="O182" s="68" t="n"/>
      <c r="P182" s="68" t="n"/>
      <c r="Q182" s="68" t="n">
        <v>95</v>
      </c>
      <c r="R182" s="69" t="n"/>
      <c r="S182" s="69" t="inlineStr">
        <is>
          <t>No</t>
        </is>
      </c>
      <c r="T182" s="73" t="n">
        <v>43374</v>
      </c>
      <c r="U182" s="73" t="n">
        <v>47037</v>
      </c>
      <c r="V182" s="73" t="n"/>
      <c r="W182" s="69" t="n"/>
      <c r="X182" s="69" t="inlineStr">
        <is>
          <t>Current</t>
        </is>
      </c>
      <c r="Y182" s="68" t="n"/>
      <c r="Z182" s="69" t="inlineStr">
        <is>
          <t>No Defeasance Occurred</t>
        </is>
      </c>
      <c r="AA182" s="69" t="inlineStr">
        <is>
          <t>Previously</t>
        </is>
      </c>
      <c r="AB182" s="69" t="inlineStr">
        <is>
          <t>Never special serv</t>
        </is>
      </c>
      <c r="AC182" s="73" t="n"/>
      <c r="AD182" s="69" t="n"/>
      <c r="AE182" s="69" t="n"/>
      <c r="AF182" s="69" t="inlineStr">
        <is>
          <t>IL</t>
        </is>
      </c>
      <c r="AG182" s="69" t="inlineStr">
        <is>
          <t>Highland Park</t>
        </is>
      </c>
      <c r="AH182" s="69" t="inlineStr">
        <is>
          <t>Chicago-Naperville-Elgin, IL-IN</t>
        </is>
      </c>
      <c r="AI182" s="69" t="inlineStr">
        <is>
          <t>Midwest / Central East</t>
        </is>
      </c>
      <c r="AJ182" s="69" t="inlineStr">
        <is>
          <t>RT</t>
        </is>
      </c>
      <c r="AK182" s="69" t="inlineStr">
        <is>
          <t>Shadow Anchored</t>
        </is>
      </c>
      <c r="AL182" s="68" t="n">
        <v>1</v>
      </c>
      <c r="AM182" s="68" t="n"/>
      <c r="AN182" s="68" t="n">
        <v>10132</v>
      </c>
      <c r="AO182" s="69" t="inlineStr">
        <is>
          <t>2015</t>
        </is>
      </c>
      <c r="AP182" s="70" t="n">
        <v>2015</v>
      </c>
      <c r="AQ182" s="74" t="n">
        <v>1.32</v>
      </c>
      <c r="AR182" s="74" t="n">
        <v>1.52</v>
      </c>
      <c r="AS182" s="74" t="n">
        <v>64.8</v>
      </c>
      <c r="AT182" s="74" t="n">
        <v>56.21</v>
      </c>
      <c r="AU182" s="74" t="n">
        <v>53.3</v>
      </c>
      <c r="AV182" s="74" t="n">
        <v>8.525359394000001</v>
      </c>
      <c r="AW182" s="74" t="n">
        <v>11.663033463</v>
      </c>
      <c r="AX182" s="75" t="n">
        <v>100</v>
      </c>
      <c r="AY182" s="71" t="n">
        <v>5090000</v>
      </c>
      <c r="AZ182" s="71" t="n">
        <v>5090000</v>
      </c>
      <c r="BA182" s="71" t="n">
        <v>281336.86</v>
      </c>
      <c r="BB182" s="71" t="n">
        <v>162098.79</v>
      </c>
      <c r="BC182" s="69" t="inlineStr">
        <is>
          <t>Refinance</t>
        </is>
      </c>
      <c r="BD182" s="69" t="inlineStr">
        <is>
          <t>N</t>
        </is>
      </c>
      <c r="BE182" s="71" t="n"/>
      <c r="BF182" s="71" t="n"/>
      <c r="BG182" s="71" t="n"/>
      <c r="BH182" s="71" t="n">
        <v>0</v>
      </c>
      <c r="BI182" s="71" t="n">
        <v>0</v>
      </c>
      <c r="BJ182" s="69" t="inlineStr">
        <is>
          <t>N</t>
        </is>
      </c>
      <c r="BK182" s="69" t="inlineStr">
        <is>
          <t>Athletico</t>
        </is>
      </c>
      <c r="BL182" s="75" t="n">
        <v>41.47</v>
      </c>
      <c r="BM182" s="73" t="n">
        <v>47087</v>
      </c>
      <c r="BN182" s="69" t="inlineStr">
        <is>
          <t>Morris Silverman; Jeffrey D. Silverman; Michael N. Jaffe</t>
        </is>
      </c>
      <c r="BO182" s="69" t="inlineStr">
        <is>
          <t>CIII Capital</t>
        </is>
      </c>
      <c r="BP182" s="69" t="inlineStr">
        <is>
          <t>TriMont Real Estate Advisors</t>
        </is>
      </c>
      <c r="BQ182" s="69" t="inlineStr">
        <is>
          <t>K-Star Asset Management LLC</t>
        </is>
      </c>
      <c r="BR182" s="69" t="n"/>
      <c r="BS182" s="73" t="n">
        <v>46276</v>
      </c>
      <c r="BU182" s="76">
        <f>IF($C182="","",IFERROR(INDEX(dmName,MATCH($C182,dmID,0)),"Unmapped"))</f>
        <v/>
      </c>
      <c r="BV182" s="76">
        <f>IF($C182="","",IFERROR(INDEX(dmEntity,MATCH($C182,dmID,0)),"Unmapped"))</f>
        <v/>
      </c>
      <c r="BW182" s="77">
        <f>IF($C182="","",IFERROR(INDEX(dmVintage,MATCH($C182,dmID,0)),""))</f>
        <v/>
      </c>
      <c r="BX182" s="78">
        <f>IFERROR(INDEX(dmInclude,MATCH($C182,dmID,0)),0)</f>
        <v/>
      </c>
      <c r="BY182" s="78">
        <f>IF(N($I182)&gt;0,1,0)</f>
        <v/>
      </c>
      <c r="BZ182" s="76">
        <f>IF($AJ182="","Other / Leased Fee",IFERROR(INDEX(mapPTGroup,MATCH(LEFT(TRIM($AJ182),2),mapPTCode,0)),"Other / Leased Fee"))</f>
        <v/>
      </c>
      <c r="CA182" s="76">
        <f>IF(TRIM($AF182&amp;"")="","NR",LEFT(TRIM($AF182),2))</f>
        <v/>
      </c>
      <c r="CB182" s="76">
        <f>IFERROR(LOOKUP(2,1/(LEFT(TRIM($AI182&amp;""),LEN(mapRegion))=mapRegion),mapRegion),"Not Reported")</f>
        <v/>
      </c>
      <c r="CC182" s="76">
        <f>IF($BY182=0,"",IF(TRIM($W182&amp;"")="REO","REO",IF(TRIM($W182&amp;"")="FC","Foreclosure",IF(TRIM($W182&amp;"")="90+","90+ Days Delinquent",IF(TRIM($W182&amp;"")="60","60 Days Delinquent",IF(TRIM($W182&amp;"")="30","30 Days Delinquent",IF($X182="Non-Performing Matured Balloon","Non-Performing Matured Balloon",IF(OR($X182="Late Payment But Less Than 30 Days Delinquent",LEFT($X182&amp;"",20)="Payment Not Received"),"Late / In Grace (&lt;30 Days)",IF($X182="Performing Matured Balloon","Performing Matured Balloon","Current")))))))))</f>
        <v/>
      </c>
      <c r="CD182" s="78">
        <f>IF(OR($CC182="REO",$CC182="Foreclosure",$CC182="90+ Days Delinquent",$CC182="60 Days Delinquent",$CC182="30 Days Delinquent",$CC182="Non-Performing Matured Balloon"),1,0)</f>
        <v/>
      </c>
      <c r="CE182" s="76">
        <f>IF($AB182="Currently special serv","Currently Specially Serviced",IF($AB182="Returned to master serv","Previously Specially Serviced","Never Specially Serviced"))</f>
        <v/>
      </c>
      <c r="CF182" s="78">
        <f>IF($CE182="Currently Specially Serviced",1,0)</f>
        <v/>
      </c>
      <c r="CG182" s="76">
        <f>IF($AA182="Yes","Currently on Watchlist",IF($AA182="Previously","Previously on Watchlist","Never on Watchlist"))</f>
        <v/>
      </c>
      <c r="CH182" s="78">
        <f>IF($CG182="Currently on Watchlist",1,0)</f>
        <v/>
      </c>
      <c r="CI182" s="76">
        <f>IF($Z182="Full Defeasance","Fully Defeased",IF($Z182="Portion Of Loan Previously Defeased","Partially Defeased",IF($Z182="Defeasance Not Allowable","Not Defeased (Not Permitted)","Not Defeased")))</f>
        <v/>
      </c>
      <c r="CJ182" s="78">
        <f>IF($CI182="Fully Defeased",1,0)</f>
        <v/>
      </c>
      <c r="CK182" s="76">
        <f>IF($R182="IO","Full IO",IF(LEFT($R182&amp;"",7)="IO then","Partial IO","Amortizing"))</f>
        <v/>
      </c>
      <c r="CL182" s="78">
        <f>IF($CK182="Full IO",1,0)</f>
        <v/>
      </c>
      <c r="CM182" s="78">
        <f>IF($CK182="Partial IO",1,0)</f>
        <v/>
      </c>
      <c r="CN182" s="76">
        <f>IF(LEFT($F182&amp;"",10)="SPLIT_LOAN","Pari Passu Split","Standalone")</f>
        <v/>
      </c>
      <c r="CO182" s="78">
        <f>IF($CN182="Pari Passu Split",1,0)</f>
        <v/>
      </c>
      <c r="CP182" s="77">
        <f>IF(ISNUMBER($T182),YEAR($T182),"")</f>
        <v/>
      </c>
      <c r="CQ182" s="79">
        <f>IF(ISNUMBER($V182),$V182,IF(ISNUMBER($U182),$U182,""))</f>
        <v/>
      </c>
      <c r="CR182" s="77">
        <f>IF(ISNUMBER($CQ182),YEAR($CQ182),"")</f>
        <v/>
      </c>
      <c r="CS182" s="78">
        <f>IF(ISNUMBER($M182),MAX(0,$M182),IF(TRIM($M182&amp;"")="matured",0,""))</f>
        <v/>
      </c>
      <c r="CT182" s="78">
        <f>IF(AND(ISNUMBER($CS182),N($CS182)&lt;=mMatWindow),1,0)</f>
        <v/>
      </c>
      <c r="CU182" s="80">
        <f>IF(ISNUMBER($J182),$J182/100,"")</f>
        <v/>
      </c>
      <c r="CV182" s="81">
        <f>IF(ISNUMBER($AQ182),$AQ182,"")</f>
        <v/>
      </c>
      <c r="CW182" s="81">
        <f>IF(ISNUMBER($AR182),$AR182,"")</f>
        <v/>
      </c>
      <c r="CX182" s="82">
        <f>IF(ISNUMBER($AS182),$AS182/100,"")</f>
        <v/>
      </c>
      <c r="CY182" s="82">
        <f>IF(ISNUMBER($AT182),$AT182/100,"")</f>
        <v/>
      </c>
      <c r="CZ182" s="82">
        <f>IF(ISNUMBER($AU182),$AU182/100,"")</f>
        <v/>
      </c>
      <c r="DA182" s="82">
        <f>IF(ISNUMBER($AV182),$AV182/100,"")</f>
        <v/>
      </c>
      <c r="DB182" s="82">
        <f>IF(ISNUMBER($AW182),$AW182/100,"")</f>
        <v/>
      </c>
      <c r="DC182" s="82">
        <f>IF(ISNUMBER($AX182),$AX182/100,"")</f>
        <v/>
      </c>
      <c r="DD182" s="77">
        <f>IFERROR(VALUE(LEFT(TRIM($AO182&amp;""),4)),"")</f>
        <v/>
      </c>
      <c r="DE182" s="78">
        <f>IF(AND($BY182=1,$BX182=1,OR(fDeal="All Deals",$BU182=fDeal),OR(fEntity="All Entities",$BV182=fEntity),OR(fPType="All Property Types",$BZ182=fPType),OR(fDefeased="Include",$CJ182=0)),1,0)</f>
        <v/>
      </c>
      <c r="DF182" s="83">
        <f>$DE182*N($I182)</f>
        <v/>
      </c>
      <c r="DG182" s="78">
        <f>IF($DE182=1,IF(COUNTIFS($F$8:$F182,$F182,$DE$8:$DE182,1)=1,1,0),0)</f>
        <v/>
      </c>
      <c r="DH182" s="83">
        <f>IF($DG182=1,SUMIFS($DF$8:$DF$1600,$F$8:$F$1600,$F182),0)</f>
        <v/>
      </c>
      <c r="DI182" s="78">
        <f>IF($DG182=1,COUNTIFS($F$8:$F$1600,$F182,$DE$8:$DE$1600,1),0)</f>
        <v/>
      </c>
      <c r="DJ182" s="84">
        <f>IF($DG182=1,$DH182+(100000-ROW())/mTieBreak,0)</f>
        <v/>
      </c>
    </row>
    <row r="183">
      <c r="B183" s="68" t="n">
        <v>60</v>
      </c>
      <c r="C183" s="69" t="inlineStr">
        <is>
          <t>WFC18C47</t>
        </is>
      </c>
      <c r="D183" s="69" t="inlineStr">
        <is>
          <t>60.000</t>
        </is>
      </c>
      <c r="E183" s="69" t="inlineStr">
        <is>
          <t>Stewart MHP</t>
        </is>
      </c>
      <c r="F183" s="69" t="inlineStr">
        <is>
          <t>LNWFC18C47-60.000</t>
        </is>
      </c>
      <c r="G183" s="70" t="n"/>
      <c r="H183" s="71" t="n">
        <v>3250000</v>
      </c>
      <c r="I183" s="71" t="n">
        <v>0</v>
      </c>
      <c r="J183" s="72" t="n">
        <v>5.3</v>
      </c>
      <c r="K183" s="69" t="inlineStr">
        <is>
          <t>Fixed rate</t>
        </is>
      </c>
      <c r="L183" s="68" t="n">
        <v>120</v>
      </c>
      <c r="M183" s="68" t="n"/>
      <c r="N183" s="68" t="n">
        <v>384</v>
      </c>
      <c r="O183" s="68" t="n">
        <v>24</v>
      </c>
      <c r="P183" s="68" t="n"/>
      <c r="Q183" s="68" t="n"/>
      <c r="R183" s="69" t="inlineStr">
        <is>
          <t>IO then Amort</t>
        </is>
      </c>
      <c r="S183" s="69" t="inlineStr">
        <is>
          <t>No</t>
        </is>
      </c>
      <c r="T183" s="73" t="n">
        <v>43282</v>
      </c>
      <c r="U183" s="73" t="n">
        <v>46945</v>
      </c>
      <c r="V183" s="73" t="n"/>
      <c r="W183" s="69" t="n"/>
      <c r="X183" s="69" t="inlineStr">
        <is>
          <t>Current</t>
        </is>
      </c>
      <c r="Y183" s="68" t="n"/>
      <c r="Z183" s="69" t="inlineStr">
        <is>
          <t>No Defeasance Occurred</t>
        </is>
      </c>
      <c r="AA183" s="69" t="inlineStr">
        <is>
          <t>Previously</t>
        </is>
      </c>
      <c r="AB183" s="69" t="inlineStr">
        <is>
          <t>Currently special serv</t>
        </is>
      </c>
      <c r="AC183" s="73" t="n">
        <v>45349</v>
      </c>
      <c r="AD183" s="69" t="inlineStr">
        <is>
          <t>Payment Default (all payments excluding Balloon/Maturity Payment)</t>
        </is>
      </c>
      <c r="AE183" s="69" t="inlineStr">
        <is>
          <t>Resolved</t>
        </is>
      </c>
      <c r="AF183" s="69" t="inlineStr">
        <is>
          <t>NY</t>
        </is>
      </c>
      <c r="AG183" s="69" t="inlineStr">
        <is>
          <t>Vestal</t>
        </is>
      </c>
      <c r="AH183" s="69" t="inlineStr">
        <is>
          <t>Binghamton, NY</t>
        </is>
      </c>
      <c r="AI183" s="69" t="inlineStr">
        <is>
          <t>Northeast / Mid-Atlantic</t>
        </is>
      </c>
      <c r="AJ183" s="69" t="inlineStr">
        <is>
          <t>MH</t>
        </is>
      </c>
      <c r="AK183" s="69" t="n"/>
      <c r="AL183" s="68" t="n">
        <v>1</v>
      </c>
      <c r="AM183" s="68" t="n">
        <v>121</v>
      </c>
      <c r="AN183" s="68" t="n"/>
      <c r="AO183" s="69" t="inlineStr">
        <is>
          <t>1960</t>
        </is>
      </c>
      <c r="AP183" s="70" t="n">
        <v>1975</v>
      </c>
      <c r="AQ183" s="74" t="n">
        <v>1.35</v>
      </c>
      <c r="AR183" s="74" t="n">
        <v>1.13</v>
      </c>
      <c r="AS183" s="74" t="n">
        <v>69.90000000000001</v>
      </c>
      <c r="AT183" s="74" t="n"/>
      <c r="AU183" s="74" t="n">
        <v>60.9</v>
      </c>
      <c r="AV183" s="74" t="n">
        <v>8.979938462</v>
      </c>
      <c r="AW183" s="74" t="n"/>
      <c r="AX183" s="75" t="n">
        <v>90.08</v>
      </c>
      <c r="AY183" s="71" t="n">
        <v>4650000</v>
      </c>
      <c r="AZ183" s="71" t="n">
        <v>4140000</v>
      </c>
      <c r="BA183" s="71" t="n">
        <v>291848</v>
      </c>
      <c r="BB183" s="71" t="n">
        <v>98044</v>
      </c>
      <c r="BC183" s="69" t="inlineStr">
        <is>
          <t>Refinance</t>
        </is>
      </c>
      <c r="BD183" s="69" t="inlineStr">
        <is>
          <t>N</t>
        </is>
      </c>
      <c r="BE183" s="71" t="n"/>
      <c r="BF183" s="71" t="n"/>
      <c r="BG183" s="71" t="n"/>
      <c r="BH183" s="71" t="n">
        <v>0</v>
      </c>
      <c r="BI183" s="71" t="n">
        <v>0</v>
      </c>
      <c r="BJ183" s="69" t="inlineStr">
        <is>
          <t>N</t>
        </is>
      </c>
      <c r="BK183" s="69" t="n"/>
      <c r="BL183" s="75" t="n"/>
      <c r="BM183" s="73" t="n"/>
      <c r="BN183" s="69" t="inlineStr">
        <is>
          <t>Glen Biswurm</t>
        </is>
      </c>
      <c r="BO183" s="69" t="inlineStr">
        <is>
          <t>CIII Capital</t>
        </is>
      </c>
      <c r="BP183" s="69" t="inlineStr">
        <is>
          <t>TriMont Real Estate Advisors</t>
        </is>
      </c>
      <c r="BQ183" s="69" t="inlineStr">
        <is>
          <t>K-Star Asset Management LLC</t>
        </is>
      </c>
      <c r="BR183" s="69" t="inlineStr">
        <is>
          <t>Disposition / Liquidation</t>
        </is>
      </c>
      <c r="BS183" s="73" t="n">
        <v>46276</v>
      </c>
      <c r="BU183" s="76">
        <f>IF($C183="","",IFERROR(INDEX(dmName,MATCH($C183,dmID,0)),"Unmapped"))</f>
        <v/>
      </c>
      <c r="BV183" s="76">
        <f>IF($C183="","",IFERROR(INDEX(dmEntity,MATCH($C183,dmID,0)),"Unmapped"))</f>
        <v/>
      </c>
      <c r="BW183" s="77">
        <f>IF($C183="","",IFERROR(INDEX(dmVintage,MATCH($C183,dmID,0)),""))</f>
        <v/>
      </c>
      <c r="BX183" s="78">
        <f>IFERROR(INDEX(dmInclude,MATCH($C183,dmID,0)),0)</f>
        <v/>
      </c>
      <c r="BY183" s="78">
        <f>IF(N($I183)&gt;0,1,0)</f>
        <v/>
      </c>
      <c r="BZ183" s="76">
        <f>IF($AJ183="","Other / Leased Fee",IFERROR(INDEX(mapPTGroup,MATCH(LEFT(TRIM($AJ183),2),mapPTCode,0)),"Other / Leased Fee"))</f>
        <v/>
      </c>
      <c r="CA183" s="76">
        <f>IF(TRIM($AF183&amp;"")="","NR",LEFT(TRIM($AF183),2))</f>
        <v/>
      </c>
      <c r="CB183" s="76">
        <f>IFERROR(LOOKUP(2,1/(LEFT(TRIM($AI183&amp;""),LEN(mapRegion))=mapRegion),mapRegion),"Not Reported")</f>
        <v/>
      </c>
      <c r="CC183" s="76">
        <f>IF($BY183=0,"",IF(TRIM($W183&amp;"")="REO","REO",IF(TRIM($W183&amp;"")="FC","Foreclosure",IF(TRIM($W183&amp;"")="90+","90+ Days Delinquent",IF(TRIM($W183&amp;"")="60","60 Days Delinquent",IF(TRIM($W183&amp;"")="30","30 Days Delinquent",IF($X183="Non-Performing Matured Balloon","Non-Performing Matured Balloon",IF(OR($X183="Late Payment But Less Than 30 Days Delinquent",LEFT($X183&amp;"",20)="Payment Not Received"),"Late / In Grace (&lt;30 Days)",IF($X183="Performing Matured Balloon","Performing Matured Balloon","Current")))))))))</f>
        <v/>
      </c>
      <c r="CD183" s="78">
        <f>IF(OR($CC183="REO",$CC183="Foreclosure",$CC183="90+ Days Delinquent",$CC183="60 Days Delinquent",$CC183="30 Days Delinquent",$CC183="Non-Performing Matured Balloon"),1,0)</f>
        <v/>
      </c>
      <c r="CE183" s="76">
        <f>IF($AB183="Currently special serv","Currently Specially Serviced",IF($AB183="Returned to master serv","Previously Specially Serviced","Never Specially Serviced"))</f>
        <v/>
      </c>
      <c r="CF183" s="78">
        <f>IF($CE183="Currently Specially Serviced",1,0)</f>
        <v/>
      </c>
      <c r="CG183" s="76">
        <f>IF($AA183="Yes","Currently on Watchlist",IF($AA183="Previously","Previously on Watchlist","Never on Watchlist"))</f>
        <v/>
      </c>
      <c r="CH183" s="78">
        <f>IF($CG183="Currently on Watchlist",1,0)</f>
        <v/>
      </c>
      <c r="CI183" s="76">
        <f>IF($Z183="Full Defeasance","Fully Defeased",IF($Z183="Portion Of Loan Previously Defeased","Partially Defeased",IF($Z183="Defeasance Not Allowable","Not Defeased (Not Permitted)","Not Defeased")))</f>
        <v/>
      </c>
      <c r="CJ183" s="78">
        <f>IF($CI183="Fully Defeased",1,0)</f>
        <v/>
      </c>
      <c r="CK183" s="76">
        <f>IF($R183="IO","Full IO",IF(LEFT($R183&amp;"",7)="IO then","Partial IO","Amortizing"))</f>
        <v/>
      </c>
      <c r="CL183" s="78">
        <f>IF($CK183="Full IO",1,0)</f>
        <v/>
      </c>
      <c r="CM183" s="78">
        <f>IF($CK183="Partial IO",1,0)</f>
        <v/>
      </c>
      <c r="CN183" s="76">
        <f>IF(LEFT($F183&amp;"",10)="SPLIT_LOAN","Pari Passu Split","Standalone")</f>
        <v/>
      </c>
      <c r="CO183" s="78">
        <f>IF($CN183="Pari Passu Split",1,0)</f>
        <v/>
      </c>
      <c r="CP183" s="77">
        <f>IF(ISNUMBER($T183),YEAR($T183),"")</f>
        <v/>
      </c>
      <c r="CQ183" s="79">
        <f>IF(ISNUMBER($V183),$V183,IF(ISNUMBER($U183),$U183,""))</f>
        <v/>
      </c>
      <c r="CR183" s="77">
        <f>IF(ISNUMBER($CQ183),YEAR($CQ183),"")</f>
        <v/>
      </c>
      <c r="CS183" s="78">
        <f>IF(ISNUMBER($M183),MAX(0,$M183),IF(TRIM($M183&amp;"")="matured",0,""))</f>
        <v/>
      </c>
      <c r="CT183" s="78">
        <f>IF(AND(ISNUMBER($CS183),N($CS183)&lt;=mMatWindow),1,0)</f>
        <v/>
      </c>
      <c r="CU183" s="80">
        <f>IF(ISNUMBER($J183),$J183/100,"")</f>
        <v/>
      </c>
      <c r="CV183" s="81">
        <f>IF(ISNUMBER($AQ183),$AQ183,"")</f>
        <v/>
      </c>
      <c r="CW183" s="81">
        <f>IF(ISNUMBER($AR183),$AR183,"")</f>
        <v/>
      </c>
      <c r="CX183" s="82">
        <f>IF(ISNUMBER($AS183),$AS183/100,"")</f>
        <v/>
      </c>
      <c r="CY183" s="82">
        <f>IF(ISNUMBER($AT183),$AT183/100,"")</f>
        <v/>
      </c>
      <c r="CZ183" s="82">
        <f>IF(ISNUMBER($AU183),$AU183/100,"")</f>
        <v/>
      </c>
      <c r="DA183" s="82">
        <f>IF(ISNUMBER($AV183),$AV183/100,"")</f>
        <v/>
      </c>
      <c r="DB183" s="82">
        <f>IF(ISNUMBER($AW183),$AW183/100,"")</f>
        <v/>
      </c>
      <c r="DC183" s="82">
        <f>IF(ISNUMBER($AX183),$AX183/100,"")</f>
        <v/>
      </c>
      <c r="DD183" s="77">
        <f>IFERROR(VALUE(LEFT(TRIM($AO183&amp;""),4)),"")</f>
        <v/>
      </c>
      <c r="DE183" s="78">
        <f>IF(AND($BY183=1,$BX183=1,OR(fDeal="All Deals",$BU183=fDeal),OR(fEntity="All Entities",$BV183=fEntity),OR(fPType="All Property Types",$BZ183=fPType),OR(fDefeased="Include",$CJ183=0)),1,0)</f>
        <v/>
      </c>
      <c r="DF183" s="83">
        <f>$DE183*N($I183)</f>
        <v/>
      </c>
      <c r="DG183" s="78">
        <f>IF($DE183=1,IF(COUNTIFS($F$8:$F183,$F183,$DE$8:$DE183,1)=1,1,0),0)</f>
        <v/>
      </c>
      <c r="DH183" s="83">
        <f>IF($DG183=1,SUMIFS($DF$8:$DF$1600,$F$8:$F$1600,$F183),0)</f>
        <v/>
      </c>
      <c r="DI183" s="78">
        <f>IF($DG183=1,COUNTIFS($F$8:$F$1600,$F183,$DE$8:$DE$1600,1),0)</f>
        <v/>
      </c>
      <c r="DJ183" s="84">
        <f>IF($DG183=1,$DH183+(100000-ROW())/mTieBreak,0)</f>
        <v/>
      </c>
    </row>
    <row r="184">
      <c r="B184" s="68" t="n">
        <v>61</v>
      </c>
      <c r="C184" s="69" t="inlineStr">
        <is>
          <t>WFC18C47</t>
        </is>
      </c>
      <c r="D184" s="69" t="inlineStr">
        <is>
          <t>61.000</t>
        </is>
      </c>
      <c r="E184" s="69" t="inlineStr">
        <is>
          <t>Walgreens Iowa</t>
        </is>
      </c>
      <c r="F184" s="69" t="inlineStr">
        <is>
          <t>LNWFC18C47-61.000</t>
        </is>
      </c>
      <c r="G184" s="70" t="n"/>
      <c r="H184" s="71" t="n">
        <v>3200000</v>
      </c>
      <c r="I184" s="71" t="n">
        <v>3062492.55</v>
      </c>
      <c r="J184" s="72" t="n">
        <v>5.15</v>
      </c>
      <c r="K184" s="69" t="inlineStr">
        <is>
          <t>Fixed rate</t>
        </is>
      </c>
      <c r="L184" s="68" t="n">
        <v>116</v>
      </c>
      <c r="M184" s="68" t="n">
        <v>20</v>
      </c>
      <c r="N184" s="68" t="n">
        <v>420</v>
      </c>
      <c r="O184" s="68" t="n">
        <v>60</v>
      </c>
      <c r="P184" s="68" t="n">
        <v>0</v>
      </c>
      <c r="Q184" s="68" t="n">
        <v>96</v>
      </c>
      <c r="R184" s="69" t="inlineStr">
        <is>
          <t>IO then Amort</t>
        </is>
      </c>
      <c r="S184" s="69" t="inlineStr">
        <is>
          <t>No</t>
        </is>
      </c>
      <c r="T184" s="73" t="n">
        <v>43344</v>
      </c>
      <c r="U184" s="73" t="n">
        <v>46879</v>
      </c>
      <c r="V184" s="73" t="n"/>
      <c r="W184" s="69" t="n"/>
      <c r="X184" s="69" t="inlineStr">
        <is>
          <t>Current</t>
        </is>
      </c>
      <c r="Y184" s="68" t="n"/>
      <c r="Z184" s="69" t="inlineStr">
        <is>
          <t>Full Defeasance</t>
        </is>
      </c>
      <c r="AA184" s="69" t="inlineStr">
        <is>
          <t>Previously</t>
        </is>
      </c>
      <c r="AB184" s="69" t="inlineStr">
        <is>
          <t>Never special serv</t>
        </is>
      </c>
      <c r="AC184" s="73" t="n"/>
      <c r="AD184" s="69" t="n"/>
      <c r="AE184" s="69" t="n"/>
      <c r="AF184" s="69" t="inlineStr">
        <is>
          <t>IA</t>
        </is>
      </c>
      <c r="AG184" s="69" t="inlineStr">
        <is>
          <t>Dubuque</t>
        </is>
      </c>
      <c r="AH184" s="69" t="inlineStr">
        <is>
          <t>Dubuque, IA</t>
        </is>
      </c>
      <c r="AI184" s="69" t="inlineStr">
        <is>
          <t>Midwest / Central West</t>
        </is>
      </c>
      <c r="AJ184" s="69" t="inlineStr">
        <is>
          <t>RT</t>
        </is>
      </c>
      <c r="AK184" s="69" t="inlineStr">
        <is>
          <t>Single Tenant</t>
        </is>
      </c>
      <c r="AL184" s="68" t="n">
        <v>1</v>
      </c>
      <c r="AM184" s="68" t="n"/>
      <c r="AN184" s="68" t="n">
        <v>14568</v>
      </c>
      <c r="AO184" s="69" t="inlineStr">
        <is>
          <t>2008</t>
        </is>
      </c>
      <c r="AP184" s="70" t="n">
        <v>2008</v>
      </c>
      <c r="AQ184" s="74" t="n">
        <v>1.5</v>
      </c>
      <c r="AR184" s="74" t="n">
        <v>1.92</v>
      </c>
      <c r="AS184" s="74" t="n">
        <v>61.9</v>
      </c>
      <c r="AT184" s="74" t="n">
        <v>59.24</v>
      </c>
      <c r="AU184" s="74" t="n">
        <v>57.2</v>
      </c>
      <c r="AV184" s="74" t="n">
        <v>9.844093750000001</v>
      </c>
      <c r="AW184" s="74" t="n">
        <v>10.496025533</v>
      </c>
      <c r="AX184" s="75" t="n">
        <v>100</v>
      </c>
      <c r="AY184" s="71" t="n">
        <v>5170000</v>
      </c>
      <c r="AZ184" s="71" t="n">
        <v>5170000</v>
      </c>
      <c r="BA184" s="71" t="n">
        <v>315011</v>
      </c>
      <c r="BB184" s="71" t="n">
        <v>241080</v>
      </c>
      <c r="BC184" s="69" t="inlineStr">
        <is>
          <t>Acquisition</t>
        </is>
      </c>
      <c r="BD184" s="69" t="inlineStr">
        <is>
          <t>N</t>
        </is>
      </c>
      <c r="BE184" s="71" t="n"/>
      <c r="BF184" s="71" t="n"/>
      <c r="BG184" s="71" t="n"/>
      <c r="BH184" s="71" t="n">
        <v>0</v>
      </c>
      <c r="BI184" s="71" t="n">
        <v>0</v>
      </c>
      <c r="BJ184" s="69" t="inlineStr">
        <is>
          <t>N</t>
        </is>
      </c>
      <c r="BK184" s="69" t="inlineStr">
        <is>
          <t>Walgreens</t>
        </is>
      </c>
      <c r="BL184" s="75" t="n">
        <v>100</v>
      </c>
      <c r="BM184" s="73" t="n">
        <v>67327</v>
      </c>
      <c r="BN184" s="69" t="inlineStr">
        <is>
          <t>Edwin J. Glickman</t>
        </is>
      </c>
      <c r="BO184" s="69" t="inlineStr">
        <is>
          <t>RMF</t>
        </is>
      </c>
      <c r="BP184" s="69" t="inlineStr">
        <is>
          <t>TriMont Real Estate Advisors</t>
        </is>
      </c>
      <c r="BQ184" s="69" t="inlineStr">
        <is>
          <t>K-Star Asset Management LLC</t>
        </is>
      </c>
      <c r="BR184" s="69" t="n"/>
      <c r="BS184" s="73" t="n">
        <v>46276</v>
      </c>
      <c r="BU184" s="76">
        <f>IF($C184="","",IFERROR(INDEX(dmName,MATCH($C184,dmID,0)),"Unmapped"))</f>
        <v/>
      </c>
      <c r="BV184" s="76">
        <f>IF($C184="","",IFERROR(INDEX(dmEntity,MATCH($C184,dmID,0)),"Unmapped"))</f>
        <v/>
      </c>
      <c r="BW184" s="77">
        <f>IF($C184="","",IFERROR(INDEX(dmVintage,MATCH($C184,dmID,0)),""))</f>
        <v/>
      </c>
      <c r="BX184" s="78">
        <f>IFERROR(INDEX(dmInclude,MATCH($C184,dmID,0)),0)</f>
        <v/>
      </c>
      <c r="BY184" s="78">
        <f>IF(N($I184)&gt;0,1,0)</f>
        <v/>
      </c>
      <c r="BZ184" s="76">
        <f>IF($AJ184="","Other / Leased Fee",IFERROR(INDEX(mapPTGroup,MATCH(LEFT(TRIM($AJ184),2),mapPTCode,0)),"Other / Leased Fee"))</f>
        <v/>
      </c>
      <c r="CA184" s="76">
        <f>IF(TRIM($AF184&amp;"")="","NR",LEFT(TRIM($AF184),2))</f>
        <v/>
      </c>
      <c r="CB184" s="76">
        <f>IFERROR(LOOKUP(2,1/(LEFT(TRIM($AI184&amp;""),LEN(mapRegion))=mapRegion),mapRegion),"Not Reported")</f>
        <v/>
      </c>
      <c r="CC184" s="76">
        <f>IF($BY184=0,"",IF(TRIM($W184&amp;"")="REO","REO",IF(TRIM($W184&amp;"")="FC","Foreclosure",IF(TRIM($W184&amp;"")="90+","90+ Days Delinquent",IF(TRIM($W184&amp;"")="60","60 Days Delinquent",IF(TRIM($W184&amp;"")="30","30 Days Delinquent",IF($X184="Non-Performing Matured Balloon","Non-Performing Matured Balloon",IF(OR($X184="Late Payment But Less Than 30 Days Delinquent",LEFT($X184&amp;"",20)="Payment Not Received"),"Late / In Grace (&lt;30 Days)",IF($X184="Performing Matured Balloon","Performing Matured Balloon","Current")))))))))</f>
        <v/>
      </c>
      <c r="CD184" s="78">
        <f>IF(OR($CC184="REO",$CC184="Foreclosure",$CC184="90+ Days Delinquent",$CC184="60 Days Delinquent",$CC184="30 Days Delinquent",$CC184="Non-Performing Matured Balloon"),1,0)</f>
        <v/>
      </c>
      <c r="CE184" s="76">
        <f>IF($AB184="Currently special serv","Currently Specially Serviced",IF($AB184="Returned to master serv","Previously Specially Serviced","Never Specially Serviced"))</f>
        <v/>
      </c>
      <c r="CF184" s="78">
        <f>IF($CE184="Currently Specially Serviced",1,0)</f>
        <v/>
      </c>
      <c r="CG184" s="76">
        <f>IF($AA184="Yes","Currently on Watchlist",IF($AA184="Previously","Previously on Watchlist","Never on Watchlist"))</f>
        <v/>
      </c>
      <c r="CH184" s="78">
        <f>IF($CG184="Currently on Watchlist",1,0)</f>
        <v/>
      </c>
      <c r="CI184" s="76">
        <f>IF($Z184="Full Defeasance","Fully Defeased",IF($Z184="Portion Of Loan Previously Defeased","Partially Defeased",IF($Z184="Defeasance Not Allowable","Not Defeased (Not Permitted)","Not Defeased")))</f>
        <v/>
      </c>
      <c r="CJ184" s="78">
        <f>IF($CI184="Fully Defeased",1,0)</f>
        <v/>
      </c>
      <c r="CK184" s="76">
        <f>IF($R184="IO","Full IO",IF(LEFT($R184&amp;"",7)="IO then","Partial IO","Amortizing"))</f>
        <v/>
      </c>
      <c r="CL184" s="78">
        <f>IF($CK184="Full IO",1,0)</f>
        <v/>
      </c>
      <c r="CM184" s="78">
        <f>IF($CK184="Partial IO",1,0)</f>
        <v/>
      </c>
      <c r="CN184" s="76">
        <f>IF(LEFT($F184&amp;"",10)="SPLIT_LOAN","Pari Passu Split","Standalone")</f>
        <v/>
      </c>
      <c r="CO184" s="78">
        <f>IF($CN184="Pari Passu Split",1,0)</f>
        <v/>
      </c>
      <c r="CP184" s="77">
        <f>IF(ISNUMBER($T184),YEAR($T184),"")</f>
        <v/>
      </c>
      <c r="CQ184" s="79">
        <f>IF(ISNUMBER($V184),$V184,IF(ISNUMBER($U184),$U184,""))</f>
        <v/>
      </c>
      <c r="CR184" s="77">
        <f>IF(ISNUMBER($CQ184),YEAR($CQ184),"")</f>
        <v/>
      </c>
      <c r="CS184" s="78">
        <f>IF(ISNUMBER($M184),MAX(0,$M184),IF(TRIM($M184&amp;"")="matured",0,""))</f>
        <v/>
      </c>
      <c r="CT184" s="78">
        <f>IF(AND(ISNUMBER($CS184),N($CS184)&lt;=mMatWindow),1,0)</f>
        <v/>
      </c>
      <c r="CU184" s="80">
        <f>IF(ISNUMBER($J184),$J184/100,"")</f>
        <v/>
      </c>
      <c r="CV184" s="81">
        <f>IF(ISNUMBER($AQ184),$AQ184,"")</f>
        <v/>
      </c>
      <c r="CW184" s="81">
        <f>IF(ISNUMBER($AR184),$AR184,"")</f>
        <v/>
      </c>
      <c r="CX184" s="82">
        <f>IF(ISNUMBER($AS184),$AS184/100,"")</f>
        <v/>
      </c>
      <c r="CY184" s="82">
        <f>IF(ISNUMBER($AT184),$AT184/100,"")</f>
        <v/>
      </c>
      <c r="CZ184" s="82">
        <f>IF(ISNUMBER($AU184),$AU184/100,"")</f>
        <v/>
      </c>
      <c r="DA184" s="82">
        <f>IF(ISNUMBER($AV184),$AV184/100,"")</f>
        <v/>
      </c>
      <c r="DB184" s="82">
        <f>IF(ISNUMBER($AW184),$AW184/100,"")</f>
        <v/>
      </c>
      <c r="DC184" s="82">
        <f>IF(ISNUMBER($AX184),$AX184/100,"")</f>
        <v/>
      </c>
      <c r="DD184" s="77">
        <f>IFERROR(VALUE(LEFT(TRIM($AO184&amp;""),4)),"")</f>
        <v/>
      </c>
      <c r="DE184" s="78">
        <f>IF(AND($BY184=1,$BX184=1,OR(fDeal="All Deals",$BU184=fDeal),OR(fEntity="All Entities",$BV184=fEntity),OR(fPType="All Property Types",$BZ184=fPType),OR(fDefeased="Include",$CJ184=0)),1,0)</f>
        <v/>
      </c>
      <c r="DF184" s="83">
        <f>$DE184*N($I184)</f>
        <v/>
      </c>
      <c r="DG184" s="78">
        <f>IF($DE184=1,IF(COUNTIFS($F$8:$F184,$F184,$DE$8:$DE184,1)=1,1,0),0)</f>
        <v/>
      </c>
      <c r="DH184" s="83">
        <f>IF($DG184=1,SUMIFS($DF$8:$DF$1600,$F$8:$F$1600,$F184),0)</f>
        <v/>
      </c>
      <c r="DI184" s="78">
        <f>IF($DG184=1,COUNTIFS($F$8:$F$1600,$F184,$DE$8:$DE$1600,1),0)</f>
        <v/>
      </c>
      <c r="DJ184" s="84">
        <f>IF($DG184=1,$DH184+(100000-ROW())/mTieBreak,0)</f>
        <v/>
      </c>
    </row>
    <row r="185">
      <c r="B185" s="68" t="n">
        <v>62</v>
      </c>
      <c r="C185" s="69" t="inlineStr">
        <is>
          <t>WFC18C47</t>
        </is>
      </c>
      <c r="D185" s="69" t="inlineStr">
        <is>
          <t>62.000</t>
        </is>
      </c>
      <c r="E185" s="69" t="inlineStr">
        <is>
          <t>Cahaba Mobile Estates</t>
        </is>
      </c>
      <c r="F185" s="69" t="inlineStr">
        <is>
          <t>LNWFC18C47-62.000</t>
        </is>
      </c>
      <c r="G185" s="70" t="n"/>
      <c r="H185" s="71" t="n">
        <v>3175000</v>
      </c>
      <c r="I185" s="71" t="n">
        <v>2778616.22999925</v>
      </c>
      <c r="J185" s="72" t="n">
        <v>5.38</v>
      </c>
      <c r="K185" s="69" t="inlineStr">
        <is>
          <t>Fixed rate</t>
        </is>
      </c>
      <c r="L185" s="68" t="n">
        <v>120</v>
      </c>
      <c r="M185" s="68" t="n">
        <v>25</v>
      </c>
      <c r="N185" s="68" t="n">
        <v>360</v>
      </c>
      <c r="O185" s="68" t="n"/>
      <c r="P185" s="68" t="n"/>
      <c r="Q185" s="68" t="n">
        <v>95</v>
      </c>
      <c r="R185" s="69" t="n"/>
      <c r="S185" s="69" t="inlineStr">
        <is>
          <t>No</t>
        </is>
      </c>
      <c r="T185" s="73" t="n">
        <v>43374</v>
      </c>
      <c r="U185" s="73" t="n">
        <v>47037</v>
      </c>
      <c r="V185" s="73" t="n"/>
      <c r="W185" s="69" t="n"/>
      <c r="X185" s="69" t="inlineStr">
        <is>
          <t>Current</t>
        </is>
      </c>
      <c r="Y185" s="68" t="n"/>
      <c r="Z185" s="69" t="inlineStr">
        <is>
          <t>Defeasance Not Allowable</t>
        </is>
      </c>
      <c r="AA185" s="69" t="inlineStr">
        <is>
          <t>Previously</t>
        </is>
      </c>
      <c r="AB185" s="69" t="inlineStr">
        <is>
          <t>Never special serv</t>
        </is>
      </c>
      <c r="AC185" s="73" t="n"/>
      <c r="AD185" s="69" t="n"/>
      <c r="AE185" s="69" t="n"/>
      <c r="AF185" s="69" t="inlineStr">
        <is>
          <t>AL</t>
        </is>
      </c>
      <c r="AG185" s="69" t="inlineStr">
        <is>
          <t>Trussville</t>
        </is>
      </c>
      <c r="AH185" s="69" t="inlineStr">
        <is>
          <t>Birmingham, AL</t>
        </is>
      </c>
      <c r="AI185" s="69" t="inlineStr">
        <is>
          <t>South / Central East</t>
        </is>
      </c>
      <c r="AJ185" s="69" t="inlineStr">
        <is>
          <t>MH</t>
        </is>
      </c>
      <c r="AK185" s="69" t="n"/>
      <c r="AL185" s="68" t="n">
        <v>1</v>
      </c>
      <c r="AM185" s="68" t="n">
        <v>157</v>
      </c>
      <c r="AN185" s="68" t="n"/>
      <c r="AO185" s="69" t="inlineStr">
        <is>
          <t>1968</t>
        </is>
      </c>
      <c r="AP185" s="70" t="n">
        <v>2018</v>
      </c>
      <c r="AQ185" s="74" t="n">
        <v>1.35</v>
      </c>
      <c r="AR185" s="74" t="n">
        <v>3.02</v>
      </c>
      <c r="AS185" s="74" t="n">
        <v>74.40000000000001</v>
      </c>
      <c r="AT185" s="74" t="n">
        <v>65.06999999999999</v>
      </c>
      <c r="AU185" s="74" t="n">
        <v>61.9</v>
      </c>
      <c r="AV185" s="74" t="n">
        <v>9.076072126</v>
      </c>
      <c r="AW185" s="74" t="n">
        <v>17.347930052</v>
      </c>
      <c r="AX185" s="75" t="n">
        <v>97</v>
      </c>
      <c r="AY185" s="71" t="n">
        <v>4270000</v>
      </c>
      <c r="AZ185" s="71" t="n">
        <v>4270000</v>
      </c>
      <c r="BA185" s="71" t="n">
        <v>288165.29</v>
      </c>
      <c r="BB185" s="71" t="n">
        <v>322629.8</v>
      </c>
      <c r="BC185" s="69" t="inlineStr">
        <is>
          <t>Refinance</t>
        </is>
      </c>
      <c r="BD185" s="69" t="inlineStr">
        <is>
          <t>N</t>
        </is>
      </c>
      <c r="BE185" s="71" t="n"/>
      <c r="BF185" s="71" t="n"/>
      <c r="BG185" s="71" t="n"/>
      <c r="BH185" s="71" t="n">
        <v>0</v>
      </c>
      <c r="BI185" s="71" t="n">
        <v>0</v>
      </c>
      <c r="BJ185" s="69" t="inlineStr">
        <is>
          <t>N</t>
        </is>
      </c>
      <c r="BK185" s="69" t="n"/>
      <c r="BL185" s="75" t="n"/>
      <c r="BM185" s="73" t="n"/>
      <c r="BN185" s="69" t="inlineStr">
        <is>
          <t>Matthew Udell</t>
        </is>
      </c>
      <c r="BO185" s="69" t="inlineStr">
        <is>
          <t>CIII Capital</t>
        </is>
      </c>
      <c r="BP185" s="69" t="inlineStr">
        <is>
          <t>TriMont Real Estate Advisors</t>
        </is>
      </c>
      <c r="BQ185" s="69" t="inlineStr">
        <is>
          <t>K-Star Asset Management LLC</t>
        </is>
      </c>
      <c r="BR185" s="69" t="n"/>
      <c r="BS185" s="73" t="n">
        <v>46276</v>
      </c>
      <c r="BU185" s="76">
        <f>IF($C185="","",IFERROR(INDEX(dmName,MATCH($C185,dmID,0)),"Unmapped"))</f>
        <v/>
      </c>
      <c r="BV185" s="76">
        <f>IF($C185="","",IFERROR(INDEX(dmEntity,MATCH($C185,dmID,0)),"Unmapped"))</f>
        <v/>
      </c>
      <c r="BW185" s="77">
        <f>IF($C185="","",IFERROR(INDEX(dmVintage,MATCH($C185,dmID,0)),""))</f>
        <v/>
      </c>
      <c r="BX185" s="78">
        <f>IFERROR(INDEX(dmInclude,MATCH($C185,dmID,0)),0)</f>
        <v/>
      </c>
      <c r="BY185" s="78">
        <f>IF(N($I185)&gt;0,1,0)</f>
        <v/>
      </c>
      <c r="BZ185" s="76">
        <f>IF($AJ185="","Other / Leased Fee",IFERROR(INDEX(mapPTGroup,MATCH(LEFT(TRIM($AJ185),2),mapPTCode,0)),"Other / Leased Fee"))</f>
        <v/>
      </c>
      <c r="CA185" s="76">
        <f>IF(TRIM($AF185&amp;"")="","NR",LEFT(TRIM($AF185),2))</f>
        <v/>
      </c>
      <c r="CB185" s="76">
        <f>IFERROR(LOOKUP(2,1/(LEFT(TRIM($AI185&amp;""),LEN(mapRegion))=mapRegion),mapRegion),"Not Reported")</f>
        <v/>
      </c>
      <c r="CC185" s="76">
        <f>IF($BY185=0,"",IF(TRIM($W185&amp;"")="REO","REO",IF(TRIM($W185&amp;"")="FC","Foreclosure",IF(TRIM($W185&amp;"")="90+","90+ Days Delinquent",IF(TRIM($W185&amp;"")="60","60 Days Delinquent",IF(TRIM($W185&amp;"")="30","30 Days Delinquent",IF($X185="Non-Performing Matured Balloon","Non-Performing Matured Balloon",IF(OR($X185="Late Payment But Less Than 30 Days Delinquent",LEFT($X185&amp;"",20)="Payment Not Received"),"Late / In Grace (&lt;30 Days)",IF($X185="Performing Matured Balloon","Performing Matured Balloon","Current")))))))))</f>
        <v/>
      </c>
      <c r="CD185" s="78">
        <f>IF(OR($CC185="REO",$CC185="Foreclosure",$CC185="90+ Days Delinquent",$CC185="60 Days Delinquent",$CC185="30 Days Delinquent",$CC185="Non-Performing Matured Balloon"),1,0)</f>
        <v/>
      </c>
      <c r="CE185" s="76">
        <f>IF($AB185="Currently special serv","Currently Specially Serviced",IF($AB185="Returned to master serv","Previously Specially Serviced","Never Specially Serviced"))</f>
        <v/>
      </c>
      <c r="CF185" s="78">
        <f>IF($CE185="Currently Specially Serviced",1,0)</f>
        <v/>
      </c>
      <c r="CG185" s="76">
        <f>IF($AA185="Yes","Currently on Watchlist",IF($AA185="Previously","Previously on Watchlist","Never on Watchlist"))</f>
        <v/>
      </c>
      <c r="CH185" s="78">
        <f>IF($CG185="Currently on Watchlist",1,0)</f>
        <v/>
      </c>
      <c r="CI185" s="76">
        <f>IF($Z185="Full Defeasance","Fully Defeased",IF($Z185="Portion Of Loan Previously Defeased","Partially Defeased",IF($Z185="Defeasance Not Allowable","Not Defeased (Not Permitted)","Not Defeased")))</f>
        <v/>
      </c>
      <c r="CJ185" s="78">
        <f>IF($CI185="Fully Defeased",1,0)</f>
        <v/>
      </c>
      <c r="CK185" s="76">
        <f>IF($R185="IO","Full IO",IF(LEFT($R185&amp;"",7)="IO then","Partial IO","Amortizing"))</f>
        <v/>
      </c>
      <c r="CL185" s="78">
        <f>IF($CK185="Full IO",1,0)</f>
        <v/>
      </c>
      <c r="CM185" s="78">
        <f>IF($CK185="Partial IO",1,0)</f>
        <v/>
      </c>
      <c r="CN185" s="76">
        <f>IF(LEFT($F185&amp;"",10)="SPLIT_LOAN","Pari Passu Split","Standalone")</f>
        <v/>
      </c>
      <c r="CO185" s="78">
        <f>IF($CN185="Pari Passu Split",1,0)</f>
        <v/>
      </c>
      <c r="CP185" s="77">
        <f>IF(ISNUMBER($T185),YEAR($T185),"")</f>
        <v/>
      </c>
      <c r="CQ185" s="79">
        <f>IF(ISNUMBER($V185),$V185,IF(ISNUMBER($U185),$U185,""))</f>
        <v/>
      </c>
      <c r="CR185" s="77">
        <f>IF(ISNUMBER($CQ185),YEAR($CQ185),"")</f>
        <v/>
      </c>
      <c r="CS185" s="78">
        <f>IF(ISNUMBER($M185),MAX(0,$M185),IF(TRIM($M185&amp;"")="matured",0,""))</f>
        <v/>
      </c>
      <c r="CT185" s="78">
        <f>IF(AND(ISNUMBER($CS185),N($CS185)&lt;=mMatWindow),1,0)</f>
        <v/>
      </c>
      <c r="CU185" s="80">
        <f>IF(ISNUMBER($J185),$J185/100,"")</f>
        <v/>
      </c>
      <c r="CV185" s="81">
        <f>IF(ISNUMBER($AQ185),$AQ185,"")</f>
        <v/>
      </c>
      <c r="CW185" s="81">
        <f>IF(ISNUMBER($AR185),$AR185,"")</f>
        <v/>
      </c>
      <c r="CX185" s="82">
        <f>IF(ISNUMBER($AS185),$AS185/100,"")</f>
        <v/>
      </c>
      <c r="CY185" s="82">
        <f>IF(ISNUMBER($AT185),$AT185/100,"")</f>
        <v/>
      </c>
      <c r="CZ185" s="82">
        <f>IF(ISNUMBER($AU185),$AU185/100,"")</f>
        <v/>
      </c>
      <c r="DA185" s="82">
        <f>IF(ISNUMBER($AV185),$AV185/100,"")</f>
        <v/>
      </c>
      <c r="DB185" s="82">
        <f>IF(ISNUMBER($AW185),$AW185/100,"")</f>
        <v/>
      </c>
      <c r="DC185" s="82">
        <f>IF(ISNUMBER($AX185),$AX185/100,"")</f>
        <v/>
      </c>
      <c r="DD185" s="77">
        <f>IFERROR(VALUE(LEFT(TRIM($AO185&amp;""),4)),"")</f>
        <v/>
      </c>
      <c r="DE185" s="78">
        <f>IF(AND($BY185=1,$BX185=1,OR(fDeal="All Deals",$BU185=fDeal),OR(fEntity="All Entities",$BV185=fEntity),OR(fPType="All Property Types",$BZ185=fPType),OR(fDefeased="Include",$CJ185=0)),1,0)</f>
        <v/>
      </c>
      <c r="DF185" s="83">
        <f>$DE185*N($I185)</f>
        <v/>
      </c>
      <c r="DG185" s="78">
        <f>IF($DE185=1,IF(COUNTIFS($F$8:$F185,$F185,$DE$8:$DE185,1)=1,1,0),0)</f>
        <v/>
      </c>
      <c r="DH185" s="83">
        <f>IF($DG185=1,SUMIFS($DF$8:$DF$1600,$F$8:$F$1600,$F185),0)</f>
        <v/>
      </c>
      <c r="DI185" s="78">
        <f>IF($DG185=1,COUNTIFS($F$8:$F$1600,$F185,$DE$8:$DE$1600,1),0)</f>
        <v/>
      </c>
      <c r="DJ185" s="84">
        <f>IF($DG185=1,$DH185+(100000-ROW())/mTieBreak,0)</f>
        <v/>
      </c>
    </row>
    <row r="186">
      <c r="B186" s="68" t="n">
        <v>63</v>
      </c>
      <c r="C186" s="69" t="inlineStr">
        <is>
          <t>WFC18C47</t>
        </is>
      </c>
      <c r="D186" s="69" t="inlineStr">
        <is>
          <t>63.000</t>
        </is>
      </c>
      <c r="E186" s="69" t="inlineStr">
        <is>
          <t>Shops at Tuscan Lakes II</t>
        </is>
      </c>
      <c r="F186" s="69" t="inlineStr">
        <is>
          <t>LNWFC18C47-63.000</t>
        </is>
      </c>
      <c r="G186" s="70" t="n"/>
      <c r="H186" s="71" t="n">
        <v>3150000</v>
      </c>
      <c r="I186" s="71" t="n">
        <v>2859505.55000145</v>
      </c>
      <c r="J186" s="72" t="n">
        <v>5.307</v>
      </c>
      <c r="K186" s="69" t="inlineStr">
        <is>
          <t>Fixed rate</t>
        </is>
      </c>
      <c r="L186" s="68" t="n">
        <v>120</v>
      </c>
      <c r="M186" s="68" t="n">
        <v>23</v>
      </c>
      <c r="N186" s="68" t="n">
        <v>384</v>
      </c>
      <c r="O186" s="68" t="n">
        <v>24</v>
      </c>
      <c r="P186" s="68" t="n">
        <v>0</v>
      </c>
      <c r="Q186" s="68" t="n">
        <v>97</v>
      </c>
      <c r="R186" s="69" t="inlineStr">
        <is>
          <t>IO then Amort</t>
        </is>
      </c>
      <c r="S186" s="69" t="inlineStr">
        <is>
          <t>No</t>
        </is>
      </c>
      <c r="T186" s="73" t="n">
        <v>43313</v>
      </c>
      <c r="U186" s="73" t="n">
        <v>46971</v>
      </c>
      <c r="V186" s="73" t="n"/>
      <c r="W186" s="69" t="n"/>
      <c r="X186" s="69" t="inlineStr">
        <is>
          <t>Current</t>
        </is>
      </c>
      <c r="Y186" s="68" t="n"/>
      <c r="Z186" s="69" t="inlineStr">
        <is>
          <t>No Defeasance Occurred</t>
        </is>
      </c>
      <c r="AA186" s="69" t="inlineStr">
        <is>
          <t>Previously</t>
        </is>
      </c>
      <c r="AB186" s="69" t="inlineStr">
        <is>
          <t>Never special serv</t>
        </is>
      </c>
      <c r="AC186" s="73" t="n"/>
      <c r="AD186" s="69" t="n"/>
      <c r="AE186" s="69" t="n"/>
      <c r="AF186" s="69" t="inlineStr">
        <is>
          <t>TX</t>
        </is>
      </c>
      <c r="AG186" s="69" t="inlineStr">
        <is>
          <t>League City</t>
        </is>
      </c>
      <c r="AH186" s="69" t="inlineStr">
        <is>
          <t>Houston-Pasadena-The Woodlands, TX</t>
        </is>
      </c>
      <c r="AI186" s="69" t="inlineStr">
        <is>
          <t>South / Central West</t>
        </is>
      </c>
      <c r="AJ186" s="69" t="inlineStr">
        <is>
          <t>RT</t>
        </is>
      </c>
      <c r="AK186" s="69" t="inlineStr">
        <is>
          <t>Unanchored</t>
        </is>
      </c>
      <c r="AL186" s="68" t="n">
        <v>1</v>
      </c>
      <c r="AM186" s="68" t="n"/>
      <c r="AN186" s="68" t="n">
        <v>11548</v>
      </c>
      <c r="AO186" s="69" t="inlineStr">
        <is>
          <t>2017</t>
        </is>
      </c>
      <c r="AP186" s="70" t="n">
        <v>2017</v>
      </c>
      <c r="AQ186" s="74" t="n">
        <v>1.32</v>
      </c>
      <c r="AR186" s="74" t="n">
        <v>1.46</v>
      </c>
      <c r="AS186" s="74" t="n">
        <v>71.59999999999999</v>
      </c>
      <c r="AT186" s="74" t="n">
        <v>64.98999999999999</v>
      </c>
      <c r="AU186" s="74" t="n">
        <v>62.4</v>
      </c>
      <c r="AV186" s="74" t="n">
        <v>8.825988889</v>
      </c>
      <c r="AW186" s="74" t="n">
        <v>8.849193874999999</v>
      </c>
      <c r="AX186" s="75" t="n">
        <v>84</v>
      </c>
      <c r="AY186" s="71" t="n">
        <v>4400000</v>
      </c>
      <c r="AZ186" s="71" t="n">
        <v>4400000</v>
      </c>
      <c r="BA186" s="71" t="n">
        <v>278018.65</v>
      </c>
      <c r="BB186" s="71" t="n">
        <v>152834.79</v>
      </c>
      <c r="BC186" s="69" t="inlineStr">
        <is>
          <t>Refinance</t>
        </is>
      </c>
      <c r="BD186" s="69" t="inlineStr">
        <is>
          <t>N</t>
        </is>
      </c>
      <c r="BE186" s="71" t="n"/>
      <c r="BF186" s="71" t="n"/>
      <c r="BG186" s="71" t="n"/>
      <c r="BH186" s="71" t="n">
        <v>0</v>
      </c>
      <c r="BI186" s="71" t="n">
        <v>0</v>
      </c>
      <c r="BJ186" s="69" t="inlineStr">
        <is>
          <t>N</t>
        </is>
      </c>
      <c r="BK186" s="69" t="inlineStr">
        <is>
          <t>Cascade Enterprises LLC</t>
        </is>
      </c>
      <c r="BL186" s="75" t="n">
        <v>49.77</v>
      </c>
      <c r="BM186" s="73" t="n">
        <v>46934</v>
      </c>
      <c r="BN186" s="69" t="inlineStr">
        <is>
          <t>Sanford P. Aron; Hunington Properties</t>
        </is>
      </c>
      <c r="BO186" s="69" t="inlineStr">
        <is>
          <t>Barclays</t>
        </is>
      </c>
      <c r="BP186" s="69" t="inlineStr">
        <is>
          <t>TriMont Real Estate Advisors</t>
        </is>
      </c>
      <c r="BQ186" s="69" t="inlineStr">
        <is>
          <t>K-Star Asset Management LLC</t>
        </is>
      </c>
      <c r="BR186" s="69" t="n"/>
      <c r="BS186" s="73" t="n">
        <v>46276</v>
      </c>
      <c r="BU186" s="76">
        <f>IF($C186="","",IFERROR(INDEX(dmName,MATCH($C186,dmID,0)),"Unmapped"))</f>
        <v/>
      </c>
      <c r="BV186" s="76">
        <f>IF($C186="","",IFERROR(INDEX(dmEntity,MATCH($C186,dmID,0)),"Unmapped"))</f>
        <v/>
      </c>
      <c r="BW186" s="77">
        <f>IF($C186="","",IFERROR(INDEX(dmVintage,MATCH($C186,dmID,0)),""))</f>
        <v/>
      </c>
      <c r="BX186" s="78">
        <f>IFERROR(INDEX(dmInclude,MATCH($C186,dmID,0)),0)</f>
        <v/>
      </c>
      <c r="BY186" s="78">
        <f>IF(N($I186)&gt;0,1,0)</f>
        <v/>
      </c>
      <c r="BZ186" s="76">
        <f>IF($AJ186="","Other / Leased Fee",IFERROR(INDEX(mapPTGroup,MATCH(LEFT(TRIM($AJ186),2),mapPTCode,0)),"Other / Leased Fee"))</f>
        <v/>
      </c>
      <c r="CA186" s="76">
        <f>IF(TRIM($AF186&amp;"")="","NR",LEFT(TRIM($AF186),2))</f>
        <v/>
      </c>
      <c r="CB186" s="76">
        <f>IFERROR(LOOKUP(2,1/(LEFT(TRIM($AI186&amp;""),LEN(mapRegion))=mapRegion),mapRegion),"Not Reported")</f>
        <v/>
      </c>
      <c r="CC186" s="76">
        <f>IF($BY186=0,"",IF(TRIM($W186&amp;"")="REO","REO",IF(TRIM($W186&amp;"")="FC","Foreclosure",IF(TRIM($W186&amp;"")="90+","90+ Days Delinquent",IF(TRIM($W186&amp;"")="60","60 Days Delinquent",IF(TRIM($W186&amp;"")="30","30 Days Delinquent",IF($X186="Non-Performing Matured Balloon","Non-Performing Matured Balloon",IF(OR($X186="Late Payment But Less Than 30 Days Delinquent",LEFT($X186&amp;"",20)="Payment Not Received"),"Late / In Grace (&lt;30 Days)",IF($X186="Performing Matured Balloon","Performing Matured Balloon","Current")))))))))</f>
        <v/>
      </c>
      <c r="CD186" s="78">
        <f>IF(OR($CC186="REO",$CC186="Foreclosure",$CC186="90+ Days Delinquent",$CC186="60 Days Delinquent",$CC186="30 Days Delinquent",$CC186="Non-Performing Matured Balloon"),1,0)</f>
        <v/>
      </c>
      <c r="CE186" s="76">
        <f>IF($AB186="Currently special serv","Currently Specially Serviced",IF($AB186="Returned to master serv","Previously Specially Serviced","Never Specially Serviced"))</f>
        <v/>
      </c>
      <c r="CF186" s="78">
        <f>IF($CE186="Currently Specially Serviced",1,0)</f>
        <v/>
      </c>
      <c r="CG186" s="76">
        <f>IF($AA186="Yes","Currently on Watchlist",IF($AA186="Previously","Previously on Watchlist","Never on Watchlist"))</f>
        <v/>
      </c>
      <c r="CH186" s="78">
        <f>IF($CG186="Currently on Watchlist",1,0)</f>
        <v/>
      </c>
      <c r="CI186" s="76">
        <f>IF($Z186="Full Defeasance","Fully Defeased",IF($Z186="Portion Of Loan Previously Defeased","Partially Defeased",IF($Z186="Defeasance Not Allowable","Not Defeased (Not Permitted)","Not Defeased")))</f>
        <v/>
      </c>
      <c r="CJ186" s="78">
        <f>IF($CI186="Fully Defeased",1,0)</f>
        <v/>
      </c>
      <c r="CK186" s="76">
        <f>IF($R186="IO","Full IO",IF(LEFT($R186&amp;"",7)="IO then","Partial IO","Amortizing"))</f>
        <v/>
      </c>
      <c r="CL186" s="78">
        <f>IF($CK186="Full IO",1,0)</f>
        <v/>
      </c>
      <c r="CM186" s="78">
        <f>IF($CK186="Partial IO",1,0)</f>
        <v/>
      </c>
      <c r="CN186" s="76">
        <f>IF(LEFT($F186&amp;"",10)="SPLIT_LOAN","Pari Passu Split","Standalone")</f>
        <v/>
      </c>
      <c r="CO186" s="78">
        <f>IF($CN186="Pari Passu Split",1,0)</f>
        <v/>
      </c>
      <c r="CP186" s="77">
        <f>IF(ISNUMBER($T186),YEAR($T186),"")</f>
        <v/>
      </c>
      <c r="CQ186" s="79">
        <f>IF(ISNUMBER($V186),$V186,IF(ISNUMBER($U186),$U186,""))</f>
        <v/>
      </c>
      <c r="CR186" s="77">
        <f>IF(ISNUMBER($CQ186),YEAR($CQ186),"")</f>
        <v/>
      </c>
      <c r="CS186" s="78">
        <f>IF(ISNUMBER($M186),MAX(0,$M186),IF(TRIM($M186&amp;"")="matured",0,""))</f>
        <v/>
      </c>
      <c r="CT186" s="78">
        <f>IF(AND(ISNUMBER($CS186),N($CS186)&lt;=mMatWindow),1,0)</f>
        <v/>
      </c>
      <c r="CU186" s="80">
        <f>IF(ISNUMBER($J186),$J186/100,"")</f>
        <v/>
      </c>
      <c r="CV186" s="81">
        <f>IF(ISNUMBER($AQ186),$AQ186,"")</f>
        <v/>
      </c>
      <c r="CW186" s="81">
        <f>IF(ISNUMBER($AR186),$AR186,"")</f>
        <v/>
      </c>
      <c r="CX186" s="82">
        <f>IF(ISNUMBER($AS186),$AS186/100,"")</f>
        <v/>
      </c>
      <c r="CY186" s="82">
        <f>IF(ISNUMBER($AT186),$AT186/100,"")</f>
        <v/>
      </c>
      <c r="CZ186" s="82">
        <f>IF(ISNUMBER($AU186),$AU186/100,"")</f>
        <v/>
      </c>
      <c r="DA186" s="82">
        <f>IF(ISNUMBER($AV186),$AV186/100,"")</f>
        <v/>
      </c>
      <c r="DB186" s="82">
        <f>IF(ISNUMBER($AW186),$AW186/100,"")</f>
        <v/>
      </c>
      <c r="DC186" s="82">
        <f>IF(ISNUMBER($AX186),$AX186/100,"")</f>
        <v/>
      </c>
      <c r="DD186" s="77">
        <f>IFERROR(VALUE(LEFT(TRIM($AO186&amp;""),4)),"")</f>
        <v/>
      </c>
      <c r="DE186" s="78">
        <f>IF(AND($BY186=1,$BX186=1,OR(fDeal="All Deals",$BU186=fDeal),OR(fEntity="All Entities",$BV186=fEntity),OR(fPType="All Property Types",$BZ186=fPType),OR(fDefeased="Include",$CJ186=0)),1,0)</f>
        <v/>
      </c>
      <c r="DF186" s="83">
        <f>$DE186*N($I186)</f>
        <v/>
      </c>
      <c r="DG186" s="78">
        <f>IF($DE186=1,IF(COUNTIFS($F$8:$F186,$F186,$DE$8:$DE186,1)=1,1,0),0)</f>
        <v/>
      </c>
      <c r="DH186" s="83">
        <f>IF($DG186=1,SUMIFS($DF$8:$DF$1600,$F$8:$F$1600,$F186),0)</f>
        <v/>
      </c>
      <c r="DI186" s="78">
        <f>IF($DG186=1,COUNTIFS($F$8:$F$1600,$F186,$DE$8:$DE$1600,1),0)</f>
        <v/>
      </c>
      <c r="DJ186" s="84">
        <f>IF($DG186=1,$DH186+(100000-ROW())/mTieBreak,0)</f>
        <v/>
      </c>
    </row>
    <row r="187">
      <c r="B187" s="68" t="n">
        <v>64</v>
      </c>
      <c r="C187" s="69" t="inlineStr">
        <is>
          <t>WFC18C47</t>
        </is>
      </c>
      <c r="D187" s="69" t="inlineStr">
        <is>
          <t>64.000</t>
        </is>
      </c>
      <c r="E187" s="69" t="inlineStr">
        <is>
          <t>Huebner Mini Storage</t>
        </is>
      </c>
      <c r="F187" s="69" t="inlineStr">
        <is>
          <t>LNWFC18C47-64.000</t>
        </is>
      </c>
      <c r="G187" s="70" t="n"/>
      <c r="H187" s="71" t="n">
        <v>2500000</v>
      </c>
      <c r="I187" s="71" t="n">
        <v>2500000</v>
      </c>
      <c r="J187" s="72" t="n">
        <v>5.28</v>
      </c>
      <c r="K187" s="69" t="inlineStr">
        <is>
          <t>Fixed rate</t>
        </is>
      </c>
      <c r="L187" s="68" t="n">
        <v>117</v>
      </c>
      <c r="M187" s="68" t="n">
        <v>21</v>
      </c>
      <c r="N187" s="68" t="n">
        <v>120</v>
      </c>
      <c r="O187" s="68" t="n">
        <v>117</v>
      </c>
      <c r="P187" s="68" t="n">
        <v>21</v>
      </c>
      <c r="Q187" s="68" t="n">
        <v>96</v>
      </c>
      <c r="R187" s="69" t="inlineStr">
        <is>
          <t>IO</t>
        </is>
      </c>
      <c r="S187" s="69" t="inlineStr">
        <is>
          <t>Yes</t>
        </is>
      </c>
      <c r="T187" s="73" t="n">
        <v>43344</v>
      </c>
      <c r="U187" s="73" t="n">
        <v>46910</v>
      </c>
      <c r="V187" s="73" t="n"/>
      <c r="W187" s="69" t="n"/>
      <c r="X187" s="69" t="inlineStr">
        <is>
          <t>Current</t>
        </is>
      </c>
      <c r="Y187" s="68" t="n"/>
      <c r="Z187" s="69" t="inlineStr">
        <is>
          <t>Full Defeasance</t>
        </is>
      </c>
      <c r="AA187" s="69" t="inlineStr">
        <is>
          <t>Previously</t>
        </is>
      </c>
      <c r="AB187" s="69" t="inlineStr">
        <is>
          <t>Never special serv</t>
        </is>
      </c>
      <c r="AC187" s="73" t="n"/>
      <c r="AD187" s="69" t="n"/>
      <c r="AE187" s="69" t="n"/>
      <c r="AF187" s="69" t="inlineStr">
        <is>
          <t>TX</t>
        </is>
      </c>
      <c r="AG187" s="69" t="inlineStr">
        <is>
          <t>San Antonio</t>
        </is>
      </c>
      <c r="AH187" s="69" t="inlineStr">
        <is>
          <t>San Antonio-New Braunfels, TX</t>
        </is>
      </c>
      <c r="AI187" s="69" t="inlineStr">
        <is>
          <t>South / Central West</t>
        </is>
      </c>
      <c r="AJ187" s="69" t="inlineStr">
        <is>
          <t>SS</t>
        </is>
      </c>
      <c r="AK187" s="69" t="n"/>
      <c r="AL187" s="68" t="n">
        <v>1</v>
      </c>
      <c r="AM187" s="68" t="n"/>
      <c r="AN187" s="68" t="n">
        <v>47850</v>
      </c>
      <c r="AO187" s="69" t="inlineStr">
        <is>
          <t>1995</t>
        </is>
      </c>
      <c r="AP187" s="70" t="n">
        <v>1995</v>
      </c>
      <c r="AQ187" s="74" t="n">
        <v>1.73</v>
      </c>
      <c r="AR187" s="74" t="n">
        <v>1.83</v>
      </c>
      <c r="AS187" s="74" t="n">
        <v>57.9</v>
      </c>
      <c r="AT187" s="74" t="n">
        <v>57.87</v>
      </c>
      <c r="AU187" s="74" t="n">
        <v>57.9</v>
      </c>
      <c r="AV187" s="74" t="n">
        <v>9.255593599999999</v>
      </c>
      <c r="AW187" s="74" t="n">
        <v>10.4591104</v>
      </c>
      <c r="AX187" s="75" t="n">
        <v>81</v>
      </c>
      <c r="AY187" s="71" t="n">
        <v>4320000</v>
      </c>
      <c r="AZ187" s="71" t="n">
        <v>4320000</v>
      </c>
      <c r="BA187" s="71" t="n">
        <v>231389.84</v>
      </c>
      <c r="BB187" s="71" t="n">
        <v>122744.22</v>
      </c>
      <c r="BC187" s="69" t="inlineStr">
        <is>
          <t>Acquisition</t>
        </is>
      </c>
      <c r="BD187" s="69" t="inlineStr">
        <is>
          <t>N</t>
        </is>
      </c>
      <c r="BE187" s="71" t="n"/>
      <c r="BF187" s="71" t="n"/>
      <c r="BG187" s="71" t="n"/>
      <c r="BH187" s="71" t="n">
        <v>0</v>
      </c>
      <c r="BI187" s="71" t="n">
        <v>0</v>
      </c>
      <c r="BJ187" s="69" t="inlineStr">
        <is>
          <t>N</t>
        </is>
      </c>
      <c r="BK187" s="69" t="n"/>
      <c r="BL187" s="75" t="n"/>
      <c r="BM187" s="73" t="n"/>
      <c r="BN187" s="69" t="inlineStr">
        <is>
          <t>Matthew N. Follett</t>
        </is>
      </c>
      <c r="BO187" s="69" t="inlineStr">
        <is>
          <t>Ladder Capital Finance</t>
        </is>
      </c>
      <c r="BP187" s="69" t="inlineStr">
        <is>
          <t>TriMont Real Estate Advisors</t>
        </is>
      </c>
      <c r="BQ187" s="69" t="inlineStr">
        <is>
          <t>K-Star Asset Management LLC</t>
        </is>
      </c>
      <c r="BR187" s="69" t="n"/>
      <c r="BS187" s="73" t="n">
        <v>46276</v>
      </c>
      <c r="BU187" s="76">
        <f>IF($C187="","",IFERROR(INDEX(dmName,MATCH($C187,dmID,0)),"Unmapped"))</f>
        <v/>
      </c>
      <c r="BV187" s="76">
        <f>IF($C187="","",IFERROR(INDEX(dmEntity,MATCH($C187,dmID,0)),"Unmapped"))</f>
        <v/>
      </c>
      <c r="BW187" s="77">
        <f>IF($C187="","",IFERROR(INDEX(dmVintage,MATCH($C187,dmID,0)),""))</f>
        <v/>
      </c>
      <c r="BX187" s="78">
        <f>IFERROR(INDEX(dmInclude,MATCH($C187,dmID,0)),0)</f>
        <v/>
      </c>
      <c r="BY187" s="78">
        <f>IF(N($I187)&gt;0,1,0)</f>
        <v/>
      </c>
      <c r="BZ187" s="76">
        <f>IF($AJ187="","Other / Leased Fee",IFERROR(INDEX(mapPTGroup,MATCH(LEFT(TRIM($AJ187),2),mapPTCode,0)),"Other / Leased Fee"))</f>
        <v/>
      </c>
      <c r="CA187" s="76">
        <f>IF(TRIM($AF187&amp;"")="","NR",LEFT(TRIM($AF187),2))</f>
        <v/>
      </c>
      <c r="CB187" s="76">
        <f>IFERROR(LOOKUP(2,1/(LEFT(TRIM($AI187&amp;""),LEN(mapRegion))=mapRegion),mapRegion),"Not Reported")</f>
        <v/>
      </c>
      <c r="CC187" s="76">
        <f>IF($BY187=0,"",IF(TRIM($W187&amp;"")="REO","REO",IF(TRIM($W187&amp;"")="FC","Foreclosure",IF(TRIM($W187&amp;"")="90+","90+ Days Delinquent",IF(TRIM($W187&amp;"")="60","60 Days Delinquent",IF(TRIM($W187&amp;"")="30","30 Days Delinquent",IF($X187="Non-Performing Matured Balloon","Non-Performing Matured Balloon",IF(OR($X187="Late Payment But Less Than 30 Days Delinquent",LEFT($X187&amp;"",20)="Payment Not Received"),"Late / In Grace (&lt;30 Days)",IF($X187="Performing Matured Balloon","Performing Matured Balloon","Current")))))))))</f>
        <v/>
      </c>
      <c r="CD187" s="78">
        <f>IF(OR($CC187="REO",$CC187="Foreclosure",$CC187="90+ Days Delinquent",$CC187="60 Days Delinquent",$CC187="30 Days Delinquent",$CC187="Non-Performing Matured Balloon"),1,0)</f>
        <v/>
      </c>
      <c r="CE187" s="76">
        <f>IF($AB187="Currently special serv","Currently Specially Serviced",IF($AB187="Returned to master serv","Previously Specially Serviced","Never Specially Serviced"))</f>
        <v/>
      </c>
      <c r="CF187" s="78">
        <f>IF($CE187="Currently Specially Serviced",1,0)</f>
        <v/>
      </c>
      <c r="CG187" s="76">
        <f>IF($AA187="Yes","Currently on Watchlist",IF($AA187="Previously","Previously on Watchlist","Never on Watchlist"))</f>
        <v/>
      </c>
      <c r="CH187" s="78">
        <f>IF($CG187="Currently on Watchlist",1,0)</f>
        <v/>
      </c>
      <c r="CI187" s="76">
        <f>IF($Z187="Full Defeasance","Fully Defeased",IF($Z187="Portion Of Loan Previously Defeased","Partially Defeased",IF($Z187="Defeasance Not Allowable","Not Defeased (Not Permitted)","Not Defeased")))</f>
        <v/>
      </c>
      <c r="CJ187" s="78">
        <f>IF($CI187="Fully Defeased",1,0)</f>
        <v/>
      </c>
      <c r="CK187" s="76">
        <f>IF($R187="IO","Full IO",IF(LEFT($R187&amp;"",7)="IO then","Partial IO","Amortizing"))</f>
        <v/>
      </c>
      <c r="CL187" s="78">
        <f>IF($CK187="Full IO",1,0)</f>
        <v/>
      </c>
      <c r="CM187" s="78">
        <f>IF($CK187="Partial IO",1,0)</f>
        <v/>
      </c>
      <c r="CN187" s="76">
        <f>IF(LEFT($F187&amp;"",10)="SPLIT_LOAN","Pari Passu Split","Standalone")</f>
        <v/>
      </c>
      <c r="CO187" s="78">
        <f>IF($CN187="Pari Passu Split",1,0)</f>
        <v/>
      </c>
      <c r="CP187" s="77">
        <f>IF(ISNUMBER($T187),YEAR($T187),"")</f>
        <v/>
      </c>
      <c r="CQ187" s="79">
        <f>IF(ISNUMBER($V187),$V187,IF(ISNUMBER($U187),$U187,""))</f>
        <v/>
      </c>
      <c r="CR187" s="77">
        <f>IF(ISNUMBER($CQ187),YEAR($CQ187),"")</f>
        <v/>
      </c>
      <c r="CS187" s="78">
        <f>IF(ISNUMBER($M187),MAX(0,$M187),IF(TRIM($M187&amp;"")="matured",0,""))</f>
        <v/>
      </c>
      <c r="CT187" s="78">
        <f>IF(AND(ISNUMBER($CS187),N($CS187)&lt;=mMatWindow),1,0)</f>
        <v/>
      </c>
      <c r="CU187" s="80">
        <f>IF(ISNUMBER($J187),$J187/100,"")</f>
        <v/>
      </c>
      <c r="CV187" s="81">
        <f>IF(ISNUMBER($AQ187),$AQ187,"")</f>
        <v/>
      </c>
      <c r="CW187" s="81">
        <f>IF(ISNUMBER($AR187),$AR187,"")</f>
        <v/>
      </c>
      <c r="CX187" s="82">
        <f>IF(ISNUMBER($AS187),$AS187/100,"")</f>
        <v/>
      </c>
      <c r="CY187" s="82">
        <f>IF(ISNUMBER($AT187),$AT187/100,"")</f>
        <v/>
      </c>
      <c r="CZ187" s="82">
        <f>IF(ISNUMBER($AU187),$AU187/100,"")</f>
        <v/>
      </c>
      <c r="DA187" s="82">
        <f>IF(ISNUMBER($AV187),$AV187/100,"")</f>
        <v/>
      </c>
      <c r="DB187" s="82">
        <f>IF(ISNUMBER($AW187),$AW187/100,"")</f>
        <v/>
      </c>
      <c r="DC187" s="82">
        <f>IF(ISNUMBER($AX187),$AX187/100,"")</f>
        <v/>
      </c>
      <c r="DD187" s="77">
        <f>IFERROR(VALUE(LEFT(TRIM($AO187&amp;""),4)),"")</f>
        <v/>
      </c>
      <c r="DE187" s="78">
        <f>IF(AND($BY187=1,$BX187=1,OR(fDeal="All Deals",$BU187=fDeal),OR(fEntity="All Entities",$BV187=fEntity),OR(fPType="All Property Types",$BZ187=fPType),OR(fDefeased="Include",$CJ187=0)),1,0)</f>
        <v/>
      </c>
      <c r="DF187" s="83">
        <f>$DE187*N($I187)</f>
        <v/>
      </c>
      <c r="DG187" s="78">
        <f>IF($DE187=1,IF(COUNTIFS($F$8:$F187,$F187,$DE$8:$DE187,1)=1,1,0),0)</f>
        <v/>
      </c>
      <c r="DH187" s="83">
        <f>IF($DG187=1,SUMIFS($DF$8:$DF$1600,$F$8:$F$1600,$F187),0)</f>
        <v/>
      </c>
      <c r="DI187" s="78">
        <f>IF($DG187=1,COUNTIFS($F$8:$F$1600,$F187,$DE$8:$DE$1600,1),0)</f>
        <v/>
      </c>
      <c r="DJ187" s="84">
        <f>IF($DG187=1,$DH187+(100000-ROW())/mTieBreak,0)</f>
        <v/>
      </c>
    </row>
    <row r="188">
      <c r="B188" s="68" t="n">
        <v>65</v>
      </c>
      <c r="C188" s="69" t="inlineStr">
        <is>
          <t>WFC18C47</t>
        </is>
      </c>
      <c r="D188" s="69" t="inlineStr">
        <is>
          <t>65.000</t>
        </is>
      </c>
      <c r="E188" s="69" t="inlineStr">
        <is>
          <t>Fort Lauderdale Shopping Center</t>
        </is>
      </c>
      <c r="F188" s="69" t="inlineStr">
        <is>
          <t>LNWFC18C47-65.000</t>
        </is>
      </c>
      <c r="G188" s="70" t="n"/>
      <c r="H188" s="71" t="n">
        <v>2475000</v>
      </c>
      <c r="I188" s="71" t="n">
        <v>2169636.979999501</v>
      </c>
      <c r="J188" s="72" t="n">
        <v>5.45</v>
      </c>
      <c r="K188" s="69" t="inlineStr">
        <is>
          <t>Fixed rate</t>
        </is>
      </c>
      <c r="L188" s="68" t="n">
        <v>120</v>
      </c>
      <c r="M188" s="68" t="n">
        <v>25</v>
      </c>
      <c r="N188" s="68" t="n">
        <v>360</v>
      </c>
      <c r="O188" s="68" t="n"/>
      <c r="P188" s="68" t="n"/>
      <c r="Q188" s="68" t="n">
        <v>95</v>
      </c>
      <c r="R188" s="69" t="n"/>
      <c r="S188" s="69" t="inlineStr">
        <is>
          <t>No</t>
        </is>
      </c>
      <c r="T188" s="73" t="n">
        <v>43374</v>
      </c>
      <c r="U188" s="73" t="n">
        <v>47037</v>
      </c>
      <c r="V188" s="73" t="n"/>
      <c r="W188" s="69" t="n"/>
      <c r="X188" s="69" t="inlineStr">
        <is>
          <t>Current</t>
        </is>
      </c>
      <c r="Y188" s="68" t="n"/>
      <c r="Z188" s="69" t="inlineStr">
        <is>
          <t>Full Defeasance</t>
        </is>
      </c>
      <c r="AA188" s="69" t="inlineStr">
        <is>
          <t>Previously</t>
        </is>
      </c>
      <c r="AB188" s="69" t="inlineStr">
        <is>
          <t>Never special serv</t>
        </is>
      </c>
      <c r="AC188" s="73" t="n"/>
      <c r="AD188" s="69" t="n"/>
      <c r="AE188" s="69" t="n"/>
      <c r="AF188" s="69" t="inlineStr">
        <is>
          <t>FL</t>
        </is>
      </c>
      <c r="AG188" s="69" t="inlineStr">
        <is>
          <t>Fort Lauderdale</t>
        </is>
      </c>
      <c r="AH188" s="69" t="inlineStr">
        <is>
          <t>Miami-Fort Lauderdale-West Palm Beach, FL</t>
        </is>
      </c>
      <c r="AI188" s="69" t="inlineStr">
        <is>
          <t>South / Atlantic</t>
        </is>
      </c>
      <c r="AJ188" s="69" t="inlineStr">
        <is>
          <t>RT</t>
        </is>
      </c>
      <c r="AK188" s="69" t="inlineStr">
        <is>
          <t>Unanchored</t>
        </is>
      </c>
      <c r="AL188" s="68" t="n">
        <v>1</v>
      </c>
      <c r="AM188" s="68" t="n"/>
      <c r="AN188" s="68" t="n">
        <v>16054</v>
      </c>
      <c r="AO188" s="69" t="inlineStr">
        <is>
          <t>1959</t>
        </is>
      </c>
      <c r="AP188" s="70" t="n">
        <v>2003</v>
      </c>
      <c r="AQ188" s="74" t="n">
        <v>1.3</v>
      </c>
      <c r="AR188" s="74" t="n">
        <v>1.54</v>
      </c>
      <c r="AS188" s="74" t="n">
        <v>44.2</v>
      </c>
      <c r="AT188" s="74" t="n">
        <v>38.74</v>
      </c>
      <c r="AU188" s="74" t="n">
        <v>36.9</v>
      </c>
      <c r="AV188" s="74" t="n">
        <v>8.782888889000001</v>
      </c>
      <c r="AW188" s="74" t="n">
        <v>9.818314858999999</v>
      </c>
      <c r="AX188" s="75" t="n">
        <v>100</v>
      </c>
      <c r="AY188" s="71" t="n">
        <v>5600000</v>
      </c>
      <c r="AZ188" s="71" t="n">
        <v>5600000</v>
      </c>
      <c r="BA188" s="71" t="n">
        <v>217376.5</v>
      </c>
      <c r="BB188" s="71" t="n">
        <v>193779.95</v>
      </c>
      <c r="BC188" s="69" t="inlineStr">
        <is>
          <t>Refinance</t>
        </is>
      </c>
      <c r="BD188" s="69" t="inlineStr">
        <is>
          <t>N</t>
        </is>
      </c>
      <c r="BE188" s="71" t="n"/>
      <c r="BF188" s="71" t="n"/>
      <c r="BG188" s="71" t="n"/>
      <c r="BH188" s="71" t="n">
        <v>0</v>
      </c>
      <c r="BI188" s="71" t="n">
        <v>0</v>
      </c>
      <c r="BJ188" s="69" t="inlineStr">
        <is>
          <t>N</t>
        </is>
      </c>
      <c r="BK188" s="69" t="inlineStr">
        <is>
          <t>Titan Gym</t>
        </is>
      </c>
      <c r="BL188" s="75" t="n">
        <v>49.64</v>
      </c>
      <c r="BM188" s="73" t="n">
        <v>47817</v>
      </c>
      <c r="BN188" s="69" t="inlineStr">
        <is>
          <t>Rewtie R. Misir; Kaysaree N. Misir</t>
        </is>
      </c>
      <c r="BO188" s="69" t="inlineStr">
        <is>
          <t>CIII Capital</t>
        </is>
      </c>
      <c r="BP188" s="69" t="inlineStr">
        <is>
          <t>TriMont Real Estate Advisors</t>
        </is>
      </c>
      <c r="BQ188" s="69" t="inlineStr">
        <is>
          <t>K-Star Asset Management LLC</t>
        </is>
      </c>
      <c r="BR188" s="69" t="n"/>
      <c r="BS188" s="73" t="n">
        <v>46276</v>
      </c>
      <c r="BU188" s="76">
        <f>IF($C188="","",IFERROR(INDEX(dmName,MATCH($C188,dmID,0)),"Unmapped"))</f>
        <v/>
      </c>
      <c r="BV188" s="76">
        <f>IF($C188="","",IFERROR(INDEX(dmEntity,MATCH($C188,dmID,0)),"Unmapped"))</f>
        <v/>
      </c>
      <c r="BW188" s="77">
        <f>IF($C188="","",IFERROR(INDEX(dmVintage,MATCH($C188,dmID,0)),""))</f>
        <v/>
      </c>
      <c r="BX188" s="78">
        <f>IFERROR(INDEX(dmInclude,MATCH($C188,dmID,0)),0)</f>
        <v/>
      </c>
      <c r="BY188" s="78">
        <f>IF(N($I188)&gt;0,1,0)</f>
        <v/>
      </c>
      <c r="BZ188" s="76">
        <f>IF($AJ188="","Other / Leased Fee",IFERROR(INDEX(mapPTGroup,MATCH(LEFT(TRIM($AJ188),2),mapPTCode,0)),"Other / Leased Fee"))</f>
        <v/>
      </c>
      <c r="CA188" s="76">
        <f>IF(TRIM($AF188&amp;"")="","NR",LEFT(TRIM($AF188),2))</f>
        <v/>
      </c>
      <c r="CB188" s="76">
        <f>IFERROR(LOOKUP(2,1/(LEFT(TRIM($AI188&amp;""),LEN(mapRegion))=mapRegion),mapRegion),"Not Reported")</f>
        <v/>
      </c>
      <c r="CC188" s="76">
        <f>IF($BY188=0,"",IF(TRIM($W188&amp;"")="REO","REO",IF(TRIM($W188&amp;"")="FC","Foreclosure",IF(TRIM($W188&amp;"")="90+","90+ Days Delinquent",IF(TRIM($W188&amp;"")="60","60 Days Delinquent",IF(TRIM($W188&amp;"")="30","30 Days Delinquent",IF($X188="Non-Performing Matured Balloon","Non-Performing Matured Balloon",IF(OR($X188="Late Payment But Less Than 30 Days Delinquent",LEFT($X188&amp;"",20)="Payment Not Received"),"Late / In Grace (&lt;30 Days)",IF($X188="Performing Matured Balloon","Performing Matured Balloon","Current")))))))))</f>
        <v/>
      </c>
      <c r="CD188" s="78">
        <f>IF(OR($CC188="REO",$CC188="Foreclosure",$CC188="90+ Days Delinquent",$CC188="60 Days Delinquent",$CC188="30 Days Delinquent",$CC188="Non-Performing Matured Balloon"),1,0)</f>
        <v/>
      </c>
      <c r="CE188" s="76">
        <f>IF($AB188="Currently special serv","Currently Specially Serviced",IF($AB188="Returned to master serv","Previously Specially Serviced","Never Specially Serviced"))</f>
        <v/>
      </c>
      <c r="CF188" s="78">
        <f>IF($CE188="Currently Specially Serviced",1,0)</f>
        <v/>
      </c>
      <c r="CG188" s="76">
        <f>IF($AA188="Yes","Currently on Watchlist",IF($AA188="Previously","Previously on Watchlist","Never on Watchlist"))</f>
        <v/>
      </c>
      <c r="CH188" s="78">
        <f>IF($CG188="Currently on Watchlist",1,0)</f>
        <v/>
      </c>
      <c r="CI188" s="76">
        <f>IF($Z188="Full Defeasance","Fully Defeased",IF($Z188="Portion Of Loan Previously Defeased","Partially Defeased",IF($Z188="Defeasance Not Allowable","Not Defeased (Not Permitted)","Not Defeased")))</f>
        <v/>
      </c>
      <c r="CJ188" s="78">
        <f>IF($CI188="Fully Defeased",1,0)</f>
        <v/>
      </c>
      <c r="CK188" s="76">
        <f>IF($R188="IO","Full IO",IF(LEFT($R188&amp;"",7)="IO then","Partial IO","Amortizing"))</f>
        <v/>
      </c>
      <c r="CL188" s="78">
        <f>IF($CK188="Full IO",1,0)</f>
        <v/>
      </c>
      <c r="CM188" s="78">
        <f>IF($CK188="Partial IO",1,0)</f>
        <v/>
      </c>
      <c r="CN188" s="76">
        <f>IF(LEFT($F188&amp;"",10)="SPLIT_LOAN","Pari Passu Split","Standalone")</f>
        <v/>
      </c>
      <c r="CO188" s="78">
        <f>IF($CN188="Pari Passu Split",1,0)</f>
        <v/>
      </c>
      <c r="CP188" s="77">
        <f>IF(ISNUMBER($T188),YEAR($T188),"")</f>
        <v/>
      </c>
      <c r="CQ188" s="79">
        <f>IF(ISNUMBER($V188),$V188,IF(ISNUMBER($U188),$U188,""))</f>
        <v/>
      </c>
      <c r="CR188" s="77">
        <f>IF(ISNUMBER($CQ188),YEAR($CQ188),"")</f>
        <v/>
      </c>
      <c r="CS188" s="78">
        <f>IF(ISNUMBER($M188),MAX(0,$M188),IF(TRIM($M188&amp;"")="matured",0,""))</f>
        <v/>
      </c>
      <c r="CT188" s="78">
        <f>IF(AND(ISNUMBER($CS188),N($CS188)&lt;=mMatWindow),1,0)</f>
        <v/>
      </c>
      <c r="CU188" s="80">
        <f>IF(ISNUMBER($J188),$J188/100,"")</f>
        <v/>
      </c>
      <c r="CV188" s="81">
        <f>IF(ISNUMBER($AQ188),$AQ188,"")</f>
        <v/>
      </c>
      <c r="CW188" s="81">
        <f>IF(ISNUMBER($AR188),$AR188,"")</f>
        <v/>
      </c>
      <c r="CX188" s="82">
        <f>IF(ISNUMBER($AS188),$AS188/100,"")</f>
        <v/>
      </c>
      <c r="CY188" s="82">
        <f>IF(ISNUMBER($AT188),$AT188/100,"")</f>
        <v/>
      </c>
      <c r="CZ188" s="82">
        <f>IF(ISNUMBER($AU188),$AU188/100,"")</f>
        <v/>
      </c>
      <c r="DA188" s="82">
        <f>IF(ISNUMBER($AV188),$AV188/100,"")</f>
        <v/>
      </c>
      <c r="DB188" s="82">
        <f>IF(ISNUMBER($AW188),$AW188/100,"")</f>
        <v/>
      </c>
      <c r="DC188" s="82">
        <f>IF(ISNUMBER($AX188),$AX188/100,"")</f>
        <v/>
      </c>
      <c r="DD188" s="77">
        <f>IFERROR(VALUE(LEFT(TRIM($AO188&amp;""),4)),"")</f>
        <v/>
      </c>
      <c r="DE188" s="78">
        <f>IF(AND($BY188=1,$BX188=1,OR(fDeal="All Deals",$BU188=fDeal),OR(fEntity="All Entities",$BV188=fEntity),OR(fPType="All Property Types",$BZ188=fPType),OR(fDefeased="Include",$CJ188=0)),1,0)</f>
        <v/>
      </c>
      <c r="DF188" s="83">
        <f>$DE188*N($I188)</f>
        <v/>
      </c>
      <c r="DG188" s="78">
        <f>IF($DE188=1,IF(COUNTIFS($F$8:$F188,$F188,$DE$8:$DE188,1)=1,1,0),0)</f>
        <v/>
      </c>
      <c r="DH188" s="83">
        <f>IF($DG188=1,SUMIFS($DF$8:$DF$1600,$F$8:$F$1600,$F188),0)</f>
        <v/>
      </c>
      <c r="DI188" s="78">
        <f>IF($DG188=1,COUNTIFS($F$8:$F$1600,$F188,$DE$8:$DE$1600,1),0)</f>
        <v/>
      </c>
      <c r="DJ188" s="84">
        <f>IF($DG188=1,$DH188+(100000-ROW())/mTieBreak,0)</f>
        <v/>
      </c>
    </row>
    <row r="189">
      <c r="B189" s="68" t="n">
        <v>66</v>
      </c>
      <c r="C189" s="69" t="inlineStr">
        <is>
          <t>WFC18C47</t>
        </is>
      </c>
      <c r="D189" s="69" t="inlineStr">
        <is>
          <t>66.000</t>
        </is>
      </c>
      <c r="E189" s="69" t="inlineStr">
        <is>
          <t>Park West MHP</t>
        </is>
      </c>
      <c r="F189" s="69" t="inlineStr">
        <is>
          <t>LNWFC18C47-66.000</t>
        </is>
      </c>
      <c r="G189" s="70" t="n"/>
      <c r="H189" s="71" t="n">
        <v>2475000</v>
      </c>
      <c r="I189" s="71" t="n">
        <v>2165924.749999725</v>
      </c>
      <c r="J189" s="72" t="n">
        <v>5.46</v>
      </c>
      <c r="K189" s="69" t="inlineStr">
        <is>
          <t>Fixed rate</t>
        </is>
      </c>
      <c r="L189" s="68" t="n">
        <v>120</v>
      </c>
      <c r="M189" s="68" t="n">
        <v>24</v>
      </c>
      <c r="N189" s="68" t="n">
        <v>360</v>
      </c>
      <c r="O189" s="68" t="n"/>
      <c r="P189" s="68" t="n"/>
      <c r="Q189" s="68" t="n">
        <v>96</v>
      </c>
      <c r="R189" s="69" t="n"/>
      <c r="S189" s="69" t="inlineStr">
        <is>
          <t>No</t>
        </is>
      </c>
      <c r="T189" s="73" t="n">
        <v>43344</v>
      </c>
      <c r="U189" s="73" t="n">
        <v>47007</v>
      </c>
      <c r="V189" s="73" t="n"/>
      <c r="W189" s="69" t="n"/>
      <c r="X189" s="69" t="inlineStr">
        <is>
          <t>Current</t>
        </is>
      </c>
      <c r="Y189" s="68" t="n"/>
      <c r="Z189" s="69" t="inlineStr">
        <is>
          <t>No Defeasance Occurred</t>
        </is>
      </c>
      <c r="AA189" s="69" t="inlineStr">
        <is>
          <t>Yes</t>
        </is>
      </c>
      <c r="AB189" s="69" t="inlineStr">
        <is>
          <t>Never special serv</t>
        </is>
      </c>
      <c r="AC189" s="73" t="n"/>
      <c r="AD189" s="69" t="n"/>
      <c r="AE189" s="69" t="n"/>
      <c r="AF189" s="69" t="inlineStr">
        <is>
          <t>OK</t>
        </is>
      </c>
      <c r="AG189" s="69" t="inlineStr">
        <is>
          <t>Stillwater</t>
        </is>
      </c>
      <c r="AH189" s="69" t="inlineStr">
        <is>
          <t>Stillwater, OK</t>
        </is>
      </c>
      <c r="AI189" s="69" t="inlineStr">
        <is>
          <t>South / Central West</t>
        </is>
      </c>
      <c r="AJ189" s="69" t="inlineStr">
        <is>
          <t>MH</t>
        </is>
      </c>
      <c r="AK189" s="69" t="n"/>
      <c r="AL189" s="68" t="n">
        <v>1</v>
      </c>
      <c r="AM189" s="68" t="n">
        <v>151</v>
      </c>
      <c r="AN189" s="68" t="n"/>
      <c r="AO189" s="69" t="inlineStr">
        <is>
          <t>1975</t>
        </is>
      </c>
      <c r="AP189" s="70" t="n">
        <v>1975</v>
      </c>
      <c r="AQ189" s="74" t="n">
        <v>1.35</v>
      </c>
      <c r="AR189" s="74" t="n">
        <v>2.14</v>
      </c>
      <c r="AS189" s="74" t="n">
        <v>66.8</v>
      </c>
      <c r="AT189" s="74" t="n">
        <v>58.54</v>
      </c>
      <c r="AU189" s="74" t="n">
        <v>55.8</v>
      </c>
      <c r="AV189" s="74" t="n">
        <v>9.127200808</v>
      </c>
      <c r="AW189" s="74" t="n">
        <v>14.623652091</v>
      </c>
      <c r="AX189" s="75" t="n">
        <v>56</v>
      </c>
      <c r="AY189" s="71" t="n">
        <v>3700000</v>
      </c>
      <c r="AZ189" s="71" t="n">
        <v>3700000</v>
      </c>
      <c r="BA189" s="71" t="n">
        <v>225898.22</v>
      </c>
      <c r="BB189" s="71" t="n">
        <v>179994.65</v>
      </c>
      <c r="BC189" s="69" t="inlineStr">
        <is>
          <t>Acquisition</t>
        </is>
      </c>
      <c r="BD189" s="69" t="inlineStr">
        <is>
          <t>N</t>
        </is>
      </c>
      <c r="BE189" s="71" t="n"/>
      <c r="BF189" s="71" t="n"/>
      <c r="BG189" s="71" t="n"/>
      <c r="BH189" s="71" t="n">
        <v>0</v>
      </c>
      <c r="BI189" s="71" t="n">
        <v>0</v>
      </c>
      <c r="BJ189" s="69" t="inlineStr">
        <is>
          <t>N</t>
        </is>
      </c>
      <c r="BK189" s="69" t="n"/>
      <c r="BL189" s="75" t="n"/>
      <c r="BM189" s="73" t="n"/>
      <c r="BN189" s="69" t="inlineStr">
        <is>
          <t>Kevin Bupp; Charles DeHart; Brian Spear</t>
        </is>
      </c>
      <c r="BO189" s="69" t="inlineStr">
        <is>
          <t>CIII Capital</t>
        </is>
      </c>
      <c r="BP189" s="69" t="inlineStr">
        <is>
          <t>TriMont Real Estate Advisors</t>
        </is>
      </c>
      <c r="BQ189" s="69" t="inlineStr">
        <is>
          <t>K-Star Asset Management LLC</t>
        </is>
      </c>
      <c r="BR189" s="69" t="n"/>
      <c r="BS189" s="73" t="n">
        <v>46276</v>
      </c>
      <c r="BU189" s="76">
        <f>IF($C189="","",IFERROR(INDEX(dmName,MATCH($C189,dmID,0)),"Unmapped"))</f>
        <v/>
      </c>
      <c r="BV189" s="76">
        <f>IF($C189="","",IFERROR(INDEX(dmEntity,MATCH($C189,dmID,0)),"Unmapped"))</f>
        <v/>
      </c>
      <c r="BW189" s="77">
        <f>IF($C189="","",IFERROR(INDEX(dmVintage,MATCH($C189,dmID,0)),""))</f>
        <v/>
      </c>
      <c r="BX189" s="78">
        <f>IFERROR(INDEX(dmInclude,MATCH($C189,dmID,0)),0)</f>
        <v/>
      </c>
      <c r="BY189" s="78">
        <f>IF(N($I189)&gt;0,1,0)</f>
        <v/>
      </c>
      <c r="BZ189" s="76">
        <f>IF($AJ189="","Other / Leased Fee",IFERROR(INDEX(mapPTGroup,MATCH(LEFT(TRIM($AJ189),2),mapPTCode,0)),"Other / Leased Fee"))</f>
        <v/>
      </c>
      <c r="CA189" s="76">
        <f>IF(TRIM($AF189&amp;"")="","NR",LEFT(TRIM($AF189),2))</f>
        <v/>
      </c>
      <c r="CB189" s="76">
        <f>IFERROR(LOOKUP(2,1/(LEFT(TRIM($AI189&amp;""),LEN(mapRegion))=mapRegion),mapRegion),"Not Reported")</f>
        <v/>
      </c>
      <c r="CC189" s="76">
        <f>IF($BY189=0,"",IF(TRIM($W189&amp;"")="REO","REO",IF(TRIM($W189&amp;"")="FC","Foreclosure",IF(TRIM($W189&amp;"")="90+","90+ Days Delinquent",IF(TRIM($W189&amp;"")="60","60 Days Delinquent",IF(TRIM($W189&amp;"")="30","30 Days Delinquent",IF($X189="Non-Performing Matured Balloon","Non-Performing Matured Balloon",IF(OR($X189="Late Payment But Less Than 30 Days Delinquent",LEFT($X189&amp;"",20)="Payment Not Received"),"Late / In Grace (&lt;30 Days)",IF($X189="Performing Matured Balloon","Performing Matured Balloon","Current")))))))))</f>
        <v/>
      </c>
      <c r="CD189" s="78">
        <f>IF(OR($CC189="REO",$CC189="Foreclosure",$CC189="90+ Days Delinquent",$CC189="60 Days Delinquent",$CC189="30 Days Delinquent",$CC189="Non-Performing Matured Balloon"),1,0)</f>
        <v/>
      </c>
      <c r="CE189" s="76">
        <f>IF($AB189="Currently special serv","Currently Specially Serviced",IF($AB189="Returned to master serv","Previously Specially Serviced","Never Specially Serviced"))</f>
        <v/>
      </c>
      <c r="CF189" s="78">
        <f>IF($CE189="Currently Specially Serviced",1,0)</f>
        <v/>
      </c>
      <c r="CG189" s="76">
        <f>IF($AA189="Yes","Currently on Watchlist",IF($AA189="Previously","Previously on Watchlist","Never on Watchlist"))</f>
        <v/>
      </c>
      <c r="CH189" s="78">
        <f>IF($CG189="Currently on Watchlist",1,0)</f>
        <v/>
      </c>
      <c r="CI189" s="76">
        <f>IF($Z189="Full Defeasance","Fully Defeased",IF($Z189="Portion Of Loan Previously Defeased","Partially Defeased",IF($Z189="Defeasance Not Allowable","Not Defeased (Not Permitted)","Not Defeased")))</f>
        <v/>
      </c>
      <c r="CJ189" s="78">
        <f>IF($CI189="Fully Defeased",1,0)</f>
        <v/>
      </c>
      <c r="CK189" s="76">
        <f>IF($R189="IO","Full IO",IF(LEFT($R189&amp;"",7)="IO then","Partial IO","Amortizing"))</f>
        <v/>
      </c>
      <c r="CL189" s="78">
        <f>IF($CK189="Full IO",1,0)</f>
        <v/>
      </c>
      <c r="CM189" s="78">
        <f>IF($CK189="Partial IO",1,0)</f>
        <v/>
      </c>
      <c r="CN189" s="76">
        <f>IF(LEFT($F189&amp;"",10)="SPLIT_LOAN","Pari Passu Split","Standalone")</f>
        <v/>
      </c>
      <c r="CO189" s="78">
        <f>IF($CN189="Pari Passu Split",1,0)</f>
        <v/>
      </c>
      <c r="CP189" s="77">
        <f>IF(ISNUMBER($T189),YEAR($T189),"")</f>
        <v/>
      </c>
      <c r="CQ189" s="79">
        <f>IF(ISNUMBER($V189),$V189,IF(ISNUMBER($U189),$U189,""))</f>
        <v/>
      </c>
      <c r="CR189" s="77">
        <f>IF(ISNUMBER($CQ189),YEAR($CQ189),"")</f>
        <v/>
      </c>
      <c r="CS189" s="78">
        <f>IF(ISNUMBER($M189),MAX(0,$M189),IF(TRIM($M189&amp;"")="matured",0,""))</f>
        <v/>
      </c>
      <c r="CT189" s="78">
        <f>IF(AND(ISNUMBER($CS189),N($CS189)&lt;=mMatWindow),1,0)</f>
        <v/>
      </c>
      <c r="CU189" s="80">
        <f>IF(ISNUMBER($J189),$J189/100,"")</f>
        <v/>
      </c>
      <c r="CV189" s="81">
        <f>IF(ISNUMBER($AQ189),$AQ189,"")</f>
        <v/>
      </c>
      <c r="CW189" s="81">
        <f>IF(ISNUMBER($AR189),$AR189,"")</f>
        <v/>
      </c>
      <c r="CX189" s="82">
        <f>IF(ISNUMBER($AS189),$AS189/100,"")</f>
        <v/>
      </c>
      <c r="CY189" s="82">
        <f>IF(ISNUMBER($AT189),$AT189/100,"")</f>
        <v/>
      </c>
      <c r="CZ189" s="82">
        <f>IF(ISNUMBER($AU189),$AU189/100,"")</f>
        <v/>
      </c>
      <c r="DA189" s="82">
        <f>IF(ISNUMBER($AV189),$AV189/100,"")</f>
        <v/>
      </c>
      <c r="DB189" s="82">
        <f>IF(ISNUMBER($AW189),$AW189/100,"")</f>
        <v/>
      </c>
      <c r="DC189" s="82">
        <f>IF(ISNUMBER($AX189),$AX189/100,"")</f>
        <v/>
      </c>
      <c r="DD189" s="77">
        <f>IFERROR(VALUE(LEFT(TRIM($AO189&amp;""),4)),"")</f>
        <v/>
      </c>
      <c r="DE189" s="78">
        <f>IF(AND($BY189=1,$BX189=1,OR(fDeal="All Deals",$BU189=fDeal),OR(fEntity="All Entities",$BV189=fEntity),OR(fPType="All Property Types",$BZ189=fPType),OR(fDefeased="Include",$CJ189=0)),1,0)</f>
        <v/>
      </c>
      <c r="DF189" s="83">
        <f>$DE189*N($I189)</f>
        <v/>
      </c>
      <c r="DG189" s="78">
        <f>IF($DE189=1,IF(COUNTIFS($F$8:$F189,$F189,$DE$8:$DE189,1)=1,1,0),0)</f>
        <v/>
      </c>
      <c r="DH189" s="83">
        <f>IF($DG189=1,SUMIFS($DF$8:$DF$1600,$F$8:$F$1600,$F189),0)</f>
        <v/>
      </c>
      <c r="DI189" s="78">
        <f>IF($DG189=1,COUNTIFS($F$8:$F$1600,$F189,$DE$8:$DE$1600,1),0)</f>
        <v/>
      </c>
      <c r="DJ189" s="84">
        <f>IF($DG189=1,$DH189+(100000-ROW())/mTieBreak,0)</f>
        <v/>
      </c>
    </row>
    <row r="190">
      <c r="B190" s="68" t="n">
        <v>67</v>
      </c>
      <c r="C190" s="69" t="inlineStr">
        <is>
          <t>WFC18C47</t>
        </is>
      </c>
      <c r="D190" s="69" t="inlineStr">
        <is>
          <t>67.000</t>
        </is>
      </c>
      <c r="E190" s="69" t="inlineStr">
        <is>
          <t>4901 Olde Towne Parkway</t>
        </is>
      </c>
      <c r="F190" s="69" t="inlineStr">
        <is>
          <t>LNWFC18C47-67.000</t>
        </is>
      </c>
      <c r="G190" s="70" t="n"/>
      <c r="H190" s="71" t="n">
        <v>2400000</v>
      </c>
      <c r="I190" s="71" t="n">
        <v>2087522.2900008</v>
      </c>
      <c r="J190" s="72" t="n">
        <v>5.21</v>
      </c>
      <c r="K190" s="69" t="inlineStr">
        <is>
          <t>Fixed rate</t>
        </is>
      </c>
      <c r="L190" s="68" t="n">
        <v>120</v>
      </c>
      <c r="M190" s="68" t="n">
        <v>24</v>
      </c>
      <c r="N190" s="68" t="n">
        <v>360</v>
      </c>
      <c r="O190" s="68" t="n"/>
      <c r="P190" s="68" t="n"/>
      <c r="Q190" s="68" t="n">
        <v>96</v>
      </c>
      <c r="R190" s="69" t="n"/>
      <c r="S190" s="69" t="inlineStr">
        <is>
          <t>No</t>
        </is>
      </c>
      <c r="T190" s="73" t="n">
        <v>43344</v>
      </c>
      <c r="U190" s="73" t="n">
        <v>47007</v>
      </c>
      <c r="V190" s="73" t="n"/>
      <c r="W190" s="69" t="n"/>
      <c r="X190" s="69" t="inlineStr">
        <is>
          <t>Current</t>
        </is>
      </c>
      <c r="Y190" s="68" t="n"/>
      <c r="Z190" s="69" t="inlineStr">
        <is>
          <t>No Defeasance Occurred</t>
        </is>
      </c>
      <c r="AA190" s="69" t="inlineStr">
        <is>
          <t>Previously</t>
        </is>
      </c>
      <c r="AB190" s="69" t="inlineStr">
        <is>
          <t>Never special serv</t>
        </is>
      </c>
      <c r="AC190" s="73" t="n"/>
      <c r="AD190" s="69" t="n"/>
      <c r="AE190" s="69" t="n"/>
      <c r="AF190" s="69" t="inlineStr">
        <is>
          <t>GA</t>
        </is>
      </c>
      <c r="AG190" s="69" t="inlineStr">
        <is>
          <t>Marietta</t>
        </is>
      </c>
      <c r="AH190" s="69" t="inlineStr">
        <is>
          <t>Atlanta-Sandy Springs-Roswell, GA</t>
        </is>
      </c>
      <c r="AI190" s="69" t="inlineStr">
        <is>
          <t>South / Atlantic</t>
        </is>
      </c>
      <c r="AJ190" s="69" t="inlineStr">
        <is>
          <t>OF</t>
        </is>
      </c>
      <c r="AK190" s="69" t="inlineStr">
        <is>
          <t>Suburban</t>
        </is>
      </c>
      <c r="AL190" s="68" t="n">
        <v>1</v>
      </c>
      <c r="AM190" s="68" t="n"/>
      <c r="AN190" s="68" t="n">
        <v>25794</v>
      </c>
      <c r="AO190" s="69" t="inlineStr">
        <is>
          <t>1998</t>
        </is>
      </c>
      <c r="AP190" s="70" t="n">
        <v>1998</v>
      </c>
      <c r="AQ190" s="74" t="n">
        <v>1.63</v>
      </c>
      <c r="AR190" s="74" t="n">
        <v>1.69</v>
      </c>
      <c r="AS190" s="74" t="n">
        <v>74.90000000000001</v>
      </c>
      <c r="AT190" s="74" t="n">
        <v>65.23999999999999</v>
      </c>
      <c r="AU190" s="74" t="n">
        <v>62.1</v>
      </c>
      <c r="AV190" s="74" t="n">
        <v>10.772760833</v>
      </c>
      <c r="AW190" s="74" t="n">
        <v>10.926290037</v>
      </c>
      <c r="AX190" s="75" t="n">
        <v>100</v>
      </c>
      <c r="AY190" s="71" t="n">
        <v>3200000</v>
      </c>
      <c r="AZ190" s="71" t="n">
        <v>3200000</v>
      </c>
      <c r="BA190" s="71" t="n">
        <v>258546.26</v>
      </c>
      <c r="BB190" s="71" t="n">
        <v>133492.95</v>
      </c>
      <c r="BC190" s="69" t="inlineStr">
        <is>
          <t>Refinance</t>
        </is>
      </c>
      <c r="BD190" s="69" t="inlineStr">
        <is>
          <t>N</t>
        </is>
      </c>
      <c r="BE190" s="71" t="n"/>
      <c r="BF190" s="71" t="n"/>
      <c r="BG190" s="71" t="n"/>
      <c r="BH190" s="71" t="n">
        <v>0</v>
      </c>
      <c r="BI190" s="71" t="n">
        <v>0</v>
      </c>
      <c r="BJ190" s="69" t="inlineStr">
        <is>
          <t>N</t>
        </is>
      </c>
      <c r="BK190" s="69" t="inlineStr">
        <is>
          <t>Certified Finishes</t>
        </is>
      </c>
      <c r="BL190" s="75" t="n">
        <v>38.83</v>
      </c>
      <c r="BM190" s="73" t="n">
        <v>46752</v>
      </c>
      <c r="BN190" s="69" t="inlineStr">
        <is>
          <t>Rocco M. Kaufmann</t>
        </is>
      </c>
      <c r="BO190" s="69" t="inlineStr">
        <is>
          <t>Wells Fargo</t>
        </is>
      </c>
      <c r="BP190" s="69" t="inlineStr">
        <is>
          <t>TriMont Real Estate Advisors</t>
        </is>
      </c>
      <c r="BQ190" s="69" t="inlineStr">
        <is>
          <t>K-Star Asset Management LLC</t>
        </is>
      </c>
      <c r="BR190" s="69" t="n"/>
      <c r="BS190" s="73" t="n">
        <v>46276</v>
      </c>
      <c r="BU190" s="76">
        <f>IF($C190="","",IFERROR(INDEX(dmName,MATCH($C190,dmID,0)),"Unmapped"))</f>
        <v/>
      </c>
      <c r="BV190" s="76">
        <f>IF($C190="","",IFERROR(INDEX(dmEntity,MATCH($C190,dmID,0)),"Unmapped"))</f>
        <v/>
      </c>
      <c r="BW190" s="77">
        <f>IF($C190="","",IFERROR(INDEX(dmVintage,MATCH($C190,dmID,0)),""))</f>
        <v/>
      </c>
      <c r="BX190" s="78">
        <f>IFERROR(INDEX(dmInclude,MATCH($C190,dmID,0)),0)</f>
        <v/>
      </c>
      <c r="BY190" s="78">
        <f>IF(N($I190)&gt;0,1,0)</f>
        <v/>
      </c>
      <c r="BZ190" s="76">
        <f>IF($AJ190="","Other / Leased Fee",IFERROR(INDEX(mapPTGroup,MATCH(LEFT(TRIM($AJ190),2),mapPTCode,0)),"Other / Leased Fee"))</f>
        <v/>
      </c>
      <c r="CA190" s="76">
        <f>IF(TRIM($AF190&amp;"")="","NR",LEFT(TRIM($AF190),2))</f>
        <v/>
      </c>
      <c r="CB190" s="76">
        <f>IFERROR(LOOKUP(2,1/(LEFT(TRIM($AI190&amp;""),LEN(mapRegion))=mapRegion),mapRegion),"Not Reported")</f>
        <v/>
      </c>
      <c r="CC190" s="76">
        <f>IF($BY190=0,"",IF(TRIM($W190&amp;"")="REO","REO",IF(TRIM($W190&amp;"")="FC","Foreclosure",IF(TRIM($W190&amp;"")="90+","90+ Days Delinquent",IF(TRIM($W190&amp;"")="60","60 Days Delinquent",IF(TRIM($W190&amp;"")="30","30 Days Delinquent",IF($X190="Non-Performing Matured Balloon","Non-Performing Matured Balloon",IF(OR($X190="Late Payment But Less Than 30 Days Delinquent",LEFT($X190&amp;"",20)="Payment Not Received"),"Late / In Grace (&lt;30 Days)",IF($X190="Performing Matured Balloon","Performing Matured Balloon","Current")))))))))</f>
        <v/>
      </c>
      <c r="CD190" s="78">
        <f>IF(OR($CC190="REO",$CC190="Foreclosure",$CC190="90+ Days Delinquent",$CC190="60 Days Delinquent",$CC190="30 Days Delinquent",$CC190="Non-Performing Matured Balloon"),1,0)</f>
        <v/>
      </c>
      <c r="CE190" s="76">
        <f>IF($AB190="Currently special serv","Currently Specially Serviced",IF($AB190="Returned to master serv","Previously Specially Serviced","Never Specially Serviced"))</f>
        <v/>
      </c>
      <c r="CF190" s="78">
        <f>IF($CE190="Currently Specially Serviced",1,0)</f>
        <v/>
      </c>
      <c r="CG190" s="76">
        <f>IF($AA190="Yes","Currently on Watchlist",IF($AA190="Previously","Previously on Watchlist","Never on Watchlist"))</f>
        <v/>
      </c>
      <c r="CH190" s="78">
        <f>IF($CG190="Currently on Watchlist",1,0)</f>
        <v/>
      </c>
      <c r="CI190" s="76">
        <f>IF($Z190="Full Defeasance","Fully Defeased",IF($Z190="Portion Of Loan Previously Defeased","Partially Defeased",IF($Z190="Defeasance Not Allowable","Not Defeased (Not Permitted)","Not Defeased")))</f>
        <v/>
      </c>
      <c r="CJ190" s="78">
        <f>IF($CI190="Fully Defeased",1,0)</f>
        <v/>
      </c>
      <c r="CK190" s="76">
        <f>IF($R190="IO","Full IO",IF(LEFT($R190&amp;"",7)="IO then","Partial IO","Amortizing"))</f>
        <v/>
      </c>
      <c r="CL190" s="78">
        <f>IF($CK190="Full IO",1,0)</f>
        <v/>
      </c>
      <c r="CM190" s="78">
        <f>IF($CK190="Partial IO",1,0)</f>
        <v/>
      </c>
      <c r="CN190" s="76">
        <f>IF(LEFT($F190&amp;"",10)="SPLIT_LOAN","Pari Passu Split","Standalone")</f>
        <v/>
      </c>
      <c r="CO190" s="78">
        <f>IF($CN190="Pari Passu Split",1,0)</f>
        <v/>
      </c>
      <c r="CP190" s="77">
        <f>IF(ISNUMBER($T190),YEAR($T190),"")</f>
        <v/>
      </c>
      <c r="CQ190" s="79">
        <f>IF(ISNUMBER($V190),$V190,IF(ISNUMBER($U190),$U190,""))</f>
        <v/>
      </c>
      <c r="CR190" s="77">
        <f>IF(ISNUMBER($CQ190),YEAR($CQ190),"")</f>
        <v/>
      </c>
      <c r="CS190" s="78">
        <f>IF(ISNUMBER($M190),MAX(0,$M190),IF(TRIM($M190&amp;"")="matured",0,""))</f>
        <v/>
      </c>
      <c r="CT190" s="78">
        <f>IF(AND(ISNUMBER($CS190),N($CS190)&lt;=mMatWindow),1,0)</f>
        <v/>
      </c>
      <c r="CU190" s="80">
        <f>IF(ISNUMBER($J190),$J190/100,"")</f>
        <v/>
      </c>
      <c r="CV190" s="81">
        <f>IF(ISNUMBER($AQ190),$AQ190,"")</f>
        <v/>
      </c>
      <c r="CW190" s="81">
        <f>IF(ISNUMBER($AR190),$AR190,"")</f>
        <v/>
      </c>
      <c r="CX190" s="82">
        <f>IF(ISNUMBER($AS190),$AS190/100,"")</f>
        <v/>
      </c>
      <c r="CY190" s="82">
        <f>IF(ISNUMBER($AT190),$AT190/100,"")</f>
        <v/>
      </c>
      <c r="CZ190" s="82">
        <f>IF(ISNUMBER($AU190),$AU190/100,"")</f>
        <v/>
      </c>
      <c r="DA190" s="82">
        <f>IF(ISNUMBER($AV190),$AV190/100,"")</f>
        <v/>
      </c>
      <c r="DB190" s="82">
        <f>IF(ISNUMBER($AW190),$AW190/100,"")</f>
        <v/>
      </c>
      <c r="DC190" s="82">
        <f>IF(ISNUMBER($AX190),$AX190/100,"")</f>
        <v/>
      </c>
      <c r="DD190" s="77">
        <f>IFERROR(VALUE(LEFT(TRIM($AO190&amp;""),4)),"")</f>
        <v/>
      </c>
      <c r="DE190" s="78">
        <f>IF(AND($BY190=1,$BX190=1,OR(fDeal="All Deals",$BU190=fDeal),OR(fEntity="All Entities",$BV190=fEntity),OR(fPType="All Property Types",$BZ190=fPType),OR(fDefeased="Include",$CJ190=0)),1,0)</f>
        <v/>
      </c>
      <c r="DF190" s="83">
        <f>$DE190*N($I190)</f>
        <v/>
      </c>
      <c r="DG190" s="78">
        <f>IF($DE190=1,IF(COUNTIFS($F$8:$F190,$F190,$DE$8:$DE190,1)=1,1,0),0)</f>
        <v/>
      </c>
      <c r="DH190" s="83">
        <f>IF($DG190=1,SUMIFS($DF$8:$DF$1600,$F$8:$F$1600,$F190),0)</f>
        <v/>
      </c>
      <c r="DI190" s="78">
        <f>IF($DG190=1,COUNTIFS($F$8:$F$1600,$F190,$DE$8:$DE$1600,1),0)</f>
        <v/>
      </c>
      <c r="DJ190" s="84">
        <f>IF($DG190=1,$DH190+(100000-ROW())/mTieBreak,0)</f>
        <v/>
      </c>
    </row>
    <row r="191">
      <c r="B191" s="68" t="n">
        <v>68</v>
      </c>
      <c r="C191" s="69" t="inlineStr">
        <is>
          <t>WFC18C47</t>
        </is>
      </c>
      <c r="D191" s="69" t="inlineStr">
        <is>
          <t>68.000</t>
        </is>
      </c>
      <c r="E191" s="69" t="inlineStr">
        <is>
          <t>Allsafe SS &amp; Retail</t>
        </is>
      </c>
      <c r="F191" s="69" t="inlineStr">
        <is>
          <t>LNWFC18C47-68.000</t>
        </is>
      </c>
      <c r="G191" s="70" t="n"/>
      <c r="H191" s="71" t="n">
        <v>2325000</v>
      </c>
      <c r="I191" s="71" t="n">
        <v>2072396.270000925</v>
      </c>
      <c r="J191" s="72" t="n">
        <v>5.47</v>
      </c>
      <c r="K191" s="69" t="inlineStr">
        <is>
          <t>Fixed rate</t>
        </is>
      </c>
      <c r="L191" s="68" t="n">
        <v>120</v>
      </c>
      <c r="M191" s="68" t="n">
        <v>22</v>
      </c>
      <c r="N191" s="68" t="n">
        <v>372</v>
      </c>
      <c r="O191" s="68" t="n">
        <v>12</v>
      </c>
      <c r="P191" s="68" t="n">
        <v>0</v>
      </c>
      <c r="Q191" s="68" t="n">
        <v>98</v>
      </c>
      <c r="R191" s="69" t="inlineStr">
        <is>
          <t>IO then Amort</t>
        </is>
      </c>
      <c r="S191" s="69" t="inlineStr">
        <is>
          <t>No</t>
        </is>
      </c>
      <c r="T191" s="73" t="n">
        <v>43282</v>
      </c>
      <c r="U191" s="73" t="n">
        <v>46945</v>
      </c>
      <c r="V191" s="73" t="n"/>
      <c r="W191" s="69" t="n"/>
      <c r="X191" s="69" t="inlineStr">
        <is>
          <t>Current</t>
        </is>
      </c>
      <c r="Y191" s="68" t="n"/>
      <c r="Z191" s="69" t="inlineStr">
        <is>
          <t>No Defeasance Occurred</t>
        </is>
      </c>
      <c r="AA191" s="69" t="inlineStr">
        <is>
          <t>Yes</t>
        </is>
      </c>
      <c r="AB191" s="69" t="inlineStr">
        <is>
          <t>Never special serv</t>
        </is>
      </c>
      <c r="AC191" s="73" t="n"/>
      <c r="AD191" s="69" t="n"/>
      <c r="AE191" s="69" t="n"/>
      <c r="AF191" s="69" t="inlineStr">
        <is>
          <t>AZ</t>
        </is>
      </c>
      <c r="AG191" s="69" t="inlineStr">
        <is>
          <t>Rio Rico</t>
        </is>
      </c>
      <c r="AH191" s="69" t="inlineStr">
        <is>
          <t>Nogales, AZ</t>
        </is>
      </c>
      <c r="AI191" s="69" t="inlineStr">
        <is>
          <t>West / Mountain</t>
        </is>
      </c>
      <c r="AJ191" s="69" t="inlineStr">
        <is>
          <t>MX</t>
        </is>
      </c>
      <c r="AK191" s="69" t="inlineStr">
        <is>
          <t>Self Storage/Retail</t>
        </is>
      </c>
      <c r="AL191" s="68" t="n">
        <v>1</v>
      </c>
      <c r="AM191" s="68" t="n"/>
      <c r="AN191" s="68" t="n">
        <v>56542</v>
      </c>
      <c r="AO191" s="69" t="inlineStr">
        <is>
          <t>2005</t>
        </is>
      </c>
      <c r="AP191" s="70" t="n">
        <v>2005</v>
      </c>
      <c r="AQ191" s="74" t="n">
        <v>1.43</v>
      </c>
      <c r="AR191" s="74" t="n">
        <v>3.14</v>
      </c>
      <c r="AS191" s="74" t="n">
        <v>69.8</v>
      </c>
      <c r="AT191" s="74" t="n">
        <v>62.23</v>
      </c>
      <c r="AU191" s="74" t="n">
        <v>59.7</v>
      </c>
      <c r="AV191" s="74" t="n">
        <v>9.685089462000001</v>
      </c>
      <c r="AW191" s="74" t="n">
        <v>23.548326016</v>
      </c>
      <c r="AX191" s="75" t="n">
        <v>71</v>
      </c>
      <c r="AY191" s="71" t="n">
        <v>3330000</v>
      </c>
      <c r="AZ191" s="71" t="n">
        <v>3330000</v>
      </c>
      <c r="BA191" s="71" t="n">
        <v>225178.33</v>
      </c>
      <c r="BB191" s="71" t="n">
        <v>248059.22</v>
      </c>
      <c r="BC191" s="69" t="inlineStr">
        <is>
          <t>Acquisition</t>
        </is>
      </c>
      <c r="BD191" s="69" t="inlineStr">
        <is>
          <t>N</t>
        </is>
      </c>
      <c r="BE191" s="71" t="n"/>
      <c r="BF191" s="71" t="n"/>
      <c r="BG191" s="71" t="n"/>
      <c r="BH191" s="71" t="n">
        <v>0</v>
      </c>
      <c r="BI191" s="71" t="n">
        <v>0</v>
      </c>
      <c r="BJ191" s="69" t="inlineStr">
        <is>
          <t>N</t>
        </is>
      </c>
      <c r="BK191" s="69" t="inlineStr">
        <is>
          <t>Rodrigo Valenzuela (DBA Taekwondo Academy)</t>
        </is>
      </c>
      <c r="BL191" s="75" t="n">
        <v>2.93</v>
      </c>
      <c r="BM191" s="73" t="n">
        <v>43555</v>
      </c>
      <c r="BN191" s="69" t="inlineStr">
        <is>
          <t>Michael E. Ransome</t>
        </is>
      </c>
      <c r="BO191" s="69" t="inlineStr">
        <is>
          <t>CIII Capital</t>
        </is>
      </c>
      <c r="BP191" s="69" t="inlineStr">
        <is>
          <t>TriMont Real Estate Advisors</t>
        </is>
      </c>
      <c r="BQ191" s="69" t="inlineStr">
        <is>
          <t>K-Star Asset Management LLC</t>
        </is>
      </c>
      <c r="BR191" s="69" t="n"/>
      <c r="BS191" s="73" t="n">
        <v>46276</v>
      </c>
      <c r="BU191" s="76">
        <f>IF($C191="","",IFERROR(INDEX(dmName,MATCH($C191,dmID,0)),"Unmapped"))</f>
        <v/>
      </c>
      <c r="BV191" s="76">
        <f>IF($C191="","",IFERROR(INDEX(dmEntity,MATCH($C191,dmID,0)),"Unmapped"))</f>
        <v/>
      </c>
      <c r="BW191" s="77">
        <f>IF($C191="","",IFERROR(INDEX(dmVintage,MATCH($C191,dmID,0)),""))</f>
        <v/>
      </c>
      <c r="BX191" s="78">
        <f>IFERROR(INDEX(dmInclude,MATCH($C191,dmID,0)),0)</f>
        <v/>
      </c>
      <c r="BY191" s="78">
        <f>IF(N($I191)&gt;0,1,0)</f>
        <v/>
      </c>
      <c r="BZ191" s="76">
        <f>IF($AJ191="","Other / Leased Fee",IFERROR(INDEX(mapPTGroup,MATCH(LEFT(TRIM($AJ191),2),mapPTCode,0)),"Other / Leased Fee"))</f>
        <v/>
      </c>
      <c r="CA191" s="76">
        <f>IF(TRIM($AF191&amp;"")="","NR",LEFT(TRIM($AF191),2))</f>
        <v/>
      </c>
      <c r="CB191" s="76">
        <f>IFERROR(LOOKUP(2,1/(LEFT(TRIM($AI191&amp;""),LEN(mapRegion))=mapRegion),mapRegion),"Not Reported")</f>
        <v/>
      </c>
      <c r="CC191" s="76">
        <f>IF($BY191=0,"",IF(TRIM($W191&amp;"")="REO","REO",IF(TRIM($W191&amp;"")="FC","Foreclosure",IF(TRIM($W191&amp;"")="90+","90+ Days Delinquent",IF(TRIM($W191&amp;"")="60","60 Days Delinquent",IF(TRIM($W191&amp;"")="30","30 Days Delinquent",IF($X191="Non-Performing Matured Balloon","Non-Performing Matured Balloon",IF(OR($X191="Late Payment But Less Than 30 Days Delinquent",LEFT($X191&amp;"",20)="Payment Not Received"),"Late / In Grace (&lt;30 Days)",IF($X191="Performing Matured Balloon","Performing Matured Balloon","Current")))))))))</f>
        <v/>
      </c>
      <c r="CD191" s="78">
        <f>IF(OR($CC191="REO",$CC191="Foreclosure",$CC191="90+ Days Delinquent",$CC191="60 Days Delinquent",$CC191="30 Days Delinquent",$CC191="Non-Performing Matured Balloon"),1,0)</f>
        <v/>
      </c>
      <c r="CE191" s="76">
        <f>IF($AB191="Currently special serv","Currently Specially Serviced",IF($AB191="Returned to master serv","Previously Specially Serviced","Never Specially Serviced"))</f>
        <v/>
      </c>
      <c r="CF191" s="78">
        <f>IF($CE191="Currently Specially Serviced",1,0)</f>
        <v/>
      </c>
      <c r="CG191" s="76">
        <f>IF($AA191="Yes","Currently on Watchlist",IF($AA191="Previously","Previously on Watchlist","Never on Watchlist"))</f>
        <v/>
      </c>
      <c r="CH191" s="78">
        <f>IF($CG191="Currently on Watchlist",1,0)</f>
        <v/>
      </c>
      <c r="CI191" s="76">
        <f>IF($Z191="Full Defeasance","Fully Defeased",IF($Z191="Portion Of Loan Previously Defeased","Partially Defeased",IF($Z191="Defeasance Not Allowable","Not Defeased (Not Permitted)","Not Defeased")))</f>
        <v/>
      </c>
      <c r="CJ191" s="78">
        <f>IF($CI191="Fully Defeased",1,0)</f>
        <v/>
      </c>
      <c r="CK191" s="76">
        <f>IF($R191="IO","Full IO",IF(LEFT($R191&amp;"",7)="IO then","Partial IO","Amortizing"))</f>
        <v/>
      </c>
      <c r="CL191" s="78">
        <f>IF($CK191="Full IO",1,0)</f>
        <v/>
      </c>
      <c r="CM191" s="78">
        <f>IF($CK191="Partial IO",1,0)</f>
        <v/>
      </c>
      <c r="CN191" s="76">
        <f>IF(LEFT($F191&amp;"",10)="SPLIT_LOAN","Pari Passu Split","Standalone")</f>
        <v/>
      </c>
      <c r="CO191" s="78">
        <f>IF($CN191="Pari Passu Split",1,0)</f>
        <v/>
      </c>
      <c r="CP191" s="77">
        <f>IF(ISNUMBER($T191),YEAR($T191),"")</f>
        <v/>
      </c>
      <c r="CQ191" s="79">
        <f>IF(ISNUMBER($V191),$V191,IF(ISNUMBER($U191),$U191,""))</f>
        <v/>
      </c>
      <c r="CR191" s="77">
        <f>IF(ISNUMBER($CQ191),YEAR($CQ191),"")</f>
        <v/>
      </c>
      <c r="CS191" s="78">
        <f>IF(ISNUMBER($M191),MAX(0,$M191),IF(TRIM($M191&amp;"")="matured",0,""))</f>
        <v/>
      </c>
      <c r="CT191" s="78">
        <f>IF(AND(ISNUMBER($CS191),N($CS191)&lt;=mMatWindow),1,0)</f>
        <v/>
      </c>
      <c r="CU191" s="80">
        <f>IF(ISNUMBER($J191),$J191/100,"")</f>
        <v/>
      </c>
      <c r="CV191" s="81">
        <f>IF(ISNUMBER($AQ191),$AQ191,"")</f>
        <v/>
      </c>
      <c r="CW191" s="81">
        <f>IF(ISNUMBER($AR191),$AR191,"")</f>
        <v/>
      </c>
      <c r="CX191" s="82">
        <f>IF(ISNUMBER($AS191),$AS191/100,"")</f>
        <v/>
      </c>
      <c r="CY191" s="82">
        <f>IF(ISNUMBER($AT191),$AT191/100,"")</f>
        <v/>
      </c>
      <c r="CZ191" s="82">
        <f>IF(ISNUMBER($AU191),$AU191/100,"")</f>
        <v/>
      </c>
      <c r="DA191" s="82">
        <f>IF(ISNUMBER($AV191),$AV191/100,"")</f>
        <v/>
      </c>
      <c r="DB191" s="82">
        <f>IF(ISNUMBER($AW191),$AW191/100,"")</f>
        <v/>
      </c>
      <c r="DC191" s="82">
        <f>IF(ISNUMBER($AX191),$AX191/100,"")</f>
        <v/>
      </c>
      <c r="DD191" s="77">
        <f>IFERROR(VALUE(LEFT(TRIM($AO191&amp;""),4)),"")</f>
        <v/>
      </c>
      <c r="DE191" s="78">
        <f>IF(AND($BY191=1,$BX191=1,OR(fDeal="All Deals",$BU191=fDeal),OR(fEntity="All Entities",$BV191=fEntity),OR(fPType="All Property Types",$BZ191=fPType),OR(fDefeased="Include",$CJ191=0)),1,0)</f>
        <v/>
      </c>
      <c r="DF191" s="83">
        <f>$DE191*N($I191)</f>
        <v/>
      </c>
      <c r="DG191" s="78">
        <f>IF($DE191=1,IF(COUNTIFS($F$8:$F191,$F191,$DE$8:$DE191,1)=1,1,0),0)</f>
        <v/>
      </c>
      <c r="DH191" s="83">
        <f>IF($DG191=1,SUMIFS($DF$8:$DF$1600,$F$8:$F$1600,$F191),0)</f>
        <v/>
      </c>
      <c r="DI191" s="78">
        <f>IF($DG191=1,COUNTIFS($F$8:$F$1600,$F191,$DE$8:$DE$1600,1),0)</f>
        <v/>
      </c>
      <c r="DJ191" s="84">
        <f>IF($DG191=1,$DH191+(100000-ROW())/mTieBreak,0)</f>
        <v/>
      </c>
    </row>
    <row r="192">
      <c r="B192" s="68" t="n">
        <v>69</v>
      </c>
      <c r="C192" s="69" t="inlineStr">
        <is>
          <t>WFC18C47</t>
        </is>
      </c>
      <c r="D192" s="69" t="inlineStr">
        <is>
          <t>69.000</t>
        </is>
      </c>
      <c r="E192" s="69" t="inlineStr">
        <is>
          <t>Allied Wholesale</t>
        </is>
      </c>
      <c r="F192" s="69" t="inlineStr">
        <is>
          <t>LNWFC18C47-69.000</t>
        </is>
      </c>
      <c r="G192" s="70" t="n"/>
      <c r="H192" s="71" t="n">
        <v>2050000</v>
      </c>
      <c r="I192" s="71" t="n">
        <v>1860040.4499999</v>
      </c>
      <c r="J192" s="72" t="n">
        <v>5.28</v>
      </c>
      <c r="K192" s="69" t="inlineStr">
        <is>
          <t>Fixed rate</t>
        </is>
      </c>
      <c r="L192" s="68" t="n">
        <v>120</v>
      </c>
      <c r="M192" s="68" t="n">
        <v>23</v>
      </c>
      <c r="N192" s="68" t="n">
        <v>384</v>
      </c>
      <c r="O192" s="68" t="n">
        <v>24</v>
      </c>
      <c r="P192" s="68" t="n">
        <v>0</v>
      </c>
      <c r="Q192" s="68" t="n">
        <v>97</v>
      </c>
      <c r="R192" s="69" t="inlineStr">
        <is>
          <t>IO then Amort</t>
        </is>
      </c>
      <c r="S192" s="69" t="inlineStr">
        <is>
          <t>No</t>
        </is>
      </c>
      <c r="T192" s="73" t="n">
        <v>43313</v>
      </c>
      <c r="U192" s="73" t="n">
        <v>46976</v>
      </c>
      <c r="V192" s="73" t="n"/>
      <c r="W192" s="69" t="n"/>
      <c r="X192" s="69" t="inlineStr">
        <is>
          <t>Current</t>
        </is>
      </c>
      <c r="Y192" s="68" t="n"/>
      <c r="Z192" s="69" t="inlineStr">
        <is>
          <t>No Defeasance Occurred</t>
        </is>
      </c>
      <c r="AA192" s="69" t="inlineStr">
        <is>
          <t>Previously</t>
        </is>
      </c>
      <c r="AB192" s="69" t="inlineStr">
        <is>
          <t>Never special serv</t>
        </is>
      </c>
      <c r="AC192" s="73" t="n"/>
      <c r="AD192" s="69" t="n"/>
      <c r="AE192" s="69" t="n"/>
      <c r="AF192" s="69" t="inlineStr">
        <is>
          <t>IN</t>
        </is>
      </c>
      <c r="AG192" s="69" t="inlineStr">
        <is>
          <t>Indianapolis</t>
        </is>
      </c>
      <c r="AH192" s="69" t="inlineStr">
        <is>
          <t>Indianapolis-Carmel-Greenwood, IN</t>
        </is>
      </c>
      <c r="AI192" s="69" t="inlineStr">
        <is>
          <t>Midwest / Central East</t>
        </is>
      </c>
      <c r="AJ192" s="69" t="inlineStr">
        <is>
          <t>IN</t>
        </is>
      </c>
      <c r="AK192" s="69" t="inlineStr">
        <is>
          <t>Warehouse/Distribution</t>
        </is>
      </c>
      <c r="AL192" s="68" t="n">
        <v>1</v>
      </c>
      <c r="AM192" s="68" t="n"/>
      <c r="AN192" s="68" t="n">
        <v>54777</v>
      </c>
      <c r="AO192" s="69" t="inlineStr">
        <is>
          <t>1997</t>
        </is>
      </c>
      <c r="AP192" s="70" t="n">
        <v>2006</v>
      </c>
      <c r="AQ192" s="74" t="n">
        <v>1.41</v>
      </c>
      <c r="AR192" s="74" t="n">
        <v>1.64</v>
      </c>
      <c r="AS192" s="74" t="n">
        <v>65.09999999999999</v>
      </c>
      <c r="AT192" s="74" t="n">
        <v>59.05</v>
      </c>
      <c r="AU192" s="74" t="n">
        <v>56.7</v>
      </c>
      <c r="AV192" s="74" t="n">
        <v>9.376039512</v>
      </c>
      <c r="AW192" s="74" t="n">
        <v>12.720603469</v>
      </c>
      <c r="AX192" s="75" t="n">
        <v>100</v>
      </c>
      <c r="AY192" s="71" t="n">
        <v>3150000</v>
      </c>
      <c r="AZ192" s="71" t="n">
        <v>3150000</v>
      </c>
      <c r="BA192" s="71" t="n">
        <v>192208.81</v>
      </c>
      <c r="BB192" s="71" t="n">
        <v>111626.89</v>
      </c>
      <c r="BC192" s="69" t="inlineStr">
        <is>
          <t>Acquisition</t>
        </is>
      </c>
      <c r="BD192" s="69" t="inlineStr">
        <is>
          <t>N</t>
        </is>
      </c>
      <c r="BE192" s="71" t="n"/>
      <c r="BF192" s="71" t="n"/>
      <c r="BG192" s="71" t="n"/>
      <c r="BH192" s="71" t="n">
        <v>0</v>
      </c>
      <c r="BI192" s="71" t="n">
        <v>0</v>
      </c>
      <c r="BJ192" s="69" t="inlineStr">
        <is>
          <t>N</t>
        </is>
      </c>
      <c r="BK192" s="69" t="inlineStr">
        <is>
          <t>Allied Wholesale Electrical Supply  Inc</t>
        </is>
      </c>
      <c r="BL192" s="75" t="n">
        <v>90.59</v>
      </c>
      <c r="BM192" s="73" t="n">
        <v>48791</v>
      </c>
      <c r="BN192" s="69" t="inlineStr">
        <is>
          <t>Jonathan Sassover; Elliott Sassover</t>
        </is>
      </c>
      <c r="BO192" s="69" t="inlineStr">
        <is>
          <t>CIII Capital</t>
        </is>
      </c>
      <c r="BP192" s="69" t="inlineStr">
        <is>
          <t>TriMont Real Estate Advisors</t>
        </is>
      </c>
      <c r="BQ192" s="69" t="inlineStr">
        <is>
          <t>K-Star Asset Management LLC</t>
        </is>
      </c>
      <c r="BR192" s="69" t="n"/>
      <c r="BS192" s="73" t="n">
        <v>46276</v>
      </c>
      <c r="BU192" s="76">
        <f>IF($C192="","",IFERROR(INDEX(dmName,MATCH($C192,dmID,0)),"Unmapped"))</f>
        <v/>
      </c>
      <c r="BV192" s="76">
        <f>IF($C192="","",IFERROR(INDEX(dmEntity,MATCH($C192,dmID,0)),"Unmapped"))</f>
        <v/>
      </c>
      <c r="BW192" s="77">
        <f>IF($C192="","",IFERROR(INDEX(dmVintage,MATCH($C192,dmID,0)),""))</f>
        <v/>
      </c>
      <c r="BX192" s="78">
        <f>IFERROR(INDEX(dmInclude,MATCH($C192,dmID,0)),0)</f>
        <v/>
      </c>
      <c r="BY192" s="78">
        <f>IF(N($I192)&gt;0,1,0)</f>
        <v/>
      </c>
      <c r="BZ192" s="76">
        <f>IF($AJ192="","Other / Leased Fee",IFERROR(INDEX(mapPTGroup,MATCH(LEFT(TRIM($AJ192),2),mapPTCode,0)),"Other / Leased Fee"))</f>
        <v/>
      </c>
      <c r="CA192" s="76">
        <f>IF(TRIM($AF192&amp;"")="","NR",LEFT(TRIM($AF192),2))</f>
        <v/>
      </c>
      <c r="CB192" s="76">
        <f>IFERROR(LOOKUP(2,1/(LEFT(TRIM($AI192&amp;""),LEN(mapRegion))=mapRegion),mapRegion),"Not Reported")</f>
        <v/>
      </c>
      <c r="CC192" s="76">
        <f>IF($BY192=0,"",IF(TRIM($W192&amp;"")="REO","REO",IF(TRIM($W192&amp;"")="FC","Foreclosure",IF(TRIM($W192&amp;"")="90+","90+ Days Delinquent",IF(TRIM($W192&amp;"")="60","60 Days Delinquent",IF(TRIM($W192&amp;"")="30","30 Days Delinquent",IF($X192="Non-Performing Matured Balloon","Non-Performing Matured Balloon",IF(OR($X192="Late Payment But Less Than 30 Days Delinquent",LEFT($X192&amp;"",20)="Payment Not Received"),"Late / In Grace (&lt;30 Days)",IF($X192="Performing Matured Balloon","Performing Matured Balloon","Current")))))))))</f>
        <v/>
      </c>
      <c r="CD192" s="78">
        <f>IF(OR($CC192="REO",$CC192="Foreclosure",$CC192="90+ Days Delinquent",$CC192="60 Days Delinquent",$CC192="30 Days Delinquent",$CC192="Non-Performing Matured Balloon"),1,0)</f>
        <v/>
      </c>
      <c r="CE192" s="76">
        <f>IF($AB192="Currently special serv","Currently Specially Serviced",IF($AB192="Returned to master serv","Previously Specially Serviced","Never Specially Serviced"))</f>
        <v/>
      </c>
      <c r="CF192" s="78">
        <f>IF($CE192="Currently Specially Serviced",1,0)</f>
        <v/>
      </c>
      <c r="CG192" s="76">
        <f>IF($AA192="Yes","Currently on Watchlist",IF($AA192="Previously","Previously on Watchlist","Never on Watchlist"))</f>
        <v/>
      </c>
      <c r="CH192" s="78">
        <f>IF($CG192="Currently on Watchlist",1,0)</f>
        <v/>
      </c>
      <c r="CI192" s="76">
        <f>IF($Z192="Full Defeasance","Fully Defeased",IF($Z192="Portion Of Loan Previously Defeased","Partially Defeased",IF($Z192="Defeasance Not Allowable","Not Defeased (Not Permitted)","Not Defeased")))</f>
        <v/>
      </c>
      <c r="CJ192" s="78">
        <f>IF($CI192="Fully Defeased",1,0)</f>
        <v/>
      </c>
      <c r="CK192" s="76">
        <f>IF($R192="IO","Full IO",IF(LEFT($R192&amp;"",7)="IO then","Partial IO","Amortizing"))</f>
        <v/>
      </c>
      <c r="CL192" s="78">
        <f>IF($CK192="Full IO",1,0)</f>
        <v/>
      </c>
      <c r="CM192" s="78">
        <f>IF($CK192="Partial IO",1,0)</f>
        <v/>
      </c>
      <c r="CN192" s="76">
        <f>IF(LEFT($F192&amp;"",10)="SPLIT_LOAN","Pari Passu Split","Standalone")</f>
        <v/>
      </c>
      <c r="CO192" s="78">
        <f>IF($CN192="Pari Passu Split",1,0)</f>
        <v/>
      </c>
      <c r="CP192" s="77">
        <f>IF(ISNUMBER($T192),YEAR($T192),"")</f>
        <v/>
      </c>
      <c r="CQ192" s="79">
        <f>IF(ISNUMBER($V192),$V192,IF(ISNUMBER($U192),$U192,""))</f>
        <v/>
      </c>
      <c r="CR192" s="77">
        <f>IF(ISNUMBER($CQ192),YEAR($CQ192),"")</f>
        <v/>
      </c>
      <c r="CS192" s="78">
        <f>IF(ISNUMBER($M192),MAX(0,$M192),IF(TRIM($M192&amp;"")="matured",0,""))</f>
        <v/>
      </c>
      <c r="CT192" s="78">
        <f>IF(AND(ISNUMBER($CS192),N($CS192)&lt;=mMatWindow),1,0)</f>
        <v/>
      </c>
      <c r="CU192" s="80">
        <f>IF(ISNUMBER($J192),$J192/100,"")</f>
        <v/>
      </c>
      <c r="CV192" s="81">
        <f>IF(ISNUMBER($AQ192),$AQ192,"")</f>
        <v/>
      </c>
      <c r="CW192" s="81">
        <f>IF(ISNUMBER($AR192),$AR192,"")</f>
        <v/>
      </c>
      <c r="CX192" s="82">
        <f>IF(ISNUMBER($AS192),$AS192/100,"")</f>
        <v/>
      </c>
      <c r="CY192" s="82">
        <f>IF(ISNUMBER($AT192),$AT192/100,"")</f>
        <v/>
      </c>
      <c r="CZ192" s="82">
        <f>IF(ISNUMBER($AU192),$AU192/100,"")</f>
        <v/>
      </c>
      <c r="DA192" s="82">
        <f>IF(ISNUMBER($AV192),$AV192/100,"")</f>
        <v/>
      </c>
      <c r="DB192" s="82">
        <f>IF(ISNUMBER($AW192),$AW192/100,"")</f>
        <v/>
      </c>
      <c r="DC192" s="82">
        <f>IF(ISNUMBER($AX192),$AX192/100,"")</f>
        <v/>
      </c>
      <c r="DD192" s="77">
        <f>IFERROR(VALUE(LEFT(TRIM($AO192&amp;""),4)),"")</f>
        <v/>
      </c>
      <c r="DE192" s="78">
        <f>IF(AND($BY192=1,$BX192=1,OR(fDeal="All Deals",$BU192=fDeal),OR(fEntity="All Entities",$BV192=fEntity),OR(fPType="All Property Types",$BZ192=fPType),OR(fDefeased="Include",$CJ192=0)),1,0)</f>
        <v/>
      </c>
      <c r="DF192" s="83">
        <f>$DE192*N($I192)</f>
        <v/>
      </c>
      <c r="DG192" s="78">
        <f>IF($DE192=1,IF(COUNTIFS($F$8:$F192,$F192,$DE$8:$DE192,1)=1,1,0),0)</f>
        <v/>
      </c>
      <c r="DH192" s="83">
        <f>IF($DG192=1,SUMIFS($DF$8:$DF$1600,$F$8:$F$1600,$F192),0)</f>
        <v/>
      </c>
      <c r="DI192" s="78">
        <f>IF($DG192=1,COUNTIFS($F$8:$F$1600,$F192,$DE$8:$DE$1600,1),0)</f>
        <v/>
      </c>
      <c r="DJ192" s="84">
        <f>IF($DG192=1,$DH192+(100000-ROW())/mTieBreak,0)</f>
        <v/>
      </c>
    </row>
    <row r="193">
      <c r="B193" s="68" t="n">
        <v>70</v>
      </c>
      <c r="C193" s="69" t="inlineStr">
        <is>
          <t>WFC18C47</t>
        </is>
      </c>
      <c r="D193" s="69" t="inlineStr">
        <is>
          <t>70.000</t>
        </is>
      </c>
      <c r="E193" s="69" t="inlineStr">
        <is>
          <t>3974 Amboy Road</t>
        </is>
      </c>
      <c r="F193" s="69" t="inlineStr">
        <is>
          <t>LNWFC18C47-70.000</t>
        </is>
      </c>
      <c r="G193" s="70" t="n"/>
      <c r="H193" s="71" t="n">
        <v>1879000</v>
      </c>
      <c r="I193" s="71" t="n">
        <v>0</v>
      </c>
      <c r="J193" s="72" t="n">
        <v>5.83</v>
      </c>
      <c r="K193" s="69" t="inlineStr">
        <is>
          <t>Fixed rate</t>
        </is>
      </c>
      <c r="L193" s="68" t="n">
        <v>120</v>
      </c>
      <c r="M193" s="68" t="n"/>
      <c r="N193" s="68" t="n">
        <v>360</v>
      </c>
      <c r="O193" s="68" t="n"/>
      <c r="P193" s="68" t="n"/>
      <c r="Q193" s="68" t="n"/>
      <c r="R193" s="69" t="n"/>
      <c r="S193" s="69" t="inlineStr">
        <is>
          <t>No</t>
        </is>
      </c>
      <c r="T193" s="73" t="n">
        <v>43374</v>
      </c>
      <c r="U193" s="73" t="n">
        <v>47037</v>
      </c>
      <c r="V193" s="73" t="n"/>
      <c r="W193" s="69" t="n"/>
      <c r="X193" s="69" t="inlineStr">
        <is>
          <t>Current</t>
        </is>
      </c>
      <c r="Y193" s="68" t="n"/>
      <c r="Z193" s="69" t="inlineStr">
        <is>
          <t>No Defeasance Occurred</t>
        </is>
      </c>
      <c r="AA193" s="69" t="inlineStr">
        <is>
          <t>Previously</t>
        </is>
      </c>
      <c r="AB193" s="69" t="inlineStr">
        <is>
          <t>Currently special serv</t>
        </is>
      </c>
      <c r="AC193" s="73" t="n">
        <v>45558</v>
      </c>
      <c r="AD193" s="69" t="inlineStr">
        <is>
          <t>Payment Default (all payments excluding Balloon/Maturity Payment)</t>
        </is>
      </c>
      <c r="AE193" s="69" t="inlineStr">
        <is>
          <t>Resolved</t>
        </is>
      </c>
      <c r="AF193" s="69" t="inlineStr">
        <is>
          <t>NY</t>
        </is>
      </c>
      <c r="AG193" s="69" t="inlineStr">
        <is>
          <t>Staten Island</t>
        </is>
      </c>
      <c r="AH193" s="69" t="inlineStr">
        <is>
          <t>New York-Newark-Jersey City, NY-NJ</t>
        </is>
      </c>
      <c r="AI193" s="69" t="inlineStr">
        <is>
          <t>Northeast / Mid-Atlantic</t>
        </is>
      </c>
      <c r="AJ193" s="69" t="inlineStr">
        <is>
          <t>MX</t>
        </is>
      </c>
      <c r="AK193" s="69" t="inlineStr">
        <is>
          <t>Retail/Office</t>
        </is>
      </c>
      <c r="AL193" s="68" t="n">
        <v>1</v>
      </c>
      <c r="AM193" s="68" t="n"/>
      <c r="AN193" s="68" t="n">
        <v>13652</v>
      </c>
      <c r="AO193" s="69" t="inlineStr">
        <is>
          <t>1931</t>
        </is>
      </c>
      <c r="AP193" s="70" t="n">
        <v>2016</v>
      </c>
      <c r="AQ193" s="74" t="n">
        <v>1.3</v>
      </c>
      <c r="AR193" s="74" t="n">
        <v>1.32</v>
      </c>
      <c r="AS193" s="74" t="n">
        <v>69.59999999999999</v>
      </c>
      <c r="AT193" s="74" t="n"/>
      <c r="AU193" s="74" t="n">
        <v>58.7</v>
      </c>
      <c r="AV193" s="74" t="n">
        <v>9.183242681999999</v>
      </c>
      <c r="AW193" s="74" t="n"/>
      <c r="AX193" s="75" t="n">
        <v>100</v>
      </c>
      <c r="AY193" s="71" t="n">
        <v>2700000</v>
      </c>
      <c r="AZ193" s="71" t="n">
        <v>2100000</v>
      </c>
      <c r="BA193" s="71" t="n">
        <v>172553.13</v>
      </c>
      <c r="BB193" s="71" t="n">
        <v>175634</v>
      </c>
      <c r="BC193" s="69" t="inlineStr">
        <is>
          <t>Refinance</t>
        </is>
      </c>
      <c r="BD193" s="69" t="inlineStr">
        <is>
          <t>N</t>
        </is>
      </c>
      <c r="BE193" s="71" t="n"/>
      <c r="BF193" s="71" t="n"/>
      <c r="BG193" s="71" t="n"/>
      <c r="BH193" s="71" t="n">
        <v>0</v>
      </c>
      <c r="BI193" s="71" t="n">
        <v>0</v>
      </c>
      <c r="BJ193" s="69" t="inlineStr">
        <is>
          <t>N</t>
        </is>
      </c>
      <c r="BK193" s="69" t="inlineStr">
        <is>
          <t>Sansbury Medical Equipment  Inc.</t>
        </is>
      </c>
      <c r="BL193" s="75" t="n">
        <v>17.95</v>
      </c>
      <c r="BM193" s="73" t="n">
        <v>45961</v>
      </c>
      <c r="BN193" s="69" t="inlineStr">
        <is>
          <t>Xiao Lin Law</t>
        </is>
      </c>
      <c r="BO193" s="69" t="inlineStr">
        <is>
          <t>CIII Capital</t>
        </is>
      </c>
      <c r="BP193" s="69" t="inlineStr">
        <is>
          <t>TriMont Real Estate Advisors</t>
        </is>
      </c>
      <c r="BQ193" s="69" t="inlineStr">
        <is>
          <t>K-Star Asset Management LLC</t>
        </is>
      </c>
      <c r="BR193" s="69" t="inlineStr">
        <is>
          <t>Disposition / Liquidation</t>
        </is>
      </c>
      <c r="BS193" s="73" t="n">
        <v>46276</v>
      </c>
      <c r="BU193" s="76">
        <f>IF($C193="","",IFERROR(INDEX(dmName,MATCH($C193,dmID,0)),"Unmapped"))</f>
        <v/>
      </c>
      <c r="BV193" s="76">
        <f>IF($C193="","",IFERROR(INDEX(dmEntity,MATCH($C193,dmID,0)),"Unmapped"))</f>
        <v/>
      </c>
      <c r="BW193" s="77">
        <f>IF($C193="","",IFERROR(INDEX(dmVintage,MATCH($C193,dmID,0)),""))</f>
        <v/>
      </c>
      <c r="BX193" s="78">
        <f>IFERROR(INDEX(dmInclude,MATCH($C193,dmID,0)),0)</f>
        <v/>
      </c>
      <c r="BY193" s="78">
        <f>IF(N($I193)&gt;0,1,0)</f>
        <v/>
      </c>
      <c r="BZ193" s="76">
        <f>IF($AJ193="","Other / Leased Fee",IFERROR(INDEX(mapPTGroup,MATCH(LEFT(TRIM($AJ193),2),mapPTCode,0)),"Other / Leased Fee"))</f>
        <v/>
      </c>
      <c r="CA193" s="76">
        <f>IF(TRIM($AF193&amp;"")="","NR",LEFT(TRIM($AF193),2))</f>
        <v/>
      </c>
      <c r="CB193" s="76">
        <f>IFERROR(LOOKUP(2,1/(LEFT(TRIM($AI193&amp;""),LEN(mapRegion))=mapRegion),mapRegion),"Not Reported")</f>
        <v/>
      </c>
      <c r="CC193" s="76">
        <f>IF($BY193=0,"",IF(TRIM($W193&amp;"")="REO","REO",IF(TRIM($W193&amp;"")="FC","Foreclosure",IF(TRIM($W193&amp;"")="90+","90+ Days Delinquent",IF(TRIM($W193&amp;"")="60","60 Days Delinquent",IF(TRIM($W193&amp;"")="30","30 Days Delinquent",IF($X193="Non-Performing Matured Balloon","Non-Performing Matured Balloon",IF(OR($X193="Late Payment But Less Than 30 Days Delinquent",LEFT($X193&amp;"",20)="Payment Not Received"),"Late / In Grace (&lt;30 Days)",IF($X193="Performing Matured Balloon","Performing Matured Balloon","Current")))))))))</f>
        <v/>
      </c>
      <c r="CD193" s="78">
        <f>IF(OR($CC193="REO",$CC193="Foreclosure",$CC193="90+ Days Delinquent",$CC193="60 Days Delinquent",$CC193="30 Days Delinquent",$CC193="Non-Performing Matured Balloon"),1,0)</f>
        <v/>
      </c>
      <c r="CE193" s="76">
        <f>IF($AB193="Currently special serv","Currently Specially Serviced",IF($AB193="Returned to master serv","Previously Specially Serviced","Never Specially Serviced"))</f>
        <v/>
      </c>
      <c r="CF193" s="78">
        <f>IF($CE193="Currently Specially Serviced",1,0)</f>
        <v/>
      </c>
      <c r="CG193" s="76">
        <f>IF($AA193="Yes","Currently on Watchlist",IF($AA193="Previously","Previously on Watchlist","Never on Watchlist"))</f>
        <v/>
      </c>
      <c r="CH193" s="78">
        <f>IF($CG193="Currently on Watchlist",1,0)</f>
        <v/>
      </c>
      <c r="CI193" s="76">
        <f>IF($Z193="Full Defeasance","Fully Defeased",IF($Z193="Portion Of Loan Previously Defeased","Partially Defeased",IF($Z193="Defeasance Not Allowable","Not Defeased (Not Permitted)","Not Defeased")))</f>
        <v/>
      </c>
      <c r="CJ193" s="78">
        <f>IF($CI193="Fully Defeased",1,0)</f>
        <v/>
      </c>
      <c r="CK193" s="76">
        <f>IF($R193="IO","Full IO",IF(LEFT($R193&amp;"",7)="IO then","Partial IO","Amortizing"))</f>
        <v/>
      </c>
      <c r="CL193" s="78">
        <f>IF($CK193="Full IO",1,0)</f>
        <v/>
      </c>
      <c r="CM193" s="78">
        <f>IF($CK193="Partial IO",1,0)</f>
        <v/>
      </c>
      <c r="CN193" s="76">
        <f>IF(LEFT($F193&amp;"",10)="SPLIT_LOAN","Pari Passu Split","Standalone")</f>
        <v/>
      </c>
      <c r="CO193" s="78">
        <f>IF($CN193="Pari Passu Split",1,0)</f>
        <v/>
      </c>
      <c r="CP193" s="77">
        <f>IF(ISNUMBER($T193),YEAR($T193),"")</f>
        <v/>
      </c>
      <c r="CQ193" s="79">
        <f>IF(ISNUMBER($V193),$V193,IF(ISNUMBER($U193),$U193,""))</f>
        <v/>
      </c>
      <c r="CR193" s="77">
        <f>IF(ISNUMBER($CQ193),YEAR($CQ193),"")</f>
        <v/>
      </c>
      <c r="CS193" s="78">
        <f>IF(ISNUMBER($M193),MAX(0,$M193),IF(TRIM($M193&amp;"")="matured",0,""))</f>
        <v/>
      </c>
      <c r="CT193" s="78">
        <f>IF(AND(ISNUMBER($CS193),N($CS193)&lt;=mMatWindow),1,0)</f>
        <v/>
      </c>
      <c r="CU193" s="80">
        <f>IF(ISNUMBER($J193),$J193/100,"")</f>
        <v/>
      </c>
      <c r="CV193" s="81">
        <f>IF(ISNUMBER($AQ193),$AQ193,"")</f>
        <v/>
      </c>
      <c r="CW193" s="81">
        <f>IF(ISNUMBER($AR193),$AR193,"")</f>
        <v/>
      </c>
      <c r="CX193" s="82">
        <f>IF(ISNUMBER($AS193),$AS193/100,"")</f>
        <v/>
      </c>
      <c r="CY193" s="82">
        <f>IF(ISNUMBER($AT193),$AT193/100,"")</f>
        <v/>
      </c>
      <c r="CZ193" s="82">
        <f>IF(ISNUMBER($AU193),$AU193/100,"")</f>
        <v/>
      </c>
      <c r="DA193" s="82">
        <f>IF(ISNUMBER($AV193),$AV193/100,"")</f>
        <v/>
      </c>
      <c r="DB193" s="82">
        <f>IF(ISNUMBER($AW193),$AW193/100,"")</f>
        <v/>
      </c>
      <c r="DC193" s="82">
        <f>IF(ISNUMBER($AX193),$AX193/100,"")</f>
        <v/>
      </c>
      <c r="DD193" s="77">
        <f>IFERROR(VALUE(LEFT(TRIM($AO193&amp;""),4)),"")</f>
        <v/>
      </c>
      <c r="DE193" s="78">
        <f>IF(AND($BY193=1,$BX193=1,OR(fDeal="All Deals",$BU193=fDeal),OR(fEntity="All Entities",$BV193=fEntity),OR(fPType="All Property Types",$BZ193=fPType),OR(fDefeased="Include",$CJ193=0)),1,0)</f>
        <v/>
      </c>
      <c r="DF193" s="83">
        <f>$DE193*N($I193)</f>
        <v/>
      </c>
      <c r="DG193" s="78">
        <f>IF($DE193=1,IF(COUNTIFS($F$8:$F193,$F193,$DE$8:$DE193,1)=1,1,0),0)</f>
        <v/>
      </c>
      <c r="DH193" s="83">
        <f>IF($DG193=1,SUMIFS($DF$8:$DF$1600,$F$8:$F$1600,$F193),0)</f>
        <v/>
      </c>
      <c r="DI193" s="78">
        <f>IF($DG193=1,COUNTIFS($F$8:$F$1600,$F193,$DE$8:$DE$1600,1),0)</f>
        <v/>
      </c>
      <c r="DJ193" s="84">
        <f>IF($DG193=1,$DH193+(100000-ROW())/mTieBreak,0)</f>
        <v/>
      </c>
    </row>
    <row r="194">
      <c r="B194" s="68" t="n">
        <v>71</v>
      </c>
      <c r="C194" s="69" t="inlineStr">
        <is>
          <t>WFC18C47</t>
        </is>
      </c>
      <c r="D194" s="69" t="inlineStr">
        <is>
          <t>71.000</t>
        </is>
      </c>
      <c r="E194" s="69" t="inlineStr">
        <is>
          <t>Forest Valley MHC</t>
        </is>
      </c>
      <c r="F194" s="69" t="inlineStr">
        <is>
          <t>LNWFC18C47-71.000</t>
        </is>
      </c>
      <c r="G194" s="70" t="n"/>
      <c r="H194" s="71" t="n">
        <v>1785000</v>
      </c>
      <c r="I194" s="71" t="n">
        <v>1602073.739999985</v>
      </c>
      <c r="J194" s="72" t="n">
        <v>5.8</v>
      </c>
      <c r="K194" s="69" t="inlineStr">
        <is>
          <t>Fixed rate</t>
        </is>
      </c>
      <c r="L194" s="68" t="n">
        <v>120</v>
      </c>
      <c r="M194" s="68" t="n">
        <v>22</v>
      </c>
      <c r="N194" s="68" t="n">
        <v>372</v>
      </c>
      <c r="O194" s="68" t="n">
        <v>12</v>
      </c>
      <c r="P194" s="68" t="n">
        <v>0</v>
      </c>
      <c r="Q194" s="68" t="n">
        <v>98</v>
      </c>
      <c r="R194" s="69" t="inlineStr">
        <is>
          <t>IO then Amort</t>
        </is>
      </c>
      <c r="S194" s="69" t="inlineStr">
        <is>
          <t>No</t>
        </is>
      </c>
      <c r="T194" s="73" t="n">
        <v>43282</v>
      </c>
      <c r="U194" s="73" t="n">
        <v>46945</v>
      </c>
      <c r="V194" s="73" t="n"/>
      <c r="W194" s="69" t="n"/>
      <c r="X194" s="69" t="inlineStr">
        <is>
          <t>Current</t>
        </is>
      </c>
      <c r="Y194" s="68" t="n"/>
      <c r="Z194" s="69" t="inlineStr">
        <is>
          <t>No Defeasance Occurred</t>
        </is>
      </c>
      <c r="AA194" s="69" t="n"/>
      <c r="AB194" s="69" t="inlineStr">
        <is>
          <t>Never special serv</t>
        </is>
      </c>
      <c r="AC194" s="73" t="n"/>
      <c r="AD194" s="69" t="n"/>
      <c r="AE194" s="69" t="n"/>
      <c r="AF194" s="69" t="inlineStr">
        <is>
          <t>GA</t>
        </is>
      </c>
      <c r="AG194" s="69" t="inlineStr">
        <is>
          <t>Ellenwood</t>
        </is>
      </c>
      <c r="AH194" s="69" t="inlineStr">
        <is>
          <t>Atlanta-Sandy Springs-Roswell, GA</t>
        </is>
      </c>
      <c r="AI194" s="69" t="inlineStr">
        <is>
          <t>South / Atlantic</t>
        </is>
      </c>
      <c r="AJ194" s="69" t="inlineStr">
        <is>
          <t>MH</t>
        </is>
      </c>
      <c r="AK194" s="69" t="n"/>
      <c r="AL194" s="68" t="n">
        <v>1</v>
      </c>
      <c r="AM194" s="68" t="n">
        <v>84</v>
      </c>
      <c r="AN194" s="68" t="n"/>
      <c r="AO194" s="69" t="inlineStr">
        <is>
          <t>1967</t>
        </is>
      </c>
      <c r="AP194" s="70" t="n">
        <v>1967</v>
      </c>
      <c r="AQ194" s="74" t="n">
        <v>1.39</v>
      </c>
      <c r="AR194" s="74" t="n">
        <v>2.61</v>
      </c>
      <c r="AS194" s="74" t="n">
        <v>75</v>
      </c>
      <c r="AT194" s="74" t="n">
        <v>67.31</v>
      </c>
      <c r="AU194" s="74" t="n">
        <v>64.8</v>
      </c>
      <c r="AV194" s="74" t="n">
        <v>9.804817927</v>
      </c>
      <c r="AW194" s="74" t="n">
        <v>16.019293219</v>
      </c>
      <c r="AX194" s="75" t="n">
        <v>89</v>
      </c>
      <c r="AY194" s="71" t="n">
        <v>2380000</v>
      </c>
      <c r="AZ194" s="71" t="n">
        <v>2380000</v>
      </c>
      <c r="BA194" s="71" t="n">
        <v>175016</v>
      </c>
      <c r="BB194" s="71" t="n">
        <v>163738.39</v>
      </c>
      <c r="BC194" s="69" t="inlineStr">
        <is>
          <t>Acquisition</t>
        </is>
      </c>
      <c r="BD194" s="69" t="inlineStr">
        <is>
          <t>N</t>
        </is>
      </c>
      <c r="BE194" s="71" t="n"/>
      <c r="BF194" s="71" t="n"/>
      <c r="BG194" s="71" t="n"/>
      <c r="BH194" s="71" t="n">
        <v>0</v>
      </c>
      <c r="BI194" s="71" t="n">
        <v>0</v>
      </c>
      <c r="BJ194" s="69" t="inlineStr">
        <is>
          <t>N</t>
        </is>
      </c>
      <c r="BK194" s="69" t="n"/>
      <c r="BL194" s="75" t="n"/>
      <c r="BM194" s="73" t="n"/>
      <c r="BN194" s="69" t="inlineStr">
        <is>
          <t>Douglas A. Dattilo; Roland Hauber</t>
        </is>
      </c>
      <c r="BO194" s="69" t="inlineStr">
        <is>
          <t>CIII Capital</t>
        </is>
      </c>
      <c r="BP194" s="69" t="inlineStr">
        <is>
          <t>TriMont Real Estate Advisors</t>
        </is>
      </c>
      <c r="BQ194" s="69" t="inlineStr">
        <is>
          <t>K-Star Asset Management LLC</t>
        </is>
      </c>
      <c r="BR194" s="69" t="n"/>
      <c r="BS194" s="73" t="n">
        <v>46276</v>
      </c>
      <c r="BU194" s="76">
        <f>IF($C194="","",IFERROR(INDEX(dmName,MATCH($C194,dmID,0)),"Unmapped"))</f>
        <v/>
      </c>
      <c r="BV194" s="76">
        <f>IF($C194="","",IFERROR(INDEX(dmEntity,MATCH($C194,dmID,0)),"Unmapped"))</f>
        <v/>
      </c>
      <c r="BW194" s="77">
        <f>IF($C194="","",IFERROR(INDEX(dmVintage,MATCH($C194,dmID,0)),""))</f>
        <v/>
      </c>
      <c r="BX194" s="78">
        <f>IFERROR(INDEX(dmInclude,MATCH($C194,dmID,0)),0)</f>
        <v/>
      </c>
      <c r="BY194" s="78">
        <f>IF(N($I194)&gt;0,1,0)</f>
        <v/>
      </c>
      <c r="BZ194" s="76">
        <f>IF($AJ194="","Other / Leased Fee",IFERROR(INDEX(mapPTGroup,MATCH(LEFT(TRIM($AJ194),2),mapPTCode,0)),"Other / Leased Fee"))</f>
        <v/>
      </c>
      <c r="CA194" s="76">
        <f>IF(TRIM($AF194&amp;"")="","NR",LEFT(TRIM($AF194),2))</f>
        <v/>
      </c>
      <c r="CB194" s="76">
        <f>IFERROR(LOOKUP(2,1/(LEFT(TRIM($AI194&amp;""),LEN(mapRegion))=mapRegion),mapRegion),"Not Reported")</f>
        <v/>
      </c>
      <c r="CC194" s="76">
        <f>IF($BY194=0,"",IF(TRIM($W194&amp;"")="REO","REO",IF(TRIM($W194&amp;"")="FC","Foreclosure",IF(TRIM($W194&amp;"")="90+","90+ Days Delinquent",IF(TRIM($W194&amp;"")="60","60 Days Delinquent",IF(TRIM($W194&amp;"")="30","30 Days Delinquent",IF($X194="Non-Performing Matured Balloon","Non-Performing Matured Balloon",IF(OR($X194="Late Payment But Less Than 30 Days Delinquent",LEFT($X194&amp;"",20)="Payment Not Received"),"Late / In Grace (&lt;30 Days)",IF($X194="Performing Matured Balloon","Performing Matured Balloon","Current")))))))))</f>
        <v/>
      </c>
      <c r="CD194" s="78">
        <f>IF(OR($CC194="REO",$CC194="Foreclosure",$CC194="90+ Days Delinquent",$CC194="60 Days Delinquent",$CC194="30 Days Delinquent",$CC194="Non-Performing Matured Balloon"),1,0)</f>
        <v/>
      </c>
      <c r="CE194" s="76">
        <f>IF($AB194="Currently special serv","Currently Specially Serviced",IF($AB194="Returned to master serv","Previously Specially Serviced","Never Specially Serviced"))</f>
        <v/>
      </c>
      <c r="CF194" s="78">
        <f>IF($CE194="Currently Specially Serviced",1,0)</f>
        <v/>
      </c>
      <c r="CG194" s="76">
        <f>IF($AA194="Yes","Currently on Watchlist",IF($AA194="Previously","Previously on Watchlist","Never on Watchlist"))</f>
        <v/>
      </c>
      <c r="CH194" s="78">
        <f>IF($CG194="Currently on Watchlist",1,0)</f>
        <v/>
      </c>
      <c r="CI194" s="76">
        <f>IF($Z194="Full Defeasance","Fully Defeased",IF($Z194="Portion Of Loan Previously Defeased","Partially Defeased",IF($Z194="Defeasance Not Allowable","Not Defeased (Not Permitted)","Not Defeased")))</f>
        <v/>
      </c>
      <c r="CJ194" s="78">
        <f>IF($CI194="Fully Defeased",1,0)</f>
        <v/>
      </c>
      <c r="CK194" s="76">
        <f>IF($R194="IO","Full IO",IF(LEFT($R194&amp;"",7)="IO then","Partial IO","Amortizing"))</f>
        <v/>
      </c>
      <c r="CL194" s="78">
        <f>IF($CK194="Full IO",1,0)</f>
        <v/>
      </c>
      <c r="CM194" s="78">
        <f>IF($CK194="Partial IO",1,0)</f>
        <v/>
      </c>
      <c r="CN194" s="76">
        <f>IF(LEFT($F194&amp;"",10)="SPLIT_LOAN","Pari Passu Split","Standalone")</f>
        <v/>
      </c>
      <c r="CO194" s="78">
        <f>IF($CN194="Pari Passu Split",1,0)</f>
        <v/>
      </c>
      <c r="CP194" s="77">
        <f>IF(ISNUMBER($T194),YEAR($T194),"")</f>
        <v/>
      </c>
      <c r="CQ194" s="79">
        <f>IF(ISNUMBER($V194),$V194,IF(ISNUMBER($U194),$U194,""))</f>
        <v/>
      </c>
      <c r="CR194" s="77">
        <f>IF(ISNUMBER($CQ194),YEAR($CQ194),"")</f>
        <v/>
      </c>
      <c r="CS194" s="78">
        <f>IF(ISNUMBER($M194),MAX(0,$M194),IF(TRIM($M194&amp;"")="matured",0,""))</f>
        <v/>
      </c>
      <c r="CT194" s="78">
        <f>IF(AND(ISNUMBER($CS194),N($CS194)&lt;=mMatWindow),1,0)</f>
        <v/>
      </c>
      <c r="CU194" s="80">
        <f>IF(ISNUMBER($J194),$J194/100,"")</f>
        <v/>
      </c>
      <c r="CV194" s="81">
        <f>IF(ISNUMBER($AQ194),$AQ194,"")</f>
        <v/>
      </c>
      <c r="CW194" s="81">
        <f>IF(ISNUMBER($AR194),$AR194,"")</f>
        <v/>
      </c>
      <c r="CX194" s="82">
        <f>IF(ISNUMBER($AS194),$AS194/100,"")</f>
        <v/>
      </c>
      <c r="CY194" s="82">
        <f>IF(ISNUMBER($AT194),$AT194/100,"")</f>
        <v/>
      </c>
      <c r="CZ194" s="82">
        <f>IF(ISNUMBER($AU194),$AU194/100,"")</f>
        <v/>
      </c>
      <c r="DA194" s="82">
        <f>IF(ISNUMBER($AV194),$AV194/100,"")</f>
        <v/>
      </c>
      <c r="DB194" s="82">
        <f>IF(ISNUMBER($AW194),$AW194/100,"")</f>
        <v/>
      </c>
      <c r="DC194" s="82">
        <f>IF(ISNUMBER($AX194),$AX194/100,"")</f>
        <v/>
      </c>
      <c r="DD194" s="77">
        <f>IFERROR(VALUE(LEFT(TRIM($AO194&amp;""),4)),"")</f>
        <v/>
      </c>
      <c r="DE194" s="78">
        <f>IF(AND($BY194=1,$BX194=1,OR(fDeal="All Deals",$BU194=fDeal),OR(fEntity="All Entities",$BV194=fEntity),OR(fPType="All Property Types",$BZ194=fPType),OR(fDefeased="Include",$CJ194=0)),1,0)</f>
        <v/>
      </c>
      <c r="DF194" s="83">
        <f>$DE194*N($I194)</f>
        <v/>
      </c>
      <c r="DG194" s="78">
        <f>IF($DE194=1,IF(COUNTIFS($F$8:$F194,$F194,$DE$8:$DE194,1)=1,1,0),0)</f>
        <v/>
      </c>
      <c r="DH194" s="83">
        <f>IF($DG194=1,SUMIFS($DF$8:$DF$1600,$F$8:$F$1600,$F194),0)</f>
        <v/>
      </c>
      <c r="DI194" s="78">
        <f>IF($DG194=1,COUNTIFS($F$8:$F$1600,$F194,$DE$8:$DE$1600,1),0)</f>
        <v/>
      </c>
      <c r="DJ194" s="84">
        <f>IF($DG194=1,$DH194+(100000-ROW())/mTieBreak,0)</f>
        <v/>
      </c>
    </row>
    <row r="195">
      <c r="B195" s="68" t="n">
        <v>72</v>
      </c>
      <c r="C195" s="69" t="inlineStr">
        <is>
          <t>WFC18C47</t>
        </is>
      </c>
      <c r="D195" s="69" t="inlineStr">
        <is>
          <t>72.000</t>
        </is>
      </c>
      <c r="E195" s="69" t="inlineStr">
        <is>
          <t>Frontier Urban Village</t>
        </is>
      </c>
      <c r="F195" s="69" t="inlineStr">
        <is>
          <t>LNWFC18C47-72.000</t>
        </is>
      </c>
      <c r="G195" s="70" t="n"/>
      <c r="H195" s="71" t="n">
        <v>1525000</v>
      </c>
      <c r="I195" s="71" t="n">
        <v>1525000</v>
      </c>
      <c r="J195" s="72" t="n">
        <v>5.2</v>
      </c>
      <c r="K195" s="69" t="inlineStr">
        <is>
          <t>Fixed rate</t>
        </is>
      </c>
      <c r="L195" s="68" t="n">
        <v>120</v>
      </c>
      <c r="M195" s="68" t="n">
        <v>23</v>
      </c>
      <c r="N195" s="68" t="n">
        <v>120</v>
      </c>
      <c r="O195" s="68" t="n">
        <v>120</v>
      </c>
      <c r="P195" s="68" t="n">
        <v>23</v>
      </c>
      <c r="Q195" s="68" t="n">
        <v>97</v>
      </c>
      <c r="R195" s="69" t="inlineStr">
        <is>
          <t>IO</t>
        </is>
      </c>
      <c r="S195" s="69" t="inlineStr">
        <is>
          <t>Yes</t>
        </is>
      </c>
      <c r="T195" s="73" t="n">
        <v>43313</v>
      </c>
      <c r="U195" s="73" t="n">
        <v>46976</v>
      </c>
      <c r="V195" s="73" t="n"/>
      <c r="W195" s="69" t="n"/>
      <c r="X195" s="69" t="inlineStr">
        <is>
          <t>Current</t>
        </is>
      </c>
      <c r="Y195" s="68" t="n"/>
      <c r="Z195" s="69" t="inlineStr">
        <is>
          <t>Full Defeasance</t>
        </is>
      </c>
      <c r="AA195" s="69" t="n"/>
      <c r="AB195" s="69" t="inlineStr">
        <is>
          <t>Never special serv</t>
        </is>
      </c>
      <c r="AC195" s="73" t="n"/>
      <c r="AD195" s="69" t="n"/>
      <c r="AE195" s="69" t="n"/>
      <c r="AF195" s="69" t="inlineStr">
        <is>
          <t>OR</t>
        </is>
      </c>
      <c r="AG195" s="69" t="inlineStr">
        <is>
          <t>Clackamas</t>
        </is>
      </c>
      <c r="AH195" s="69" t="inlineStr">
        <is>
          <t>Portland-Vancouver-Hillsboro, OR-WA</t>
        </is>
      </c>
      <c r="AI195" s="69" t="inlineStr">
        <is>
          <t>West / Pacific North</t>
        </is>
      </c>
      <c r="AJ195" s="69" t="inlineStr">
        <is>
          <t>MH</t>
        </is>
      </c>
      <c r="AK195" s="69" t="n"/>
      <c r="AL195" s="68" t="n">
        <v>1</v>
      </c>
      <c r="AM195" s="68" t="n">
        <v>44</v>
      </c>
      <c r="AN195" s="68" t="n"/>
      <c r="AO195" s="69" t="inlineStr">
        <is>
          <t>1950</t>
        </is>
      </c>
      <c r="AP195" s="70" t="n">
        <v>2017</v>
      </c>
      <c r="AQ195" s="74" t="n">
        <v>1.81</v>
      </c>
      <c r="AR195" s="74" t="n">
        <v>3.18</v>
      </c>
      <c r="AS195" s="74" t="n">
        <v>49.7</v>
      </c>
      <c r="AT195" s="74" t="n">
        <v>49.67</v>
      </c>
      <c r="AU195" s="74" t="n">
        <v>49.7</v>
      </c>
      <c r="AV195" s="74" t="n">
        <v>9.540127213</v>
      </c>
      <c r="AW195" s="74" t="n">
        <v>14.007866885</v>
      </c>
      <c r="AX195" s="75" t="n">
        <v>100</v>
      </c>
      <c r="AY195" s="71" t="n">
        <v>3070000</v>
      </c>
      <c r="AZ195" s="71" t="n">
        <v>3070000</v>
      </c>
      <c r="BA195" s="71" t="n">
        <v>145486.94</v>
      </c>
      <c r="BB195" s="71" t="n">
        <v>127352.21</v>
      </c>
      <c r="BC195" s="69" t="inlineStr">
        <is>
          <t>Acquisition</t>
        </is>
      </c>
      <c r="BD195" s="69" t="inlineStr">
        <is>
          <t>N</t>
        </is>
      </c>
      <c r="BE195" s="71" t="n"/>
      <c r="BF195" s="71" t="n"/>
      <c r="BG195" s="71" t="n"/>
      <c r="BH195" s="71" t="n">
        <v>0</v>
      </c>
      <c r="BI195" s="71" t="n">
        <v>0</v>
      </c>
      <c r="BJ195" s="69" t="inlineStr">
        <is>
          <t>N</t>
        </is>
      </c>
      <c r="BK195" s="69" t="n"/>
      <c r="BL195" s="75" t="n"/>
      <c r="BM195" s="73" t="n"/>
      <c r="BN195" s="69" t="inlineStr">
        <is>
          <t>Daniel R. Weisfield; Joel D. Kelman</t>
        </is>
      </c>
      <c r="BO195" s="69" t="inlineStr">
        <is>
          <t>CIII Capital</t>
        </is>
      </c>
      <c r="BP195" s="69" t="inlineStr">
        <is>
          <t>TriMont Real Estate Advisors</t>
        </is>
      </c>
      <c r="BQ195" s="69" t="inlineStr">
        <is>
          <t>K-Star Asset Management LLC</t>
        </is>
      </c>
      <c r="BR195" s="69" t="n"/>
      <c r="BS195" s="73" t="n">
        <v>46276</v>
      </c>
      <c r="BU195" s="76">
        <f>IF($C195="","",IFERROR(INDEX(dmName,MATCH($C195,dmID,0)),"Unmapped"))</f>
        <v/>
      </c>
      <c r="BV195" s="76">
        <f>IF($C195="","",IFERROR(INDEX(dmEntity,MATCH($C195,dmID,0)),"Unmapped"))</f>
        <v/>
      </c>
      <c r="BW195" s="77">
        <f>IF($C195="","",IFERROR(INDEX(dmVintage,MATCH($C195,dmID,0)),""))</f>
        <v/>
      </c>
      <c r="BX195" s="78">
        <f>IFERROR(INDEX(dmInclude,MATCH($C195,dmID,0)),0)</f>
        <v/>
      </c>
      <c r="BY195" s="78">
        <f>IF(N($I195)&gt;0,1,0)</f>
        <v/>
      </c>
      <c r="BZ195" s="76">
        <f>IF($AJ195="","Other / Leased Fee",IFERROR(INDEX(mapPTGroup,MATCH(LEFT(TRIM($AJ195),2),mapPTCode,0)),"Other / Leased Fee"))</f>
        <v/>
      </c>
      <c r="CA195" s="76">
        <f>IF(TRIM($AF195&amp;"")="","NR",LEFT(TRIM($AF195),2))</f>
        <v/>
      </c>
      <c r="CB195" s="76">
        <f>IFERROR(LOOKUP(2,1/(LEFT(TRIM($AI195&amp;""),LEN(mapRegion))=mapRegion),mapRegion),"Not Reported")</f>
        <v/>
      </c>
      <c r="CC195" s="76">
        <f>IF($BY195=0,"",IF(TRIM($W195&amp;"")="REO","REO",IF(TRIM($W195&amp;"")="FC","Foreclosure",IF(TRIM($W195&amp;"")="90+","90+ Days Delinquent",IF(TRIM($W195&amp;"")="60","60 Days Delinquent",IF(TRIM($W195&amp;"")="30","30 Days Delinquent",IF($X195="Non-Performing Matured Balloon","Non-Performing Matured Balloon",IF(OR($X195="Late Payment But Less Than 30 Days Delinquent",LEFT($X195&amp;"",20)="Payment Not Received"),"Late / In Grace (&lt;30 Days)",IF($X195="Performing Matured Balloon","Performing Matured Balloon","Current")))))))))</f>
        <v/>
      </c>
      <c r="CD195" s="78">
        <f>IF(OR($CC195="REO",$CC195="Foreclosure",$CC195="90+ Days Delinquent",$CC195="60 Days Delinquent",$CC195="30 Days Delinquent",$CC195="Non-Performing Matured Balloon"),1,0)</f>
        <v/>
      </c>
      <c r="CE195" s="76">
        <f>IF($AB195="Currently special serv","Currently Specially Serviced",IF($AB195="Returned to master serv","Previously Specially Serviced","Never Specially Serviced"))</f>
        <v/>
      </c>
      <c r="CF195" s="78">
        <f>IF($CE195="Currently Specially Serviced",1,0)</f>
        <v/>
      </c>
      <c r="CG195" s="76">
        <f>IF($AA195="Yes","Currently on Watchlist",IF($AA195="Previously","Previously on Watchlist","Never on Watchlist"))</f>
        <v/>
      </c>
      <c r="CH195" s="78">
        <f>IF($CG195="Currently on Watchlist",1,0)</f>
        <v/>
      </c>
      <c r="CI195" s="76">
        <f>IF($Z195="Full Defeasance","Fully Defeased",IF($Z195="Portion Of Loan Previously Defeased","Partially Defeased",IF($Z195="Defeasance Not Allowable","Not Defeased (Not Permitted)","Not Defeased")))</f>
        <v/>
      </c>
      <c r="CJ195" s="78">
        <f>IF($CI195="Fully Defeased",1,0)</f>
        <v/>
      </c>
      <c r="CK195" s="76">
        <f>IF($R195="IO","Full IO",IF(LEFT($R195&amp;"",7)="IO then","Partial IO","Amortizing"))</f>
        <v/>
      </c>
      <c r="CL195" s="78">
        <f>IF($CK195="Full IO",1,0)</f>
        <v/>
      </c>
      <c r="CM195" s="78">
        <f>IF($CK195="Partial IO",1,0)</f>
        <v/>
      </c>
      <c r="CN195" s="76">
        <f>IF(LEFT($F195&amp;"",10)="SPLIT_LOAN","Pari Passu Split","Standalone")</f>
        <v/>
      </c>
      <c r="CO195" s="78">
        <f>IF($CN195="Pari Passu Split",1,0)</f>
        <v/>
      </c>
      <c r="CP195" s="77">
        <f>IF(ISNUMBER($T195),YEAR($T195),"")</f>
        <v/>
      </c>
      <c r="CQ195" s="79">
        <f>IF(ISNUMBER($V195),$V195,IF(ISNUMBER($U195),$U195,""))</f>
        <v/>
      </c>
      <c r="CR195" s="77">
        <f>IF(ISNUMBER($CQ195),YEAR($CQ195),"")</f>
        <v/>
      </c>
      <c r="CS195" s="78">
        <f>IF(ISNUMBER($M195),MAX(0,$M195),IF(TRIM($M195&amp;"")="matured",0,""))</f>
        <v/>
      </c>
      <c r="CT195" s="78">
        <f>IF(AND(ISNUMBER($CS195),N($CS195)&lt;=mMatWindow),1,0)</f>
        <v/>
      </c>
      <c r="CU195" s="80">
        <f>IF(ISNUMBER($J195),$J195/100,"")</f>
        <v/>
      </c>
      <c r="CV195" s="81">
        <f>IF(ISNUMBER($AQ195),$AQ195,"")</f>
        <v/>
      </c>
      <c r="CW195" s="81">
        <f>IF(ISNUMBER($AR195),$AR195,"")</f>
        <v/>
      </c>
      <c r="CX195" s="82">
        <f>IF(ISNUMBER($AS195),$AS195/100,"")</f>
        <v/>
      </c>
      <c r="CY195" s="82">
        <f>IF(ISNUMBER($AT195),$AT195/100,"")</f>
        <v/>
      </c>
      <c r="CZ195" s="82">
        <f>IF(ISNUMBER($AU195),$AU195/100,"")</f>
        <v/>
      </c>
      <c r="DA195" s="82">
        <f>IF(ISNUMBER($AV195),$AV195/100,"")</f>
        <v/>
      </c>
      <c r="DB195" s="82">
        <f>IF(ISNUMBER($AW195),$AW195/100,"")</f>
        <v/>
      </c>
      <c r="DC195" s="82">
        <f>IF(ISNUMBER($AX195),$AX195/100,"")</f>
        <v/>
      </c>
      <c r="DD195" s="77">
        <f>IFERROR(VALUE(LEFT(TRIM($AO195&amp;""),4)),"")</f>
        <v/>
      </c>
      <c r="DE195" s="78">
        <f>IF(AND($BY195=1,$BX195=1,OR(fDeal="All Deals",$BU195=fDeal),OR(fEntity="All Entities",$BV195=fEntity),OR(fPType="All Property Types",$BZ195=fPType),OR(fDefeased="Include",$CJ195=0)),1,0)</f>
        <v/>
      </c>
      <c r="DF195" s="83">
        <f>$DE195*N($I195)</f>
        <v/>
      </c>
      <c r="DG195" s="78">
        <f>IF($DE195=1,IF(COUNTIFS($F$8:$F195,$F195,$DE$8:$DE195,1)=1,1,0),0)</f>
        <v/>
      </c>
      <c r="DH195" s="83">
        <f>IF($DG195=1,SUMIFS($DF$8:$DF$1600,$F$8:$F$1600,$F195),0)</f>
        <v/>
      </c>
      <c r="DI195" s="78">
        <f>IF($DG195=1,COUNTIFS($F$8:$F$1600,$F195,$DE$8:$DE$1600,1),0)</f>
        <v/>
      </c>
      <c r="DJ195" s="84">
        <f>IF($DG195=1,$DH195+(100000-ROW())/mTieBreak,0)</f>
        <v/>
      </c>
    </row>
    <row r="196">
      <c r="B196" s="68" t="n">
        <v>73</v>
      </c>
      <c r="C196" s="69" t="inlineStr">
        <is>
          <t>WFC18C47</t>
        </is>
      </c>
      <c r="D196" s="69" t="inlineStr">
        <is>
          <t>73.000</t>
        </is>
      </c>
      <c r="E196" s="69" t="inlineStr">
        <is>
          <t>Tratel Morro Bay</t>
        </is>
      </c>
      <c r="F196" s="69" t="inlineStr">
        <is>
          <t>LNWFC18C47-73.000</t>
        </is>
      </c>
      <c r="G196" s="70" t="n"/>
      <c r="H196" s="71" t="n">
        <v>1375000</v>
      </c>
      <c r="I196" s="71" t="n">
        <v>1375000</v>
      </c>
      <c r="J196" s="72" t="n">
        <v>5.47</v>
      </c>
      <c r="K196" s="69" t="inlineStr">
        <is>
          <t>Fixed rate</t>
        </is>
      </c>
      <c r="L196" s="68" t="n">
        <v>120</v>
      </c>
      <c r="M196" s="68" t="n">
        <v>24</v>
      </c>
      <c r="N196" s="68" t="n">
        <v>120</v>
      </c>
      <c r="O196" s="68" t="n">
        <v>120</v>
      </c>
      <c r="P196" s="68" t="n">
        <v>24</v>
      </c>
      <c r="Q196" s="68" t="n">
        <v>96</v>
      </c>
      <c r="R196" s="69" t="inlineStr">
        <is>
          <t>IO</t>
        </is>
      </c>
      <c r="S196" s="69" t="inlineStr">
        <is>
          <t>Yes</t>
        </is>
      </c>
      <c r="T196" s="73" t="n">
        <v>43344</v>
      </c>
      <c r="U196" s="73" t="n">
        <v>47007</v>
      </c>
      <c r="V196" s="73" t="n"/>
      <c r="W196" s="69" t="n"/>
      <c r="X196" s="69" t="inlineStr">
        <is>
          <t>Current</t>
        </is>
      </c>
      <c r="Y196" s="68" t="n"/>
      <c r="Z196" s="69" t="inlineStr">
        <is>
          <t>No Defeasance Occurred</t>
        </is>
      </c>
      <c r="AA196" s="69" t="inlineStr">
        <is>
          <t>Previously</t>
        </is>
      </c>
      <c r="AB196" s="69" t="inlineStr">
        <is>
          <t>Never special serv</t>
        </is>
      </c>
      <c r="AC196" s="73" t="n"/>
      <c r="AD196" s="69" t="n"/>
      <c r="AE196" s="69" t="n"/>
      <c r="AF196" s="69" t="inlineStr">
        <is>
          <t>CA</t>
        </is>
      </c>
      <c r="AG196" s="69" t="inlineStr">
        <is>
          <t>Morro Bay</t>
        </is>
      </c>
      <c r="AH196" s="69" t="inlineStr">
        <is>
          <t>San Luis Obispo-Paso Robles, CA</t>
        </is>
      </c>
      <c r="AI196" s="69" t="inlineStr">
        <is>
          <t>West / Pacific South</t>
        </is>
      </c>
      <c r="AJ196" s="69" t="inlineStr">
        <is>
          <t>MH</t>
        </is>
      </c>
      <c r="AK196" s="69" t="n"/>
      <c r="AL196" s="68" t="n">
        <v>1</v>
      </c>
      <c r="AM196" s="68" t="n">
        <v>51</v>
      </c>
      <c r="AN196" s="68" t="n"/>
      <c r="AO196" s="69" t="inlineStr">
        <is>
          <t>1952</t>
        </is>
      </c>
      <c r="AP196" s="70" t="n">
        <v>2018</v>
      </c>
      <c r="AQ196" s="74" t="n">
        <v>1.84</v>
      </c>
      <c r="AR196" s="74" t="n">
        <v>3.16</v>
      </c>
      <c r="AS196" s="74" t="n">
        <v>50</v>
      </c>
      <c r="AT196" s="74" t="n">
        <v>50</v>
      </c>
      <c r="AU196" s="74" t="n">
        <v>50</v>
      </c>
      <c r="AV196" s="74" t="n">
        <v>10.220534545</v>
      </c>
      <c r="AW196" s="74" t="n">
        <v>18.692811636</v>
      </c>
      <c r="AX196" s="75" t="n">
        <v>96</v>
      </c>
      <c r="AY196" s="71" t="n">
        <v>2750000</v>
      </c>
      <c r="AZ196" s="71" t="n">
        <v>2750000</v>
      </c>
      <c r="BA196" s="71" t="n">
        <v>140532.35</v>
      </c>
      <c r="BB196" s="71" t="n">
        <v>120148.76</v>
      </c>
      <c r="BC196" s="69" t="inlineStr">
        <is>
          <t>Acquisition</t>
        </is>
      </c>
      <c r="BD196" s="69" t="inlineStr">
        <is>
          <t>N</t>
        </is>
      </c>
      <c r="BE196" s="71" t="n"/>
      <c r="BF196" s="71" t="n"/>
      <c r="BG196" s="71" t="n"/>
      <c r="BH196" s="71" t="n">
        <v>0</v>
      </c>
      <c r="BI196" s="71" t="n">
        <v>0</v>
      </c>
      <c r="BJ196" s="69" t="inlineStr">
        <is>
          <t>N</t>
        </is>
      </c>
      <c r="BK196" s="69" t="n"/>
      <c r="BL196" s="75" t="n"/>
      <c r="BM196" s="73" t="n"/>
      <c r="BN196" s="69" t="inlineStr">
        <is>
          <t>Angus Keith; Frances V.Keith; Angus Keith and Frances V.Keith as trustee of The Keith Family Revocable Trust Established March 7, 2005</t>
        </is>
      </c>
      <c r="BO196" s="69" t="inlineStr">
        <is>
          <t>CIII Capital</t>
        </is>
      </c>
      <c r="BP196" s="69" t="inlineStr">
        <is>
          <t>TriMont Real Estate Advisors</t>
        </is>
      </c>
      <c r="BQ196" s="69" t="inlineStr">
        <is>
          <t>K-Star Asset Management LLC</t>
        </is>
      </c>
      <c r="BR196" s="69" t="n"/>
      <c r="BS196" s="73" t="n">
        <v>46276</v>
      </c>
      <c r="BU196" s="76">
        <f>IF($C196="","",IFERROR(INDEX(dmName,MATCH($C196,dmID,0)),"Unmapped"))</f>
        <v/>
      </c>
      <c r="BV196" s="76">
        <f>IF($C196="","",IFERROR(INDEX(dmEntity,MATCH($C196,dmID,0)),"Unmapped"))</f>
        <v/>
      </c>
      <c r="BW196" s="77">
        <f>IF($C196="","",IFERROR(INDEX(dmVintage,MATCH($C196,dmID,0)),""))</f>
        <v/>
      </c>
      <c r="BX196" s="78">
        <f>IFERROR(INDEX(dmInclude,MATCH($C196,dmID,0)),0)</f>
        <v/>
      </c>
      <c r="BY196" s="78">
        <f>IF(N($I196)&gt;0,1,0)</f>
        <v/>
      </c>
      <c r="BZ196" s="76">
        <f>IF($AJ196="","Other / Leased Fee",IFERROR(INDEX(mapPTGroup,MATCH(LEFT(TRIM($AJ196),2),mapPTCode,0)),"Other / Leased Fee"))</f>
        <v/>
      </c>
      <c r="CA196" s="76">
        <f>IF(TRIM($AF196&amp;"")="","NR",LEFT(TRIM($AF196),2))</f>
        <v/>
      </c>
      <c r="CB196" s="76">
        <f>IFERROR(LOOKUP(2,1/(LEFT(TRIM($AI196&amp;""),LEN(mapRegion))=mapRegion),mapRegion),"Not Reported")</f>
        <v/>
      </c>
      <c r="CC196" s="76">
        <f>IF($BY196=0,"",IF(TRIM($W196&amp;"")="REO","REO",IF(TRIM($W196&amp;"")="FC","Foreclosure",IF(TRIM($W196&amp;"")="90+","90+ Days Delinquent",IF(TRIM($W196&amp;"")="60","60 Days Delinquent",IF(TRIM($W196&amp;"")="30","30 Days Delinquent",IF($X196="Non-Performing Matured Balloon","Non-Performing Matured Balloon",IF(OR($X196="Late Payment But Less Than 30 Days Delinquent",LEFT($X196&amp;"",20)="Payment Not Received"),"Late / In Grace (&lt;30 Days)",IF($X196="Performing Matured Balloon","Performing Matured Balloon","Current")))))))))</f>
        <v/>
      </c>
      <c r="CD196" s="78">
        <f>IF(OR($CC196="REO",$CC196="Foreclosure",$CC196="90+ Days Delinquent",$CC196="60 Days Delinquent",$CC196="30 Days Delinquent",$CC196="Non-Performing Matured Balloon"),1,0)</f>
        <v/>
      </c>
      <c r="CE196" s="76">
        <f>IF($AB196="Currently special serv","Currently Specially Serviced",IF($AB196="Returned to master serv","Previously Specially Serviced","Never Specially Serviced"))</f>
        <v/>
      </c>
      <c r="CF196" s="78">
        <f>IF($CE196="Currently Specially Serviced",1,0)</f>
        <v/>
      </c>
      <c r="CG196" s="76">
        <f>IF($AA196="Yes","Currently on Watchlist",IF($AA196="Previously","Previously on Watchlist","Never on Watchlist"))</f>
        <v/>
      </c>
      <c r="CH196" s="78">
        <f>IF($CG196="Currently on Watchlist",1,0)</f>
        <v/>
      </c>
      <c r="CI196" s="76">
        <f>IF($Z196="Full Defeasance","Fully Defeased",IF($Z196="Portion Of Loan Previously Defeased","Partially Defeased",IF($Z196="Defeasance Not Allowable","Not Defeased (Not Permitted)","Not Defeased")))</f>
        <v/>
      </c>
      <c r="CJ196" s="78">
        <f>IF($CI196="Fully Defeased",1,0)</f>
        <v/>
      </c>
      <c r="CK196" s="76">
        <f>IF($R196="IO","Full IO",IF(LEFT($R196&amp;"",7)="IO then","Partial IO","Amortizing"))</f>
        <v/>
      </c>
      <c r="CL196" s="78">
        <f>IF($CK196="Full IO",1,0)</f>
        <v/>
      </c>
      <c r="CM196" s="78">
        <f>IF($CK196="Partial IO",1,0)</f>
        <v/>
      </c>
      <c r="CN196" s="76">
        <f>IF(LEFT($F196&amp;"",10)="SPLIT_LOAN","Pari Passu Split","Standalone")</f>
        <v/>
      </c>
      <c r="CO196" s="78">
        <f>IF($CN196="Pari Passu Split",1,0)</f>
        <v/>
      </c>
      <c r="CP196" s="77">
        <f>IF(ISNUMBER($T196),YEAR($T196),"")</f>
        <v/>
      </c>
      <c r="CQ196" s="79">
        <f>IF(ISNUMBER($V196),$V196,IF(ISNUMBER($U196),$U196,""))</f>
        <v/>
      </c>
      <c r="CR196" s="77">
        <f>IF(ISNUMBER($CQ196),YEAR($CQ196),"")</f>
        <v/>
      </c>
      <c r="CS196" s="78">
        <f>IF(ISNUMBER($M196),MAX(0,$M196),IF(TRIM($M196&amp;"")="matured",0,""))</f>
        <v/>
      </c>
      <c r="CT196" s="78">
        <f>IF(AND(ISNUMBER($CS196),N($CS196)&lt;=mMatWindow),1,0)</f>
        <v/>
      </c>
      <c r="CU196" s="80">
        <f>IF(ISNUMBER($J196),$J196/100,"")</f>
        <v/>
      </c>
      <c r="CV196" s="81">
        <f>IF(ISNUMBER($AQ196),$AQ196,"")</f>
        <v/>
      </c>
      <c r="CW196" s="81">
        <f>IF(ISNUMBER($AR196),$AR196,"")</f>
        <v/>
      </c>
      <c r="CX196" s="82">
        <f>IF(ISNUMBER($AS196),$AS196/100,"")</f>
        <v/>
      </c>
      <c r="CY196" s="82">
        <f>IF(ISNUMBER($AT196),$AT196/100,"")</f>
        <v/>
      </c>
      <c r="CZ196" s="82">
        <f>IF(ISNUMBER($AU196),$AU196/100,"")</f>
        <v/>
      </c>
      <c r="DA196" s="82">
        <f>IF(ISNUMBER($AV196),$AV196/100,"")</f>
        <v/>
      </c>
      <c r="DB196" s="82">
        <f>IF(ISNUMBER($AW196),$AW196/100,"")</f>
        <v/>
      </c>
      <c r="DC196" s="82">
        <f>IF(ISNUMBER($AX196),$AX196/100,"")</f>
        <v/>
      </c>
      <c r="DD196" s="77">
        <f>IFERROR(VALUE(LEFT(TRIM($AO196&amp;""),4)),"")</f>
        <v/>
      </c>
      <c r="DE196" s="78">
        <f>IF(AND($BY196=1,$BX196=1,OR(fDeal="All Deals",$BU196=fDeal),OR(fEntity="All Entities",$BV196=fEntity),OR(fPType="All Property Types",$BZ196=fPType),OR(fDefeased="Include",$CJ196=0)),1,0)</f>
        <v/>
      </c>
      <c r="DF196" s="83">
        <f>$DE196*N($I196)</f>
        <v/>
      </c>
      <c r="DG196" s="78">
        <f>IF($DE196=1,IF(COUNTIFS($F$8:$F196,$F196,$DE$8:$DE196,1)=1,1,0),0)</f>
        <v/>
      </c>
      <c r="DH196" s="83">
        <f>IF($DG196=1,SUMIFS($DF$8:$DF$1600,$F$8:$F$1600,$F196),0)</f>
        <v/>
      </c>
      <c r="DI196" s="78">
        <f>IF($DG196=1,COUNTIFS($F$8:$F$1600,$F196,$DE$8:$DE$1600,1),0)</f>
        <v/>
      </c>
      <c r="DJ196" s="84">
        <f>IF($DG196=1,$DH196+(100000-ROW())/mTieBreak,0)</f>
        <v/>
      </c>
    </row>
    <row r="197">
      <c r="B197" s="68" t="n">
        <v>74</v>
      </c>
      <c r="C197" s="69" t="inlineStr">
        <is>
          <t>WFC18C47</t>
        </is>
      </c>
      <c r="D197" s="69" t="inlineStr">
        <is>
          <t>74.000</t>
        </is>
      </c>
      <c r="E197" s="69" t="inlineStr">
        <is>
          <t>Airlane Building</t>
        </is>
      </c>
      <c r="F197" s="69" t="inlineStr">
        <is>
          <t>LNWFC18C47-74.000</t>
        </is>
      </c>
      <c r="G197" s="70" t="n"/>
      <c r="H197" s="71" t="n">
        <v>1358000</v>
      </c>
      <c r="I197" s="71" t="n">
        <v>1191300.900000428</v>
      </c>
      <c r="J197" s="72" t="n">
        <v>5.48</v>
      </c>
      <c r="K197" s="69" t="inlineStr">
        <is>
          <t>Fixed rate</t>
        </is>
      </c>
      <c r="L197" s="68" t="n">
        <v>120</v>
      </c>
      <c r="M197" s="68" t="n">
        <v>25</v>
      </c>
      <c r="N197" s="68" t="n">
        <v>360</v>
      </c>
      <c r="O197" s="68" t="n"/>
      <c r="P197" s="68" t="n"/>
      <c r="Q197" s="68" t="n">
        <v>95</v>
      </c>
      <c r="R197" s="69" t="n"/>
      <c r="S197" s="69" t="inlineStr">
        <is>
          <t>No</t>
        </is>
      </c>
      <c r="T197" s="73" t="n">
        <v>43374</v>
      </c>
      <c r="U197" s="73" t="n">
        <v>47037</v>
      </c>
      <c r="V197" s="73" t="n"/>
      <c r="W197" s="69" t="n"/>
      <c r="X197" s="69" t="inlineStr">
        <is>
          <t>Current</t>
        </is>
      </c>
      <c r="Y197" s="68" t="n"/>
      <c r="Z197" s="69" t="inlineStr">
        <is>
          <t>No Defeasance Occurred</t>
        </is>
      </c>
      <c r="AA197" s="69" t="inlineStr">
        <is>
          <t>Previously</t>
        </is>
      </c>
      <c r="AB197" s="69" t="inlineStr">
        <is>
          <t>Never special serv</t>
        </is>
      </c>
      <c r="AC197" s="73" t="n"/>
      <c r="AD197" s="69" t="n"/>
      <c r="AE197" s="69" t="n"/>
      <c r="AF197" s="69" t="inlineStr">
        <is>
          <t>MI</t>
        </is>
      </c>
      <c r="AG197" s="69" t="inlineStr">
        <is>
          <t>Kentwood</t>
        </is>
      </c>
      <c r="AH197" s="69" t="inlineStr">
        <is>
          <t>Grand Rapids-Wyoming-Kentwood, MI</t>
        </is>
      </c>
      <c r="AI197" s="69" t="inlineStr">
        <is>
          <t>Midwest / Central East</t>
        </is>
      </c>
      <c r="AJ197" s="69" t="inlineStr">
        <is>
          <t>IN</t>
        </is>
      </c>
      <c r="AK197" s="69" t="inlineStr">
        <is>
          <t>Flex</t>
        </is>
      </c>
      <c r="AL197" s="68" t="n">
        <v>1</v>
      </c>
      <c r="AM197" s="68" t="n"/>
      <c r="AN197" s="68" t="n">
        <v>28600</v>
      </c>
      <c r="AO197" s="69" t="inlineStr">
        <is>
          <t>1996</t>
        </is>
      </c>
      <c r="AP197" s="70" t="n">
        <v>1996</v>
      </c>
      <c r="AQ197" s="74" t="n">
        <v>1.61</v>
      </c>
      <c r="AR197" s="74" t="n">
        <v>2.2</v>
      </c>
      <c r="AS197" s="74" t="n">
        <v>70</v>
      </c>
      <c r="AT197" s="74" t="n">
        <v>61.41</v>
      </c>
      <c r="AU197" s="74" t="n">
        <v>58.4</v>
      </c>
      <c r="AV197" s="74" t="n">
        <v>10.963622975</v>
      </c>
      <c r="AW197" s="74" t="n">
        <v>12.11973566</v>
      </c>
      <c r="AX197" s="75" t="n">
        <v>100</v>
      </c>
      <c r="AY197" s="71" t="n">
        <v>1940000</v>
      </c>
      <c r="AZ197" s="71" t="n">
        <v>1940000</v>
      </c>
      <c r="BA197" s="71" t="n">
        <v>148886</v>
      </c>
      <c r="BB197" s="71" t="n">
        <v>50802.33</v>
      </c>
      <c r="BC197" s="69" t="inlineStr">
        <is>
          <t>Acquisition</t>
        </is>
      </c>
      <c r="BD197" s="69" t="inlineStr">
        <is>
          <t>N</t>
        </is>
      </c>
      <c r="BE197" s="71" t="n"/>
      <c r="BF197" s="71" t="n"/>
      <c r="BG197" s="71" t="n"/>
      <c r="BH197" s="71" t="n">
        <v>0</v>
      </c>
      <c r="BI197" s="71" t="n">
        <v>0</v>
      </c>
      <c r="BJ197" s="69" t="inlineStr">
        <is>
          <t>N</t>
        </is>
      </c>
      <c r="BK197" s="69" t="inlineStr">
        <is>
          <t>B &amp; G Enterprises  LLC</t>
        </is>
      </c>
      <c r="BL197" s="75" t="n">
        <v>32.69</v>
      </c>
      <c r="BM197" s="73" t="n">
        <v>47391</v>
      </c>
      <c r="BN197" s="69" t="inlineStr">
        <is>
          <t>Jeffrey L. Baker; Jeffrey L. Baker Trust; Robert Schierbeek</t>
        </is>
      </c>
      <c r="BO197" s="69" t="inlineStr">
        <is>
          <t>Wells Fargo</t>
        </is>
      </c>
      <c r="BP197" s="69" t="inlineStr">
        <is>
          <t>TriMont Real Estate Advisors</t>
        </is>
      </c>
      <c r="BQ197" s="69" t="inlineStr">
        <is>
          <t>K-Star Asset Management LLC</t>
        </is>
      </c>
      <c r="BR197" s="69" t="n"/>
      <c r="BS197" s="73" t="n">
        <v>46276</v>
      </c>
      <c r="BU197" s="76">
        <f>IF($C197="","",IFERROR(INDEX(dmName,MATCH($C197,dmID,0)),"Unmapped"))</f>
        <v/>
      </c>
      <c r="BV197" s="76">
        <f>IF($C197="","",IFERROR(INDEX(dmEntity,MATCH($C197,dmID,0)),"Unmapped"))</f>
        <v/>
      </c>
      <c r="BW197" s="77">
        <f>IF($C197="","",IFERROR(INDEX(dmVintage,MATCH($C197,dmID,0)),""))</f>
        <v/>
      </c>
      <c r="BX197" s="78">
        <f>IFERROR(INDEX(dmInclude,MATCH($C197,dmID,0)),0)</f>
        <v/>
      </c>
      <c r="BY197" s="78">
        <f>IF(N($I197)&gt;0,1,0)</f>
        <v/>
      </c>
      <c r="BZ197" s="76">
        <f>IF($AJ197="","Other / Leased Fee",IFERROR(INDEX(mapPTGroup,MATCH(LEFT(TRIM($AJ197),2),mapPTCode,0)),"Other / Leased Fee"))</f>
        <v/>
      </c>
      <c r="CA197" s="76">
        <f>IF(TRIM($AF197&amp;"")="","NR",LEFT(TRIM($AF197),2))</f>
        <v/>
      </c>
      <c r="CB197" s="76">
        <f>IFERROR(LOOKUP(2,1/(LEFT(TRIM($AI197&amp;""),LEN(mapRegion))=mapRegion),mapRegion),"Not Reported")</f>
        <v/>
      </c>
      <c r="CC197" s="76">
        <f>IF($BY197=0,"",IF(TRIM($W197&amp;"")="REO","REO",IF(TRIM($W197&amp;"")="FC","Foreclosure",IF(TRIM($W197&amp;"")="90+","90+ Days Delinquent",IF(TRIM($W197&amp;"")="60","60 Days Delinquent",IF(TRIM($W197&amp;"")="30","30 Days Delinquent",IF($X197="Non-Performing Matured Balloon","Non-Performing Matured Balloon",IF(OR($X197="Late Payment But Less Than 30 Days Delinquent",LEFT($X197&amp;"",20)="Payment Not Received"),"Late / In Grace (&lt;30 Days)",IF($X197="Performing Matured Balloon","Performing Matured Balloon","Current")))))))))</f>
        <v/>
      </c>
      <c r="CD197" s="78">
        <f>IF(OR($CC197="REO",$CC197="Foreclosure",$CC197="90+ Days Delinquent",$CC197="60 Days Delinquent",$CC197="30 Days Delinquent",$CC197="Non-Performing Matured Balloon"),1,0)</f>
        <v/>
      </c>
      <c r="CE197" s="76">
        <f>IF($AB197="Currently special serv","Currently Specially Serviced",IF($AB197="Returned to master serv","Previously Specially Serviced","Never Specially Serviced"))</f>
        <v/>
      </c>
      <c r="CF197" s="78">
        <f>IF($CE197="Currently Specially Serviced",1,0)</f>
        <v/>
      </c>
      <c r="CG197" s="76">
        <f>IF($AA197="Yes","Currently on Watchlist",IF($AA197="Previously","Previously on Watchlist","Never on Watchlist"))</f>
        <v/>
      </c>
      <c r="CH197" s="78">
        <f>IF($CG197="Currently on Watchlist",1,0)</f>
        <v/>
      </c>
      <c r="CI197" s="76">
        <f>IF($Z197="Full Defeasance","Fully Defeased",IF($Z197="Portion Of Loan Previously Defeased","Partially Defeased",IF($Z197="Defeasance Not Allowable","Not Defeased (Not Permitted)","Not Defeased")))</f>
        <v/>
      </c>
      <c r="CJ197" s="78">
        <f>IF($CI197="Fully Defeased",1,0)</f>
        <v/>
      </c>
      <c r="CK197" s="76">
        <f>IF($R197="IO","Full IO",IF(LEFT($R197&amp;"",7)="IO then","Partial IO","Amortizing"))</f>
        <v/>
      </c>
      <c r="CL197" s="78">
        <f>IF($CK197="Full IO",1,0)</f>
        <v/>
      </c>
      <c r="CM197" s="78">
        <f>IF($CK197="Partial IO",1,0)</f>
        <v/>
      </c>
      <c r="CN197" s="76">
        <f>IF(LEFT($F197&amp;"",10)="SPLIT_LOAN","Pari Passu Split","Standalone")</f>
        <v/>
      </c>
      <c r="CO197" s="78">
        <f>IF($CN197="Pari Passu Split",1,0)</f>
        <v/>
      </c>
      <c r="CP197" s="77">
        <f>IF(ISNUMBER($T197),YEAR($T197),"")</f>
        <v/>
      </c>
      <c r="CQ197" s="79">
        <f>IF(ISNUMBER($V197),$V197,IF(ISNUMBER($U197),$U197,""))</f>
        <v/>
      </c>
      <c r="CR197" s="77">
        <f>IF(ISNUMBER($CQ197),YEAR($CQ197),"")</f>
        <v/>
      </c>
      <c r="CS197" s="78">
        <f>IF(ISNUMBER($M197),MAX(0,$M197),IF(TRIM($M197&amp;"")="matured",0,""))</f>
        <v/>
      </c>
      <c r="CT197" s="78">
        <f>IF(AND(ISNUMBER($CS197),N($CS197)&lt;=mMatWindow),1,0)</f>
        <v/>
      </c>
      <c r="CU197" s="80">
        <f>IF(ISNUMBER($J197),$J197/100,"")</f>
        <v/>
      </c>
      <c r="CV197" s="81">
        <f>IF(ISNUMBER($AQ197),$AQ197,"")</f>
        <v/>
      </c>
      <c r="CW197" s="81">
        <f>IF(ISNUMBER($AR197),$AR197,"")</f>
        <v/>
      </c>
      <c r="CX197" s="82">
        <f>IF(ISNUMBER($AS197),$AS197/100,"")</f>
        <v/>
      </c>
      <c r="CY197" s="82">
        <f>IF(ISNUMBER($AT197),$AT197/100,"")</f>
        <v/>
      </c>
      <c r="CZ197" s="82">
        <f>IF(ISNUMBER($AU197),$AU197/100,"")</f>
        <v/>
      </c>
      <c r="DA197" s="82">
        <f>IF(ISNUMBER($AV197),$AV197/100,"")</f>
        <v/>
      </c>
      <c r="DB197" s="82">
        <f>IF(ISNUMBER($AW197),$AW197/100,"")</f>
        <v/>
      </c>
      <c r="DC197" s="82">
        <f>IF(ISNUMBER($AX197),$AX197/100,"")</f>
        <v/>
      </c>
      <c r="DD197" s="77">
        <f>IFERROR(VALUE(LEFT(TRIM($AO197&amp;""),4)),"")</f>
        <v/>
      </c>
      <c r="DE197" s="78">
        <f>IF(AND($BY197=1,$BX197=1,OR(fDeal="All Deals",$BU197=fDeal),OR(fEntity="All Entities",$BV197=fEntity),OR(fPType="All Property Types",$BZ197=fPType),OR(fDefeased="Include",$CJ197=0)),1,0)</f>
        <v/>
      </c>
      <c r="DF197" s="83">
        <f>$DE197*N($I197)</f>
        <v/>
      </c>
      <c r="DG197" s="78">
        <f>IF($DE197=1,IF(COUNTIFS($F$8:$F197,$F197,$DE$8:$DE197,1)=1,1,0),0)</f>
        <v/>
      </c>
      <c r="DH197" s="83">
        <f>IF($DG197=1,SUMIFS($DF$8:$DF$1600,$F$8:$F$1600,$F197),0)</f>
        <v/>
      </c>
      <c r="DI197" s="78">
        <f>IF($DG197=1,COUNTIFS($F$8:$F$1600,$F197,$DE$8:$DE$1600,1),0)</f>
        <v/>
      </c>
      <c r="DJ197" s="84">
        <f>IF($DG197=1,$DH197+(100000-ROW())/mTieBreak,0)</f>
        <v/>
      </c>
    </row>
    <row r="198">
      <c r="B198" s="68" t="n">
        <v>1</v>
      </c>
      <c r="C198" s="69" t="inlineStr">
        <is>
          <t>BBC19C03</t>
        </is>
      </c>
      <c r="D198" s="69" t="inlineStr">
        <is>
          <t>1.000</t>
        </is>
      </c>
      <c r="E198" s="69" t="inlineStr">
        <is>
          <t>SSTII Self Storage Portfolio II</t>
        </is>
      </c>
      <c r="F198" s="69" t="inlineStr">
        <is>
          <t>SPLIT_LOAN_01500</t>
        </is>
      </c>
      <c r="G198" s="70" t="n">
        <v>1500</v>
      </c>
      <c r="H198" s="71" t="n">
        <v>57200000</v>
      </c>
      <c r="I198" s="71" t="n">
        <v>57200000</v>
      </c>
      <c r="J198" s="72" t="n">
        <v>5</v>
      </c>
      <c r="K198" s="69" t="inlineStr">
        <is>
          <t>Fixed rate</t>
        </is>
      </c>
      <c r="L198" s="68" t="n">
        <v>120</v>
      </c>
      <c r="M198" s="68" t="n">
        <v>29</v>
      </c>
      <c r="N198" s="68" t="n">
        <v>120</v>
      </c>
      <c r="O198" s="68" t="n">
        <v>120</v>
      </c>
      <c r="P198" s="68" t="n">
        <v>29</v>
      </c>
      <c r="Q198" s="68" t="n">
        <v>91</v>
      </c>
      <c r="R198" s="69" t="inlineStr">
        <is>
          <t>IO</t>
        </is>
      </c>
      <c r="S198" s="69" t="inlineStr">
        <is>
          <t>Yes</t>
        </is>
      </c>
      <c r="T198" s="73" t="n">
        <v>43497</v>
      </c>
      <c r="U198" s="73" t="n">
        <v>47150</v>
      </c>
      <c r="V198" s="73" t="n"/>
      <c r="W198" s="69" t="n"/>
      <c r="X198" s="69" t="inlineStr">
        <is>
          <t>Current</t>
        </is>
      </c>
      <c r="Y198" s="68" t="n"/>
      <c r="Z198" s="69" t="inlineStr">
        <is>
          <t>No Defeasance Occurred</t>
        </is>
      </c>
      <c r="AA198" s="69" t="inlineStr">
        <is>
          <t>Previously</t>
        </is>
      </c>
      <c r="AB198" s="69" t="inlineStr">
        <is>
          <t>Never special serv</t>
        </is>
      </c>
      <c r="AC198" s="73" t="n"/>
      <c r="AD198" s="69" t="n"/>
      <c r="AE198" s="69" t="n"/>
      <c r="AF198" s="69" t="inlineStr">
        <is>
          <t>FL-28.571430070% NV-26.179986014% MA-24.229075175% SC-14.977973776% CA-6.041534965%</t>
        </is>
      </c>
      <c r="AG198" s="69" t="n"/>
      <c r="AH198" s="69" t="inlineStr">
        <is>
          <t>Las Vegas-Henderson-North Las Vegas, NV-26.179986014% Nantucket, MA-24.229075175% Miami-Fort Lauderdale-West Palm Beach, FL-15.355569930% Myrtle Beach-Conway-North Myrtle Beach, SC-14.977973776% Port St. Lucie, FL-13.215860140% Santa Rosa-Petaluma, CA-6.041534965%</t>
        </is>
      </c>
      <c r="AI198" s="69" t="inlineStr">
        <is>
          <t>South / Atlantic-43.549403846% West / Mountain-26.179986014% Northeast / New England-24.229075175% West / Pacific North-6.041534965%</t>
        </is>
      </c>
      <c r="AJ198" s="69" t="inlineStr">
        <is>
          <t>SS</t>
        </is>
      </c>
      <c r="AK198" s="69" t="n"/>
      <c r="AL198" s="68" t="n">
        <v>10</v>
      </c>
      <c r="AM198" s="68" t="n">
        <v>6903</v>
      </c>
      <c r="AN198" s="68" t="n"/>
      <c r="AO198" s="69" t="n"/>
      <c r="AP198" s="70" t="n">
        <v>2011</v>
      </c>
      <c r="AQ198" s="74" t="n">
        <v>1.74</v>
      </c>
      <c r="AR198" s="74" t="n">
        <v>2.48</v>
      </c>
      <c r="AS198" s="74" t="n">
        <v>59.4</v>
      </c>
      <c r="AT198" s="74" t="n">
        <v>65.45</v>
      </c>
      <c r="AU198" s="74" t="n">
        <v>59.4</v>
      </c>
      <c r="AV198" s="74" t="n">
        <v>8.800003845999999</v>
      </c>
      <c r="AW198" s="74" t="n">
        <v>12.544751279</v>
      </c>
      <c r="AX198" s="75" t="n">
        <v>92</v>
      </c>
      <c r="AY198" s="71" t="n">
        <v>175000000</v>
      </c>
      <c r="AZ198" s="71" t="n">
        <v>158900000</v>
      </c>
      <c r="BA198" s="71" t="n">
        <v>9152004</v>
      </c>
      <c r="BB198" s="71" t="n">
        <v>13059203</v>
      </c>
      <c r="BC198" s="69" t="inlineStr">
        <is>
          <t>Refinance</t>
        </is>
      </c>
      <c r="BD198" s="69" t="inlineStr">
        <is>
          <t>N</t>
        </is>
      </c>
      <c r="BE198" s="71" t="n">
        <v>46800000</v>
      </c>
      <c r="BF198" s="71" t="n"/>
      <c r="BG198" s="71" t="n"/>
      <c r="BH198" s="71" t="n">
        <v>0</v>
      </c>
      <c r="BI198" s="71" t="n">
        <v>0</v>
      </c>
      <c r="BJ198" s="69" t="inlineStr">
        <is>
          <t>N</t>
        </is>
      </c>
      <c r="BK198" s="69" t="n"/>
      <c r="BL198" s="75" t="n"/>
      <c r="BM198" s="73" t="n"/>
      <c r="BN198" s="69" t="inlineStr">
        <is>
          <t>SmartStop Asset Management, LLC</t>
        </is>
      </c>
      <c r="BO198" s="69" t="inlineStr">
        <is>
          <t>KeyBank</t>
        </is>
      </c>
      <c r="BP198" s="69" t="inlineStr">
        <is>
          <t>Midland Loan Services</t>
        </is>
      </c>
      <c r="BQ198" s="69" t="inlineStr">
        <is>
          <t>K-Star Asset Management LLC</t>
        </is>
      </c>
      <c r="BR198" s="69" t="n"/>
      <c r="BS198" s="73" t="n">
        <v>46276</v>
      </c>
      <c r="BU198" s="76">
        <f>IF($C198="","",IFERROR(INDEX(dmName,MATCH($C198,dmID,0)),"Unmapped"))</f>
        <v/>
      </c>
      <c r="BV198" s="76">
        <f>IF($C198="","",IFERROR(INDEX(dmEntity,MATCH($C198,dmID,0)),"Unmapped"))</f>
        <v/>
      </c>
      <c r="BW198" s="77">
        <f>IF($C198="","",IFERROR(INDEX(dmVintage,MATCH($C198,dmID,0)),""))</f>
        <v/>
      </c>
      <c r="BX198" s="78">
        <f>IFERROR(INDEX(dmInclude,MATCH($C198,dmID,0)),0)</f>
        <v/>
      </c>
      <c r="BY198" s="78">
        <f>IF(N($I198)&gt;0,1,0)</f>
        <v/>
      </c>
      <c r="BZ198" s="76">
        <f>IF($AJ198="","Other / Leased Fee",IFERROR(INDEX(mapPTGroup,MATCH(LEFT(TRIM($AJ198),2),mapPTCode,0)),"Other / Leased Fee"))</f>
        <v/>
      </c>
      <c r="CA198" s="76">
        <f>IF(TRIM($AF198&amp;"")="","NR",LEFT(TRIM($AF198),2))</f>
        <v/>
      </c>
      <c r="CB198" s="76">
        <f>IFERROR(LOOKUP(2,1/(LEFT(TRIM($AI198&amp;""),LEN(mapRegion))=mapRegion),mapRegion),"Not Reported")</f>
        <v/>
      </c>
      <c r="CC198" s="76">
        <f>IF($BY198=0,"",IF(TRIM($W198&amp;"")="REO","REO",IF(TRIM($W198&amp;"")="FC","Foreclosure",IF(TRIM($W198&amp;"")="90+","90+ Days Delinquent",IF(TRIM($W198&amp;"")="60","60 Days Delinquent",IF(TRIM($W198&amp;"")="30","30 Days Delinquent",IF($X198="Non-Performing Matured Balloon","Non-Performing Matured Balloon",IF(OR($X198="Late Payment But Less Than 30 Days Delinquent",LEFT($X198&amp;"",20)="Payment Not Received"),"Late / In Grace (&lt;30 Days)",IF($X198="Performing Matured Balloon","Performing Matured Balloon","Current")))))))))</f>
        <v/>
      </c>
      <c r="CD198" s="78">
        <f>IF(OR($CC198="REO",$CC198="Foreclosure",$CC198="90+ Days Delinquent",$CC198="60 Days Delinquent",$CC198="30 Days Delinquent",$CC198="Non-Performing Matured Balloon"),1,0)</f>
        <v/>
      </c>
      <c r="CE198" s="76">
        <f>IF($AB198="Currently special serv","Currently Specially Serviced",IF($AB198="Returned to master serv","Previously Specially Serviced","Never Specially Serviced"))</f>
        <v/>
      </c>
      <c r="CF198" s="78">
        <f>IF($CE198="Currently Specially Serviced",1,0)</f>
        <v/>
      </c>
      <c r="CG198" s="76">
        <f>IF($AA198="Yes","Currently on Watchlist",IF($AA198="Previously","Previously on Watchlist","Never on Watchlist"))</f>
        <v/>
      </c>
      <c r="CH198" s="78">
        <f>IF($CG198="Currently on Watchlist",1,0)</f>
        <v/>
      </c>
      <c r="CI198" s="76">
        <f>IF($Z198="Full Defeasance","Fully Defeased",IF($Z198="Portion Of Loan Previously Defeased","Partially Defeased",IF($Z198="Defeasance Not Allowable","Not Defeased (Not Permitted)","Not Defeased")))</f>
        <v/>
      </c>
      <c r="CJ198" s="78">
        <f>IF($CI198="Fully Defeased",1,0)</f>
        <v/>
      </c>
      <c r="CK198" s="76">
        <f>IF($R198="IO","Full IO",IF(LEFT($R198&amp;"",7)="IO then","Partial IO","Amortizing"))</f>
        <v/>
      </c>
      <c r="CL198" s="78">
        <f>IF($CK198="Full IO",1,0)</f>
        <v/>
      </c>
      <c r="CM198" s="78">
        <f>IF($CK198="Partial IO",1,0)</f>
        <v/>
      </c>
      <c r="CN198" s="76">
        <f>IF(LEFT($F198&amp;"",10)="SPLIT_LOAN","Pari Passu Split","Standalone")</f>
        <v/>
      </c>
      <c r="CO198" s="78">
        <f>IF($CN198="Pari Passu Split",1,0)</f>
        <v/>
      </c>
      <c r="CP198" s="77">
        <f>IF(ISNUMBER($T198),YEAR($T198),"")</f>
        <v/>
      </c>
      <c r="CQ198" s="79">
        <f>IF(ISNUMBER($V198),$V198,IF(ISNUMBER($U198),$U198,""))</f>
        <v/>
      </c>
      <c r="CR198" s="77">
        <f>IF(ISNUMBER($CQ198),YEAR($CQ198),"")</f>
        <v/>
      </c>
      <c r="CS198" s="78">
        <f>IF(ISNUMBER($M198),MAX(0,$M198),IF(TRIM($M198&amp;"")="matured",0,""))</f>
        <v/>
      </c>
      <c r="CT198" s="78">
        <f>IF(AND(ISNUMBER($CS198),N($CS198)&lt;=mMatWindow),1,0)</f>
        <v/>
      </c>
      <c r="CU198" s="80">
        <f>IF(ISNUMBER($J198),$J198/100,"")</f>
        <v/>
      </c>
      <c r="CV198" s="81">
        <f>IF(ISNUMBER($AQ198),$AQ198,"")</f>
        <v/>
      </c>
      <c r="CW198" s="81">
        <f>IF(ISNUMBER($AR198),$AR198,"")</f>
        <v/>
      </c>
      <c r="CX198" s="82">
        <f>IF(ISNUMBER($AS198),$AS198/100,"")</f>
        <v/>
      </c>
      <c r="CY198" s="82">
        <f>IF(ISNUMBER($AT198),$AT198/100,"")</f>
        <v/>
      </c>
      <c r="CZ198" s="82">
        <f>IF(ISNUMBER($AU198),$AU198/100,"")</f>
        <v/>
      </c>
      <c r="DA198" s="82">
        <f>IF(ISNUMBER($AV198),$AV198/100,"")</f>
        <v/>
      </c>
      <c r="DB198" s="82">
        <f>IF(ISNUMBER($AW198),$AW198/100,"")</f>
        <v/>
      </c>
      <c r="DC198" s="82">
        <f>IF(ISNUMBER($AX198),$AX198/100,"")</f>
        <v/>
      </c>
      <c r="DD198" s="77">
        <f>IFERROR(VALUE(LEFT(TRIM($AO198&amp;""),4)),"")</f>
        <v/>
      </c>
      <c r="DE198" s="78">
        <f>IF(AND($BY198=1,$BX198=1,OR(fDeal="All Deals",$BU198=fDeal),OR(fEntity="All Entities",$BV198=fEntity),OR(fPType="All Property Types",$BZ198=fPType),OR(fDefeased="Include",$CJ198=0)),1,0)</f>
        <v/>
      </c>
      <c r="DF198" s="83">
        <f>$DE198*N($I198)</f>
        <v/>
      </c>
      <c r="DG198" s="78">
        <f>IF($DE198=1,IF(COUNTIFS($F$8:$F198,$F198,$DE$8:$DE198,1)=1,1,0),0)</f>
        <v/>
      </c>
      <c r="DH198" s="83">
        <f>IF($DG198=1,SUMIFS($DF$8:$DF$1600,$F$8:$F$1600,$F198),0)</f>
        <v/>
      </c>
      <c r="DI198" s="78">
        <f>IF($DG198=1,COUNTIFS($F$8:$F$1600,$F198,$DE$8:$DE$1600,1),0)</f>
        <v/>
      </c>
      <c r="DJ198" s="84">
        <f>IF($DG198=1,$DH198+(100000-ROW())/mTieBreak,0)</f>
        <v/>
      </c>
    </row>
    <row r="199">
      <c r="B199" s="68" t="n">
        <v>2</v>
      </c>
      <c r="C199" s="69" t="inlineStr">
        <is>
          <t>BBC19C03</t>
        </is>
      </c>
      <c r="D199" s="69" t="inlineStr">
        <is>
          <t>2.TR</t>
        </is>
      </c>
      <c r="E199" s="69" t="inlineStr">
        <is>
          <t>Vanguard Portfolio - Trust</t>
        </is>
      </c>
      <c r="F199" s="69" t="inlineStr">
        <is>
          <t>SPLIT_LOAN_01535</t>
        </is>
      </c>
      <c r="G199" s="70" t="n">
        <v>1535</v>
      </c>
      <c r="H199" s="71" t="n">
        <v>55000000</v>
      </c>
      <c r="I199" s="71" t="n">
        <v>55000000</v>
      </c>
      <c r="J199" s="72" t="n">
        <v>4.86</v>
      </c>
      <c r="K199" s="69" t="inlineStr">
        <is>
          <t>Fixed rate</t>
        </is>
      </c>
      <c r="L199" s="68" t="n">
        <v>120</v>
      </c>
      <c r="M199" s="68" t="n">
        <v>26</v>
      </c>
      <c r="N199" s="68" t="n">
        <v>120</v>
      </c>
      <c r="O199" s="68" t="n">
        <v>120</v>
      </c>
      <c r="P199" s="68" t="n">
        <v>26</v>
      </c>
      <c r="Q199" s="68" t="n">
        <v>94</v>
      </c>
      <c r="R199" s="69" t="inlineStr">
        <is>
          <t>IO</t>
        </is>
      </c>
      <c r="S199" s="69" t="inlineStr">
        <is>
          <t>Yes</t>
        </is>
      </c>
      <c r="T199" s="73" t="n">
        <v>43405</v>
      </c>
      <c r="U199" s="73" t="n">
        <v>47064</v>
      </c>
      <c r="V199" s="73" t="n"/>
      <c r="W199" s="69" t="n"/>
      <c r="X199" s="69" t="inlineStr">
        <is>
          <t>Current</t>
        </is>
      </c>
      <c r="Y199" s="68" t="n"/>
      <c r="Z199" s="69" t="inlineStr">
        <is>
          <t>No Defeasance Occurred</t>
        </is>
      </c>
      <c r="AA199" s="69" t="inlineStr">
        <is>
          <t>Yes</t>
        </is>
      </c>
      <c r="AB199" s="69" t="inlineStr">
        <is>
          <t>Never special serv</t>
        </is>
      </c>
      <c r="AC199" s="73" t="n"/>
      <c r="AD199" s="69" t="n"/>
      <c r="AE199" s="69" t="n"/>
      <c r="AF199" s="69" t="inlineStr">
        <is>
          <t>PA</t>
        </is>
      </c>
      <c r="AG199" s="69" t="inlineStr">
        <is>
          <t>Malvern</t>
        </is>
      </c>
      <c r="AH199" s="69" t="inlineStr">
        <is>
          <t>Philadelphia-Camden-Wilmington, PA-NJ-DE-MD</t>
        </is>
      </c>
      <c r="AI199" s="69" t="inlineStr">
        <is>
          <t>Northeast / Mid-Atlantic</t>
        </is>
      </c>
      <c r="AJ199" s="69" t="inlineStr">
        <is>
          <t>OF</t>
        </is>
      </c>
      <c r="AK199" s="69" t="inlineStr">
        <is>
          <t>Suburban</t>
        </is>
      </c>
      <c r="AL199" s="68" t="n">
        <v>1</v>
      </c>
      <c r="AM199" s="68" t="n"/>
      <c r="AN199" s="68" t="n">
        <v>568658</v>
      </c>
      <c r="AO199" s="69" t="n"/>
      <c r="AP199" s="70" t="n">
        <v>2017</v>
      </c>
      <c r="AQ199" s="74" t="n">
        <v>2.03</v>
      </c>
      <c r="AR199" s="74" t="n">
        <v>2.33</v>
      </c>
      <c r="AS199" s="74" t="n">
        <v>61.8</v>
      </c>
      <c r="AT199" s="74" t="n">
        <v>61.76</v>
      </c>
      <c r="AU199" s="74" t="n">
        <v>61.8</v>
      </c>
      <c r="AV199" s="74" t="n">
        <v>9.980365021000001</v>
      </c>
      <c r="AW199" s="74" t="n">
        <v>10.772077438</v>
      </c>
      <c r="AX199" s="75" t="n">
        <v>100</v>
      </c>
      <c r="AY199" s="71" t="n">
        <v>189200000</v>
      </c>
      <c r="AZ199" s="71" t="n">
        <v>189200000</v>
      </c>
      <c r="BA199" s="71" t="n">
        <v>11661308</v>
      </c>
      <c r="BB199" s="71" t="n">
        <v>3204635.41</v>
      </c>
      <c r="BC199" s="69" t="inlineStr">
        <is>
          <t>Acquisition</t>
        </is>
      </c>
      <c r="BD199" s="69" t="inlineStr">
        <is>
          <t>N</t>
        </is>
      </c>
      <c r="BE199" s="71" t="n">
        <v>61842500</v>
      </c>
      <c r="BF199" s="71" t="n">
        <v>12982500</v>
      </c>
      <c r="BG199" s="71" t="n"/>
      <c r="BH199" s="71" t="n">
        <v>0</v>
      </c>
      <c r="BI199" s="71" t="n">
        <v>0</v>
      </c>
      <c r="BJ199" s="69" t="inlineStr">
        <is>
          <t>N</t>
        </is>
      </c>
      <c r="BK199" s="69" t="inlineStr">
        <is>
          <t>The Vanguard Group</t>
        </is>
      </c>
      <c r="BL199" s="75" t="n">
        <v>43.96</v>
      </c>
      <c r="BM199" s="73" t="n">
        <v>46721</v>
      </c>
      <c r="BN199" s="69" t="inlineStr">
        <is>
          <t>Arch Street Capital Advisors, L.L.C. and Great Valley Properties Investor Company LLC</t>
        </is>
      </c>
      <c r="BO199" s="69" t="inlineStr">
        <is>
          <t>Natixis</t>
        </is>
      </c>
      <c r="BP199" s="69" t="inlineStr">
        <is>
          <t>Midland Loan Services</t>
        </is>
      </c>
      <c r="BQ199" s="69" t="inlineStr">
        <is>
          <t>K-Star Asset Management LLC</t>
        </is>
      </c>
      <c r="BR199" s="69" t="n"/>
      <c r="BS199" s="73" t="n">
        <v>46276</v>
      </c>
      <c r="BU199" s="76">
        <f>IF($C199="","",IFERROR(INDEX(dmName,MATCH($C199,dmID,0)),"Unmapped"))</f>
        <v/>
      </c>
      <c r="BV199" s="76">
        <f>IF($C199="","",IFERROR(INDEX(dmEntity,MATCH($C199,dmID,0)),"Unmapped"))</f>
        <v/>
      </c>
      <c r="BW199" s="77">
        <f>IF($C199="","",IFERROR(INDEX(dmVintage,MATCH($C199,dmID,0)),""))</f>
        <v/>
      </c>
      <c r="BX199" s="78">
        <f>IFERROR(INDEX(dmInclude,MATCH($C199,dmID,0)),0)</f>
        <v/>
      </c>
      <c r="BY199" s="78">
        <f>IF(N($I199)&gt;0,1,0)</f>
        <v/>
      </c>
      <c r="BZ199" s="76">
        <f>IF($AJ199="","Other / Leased Fee",IFERROR(INDEX(mapPTGroup,MATCH(LEFT(TRIM($AJ199),2),mapPTCode,0)),"Other / Leased Fee"))</f>
        <v/>
      </c>
      <c r="CA199" s="76">
        <f>IF(TRIM($AF199&amp;"")="","NR",LEFT(TRIM($AF199),2))</f>
        <v/>
      </c>
      <c r="CB199" s="76">
        <f>IFERROR(LOOKUP(2,1/(LEFT(TRIM($AI199&amp;""),LEN(mapRegion))=mapRegion),mapRegion),"Not Reported")</f>
        <v/>
      </c>
      <c r="CC199" s="76">
        <f>IF($BY199=0,"",IF(TRIM($W199&amp;"")="REO","REO",IF(TRIM($W199&amp;"")="FC","Foreclosure",IF(TRIM($W199&amp;"")="90+","90+ Days Delinquent",IF(TRIM($W199&amp;"")="60","60 Days Delinquent",IF(TRIM($W199&amp;"")="30","30 Days Delinquent",IF($X199="Non-Performing Matured Balloon","Non-Performing Matured Balloon",IF(OR($X199="Late Payment But Less Than 30 Days Delinquent",LEFT($X199&amp;"",20)="Payment Not Received"),"Late / In Grace (&lt;30 Days)",IF($X199="Performing Matured Balloon","Performing Matured Balloon","Current")))))))))</f>
        <v/>
      </c>
      <c r="CD199" s="78">
        <f>IF(OR($CC199="REO",$CC199="Foreclosure",$CC199="90+ Days Delinquent",$CC199="60 Days Delinquent",$CC199="30 Days Delinquent",$CC199="Non-Performing Matured Balloon"),1,0)</f>
        <v/>
      </c>
      <c r="CE199" s="76">
        <f>IF($AB199="Currently special serv","Currently Specially Serviced",IF($AB199="Returned to master serv","Previously Specially Serviced","Never Specially Serviced"))</f>
        <v/>
      </c>
      <c r="CF199" s="78">
        <f>IF($CE199="Currently Specially Serviced",1,0)</f>
        <v/>
      </c>
      <c r="CG199" s="76">
        <f>IF($AA199="Yes","Currently on Watchlist",IF($AA199="Previously","Previously on Watchlist","Never on Watchlist"))</f>
        <v/>
      </c>
      <c r="CH199" s="78">
        <f>IF($CG199="Currently on Watchlist",1,0)</f>
        <v/>
      </c>
      <c r="CI199" s="76">
        <f>IF($Z199="Full Defeasance","Fully Defeased",IF($Z199="Portion Of Loan Previously Defeased","Partially Defeased",IF($Z199="Defeasance Not Allowable","Not Defeased (Not Permitted)","Not Defeased")))</f>
        <v/>
      </c>
      <c r="CJ199" s="78">
        <f>IF($CI199="Fully Defeased",1,0)</f>
        <v/>
      </c>
      <c r="CK199" s="76">
        <f>IF($R199="IO","Full IO",IF(LEFT($R199&amp;"",7)="IO then","Partial IO","Amortizing"))</f>
        <v/>
      </c>
      <c r="CL199" s="78">
        <f>IF($CK199="Full IO",1,0)</f>
        <v/>
      </c>
      <c r="CM199" s="78">
        <f>IF($CK199="Partial IO",1,0)</f>
        <v/>
      </c>
      <c r="CN199" s="76">
        <f>IF(LEFT($F199&amp;"",10)="SPLIT_LOAN","Pari Passu Split","Standalone")</f>
        <v/>
      </c>
      <c r="CO199" s="78">
        <f>IF($CN199="Pari Passu Split",1,0)</f>
        <v/>
      </c>
      <c r="CP199" s="77">
        <f>IF(ISNUMBER($T199),YEAR($T199),"")</f>
        <v/>
      </c>
      <c r="CQ199" s="79">
        <f>IF(ISNUMBER($V199),$V199,IF(ISNUMBER($U199),$U199,""))</f>
        <v/>
      </c>
      <c r="CR199" s="77">
        <f>IF(ISNUMBER($CQ199),YEAR($CQ199),"")</f>
        <v/>
      </c>
      <c r="CS199" s="78">
        <f>IF(ISNUMBER($M199),MAX(0,$M199),IF(TRIM($M199&amp;"")="matured",0,""))</f>
        <v/>
      </c>
      <c r="CT199" s="78">
        <f>IF(AND(ISNUMBER($CS199),N($CS199)&lt;=mMatWindow),1,0)</f>
        <v/>
      </c>
      <c r="CU199" s="80">
        <f>IF(ISNUMBER($J199),$J199/100,"")</f>
        <v/>
      </c>
      <c r="CV199" s="81">
        <f>IF(ISNUMBER($AQ199),$AQ199,"")</f>
        <v/>
      </c>
      <c r="CW199" s="81">
        <f>IF(ISNUMBER($AR199),$AR199,"")</f>
        <v/>
      </c>
      <c r="CX199" s="82">
        <f>IF(ISNUMBER($AS199),$AS199/100,"")</f>
        <v/>
      </c>
      <c r="CY199" s="82">
        <f>IF(ISNUMBER($AT199),$AT199/100,"")</f>
        <v/>
      </c>
      <c r="CZ199" s="82">
        <f>IF(ISNUMBER($AU199),$AU199/100,"")</f>
        <v/>
      </c>
      <c r="DA199" s="82">
        <f>IF(ISNUMBER($AV199),$AV199/100,"")</f>
        <v/>
      </c>
      <c r="DB199" s="82">
        <f>IF(ISNUMBER($AW199),$AW199/100,"")</f>
        <v/>
      </c>
      <c r="DC199" s="82">
        <f>IF(ISNUMBER($AX199),$AX199/100,"")</f>
        <v/>
      </c>
      <c r="DD199" s="77">
        <f>IFERROR(VALUE(LEFT(TRIM($AO199&amp;""),4)),"")</f>
        <v/>
      </c>
      <c r="DE199" s="78">
        <f>IF(AND($BY199=1,$BX199=1,OR(fDeal="All Deals",$BU199=fDeal),OR(fEntity="All Entities",$BV199=fEntity),OR(fPType="All Property Types",$BZ199=fPType),OR(fDefeased="Include",$CJ199=0)),1,0)</f>
        <v/>
      </c>
      <c r="DF199" s="83">
        <f>$DE199*N($I199)</f>
        <v/>
      </c>
      <c r="DG199" s="78">
        <f>IF($DE199=1,IF(COUNTIFS($F$8:$F199,$F199,$DE$8:$DE199,1)=1,1,0),0)</f>
        <v/>
      </c>
      <c r="DH199" s="83">
        <f>IF($DG199=1,SUMIFS($DF$8:$DF$1600,$F$8:$F$1600,$F199),0)</f>
        <v/>
      </c>
      <c r="DI199" s="78">
        <f>IF($DG199=1,COUNTIFS($F$8:$F$1600,$F199,$DE$8:$DE$1600,1),0)</f>
        <v/>
      </c>
      <c r="DJ199" s="84">
        <f>IF($DG199=1,$DH199+(100000-ROW())/mTieBreak,0)</f>
        <v/>
      </c>
    </row>
    <row r="200">
      <c r="B200" s="68" t="n">
        <v>3</v>
      </c>
      <c r="C200" s="69" t="inlineStr">
        <is>
          <t>BBC19C03</t>
        </is>
      </c>
      <c r="D200" s="69" t="inlineStr">
        <is>
          <t>3.000</t>
        </is>
      </c>
      <c r="E200" s="69" t="inlineStr">
        <is>
          <t>GNL Industrial Portfolio</t>
        </is>
      </c>
      <c r="F200" s="69" t="inlineStr">
        <is>
          <t>SPLIT_LOAN_01536</t>
        </is>
      </c>
      <c r="G200" s="70" t="n">
        <v>1536</v>
      </c>
      <c r="H200" s="71" t="n">
        <v>48750000</v>
      </c>
      <c r="I200" s="71" t="n">
        <v>38898910.62997875</v>
      </c>
      <c r="J200" s="72" t="n">
        <v>4.489</v>
      </c>
      <c r="K200" s="69" t="inlineStr">
        <is>
          <t>Fixed rate</t>
        </is>
      </c>
      <c r="L200" s="68" t="n">
        <v>120</v>
      </c>
      <c r="M200" s="68" t="n">
        <v>32</v>
      </c>
      <c r="N200" s="68" t="n">
        <v>120</v>
      </c>
      <c r="O200" s="68" t="n">
        <v>120</v>
      </c>
      <c r="P200" s="68" t="n">
        <v>32</v>
      </c>
      <c r="Q200" s="68" t="n">
        <v>88</v>
      </c>
      <c r="R200" s="69" t="inlineStr">
        <is>
          <t>IO</t>
        </is>
      </c>
      <c r="S200" s="69" t="inlineStr">
        <is>
          <t>Yes</t>
        </is>
      </c>
      <c r="T200" s="73" t="n">
        <v>43586</v>
      </c>
      <c r="U200" s="73" t="n">
        <v>47244</v>
      </c>
      <c r="V200" s="73" t="n"/>
      <c r="W200" s="69" t="n"/>
      <c r="X200" s="69" t="inlineStr">
        <is>
          <t>Current</t>
        </is>
      </c>
      <c r="Y200" s="68" t="n"/>
      <c r="Z200" s="69" t="inlineStr">
        <is>
          <t>Defeasance Not Allowable</t>
        </is>
      </c>
      <c r="AA200" s="69" t="inlineStr">
        <is>
          <t>Previously</t>
        </is>
      </c>
      <c r="AB200" s="69" t="inlineStr">
        <is>
          <t>Never special serv</t>
        </is>
      </c>
      <c r="AC200" s="73" t="n"/>
      <c r="AD200" s="69" t="n"/>
      <c r="AE200" s="69" t="n"/>
      <c r="AF200" s="69" t="inlineStr">
        <is>
          <t>TX-21.130221116% OH-20.761670770% NY-15.479115484% MS-13.882063871% NC-9.213759206% ID-5.528255534% IL-5.528255534% MI-2.579852581% KS-1.965601960% NE-1.965601960% MN-1.228501241% IN-0.737100745%</t>
        </is>
      </c>
      <c r="AG200" s="69" t="n"/>
      <c r="AH200" s="69" t="inlineStr">
        <is>
          <t>San Antonio-New Braunfels, TX-21.130221116% Akron, OH-19.656019652% Jamestown-Dunkirk, NY-15.479115484% Gulfport-Biloxi, MS-13.882063871% Greenville, NC-9.213759206% Blackfoot, ID-5.528255534% Chicago-Naperville-Elgin, IL-IN-4.299754293% Grand Rapids-Wyoming-Kentwood, MI-2.579852581% Salina, KS-1.965601960% Springfield, IL-1.228501241% St. Cloud, MN-1.228501241% New Philadelphia-Dover, OH-1.105651117% Vincennes, IN-0.737100745%</t>
        </is>
      </c>
      <c r="AI200" s="69" t="inlineStr">
        <is>
          <t>Midwest / Central East-29.606879629% South / Central West-21.130221116% Northeast / Mid-Atlantic-15.479115484% South / Central East-13.882063871% South / Atlantic-9.213759206% West / Mountain-5.528255534% Midwest / Central West-5.159705161%</t>
        </is>
      </c>
      <c r="AJ200" s="69" t="inlineStr">
        <is>
          <t>IN</t>
        </is>
      </c>
      <c r="AK200" s="69" t="n"/>
      <c r="AL200" s="68" t="n">
        <v>16</v>
      </c>
      <c r="AM200" s="68" t="n"/>
      <c r="AN200" s="68" t="n">
        <v>2443208</v>
      </c>
      <c r="AO200" s="69" t="n"/>
      <c r="AP200" s="70" t="n">
        <v>2018</v>
      </c>
      <c r="AQ200" s="74" t="n">
        <v>1.98</v>
      </c>
      <c r="AR200" s="74" t="n">
        <v>2.03</v>
      </c>
      <c r="AS200" s="74" t="n">
        <v>65</v>
      </c>
      <c r="AT200" s="74" t="n">
        <v>51.83</v>
      </c>
      <c r="AU200" s="74" t="n">
        <v>65</v>
      </c>
      <c r="AV200" s="74" t="n">
        <v>9.034119149</v>
      </c>
      <c r="AW200" s="74" t="n">
        <v>10.657363337</v>
      </c>
      <c r="AX200" s="75" t="n">
        <v>100</v>
      </c>
      <c r="AY200" s="71" t="n">
        <v>150090000</v>
      </c>
      <c r="AZ200" s="71" t="n">
        <v>150090000</v>
      </c>
      <c r="BA200" s="71" t="n">
        <v>8808266.17</v>
      </c>
      <c r="BB200" s="71" t="n">
        <v>1795299.64</v>
      </c>
      <c r="BC200" s="69" t="inlineStr">
        <is>
          <t>Recapitalization</t>
        </is>
      </c>
      <c r="BD200" s="69" t="inlineStr">
        <is>
          <t>N</t>
        </is>
      </c>
      <c r="BE200" s="71" t="n">
        <v>38898910.63</v>
      </c>
      <c r="BF200" s="71" t="n"/>
      <c r="BG200" s="71" t="n"/>
      <c r="BH200" s="71" t="n">
        <v>0</v>
      </c>
      <c r="BI200" s="71" t="n">
        <v>0</v>
      </c>
      <c r="BJ200" s="69" t="inlineStr">
        <is>
          <t>Y</t>
        </is>
      </c>
      <c r="BK200" s="69" t="inlineStr">
        <is>
          <t>Newell Brands Distribution</t>
        </is>
      </c>
      <c r="BL200" s="75" t="n">
        <v>36.81</v>
      </c>
      <c r="BM200" s="73" t="n">
        <v>47149</v>
      </c>
      <c r="BN200" s="69" t="inlineStr">
        <is>
          <t>Global Net Lease Operating Partnership, L.P.</t>
        </is>
      </c>
      <c r="BO200" s="69" t="inlineStr">
        <is>
          <t>Societe Generale</t>
        </is>
      </c>
      <c r="BP200" s="69" t="inlineStr">
        <is>
          <t>Midland Loan Services</t>
        </is>
      </c>
      <c r="BQ200" s="69" t="inlineStr">
        <is>
          <t>LNR Partners</t>
        </is>
      </c>
      <c r="BR200" s="69" t="inlineStr">
        <is>
          <t>Curtailment With Yield Maintenance</t>
        </is>
      </c>
      <c r="BS200" s="73" t="n">
        <v>46276</v>
      </c>
      <c r="BU200" s="76">
        <f>IF($C200="","",IFERROR(INDEX(dmName,MATCH($C200,dmID,0)),"Unmapped"))</f>
        <v/>
      </c>
      <c r="BV200" s="76">
        <f>IF($C200="","",IFERROR(INDEX(dmEntity,MATCH($C200,dmID,0)),"Unmapped"))</f>
        <v/>
      </c>
      <c r="BW200" s="77">
        <f>IF($C200="","",IFERROR(INDEX(dmVintage,MATCH($C200,dmID,0)),""))</f>
        <v/>
      </c>
      <c r="BX200" s="78">
        <f>IFERROR(INDEX(dmInclude,MATCH($C200,dmID,0)),0)</f>
        <v/>
      </c>
      <c r="BY200" s="78">
        <f>IF(N($I200)&gt;0,1,0)</f>
        <v/>
      </c>
      <c r="BZ200" s="76">
        <f>IF($AJ200="","Other / Leased Fee",IFERROR(INDEX(mapPTGroup,MATCH(LEFT(TRIM($AJ200),2),mapPTCode,0)),"Other / Leased Fee"))</f>
        <v/>
      </c>
      <c r="CA200" s="76">
        <f>IF(TRIM($AF200&amp;"")="","NR",LEFT(TRIM($AF200),2))</f>
        <v/>
      </c>
      <c r="CB200" s="76">
        <f>IFERROR(LOOKUP(2,1/(LEFT(TRIM($AI200&amp;""),LEN(mapRegion))=mapRegion),mapRegion),"Not Reported")</f>
        <v/>
      </c>
      <c r="CC200" s="76">
        <f>IF($BY200=0,"",IF(TRIM($W200&amp;"")="REO","REO",IF(TRIM($W200&amp;"")="FC","Foreclosure",IF(TRIM($W200&amp;"")="90+","90+ Days Delinquent",IF(TRIM($W200&amp;"")="60","60 Days Delinquent",IF(TRIM($W200&amp;"")="30","30 Days Delinquent",IF($X200="Non-Performing Matured Balloon","Non-Performing Matured Balloon",IF(OR($X200="Late Payment But Less Than 30 Days Delinquent",LEFT($X200&amp;"",20)="Payment Not Received"),"Late / In Grace (&lt;30 Days)",IF($X200="Performing Matured Balloon","Performing Matured Balloon","Current")))))))))</f>
        <v/>
      </c>
      <c r="CD200" s="78">
        <f>IF(OR($CC200="REO",$CC200="Foreclosure",$CC200="90+ Days Delinquent",$CC200="60 Days Delinquent",$CC200="30 Days Delinquent",$CC200="Non-Performing Matured Balloon"),1,0)</f>
        <v/>
      </c>
      <c r="CE200" s="76">
        <f>IF($AB200="Currently special serv","Currently Specially Serviced",IF($AB200="Returned to master serv","Previously Specially Serviced","Never Specially Serviced"))</f>
        <v/>
      </c>
      <c r="CF200" s="78">
        <f>IF($CE200="Currently Specially Serviced",1,0)</f>
        <v/>
      </c>
      <c r="CG200" s="76">
        <f>IF($AA200="Yes","Currently on Watchlist",IF($AA200="Previously","Previously on Watchlist","Never on Watchlist"))</f>
        <v/>
      </c>
      <c r="CH200" s="78">
        <f>IF($CG200="Currently on Watchlist",1,0)</f>
        <v/>
      </c>
      <c r="CI200" s="76">
        <f>IF($Z200="Full Defeasance","Fully Defeased",IF($Z200="Portion Of Loan Previously Defeased","Partially Defeased",IF($Z200="Defeasance Not Allowable","Not Defeased (Not Permitted)","Not Defeased")))</f>
        <v/>
      </c>
      <c r="CJ200" s="78">
        <f>IF($CI200="Fully Defeased",1,0)</f>
        <v/>
      </c>
      <c r="CK200" s="76">
        <f>IF($R200="IO","Full IO",IF(LEFT($R200&amp;"",7)="IO then","Partial IO","Amortizing"))</f>
        <v/>
      </c>
      <c r="CL200" s="78">
        <f>IF($CK200="Full IO",1,0)</f>
        <v/>
      </c>
      <c r="CM200" s="78">
        <f>IF($CK200="Partial IO",1,0)</f>
        <v/>
      </c>
      <c r="CN200" s="76">
        <f>IF(LEFT($F200&amp;"",10)="SPLIT_LOAN","Pari Passu Split","Standalone")</f>
        <v/>
      </c>
      <c r="CO200" s="78">
        <f>IF($CN200="Pari Passu Split",1,0)</f>
        <v/>
      </c>
      <c r="CP200" s="77">
        <f>IF(ISNUMBER($T200),YEAR($T200),"")</f>
        <v/>
      </c>
      <c r="CQ200" s="79">
        <f>IF(ISNUMBER($V200),$V200,IF(ISNUMBER($U200),$U200,""))</f>
        <v/>
      </c>
      <c r="CR200" s="77">
        <f>IF(ISNUMBER($CQ200),YEAR($CQ200),"")</f>
        <v/>
      </c>
      <c r="CS200" s="78">
        <f>IF(ISNUMBER($M200),MAX(0,$M200),IF(TRIM($M200&amp;"")="matured",0,""))</f>
        <v/>
      </c>
      <c r="CT200" s="78">
        <f>IF(AND(ISNUMBER($CS200),N($CS200)&lt;=mMatWindow),1,0)</f>
        <v/>
      </c>
      <c r="CU200" s="80">
        <f>IF(ISNUMBER($J200),$J200/100,"")</f>
        <v/>
      </c>
      <c r="CV200" s="81">
        <f>IF(ISNUMBER($AQ200),$AQ200,"")</f>
        <v/>
      </c>
      <c r="CW200" s="81">
        <f>IF(ISNUMBER($AR200),$AR200,"")</f>
        <v/>
      </c>
      <c r="CX200" s="82">
        <f>IF(ISNUMBER($AS200),$AS200/100,"")</f>
        <v/>
      </c>
      <c r="CY200" s="82">
        <f>IF(ISNUMBER($AT200),$AT200/100,"")</f>
        <v/>
      </c>
      <c r="CZ200" s="82">
        <f>IF(ISNUMBER($AU200),$AU200/100,"")</f>
        <v/>
      </c>
      <c r="DA200" s="82">
        <f>IF(ISNUMBER($AV200),$AV200/100,"")</f>
        <v/>
      </c>
      <c r="DB200" s="82">
        <f>IF(ISNUMBER($AW200),$AW200/100,"")</f>
        <v/>
      </c>
      <c r="DC200" s="82">
        <f>IF(ISNUMBER($AX200),$AX200/100,"")</f>
        <v/>
      </c>
      <c r="DD200" s="77">
        <f>IFERROR(VALUE(LEFT(TRIM($AO200&amp;""),4)),"")</f>
        <v/>
      </c>
      <c r="DE200" s="78">
        <f>IF(AND($BY200=1,$BX200=1,OR(fDeal="All Deals",$BU200=fDeal),OR(fEntity="All Entities",$BV200=fEntity),OR(fPType="All Property Types",$BZ200=fPType),OR(fDefeased="Include",$CJ200=0)),1,0)</f>
        <v/>
      </c>
      <c r="DF200" s="83">
        <f>$DE200*N($I200)</f>
        <v/>
      </c>
      <c r="DG200" s="78">
        <f>IF($DE200=1,IF(COUNTIFS($F$8:$F200,$F200,$DE$8:$DE200,1)=1,1,0),0)</f>
        <v/>
      </c>
      <c r="DH200" s="83">
        <f>IF($DG200=1,SUMIFS($DF$8:$DF$1600,$F$8:$F$1600,$F200),0)</f>
        <v/>
      </c>
      <c r="DI200" s="78">
        <f>IF($DG200=1,COUNTIFS($F$8:$F$1600,$F200,$DE$8:$DE$1600,1),0)</f>
        <v/>
      </c>
      <c r="DJ200" s="84">
        <f>IF($DG200=1,$DH200+(100000-ROW())/mTieBreak,0)</f>
        <v/>
      </c>
    </row>
    <row r="201">
      <c r="B201" s="68" t="n">
        <v>4</v>
      </c>
      <c r="C201" s="69" t="inlineStr">
        <is>
          <t>BBC19C03</t>
        </is>
      </c>
      <c r="D201" s="69" t="inlineStr">
        <is>
          <t>4.000</t>
        </is>
      </c>
      <c r="E201" s="69" t="inlineStr">
        <is>
          <t>SWVP Portfolio</t>
        </is>
      </c>
      <c r="F201" s="69" t="inlineStr">
        <is>
          <t>SPLIT_LOAN_01537</t>
        </is>
      </c>
      <c r="G201" s="70" t="n">
        <v>1537</v>
      </c>
      <c r="H201" s="71" t="n">
        <v>45000000</v>
      </c>
      <c r="I201" s="71" t="n">
        <v>45000000</v>
      </c>
      <c r="J201" s="72" t="n">
        <v>4.958</v>
      </c>
      <c r="K201" s="69" t="inlineStr">
        <is>
          <t>Fixed rate</t>
        </is>
      </c>
      <c r="L201" s="68" t="n">
        <v>120</v>
      </c>
      <c r="M201" s="68" t="n">
        <v>32</v>
      </c>
      <c r="N201" s="68" t="n">
        <v>120</v>
      </c>
      <c r="O201" s="68" t="n">
        <v>120</v>
      </c>
      <c r="P201" s="68" t="n">
        <v>32</v>
      </c>
      <c r="Q201" s="68" t="n">
        <v>88</v>
      </c>
      <c r="R201" s="69" t="inlineStr">
        <is>
          <t>IO</t>
        </is>
      </c>
      <c r="S201" s="69" t="inlineStr">
        <is>
          <t>Yes</t>
        </is>
      </c>
      <c r="T201" s="73" t="n">
        <v>43586</v>
      </c>
      <c r="U201" s="73" t="n">
        <v>47239</v>
      </c>
      <c r="V201" s="73" t="n"/>
      <c r="W201" s="69" t="n"/>
      <c r="X201" s="69" t="inlineStr">
        <is>
          <t>Current</t>
        </is>
      </c>
      <c r="Y201" s="68" t="n"/>
      <c r="Z201" s="69" t="inlineStr">
        <is>
          <t>No Defeasance Occurred</t>
        </is>
      </c>
      <c r="AA201" s="69" t="inlineStr">
        <is>
          <t>Yes</t>
        </is>
      </c>
      <c r="AB201" s="69" t="inlineStr">
        <is>
          <t>Never special serv</t>
        </is>
      </c>
      <c r="AC201" s="73" t="n"/>
      <c r="AD201" s="69" t="n"/>
      <c r="AE201" s="69" t="n"/>
      <c r="AF201" s="69" t="inlineStr">
        <is>
          <t>LA-53.150000000% NC-28.350000000% FL-18.500000000%</t>
        </is>
      </c>
      <c r="AG201" s="69" t="n"/>
      <c r="AH201" s="69" t="inlineStr">
        <is>
          <t>New Orleans-Metairie, LA-53.150000000% Miami-Fort Lauderdale-West Palm Beach, FL-18.500000000% Charlotte-Concord-Gastonia, NC-SC-15.000000000% Durham-Chapel Hill, NC-13.350000000%</t>
        </is>
      </c>
      <c r="AI201" s="69" t="inlineStr">
        <is>
          <t>South / Central West-53.150000000% South / Atlantic-46.850000000%</t>
        </is>
      </c>
      <c r="AJ201" s="69" t="inlineStr">
        <is>
          <t>HT</t>
        </is>
      </c>
      <c r="AK201" s="69" t="inlineStr">
        <is>
          <t>Full Service</t>
        </is>
      </c>
      <c r="AL201" s="68" t="n">
        <v>4</v>
      </c>
      <c r="AM201" s="68" t="n">
        <v>1192</v>
      </c>
      <c r="AN201" s="68" t="n"/>
      <c r="AO201" s="69" t="n"/>
      <c r="AP201" s="70" t="n">
        <v>2013</v>
      </c>
      <c r="AQ201" s="74" t="n">
        <v>2.04</v>
      </c>
      <c r="AR201" s="74" t="n">
        <v>1.5</v>
      </c>
      <c r="AS201" s="74" t="n">
        <v>59.6</v>
      </c>
      <c r="AT201" s="74" t="n">
        <v>62.27</v>
      </c>
      <c r="AU201" s="74" t="n">
        <v>59.6</v>
      </c>
      <c r="AV201" s="74" t="n">
        <v>10.2397781</v>
      </c>
      <c r="AW201" s="74" t="n">
        <v>6.031633725</v>
      </c>
      <c r="AX201" s="75" t="n">
        <v>67</v>
      </c>
      <c r="AY201" s="71" t="n">
        <v>335600000</v>
      </c>
      <c r="AZ201" s="71" t="n">
        <v>321200000</v>
      </c>
      <c r="BA201" s="71" t="n">
        <v>20479556.2</v>
      </c>
      <c r="BB201" s="71" t="n">
        <v>15110388.95</v>
      </c>
      <c r="BC201" s="69" t="inlineStr">
        <is>
          <t>Refinance</t>
        </is>
      </c>
      <c r="BD201" s="69" t="inlineStr">
        <is>
          <t>N</t>
        </is>
      </c>
      <c r="BE201" s="71" t="n">
        <v>155000000</v>
      </c>
      <c r="BF201" s="71" t="n"/>
      <c r="BG201" s="71" t="n"/>
      <c r="BH201" s="71" t="n">
        <v>0</v>
      </c>
      <c r="BI201" s="71" t="n">
        <v>0</v>
      </c>
      <c r="BJ201" s="69" t="inlineStr">
        <is>
          <t>N</t>
        </is>
      </c>
      <c r="BK201" s="69" t="n"/>
      <c r="BL201" s="75" t="n"/>
      <c r="BM201" s="73" t="n"/>
      <c r="BN201" s="69" t="inlineStr">
        <is>
          <t>Southwest Value Partners Fund XVI, LP</t>
        </is>
      </c>
      <c r="BO201" s="69" t="inlineStr">
        <is>
          <t>Societe Generale</t>
        </is>
      </c>
      <c r="BP201" s="69" t="inlineStr">
        <is>
          <t>Midland Loan Services</t>
        </is>
      </c>
      <c r="BQ201" s="69" t="inlineStr">
        <is>
          <t>K-Star Asset Management LLC</t>
        </is>
      </c>
      <c r="BR201" s="69" t="n"/>
      <c r="BS201" s="73" t="n">
        <v>46276</v>
      </c>
      <c r="BU201" s="76">
        <f>IF($C201="","",IFERROR(INDEX(dmName,MATCH($C201,dmID,0)),"Unmapped"))</f>
        <v/>
      </c>
      <c r="BV201" s="76">
        <f>IF($C201="","",IFERROR(INDEX(dmEntity,MATCH($C201,dmID,0)),"Unmapped"))</f>
        <v/>
      </c>
      <c r="BW201" s="77">
        <f>IF($C201="","",IFERROR(INDEX(dmVintage,MATCH($C201,dmID,0)),""))</f>
        <v/>
      </c>
      <c r="BX201" s="78">
        <f>IFERROR(INDEX(dmInclude,MATCH($C201,dmID,0)),0)</f>
        <v/>
      </c>
      <c r="BY201" s="78">
        <f>IF(N($I201)&gt;0,1,0)</f>
        <v/>
      </c>
      <c r="BZ201" s="76">
        <f>IF($AJ201="","Other / Leased Fee",IFERROR(INDEX(mapPTGroup,MATCH(LEFT(TRIM($AJ201),2),mapPTCode,0)),"Other / Leased Fee"))</f>
        <v/>
      </c>
      <c r="CA201" s="76">
        <f>IF(TRIM($AF201&amp;"")="","NR",LEFT(TRIM($AF201),2))</f>
        <v/>
      </c>
      <c r="CB201" s="76">
        <f>IFERROR(LOOKUP(2,1/(LEFT(TRIM($AI201&amp;""),LEN(mapRegion))=mapRegion),mapRegion),"Not Reported")</f>
        <v/>
      </c>
      <c r="CC201" s="76">
        <f>IF($BY201=0,"",IF(TRIM($W201&amp;"")="REO","REO",IF(TRIM($W201&amp;"")="FC","Foreclosure",IF(TRIM($W201&amp;"")="90+","90+ Days Delinquent",IF(TRIM($W201&amp;"")="60","60 Days Delinquent",IF(TRIM($W201&amp;"")="30","30 Days Delinquent",IF($X201="Non-Performing Matured Balloon","Non-Performing Matured Balloon",IF(OR($X201="Late Payment But Less Than 30 Days Delinquent",LEFT($X201&amp;"",20)="Payment Not Received"),"Late / In Grace (&lt;30 Days)",IF($X201="Performing Matured Balloon","Performing Matured Balloon","Current")))))))))</f>
        <v/>
      </c>
      <c r="CD201" s="78">
        <f>IF(OR($CC201="REO",$CC201="Foreclosure",$CC201="90+ Days Delinquent",$CC201="60 Days Delinquent",$CC201="30 Days Delinquent",$CC201="Non-Performing Matured Balloon"),1,0)</f>
        <v/>
      </c>
      <c r="CE201" s="76">
        <f>IF($AB201="Currently special serv","Currently Specially Serviced",IF($AB201="Returned to master serv","Previously Specially Serviced","Never Specially Serviced"))</f>
        <v/>
      </c>
      <c r="CF201" s="78">
        <f>IF($CE201="Currently Specially Serviced",1,0)</f>
        <v/>
      </c>
      <c r="CG201" s="76">
        <f>IF($AA201="Yes","Currently on Watchlist",IF($AA201="Previously","Previously on Watchlist","Never on Watchlist"))</f>
        <v/>
      </c>
      <c r="CH201" s="78">
        <f>IF($CG201="Currently on Watchlist",1,0)</f>
        <v/>
      </c>
      <c r="CI201" s="76">
        <f>IF($Z201="Full Defeasance","Fully Defeased",IF($Z201="Portion Of Loan Previously Defeased","Partially Defeased",IF($Z201="Defeasance Not Allowable","Not Defeased (Not Permitted)","Not Defeased")))</f>
        <v/>
      </c>
      <c r="CJ201" s="78">
        <f>IF($CI201="Fully Defeased",1,0)</f>
        <v/>
      </c>
      <c r="CK201" s="76">
        <f>IF($R201="IO","Full IO",IF(LEFT($R201&amp;"",7)="IO then","Partial IO","Amortizing"))</f>
        <v/>
      </c>
      <c r="CL201" s="78">
        <f>IF($CK201="Full IO",1,0)</f>
        <v/>
      </c>
      <c r="CM201" s="78">
        <f>IF($CK201="Partial IO",1,0)</f>
        <v/>
      </c>
      <c r="CN201" s="76">
        <f>IF(LEFT($F201&amp;"",10)="SPLIT_LOAN","Pari Passu Split","Standalone")</f>
        <v/>
      </c>
      <c r="CO201" s="78">
        <f>IF($CN201="Pari Passu Split",1,0)</f>
        <v/>
      </c>
      <c r="CP201" s="77">
        <f>IF(ISNUMBER($T201),YEAR($T201),"")</f>
        <v/>
      </c>
      <c r="CQ201" s="79">
        <f>IF(ISNUMBER($V201),$V201,IF(ISNUMBER($U201),$U201,""))</f>
        <v/>
      </c>
      <c r="CR201" s="77">
        <f>IF(ISNUMBER($CQ201),YEAR($CQ201),"")</f>
        <v/>
      </c>
      <c r="CS201" s="78">
        <f>IF(ISNUMBER($M201),MAX(0,$M201),IF(TRIM($M201&amp;"")="matured",0,""))</f>
        <v/>
      </c>
      <c r="CT201" s="78">
        <f>IF(AND(ISNUMBER($CS201),N($CS201)&lt;=mMatWindow),1,0)</f>
        <v/>
      </c>
      <c r="CU201" s="80">
        <f>IF(ISNUMBER($J201),$J201/100,"")</f>
        <v/>
      </c>
      <c r="CV201" s="81">
        <f>IF(ISNUMBER($AQ201),$AQ201,"")</f>
        <v/>
      </c>
      <c r="CW201" s="81">
        <f>IF(ISNUMBER($AR201),$AR201,"")</f>
        <v/>
      </c>
      <c r="CX201" s="82">
        <f>IF(ISNUMBER($AS201),$AS201/100,"")</f>
        <v/>
      </c>
      <c r="CY201" s="82">
        <f>IF(ISNUMBER($AT201),$AT201/100,"")</f>
        <v/>
      </c>
      <c r="CZ201" s="82">
        <f>IF(ISNUMBER($AU201),$AU201/100,"")</f>
        <v/>
      </c>
      <c r="DA201" s="82">
        <f>IF(ISNUMBER($AV201),$AV201/100,"")</f>
        <v/>
      </c>
      <c r="DB201" s="82">
        <f>IF(ISNUMBER($AW201),$AW201/100,"")</f>
        <v/>
      </c>
      <c r="DC201" s="82">
        <f>IF(ISNUMBER($AX201),$AX201/100,"")</f>
        <v/>
      </c>
      <c r="DD201" s="77">
        <f>IFERROR(VALUE(LEFT(TRIM($AO201&amp;""),4)),"")</f>
        <v/>
      </c>
      <c r="DE201" s="78">
        <f>IF(AND($BY201=1,$BX201=1,OR(fDeal="All Deals",$BU201=fDeal),OR(fEntity="All Entities",$BV201=fEntity),OR(fPType="All Property Types",$BZ201=fPType),OR(fDefeased="Include",$CJ201=0)),1,0)</f>
        <v/>
      </c>
      <c r="DF201" s="83">
        <f>$DE201*N($I201)</f>
        <v/>
      </c>
      <c r="DG201" s="78">
        <f>IF($DE201=1,IF(COUNTIFS($F$8:$F201,$F201,$DE$8:$DE201,1)=1,1,0),0)</f>
        <v/>
      </c>
      <c r="DH201" s="83">
        <f>IF($DG201=1,SUMIFS($DF$8:$DF$1600,$F$8:$F$1600,$F201),0)</f>
        <v/>
      </c>
      <c r="DI201" s="78">
        <f>IF($DG201=1,COUNTIFS($F$8:$F$1600,$F201,$DE$8:$DE$1600,1),0)</f>
        <v/>
      </c>
      <c r="DJ201" s="84">
        <f>IF($DG201=1,$DH201+(100000-ROW())/mTieBreak,0)</f>
        <v/>
      </c>
    </row>
    <row r="202">
      <c r="B202" s="68" t="n">
        <v>5</v>
      </c>
      <c r="C202" s="69" t="inlineStr">
        <is>
          <t>BBC19C03</t>
        </is>
      </c>
      <c r="D202" s="69" t="inlineStr">
        <is>
          <t>5.000</t>
        </is>
      </c>
      <c r="E202" s="69" t="inlineStr">
        <is>
          <t>Renaissance Fort Lauderdale</t>
        </is>
      </c>
      <c r="F202" s="69" t="inlineStr">
        <is>
          <t>LNBBC19C03-5.000</t>
        </is>
      </c>
      <c r="G202" s="70" t="n"/>
      <c r="H202" s="71" t="n">
        <v>42275000</v>
      </c>
      <c r="I202" s="71" t="n">
        <v>42275000</v>
      </c>
      <c r="J202" s="72" t="n">
        <v>4.865</v>
      </c>
      <c r="K202" s="69" t="inlineStr">
        <is>
          <t>Fixed rate</t>
        </is>
      </c>
      <c r="L202" s="68" t="n">
        <v>120</v>
      </c>
      <c r="M202" s="68" t="n">
        <v>31</v>
      </c>
      <c r="N202" s="68" t="n">
        <v>120</v>
      </c>
      <c r="O202" s="68" t="n">
        <v>120</v>
      </c>
      <c r="P202" s="68" t="n">
        <v>31</v>
      </c>
      <c r="Q202" s="68" t="n">
        <v>89</v>
      </c>
      <c r="R202" s="69" t="inlineStr">
        <is>
          <t>IO</t>
        </is>
      </c>
      <c r="S202" s="69" t="inlineStr">
        <is>
          <t>Yes</t>
        </is>
      </c>
      <c r="T202" s="73" t="n">
        <v>43556</v>
      </c>
      <c r="U202" s="73" t="n">
        <v>47214</v>
      </c>
      <c r="V202" s="73" t="n"/>
      <c r="W202" s="69" t="n"/>
      <c r="X202" s="69" t="inlineStr">
        <is>
          <t>Current</t>
        </is>
      </c>
      <c r="Y202" s="68" t="n"/>
      <c r="Z202" s="69" t="inlineStr">
        <is>
          <t>No Defeasance Occurred</t>
        </is>
      </c>
      <c r="AA202" s="69" t="inlineStr">
        <is>
          <t>Yes</t>
        </is>
      </c>
      <c r="AB202" s="69" t="inlineStr">
        <is>
          <t>Never special serv</t>
        </is>
      </c>
      <c r="AC202" s="73" t="n"/>
      <c r="AD202" s="69" t="n"/>
      <c r="AE202" s="69" t="n"/>
      <c r="AF202" s="69" t="inlineStr">
        <is>
          <t>FL</t>
        </is>
      </c>
      <c r="AG202" s="69" t="inlineStr">
        <is>
          <t>Fort Lauderdale</t>
        </is>
      </c>
      <c r="AH202" s="69" t="inlineStr">
        <is>
          <t>Miami-Fort Lauderdale-West Palm Beach, FL</t>
        </is>
      </c>
      <c r="AI202" s="69" t="inlineStr">
        <is>
          <t>South / Atlantic</t>
        </is>
      </c>
      <c r="AJ202" s="69" t="inlineStr">
        <is>
          <t>HT</t>
        </is>
      </c>
      <c r="AK202" s="69" t="inlineStr">
        <is>
          <t>Full Service</t>
        </is>
      </c>
      <c r="AL202" s="68" t="n">
        <v>1</v>
      </c>
      <c r="AM202" s="68" t="n">
        <v>236</v>
      </c>
      <c r="AN202" s="68" t="n"/>
      <c r="AO202" s="69" t="inlineStr">
        <is>
          <t>2001</t>
        </is>
      </c>
      <c r="AP202" s="70" t="n">
        <v>2016</v>
      </c>
      <c r="AQ202" s="74" t="n">
        <v>2.29</v>
      </c>
      <c r="AR202" s="74" t="n">
        <v>3.68</v>
      </c>
      <c r="AS202" s="74" t="n">
        <v>60.9</v>
      </c>
      <c r="AT202" s="74" t="n">
        <v>60.91</v>
      </c>
      <c r="AU202" s="74" t="n">
        <v>60.9</v>
      </c>
      <c r="AV202" s="74" t="n">
        <v>11.289381431</v>
      </c>
      <c r="AW202" s="74" t="n">
        <v>6.332866162</v>
      </c>
      <c r="AX202" s="75" t="n">
        <v>82</v>
      </c>
      <c r="AY202" s="71" t="n">
        <v>69400000</v>
      </c>
      <c r="AZ202" s="71" t="n">
        <v>69400000</v>
      </c>
      <c r="BA202" s="71" t="n">
        <v>4772586</v>
      </c>
      <c r="BB202" s="71" t="n">
        <v>1917639.43</v>
      </c>
      <c r="BC202" s="69" t="inlineStr">
        <is>
          <t>Acquisition</t>
        </is>
      </c>
      <c r="BD202" s="69" t="inlineStr">
        <is>
          <t>N</t>
        </is>
      </c>
      <c r="BE202" s="71" t="n"/>
      <c r="BF202" s="71" t="n"/>
      <c r="BG202" s="71" t="n"/>
      <c r="BH202" s="71" t="n">
        <v>0</v>
      </c>
      <c r="BI202" s="71" t="n">
        <v>0</v>
      </c>
      <c r="BJ202" s="69" t="inlineStr">
        <is>
          <t>Y</t>
        </is>
      </c>
      <c r="BK202" s="69" t="n"/>
      <c r="BL202" s="75" t="n"/>
      <c r="BM202" s="73" t="n"/>
      <c r="BN202" s="69" t="inlineStr">
        <is>
          <t>Howard J. Wurzak</t>
        </is>
      </c>
      <c r="BO202" s="69" t="inlineStr">
        <is>
          <t>Barclays</t>
        </is>
      </c>
      <c r="BP202" s="69" t="inlineStr">
        <is>
          <t>Midland Loan Services</t>
        </is>
      </c>
      <c r="BQ202" s="69" t="inlineStr">
        <is>
          <t>K-Star Asset Management LLC</t>
        </is>
      </c>
      <c r="BR202" s="69" t="n"/>
      <c r="BS202" s="73" t="n">
        <v>46276</v>
      </c>
      <c r="BU202" s="76">
        <f>IF($C202="","",IFERROR(INDEX(dmName,MATCH($C202,dmID,0)),"Unmapped"))</f>
        <v/>
      </c>
      <c r="BV202" s="76">
        <f>IF($C202="","",IFERROR(INDEX(dmEntity,MATCH($C202,dmID,0)),"Unmapped"))</f>
        <v/>
      </c>
      <c r="BW202" s="77">
        <f>IF($C202="","",IFERROR(INDEX(dmVintage,MATCH($C202,dmID,0)),""))</f>
        <v/>
      </c>
      <c r="BX202" s="78">
        <f>IFERROR(INDEX(dmInclude,MATCH($C202,dmID,0)),0)</f>
        <v/>
      </c>
      <c r="BY202" s="78">
        <f>IF(N($I202)&gt;0,1,0)</f>
        <v/>
      </c>
      <c r="BZ202" s="76">
        <f>IF($AJ202="","Other / Leased Fee",IFERROR(INDEX(mapPTGroup,MATCH(LEFT(TRIM($AJ202),2),mapPTCode,0)),"Other / Leased Fee"))</f>
        <v/>
      </c>
      <c r="CA202" s="76">
        <f>IF(TRIM($AF202&amp;"")="","NR",LEFT(TRIM($AF202),2))</f>
        <v/>
      </c>
      <c r="CB202" s="76">
        <f>IFERROR(LOOKUP(2,1/(LEFT(TRIM($AI202&amp;""),LEN(mapRegion))=mapRegion),mapRegion),"Not Reported")</f>
        <v/>
      </c>
      <c r="CC202" s="76">
        <f>IF($BY202=0,"",IF(TRIM($W202&amp;"")="REO","REO",IF(TRIM($W202&amp;"")="FC","Foreclosure",IF(TRIM($W202&amp;"")="90+","90+ Days Delinquent",IF(TRIM($W202&amp;"")="60","60 Days Delinquent",IF(TRIM($W202&amp;"")="30","30 Days Delinquent",IF($X202="Non-Performing Matured Balloon","Non-Performing Matured Balloon",IF(OR($X202="Late Payment But Less Than 30 Days Delinquent",LEFT($X202&amp;"",20)="Payment Not Received"),"Late / In Grace (&lt;30 Days)",IF($X202="Performing Matured Balloon","Performing Matured Balloon","Current")))))))))</f>
        <v/>
      </c>
      <c r="CD202" s="78">
        <f>IF(OR($CC202="REO",$CC202="Foreclosure",$CC202="90+ Days Delinquent",$CC202="60 Days Delinquent",$CC202="30 Days Delinquent",$CC202="Non-Performing Matured Balloon"),1,0)</f>
        <v/>
      </c>
      <c r="CE202" s="76">
        <f>IF($AB202="Currently special serv","Currently Specially Serviced",IF($AB202="Returned to master serv","Previously Specially Serviced","Never Specially Serviced"))</f>
        <v/>
      </c>
      <c r="CF202" s="78">
        <f>IF($CE202="Currently Specially Serviced",1,0)</f>
        <v/>
      </c>
      <c r="CG202" s="76">
        <f>IF($AA202="Yes","Currently on Watchlist",IF($AA202="Previously","Previously on Watchlist","Never on Watchlist"))</f>
        <v/>
      </c>
      <c r="CH202" s="78">
        <f>IF($CG202="Currently on Watchlist",1,0)</f>
        <v/>
      </c>
      <c r="CI202" s="76">
        <f>IF($Z202="Full Defeasance","Fully Defeased",IF($Z202="Portion Of Loan Previously Defeased","Partially Defeased",IF($Z202="Defeasance Not Allowable","Not Defeased (Not Permitted)","Not Defeased")))</f>
        <v/>
      </c>
      <c r="CJ202" s="78">
        <f>IF($CI202="Fully Defeased",1,0)</f>
        <v/>
      </c>
      <c r="CK202" s="76">
        <f>IF($R202="IO","Full IO",IF(LEFT($R202&amp;"",7)="IO then","Partial IO","Amortizing"))</f>
        <v/>
      </c>
      <c r="CL202" s="78">
        <f>IF($CK202="Full IO",1,0)</f>
        <v/>
      </c>
      <c r="CM202" s="78">
        <f>IF($CK202="Partial IO",1,0)</f>
        <v/>
      </c>
      <c r="CN202" s="76">
        <f>IF(LEFT($F202&amp;"",10)="SPLIT_LOAN","Pari Passu Split","Standalone")</f>
        <v/>
      </c>
      <c r="CO202" s="78">
        <f>IF($CN202="Pari Passu Split",1,0)</f>
        <v/>
      </c>
      <c r="CP202" s="77">
        <f>IF(ISNUMBER($T202),YEAR($T202),"")</f>
        <v/>
      </c>
      <c r="CQ202" s="79">
        <f>IF(ISNUMBER($V202),$V202,IF(ISNUMBER($U202),$U202,""))</f>
        <v/>
      </c>
      <c r="CR202" s="77">
        <f>IF(ISNUMBER($CQ202),YEAR($CQ202),"")</f>
        <v/>
      </c>
      <c r="CS202" s="78">
        <f>IF(ISNUMBER($M202),MAX(0,$M202),IF(TRIM($M202&amp;"")="matured",0,""))</f>
        <v/>
      </c>
      <c r="CT202" s="78">
        <f>IF(AND(ISNUMBER($CS202),N($CS202)&lt;=mMatWindow),1,0)</f>
        <v/>
      </c>
      <c r="CU202" s="80">
        <f>IF(ISNUMBER($J202),$J202/100,"")</f>
        <v/>
      </c>
      <c r="CV202" s="81">
        <f>IF(ISNUMBER($AQ202),$AQ202,"")</f>
        <v/>
      </c>
      <c r="CW202" s="81">
        <f>IF(ISNUMBER($AR202),$AR202,"")</f>
        <v/>
      </c>
      <c r="CX202" s="82">
        <f>IF(ISNUMBER($AS202),$AS202/100,"")</f>
        <v/>
      </c>
      <c r="CY202" s="82">
        <f>IF(ISNUMBER($AT202),$AT202/100,"")</f>
        <v/>
      </c>
      <c r="CZ202" s="82">
        <f>IF(ISNUMBER($AU202),$AU202/100,"")</f>
        <v/>
      </c>
      <c r="DA202" s="82">
        <f>IF(ISNUMBER($AV202),$AV202/100,"")</f>
        <v/>
      </c>
      <c r="DB202" s="82">
        <f>IF(ISNUMBER($AW202),$AW202/100,"")</f>
        <v/>
      </c>
      <c r="DC202" s="82">
        <f>IF(ISNUMBER($AX202),$AX202/100,"")</f>
        <v/>
      </c>
      <c r="DD202" s="77">
        <f>IFERROR(VALUE(LEFT(TRIM($AO202&amp;""),4)),"")</f>
        <v/>
      </c>
      <c r="DE202" s="78">
        <f>IF(AND($BY202=1,$BX202=1,OR(fDeal="All Deals",$BU202=fDeal),OR(fEntity="All Entities",$BV202=fEntity),OR(fPType="All Property Types",$BZ202=fPType),OR(fDefeased="Include",$CJ202=0)),1,0)</f>
        <v/>
      </c>
      <c r="DF202" s="83">
        <f>$DE202*N($I202)</f>
        <v/>
      </c>
      <c r="DG202" s="78">
        <f>IF($DE202=1,IF(COUNTIFS($F$8:$F202,$F202,$DE$8:$DE202,1)=1,1,0),0)</f>
        <v/>
      </c>
      <c r="DH202" s="83">
        <f>IF($DG202=1,SUMIFS($DF$8:$DF$1600,$F$8:$F$1600,$F202),0)</f>
        <v/>
      </c>
      <c r="DI202" s="78">
        <f>IF($DG202=1,COUNTIFS($F$8:$F$1600,$F202,$DE$8:$DE$1600,1),0)</f>
        <v/>
      </c>
      <c r="DJ202" s="84">
        <f>IF($DG202=1,$DH202+(100000-ROW())/mTieBreak,0)</f>
        <v/>
      </c>
    </row>
    <row r="203">
      <c r="B203" s="68" t="n">
        <v>6</v>
      </c>
      <c r="C203" s="69" t="inlineStr">
        <is>
          <t>BBC19C03</t>
        </is>
      </c>
      <c r="D203" s="69" t="inlineStr">
        <is>
          <t>6.000</t>
        </is>
      </c>
      <c r="E203" s="69" t="inlineStr">
        <is>
          <t>ATRIA Corporate Center</t>
        </is>
      </c>
      <c r="F203" s="69" t="inlineStr">
        <is>
          <t>LNBBC19C03-6.000</t>
        </is>
      </c>
      <c r="G203" s="70" t="n"/>
      <c r="H203" s="71" t="n">
        <v>41250000</v>
      </c>
      <c r="I203" s="71" t="n">
        <v>37675851.01999125</v>
      </c>
      <c r="J203" s="72" t="n">
        <v>4.895</v>
      </c>
      <c r="K203" s="69" t="inlineStr">
        <is>
          <t>Fixed rate</t>
        </is>
      </c>
      <c r="L203" s="68" t="n">
        <v>120</v>
      </c>
      <c r="M203" s="68" t="n">
        <v>31</v>
      </c>
      <c r="N203" s="68" t="n">
        <v>384</v>
      </c>
      <c r="O203" s="68" t="n">
        <v>24</v>
      </c>
      <c r="P203" s="68" t="n">
        <v>0</v>
      </c>
      <c r="Q203" s="68" t="n">
        <v>89</v>
      </c>
      <c r="R203" s="69" t="inlineStr">
        <is>
          <t>IO then Amort</t>
        </is>
      </c>
      <c r="S203" s="69" t="inlineStr">
        <is>
          <t>No</t>
        </is>
      </c>
      <c r="T203" s="73" t="n">
        <v>43556</v>
      </c>
      <c r="U203" s="73" t="n">
        <v>47214</v>
      </c>
      <c r="V203" s="73" t="n"/>
      <c r="W203" s="69" t="n"/>
      <c r="X203" s="69" t="inlineStr">
        <is>
          <t>Current</t>
        </is>
      </c>
      <c r="Y203" s="68" t="n"/>
      <c r="Z203" s="69" t="inlineStr">
        <is>
          <t>No Defeasance Occurred</t>
        </is>
      </c>
      <c r="AA203" s="69" t="inlineStr">
        <is>
          <t>Yes</t>
        </is>
      </c>
      <c r="AB203" s="69" t="inlineStr">
        <is>
          <t>Never special serv</t>
        </is>
      </c>
      <c r="AC203" s="73" t="n"/>
      <c r="AD203" s="69" t="n"/>
      <c r="AE203" s="69" t="n"/>
      <c r="AF203" s="69" t="inlineStr">
        <is>
          <t>MN</t>
        </is>
      </c>
      <c r="AG203" s="69" t="inlineStr">
        <is>
          <t>Plymouth</t>
        </is>
      </c>
      <c r="AH203" s="69" t="inlineStr">
        <is>
          <t>Minneapolis-St. Paul-Bloomington, MN-WI</t>
        </is>
      </c>
      <c r="AI203" s="69" t="inlineStr">
        <is>
          <t>Midwest / Central West</t>
        </is>
      </c>
      <c r="AJ203" s="69" t="inlineStr">
        <is>
          <t>OF</t>
        </is>
      </c>
      <c r="AK203" s="69" t="inlineStr">
        <is>
          <t>Suburban</t>
        </is>
      </c>
      <c r="AL203" s="68" t="n">
        <v>1</v>
      </c>
      <c r="AM203" s="68" t="n"/>
      <c r="AN203" s="68" t="n">
        <v>360047</v>
      </c>
      <c r="AO203" s="69" t="inlineStr">
        <is>
          <t>1985</t>
        </is>
      </c>
      <c r="AP203" s="70" t="n">
        <v>2017</v>
      </c>
      <c r="AQ203" s="74" t="n">
        <v>1.65</v>
      </c>
      <c r="AR203" s="74" t="n">
        <v>1.04</v>
      </c>
      <c r="AS203" s="74" t="n">
        <v>71.59999999999999</v>
      </c>
      <c r="AT203" s="74" t="n">
        <v>65.41</v>
      </c>
      <c r="AU203" s="74" t="n">
        <v>61.8</v>
      </c>
      <c r="AV203" s="74" t="n">
        <v>10.480601212</v>
      </c>
      <c r="AW203" s="74" t="n">
        <v>7.706940922</v>
      </c>
      <c r="AX203" s="75" t="n">
        <v>72</v>
      </c>
      <c r="AY203" s="71" t="n">
        <v>57600000</v>
      </c>
      <c r="AZ203" s="71" t="n">
        <v>57600000</v>
      </c>
      <c r="BA203" s="71" t="n">
        <v>4323248</v>
      </c>
      <c r="BB203" s="71" t="n">
        <v>2720333.72</v>
      </c>
      <c r="BC203" s="69" t="inlineStr">
        <is>
          <t>Acquisition</t>
        </is>
      </c>
      <c r="BD203" s="69" t="inlineStr">
        <is>
          <t>N</t>
        </is>
      </c>
      <c r="BE203" s="71" t="n"/>
      <c r="BF203" s="71" t="n"/>
      <c r="BG203" s="71" t="n"/>
      <c r="BH203" s="71" t="n">
        <v>0</v>
      </c>
      <c r="BI203" s="71" t="n">
        <v>0</v>
      </c>
      <c r="BJ203" s="69" t="inlineStr">
        <is>
          <t>N</t>
        </is>
      </c>
      <c r="BK203" s="69" t="inlineStr">
        <is>
          <t>Daikin Applied Americas Inc.</t>
        </is>
      </c>
      <c r="BL203" s="75" t="n">
        <v>21</v>
      </c>
      <c r="BM203" s="73" t="n">
        <v>46356</v>
      </c>
      <c r="BN203" s="69" t="inlineStr">
        <is>
          <t>Ten Capital Management, Pembroke IV LLC</t>
        </is>
      </c>
      <c r="BO203" s="69" t="inlineStr">
        <is>
          <t>Barclays</t>
        </is>
      </c>
      <c r="BP203" s="69" t="inlineStr">
        <is>
          <t>Midland Loan Services</t>
        </is>
      </c>
      <c r="BQ203" s="69" t="inlineStr">
        <is>
          <t>K-Star Asset Management LLC</t>
        </is>
      </c>
      <c r="BR203" s="69" t="n"/>
      <c r="BS203" s="73" t="n">
        <v>46276</v>
      </c>
      <c r="BU203" s="76">
        <f>IF($C203="","",IFERROR(INDEX(dmName,MATCH($C203,dmID,0)),"Unmapped"))</f>
        <v/>
      </c>
      <c r="BV203" s="76">
        <f>IF($C203="","",IFERROR(INDEX(dmEntity,MATCH($C203,dmID,0)),"Unmapped"))</f>
        <v/>
      </c>
      <c r="BW203" s="77">
        <f>IF($C203="","",IFERROR(INDEX(dmVintage,MATCH($C203,dmID,0)),""))</f>
        <v/>
      </c>
      <c r="BX203" s="78">
        <f>IFERROR(INDEX(dmInclude,MATCH($C203,dmID,0)),0)</f>
        <v/>
      </c>
      <c r="BY203" s="78">
        <f>IF(N($I203)&gt;0,1,0)</f>
        <v/>
      </c>
      <c r="BZ203" s="76">
        <f>IF($AJ203="","Other / Leased Fee",IFERROR(INDEX(mapPTGroup,MATCH(LEFT(TRIM($AJ203),2),mapPTCode,0)),"Other / Leased Fee"))</f>
        <v/>
      </c>
      <c r="CA203" s="76">
        <f>IF(TRIM($AF203&amp;"")="","NR",LEFT(TRIM($AF203),2))</f>
        <v/>
      </c>
      <c r="CB203" s="76">
        <f>IFERROR(LOOKUP(2,1/(LEFT(TRIM($AI203&amp;""),LEN(mapRegion))=mapRegion),mapRegion),"Not Reported")</f>
        <v/>
      </c>
      <c r="CC203" s="76">
        <f>IF($BY203=0,"",IF(TRIM($W203&amp;"")="REO","REO",IF(TRIM($W203&amp;"")="FC","Foreclosure",IF(TRIM($W203&amp;"")="90+","90+ Days Delinquent",IF(TRIM($W203&amp;"")="60","60 Days Delinquent",IF(TRIM($W203&amp;"")="30","30 Days Delinquent",IF($X203="Non-Performing Matured Balloon","Non-Performing Matured Balloon",IF(OR($X203="Late Payment But Less Than 30 Days Delinquent",LEFT($X203&amp;"",20)="Payment Not Received"),"Late / In Grace (&lt;30 Days)",IF($X203="Performing Matured Balloon","Performing Matured Balloon","Current")))))))))</f>
        <v/>
      </c>
      <c r="CD203" s="78">
        <f>IF(OR($CC203="REO",$CC203="Foreclosure",$CC203="90+ Days Delinquent",$CC203="60 Days Delinquent",$CC203="30 Days Delinquent",$CC203="Non-Performing Matured Balloon"),1,0)</f>
        <v/>
      </c>
      <c r="CE203" s="76">
        <f>IF($AB203="Currently special serv","Currently Specially Serviced",IF($AB203="Returned to master serv","Previously Specially Serviced","Never Specially Serviced"))</f>
        <v/>
      </c>
      <c r="CF203" s="78">
        <f>IF($CE203="Currently Specially Serviced",1,0)</f>
        <v/>
      </c>
      <c r="CG203" s="76">
        <f>IF($AA203="Yes","Currently on Watchlist",IF($AA203="Previously","Previously on Watchlist","Never on Watchlist"))</f>
        <v/>
      </c>
      <c r="CH203" s="78">
        <f>IF($CG203="Currently on Watchlist",1,0)</f>
        <v/>
      </c>
      <c r="CI203" s="76">
        <f>IF($Z203="Full Defeasance","Fully Defeased",IF($Z203="Portion Of Loan Previously Defeased","Partially Defeased",IF($Z203="Defeasance Not Allowable","Not Defeased (Not Permitted)","Not Defeased")))</f>
        <v/>
      </c>
      <c r="CJ203" s="78">
        <f>IF($CI203="Fully Defeased",1,0)</f>
        <v/>
      </c>
      <c r="CK203" s="76">
        <f>IF($R203="IO","Full IO",IF(LEFT($R203&amp;"",7)="IO then","Partial IO","Amortizing"))</f>
        <v/>
      </c>
      <c r="CL203" s="78">
        <f>IF($CK203="Full IO",1,0)</f>
        <v/>
      </c>
      <c r="CM203" s="78">
        <f>IF($CK203="Partial IO",1,0)</f>
        <v/>
      </c>
      <c r="CN203" s="76">
        <f>IF(LEFT($F203&amp;"",10)="SPLIT_LOAN","Pari Passu Split","Standalone")</f>
        <v/>
      </c>
      <c r="CO203" s="78">
        <f>IF($CN203="Pari Passu Split",1,0)</f>
        <v/>
      </c>
      <c r="CP203" s="77">
        <f>IF(ISNUMBER($T203),YEAR($T203),"")</f>
        <v/>
      </c>
      <c r="CQ203" s="79">
        <f>IF(ISNUMBER($V203),$V203,IF(ISNUMBER($U203),$U203,""))</f>
        <v/>
      </c>
      <c r="CR203" s="77">
        <f>IF(ISNUMBER($CQ203),YEAR($CQ203),"")</f>
        <v/>
      </c>
      <c r="CS203" s="78">
        <f>IF(ISNUMBER($M203),MAX(0,$M203),IF(TRIM($M203&amp;"")="matured",0,""))</f>
        <v/>
      </c>
      <c r="CT203" s="78">
        <f>IF(AND(ISNUMBER($CS203),N($CS203)&lt;=mMatWindow),1,0)</f>
        <v/>
      </c>
      <c r="CU203" s="80">
        <f>IF(ISNUMBER($J203),$J203/100,"")</f>
        <v/>
      </c>
      <c r="CV203" s="81">
        <f>IF(ISNUMBER($AQ203),$AQ203,"")</f>
        <v/>
      </c>
      <c r="CW203" s="81">
        <f>IF(ISNUMBER($AR203),$AR203,"")</f>
        <v/>
      </c>
      <c r="CX203" s="82">
        <f>IF(ISNUMBER($AS203),$AS203/100,"")</f>
        <v/>
      </c>
      <c r="CY203" s="82">
        <f>IF(ISNUMBER($AT203),$AT203/100,"")</f>
        <v/>
      </c>
      <c r="CZ203" s="82">
        <f>IF(ISNUMBER($AU203),$AU203/100,"")</f>
        <v/>
      </c>
      <c r="DA203" s="82">
        <f>IF(ISNUMBER($AV203),$AV203/100,"")</f>
        <v/>
      </c>
      <c r="DB203" s="82">
        <f>IF(ISNUMBER($AW203),$AW203/100,"")</f>
        <v/>
      </c>
      <c r="DC203" s="82">
        <f>IF(ISNUMBER($AX203),$AX203/100,"")</f>
        <v/>
      </c>
      <c r="DD203" s="77">
        <f>IFERROR(VALUE(LEFT(TRIM($AO203&amp;""),4)),"")</f>
        <v/>
      </c>
      <c r="DE203" s="78">
        <f>IF(AND($BY203=1,$BX203=1,OR(fDeal="All Deals",$BU203=fDeal),OR(fEntity="All Entities",$BV203=fEntity),OR(fPType="All Property Types",$BZ203=fPType),OR(fDefeased="Include",$CJ203=0)),1,0)</f>
        <v/>
      </c>
      <c r="DF203" s="83">
        <f>$DE203*N($I203)</f>
        <v/>
      </c>
      <c r="DG203" s="78">
        <f>IF($DE203=1,IF(COUNTIFS($F$8:$F203,$F203,$DE$8:$DE203,1)=1,1,0),0)</f>
        <v/>
      </c>
      <c r="DH203" s="83">
        <f>IF($DG203=1,SUMIFS($DF$8:$DF$1600,$F$8:$F$1600,$F203),0)</f>
        <v/>
      </c>
      <c r="DI203" s="78">
        <f>IF($DG203=1,COUNTIFS($F$8:$F$1600,$F203,$DE$8:$DE$1600,1),0)</f>
        <v/>
      </c>
      <c r="DJ203" s="84">
        <f>IF($DG203=1,$DH203+(100000-ROW())/mTieBreak,0)</f>
        <v/>
      </c>
    </row>
    <row r="204">
      <c r="B204" s="68" t="n">
        <v>7</v>
      </c>
      <c r="C204" s="69" t="inlineStr">
        <is>
          <t>BBC19C03</t>
        </is>
      </c>
      <c r="D204" s="69" t="inlineStr">
        <is>
          <t>7.000</t>
        </is>
      </c>
      <c r="E204" s="69" t="inlineStr">
        <is>
          <t>Inland Devon Self Storage Portfolio</t>
        </is>
      </c>
      <c r="F204" s="69" t="inlineStr">
        <is>
          <t>SPLIT_LOAN_01506</t>
        </is>
      </c>
      <c r="G204" s="70" t="n">
        <v>1506</v>
      </c>
      <c r="H204" s="71" t="n">
        <v>41000000</v>
      </c>
      <c r="I204" s="71" t="n">
        <v>38986094.470007</v>
      </c>
      <c r="J204" s="72" t="n">
        <v>4.14</v>
      </c>
      <c r="K204" s="69" t="inlineStr">
        <is>
          <t>Fixed rate</t>
        </is>
      </c>
      <c r="L204" s="68" t="n">
        <v>120</v>
      </c>
      <c r="M204" s="68" t="n">
        <v>31</v>
      </c>
      <c r="N204" s="68" t="n">
        <v>420</v>
      </c>
      <c r="O204" s="68" t="n">
        <v>60</v>
      </c>
      <c r="P204" s="68" t="n">
        <v>0</v>
      </c>
      <c r="Q204" s="68" t="n">
        <v>89</v>
      </c>
      <c r="R204" s="69" t="inlineStr">
        <is>
          <t>IO then Amort</t>
        </is>
      </c>
      <c r="S204" s="69" t="inlineStr">
        <is>
          <t>No</t>
        </is>
      </c>
      <c r="T204" s="73" t="n">
        <v>43556</v>
      </c>
      <c r="U204" s="73" t="n">
        <v>47214</v>
      </c>
      <c r="V204" s="73" t="n"/>
      <c r="W204" s="69" t="n"/>
      <c r="X204" s="69" t="inlineStr">
        <is>
          <t>Current</t>
        </is>
      </c>
      <c r="Y204" s="68" t="n"/>
      <c r="Z204" s="69" t="inlineStr">
        <is>
          <t>Defeasance Not Allowable</t>
        </is>
      </c>
      <c r="AA204" s="69" t="inlineStr">
        <is>
          <t>Yes</t>
        </is>
      </c>
      <c r="AB204" s="69" t="inlineStr">
        <is>
          <t>Never special serv</t>
        </is>
      </c>
      <c r="AC204" s="73" t="n"/>
      <c r="AD204" s="69" t="n"/>
      <c r="AE204" s="69" t="n"/>
      <c r="AF204" s="69" t="inlineStr">
        <is>
          <t>CA-41.991496785% TN-39.121190090% TX-16.123316798% WI-2.763996328%</t>
        </is>
      </c>
      <c r="AG204" s="69" t="n"/>
      <c r="AH204" s="69" t="inlineStr">
        <is>
          <t>Riverside-San Bernardino-Ontario, CA-41.991496785% Memphis, TN-MS-AR-39.121190090% Sherman-Denison, TX-9.425939374% Dallas-Fort Worth-Arlington, TX-6.697377423% Milwaukee-Waukesha, WI-2.763996328%</t>
        </is>
      </c>
      <c r="AI204" s="69" t="inlineStr">
        <is>
          <t>West / Pacific South-41.991496785% South / Central East-39.121190090% South / Central West-16.123316798% Midwest / Central East-2.763996328%</t>
        </is>
      </c>
      <c r="AJ204" s="69" t="inlineStr">
        <is>
          <t>SS</t>
        </is>
      </c>
      <c r="AK204" s="69" t="n"/>
      <c r="AL204" s="68" t="n">
        <v>21</v>
      </c>
      <c r="AM204" s="68" t="n">
        <v>10824</v>
      </c>
      <c r="AN204" s="68" t="n"/>
      <c r="AO204" s="69" t="n"/>
      <c r="AP204" s="70" t="n">
        <v>2000</v>
      </c>
      <c r="AQ204" s="74" t="n">
        <v>1.63</v>
      </c>
      <c r="AR204" s="74" t="n">
        <v>3.58</v>
      </c>
      <c r="AS204" s="74" t="n">
        <v>57.8</v>
      </c>
      <c r="AT204" s="74" t="n">
        <v>54.99</v>
      </c>
      <c r="AU204" s="74" t="n">
        <v>52.6</v>
      </c>
      <c r="AV204" s="74" t="n">
        <v>9.510502817000001</v>
      </c>
      <c r="AW204" s="74" t="n">
        <v>21.913990744</v>
      </c>
      <c r="AX204" s="75" t="n">
        <v>79.90000000000001</v>
      </c>
      <c r="AY204" s="71" t="n">
        <v>122770000</v>
      </c>
      <c r="AZ204" s="71" t="n">
        <v>122770000</v>
      </c>
      <c r="BA204" s="71" t="n">
        <v>6752457</v>
      </c>
      <c r="BB204" s="71" t="n">
        <v>14794684.11</v>
      </c>
      <c r="BC204" s="69" t="inlineStr">
        <is>
          <t>Acquisition</t>
        </is>
      </c>
      <c r="BD204" s="69" t="inlineStr">
        <is>
          <t>N</t>
        </is>
      </c>
      <c r="BE204" s="71" t="n">
        <v>28526410.59</v>
      </c>
      <c r="BF204" s="71" t="n"/>
      <c r="BG204" s="71" t="n"/>
      <c r="BH204" s="71" t="n">
        <v>0</v>
      </c>
      <c r="BI204" s="71" t="n">
        <v>0</v>
      </c>
      <c r="BJ204" s="69" t="inlineStr">
        <is>
          <t>Y</t>
        </is>
      </c>
      <c r="BK204" s="69" t="n"/>
      <c r="BL204" s="75" t="n"/>
      <c r="BM204" s="73" t="n"/>
      <c r="BN204" s="69" t="inlineStr">
        <is>
          <t>Inland Private Capital Corporation</t>
        </is>
      </c>
      <c r="BO204" s="69" t="inlineStr">
        <is>
          <t>Barclays</t>
        </is>
      </c>
      <c r="BP204" s="69" t="inlineStr">
        <is>
          <t>Midland Loan Services</t>
        </is>
      </c>
      <c r="BQ204" s="69" t="inlineStr">
        <is>
          <t>K-Star Asset Management LLC</t>
        </is>
      </c>
      <c r="BR204" s="69" t="inlineStr">
        <is>
          <t>Curtailment With Penalty</t>
        </is>
      </c>
      <c r="BS204" s="73" t="n">
        <v>46276</v>
      </c>
      <c r="BU204" s="76">
        <f>IF($C204="","",IFERROR(INDEX(dmName,MATCH($C204,dmID,0)),"Unmapped"))</f>
        <v/>
      </c>
      <c r="BV204" s="76">
        <f>IF($C204="","",IFERROR(INDEX(dmEntity,MATCH($C204,dmID,0)),"Unmapped"))</f>
        <v/>
      </c>
      <c r="BW204" s="77">
        <f>IF($C204="","",IFERROR(INDEX(dmVintage,MATCH($C204,dmID,0)),""))</f>
        <v/>
      </c>
      <c r="BX204" s="78">
        <f>IFERROR(INDEX(dmInclude,MATCH($C204,dmID,0)),0)</f>
        <v/>
      </c>
      <c r="BY204" s="78">
        <f>IF(N($I204)&gt;0,1,0)</f>
        <v/>
      </c>
      <c r="BZ204" s="76">
        <f>IF($AJ204="","Other / Leased Fee",IFERROR(INDEX(mapPTGroup,MATCH(LEFT(TRIM($AJ204),2),mapPTCode,0)),"Other / Leased Fee"))</f>
        <v/>
      </c>
      <c r="CA204" s="76">
        <f>IF(TRIM($AF204&amp;"")="","NR",LEFT(TRIM($AF204),2))</f>
        <v/>
      </c>
      <c r="CB204" s="76">
        <f>IFERROR(LOOKUP(2,1/(LEFT(TRIM($AI204&amp;""),LEN(mapRegion))=mapRegion),mapRegion),"Not Reported")</f>
        <v/>
      </c>
      <c r="CC204" s="76">
        <f>IF($BY204=0,"",IF(TRIM($W204&amp;"")="REO","REO",IF(TRIM($W204&amp;"")="FC","Foreclosure",IF(TRIM($W204&amp;"")="90+","90+ Days Delinquent",IF(TRIM($W204&amp;"")="60","60 Days Delinquent",IF(TRIM($W204&amp;"")="30","30 Days Delinquent",IF($X204="Non-Performing Matured Balloon","Non-Performing Matured Balloon",IF(OR($X204="Late Payment But Less Than 30 Days Delinquent",LEFT($X204&amp;"",20)="Payment Not Received"),"Late / In Grace (&lt;30 Days)",IF($X204="Performing Matured Balloon","Performing Matured Balloon","Current")))))))))</f>
        <v/>
      </c>
      <c r="CD204" s="78">
        <f>IF(OR($CC204="REO",$CC204="Foreclosure",$CC204="90+ Days Delinquent",$CC204="60 Days Delinquent",$CC204="30 Days Delinquent",$CC204="Non-Performing Matured Balloon"),1,0)</f>
        <v/>
      </c>
      <c r="CE204" s="76">
        <f>IF($AB204="Currently special serv","Currently Specially Serviced",IF($AB204="Returned to master serv","Previously Specially Serviced","Never Specially Serviced"))</f>
        <v/>
      </c>
      <c r="CF204" s="78">
        <f>IF($CE204="Currently Specially Serviced",1,0)</f>
        <v/>
      </c>
      <c r="CG204" s="76">
        <f>IF($AA204="Yes","Currently on Watchlist",IF($AA204="Previously","Previously on Watchlist","Never on Watchlist"))</f>
        <v/>
      </c>
      <c r="CH204" s="78">
        <f>IF($CG204="Currently on Watchlist",1,0)</f>
        <v/>
      </c>
      <c r="CI204" s="76">
        <f>IF($Z204="Full Defeasance","Fully Defeased",IF($Z204="Portion Of Loan Previously Defeased","Partially Defeased",IF($Z204="Defeasance Not Allowable","Not Defeased (Not Permitted)","Not Defeased")))</f>
        <v/>
      </c>
      <c r="CJ204" s="78">
        <f>IF($CI204="Fully Defeased",1,0)</f>
        <v/>
      </c>
      <c r="CK204" s="76">
        <f>IF($R204="IO","Full IO",IF(LEFT($R204&amp;"",7)="IO then","Partial IO","Amortizing"))</f>
        <v/>
      </c>
      <c r="CL204" s="78">
        <f>IF($CK204="Full IO",1,0)</f>
        <v/>
      </c>
      <c r="CM204" s="78">
        <f>IF($CK204="Partial IO",1,0)</f>
        <v/>
      </c>
      <c r="CN204" s="76">
        <f>IF(LEFT($F204&amp;"",10)="SPLIT_LOAN","Pari Passu Split","Standalone")</f>
        <v/>
      </c>
      <c r="CO204" s="78">
        <f>IF($CN204="Pari Passu Split",1,0)</f>
        <v/>
      </c>
      <c r="CP204" s="77">
        <f>IF(ISNUMBER($T204),YEAR($T204),"")</f>
        <v/>
      </c>
      <c r="CQ204" s="79">
        <f>IF(ISNUMBER($V204),$V204,IF(ISNUMBER($U204),$U204,""))</f>
        <v/>
      </c>
      <c r="CR204" s="77">
        <f>IF(ISNUMBER($CQ204),YEAR($CQ204),"")</f>
        <v/>
      </c>
      <c r="CS204" s="78">
        <f>IF(ISNUMBER($M204),MAX(0,$M204),IF(TRIM($M204&amp;"")="matured",0,""))</f>
        <v/>
      </c>
      <c r="CT204" s="78">
        <f>IF(AND(ISNUMBER($CS204),N($CS204)&lt;=mMatWindow),1,0)</f>
        <v/>
      </c>
      <c r="CU204" s="80">
        <f>IF(ISNUMBER($J204),$J204/100,"")</f>
        <v/>
      </c>
      <c r="CV204" s="81">
        <f>IF(ISNUMBER($AQ204),$AQ204,"")</f>
        <v/>
      </c>
      <c r="CW204" s="81">
        <f>IF(ISNUMBER($AR204),$AR204,"")</f>
        <v/>
      </c>
      <c r="CX204" s="82">
        <f>IF(ISNUMBER($AS204),$AS204/100,"")</f>
        <v/>
      </c>
      <c r="CY204" s="82">
        <f>IF(ISNUMBER($AT204),$AT204/100,"")</f>
        <v/>
      </c>
      <c r="CZ204" s="82">
        <f>IF(ISNUMBER($AU204),$AU204/100,"")</f>
        <v/>
      </c>
      <c r="DA204" s="82">
        <f>IF(ISNUMBER($AV204),$AV204/100,"")</f>
        <v/>
      </c>
      <c r="DB204" s="82">
        <f>IF(ISNUMBER($AW204),$AW204/100,"")</f>
        <v/>
      </c>
      <c r="DC204" s="82">
        <f>IF(ISNUMBER($AX204),$AX204/100,"")</f>
        <v/>
      </c>
      <c r="DD204" s="77">
        <f>IFERROR(VALUE(LEFT(TRIM($AO204&amp;""),4)),"")</f>
        <v/>
      </c>
      <c r="DE204" s="78">
        <f>IF(AND($BY204=1,$BX204=1,OR(fDeal="All Deals",$BU204=fDeal),OR(fEntity="All Entities",$BV204=fEntity),OR(fPType="All Property Types",$BZ204=fPType),OR(fDefeased="Include",$CJ204=0)),1,0)</f>
        <v/>
      </c>
      <c r="DF204" s="83">
        <f>$DE204*N($I204)</f>
        <v/>
      </c>
      <c r="DG204" s="78">
        <f>IF($DE204=1,IF(COUNTIFS($F$8:$F204,$F204,$DE$8:$DE204,1)=1,1,0),0)</f>
        <v/>
      </c>
      <c r="DH204" s="83">
        <f>IF($DG204=1,SUMIFS($DF$8:$DF$1600,$F$8:$F$1600,$F204),0)</f>
        <v/>
      </c>
      <c r="DI204" s="78">
        <f>IF($DG204=1,COUNTIFS($F$8:$F$1600,$F204,$DE$8:$DE$1600,1),0)</f>
        <v/>
      </c>
      <c r="DJ204" s="84">
        <f>IF($DG204=1,$DH204+(100000-ROW())/mTieBreak,0)</f>
        <v/>
      </c>
    </row>
    <row r="205">
      <c r="B205" s="68" t="n">
        <v>8</v>
      </c>
      <c r="C205" s="69" t="inlineStr">
        <is>
          <t>BBC19C03</t>
        </is>
      </c>
      <c r="D205" s="69" t="inlineStr">
        <is>
          <t>8.TR</t>
        </is>
      </c>
      <c r="E205" s="69" t="inlineStr">
        <is>
          <t>NEMA San Francisco - Trust</t>
        </is>
      </c>
      <c r="F205" s="69" t="inlineStr">
        <is>
          <t>SPLIT_LOAN_01487</t>
        </is>
      </c>
      <c r="G205" s="70" t="n">
        <v>1487</v>
      </c>
      <c r="H205" s="71" t="n">
        <v>35000000</v>
      </c>
      <c r="I205" s="71" t="n">
        <v>35000000</v>
      </c>
      <c r="J205" s="72" t="n">
        <v>4.435985</v>
      </c>
      <c r="K205" s="69" t="inlineStr">
        <is>
          <t>Formula</t>
        </is>
      </c>
      <c r="L205" s="68" t="n">
        <v>120</v>
      </c>
      <c r="M205" s="68" t="n">
        <v>29</v>
      </c>
      <c r="N205" s="68" t="n">
        <v>120</v>
      </c>
      <c r="O205" s="68" t="n">
        <v>120</v>
      </c>
      <c r="P205" s="68" t="n">
        <v>29</v>
      </c>
      <c r="Q205" s="68" t="n">
        <v>91</v>
      </c>
      <c r="R205" s="69" t="inlineStr">
        <is>
          <t>IO</t>
        </is>
      </c>
      <c r="S205" s="69" t="inlineStr">
        <is>
          <t>Yes</t>
        </is>
      </c>
      <c r="T205" s="73" t="n">
        <v>43497</v>
      </c>
      <c r="U205" s="73" t="n">
        <v>47159</v>
      </c>
      <c r="V205" s="73" t="n"/>
      <c r="W205" s="69" t="n"/>
      <c r="X205" s="69" t="inlineStr">
        <is>
          <t>Current</t>
        </is>
      </c>
      <c r="Y205" s="68" t="n"/>
      <c r="Z205" s="69" t="inlineStr">
        <is>
          <t>No Defeasance Occurred</t>
        </is>
      </c>
      <c r="AA205" s="69" t="inlineStr">
        <is>
          <t>Previously</t>
        </is>
      </c>
      <c r="AB205" s="69" t="inlineStr">
        <is>
          <t>Returned to master serv</t>
        </is>
      </c>
      <c r="AC205" s="73" t="n"/>
      <c r="AD205" s="69" t="inlineStr">
        <is>
          <t>Imminent Monetary Default (excluding Balloon/Maturity Default &amp; Single Tenant Bankruptcy/Vacate)</t>
        </is>
      </c>
      <c r="AE205" s="69" t="inlineStr">
        <is>
          <t>Resolved</t>
        </is>
      </c>
      <c r="AF205" s="69" t="inlineStr">
        <is>
          <t>CA</t>
        </is>
      </c>
      <c r="AG205" s="69" t="inlineStr">
        <is>
          <t>San Francisco</t>
        </is>
      </c>
      <c r="AH205" s="69" t="inlineStr">
        <is>
          <t>San Francisco-Oakland-Fremont, CA</t>
        </is>
      </c>
      <c r="AI205" s="69" t="inlineStr">
        <is>
          <t>West / Pacific North</t>
        </is>
      </c>
      <c r="AJ205" s="69" t="inlineStr">
        <is>
          <t>MF</t>
        </is>
      </c>
      <c r="AK205" s="69" t="inlineStr">
        <is>
          <t>High Rise</t>
        </is>
      </c>
      <c r="AL205" s="68" t="n">
        <v>1</v>
      </c>
      <c r="AM205" s="68" t="n">
        <v>754</v>
      </c>
      <c r="AN205" s="68" t="n"/>
      <c r="AO205" s="69" t="inlineStr">
        <is>
          <t>2013</t>
        </is>
      </c>
      <c r="AP205" s="70" t="n">
        <v>2013</v>
      </c>
      <c r="AQ205" s="74" t="n">
        <v>2.27</v>
      </c>
      <c r="AR205" s="74" t="n">
        <v>2.61</v>
      </c>
      <c r="AS205" s="74" t="n">
        <v>37.7</v>
      </c>
      <c r="AT205" s="74" t="n">
        <v>62.35</v>
      </c>
      <c r="AU205" s="74" t="n">
        <v>37.7</v>
      </c>
      <c r="AV205" s="74" t="n">
        <v>10.230695273</v>
      </c>
      <c r="AW205" s="74" t="n">
        <v>7.280105366</v>
      </c>
      <c r="AX205" s="75" t="n">
        <v>97</v>
      </c>
      <c r="AY205" s="71" t="n">
        <v>543600000</v>
      </c>
      <c r="AZ205" s="71" t="n">
        <v>328800000</v>
      </c>
      <c r="BA205" s="71" t="n">
        <v>20972925.31</v>
      </c>
      <c r="BB205" s="71" t="n">
        <v>4423146.21</v>
      </c>
      <c r="BC205" s="69" t="inlineStr">
        <is>
          <t>Refinance</t>
        </is>
      </c>
      <c r="BD205" s="69" t="inlineStr">
        <is>
          <t>N</t>
        </is>
      </c>
      <c r="BE205" s="71" t="n">
        <v>170000000</v>
      </c>
      <c r="BF205" s="71" t="n">
        <v>179000000</v>
      </c>
      <c r="BG205" s="71" t="n"/>
      <c r="BH205" s="71" t="n">
        <v>0</v>
      </c>
      <c r="BI205" s="71" t="n">
        <v>0</v>
      </c>
      <c r="BJ205" s="69" t="inlineStr">
        <is>
          <t>Y</t>
        </is>
      </c>
      <c r="BK205" s="69" t="n"/>
      <c r="BL205" s="75" t="n"/>
      <c r="BM205" s="73" t="n"/>
      <c r="BN205" s="69" t="inlineStr">
        <is>
          <t>Crescent Heights</t>
        </is>
      </c>
      <c r="BO205" s="69" t="inlineStr">
        <is>
          <t>Natixis</t>
        </is>
      </c>
      <c r="BP205" s="69" t="inlineStr">
        <is>
          <t>Midland Loan Services</t>
        </is>
      </c>
      <c r="BQ205" s="69" t="inlineStr">
        <is>
          <t>Situs</t>
        </is>
      </c>
      <c r="BR205" s="69" t="n"/>
      <c r="BS205" s="73" t="n">
        <v>46276</v>
      </c>
      <c r="BU205" s="76">
        <f>IF($C205="","",IFERROR(INDEX(dmName,MATCH($C205,dmID,0)),"Unmapped"))</f>
        <v/>
      </c>
      <c r="BV205" s="76">
        <f>IF($C205="","",IFERROR(INDEX(dmEntity,MATCH($C205,dmID,0)),"Unmapped"))</f>
        <v/>
      </c>
      <c r="BW205" s="77">
        <f>IF($C205="","",IFERROR(INDEX(dmVintage,MATCH($C205,dmID,0)),""))</f>
        <v/>
      </c>
      <c r="BX205" s="78">
        <f>IFERROR(INDEX(dmInclude,MATCH($C205,dmID,0)),0)</f>
        <v/>
      </c>
      <c r="BY205" s="78">
        <f>IF(N($I205)&gt;0,1,0)</f>
        <v/>
      </c>
      <c r="BZ205" s="76">
        <f>IF($AJ205="","Other / Leased Fee",IFERROR(INDEX(mapPTGroup,MATCH(LEFT(TRIM($AJ205),2),mapPTCode,0)),"Other / Leased Fee"))</f>
        <v/>
      </c>
      <c r="CA205" s="76">
        <f>IF(TRIM($AF205&amp;"")="","NR",LEFT(TRIM($AF205),2))</f>
        <v/>
      </c>
      <c r="CB205" s="76">
        <f>IFERROR(LOOKUP(2,1/(LEFT(TRIM($AI205&amp;""),LEN(mapRegion))=mapRegion),mapRegion),"Not Reported")</f>
        <v/>
      </c>
      <c r="CC205" s="76">
        <f>IF($BY205=0,"",IF(TRIM($W205&amp;"")="REO","REO",IF(TRIM($W205&amp;"")="FC","Foreclosure",IF(TRIM($W205&amp;"")="90+","90+ Days Delinquent",IF(TRIM($W205&amp;"")="60","60 Days Delinquent",IF(TRIM($W205&amp;"")="30","30 Days Delinquent",IF($X205="Non-Performing Matured Balloon","Non-Performing Matured Balloon",IF(OR($X205="Late Payment But Less Than 30 Days Delinquent",LEFT($X205&amp;"",20)="Payment Not Received"),"Late / In Grace (&lt;30 Days)",IF($X205="Performing Matured Balloon","Performing Matured Balloon","Current")))))))))</f>
        <v/>
      </c>
      <c r="CD205" s="78">
        <f>IF(OR($CC205="REO",$CC205="Foreclosure",$CC205="90+ Days Delinquent",$CC205="60 Days Delinquent",$CC205="30 Days Delinquent",$CC205="Non-Performing Matured Balloon"),1,0)</f>
        <v/>
      </c>
      <c r="CE205" s="76">
        <f>IF($AB205="Currently special serv","Currently Specially Serviced",IF($AB205="Returned to master serv","Previously Specially Serviced","Never Specially Serviced"))</f>
        <v/>
      </c>
      <c r="CF205" s="78">
        <f>IF($CE205="Currently Specially Serviced",1,0)</f>
        <v/>
      </c>
      <c r="CG205" s="76">
        <f>IF($AA205="Yes","Currently on Watchlist",IF($AA205="Previously","Previously on Watchlist","Never on Watchlist"))</f>
        <v/>
      </c>
      <c r="CH205" s="78">
        <f>IF($CG205="Currently on Watchlist",1,0)</f>
        <v/>
      </c>
      <c r="CI205" s="76">
        <f>IF($Z205="Full Defeasance","Fully Defeased",IF($Z205="Portion Of Loan Previously Defeased","Partially Defeased",IF($Z205="Defeasance Not Allowable","Not Defeased (Not Permitted)","Not Defeased")))</f>
        <v/>
      </c>
      <c r="CJ205" s="78">
        <f>IF($CI205="Fully Defeased",1,0)</f>
        <v/>
      </c>
      <c r="CK205" s="76">
        <f>IF($R205="IO","Full IO",IF(LEFT($R205&amp;"",7)="IO then","Partial IO","Amortizing"))</f>
        <v/>
      </c>
      <c r="CL205" s="78">
        <f>IF($CK205="Full IO",1,0)</f>
        <v/>
      </c>
      <c r="CM205" s="78">
        <f>IF($CK205="Partial IO",1,0)</f>
        <v/>
      </c>
      <c r="CN205" s="76">
        <f>IF(LEFT($F205&amp;"",10)="SPLIT_LOAN","Pari Passu Split","Standalone")</f>
        <v/>
      </c>
      <c r="CO205" s="78">
        <f>IF($CN205="Pari Passu Split",1,0)</f>
        <v/>
      </c>
      <c r="CP205" s="77">
        <f>IF(ISNUMBER($T205),YEAR($T205),"")</f>
        <v/>
      </c>
      <c r="CQ205" s="79">
        <f>IF(ISNUMBER($V205),$V205,IF(ISNUMBER($U205),$U205,""))</f>
        <v/>
      </c>
      <c r="CR205" s="77">
        <f>IF(ISNUMBER($CQ205),YEAR($CQ205),"")</f>
        <v/>
      </c>
      <c r="CS205" s="78">
        <f>IF(ISNUMBER($M205),MAX(0,$M205),IF(TRIM($M205&amp;"")="matured",0,""))</f>
        <v/>
      </c>
      <c r="CT205" s="78">
        <f>IF(AND(ISNUMBER($CS205),N($CS205)&lt;=mMatWindow),1,0)</f>
        <v/>
      </c>
      <c r="CU205" s="80">
        <f>IF(ISNUMBER($J205),$J205/100,"")</f>
        <v/>
      </c>
      <c r="CV205" s="81">
        <f>IF(ISNUMBER($AQ205),$AQ205,"")</f>
        <v/>
      </c>
      <c r="CW205" s="81">
        <f>IF(ISNUMBER($AR205),$AR205,"")</f>
        <v/>
      </c>
      <c r="CX205" s="82">
        <f>IF(ISNUMBER($AS205),$AS205/100,"")</f>
        <v/>
      </c>
      <c r="CY205" s="82">
        <f>IF(ISNUMBER($AT205),$AT205/100,"")</f>
        <v/>
      </c>
      <c r="CZ205" s="82">
        <f>IF(ISNUMBER($AU205),$AU205/100,"")</f>
        <v/>
      </c>
      <c r="DA205" s="82">
        <f>IF(ISNUMBER($AV205),$AV205/100,"")</f>
        <v/>
      </c>
      <c r="DB205" s="82">
        <f>IF(ISNUMBER($AW205),$AW205/100,"")</f>
        <v/>
      </c>
      <c r="DC205" s="82">
        <f>IF(ISNUMBER($AX205),$AX205/100,"")</f>
        <v/>
      </c>
      <c r="DD205" s="77">
        <f>IFERROR(VALUE(LEFT(TRIM($AO205&amp;""),4)),"")</f>
        <v/>
      </c>
      <c r="DE205" s="78">
        <f>IF(AND($BY205=1,$BX205=1,OR(fDeal="All Deals",$BU205=fDeal),OR(fEntity="All Entities",$BV205=fEntity),OR(fPType="All Property Types",$BZ205=fPType),OR(fDefeased="Include",$CJ205=0)),1,0)</f>
        <v/>
      </c>
      <c r="DF205" s="83">
        <f>$DE205*N($I205)</f>
        <v/>
      </c>
      <c r="DG205" s="78">
        <f>IF($DE205=1,IF(COUNTIFS($F$8:$F205,$F205,$DE$8:$DE205,1)=1,1,0),0)</f>
        <v/>
      </c>
      <c r="DH205" s="83">
        <f>IF($DG205=1,SUMIFS($DF$8:$DF$1600,$F$8:$F$1600,$F205),0)</f>
        <v/>
      </c>
      <c r="DI205" s="78">
        <f>IF($DG205=1,COUNTIFS($F$8:$F$1600,$F205,$DE$8:$DE$1600,1),0)</f>
        <v/>
      </c>
      <c r="DJ205" s="84">
        <f>IF($DG205=1,$DH205+(100000-ROW())/mTieBreak,0)</f>
        <v/>
      </c>
    </row>
    <row r="206">
      <c r="B206" s="68" t="n">
        <v>9</v>
      </c>
      <c r="C206" s="69" t="inlineStr">
        <is>
          <t>BBC19C03</t>
        </is>
      </c>
      <c r="D206" s="69" t="inlineStr">
        <is>
          <t>9.TR</t>
        </is>
      </c>
      <c r="E206" s="69" t="inlineStr">
        <is>
          <t>787 Eleventh Avenue - Trust</t>
        </is>
      </c>
      <c r="F206" s="69" t="inlineStr">
        <is>
          <t>SPLIT_LOAN_01467</t>
        </is>
      </c>
      <c r="G206" s="70" t="n">
        <v>1467</v>
      </c>
      <c r="H206" s="71" t="n">
        <v>30000000</v>
      </c>
      <c r="I206" s="71" t="n">
        <v>30000000</v>
      </c>
      <c r="J206" s="72" t="n">
        <v>4.530317</v>
      </c>
      <c r="K206" s="69" t="inlineStr">
        <is>
          <t>Formula</t>
        </is>
      </c>
      <c r="L206" s="68" t="n">
        <v>120</v>
      </c>
      <c r="M206" s="68" t="n">
        <v>29</v>
      </c>
      <c r="N206" s="68" t="n">
        <v>120</v>
      </c>
      <c r="O206" s="68" t="n">
        <v>120</v>
      </c>
      <c r="P206" s="68" t="n">
        <v>29</v>
      </c>
      <c r="Q206" s="68" t="n">
        <v>91</v>
      </c>
      <c r="R206" s="69" t="inlineStr">
        <is>
          <t>IO</t>
        </is>
      </c>
      <c r="S206" s="69" t="inlineStr">
        <is>
          <t>Yes</t>
        </is>
      </c>
      <c r="T206" s="73" t="n">
        <v>43497</v>
      </c>
      <c r="U206" s="73" t="n">
        <v>47157</v>
      </c>
      <c r="V206" s="73" t="n"/>
      <c r="W206" s="69" t="n"/>
      <c r="X206" s="69" t="inlineStr">
        <is>
          <t>Current</t>
        </is>
      </c>
      <c r="Y206" s="68" t="n"/>
      <c r="Z206" s="69" t="inlineStr">
        <is>
          <t>Defeasance Not Allowable</t>
        </is>
      </c>
      <c r="AA206" s="69" t="inlineStr">
        <is>
          <t>Previously</t>
        </is>
      </c>
      <c r="AB206" s="69" t="inlineStr">
        <is>
          <t>Never special serv</t>
        </is>
      </c>
      <c r="AC206" s="73" t="n"/>
      <c r="AD206" s="69" t="n"/>
      <c r="AE206" s="69" t="n"/>
      <c r="AF206" s="69" t="inlineStr">
        <is>
          <t>NY</t>
        </is>
      </c>
      <c r="AG206" s="69" t="inlineStr">
        <is>
          <t>New York</t>
        </is>
      </c>
      <c r="AH206" s="69" t="inlineStr">
        <is>
          <t>New York-Newark-Jersey City, NY-NJ</t>
        </is>
      </c>
      <c r="AI206" s="69" t="inlineStr">
        <is>
          <t>Northeast / Mid-Atlantic</t>
        </is>
      </c>
      <c r="AJ206" s="69" t="inlineStr">
        <is>
          <t>MX</t>
        </is>
      </c>
      <c r="AK206" s="69" t="inlineStr">
        <is>
          <t>Retail/Office</t>
        </is>
      </c>
      <c r="AL206" s="68" t="n">
        <v>1</v>
      </c>
      <c r="AM206" s="68" t="n"/>
      <c r="AN206" s="68" t="n">
        <v>513638</v>
      </c>
      <c r="AO206" s="69" t="inlineStr">
        <is>
          <t>1929</t>
        </is>
      </c>
      <c r="AP206" s="70" t="n">
        <v>2019</v>
      </c>
      <c r="AQ206" s="74" t="n">
        <v>3.01</v>
      </c>
      <c r="AR206" s="74" t="n">
        <v>2.22</v>
      </c>
      <c r="AS206" s="74" t="n">
        <v>26.9</v>
      </c>
      <c r="AT206" s="74" t="n">
        <v>26.92</v>
      </c>
      <c r="AU206" s="74" t="n">
        <v>26.9</v>
      </c>
      <c r="AV206" s="74" t="n">
        <v>13.816494526</v>
      </c>
      <c r="AW206" s="74" t="n">
        <v>17.074658309</v>
      </c>
      <c r="AX206" s="75" t="n">
        <v>100</v>
      </c>
      <c r="AY206" s="71" t="n">
        <v>650000000</v>
      </c>
      <c r="AZ206" s="71" t="n">
        <v>650000000</v>
      </c>
      <c r="BA206" s="71" t="n">
        <v>24178865.42</v>
      </c>
      <c r="BB206" s="71" t="n">
        <v>29880652.04</v>
      </c>
      <c r="BC206" s="69" t="inlineStr">
        <is>
          <t>Refinance</t>
        </is>
      </c>
      <c r="BD206" s="69" t="inlineStr">
        <is>
          <t>N</t>
        </is>
      </c>
      <c r="BE206" s="71" t="n">
        <v>145000000</v>
      </c>
      <c r="BF206" s="71" t="n">
        <v>235000000</v>
      </c>
      <c r="BG206" s="71" t="n"/>
      <c r="BH206" s="71" t="n">
        <v>0</v>
      </c>
      <c r="BI206" s="71" t="n">
        <v>0</v>
      </c>
      <c r="BJ206" s="69" t="inlineStr">
        <is>
          <t>N</t>
        </is>
      </c>
      <c r="BK206" s="69" t="inlineStr">
        <is>
          <t>Mt. Sinai School of Medicine</t>
        </is>
      </c>
      <c r="BL206" s="75" t="n">
        <v>36.54</v>
      </c>
      <c r="BM206" s="73" t="n">
        <v>56339</v>
      </c>
      <c r="BN206" s="69" t="inlineStr">
        <is>
          <t>TABLE Holdings, L.P., Georgetown Company, William A. Ackman and Adam R. Flatto</t>
        </is>
      </c>
      <c r="BO206" s="69" t="inlineStr">
        <is>
          <t>Societe Generale</t>
        </is>
      </c>
      <c r="BP206" s="69" t="inlineStr">
        <is>
          <t>Midland Loan Services</t>
        </is>
      </c>
      <c r="BQ206" s="69" t="inlineStr">
        <is>
          <t>Aegon USA Realty</t>
        </is>
      </c>
      <c r="BR206" s="69" t="n"/>
      <c r="BS206" s="73" t="n">
        <v>46276</v>
      </c>
      <c r="BU206" s="76">
        <f>IF($C206="","",IFERROR(INDEX(dmName,MATCH($C206,dmID,0)),"Unmapped"))</f>
        <v/>
      </c>
      <c r="BV206" s="76">
        <f>IF($C206="","",IFERROR(INDEX(dmEntity,MATCH($C206,dmID,0)),"Unmapped"))</f>
        <v/>
      </c>
      <c r="BW206" s="77">
        <f>IF($C206="","",IFERROR(INDEX(dmVintage,MATCH($C206,dmID,0)),""))</f>
        <v/>
      </c>
      <c r="BX206" s="78">
        <f>IFERROR(INDEX(dmInclude,MATCH($C206,dmID,0)),0)</f>
        <v/>
      </c>
      <c r="BY206" s="78">
        <f>IF(N($I206)&gt;0,1,0)</f>
        <v/>
      </c>
      <c r="BZ206" s="76">
        <f>IF($AJ206="","Other / Leased Fee",IFERROR(INDEX(mapPTGroup,MATCH(LEFT(TRIM($AJ206),2),mapPTCode,0)),"Other / Leased Fee"))</f>
        <v/>
      </c>
      <c r="CA206" s="76">
        <f>IF(TRIM($AF206&amp;"")="","NR",LEFT(TRIM($AF206),2))</f>
        <v/>
      </c>
      <c r="CB206" s="76">
        <f>IFERROR(LOOKUP(2,1/(LEFT(TRIM($AI206&amp;""),LEN(mapRegion))=mapRegion),mapRegion),"Not Reported")</f>
        <v/>
      </c>
      <c r="CC206" s="76">
        <f>IF($BY206=0,"",IF(TRIM($W206&amp;"")="REO","REO",IF(TRIM($W206&amp;"")="FC","Foreclosure",IF(TRIM($W206&amp;"")="90+","90+ Days Delinquent",IF(TRIM($W206&amp;"")="60","60 Days Delinquent",IF(TRIM($W206&amp;"")="30","30 Days Delinquent",IF($X206="Non-Performing Matured Balloon","Non-Performing Matured Balloon",IF(OR($X206="Late Payment But Less Than 30 Days Delinquent",LEFT($X206&amp;"",20)="Payment Not Received"),"Late / In Grace (&lt;30 Days)",IF($X206="Performing Matured Balloon","Performing Matured Balloon","Current")))))))))</f>
        <v/>
      </c>
      <c r="CD206" s="78">
        <f>IF(OR($CC206="REO",$CC206="Foreclosure",$CC206="90+ Days Delinquent",$CC206="60 Days Delinquent",$CC206="30 Days Delinquent",$CC206="Non-Performing Matured Balloon"),1,0)</f>
        <v/>
      </c>
      <c r="CE206" s="76">
        <f>IF($AB206="Currently special serv","Currently Specially Serviced",IF($AB206="Returned to master serv","Previously Specially Serviced","Never Specially Serviced"))</f>
        <v/>
      </c>
      <c r="CF206" s="78">
        <f>IF($CE206="Currently Specially Serviced",1,0)</f>
        <v/>
      </c>
      <c r="CG206" s="76">
        <f>IF($AA206="Yes","Currently on Watchlist",IF($AA206="Previously","Previously on Watchlist","Never on Watchlist"))</f>
        <v/>
      </c>
      <c r="CH206" s="78">
        <f>IF($CG206="Currently on Watchlist",1,0)</f>
        <v/>
      </c>
      <c r="CI206" s="76">
        <f>IF($Z206="Full Defeasance","Fully Defeased",IF($Z206="Portion Of Loan Previously Defeased","Partially Defeased",IF($Z206="Defeasance Not Allowable","Not Defeased (Not Permitted)","Not Defeased")))</f>
        <v/>
      </c>
      <c r="CJ206" s="78">
        <f>IF($CI206="Fully Defeased",1,0)</f>
        <v/>
      </c>
      <c r="CK206" s="76">
        <f>IF($R206="IO","Full IO",IF(LEFT($R206&amp;"",7)="IO then","Partial IO","Amortizing"))</f>
        <v/>
      </c>
      <c r="CL206" s="78">
        <f>IF($CK206="Full IO",1,0)</f>
        <v/>
      </c>
      <c r="CM206" s="78">
        <f>IF($CK206="Partial IO",1,0)</f>
        <v/>
      </c>
      <c r="CN206" s="76">
        <f>IF(LEFT($F206&amp;"",10)="SPLIT_LOAN","Pari Passu Split","Standalone")</f>
        <v/>
      </c>
      <c r="CO206" s="78">
        <f>IF($CN206="Pari Passu Split",1,0)</f>
        <v/>
      </c>
      <c r="CP206" s="77">
        <f>IF(ISNUMBER($T206),YEAR($T206),"")</f>
        <v/>
      </c>
      <c r="CQ206" s="79">
        <f>IF(ISNUMBER($V206),$V206,IF(ISNUMBER($U206),$U206,""))</f>
        <v/>
      </c>
      <c r="CR206" s="77">
        <f>IF(ISNUMBER($CQ206),YEAR($CQ206),"")</f>
        <v/>
      </c>
      <c r="CS206" s="78">
        <f>IF(ISNUMBER($M206),MAX(0,$M206),IF(TRIM($M206&amp;"")="matured",0,""))</f>
        <v/>
      </c>
      <c r="CT206" s="78">
        <f>IF(AND(ISNUMBER($CS206),N($CS206)&lt;=mMatWindow),1,0)</f>
        <v/>
      </c>
      <c r="CU206" s="80">
        <f>IF(ISNUMBER($J206),$J206/100,"")</f>
        <v/>
      </c>
      <c r="CV206" s="81">
        <f>IF(ISNUMBER($AQ206),$AQ206,"")</f>
        <v/>
      </c>
      <c r="CW206" s="81">
        <f>IF(ISNUMBER($AR206),$AR206,"")</f>
        <v/>
      </c>
      <c r="CX206" s="82">
        <f>IF(ISNUMBER($AS206),$AS206/100,"")</f>
        <v/>
      </c>
      <c r="CY206" s="82">
        <f>IF(ISNUMBER($AT206),$AT206/100,"")</f>
        <v/>
      </c>
      <c r="CZ206" s="82">
        <f>IF(ISNUMBER($AU206),$AU206/100,"")</f>
        <v/>
      </c>
      <c r="DA206" s="82">
        <f>IF(ISNUMBER($AV206),$AV206/100,"")</f>
        <v/>
      </c>
      <c r="DB206" s="82">
        <f>IF(ISNUMBER($AW206),$AW206/100,"")</f>
        <v/>
      </c>
      <c r="DC206" s="82">
        <f>IF(ISNUMBER($AX206),$AX206/100,"")</f>
        <v/>
      </c>
      <c r="DD206" s="77">
        <f>IFERROR(VALUE(LEFT(TRIM($AO206&amp;""),4)),"")</f>
        <v/>
      </c>
      <c r="DE206" s="78">
        <f>IF(AND($BY206=1,$BX206=1,OR(fDeal="All Deals",$BU206=fDeal),OR(fEntity="All Entities",$BV206=fEntity),OR(fPType="All Property Types",$BZ206=fPType),OR(fDefeased="Include",$CJ206=0)),1,0)</f>
        <v/>
      </c>
      <c r="DF206" s="83">
        <f>$DE206*N($I206)</f>
        <v/>
      </c>
      <c r="DG206" s="78">
        <f>IF($DE206=1,IF(COUNTIFS($F$8:$F206,$F206,$DE$8:$DE206,1)=1,1,0),0)</f>
        <v/>
      </c>
      <c r="DH206" s="83">
        <f>IF($DG206=1,SUMIFS($DF$8:$DF$1600,$F$8:$F$1600,$F206),0)</f>
        <v/>
      </c>
      <c r="DI206" s="78">
        <f>IF($DG206=1,COUNTIFS($F$8:$F$1600,$F206,$DE$8:$DE$1600,1),0)</f>
        <v/>
      </c>
      <c r="DJ206" s="84">
        <f>IF($DG206=1,$DH206+(100000-ROW())/mTieBreak,0)</f>
        <v/>
      </c>
    </row>
    <row r="207">
      <c r="B207" s="68" t="n">
        <v>10</v>
      </c>
      <c r="C207" s="69" t="inlineStr">
        <is>
          <t>BBC19C03</t>
        </is>
      </c>
      <c r="D207" s="69" t="inlineStr">
        <is>
          <t>10.TR</t>
        </is>
      </c>
      <c r="E207" s="69" t="inlineStr">
        <is>
          <t>The Colonnade Office Complex - Trust</t>
        </is>
      </c>
      <c r="F207" s="69" t="inlineStr">
        <is>
          <t>SPLIT_LOAN_01496</t>
        </is>
      </c>
      <c r="G207" s="70" t="n">
        <v>1496</v>
      </c>
      <c r="H207" s="71" t="n">
        <v>30000000</v>
      </c>
      <c r="I207" s="71" t="n">
        <v>30000000</v>
      </c>
      <c r="J207" s="72" t="n">
        <v>4.568</v>
      </c>
      <c r="K207" s="69" t="inlineStr">
        <is>
          <t>Fixed rate</t>
        </is>
      </c>
      <c r="L207" s="68" t="n">
        <v>60</v>
      </c>
      <c r="M207" s="68" t="inlineStr">
        <is>
          <t>matured</t>
        </is>
      </c>
      <c r="N207" s="68" t="n">
        <v>60</v>
      </c>
      <c r="O207" s="68" t="n">
        <v>60</v>
      </c>
      <c r="P207" s="68" t="n">
        <v>0</v>
      </c>
      <c r="Q207" s="68" t="n">
        <v>90</v>
      </c>
      <c r="R207" s="69" t="inlineStr">
        <is>
          <t>IO</t>
        </is>
      </c>
      <c r="S207" s="69" t="inlineStr">
        <is>
          <t>Yes</t>
        </is>
      </c>
      <c r="T207" s="73" t="n">
        <v>43525</v>
      </c>
      <c r="U207" s="73" t="n">
        <v>45328</v>
      </c>
      <c r="V207" s="73" t="n"/>
      <c r="W207" s="69" t="inlineStr">
        <is>
          <t>90+</t>
        </is>
      </c>
      <c r="X207" s="69" t="inlineStr">
        <is>
          <t>Non-Performing Matured Balloon</t>
        </is>
      </c>
      <c r="Y207" s="68" t="n">
        <v>29</v>
      </c>
      <c r="Z207" s="69" t="inlineStr">
        <is>
          <t>No Defeasance Occurred</t>
        </is>
      </c>
      <c r="AA207" s="69" t="inlineStr">
        <is>
          <t>Previously</t>
        </is>
      </c>
      <c r="AB207" s="69" t="inlineStr">
        <is>
          <t>Currently special serv</t>
        </is>
      </c>
      <c r="AC207" s="73" t="n">
        <v>45181</v>
      </c>
      <c r="AD207" s="69" t="inlineStr">
        <is>
          <t>Imminent Monetary Default (excluding Balloon/Maturity Default &amp; Single Tenant Bankruptcy/Vacate)</t>
        </is>
      </c>
      <c r="AE207" s="69" t="inlineStr">
        <is>
          <t>Modification</t>
        </is>
      </c>
      <c r="AF207" s="69" t="inlineStr">
        <is>
          <t>TX</t>
        </is>
      </c>
      <c r="AG207" s="69" t="inlineStr">
        <is>
          <t>Addison</t>
        </is>
      </c>
      <c r="AH207" s="69" t="inlineStr">
        <is>
          <t>Dallas-Fort Worth-Arlington, TX</t>
        </is>
      </c>
      <c r="AI207" s="69" t="inlineStr">
        <is>
          <t>South / Central West</t>
        </is>
      </c>
      <c r="AJ207" s="69" t="inlineStr">
        <is>
          <t>OF</t>
        </is>
      </c>
      <c r="AK207" s="69" t="inlineStr">
        <is>
          <t>Suburban</t>
        </is>
      </c>
      <c r="AL207" s="68" t="n">
        <v>1</v>
      </c>
      <c r="AM207" s="68" t="n"/>
      <c r="AN207" s="68" t="n">
        <v>1080180</v>
      </c>
      <c r="AO207" s="69" t="inlineStr">
        <is>
          <t>1983</t>
        </is>
      </c>
      <c r="AP207" s="70" t="n">
        <v>2017</v>
      </c>
      <c r="AQ207" s="74" t="n">
        <v>3.87</v>
      </c>
      <c r="AR207" s="74" t="n">
        <v>2.26</v>
      </c>
      <c r="AS207" s="74" t="n">
        <v>30.2</v>
      </c>
      <c r="AT207" s="74" t="n">
        <v>48.17</v>
      </c>
      <c r="AU207" s="74" t="n">
        <v>30.2</v>
      </c>
      <c r="AV207" s="74" t="n">
        <v>17.944113867</v>
      </c>
      <c r="AW207" s="74" t="n">
        <v>10.48887619</v>
      </c>
      <c r="AX207" s="75" t="n">
        <v>75</v>
      </c>
      <c r="AY207" s="71" t="n">
        <v>347590000</v>
      </c>
      <c r="AZ207" s="71" t="n">
        <v>218000000</v>
      </c>
      <c r="BA207" s="71" t="n">
        <v>18841319.56</v>
      </c>
      <c r="BB207" s="71" t="n">
        <v>11013320</v>
      </c>
      <c r="BC207" s="69" t="inlineStr">
        <is>
          <t>Refinance</t>
        </is>
      </c>
      <c r="BD207" s="69" t="inlineStr">
        <is>
          <t>N</t>
        </is>
      </c>
      <c r="BE207" s="71" t="n">
        <v>75000000</v>
      </c>
      <c r="BF207" s="71" t="n">
        <v>118000000</v>
      </c>
      <c r="BG207" s="71" t="n">
        <v>17000000</v>
      </c>
      <c r="BH207" s="71" t="n">
        <v>0</v>
      </c>
      <c r="BI207" s="71" t="n">
        <v>3477389.1</v>
      </c>
      <c r="BJ207" s="69" t="inlineStr">
        <is>
          <t>N</t>
        </is>
      </c>
      <c r="BK207" s="69" t="inlineStr">
        <is>
          <t>Hilton Domestic Operating Company</t>
        </is>
      </c>
      <c r="BL207" s="75" t="n">
        <v>13.76</v>
      </c>
      <c r="BM207" s="73" t="n">
        <v>48244</v>
      </c>
      <c r="BN207" s="69" t="inlineStr">
        <is>
          <t>Fortis Property Group, LLC</t>
        </is>
      </c>
      <c r="BO207" s="69" t="inlineStr">
        <is>
          <t>UBS</t>
        </is>
      </c>
      <c r="BP207" s="69" t="inlineStr">
        <is>
          <t>Midland Loan Services</t>
        </is>
      </c>
      <c r="BQ207" s="69" t="inlineStr">
        <is>
          <t>CWCapital</t>
        </is>
      </c>
      <c r="BR207" s="69" t="n"/>
      <c r="BS207" s="73" t="n">
        <v>46276</v>
      </c>
      <c r="BU207" s="76">
        <f>IF($C207="","",IFERROR(INDEX(dmName,MATCH($C207,dmID,0)),"Unmapped"))</f>
        <v/>
      </c>
      <c r="BV207" s="76">
        <f>IF($C207="","",IFERROR(INDEX(dmEntity,MATCH($C207,dmID,0)),"Unmapped"))</f>
        <v/>
      </c>
      <c r="BW207" s="77">
        <f>IF($C207="","",IFERROR(INDEX(dmVintage,MATCH($C207,dmID,0)),""))</f>
        <v/>
      </c>
      <c r="BX207" s="78">
        <f>IFERROR(INDEX(dmInclude,MATCH($C207,dmID,0)),0)</f>
        <v/>
      </c>
      <c r="BY207" s="78">
        <f>IF(N($I207)&gt;0,1,0)</f>
        <v/>
      </c>
      <c r="BZ207" s="76">
        <f>IF($AJ207="","Other / Leased Fee",IFERROR(INDEX(mapPTGroup,MATCH(LEFT(TRIM($AJ207),2),mapPTCode,0)),"Other / Leased Fee"))</f>
        <v/>
      </c>
      <c r="CA207" s="76">
        <f>IF(TRIM($AF207&amp;"")="","NR",LEFT(TRIM($AF207),2))</f>
        <v/>
      </c>
      <c r="CB207" s="76">
        <f>IFERROR(LOOKUP(2,1/(LEFT(TRIM($AI207&amp;""),LEN(mapRegion))=mapRegion),mapRegion),"Not Reported")</f>
        <v/>
      </c>
      <c r="CC207" s="76">
        <f>IF($BY207=0,"",IF(TRIM($W207&amp;"")="REO","REO",IF(TRIM($W207&amp;"")="FC","Foreclosure",IF(TRIM($W207&amp;"")="90+","90+ Days Delinquent",IF(TRIM($W207&amp;"")="60","60 Days Delinquent",IF(TRIM($W207&amp;"")="30","30 Days Delinquent",IF($X207="Non-Performing Matured Balloon","Non-Performing Matured Balloon",IF(OR($X207="Late Payment But Less Than 30 Days Delinquent",LEFT($X207&amp;"",20)="Payment Not Received"),"Late / In Grace (&lt;30 Days)",IF($X207="Performing Matured Balloon","Performing Matured Balloon","Current")))))))))</f>
        <v/>
      </c>
      <c r="CD207" s="78">
        <f>IF(OR($CC207="REO",$CC207="Foreclosure",$CC207="90+ Days Delinquent",$CC207="60 Days Delinquent",$CC207="30 Days Delinquent",$CC207="Non-Performing Matured Balloon"),1,0)</f>
        <v/>
      </c>
      <c r="CE207" s="76">
        <f>IF($AB207="Currently special serv","Currently Specially Serviced",IF($AB207="Returned to master serv","Previously Specially Serviced","Never Specially Serviced"))</f>
        <v/>
      </c>
      <c r="CF207" s="78">
        <f>IF($CE207="Currently Specially Serviced",1,0)</f>
        <v/>
      </c>
      <c r="CG207" s="76">
        <f>IF($AA207="Yes","Currently on Watchlist",IF($AA207="Previously","Previously on Watchlist","Never on Watchlist"))</f>
        <v/>
      </c>
      <c r="CH207" s="78">
        <f>IF($CG207="Currently on Watchlist",1,0)</f>
        <v/>
      </c>
      <c r="CI207" s="76">
        <f>IF($Z207="Full Defeasance","Fully Defeased",IF($Z207="Portion Of Loan Previously Defeased","Partially Defeased",IF($Z207="Defeasance Not Allowable","Not Defeased (Not Permitted)","Not Defeased")))</f>
        <v/>
      </c>
      <c r="CJ207" s="78">
        <f>IF($CI207="Fully Defeased",1,0)</f>
        <v/>
      </c>
      <c r="CK207" s="76">
        <f>IF($R207="IO","Full IO",IF(LEFT($R207&amp;"",7)="IO then","Partial IO","Amortizing"))</f>
        <v/>
      </c>
      <c r="CL207" s="78">
        <f>IF($CK207="Full IO",1,0)</f>
        <v/>
      </c>
      <c r="CM207" s="78">
        <f>IF($CK207="Partial IO",1,0)</f>
        <v/>
      </c>
      <c r="CN207" s="76">
        <f>IF(LEFT($F207&amp;"",10)="SPLIT_LOAN","Pari Passu Split","Standalone")</f>
        <v/>
      </c>
      <c r="CO207" s="78">
        <f>IF($CN207="Pari Passu Split",1,0)</f>
        <v/>
      </c>
      <c r="CP207" s="77">
        <f>IF(ISNUMBER($T207),YEAR($T207),"")</f>
        <v/>
      </c>
      <c r="CQ207" s="79">
        <f>IF(ISNUMBER($V207),$V207,IF(ISNUMBER($U207),$U207,""))</f>
        <v/>
      </c>
      <c r="CR207" s="77">
        <f>IF(ISNUMBER($CQ207),YEAR($CQ207),"")</f>
        <v/>
      </c>
      <c r="CS207" s="78">
        <f>IF(ISNUMBER($M207),MAX(0,$M207),IF(TRIM($M207&amp;"")="matured",0,""))</f>
        <v/>
      </c>
      <c r="CT207" s="78">
        <f>IF(AND(ISNUMBER($CS207),N($CS207)&lt;=mMatWindow),1,0)</f>
        <v/>
      </c>
      <c r="CU207" s="80">
        <f>IF(ISNUMBER($J207),$J207/100,"")</f>
        <v/>
      </c>
      <c r="CV207" s="81">
        <f>IF(ISNUMBER($AQ207),$AQ207,"")</f>
        <v/>
      </c>
      <c r="CW207" s="81">
        <f>IF(ISNUMBER($AR207),$AR207,"")</f>
        <v/>
      </c>
      <c r="CX207" s="82">
        <f>IF(ISNUMBER($AS207),$AS207/100,"")</f>
        <v/>
      </c>
      <c r="CY207" s="82">
        <f>IF(ISNUMBER($AT207),$AT207/100,"")</f>
        <v/>
      </c>
      <c r="CZ207" s="82">
        <f>IF(ISNUMBER($AU207),$AU207/100,"")</f>
        <v/>
      </c>
      <c r="DA207" s="82">
        <f>IF(ISNUMBER($AV207),$AV207/100,"")</f>
        <v/>
      </c>
      <c r="DB207" s="82">
        <f>IF(ISNUMBER($AW207),$AW207/100,"")</f>
        <v/>
      </c>
      <c r="DC207" s="82">
        <f>IF(ISNUMBER($AX207),$AX207/100,"")</f>
        <v/>
      </c>
      <c r="DD207" s="77">
        <f>IFERROR(VALUE(LEFT(TRIM($AO207&amp;""),4)),"")</f>
        <v/>
      </c>
      <c r="DE207" s="78">
        <f>IF(AND($BY207=1,$BX207=1,OR(fDeal="All Deals",$BU207=fDeal),OR(fEntity="All Entities",$BV207=fEntity),OR(fPType="All Property Types",$BZ207=fPType),OR(fDefeased="Include",$CJ207=0)),1,0)</f>
        <v/>
      </c>
      <c r="DF207" s="83">
        <f>$DE207*N($I207)</f>
        <v/>
      </c>
      <c r="DG207" s="78">
        <f>IF($DE207=1,IF(COUNTIFS($F$8:$F207,$F207,$DE$8:$DE207,1)=1,1,0),0)</f>
        <v/>
      </c>
      <c r="DH207" s="83">
        <f>IF($DG207=1,SUMIFS($DF$8:$DF$1600,$F$8:$F$1600,$F207),0)</f>
        <v/>
      </c>
      <c r="DI207" s="78">
        <f>IF($DG207=1,COUNTIFS($F$8:$F$1600,$F207,$DE$8:$DE$1600,1),0)</f>
        <v/>
      </c>
      <c r="DJ207" s="84">
        <f>IF($DG207=1,$DH207+(100000-ROW())/mTieBreak,0)</f>
        <v/>
      </c>
    </row>
    <row r="208">
      <c r="B208" s="68" t="n">
        <v>11</v>
      </c>
      <c r="C208" s="69" t="inlineStr">
        <is>
          <t>BBC19C03</t>
        </is>
      </c>
      <c r="D208" s="69" t="inlineStr">
        <is>
          <t>11.000</t>
        </is>
      </c>
      <c r="E208" s="69" t="inlineStr">
        <is>
          <t>Wolverine Portfolio</t>
        </is>
      </c>
      <c r="F208" s="69" t="inlineStr">
        <is>
          <t>SPLIT_LOAN_01507</t>
        </is>
      </c>
      <c r="G208" s="70" t="n">
        <v>1507</v>
      </c>
      <c r="H208" s="71" t="n">
        <v>30000000</v>
      </c>
      <c r="I208" s="71" t="n">
        <v>28447283.97999</v>
      </c>
      <c r="J208" s="72" t="n">
        <v>4.9</v>
      </c>
      <c r="K208" s="69" t="inlineStr">
        <is>
          <t>Fixed rate</t>
        </is>
      </c>
      <c r="L208" s="68" t="n">
        <v>120</v>
      </c>
      <c r="M208" s="68" t="n">
        <v>31</v>
      </c>
      <c r="N208" s="68" t="n">
        <v>408</v>
      </c>
      <c r="O208" s="68" t="n">
        <v>48</v>
      </c>
      <c r="P208" s="68" t="n">
        <v>0</v>
      </c>
      <c r="Q208" s="68" t="n">
        <v>89</v>
      </c>
      <c r="R208" s="69" t="inlineStr">
        <is>
          <t>IO then Amort</t>
        </is>
      </c>
      <c r="S208" s="69" t="inlineStr">
        <is>
          <t>No</t>
        </is>
      </c>
      <c r="T208" s="73" t="n">
        <v>43556</v>
      </c>
      <c r="U208" s="73" t="n">
        <v>47214</v>
      </c>
      <c r="V208" s="73" t="n"/>
      <c r="W208" s="69" t="n"/>
      <c r="X208" s="69" t="inlineStr">
        <is>
          <t>Current</t>
        </is>
      </c>
      <c r="Y208" s="68" t="n"/>
      <c r="Z208" s="69" t="inlineStr">
        <is>
          <t>Portion Of Loan Previously Defeased</t>
        </is>
      </c>
      <c r="AA208" s="69" t="inlineStr">
        <is>
          <t>Previously</t>
        </is>
      </c>
      <c r="AB208" s="69" t="inlineStr">
        <is>
          <t>Never special serv</t>
        </is>
      </c>
      <c r="AC208" s="73" t="n"/>
      <c r="AD208" s="69" t="n"/>
      <c r="AE208" s="69" t="n"/>
      <c r="AF208" s="69" t="inlineStr">
        <is>
          <t>MI-82.392470010% FL-17.607529990%</t>
        </is>
      </c>
      <c r="AG208" s="69" t="n"/>
      <c r="AH208" s="69" t="inlineStr">
        <is>
          <t>Detroit-Warren-Dearborn, MI-57.112084077% Grand Rapids-Wyoming-Kentwood, MI-25.280385933% Tampa-St. Petersburg-Clearwater, FL-10.871244935% Deltona-Daytona Beach-Ormond Beach, FL-6.736285055%</t>
        </is>
      </c>
      <c r="AI208" s="69" t="inlineStr">
        <is>
          <t>Midwest / Central East-82.392470010% South / Atlantic-17.607529990%</t>
        </is>
      </c>
      <c r="AJ208" s="69" t="inlineStr">
        <is>
          <t>MH</t>
        </is>
      </c>
      <c r="AK208" s="69" t="n"/>
      <c r="AL208" s="68" t="n">
        <v>10</v>
      </c>
      <c r="AM208" s="68" t="n">
        <v>1649</v>
      </c>
      <c r="AN208" s="68" t="n"/>
      <c r="AO208" s="69" t="n"/>
      <c r="AP208" s="70" t="n">
        <v>2005</v>
      </c>
      <c r="AQ208" s="74" t="n">
        <v>1.29</v>
      </c>
      <c r="AR208" s="74" t="n">
        <v>1.68</v>
      </c>
      <c r="AS208" s="74" t="n">
        <v>69.8</v>
      </c>
      <c r="AT208" s="74" t="n">
        <v>66.22</v>
      </c>
      <c r="AU208" s="74" t="n">
        <v>63</v>
      </c>
      <c r="AV208" s="74" t="n">
        <v>8.228385491999999</v>
      </c>
      <c r="AW208" s="74" t="n">
        <v>7.219823945</v>
      </c>
      <c r="AX208" s="75" t="n">
        <v>79.90000000000001</v>
      </c>
      <c r="AY208" s="71" t="n">
        <v>84490000</v>
      </c>
      <c r="AZ208" s="71" t="n">
        <v>84490000</v>
      </c>
      <c r="BA208" s="71" t="n">
        <v>4854747.44</v>
      </c>
      <c r="BB208" s="71" t="n">
        <v>4363124.13</v>
      </c>
      <c r="BC208" s="69" t="inlineStr">
        <is>
          <t>Refinance</t>
        </is>
      </c>
      <c r="BD208" s="69" t="inlineStr">
        <is>
          <t>N</t>
        </is>
      </c>
      <c r="BE208" s="71" t="n">
        <v>27499041.18</v>
      </c>
      <c r="BF208" s="71" t="n"/>
      <c r="BG208" s="71" t="n"/>
      <c r="BH208" s="71" t="n">
        <v>0</v>
      </c>
      <c r="BI208" s="71" t="n">
        <v>0</v>
      </c>
      <c r="BJ208" s="69" t="inlineStr">
        <is>
          <t>N</t>
        </is>
      </c>
      <c r="BK208" s="69" t="n"/>
      <c r="BL208" s="75" t="n"/>
      <c r="BM208" s="73" t="n"/>
      <c r="BN208" s="69" t="n"/>
      <c r="BO208" s="69" t="inlineStr">
        <is>
          <t>UBS</t>
        </is>
      </c>
      <c r="BP208" s="69" t="inlineStr">
        <is>
          <t>Midland Loan Services</t>
        </is>
      </c>
      <c r="BQ208" s="69" t="inlineStr">
        <is>
          <t>K-Star Asset Management LLC</t>
        </is>
      </c>
      <c r="BR208" s="69" t="inlineStr">
        <is>
          <t>Partial Liquidation (Curtailment)</t>
        </is>
      </c>
      <c r="BS208" s="73" t="n">
        <v>46276</v>
      </c>
      <c r="BU208" s="76">
        <f>IF($C208="","",IFERROR(INDEX(dmName,MATCH($C208,dmID,0)),"Unmapped"))</f>
        <v/>
      </c>
      <c r="BV208" s="76">
        <f>IF($C208="","",IFERROR(INDEX(dmEntity,MATCH($C208,dmID,0)),"Unmapped"))</f>
        <v/>
      </c>
      <c r="BW208" s="77">
        <f>IF($C208="","",IFERROR(INDEX(dmVintage,MATCH($C208,dmID,0)),""))</f>
        <v/>
      </c>
      <c r="BX208" s="78">
        <f>IFERROR(INDEX(dmInclude,MATCH($C208,dmID,0)),0)</f>
        <v/>
      </c>
      <c r="BY208" s="78">
        <f>IF(N($I208)&gt;0,1,0)</f>
        <v/>
      </c>
      <c r="BZ208" s="76">
        <f>IF($AJ208="","Other / Leased Fee",IFERROR(INDEX(mapPTGroup,MATCH(LEFT(TRIM($AJ208),2),mapPTCode,0)),"Other / Leased Fee"))</f>
        <v/>
      </c>
      <c r="CA208" s="76">
        <f>IF(TRIM($AF208&amp;"")="","NR",LEFT(TRIM($AF208),2))</f>
        <v/>
      </c>
      <c r="CB208" s="76">
        <f>IFERROR(LOOKUP(2,1/(LEFT(TRIM($AI208&amp;""),LEN(mapRegion))=mapRegion),mapRegion),"Not Reported")</f>
        <v/>
      </c>
      <c r="CC208" s="76">
        <f>IF($BY208=0,"",IF(TRIM($W208&amp;"")="REO","REO",IF(TRIM($W208&amp;"")="FC","Foreclosure",IF(TRIM($W208&amp;"")="90+","90+ Days Delinquent",IF(TRIM($W208&amp;"")="60","60 Days Delinquent",IF(TRIM($W208&amp;"")="30","30 Days Delinquent",IF($X208="Non-Performing Matured Balloon","Non-Performing Matured Balloon",IF(OR($X208="Late Payment But Less Than 30 Days Delinquent",LEFT($X208&amp;"",20)="Payment Not Received"),"Late / In Grace (&lt;30 Days)",IF($X208="Performing Matured Balloon","Performing Matured Balloon","Current")))))))))</f>
        <v/>
      </c>
      <c r="CD208" s="78">
        <f>IF(OR($CC208="REO",$CC208="Foreclosure",$CC208="90+ Days Delinquent",$CC208="60 Days Delinquent",$CC208="30 Days Delinquent",$CC208="Non-Performing Matured Balloon"),1,0)</f>
        <v/>
      </c>
      <c r="CE208" s="76">
        <f>IF($AB208="Currently special serv","Currently Specially Serviced",IF($AB208="Returned to master serv","Previously Specially Serviced","Never Specially Serviced"))</f>
        <v/>
      </c>
      <c r="CF208" s="78">
        <f>IF($CE208="Currently Specially Serviced",1,0)</f>
        <v/>
      </c>
      <c r="CG208" s="76">
        <f>IF($AA208="Yes","Currently on Watchlist",IF($AA208="Previously","Previously on Watchlist","Never on Watchlist"))</f>
        <v/>
      </c>
      <c r="CH208" s="78">
        <f>IF($CG208="Currently on Watchlist",1,0)</f>
        <v/>
      </c>
      <c r="CI208" s="76">
        <f>IF($Z208="Full Defeasance","Fully Defeased",IF($Z208="Portion Of Loan Previously Defeased","Partially Defeased",IF($Z208="Defeasance Not Allowable","Not Defeased (Not Permitted)","Not Defeased")))</f>
        <v/>
      </c>
      <c r="CJ208" s="78">
        <f>IF($CI208="Fully Defeased",1,0)</f>
        <v/>
      </c>
      <c r="CK208" s="76">
        <f>IF($R208="IO","Full IO",IF(LEFT($R208&amp;"",7)="IO then","Partial IO","Amortizing"))</f>
        <v/>
      </c>
      <c r="CL208" s="78">
        <f>IF($CK208="Full IO",1,0)</f>
        <v/>
      </c>
      <c r="CM208" s="78">
        <f>IF($CK208="Partial IO",1,0)</f>
        <v/>
      </c>
      <c r="CN208" s="76">
        <f>IF(LEFT($F208&amp;"",10)="SPLIT_LOAN","Pari Passu Split","Standalone")</f>
        <v/>
      </c>
      <c r="CO208" s="78">
        <f>IF($CN208="Pari Passu Split",1,0)</f>
        <v/>
      </c>
      <c r="CP208" s="77">
        <f>IF(ISNUMBER($T208),YEAR($T208),"")</f>
        <v/>
      </c>
      <c r="CQ208" s="79">
        <f>IF(ISNUMBER($V208),$V208,IF(ISNUMBER($U208),$U208,""))</f>
        <v/>
      </c>
      <c r="CR208" s="77">
        <f>IF(ISNUMBER($CQ208),YEAR($CQ208),"")</f>
        <v/>
      </c>
      <c r="CS208" s="78">
        <f>IF(ISNUMBER($M208),MAX(0,$M208),IF(TRIM($M208&amp;"")="matured",0,""))</f>
        <v/>
      </c>
      <c r="CT208" s="78">
        <f>IF(AND(ISNUMBER($CS208),N($CS208)&lt;=mMatWindow),1,0)</f>
        <v/>
      </c>
      <c r="CU208" s="80">
        <f>IF(ISNUMBER($J208),$J208/100,"")</f>
        <v/>
      </c>
      <c r="CV208" s="81">
        <f>IF(ISNUMBER($AQ208),$AQ208,"")</f>
        <v/>
      </c>
      <c r="CW208" s="81">
        <f>IF(ISNUMBER($AR208),$AR208,"")</f>
        <v/>
      </c>
      <c r="CX208" s="82">
        <f>IF(ISNUMBER($AS208),$AS208/100,"")</f>
        <v/>
      </c>
      <c r="CY208" s="82">
        <f>IF(ISNUMBER($AT208),$AT208/100,"")</f>
        <v/>
      </c>
      <c r="CZ208" s="82">
        <f>IF(ISNUMBER($AU208),$AU208/100,"")</f>
        <v/>
      </c>
      <c r="DA208" s="82">
        <f>IF(ISNUMBER($AV208),$AV208/100,"")</f>
        <v/>
      </c>
      <c r="DB208" s="82">
        <f>IF(ISNUMBER($AW208),$AW208/100,"")</f>
        <v/>
      </c>
      <c r="DC208" s="82">
        <f>IF(ISNUMBER($AX208),$AX208/100,"")</f>
        <v/>
      </c>
      <c r="DD208" s="77">
        <f>IFERROR(VALUE(LEFT(TRIM($AO208&amp;""),4)),"")</f>
        <v/>
      </c>
      <c r="DE208" s="78">
        <f>IF(AND($BY208=1,$BX208=1,OR(fDeal="All Deals",$BU208=fDeal),OR(fEntity="All Entities",$BV208=fEntity),OR(fPType="All Property Types",$BZ208=fPType),OR(fDefeased="Include",$CJ208=0)),1,0)</f>
        <v/>
      </c>
      <c r="DF208" s="83">
        <f>$DE208*N($I208)</f>
        <v/>
      </c>
      <c r="DG208" s="78">
        <f>IF($DE208=1,IF(COUNTIFS($F$8:$F208,$F208,$DE$8:$DE208,1)=1,1,0),0)</f>
        <v/>
      </c>
      <c r="DH208" s="83">
        <f>IF($DG208=1,SUMIFS($DF$8:$DF$1600,$F$8:$F$1600,$F208),0)</f>
        <v/>
      </c>
      <c r="DI208" s="78">
        <f>IF($DG208=1,COUNTIFS($F$8:$F$1600,$F208,$DE$8:$DE$1600,1),0)</f>
        <v/>
      </c>
      <c r="DJ208" s="84">
        <f>IF($DG208=1,$DH208+(100000-ROW())/mTieBreak,0)</f>
        <v/>
      </c>
    </row>
    <row r="209">
      <c r="B209" s="68" t="n">
        <v>12</v>
      </c>
      <c r="C209" s="69" t="inlineStr">
        <is>
          <t>BBC19C03</t>
        </is>
      </c>
      <c r="D209" s="69" t="inlineStr">
        <is>
          <t>12.000</t>
        </is>
      </c>
      <c r="E209" s="69" t="inlineStr">
        <is>
          <t>DoubleTree Colorado Springs</t>
        </is>
      </c>
      <c r="F209" s="69" t="inlineStr">
        <is>
          <t>LNBBC19C03-12.000</t>
        </is>
      </c>
      <c r="G209" s="70" t="n"/>
      <c r="H209" s="71" t="n">
        <v>27000000</v>
      </c>
      <c r="I209" s="71" t="n">
        <v>23677275.800007</v>
      </c>
      <c r="J209" s="72" t="n">
        <v>4.9</v>
      </c>
      <c r="K209" s="69" t="inlineStr">
        <is>
          <t>Fixed rate</t>
        </is>
      </c>
      <c r="L209" s="68" t="n">
        <v>120</v>
      </c>
      <c r="M209" s="68" t="n">
        <v>32</v>
      </c>
      <c r="N209" s="68" t="n">
        <v>360</v>
      </c>
      <c r="O209" s="68" t="n"/>
      <c r="P209" s="68" t="n"/>
      <c r="Q209" s="68" t="n">
        <v>88</v>
      </c>
      <c r="R209" s="69" t="n"/>
      <c r="S209" s="69" t="inlineStr">
        <is>
          <t>No</t>
        </is>
      </c>
      <c r="T209" s="73" t="n">
        <v>43586</v>
      </c>
      <c r="U209" s="73" t="n">
        <v>47244</v>
      </c>
      <c r="V209" s="73" t="n"/>
      <c r="W209" s="69" t="n"/>
      <c r="X209" s="69" t="inlineStr">
        <is>
          <t>Current</t>
        </is>
      </c>
      <c r="Y209" s="68" t="n"/>
      <c r="Z209" s="69" t="inlineStr">
        <is>
          <t>No Defeasance Occurred</t>
        </is>
      </c>
      <c r="AA209" s="69" t="inlineStr">
        <is>
          <t>Previously</t>
        </is>
      </c>
      <c r="AB209" s="69" t="inlineStr">
        <is>
          <t>Never special serv</t>
        </is>
      </c>
      <c r="AC209" s="73" t="n"/>
      <c r="AD209" s="69" t="n"/>
      <c r="AE209" s="69" t="n"/>
      <c r="AF209" s="69" t="inlineStr">
        <is>
          <t>CO</t>
        </is>
      </c>
      <c r="AG209" s="69" t="inlineStr">
        <is>
          <t>Colorado Springs</t>
        </is>
      </c>
      <c r="AH209" s="69" t="inlineStr">
        <is>
          <t>Colorado Springs, CO</t>
        </is>
      </c>
      <c r="AI209" s="69" t="inlineStr">
        <is>
          <t>West / Mountain</t>
        </is>
      </c>
      <c r="AJ209" s="69" t="inlineStr">
        <is>
          <t>HT</t>
        </is>
      </c>
      <c r="AK209" s="69" t="inlineStr">
        <is>
          <t>Full Service</t>
        </is>
      </c>
      <c r="AL209" s="68" t="n">
        <v>1</v>
      </c>
      <c r="AM209" s="68" t="n">
        <v>299</v>
      </c>
      <c r="AN209" s="68" t="n"/>
      <c r="AO209" s="69" t="inlineStr">
        <is>
          <t>1986</t>
        </is>
      </c>
      <c r="AP209" s="70" t="n">
        <v>2018</v>
      </c>
      <c r="AQ209" s="74" t="n">
        <v>2.15</v>
      </c>
      <c r="AR209" s="74" t="n">
        <v>2.27</v>
      </c>
      <c r="AS209" s="74" t="n">
        <v>63.5</v>
      </c>
      <c r="AT209" s="74" t="n">
        <v>55.71</v>
      </c>
      <c r="AU209" s="74" t="n">
        <v>52.1</v>
      </c>
      <c r="AV209" s="74" t="n">
        <v>13.717111111</v>
      </c>
      <c r="AW209" s="74" t="n">
        <v>13.540027312</v>
      </c>
      <c r="AX209" s="75" t="n">
        <v>68</v>
      </c>
      <c r="AY209" s="71" t="n">
        <v>42500000</v>
      </c>
      <c r="AZ209" s="71" t="n">
        <v>42500000</v>
      </c>
      <c r="BA209" s="71" t="n">
        <v>3703620</v>
      </c>
      <c r="BB209" s="71" t="n">
        <v>3909183.32</v>
      </c>
      <c r="BC209" s="69" t="inlineStr">
        <is>
          <t>Refinance</t>
        </is>
      </c>
      <c r="BD209" s="69" t="inlineStr">
        <is>
          <t>N</t>
        </is>
      </c>
      <c r="BE209" s="71" t="n"/>
      <c r="BF209" s="71" t="n"/>
      <c r="BG209" s="71" t="n"/>
      <c r="BH209" s="71" t="n">
        <v>0</v>
      </c>
      <c r="BI209" s="71" t="n">
        <v>0</v>
      </c>
      <c r="BJ209" s="69" t="inlineStr">
        <is>
          <t>N</t>
        </is>
      </c>
      <c r="BK209" s="69" t="n"/>
      <c r="BL209" s="75" t="n"/>
      <c r="BM209" s="73" t="n"/>
      <c r="BN209" s="69" t="n"/>
      <c r="BO209" s="69" t="inlineStr">
        <is>
          <t>Barclays</t>
        </is>
      </c>
      <c r="BP209" s="69" t="inlineStr">
        <is>
          <t>Midland Loan Services</t>
        </is>
      </c>
      <c r="BQ209" s="69" t="inlineStr">
        <is>
          <t>K-Star Asset Management LLC</t>
        </is>
      </c>
      <c r="BR209" s="69" t="n"/>
      <c r="BS209" s="73" t="n">
        <v>46276</v>
      </c>
      <c r="BU209" s="76">
        <f>IF($C209="","",IFERROR(INDEX(dmName,MATCH($C209,dmID,0)),"Unmapped"))</f>
        <v/>
      </c>
      <c r="BV209" s="76">
        <f>IF($C209="","",IFERROR(INDEX(dmEntity,MATCH($C209,dmID,0)),"Unmapped"))</f>
        <v/>
      </c>
      <c r="BW209" s="77">
        <f>IF($C209="","",IFERROR(INDEX(dmVintage,MATCH($C209,dmID,0)),""))</f>
        <v/>
      </c>
      <c r="BX209" s="78">
        <f>IFERROR(INDEX(dmInclude,MATCH($C209,dmID,0)),0)</f>
        <v/>
      </c>
      <c r="BY209" s="78">
        <f>IF(N($I209)&gt;0,1,0)</f>
        <v/>
      </c>
      <c r="BZ209" s="76">
        <f>IF($AJ209="","Other / Leased Fee",IFERROR(INDEX(mapPTGroup,MATCH(LEFT(TRIM($AJ209),2),mapPTCode,0)),"Other / Leased Fee"))</f>
        <v/>
      </c>
      <c r="CA209" s="76">
        <f>IF(TRIM($AF209&amp;"")="","NR",LEFT(TRIM($AF209),2))</f>
        <v/>
      </c>
      <c r="CB209" s="76">
        <f>IFERROR(LOOKUP(2,1/(LEFT(TRIM($AI209&amp;""),LEN(mapRegion))=mapRegion),mapRegion),"Not Reported")</f>
        <v/>
      </c>
      <c r="CC209" s="76">
        <f>IF($BY209=0,"",IF(TRIM($W209&amp;"")="REO","REO",IF(TRIM($W209&amp;"")="FC","Foreclosure",IF(TRIM($W209&amp;"")="90+","90+ Days Delinquent",IF(TRIM($W209&amp;"")="60","60 Days Delinquent",IF(TRIM($W209&amp;"")="30","30 Days Delinquent",IF($X209="Non-Performing Matured Balloon","Non-Performing Matured Balloon",IF(OR($X209="Late Payment But Less Than 30 Days Delinquent",LEFT($X209&amp;"",20)="Payment Not Received"),"Late / In Grace (&lt;30 Days)",IF($X209="Performing Matured Balloon","Performing Matured Balloon","Current")))))))))</f>
        <v/>
      </c>
      <c r="CD209" s="78">
        <f>IF(OR($CC209="REO",$CC209="Foreclosure",$CC209="90+ Days Delinquent",$CC209="60 Days Delinquent",$CC209="30 Days Delinquent",$CC209="Non-Performing Matured Balloon"),1,0)</f>
        <v/>
      </c>
      <c r="CE209" s="76">
        <f>IF($AB209="Currently special serv","Currently Specially Serviced",IF($AB209="Returned to master serv","Previously Specially Serviced","Never Specially Serviced"))</f>
        <v/>
      </c>
      <c r="CF209" s="78">
        <f>IF($CE209="Currently Specially Serviced",1,0)</f>
        <v/>
      </c>
      <c r="CG209" s="76">
        <f>IF($AA209="Yes","Currently on Watchlist",IF($AA209="Previously","Previously on Watchlist","Never on Watchlist"))</f>
        <v/>
      </c>
      <c r="CH209" s="78">
        <f>IF($CG209="Currently on Watchlist",1,0)</f>
        <v/>
      </c>
      <c r="CI209" s="76">
        <f>IF($Z209="Full Defeasance","Fully Defeased",IF($Z209="Portion Of Loan Previously Defeased","Partially Defeased",IF($Z209="Defeasance Not Allowable","Not Defeased (Not Permitted)","Not Defeased")))</f>
        <v/>
      </c>
      <c r="CJ209" s="78">
        <f>IF($CI209="Fully Defeased",1,0)</f>
        <v/>
      </c>
      <c r="CK209" s="76">
        <f>IF($R209="IO","Full IO",IF(LEFT($R209&amp;"",7)="IO then","Partial IO","Amortizing"))</f>
        <v/>
      </c>
      <c r="CL209" s="78">
        <f>IF($CK209="Full IO",1,0)</f>
        <v/>
      </c>
      <c r="CM209" s="78">
        <f>IF($CK209="Partial IO",1,0)</f>
        <v/>
      </c>
      <c r="CN209" s="76">
        <f>IF(LEFT($F209&amp;"",10)="SPLIT_LOAN","Pari Passu Split","Standalone")</f>
        <v/>
      </c>
      <c r="CO209" s="78">
        <f>IF($CN209="Pari Passu Split",1,0)</f>
        <v/>
      </c>
      <c r="CP209" s="77">
        <f>IF(ISNUMBER($T209),YEAR($T209),"")</f>
        <v/>
      </c>
      <c r="CQ209" s="79">
        <f>IF(ISNUMBER($V209),$V209,IF(ISNUMBER($U209),$U209,""))</f>
        <v/>
      </c>
      <c r="CR209" s="77">
        <f>IF(ISNUMBER($CQ209),YEAR($CQ209),"")</f>
        <v/>
      </c>
      <c r="CS209" s="78">
        <f>IF(ISNUMBER($M209),MAX(0,$M209),IF(TRIM($M209&amp;"")="matured",0,""))</f>
        <v/>
      </c>
      <c r="CT209" s="78">
        <f>IF(AND(ISNUMBER($CS209),N($CS209)&lt;=mMatWindow),1,0)</f>
        <v/>
      </c>
      <c r="CU209" s="80">
        <f>IF(ISNUMBER($J209),$J209/100,"")</f>
        <v/>
      </c>
      <c r="CV209" s="81">
        <f>IF(ISNUMBER($AQ209),$AQ209,"")</f>
        <v/>
      </c>
      <c r="CW209" s="81">
        <f>IF(ISNUMBER($AR209),$AR209,"")</f>
        <v/>
      </c>
      <c r="CX209" s="82">
        <f>IF(ISNUMBER($AS209),$AS209/100,"")</f>
        <v/>
      </c>
      <c r="CY209" s="82">
        <f>IF(ISNUMBER($AT209),$AT209/100,"")</f>
        <v/>
      </c>
      <c r="CZ209" s="82">
        <f>IF(ISNUMBER($AU209),$AU209/100,"")</f>
        <v/>
      </c>
      <c r="DA209" s="82">
        <f>IF(ISNUMBER($AV209),$AV209/100,"")</f>
        <v/>
      </c>
      <c r="DB209" s="82">
        <f>IF(ISNUMBER($AW209),$AW209/100,"")</f>
        <v/>
      </c>
      <c r="DC209" s="82">
        <f>IF(ISNUMBER($AX209),$AX209/100,"")</f>
        <v/>
      </c>
      <c r="DD209" s="77">
        <f>IFERROR(VALUE(LEFT(TRIM($AO209&amp;""),4)),"")</f>
        <v/>
      </c>
      <c r="DE209" s="78">
        <f>IF(AND($BY209=1,$BX209=1,OR(fDeal="All Deals",$BU209=fDeal),OR(fEntity="All Entities",$BV209=fEntity),OR(fPType="All Property Types",$BZ209=fPType),OR(fDefeased="Include",$CJ209=0)),1,0)</f>
        <v/>
      </c>
      <c r="DF209" s="83">
        <f>$DE209*N($I209)</f>
        <v/>
      </c>
      <c r="DG209" s="78">
        <f>IF($DE209=1,IF(COUNTIFS($F$8:$F209,$F209,$DE$8:$DE209,1)=1,1,0),0)</f>
        <v/>
      </c>
      <c r="DH209" s="83">
        <f>IF($DG209=1,SUMIFS($DF$8:$DF$1600,$F$8:$F$1600,$F209),0)</f>
        <v/>
      </c>
      <c r="DI209" s="78">
        <f>IF($DG209=1,COUNTIFS($F$8:$F$1600,$F209,$DE$8:$DE$1600,1),0)</f>
        <v/>
      </c>
      <c r="DJ209" s="84">
        <f>IF($DG209=1,$DH209+(100000-ROW())/mTieBreak,0)</f>
        <v/>
      </c>
    </row>
    <row r="210">
      <c r="B210" s="68" t="n">
        <v>13</v>
      </c>
      <c r="C210" s="69" t="inlineStr">
        <is>
          <t>BBC19C03</t>
        </is>
      </c>
      <c r="D210" s="69" t="inlineStr">
        <is>
          <t>13.000</t>
        </is>
      </c>
      <c r="E210" s="69" t="inlineStr">
        <is>
          <t>Kings Mountain Center</t>
        </is>
      </c>
      <c r="F210" s="69" t="inlineStr">
        <is>
          <t>SPLIT_LOAN_01538</t>
        </is>
      </c>
      <c r="G210" s="70" t="n">
        <v>1538</v>
      </c>
      <c r="H210" s="71" t="n">
        <v>25000000</v>
      </c>
      <c r="I210" s="71" t="n">
        <v>24062339.26</v>
      </c>
      <c r="J210" s="72" t="n">
        <v>4.65</v>
      </c>
      <c r="K210" s="69" t="inlineStr">
        <is>
          <t>Fixed rate</t>
        </is>
      </c>
      <c r="L210" s="68" t="n">
        <v>120</v>
      </c>
      <c r="M210" s="68" t="n">
        <v>31</v>
      </c>
      <c r="N210" s="68" t="n">
        <v>420</v>
      </c>
      <c r="O210" s="68" t="n">
        <v>60</v>
      </c>
      <c r="P210" s="68" t="n">
        <v>0</v>
      </c>
      <c r="Q210" s="68" t="n">
        <v>89</v>
      </c>
      <c r="R210" s="69" t="inlineStr">
        <is>
          <t>IO then Amort</t>
        </is>
      </c>
      <c r="S210" s="69" t="inlineStr">
        <is>
          <t>No</t>
        </is>
      </c>
      <c r="T210" s="73" t="n">
        <v>43556</v>
      </c>
      <c r="U210" s="73" t="n">
        <v>47209</v>
      </c>
      <c r="V210" s="73" t="n"/>
      <c r="W210" s="69" t="n"/>
      <c r="X210" s="69" t="inlineStr">
        <is>
          <t>Current</t>
        </is>
      </c>
      <c r="Y210" s="68" t="n"/>
      <c r="Z210" s="69" t="inlineStr">
        <is>
          <t>No Defeasance Occurred</t>
        </is>
      </c>
      <c r="AA210" s="69" t="n"/>
      <c r="AB210" s="69" t="inlineStr">
        <is>
          <t>Never special serv</t>
        </is>
      </c>
      <c r="AC210" s="73" t="n"/>
      <c r="AD210" s="69" t="n"/>
      <c r="AE210" s="69" t="n"/>
      <c r="AF210" s="69" t="inlineStr">
        <is>
          <t>NC</t>
        </is>
      </c>
      <c r="AG210" s="69" t="inlineStr">
        <is>
          <t>Kings Mountain</t>
        </is>
      </c>
      <c r="AH210" s="69" t="inlineStr">
        <is>
          <t>Shelby-Kings Mountain, NC</t>
        </is>
      </c>
      <c r="AI210" s="69" t="inlineStr">
        <is>
          <t>South / Atlantic</t>
        </is>
      </c>
      <c r="AJ210" s="69" t="inlineStr">
        <is>
          <t>OF</t>
        </is>
      </c>
      <c r="AK210" s="69" t="inlineStr">
        <is>
          <t>Data Center</t>
        </is>
      </c>
      <c r="AL210" s="68" t="n">
        <v>1</v>
      </c>
      <c r="AM210" s="68" t="n"/>
      <c r="AN210" s="68" t="n">
        <v>215000</v>
      </c>
      <c r="AO210" s="69" t="inlineStr">
        <is>
          <t>2007</t>
        </is>
      </c>
      <c r="AP210" s="70" t="n">
        <v>2011</v>
      </c>
      <c r="AQ210" s="74" t="n">
        <v>1.75</v>
      </c>
      <c r="AR210" s="74" t="n">
        <v>2.07</v>
      </c>
      <c r="AS210" s="74" t="n">
        <v>56</v>
      </c>
      <c r="AT210" s="74" t="n">
        <v>53.9</v>
      </c>
      <c r="AU210" s="74" t="n">
        <v>51.4</v>
      </c>
      <c r="AV210" s="74" t="n">
        <v>10.846817095</v>
      </c>
      <c r="AW210" s="74" t="n">
        <v>13.11394185</v>
      </c>
      <c r="AX210" s="75" t="n">
        <v>100</v>
      </c>
      <c r="AY210" s="71" t="n">
        <v>75000000</v>
      </c>
      <c r="AZ210" s="71" t="n">
        <v>75000000</v>
      </c>
      <c r="BA210" s="71" t="n">
        <v>4555663.18</v>
      </c>
      <c r="BB210" s="71" t="n">
        <v>5384338.76</v>
      </c>
      <c r="BC210" s="69" t="inlineStr">
        <is>
          <t>Acquisition</t>
        </is>
      </c>
      <c r="BD210" s="69" t="inlineStr">
        <is>
          <t>N</t>
        </is>
      </c>
      <c r="BE210" s="71" t="n">
        <v>16362390.7</v>
      </c>
      <c r="BF210" s="71" t="n"/>
      <c r="BG210" s="71" t="n"/>
      <c r="BH210" s="71" t="n">
        <v>0</v>
      </c>
      <c r="BI210" s="71" t="n">
        <v>0</v>
      </c>
      <c r="BJ210" s="69" t="inlineStr">
        <is>
          <t>N</t>
        </is>
      </c>
      <c r="BK210" s="69" t="inlineStr">
        <is>
          <t>Ensono Inc.</t>
        </is>
      </c>
      <c r="BL210" s="75" t="n">
        <v>100</v>
      </c>
      <c r="BM210" s="73" t="n">
        <v>49033</v>
      </c>
      <c r="BN210" s="69" t="n"/>
      <c r="BO210" s="69" t="inlineStr">
        <is>
          <t>Societe Generale</t>
        </is>
      </c>
      <c r="BP210" s="69" t="inlineStr">
        <is>
          <t>Midland Loan Services</t>
        </is>
      </c>
      <c r="BQ210" s="69" t="inlineStr">
        <is>
          <t>K-Star Asset Management LLC</t>
        </is>
      </c>
      <c r="BR210" s="69" t="n"/>
      <c r="BS210" s="73" t="n">
        <v>46276</v>
      </c>
      <c r="BU210" s="76">
        <f>IF($C210="","",IFERROR(INDEX(dmName,MATCH($C210,dmID,0)),"Unmapped"))</f>
        <v/>
      </c>
      <c r="BV210" s="76">
        <f>IF($C210="","",IFERROR(INDEX(dmEntity,MATCH($C210,dmID,0)),"Unmapped"))</f>
        <v/>
      </c>
      <c r="BW210" s="77">
        <f>IF($C210="","",IFERROR(INDEX(dmVintage,MATCH($C210,dmID,0)),""))</f>
        <v/>
      </c>
      <c r="BX210" s="78">
        <f>IFERROR(INDEX(dmInclude,MATCH($C210,dmID,0)),0)</f>
        <v/>
      </c>
      <c r="BY210" s="78">
        <f>IF(N($I210)&gt;0,1,0)</f>
        <v/>
      </c>
      <c r="BZ210" s="76">
        <f>IF($AJ210="","Other / Leased Fee",IFERROR(INDEX(mapPTGroup,MATCH(LEFT(TRIM($AJ210),2),mapPTCode,0)),"Other / Leased Fee"))</f>
        <v/>
      </c>
      <c r="CA210" s="76">
        <f>IF(TRIM($AF210&amp;"")="","NR",LEFT(TRIM($AF210),2))</f>
        <v/>
      </c>
      <c r="CB210" s="76">
        <f>IFERROR(LOOKUP(2,1/(LEFT(TRIM($AI210&amp;""),LEN(mapRegion))=mapRegion),mapRegion),"Not Reported")</f>
        <v/>
      </c>
      <c r="CC210" s="76">
        <f>IF($BY210=0,"",IF(TRIM($W210&amp;"")="REO","REO",IF(TRIM($W210&amp;"")="FC","Foreclosure",IF(TRIM($W210&amp;"")="90+","90+ Days Delinquent",IF(TRIM($W210&amp;"")="60","60 Days Delinquent",IF(TRIM($W210&amp;"")="30","30 Days Delinquent",IF($X210="Non-Performing Matured Balloon","Non-Performing Matured Balloon",IF(OR($X210="Late Payment But Less Than 30 Days Delinquent",LEFT($X210&amp;"",20)="Payment Not Received"),"Late / In Grace (&lt;30 Days)",IF($X210="Performing Matured Balloon","Performing Matured Balloon","Current")))))))))</f>
        <v/>
      </c>
      <c r="CD210" s="78">
        <f>IF(OR($CC210="REO",$CC210="Foreclosure",$CC210="90+ Days Delinquent",$CC210="60 Days Delinquent",$CC210="30 Days Delinquent",$CC210="Non-Performing Matured Balloon"),1,0)</f>
        <v/>
      </c>
      <c r="CE210" s="76">
        <f>IF($AB210="Currently special serv","Currently Specially Serviced",IF($AB210="Returned to master serv","Previously Specially Serviced","Never Specially Serviced"))</f>
        <v/>
      </c>
      <c r="CF210" s="78">
        <f>IF($CE210="Currently Specially Serviced",1,0)</f>
        <v/>
      </c>
      <c r="CG210" s="76">
        <f>IF($AA210="Yes","Currently on Watchlist",IF($AA210="Previously","Previously on Watchlist","Never on Watchlist"))</f>
        <v/>
      </c>
      <c r="CH210" s="78">
        <f>IF($CG210="Currently on Watchlist",1,0)</f>
        <v/>
      </c>
      <c r="CI210" s="76">
        <f>IF($Z210="Full Defeasance","Fully Defeased",IF($Z210="Portion Of Loan Previously Defeased","Partially Defeased",IF($Z210="Defeasance Not Allowable","Not Defeased (Not Permitted)","Not Defeased")))</f>
        <v/>
      </c>
      <c r="CJ210" s="78">
        <f>IF($CI210="Fully Defeased",1,0)</f>
        <v/>
      </c>
      <c r="CK210" s="76">
        <f>IF($R210="IO","Full IO",IF(LEFT($R210&amp;"",7)="IO then","Partial IO","Amortizing"))</f>
        <v/>
      </c>
      <c r="CL210" s="78">
        <f>IF($CK210="Full IO",1,0)</f>
        <v/>
      </c>
      <c r="CM210" s="78">
        <f>IF($CK210="Partial IO",1,0)</f>
        <v/>
      </c>
      <c r="CN210" s="76">
        <f>IF(LEFT($F210&amp;"",10)="SPLIT_LOAN","Pari Passu Split","Standalone")</f>
        <v/>
      </c>
      <c r="CO210" s="78">
        <f>IF($CN210="Pari Passu Split",1,0)</f>
        <v/>
      </c>
      <c r="CP210" s="77">
        <f>IF(ISNUMBER($T210),YEAR($T210),"")</f>
        <v/>
      </c>
      <c r="CQ210" s="79">
        <f>IF(ISNUMBER($V210),$V210,IF(ISNUMBER($U210),$U210,""))</f>
        <v/>
      </c>
      <c r="CR210" s="77">
        <f>IF(ISNUMBER($CQ210),YEAR($CQ210),"")</f>
        <v/>
      </c>
      <c r="CS210" s="78">
        <f>IF(ISNUMBER($M210),MAX(0,$M210),IF(TRIM($M210&amp;"")="matured",0,""))</f>
        <v/>
      </c>
      <c r="CT210" s="78">
        <f>IF(AND(ISNUMBER($CS210),N($CS210)&lt;=mMatWindow),1,0)</f>
        <v/>
      </c>
      <c r="CU210" s="80">
        <f>IF(ISNUMBER($J210),$J210/100,"")</f>
        <v/>
      </c>
      <c r="CV210" s="81">
        <f>IF(ISNUMBER($AQ210),$AQ210,"")</f>
        <v/>
      </c>
      <c r="CW210" s="81">
        <f>IF(ISNUMBER($AR210),$AR210,"")</f>
        <v/>
      </c>
      <c r="CX210" s="82">
        <f>IF(ISNUMBER($AS210),$AS210/100,"")</f>
        <v/>
      </c>
      <c r="CY210" s="82">
        <f>IF(ISNUMBER($AT210),$AT210/100,"")</f>
        <v/>
      </c>
      <c r="CZ210" s="82">
        <f>IF(ISNUMBER($AU210),$AU210/100,"")</f>
        <v/>
      </c>
      <c r="DA210" s="82">
        <f>IF(ISNUMBER($AV210),$AV210/100,"")</f>
        <v/>
      </c>
      <c r="DB210" s="82">
        <f>IF(ISNUMBER($AW210),$AW210/100,"")</f>
        <v/>
      </c>
      <c r="DC210" s="82">
        <f>IF(ISNUMBER($AX210),$AX210/100,"")</f>
        <v/>
      </c>
      <c r="DD210" s="77">
        <f>IFERROR(VALUE(LEFT(TRIM($AO210&amp;""),4)),"")</f>
        <v/>
      </c>
      <c r="DE210" s="78">
        <f>IF(AND($BY210=1,$BX210=1,OR(fDeal="All Deals",$BU210=fDeal),OR(fEntity="All Entities",$BV210=fEntity),OR(fPType="All Property Types",$BZ210=fPType),OR(fDefeased="Include",$CJ210=0)),1,0)</f>
        <v/>
      </c>
      <c r="DF210" s="83">
        <f>$DE210*N($I210)</f>
        <v/>
      </c>
      <c r="DG210" s="78">
        <f>IF($DE210=1,IF(COUNTIFS($F$8:$F210,$F210,$DE$8:$DE210,1)=1,1,0),0)</f>
        <v/>
      </c>
      <c r="DH210" s="83">
        <f>IF($DG210=1,SUMIFS($DF$8:$DF$1600,$F$8:$F$1600,$F210),0)</f>
        <v/>
      </c>
      <c r="DI210" s="78">
        <f>IF($DG210=1,COUNTIFS($F$8:$F$1600,$F210,$DE$8:$DE$1600,1),0)</f>
        <v/>
      </c>
      <c r="DJ210" s="84">
        <f>IF($DG210=1,$DH210+(100000-ROW())/mTieBreak,0)</f>
        <v/>
      </c>
    </row>
    <row r="211">
      <c r="B211" s="68" t="n">
        <v>14</v>
      </c>
      <c r="C211" s="69" t="inlineStr">
        <is>
          <t>BBC19C03</t>
        </is>
      </c>
      <c r="D211" s="69" t="inlineStr">
        <is>
          <t>14.000</t>
        </is>
      </c>
      <c r="E211" s="69" t="inlineStr">
        <is>
          <t>The Falls In Hudson</t>
        </is>
      </c>
      <c r="F211" s="69" t="inlineStr">
        <is>
          <t>LNBBC19C03-14.000</t>
        </is>
      </c>
      <c r="G211" s="70" t="n"/>
      <c r="H211" s="71" t="n">
        <v>24000000</v>
      </c>
      <c r="I211" s="71" t="n">
        <v>24000000</v>
      </c>
      <c r="J211" s="72" t="n">
        <v>5.35</v>
      </c>
      <c r="K211" s="69" t="inlineStr">
        <is>
          <t>Fixed rate</t>
        </is>
      </c>
      <c r="L211" s="68" t="n">
        <v>120</v>
      </c>
      <c r="M211" s="68" t="n">
        <v>31</v>
      </c>
      <c r="N211" s="68" t="n">
        <v>120</v>
      </c>
      <c r="O211" s="68" t="n">
        <v>120</v>
      </c>
      <c r="P211" s="68" t="n">
        <v>31</v>
      </c>
      <c r="Q211" s="68" t="n">
        <v>89</v>
      </c>
      <c r="R211" s="69" t="inlineStr">
        <is>
          <t>IO</t>
        </is>
      </c>
      <c r="S211" s="69" t="inlineStr">
        <is>
          <t>Yes</t>
        </is>
      </c>
      <c r="T211" s="73" t="n">
        <v>43556</v>
      </c>
      <c r="U211" s="73" t="n">
        <v>47214</v>
      </c>
      <c r="V211" s="73" t="n"/>
      <c r="W211" s="69" t="n"/>
      <c r="X211" s="69" t="inlineStr">
        <is>
          <t>Current</t>
        </is>
      </c>
      <c r="Y211" s="68" t="n"/>
      <c r="Z211" s="69" t="inlineStr">
        <is>
          <t>No Defeasance Occurred</t>
        </is>
      </c>
      <c r="AA211" s="69" t="inlineStr">
        <is>
          <t>Previously</t>
        </is>
      </c>
      <c r="AB211" s="69" t="inlineStr">
        <is>
          <t>Never special serv</t>
        </is>
      </c>
      <c r="AC211" s="73" t="n"/>
      <c r="AD211" s="69" t="n"/>
      <c r="AE211" s="69" t="n"/>
      <c r="AF211" s="69" t="inlineStr">
        <is>
          <t>NY</t>
        </is>
      </c>
      <c r="AG211" s="69" t="inlineStr">
        <is>
          <t>Hudson</t>
        </is>
      </c>
      <c r="AH211" s="69" t="inlineStr">
        <is>
          <t>Hudson, NY</t>
        </is>
      </c>
      <c r="AI211" s="69" t="inlineStr">
        <is>
          <t>Northeast / Mid-Atlantic</t>
        </is>
      </c>
      <c r="AJ211" s="69" t="inlineStr">
        <is>
          <t>MF</t>
        </is>
      </c>
      <c r="AK211" s="69" t="inlineStr">
        <is>
          <t>Garden</t>
        </is>
      </c>
      <c r="AL211" s="68" t="n">
        <v>1</v>
      </c>
      <c r="AM211" s="68" t="n">
        <v>116</v>
      </c>
      <c r="AN211" s="68" t="n"/>
      <c r="AO211" s="69" t="inlineStr">
        <is>
          <t>2016-2019</t>
        </is>
      </c>
      <c r="AP211" s="70" t="n">
        <v>2019</v>
      </c>
      <c r="AQ211" s="74" t="n">
        <v>1.53</v>
      </c>
      <c r="AR211" s="74" t="n">
        <v>1.57</v>
      </c>
      <c r="AS211" s="74" t="n">
        <v>66.09999999999999</v>
      </c>
      <c r="AT211" s="74" t="n">
        <v>66.12</v>
      </c>
      <c r="AU211" s="74" t="n">
        <v>66.09999999999999</v>
      </c>
      <c r="AV211" s="74" t="n">
        <v>8.323345832999999</v>
      </c>
      <c r="AW211" s="74" t="n">
        <v>8.565797125</v>
      </c>
      <c r="AX211" s="75" t="n">
        <v>99</v>
      </c>
      <c r="AY211" s="71" t="n">
        <v>36300000</v>
      </c>
      <c r="AZ211" s="71" t="n">
        <v>36300000</v>
      </c>
      <c r="BA211" s="71" t="n">
        <v>1997603</v>
      </c>
      <c r="BB211" s="71" t="n">
        <v>2045030.28</v>
      </c>
      <c r="BC211" s="69" t="inlineStr">
        <is>
          <t>Refinance</t>
        </is>
      </c>
      <c r="BD211" s="69" t="inlineStr">
        <is>
          <t>N</t>
        </is>
      </c>
      <c r="BE211" s="71" t="n"/>
      <c r="BF211" s="71" t="n"/>
      <c r="BG211" s="71" t="n"/>
      <c r="BH211" s="71" t="n">
        <v>0</v>
      </c>
      <c r="BI211" s="71" t="n">
        <v>0</v>
      </c>
      <c r="BJ211" s="69" t="inlineStr">
        <is>
          <t>N</t>
        </is>
      </c>
      <c r="BK211" s="69" t="n"/>
      <c r="BL211" s="75" t="n"/>
      <c r="BM211" s="73" t="n"/>
      <c r="BN211" s="69" t="n"/>
      <c r="BO211" s="69" t="inlineStr">
        <is>
          <t>RMF</t>
        </is>
      </c>
      <c r="BP211" s="69" t="inlineStr">
        <is>
          <t>Midland Loan Services</t>
        </is>
      </c>
      <c r="BQ211" s="69" t="inlineStr">
        <is>
          <t>K-Star Asset Management LLC</t>
        </is>
      </c>
      <c r="BR211" s="69" t="n"/>
      <c r="BS211" s="73" t="n">
        <v>46276</v>
      </c>
      <c r="BU211" s="76">
        <f>IF($C211="","",IFERROR(INDEX(dmName,MATCH($C211,dmID,0)),"Unmapped"))</f>
        <v/>
      </c>
      <c r="BV211" s="76">
        <f>IF($C211="","",IFERROR(INDEX(dmEntity,MATCH($C211,dmID,0)),"Unmapped"))</f>
        <v/>
      </c>
      <c r="BW211" s="77">
        <f>IF($C211="","",IFERROR(INDEX(dmVintage,MATCH($C211,dmID,0)),""))</f>
        <v/>
      </c>
      <c r="BX211" s="78">
        <f>IFERROR(INDEX(dmInclude,MATCH($C211,dmID,0)),0)</f>
        <v/>
      </c>
      <c r="BY211" s="78">
        <f>IF(N($I211)&gt;0,1,0)</f>
        <v/>
      </c>
      <c r="BZ211" s="76">
        <f>IF($AJ211="","Other / Leased Fee",IFERROR(INDEX(mapPTGroup,MATCH(LEFT(TRIM($AJ211),2),mapPTCode,0)),"Other / Leased Fee"))</f>
        <v/>
      </c>
      <c r="CA211" s="76">
        <f>IF(TRIM($AF211&amp;"")="","NR",LEFT(TRIM($AF211),2))</f>
        <v/>
      </c>
      <c r="CB211" s="76">
        <f>IFERROR(LOOKUP(2,1/(LEFT(TRIM($AI211&amp;""),LEN(mapRegion))=mapRegion),mapRegion),"Not Reported")</f>
        <v/>
      </c>
      <c r="CC211" s="76">
        <f>IF($BY211=0,"",IF(TRIM($W211&amp;"")="REO","REO",IF(TRIM($W211&amp;"")="FC","Foreclosure",IF(TRIM($W211&amp;"")="90+","90+ Days Delinquent",IF(TRIM($W211&amp;"")="60","60 Days Delinquent",IF(TRIM($W211&amp;"")="30","30 Days Delinquent",IF($X211="Non-Performing Matured Balloon","Non-Performing Matured Balloon",IF(OR($X211="Late Payment But Less Than 30 Days Delinquent",LEFT($X211&amp;"",20)="Payment Not Received"),"Late / In Grace (&lt;30 Days)",IF($X211="Performing Matured Balloon","Performing Matured Balloon","Current")))))))))</f>
        <v/>
      </c>
      <c r="CD211" s="78">
        <f>IF(OR($CC211="REO",$CC211="Foreclosure",$CC211="90+ Days Delinquent",$CC211="60 Days Delinquent",$CC211="30 Days Delinquent",$CC211="Non-Performing Matured Balloon"),1,0)</f>
        <v/>
      </c>
      <c r="CE211" s="76">
        <f>IF($AB211="Currently special serv","Currently Specially Serviced",IF($AB211="Returned to master serv","Previously Specially Serviced","Never Specially Serviced"))</f>
        <v/>
      </c>
      <c r="CF211" s="78">
        <f>IF($CE211="Currently Specially Serviced",1,0)</f>
        <v/>
      </c>
      <c r="CG211" s="76">
        <f>IF($AA211="Yes","Currently on Watchlist",IF($AA211="Previously","Previously on Watchlist","Never on Watchlist"))</f>
        <v/>
      </c>
      <c r="CH211" s="78">
        <f>IF($CG211="Currently on Watchlist",1,0)</f>
        <v/>
      </c>
      <c r="CI211" s="76">
        <f>IF($Z211="Full Defeasance","Fully Defeased",IF($Z211="Portion Of Loan Previously Defeased","Partially Defeased",IF($Z211="Defeasance Not Allowable","Not Defeased (Not Permitted)","Not Defeased")))</f>
        <v/>
      </c>
      <c r="CJ211" s="78">
        <f>IF($CI211="Fully Defeased",1,0)</f>
        <v/>
      </c>
      <c r="CK211" s="76">
        <f>IF($R211="IO","Full IO",IF(LEFT($R211&amp;"",7)="IO then","Partial IO","Amortizing"))</f>
        <v/>
      </c>
      <c r="CL211" s="78">
        <f>IF($CK211="Full IO",1,0)</f>
        <v/>
      </c>
      <c r="CM211" s="78">
        <f>IF($CK211="Partial IO",1,0)</f>
        <v/>
      </c>
      <c r="CN211" s="76">
        <f>IF(LEFT($F211&amp;"",10)="SPLIT_LOAN","Pari Passu Split","Standalone")</f>
        <v/>
      </c>
      <c r="CO211" s="78">
        <f>IF($CN211="Pari Passu Split",1,0)</f>
        <v/>
      </c>
      <c r="CP211" s="77">
        <f>IF(ISNUMBER($T211),YEAR($T211),"")</f>
        <v/>
      </c>
      <c r="CQ211" s="79">
        <f>IF(ISNUMBER($V211),$V211,IF(ISNUMBER($U211),$U211,""))</f>
        <v/>
      </c>
      <c r="CR211" s="77">
        <f>IF(ISNUMBER($CQ211),YEAR($CQ211),"")</f>
        <v/>
      </c>
      <c r="CS211" s="78">
        <f>IF(ISNUMBER($M211),MAX(0,$M211),IF(TRIM($M211&amp;"")="matured",0,""))</f>
        <v/>
      </c>
      <c r="CT211" s="78">
        <f>IF(AND(ISNUMBER($CS211),N($CS211)&lt;=mMatWindow),1,0)</f>
        <v/>
      </c>
      <c r="CU211" s="80">
        <f>IF(ISNUMBER($J211),$J211/100,"")</f>
        <v/>
      </c>
      <c r="CV211" s="81">
        <f>IF(ISNUMBER($AQ211),$AQ211,"")</f>
        <v/>
      </c>
      <c r="CW211" s="81">
        <f>IF(ISNUMBER($AR211),$AR211,"")</f>
        <v/>
      </c>
      <c r="CX211" s="82">
        <f>IF(ISNUMBER($AS211),$AS211/100,"")</f>
        <v/>
      </c>
      <c r="CY211" s="82">
        <f>IF(ISNUMBER($AT211),$AT211/100,"")</f>
        <v/>
      </c>
      <c r="CZ211" s="82">
        <f>IF(ISNUMBER($AU211),$AU211/100,"")</f>
        <v/>
      </c>
      <c r="DA211" s="82">
        <f>IF(ISNUMBER($AV211),$AV211/100,"")</f>
        <v/>
      </c>
      <c r="DB211" s="82">
        <f>IF(ISNUMBER($AW211),$AW211/100,"")</f>
        <v/>
      </c>
      <c r="DC211" s="82">
        <f>IF(ISNUMBER($AX211),$AX211/100,"")</f>
        <v/>
      </c>
      <c r="DD211" s="77">
        <f>IFERROR(VALUE(LEFT(TRIM($AO211&amp;""),4)),"")</f>
        <v/>
      </c>
      <c r="DE211" s="78">
        <f>IF(AND($BY211=1,$BX211=1,OR(fDeal="All Deals",$BU211=fDeal),OR(fEntity="All Entities",$BV211=fEntity),OR(fPType="All Property Types",$BZ211=fPType),OR(fDefeased="Include",$CJ211=0)),1,0)</f>
        <v/>
      </c>
      <c r="DF211" s="83">
        <f>$DE211*N($I211)</f>
        <v/>
      </c>
      <c r="DG211" s="78">
        <f>IF($DE211=1,IF(COUNTIFS($F$8:$F211,$F211,$DE$8:$DE211,1)=1,1,0),0)</f>
        <v/>
      </c>
      <c r="DH211" s="83">
        <f>IF($DG211=1,SUMIFS($DF$8:$DF$1600,$F$8:$F$1600,$F211),0)</f>
        <v/>
      </c>
      <c r="DI211" s="78">
        <f>IF($DG211=1,COUNTIFS($F$8:$F$1600,$F211,$DE$8:$DE$1600,1),0)</f>
        <v/>
      </c>
      <c r="DJ211" s="84">
        <f>IF($DG211=1,$DH211+(100000-ROW())/mTieBreak,0)</f>
        <v/>
      </c>
    </row>
    <row r="212">
      <c r="B212" s="68" t="n">
        <v>15</v>
      </c>
      <c r="C212" s="69" t="inlineStr">
        <is>
          <t>BBC19C03</t>
        </is>
      </c>
      <c r="D212" s="69" t="inlineStr">
        <is>
          <t>15.000</t>
        </is>
      </c>
      <c r="E212" s="69" t="inlineStr">
        <is>
          <t>Alton Self Storage</t>
        </is>
      </c>
      <c r="F212" s="69" t="inlineStr">
        <is>
          <t>LNBBC19C03-15.000</t>
        </is>
      </c>
      <c r="G212" s="70" t="n"/>
      <c r="H212" s="71" t="n">
        <v>21000000</v>
      </c>
      <c r="I212" s="71" t="n">
        <v>21000000</v>
      </c>
      <c r="J212" s="72" t="n">
        <v>4.35</v>
      </c>
      <c r="K212" s="69" t="inlineStr">
        <is>
          <t>Fixed rate</t>
        </is>
      </c>
      <c r="L212" s="68" t="n">
        <v>120</v>
      </c>
      <c r="M212" s="68" t="n">
        <v>32</v>
      </c>
      <c r="N212" s="68" t="n">
        <v>120</v>
      </c>
      <c r="O212" s="68" t="n">
        <v>120</v>
      </c>
      <c r="P212" s="68" t="n">
        <v>32</v>
      </c>
      <c r="Q212" s="68" t="n">
        <v>88</v>
      </c>
      <c r="R212" s="69" t="inlineStr">
        <is>
          <t>IO</t>
        </is>
      </c>
      <c r="S212" s="69" t="inlineStr">
        <is>
          <t>Yes</t>
        </is>
      </c>
      <c r="T212" s="73" t="n">
        <v>43586</v>
      </c>
      <c r="U212" s="73" t="n">
        <v>47239</v>
      </c>
      <c r="V212" s="73" t="n"/>
      <c r="W212" s="69" t="n"/>
      <c r="X212" s="69" t="inlineStr">
        <is>
          <t>Current</t>
        </is>
      </c>
      <c r="Y212" s="68" t="n"/>
      <c r="Z212" s="69" t="inlineStr">
        <is>
          <t>No Defeasance Occurred</t>
        </is>
      </c>
      <c r="AA212" s="69" t="n"/>
      <c r="AB212" s="69" t="inlineStr">
        <is>
          <t>Never special serv</t>
        </is>
      </c>
      <c r="AC212" s="73" t="n"/>
      <c r="AD212" s="69" t="n"/>
      <c r="AE212" s="69" t="n"/>
      <c r="AF212" s="69" t="inlineStr">
        <is>
          <t>CA</t>
        </is>
      </c>
      <c r="AG212" s="69" t="inlineStr">
        <is>
          <t>Irvine</t>
        </is>
      </c>
      <c r="AH212" s="69" t="inlineStr">
        <is>
          <t>Los Angeles-Long Beach-Anaheim, CA</t>
        </is>
      </c>
      <c r="AI212" s="69" t="inlineStr">
        <is>
          <t>West / Pacific South</t>
        </is>
      </c>
      <c r="AJ212" s="69" t="inlineStr">
        <is>
          <t>SS</t>
        </is>
      </c>
      <c r="AK212" s="69" t="n"/>
      <c r="AL212" s="68" t="n">
        <v>1</v>
      </c>
      <c r="AM212" s="68" t="n">
        <v>1554</v>
      </c>
      <c r="AN212" s="68" t="n"/>
      <c r="AO212" s="69" t="inlineStr">
        <is>
          <t>1991</t>
        </is>
      </c>
      <c r="AP212" s="70" t="n">
        <v>2016</v>
      </c>
      <c r="AQ212" s="74" t="n">
        <v>1.98</v>
      </c>
      <c r="AR212" s="74" t="n">
        <v>3.34</v>
      </c>
      <c r="AS212" s="74" t="n">
        <v>56.8</v>
      </c>
      <c r="AT212" s="74" t="n">
        <v>56.76</v>
      </c>
      <c r="AU212" s="74" t="n">
        <v>56.8</v>
      </c>
      <c r="AV212" s="74" t="n">
        <v>8.751955143</v>
      </c>
      <c r="AW212" s="74" t="n">
        <v>15.154090476</v>
      </c>
      <c r="AX212" s="75" t="n">
        <v>96</v>
      </c>
      <c r="AY212" s="71" t="n">
        <v>37000000</v>
      </c>
      <c r="AZ212" s="71" t="n">
        <v>37000000</v>
      </c>
      <c r="BA212" s="71" t="n">
        <v>1837910.58</v>
      </c>
      <c r="BB212" s="71" t="n">
        <v>3080724.26</v>
      </c>
      <c r="BC212" s="69" t="inlineStr">
        <is>
          <t>Refinance</t>
        </is>
      </c>
      <c r="BD212" s="69" t="inlineStr">
        <is>
          <t>N</t>
        </is>
      </c>
      <c r="BE212" s="71" t="n"/>
      <c r="BF212" s="71" t="n"/>
      <c r="BG212" s="71" t="n"/>
      <c r="BH212" s="71" t="n">
        <v>0</v>
      </c>
      <c r="BI212" s="71" t="n">
        <v>0</v>
      </c>
      <c r="BJ212" s="69" t="inlineStr">
        <is>
          <t>N</t>
        </is>
      </c>
      <c r="BK212" s="69" t="n"/>
      <c r="BL212" s="75" t="n"/>
      <c r="BM212" s="73" t="n"/>
      <c r="BN212" s="69" t="n"/>
      <c r="BO212" s="69" t="inlineStr">
        <is>
          <t>KeyBank</t>
        </is>
      </c>
      <c r="BP212" s="69" t="inlineStr">
        <is>
          <t>Midland Loan Services</t>
        </is>
      </c>
      <c r="BQ212" s="69" t="inlineStr">
        <is>
          <t>K-Star Asset Management LLC</t>
        </is>
      </c>
      <c r="BR212" s="69" t="n"/>
      <c r="BS212" s="73" t="n">
        <v>46276</v>
      </c>
      <c r="BU212" s="76">
        <f>IF($C212="","",IFERROR(INDEX(dmName,MATCH($C212,dmID,0)),"Unmapped"))</f>
        <v/>
      </c>
      <c r="BV212" s="76">
        <f>IF($C212="","",IFERROR(INDEX(dmEntity,MATCH($C212,dmID,0)),"Unmapped"))</f>
        <v/>
      </c>
      <c r="BW212" s="77">
        <f>IF($C212="","",IFERROR(INDEX(dmVintage,MATCH($C212,dmID,0)),""))</f>
        <v/>
      </c>
      <c r="BX212" s="78">
        <f>IFERROR(INDEX(dmInclude,MATCH($C212,dmID,0)),0)</f>
        <v/>
      </c>
      <c r="BY212" s="78">
        <f>IF(N($I212)&gt;0,1,0)</f>
        <v/>
      </c>
      <c r="BZ212" s="76">
        <f>IF($AJ212="","Other / Leased Fee",IFERROR(INDEX(mapPTGroup,MATCH(LEFT(TRIM($AJ212),2),mapPTCode,0)),"Other / Leased Fee"))</f>
        <v/>
      </c>
      <c r="CA212" s="76">
        <f>IF(TRIM($AF212&amp;"")="","NR",LEFT(TRIM($AF212),2))</f>
        <v/>
      </c>
      <c r="CB212" s="76">
        <f>IFERROR(LOOKUP(2,1/(LEFT(TRIM($AI212&amp;""),LEN(mapRegion))=mapRegion),mapRegion),"Not Reported")</f>
        <v/>
      </c>
      <c r="CC212" s="76">
        <f>IF($BY212=0,"",IF(TRIM($W212&amp;"")="REO","REO",IF(TRIM($W212&amp;"")="FC","Foreclosure",IF(TRIM($W212&amp;"")="90+","90+ Days Delinquent",IF(TRIM($W212&amp;"")="60","60 Days Delinquent",IF(TRIM($W212&amp;"")="30","30 Days Delinquent",IF($X212="Non-Performing Matured Balloon","Non-Performing Matured Balloon",IF(OR($X212="Late Payment But Less Than 30 Days Delinquent",LEFT($X212&amp;"",20)="Payment Not Received"),"Late / In Grace (&lt;30 Days)",IF($X212="Performing Matured Balloon","Performing Matured Balloon","Current")))))))))</f>
        <v/>
      </c>
      <c r="CD212" s="78">
        <f>IF(OR($CC212="REO",$CC212="Foreclosure",$CC212="90+ Days Delinquent",$CC212="60 Days Delinquent",$CC212="30 Days Delinquent",$CC212="Non-Performing Matured Balloon"),1,0)</f>
        <v/>
      </c>
      <c r="CE212" s="76">
        <f>IF($AB212="Currently special serv","Currently Specially Serviced",IF($AB212="Returned to master serv","Previously Specially Serviced","Never Specially Serviced"))</f>
        <v/>
      </c>
      <c r="CF212" s="78">
        <f>IF($CE212="Currently Specially Serviced",1,0)</f>
        <v/>
      </c>
      <c r="CG212" s="76">
        <f>IF($AA212="Yes","Currently on Watchlist",IF($AA212="Previously","Previously on Watchlist","Never on Watchlist"))</f>
        <v/>
      </c>
      <c r="CH212" s="78">
        <f>IF($CG212="Currently on Watchlist",1,0)</f>
        <v/>
      </c>
      <c r="CI212" s="76">
        <f>IF($Z212="Full Defeasance","Fully Defeased",IF($Z212="Portion Of Loan Previously Defeased","Partially Defeased",IF($Z212="Defeasance Not Allowable","Not Defeased (Not Permitted)","Not Defeased")))</f>
        <v/>
      </c>
      <c r="CJ212" s="78">
        <f>IF($CI212="Fully Defeased",1,0)</f>
        <v/>
      </c>
      <c r="CK212" s="76">
        <f>IF($R212="IO","Full IO",IF(LEFT($R212&amp;"",7)="IO then","Partial IO","Amortizing"))</f>
        <v/>
      </c>
      <c r="CL212" s="78">
        <f>IF($CK212="Full IO",1,0)</f>
        <v/>
      </c>
      <c r="CM212" s="78">
        <f>IF($CK212="Partial IO",1,0)</f>
        <v/>
      </c>
      <c r="CN212" s="76">
        <f>IF(LEFT($F212&amp;"",10)="SPLIT_LOAN","Pari Passu Split","Standalone")</f>
        <v/>
      </c>
      <c r="CO212" s="78">
        <f>IF($CN212="Pari Passu Split",1,0)</f>
        <v/>
      </c>
      <c r="CP212" s="77">
        <f>IF(ISNUMBER($T212),YEAR($T212),"")</f>
        <v/>
      </c>
      <c r="CQ212" s="79">
        <f>IF(ISNUMBER($V212),$V212,IF(ISNUMBER($U212),$U212,""))</f>
        <v/>
      </c>
      <c r="CR212" s="77">
        <f>IF(ISNUMBER($CQ212),YEAR($CQ212),"")</f>
        <v/>
      </c>
      <c r="CS212" s="78">
        <f>IF(ISNUMBER($M212),MAX(0,$M212),IF(TRIM($M212&amp;"")="matured",0,""))</f>
        <v/>
      </c>
      <c r="CT212" s="78">
        <f>IF(AND(ISNUMBER($CS212),N($CS212)&lt;=mMatWindow),1,0)</f>
        <v/>
      </c>
      <c r="CU212" s="80">
        <f>IF(ISNUMBER($J212),$J212/100,"")</f>
        <v/>
      </c>
      <c r="CV212" s="81">
        <f>IF(ISNUMBER($AQ212),$AQ212,"")</f>
        <v/>
      </c>
      <c r="CW212" s="81">
        <f>IF(ISNUMBER($AR212),$AR212,"")</f>
        <v/>
      </c>
      <c r="CX212" s="82">
        <f>IF(ISNUMBER($AS212),$AS212/100,"")</f>
        <v/>
      </c>
      <c r="CY212" s="82">
        <f>IF(ISNUMBER($AT212),$AT212/100,"")</f>
        <v/>
      </c>
      <c r="CZ212" s="82">
        <f>IF(ISNUMBER($AU212),$AU212/100,"")</f>
        <v/>
      </c>
      <c r="DA212" s="82">
        <f>IF(ISNUMBER($AV212),$AV212/100,"")</f>
        <v/>
      </c>
      <c r="DB212" s="82">
        <f>IF(ISNUMBER($AW212),$AW212/100,"")</f>
        <v/>
      </c>
      <c r="DC212" s="82">
        <f>IF(ISNUMBER($AX212),$AX212/100,"")</f>
        <v/>
      </c>
      <c r="DD212" s="77">
        <f>IFERROR(VALUE(LEFT(TRIM($AO212&amp;""),4)),"")</f>
        <v/>
      </c>
      <c r="DE212" s="78">
        <f>IF(AND($BY212=1,$BX212=1,OR(fDeal="All Deals",$BU212=fDeal),OR(fEntity="All Entities",$BV212=fEntity),OR(fPType="All Property Types",$BZ212=fPType),OR(fDefeased="Include",$CJ212=0)),1,0)</f>
        <v/>
      </c>
      <c r="DF212" s="83">
        <f>$DE212*N($I212)</f>
        <v/>
      </c>
      <c r="DG212" s="78">
        <f>IF($DE212=1,IF(COUNTIFS($F$8:$F212,$F212,$DE$8:$DE212,1)=1,1,0),0)</f>
        <v/>
      </c>
      <c r="DH212" s="83">
        <f>IF($DG212=1,SUMIFS($DF$8:$DF$1600,$F$8:$F$1600,$F212),0)</f>
        <v/>
      </c>
      <c r="DI212" s="78">
        <f>IF($DG212=1,COUNTIFS($F$8:$F$1600,$F212,$DE$8:$DE$1600,1),0)</f>
        <v/>
      </c>
      <c r="DJ212" s="84">
        <f>IF($DG212=1,$DH212+(100000-ROW())/mTieBreak,0)</f>
        <v/>
      </c>
    </row>
    <row r="213">
      <c r="B213" s="68" t="n">
        <v>16</v>
      </c>
      <c r="C213" s="69" t="inlineStr">
        <is>
          <t>BBC19C03</t>
        </is>
      </c>
      <c r="D213" s="69" t="inlineStr">
        <is>
          <t>16.000</t>
        </is>
      </c>
      <c r="E213" s="69" t="inlineStr">
        <is>
          <t>4201 Connecticut Avenue Northwest</t>
        </is>
      </c>
      <c r="F213" s="69" t="inlineStr">
        <is>
          <t>LNBBC19C03-16.000</t>
        </is>
      </c>
      <c r="G213" s="70" t="n"/>
      <c r="H213" s="71" t="n">
        <v>21000000</v>
      </c>
      <c r="I213" s="71" t="n">
        <v>21000000</v>
      </c>
      <c r="J213" s="72" t="n">
        <v>4.7</v>
      </c>
      <c r="K213" s="69" t="inlineStr">
        <is>
          <t>Fixed rate</t>
        </is>
      </c>
      <c r="L213" s="68" t="n">
        <v>120</v>
      </c>
      <c r="M213" s="68" t="n">
        <v>32</v>
      </c>
      <c r="N213" s="68" t="n">
        <v>120</v>
      </c>
      <c r="O213" s="68" t="n">
        <v>120</v>
      </c>
      <c r="P213" s="68" t="n">
        <v>32</v>
      </c>
      <c r="Q213" s="68" t="n">
        <v>88</v>
      </c>
      <c r="R213" s="69" t="inlineStr">
        <is>
          <t>IO</t>
        </is>
      </c>
      <c r="S213" s="69" t="inlineStr">
        <is>
          <t>Yes</t>
        </is>
      </c>
      <c r="T213" s="73" t="n">
        <v>43586</v>
      </c>
      <c r="U213" s="73" t="n">
        <v>47244</v>
      </c>
      <c r="V213" s="73" t="n"/>
      <c r="W213" s="69" t="inlineStr">
        <is>
          <t>90+</t>
        </is>
      </c>
      <c r="X213" s="69" t="inlineStr">
        <is>
          <t>121+ Days Delinquent</t>
        </is>
      </c>
      <c r="Y213" s="68" t="n">
        <v>17</v>
      </c>
      <c r="Z213" s="69" t="inlineStr">
        <is>
          <t>No Defeasance Occurred</t>
        </is>
      </c>
      <c r="AA213" s="69" t="inlineStr">
        <is>
          <t>Previously</t>
        </is>
      </c>
      <c r="AB213" s="69" t="inlineStr">
        <is>
          <t>Currently special serv</t>
        </is>
      </c>
      <c r="AC213" s="73" t="n">
        <v>45083</v>
      </c>
      <c r="AD213" s="69" t="inlineStr">
        <is>
          <t>Imminent Monetary Default (excluding Balloon/Maturity Default &amp; Single Tenant Bankruptcy/Vacate)</t>
        </is>
      </c>
      <c r="AE213" s="69" t="inlineStr">
        <is>
          <t>Other</t>
        </is>
      </c>
      <c r="AF213" s="69" t="inlineStr">
        <is>
          <t>DC</t>
        </is>
      </c>
      <c r="AG213" s="69" t="inlineStr">
        <is>
          <t>Washington</t>
        </is>
      </c>
      <c r="AH213" s="69" t="inlineStr">
        <is>
          <t>Washington-Arlington-Alexandria, DC-VA-MD-WV</t>
        </is>
      </c>
      <c r="AI213" s="69" t="inlineStr">
        <is>
          <t>South / Atlantic</t>
        </is>
      </c>
      <c r="AJ213" s="69" t="inlineStr">
        <is>
          <t>OF</t>
        </is>
      </c>
      <c r="AK213" s="69" t="inlineStr">
        <is>
          <t>CBD</t>
        </is>
      </c>
      <c r="AL213" s="68" t="n">
        <v>1</v>
      </c>
      <c r="AM213" s="68" t="n"/>
      <c r="AN213" s="68" t="n">
        <v>70658</v>
      </c>
      <c r="AO213" s="69" t="inlineStr">
        <is>
          <t>1966</t>
        </is>
      </c>
      <c r="AP213" s="70" t="n">
        <v>2009</v>
      </c>
      <c r="AQ213" s="74" t="n">
        <v>1.76</v>
      </c>
      <c r="AR213" s="74" t="n">
        <v>0.46</v>
      </c>
      <c r="AS213" s="74" t="n">
        <v>64.8</v>
      </c>
      <c r="AT213" s="74" t="n">
        <v>218.75</v>
      </c>
      <c r="AU213" s="74" t="n">
        <v>64.8</v>
      </c>
      <c r="AV213" s="74" t="n">
        <v>8.370571429</v>
      </c>
      <c r="AW213" s="74" t="n">
        <v>2.205262905</v>
      </c>
      <c r="AX213" s="75" t="n">
        <v>58</v>
      </c>
      <c r="AY213" s="71" t="n">
        <v>32400000</v>
      </c>
      <c r="AZ213" s="71" t="n">
        <v>9600000</v>
      </c>
      <c r="BA213" s="71" t="n">
        <v>1757820</v>
      </c>
      <c r="BB213" s="71" t="n">
        <v>463105.21</v>
      </c>
      <c r="BC213" s="69" t="inlineStr">
        <is>
          <t>Refinance</t>
        </is>
      </c>
      <c r="BD213" s="69" t="inlineStr">
        <is>
          <t>N</t>
        </is>
      </c>
      <c r="BE213" s="71" t="n"/>
      <c r="BF213" s="71" t="n"/>
      <c r="BG213" s="71" t="n"/>
      <c r="BH213" s="71" t="n">
        <v>13502338.84</v>
      </c>
      <c r="BI213" s="71" t="n">
        <v>668109.38</v>
      </c>
      <c r="BJ213" s="69" t="inlineStr">
        <is>
          <t>N</t>
        </is>
      </c>
      <c r="BK213" s="69" t="inlineStr">
        <is>
          <t>Wendt Ctr for Loss &amp; Healing</t>
        </is>
      </c>
      <c r="BL213" s="75" t="n">
        <v>14.33</v>
      </c>
      <c r="BM213" s="73" t="n">
        <v>48852</v>
      </c>
      <c r="BN213" s="69" t="n"/>
      <c r="BO213" s="69" t="inlineStr">
        <is>
          <t>Barclays</t>
        </is>
      </c>
      <c r="BP213" s="69" t="inlineStr">
        <is>
          <t>Midland Loan Services</t>
        </is>
      </c>
      <c r="BQ213" s="69" t="inlineStr">
        <is>
          <t>K-Star Asset Management LLC</t>
        </is>
      </c>
      <c r="BR213" s="69" t="n"/>
      <c r="BS213" s="73" t="n">
        <v>46276</v>
      </c>
      <c r="BU213" s="76">
        <f>IF($C213="","",IFERROR(INDEX(dmName,MATCH($C213,dmID,0)),"Unmapped"))</f>
        <v/>
      </c>
      <c r="BV213" s="76">
        <f>IF($C213="","",IFERROR(INDEX(dmEntity,MATCH($C213,dmID,0)),"Unmapped"))</f>
        <v/>
      </c>
      <c r="BW213" s="77">
        <f>IF($C213="","",IFERROR(INDEX(dmVintage,MATCH($C213,dmID,0)),""))</f>
        <v/>
      </c>
      <c r="BX213" s="78">
        <f>IFERROR(INDEX(dmInclude,MATCH($C213,dmID,0)),0)</f>
        <v/>
      </c>
      <c r="BY213" s="78">
        <f>IF(N($I213)&gt;0,1,0)</f>
        <v/>
      </c>
      <c r="BZ213" s="76">
        <f>IF($AJ213="","Other / Leased Fee",IFERROR(INDEX(mapPTGroup,MATCH(LEFT(TRIM($AJ213),2),mapPTCode,0)),"Other / Leased Fee"))</f>
        <v/>
      </c>
      <c r="CA213" s="76">
        <f>IF(TRIM($AF213&amp;"")="","NR",LEFT(TRIM($AF213),2))</f>
        <v/>
      </c>
      <c r="CB213" s="76">
        <f>IFERROR(LOOKUP(2,1/(LEFT(TRIM($AI213&amp;""),LEN(mapRegion))=mapRegion),mapRegion),"Not Reported")</f>
        <v/>
      </c>
      <c r="CC213" s="76">
        <f>IF($BY213=0,"",IF(TRIM($W213&amp;"")="REO","REO",IF(TRIM($W213&amp;"")="FC","Foreclosure",IF(TRIM($W213&amp;"")="90+","90+ Days Delinquent",IF(TRIM($W213&amp;"")="60","60 Days Delinquent",IF(TRIM($W213&amp;"")="30","30 Days Delinquent",IF($X213="Non-Performing Matured Balloon","Non-Performing Matured Balloon",IF(OR($X213="Late Payment But Less Than 30 Days Delinquent",LEFT($X213&amp;"",20)="Payment Not Received"),"Late / In Grace (&lt;30 Days)",IF($X213="Performing Matured Balloon","Performing Matured Balloon","Current")))))))))</f>
        <v/>
      </c>
      <c r="CD213" s="78">
        <f>IF(OR($CC213="REO",$CC213="Foreclosure",$CC213="90+ Days Delinquent",$CC213="60 Days Delinquent",$CC213="30 Days Delinquent",$CC213="Non-Performing Matured Balloon"),1,0)</f>
        <v/>
      </c>
      <c r="CE213" s="76">
        <f>IF($AB213="Currently special serv","Currently Specially Serviced",IF($AB213="Returned to master serv","Previously Specially Serviced","Never Specially Serviced"))</f>
        <v/>
      </c>
      <c r="CF213" s="78">
        <f>IF($CE213="Currently Specially Serviced",1,0)</f>
        <v/>
      </c>
      <c r="CG213" s="76">
        <f>IF($AA213="Yes","Currently on Watchlist",IF($AA213="Previously","Previously on Watchlist","Never on Watchlist"))</f>
        <v/>
      </c>
      <c r="CH213" s="78">
        <f>IF($CG213="Currently on Watchlist",1,0)</f>
        <v/>
      </c>
      <c r="CI213" s="76">
        <f>IF($Z213="Full Defeasance","Fully Defeased",IF($Z213="Portion Of Loan Previously Defeased","Partially Defeased",IF($Z213="Defeasance Not Allowable","Not Defeased (Not Permitted)","Not Defeased")))</f>
        <v/>
      </c>
      <c r="CJ213" s="78">
        <f>IF($CI213="Fully Defeased",1,0)</f>
        <v/>
      </c>
      <c r="CK213" s="76">
        <f>IF($R213="IO","Full IO",IF(LEFT($R213&amp;"",7)="IO then","Partial IO","Amortizing"))</f>
        <v/>
      </c>
      <c r="CL213" s="78">
        <f>IF($CK213="Full IO",1,0)</f>
        <v/>
      </c>
      <c r="CM213" s="78">
        <f>IF($CK213="Partial IO",1,0)</f>
        <v/>
      </c>
      <c r="CN213" s="76">
        <f>IF(LEFT($F213&amp;"",10)="SPLIT_LOAN","Pari Passu Split","Standalone")</f>
        <v/>
      </c>
      <c r="CO213" s="78">
        <f>IF($CN213="Pari Passu Split",1,0)</f>
        <v/>
      </c>
      <c r="CP213" s="77">
        <f>IF(ISNUMBER($T213),YEAR($T213),"")</f>
        <v/>
      </c>
      <c r="CQ213" s="79">
        <f>IF(ISNUMBER($V213),$V213,IF(ISNUMBER($U213),$U213,""))</f>
        <v/>
      </c>
      <c r="CR213" s="77">
        <f>IF(ISNUMBER($CQ213),YEAR($CQ213),"")</f>
        <v/>
      </c>
      <c r="CS213" s="78">
        <f>IF(ISNUMBER($M213),MAX(0,$M213),IF(TRIM($M213&amp;"")="matured",0,""))</f>
        <v/>
      </c>
      <c r="CT213" s="78">
        <f>IF(AND(ISNUMBER($CS213),N($CS213)&lt;=mMatWindow),1,0)</f>
        <v/>
      </c>
      <c r="CU213" s="80">
        <f>IF(ISNUMBER($J213),$J213/100,"")</f>
        <v/>
      </c>
      <c r="CV213" s="81">
        <f>IF(ISNUMBER($AQ213),$AQ213,"")</f>
        <v/>
      </c>
      <c r="CW213" s="81">
        <f>IF(ISNUMBER($AR213),$AR213,"")</f>
        <v/>
      </c>
      <c r="CX213" s="82">
        <f>IF(ISNUMBER($AS213),$AS213/100,"")</f>
        <v/>
      </c>
      <c r="CY213" s="82">
        <f>IF(ISNUMBER($AT213),$AT213/100,"")</f>
        <v/>
      </c>
      <c r="CZ213" s="82">
        <f>IF(ISNUMBER($AU213),$AU213/100,"")</f>
        <v/>
      </c>
      <c r="DA213" s="82">
        <f>IF(ISNUMBER($AV213),$AV213/100,"")</f>
        <v/>
      </c>
      <c r="DB213" s="82">
        <f>IF(ISNUMBER($AW213),$AW213/100,"")</f>
        <v/>
      </c>
      <c r="DC213" s="82">
        <f>IF(ISNUMBER($AX213),$AX213/100,"")</f>
        <v/>
      </c>
      <c r="DD213" s="77">
        <f>IFERROR(VALUE(LEFT(TRIM($AO213&amp;""),4)),"")</f>
        <v/>
      </c>
      <c r="DE213" s="78">
        <f>IF(AND($BY213=1,$BX213=1,OR(fDeal="All Deals",$BU213=fDeal),OR(fEntity="All Entities",$BV213=fEntity),OR(fPType="All Property Types",$BZ213=fPType),OR(fDefeased="Include",$CJ213=0)),1,0)</f>
        <v/>
      </c>
      <c r="DF213" s="83">
        <f>$DE213*N($I213)</f>
        <v/>
      </c>
      <c r="DG213" s="78">
        <f>IF($DE213=1,IF(COUNTIFS($F$8:$F213,$F213,$DE$8:$DE213,1)=1,1,0),0)</f>
        <v/>
      </c>
      <c r="DH213" s="83">
        <f>IF($DG213=1,SUMIFS($DF$8:$DF$1600,$F$8:$F$1600,$F213),0)</f>
        <v/>
      </c>
      <c r="DI213" s="78">
        <f>IF($DG213=1,COUNTIFS($F$8:$F$1600,$F213,$DE$8:$DE$1600,1),0)</f>
        <v/>
      </c>
      <c r="DJ213" s="84">
        <f>IF($DG213=1,$DH213+(100000-ROW())/mTieBreak,0)</f>
        <v/>
      </c>
    </row>
    <row r="214">
      <c r="B214" s="68" t="n">
        <v>17</v>
      </c>
      <c r="C214" s="69" t="inlineStr">
        <is>
          <t>BBC19C03</t>
        </is>
      </c>
      <c r="D214" s="69" t="inlineStr">
        <is>
          <t>17.000</t>
        </is>
      </c>
      <c r="E214" s="69" t="inlineStr">
        <is>
          <t>California Center</t>
        </is>
      </c>
      <c r="F214" s="69" t="inlineStr">
        <is>
          <t>LNBBC19C03-17.000</t>
        </is>
      </c>
      <c r="G214" s="70" t="n"/>
      <c r="H214" s="71" t="n">
        <v>20500000</v>
      </c>
      <c r="I214" s="71" t="n">
        <v>18756452.639994</v>
      </c>
      <c r="J214" s="72" t="n">
        <v>5</v>
      </c>
      <c r="K214" s="69" t="inlineStr">
        <is>
          <t>Fixed rate</t>
        </is>
      </c>
      <c r="L214" s="68" t="n">
        <v>120</v>
      </c>
      <c r="M214" s="68" t="n">
        <v>31</v>
      </c>
      <c r="N214" s="68" t="n">
        <v>384</v>
      </c>
      <c r="O214" s="68" t="n">
        <v>24</v>
      </c>
      <c r="P214" s="68" t="n">
        <v>0</v>
      </c>
      <c r="Q214" s="68" t="n">
        <v>89</v>
      </c>
      <c r="R214" s="69" t="inlineStr">
        <is>
          <t>IO then Amort</t>
        </is>
      </c>
      <c r="S214" s="69" t="inlineStr">
        <is>
          <t>No</t>
        </is>
      </c>
      <c r="T214" s="73" t="n">
        <v>43556</v>
      </c>
      <c r="U214" s="73" t="n">
        <v>47214</v>
      </c>
      <c r="V214" s="73" t="n"/>
      <c r="W214" s="69" t="n"/>
      <c r="X214" s="69" t="inlineStr">
        <is>
          <t>Current</t>
        </is>
      </c>
      <c r="Y214" s="68" t="n"/>
      <c r="Z214" s="69" t="inlineStr">
        <is>
          <t>No Defeasance Occurred</t>
        </is>
      </c>
      <c r="AA214" s="69" t="inlineStr">
        <is>
          <t>Yes</t>
        </is>
      </c>
      <c r="AB214" s="69" t="inlineStr">
        <is>
          <t>Never special serv</t>
        </is>
      </c>
      <c r="AC214" s="73" t="n"/>
      <c r="AD214" s="69" t="n"/>
      <c r="AE214" s="69" t="n"/>
      <c r="AF214" s="69" t="inlineStr">
        <is>
          <t>CA</t>
        </is>
      </c>
      <c r="AG214" s="69" t="inlineStr">
        <is>
          <t>Sacramento</t>
        </is>
      </c>
      <c r="AH214" s="69" t="inlineStr">
        <is>
          <t>Sacramento-Roseville-Folsom, CA</t>
        </is>
      </c>
      <c r="AI214" s="69" t="inlineStr">
        <is>
          <t>West / Pacific North</t>
        </is>
      </c>
      <c r="AJ214" s="69" t="inlineStr">
        <is>
          <t>OF</t>
        </is>
      </c>
      <c r="AK214" s="69" t="inlineStr">
        <is>
          <t>Suburban</t>
        </is>
      </c>
      <c r="AL214" s="68" t="n">
        <v>1</v>
      </c>
      <c r="AM214" s="68" t="n"/>
      <c r="AN214" s="68" t="n">
        <v>169880</v>
      </c>
      <c r="AO214" s="69" t="inlineStr">
        <is>
          <t>1982</t>
        </is>
      </c>
      <c r="AP214" s="70" t="n">
        <v>2015</v>
      </c>
      <c r="AQ214" s="74" t="n">
        <v>1.44</v>
      </c>
      <c r="AR214" s="74" t="n">
        <v>1.03</v>
      </c>
      <c r="AS214" s="74" t="n">
        <v>69.7</v>
      </c>
      <c r="AT214" s="74" t="n">
        <v>63.78</v>
      </c>
      <c r="AU214" s="74" t="n">
        <v>60.3</v>
      </c>
      <c r="AV214" s="74" t="n">
        <v>9.258717073</v>
      </c>
      <c r="AW214" s="74" t="n">
        <v>7.740309897</v>
      </c>
      <c r="AX214" s="75" t="n">
        <v>97</v>
      </c>
      <c r="AY214" s="71" t="n">
        <v>29410000</v>
      </c>
      <c r="AZ214" s="71" t="n">
        <v>29410000</v>
      </c>
      <c r="BA214" s="71" t="n">
        <v>1898037</v>
      </c>
      <c r="BB214" s="71" t="n">
        <v>338986.1</v>
      </c>
      <c r="BC214" s="69" t="inlineStr">
        <is>
          <t>Refinance</t>
        </is>
      </c>
      <c r="BD214" s="69" t="inlineStr">
        <is>
          <t>N</t>
        </is>
      </c>
      <c r="BE214" s="71" t="n"/>
      <c r="BF214" s="71" t="n"/>
      <c r="BG214" s="71" t="n"/>
      <c r="BH214" s="71" t="n">
        <v>0</v>
      </c>
      <c r="BI214" s="71" t="n">
        <v>0</v>
      </c>
      <c r="BJ214" s="69" t="inlineStr">
        <is>
          <t>N</t>
        </is>
      </c>
      <c r="BK214" s="69" t="inlineStr">
        <is>
          <t>INTERWEST INSURANCE SERVICES</t>
        </is>
      </c>
      <c r="BL214" s="75" t="n">
        <v>23.79</v>
      </c>
      <c r="BM214" s="73" t="n">
        <v>46848</v>
      </c>
      <c r="BN214" s="69" t="n"/>
      <c r="BO214" s="69" t="inlineStr">
        <is>
          <t>Barclays</t>
        </is>
      </c>
      <c r="BP214" s="69" t="inlineStr">
        <is>
          <t>Midland Loan Services</t>
        </is>
      </c>
      <c r="BQ214" s="69" t="inlineStr">
        <is>
          <t>K-Star Asset Management LLC</t>
        </is>
      </c>
      <c r="BR214" s="69" t="n"/>
      <c r="BS214" s="73" t="n">
        <v>46276</v>
      </c>
      <c r="BU214" s="76">
        <f>IF($C214="","",IFERROR(INDEX(dmName,MATCH($C214,dmID,0)),"Unmapped"))</f>
        <v/>
      </c>
      <c r="BV214" s="76">
        <f>IF($C214="","",IFERROR(INDEX(dmEntity,MATCH($C214,dmID,0)),"Unmapped"))</f>
        <v/>
      </c>
      <c r="BW214" s="77">
        <f>IF($C214="","",IFERROR(INDEX(dmVintage,MATCH($C214,dmID,0)),""))</f>
        <v/>
      </c>
      <c r="BX214" s="78">
        <f>IFERROR(INDEX(dmInclude,MATCH($C214,dmID,0)),0)</f>
        <v/>
      </c>
      <c r="BY214" s="78">
        <f>IF(N($I214)&gt;0,1,0)</f>
        <v/>
      </c>
      <c r="BZ214" s="76">
        <f>IF($AJ214="","Other / Leased Fee",IFERROR(INDEX(mapPTGroup,MATCH(LEFT(TRIM($AJ214),2),mapPTCode,0)),"Other / Leased Fee"))</f>
        <v/>
      </c>
      <c r="CA214" s="76">
        <f>IF(TRIM($AF214&amp;"")="","NR",LEFT(TRIM($AF214),2))</f>
        <v/>
      </c>
      <c r="CB214" s="76">
        <f>IFERROR(LOOKUP(2,1/(LEFT(TRIM($AI214&amp;""),LEN(mapRegion))=mapRegion),mapRegion),"Not Reported")</f>
        <v/>
      </c>
      <c r="CC214" s="76">
        <f>IF($BY214=0,"",IF(TRIM($W214&amp;"")="REO","REO",IF(TRIM($W214&amp;"")="FC","Foreclosure",IF(TRIM($W214&amp;"")="90+","90+ Days Delinquent",IF(TRIM($W214&amp;"")="60","60 Days Delinquent",IF(TRIM($W214&amp;"")="30","30 Days Delinquent",IF($X214="Non-Performing Matured Balloon","Non-Performing Matured Balloon",IF(OR($X214="Late Payment But Less Than 30 Days Delinquent",LEFT($X214&amp;"",20)="Payment Not Received"),"Late / In Grace (&lt;30 Days)",IF($X214="Performing Matured Balloon","Performing Matured Balloon","Current")))))))))</f>
        <v/>
      </c>
      <c r="CD214" s="78">
        <f>IF(OR($CC214="REO",$CC214="Foreclosure",$CC214="90+ Days Delinquent",$CC214="60 Days Delinquent",$CC214="30 Days Delinquent",$CC214="Non-Performing Matured Balloon"),1,0)</f>
        <v/>
      </c>
      <c r="CE214" s="76">
        <f>IF($AB214="Currently special serv","Currently Specially Serviced",IF($AB214="Returned to master serv","Previously Specially Serviced","Never Specially Serviced"))</f>
        <v/>
      </c>
      <c r="CF214" s="78">
        <f>IF($CE214="Currently Specially Serviced",1,0)</f>
        <v/>
      </c>
      <c r="CG214" s="76">
        <f>IF($AA214="Yes","Currently on Watchlist",IF($AA214="Previously","Previously on Watchlist","Never on Watchlist"))</f>
        <v/>
      </c>
      <c r="CH214" s="78">
        <f>IF($CG214="Currently on Watchlist",1,0)</f>
        <v/>
      </c>
      <c r="CI214" s="76">
        <f>IF($Z214="Full Defeasance","Fully Defeased",IF($Z214="Portion Of Loan Previously Defeased","Partially Defeased",IF($Z214="Defeasance Not Allowable","Not Defeased (Not Permitted)","Not Defeased")))</f>
        <v/>
      </c>
      <c r="CJ214" s="78">
        <f>IF($CI214="Fully Defeased",1,0)</f>
        <v/>
      </c>
      <c r="CK214" s="76">
        <f>IF($R214="IO","Full IO",IF(LEFT($R214&amp;"",7)="IO then","Partial IO","Amortizing"))</f>
        <v/>
      </c>
      <c r="CL214" s="78">
        <f>IF($CK214="Full IO",1,0)</f>
        <v/>
      </c>
      <c r="CM214" s="78">
        <f>IF($CK214="Partial IO",1,0)</f>
        <v/>
      </c>
      <c r="CN214" s="76">
        <f>IF(LEFT($F214&amp;"",10)="SPLIT_LOAN","Pari Passu Split","Standalone")</f>
        <v/>
      </c>
      <c r="CO214" s="78">
        <f>IF($CN214="Pari Passu Split",1,0)</f>
        <v/>
      </c>
      <c r="CP214" s="77">
        <f>IF(ISNUMBER($T214),YEAR($T214),"")</f>
        <v/>
      </c>
      <c r="CQ214" s="79">
        <f>IF(ISNUMBER($V214),$V214,IF(ISNUMBER($U214),$U214,""))</f>
        <v/>
      </c>
      <c r="CR214" s="77">
        <f>IF(ISNUMBER($CQ214),YEAR($CQ214),"")</f>
        <v/>
      </c>
      <c r="CS214" s="78">
        <f>IF(ISNUMBER($M214),MAX(0,$M214),IF(TRIM($M214&amp;"")="matured",0,""))</f>
        <v/>
      </c>
      <c r="CT214" s="78">
        <f>IF(AND(ISNUMBER($CS214),N($CS214)&lt;=mMatWindow),1,0)</f>
        <v/>
      </c>
      <c r="CU214" s="80">
        <f>IF(ISNUMBER($J214),$J214/100,"")</f>
        <v/>
      </c>
      <c r="CV214" s="81">
        <f>IF(ISNUMBER($AQ214),$AQ214,"")</f>
        <v/>
      </c>
      <c r="CW214" s="81">
        <f>IF(ISNUMBER($AR214),$AR214,"")</f>
        <v/>
      </c>
      <c r="CX214" s="82">
        <f>IF(ISNUMBER($AS214),$AS214/100,"")</f>
        <v/>
      </c>
      <c r="CY214" s="82">
        <f>IF(ISNUMBER($AT214),$AT214/100,"")</f>
        <v/>
      </c>
      <c r="CZ214" s="82">
        <f>IF(ISNUMBER($AU214),$AU214/100,"")</f>
        <v/>
      </c>
      <c r="DA214" s="82">
        <f>IF(ISNUMBER($AV214),$AV214/100,"")</f>
        <v/>
      </c>
      <c r="DB214" s="82">
        <f>IF(ISNUMBER($AW214),$AW214/100,"")</f>
        <v/>
      </c>
      <c r="DC214" s="82">
        <f>IF(ISNUMBER($AX214),$AX214/100,"")</f>
        <v/>
      </c>
      <c r="DD214" s="77">
        <f>IFERROR(VALUE(LEFT(TRIM($AO214&amp;""),4)),"")</f>
        <v/>
      </c>
      <c r="DE214" s="78">
        <f>IF(AND($BY214=1,$BX214=1,OR(fDeal="All Deals",$BU214=fDeal),OR(fEntity="All Entities",$BV214=fEntity),OR(fPType="All Property Types",$BZ214=fPType),OR(fDefeased="Include",$CJ214=0)),1,0)</f>
        <v/>
      </c>
      <c r="DF214" s="83">
        <f>$DE214*N($I214)</f>
        <v/>
      </c>
      <c r="DG214" s="78">
        <f>IF($DE214=1,IF(COUNTIFS($F$8:$F214,$F214,$DE$8:$DE214,1)=1,1,0),0)</f>
        <v/>
      </c>
      <c r="DH214" s="83">
        <f>IF($DG214=1,SUMIFS($DF$8:$DF$1600,$F$8:$F$1600,$F214),0)</f>
        <v/>
      </c>
      <c r="DI214" s="78">
        <f>IF($DG214=1,COUNTIFS($F$8:$F$1600,$F214,$DE$8:$DE$1600,1),0)</f>
        <v/>
      </c>
      <c r="DJ214" s="84">
        <f>IF($DG214=1,$DH214+(100000-ROW())/mTieBreak,0)</f>
        <v/>
      </c>
    </row>
    <row r="215">
      <c r="B215" s="68" t="n">
        <v>18</v>
      </c>
      <c r="C215" s="69" t="inlineStr">
        <is>
          <t>BBC19C03</t>
        </is>
      </c>
      <c r="D215" s="69" t="inlineStr">
        <is>
          <t>18.000</t>
        </is>
      </c>
      <c r="E215" s="69" t="inlineStr">
        <is>
          <t>ExchangeRight Net Leased Portfolio 26</t>
        </is>
      </c>
      <c r="F215" s="69" t="inlineStr">
        <is>
          <t>SPLIT_LOAN_01539</t>
        </is>
      </c>
      <c r="G215" s="70" t="n">
        <v>1539</v>
      </c>
      <c r="H215" s="71" t="n">
        <v>20000000</v>
      </c>
      <c r="I215" s="71" t="n">
        <v>20000000</v>
      </c>
      <c r="J215" s="72" t="n">
        <v>4.582</v>
      </c>
      <c r="K215" s="69" t="inlineStr">
        <is>
          <t>Fixed rate</t>
        </is>
      </c>
      <c r="L215" s="68" t="n">
        <v>120</v>
      </c>
      <c r="M215" s="68" t="n">
        <v>31</v>
      </c>
      <c r="N215" s="68" t="n">
        <v>120</v>
      </c>
      <c r="O215" s="68" t="n">
        <v>120</v>
      </c>
      <c r="P215" s="68" t="n">
        <v>31</v>
      </c>
      <c r="Q215" s="68" t="n">
        <v>89</v>
      </c>
      <c r="R215" s="69" t="inlineStr">
        <is>
          <t>IO</t>
        </is>
      </c>
      <c r="S215" s="69" t="inlineStr">
        <is>
          <t>Yes</t>
        </is>
      </c>
      <c r="T215" s="73" t="n">
        <v>43556</v>
      </c>
      <c r="U215" s="73" t="n">
        <v>47209</v>
      </c>
      <c r="V215" s="73" t="n"/>
      <c r="W215" s="69" t="n"/>
      <c r="X215" s="69" t="inlineStr">
        <is>
          <t>Current</t>
        </is>
      </c>
      <c r="Y215" s="68" t="n"/>
      <c r="Z215" s="69" t="inlineStr">
        <is>
          <t>No Defeasance Occurred</t>
        </is>
      </c>
      <c r="AA215" s="69" t="inlineStr">
        <is>
          <t>Yes</t>
        </is>
      </c>
      <c r="AB215" s="69" t="inlineStr">
        <is>
          <t>Never special serv</t>
        </is>
      </c>
      <c r="AC215" s="73" t="n"/>
      <c r="AD215" s="69" t="n"/>
      <c r="AE215" s="69" t="n"/>
      <c r="AF215" s="69" t="inlineStr">
        <is>
          <t>TX-23.332728800% MN-20.752723950% WI-16.289094200% GA-12.547274350% LA-7.449089650% IN-7.178179650% OH-7.156364650% TN-3.139999850% VA-2.154544900%</t>
        </is>
      </c>
      <c r="AG215" s="69" t="n"/>
      <c r="AH215" s="69" t="inlineStr">
        <is>
          <t>Minneapolis-St. Paul-Bloomington, MN-WI-20.752723950% Houston-Pasadena-The Woodlands, TX-14.459999250% Wausau, WI-13.461819350% Atlanta-Sandy Springs-Roswell, GA-12.547274350% New Orleans-Metairie, LA-7.449089650% Odessa, TX-5.867274700% Cincinnati, OH-KY-IN-5.299999750% Lafayette-West Lafayette, IN-5.103634750% McAllen-Edinburg-Mission, TX-3.005454850% Milwaukee-Waukesha, WI-2.827274850% Richmond, VA-2.154544900% Chicago-Naperville-Elgin, IL-IN-2.074544900% Canton-Massillon, OH-1.856364900% Cleveland, TN-1.681819900% Clarksville, TN-KY-1.458179950%</t>
        </is>
      </c>
      <c r="AI215" s="69" t="inlineStr">
        <is>
          <t>South / Central West-30.781818450% Midwest / Central East-30.623638500% Midwest / Central West-20.752723950% South / Atlantic-14.701819250% South / Central East-3.139999850%</t>
        </is>
      </c>
      <c r="AJ215" s="69" t="inlineStr">
        <is>
          <t>RT</t>
        </is>
      </c>
      <c r="AK215" s="69" t="inlineStr">
        <is>
          <t>Free Standing</t>
        </is>
      </c>
      <c r="AL215" s="68" t="n">
        <v>19</v>
      </c>
      <c r="AM215" s="68" t="n"/>
      <c r="AN215" s="68" t="n">
        <v>403547</v>
      </c>
      <c r="AO215" s="69" t="n"/>
      <c r="AP215" s="70" t="n">
        <v>2019</v>
      </c>
      <c r="AQ215" s="74" t="n">
        <v>1.92</v>
      </c>
      <c r="AR215" s="74" t="n">
        <v>1.98</v>
      </c>
      <c r="AS215" s="74" t="n">
        <v>61.7</v>
      </c>
      <c r="AT215" s="74" t="n">
        <v>61.7</v>
      </c>
      <c r="AU215" s="74" t="n">
        <v>61.7</v>
      </c>
      <c r="AV215" s="74" t="n">
        <v>8.925754236</v>
      </c>
      <c r="AW215" s="74" t="n">
        <v>9.063321200000001</v>
      </c>
      <c r="AX215" s="75" t="n">
        <v>100</v>
      </c>
      <c r="AY215" s="71" t="n">
        <v>89145000</v>
      </c>
      <c r="AZ215" s="71" t="n">
        <v>89145000</v>
      </c>
      <c r="BA215" s="71" t="n">
        <v>4909164.83</v>
      </c>
      <c r="BB215" s="71" t="n">
        <v>5051712.94</v>
      </c>
      <c r="BC215" s="69" t="inlineStr">
        <is>
          <t>Acquisition</t>
        </is>
      </c>
      <c r="BD215" s="69" t="inlineStr">
        <is>
          <t>N</t>
        </is>
      </c>
      <c r="BE215" s="71" t="n">
        <v>35000000</v>
      </c>
      <c r="BF215" s="71" t="n"/>
      <c r="BG215" s="71" t="n"/>
      <c r="BH215" s="71" t="n">
        <v>0</v>
      </c>
      <c r="BI215" s="71" t="n">
        <v>0</v>
      </c>
      <c r="BJ215" s="69" t="inlineStr">
        <is>
          <t>N</t>
        </is>
      </c>
      <c r="BK215" s="69" t="inlineStr">
        <is>
          <t>Hy-Vee</t>
        </is>
      </c>
      <c r="BL215" s="75" t="n">
        <v>22.79</v>
      </c>
      <c r="BM215" s="73" t="n">
        <v>50801</v>
      </c>
      <c r="BN215" s="69" t="n"/>
      <c r="BO215" s="69" t="inlineStr">
        <is>
          <t>Societe Generale</t>
        </is>
      </c>
      <c r="BP215" s="69" t="inlineStr">
        <is>
          <t>Midland Loan Services</t>
        </is>
      </c>
      <c r="BQ215" s="69" t="inlineStr">
        <is>
          <t>LNR Partners</t>
        </is>
      </c>
      <c r="BR215" s="69" t="n"/>
      <c r="BS215" s="73" t="n">
        <v>46276</v>
      </c>
      <c r="BU215" s="76">
        <f>IF($C215="","",IFERROR(INDEX(dmName,MATCH($C215,dmID,0)),"Unmapped"))</f>
        <v/>
      </c>
      <c r="BV215" s="76">
        <f>IF($C215="","",IFERROR(INDEX(dmEntity,MATCH($C215,dmID,0)),"Unmapped"))</f>
        <v/>
      </c>
      <c r="BW215" s="77">
        <f>IF($C215="","",IFERROR(INDEX(dmVintage,MATCH($C215,dmID,0)),""))</f>
        <v/>
      </c>
      <c r="BX215" s="78">
        <f>IFERROR(INDEX(dmInclude,MATCH($C215,dmID,0)),0)</f>
        <v/>
      </c>
      <c r="BY215" s="78">
        <f>IF(N($I215)&gt;0,1,0)</f>
        <v/>
      </c>
      <c r="BZ215" s="76">
        <f>IF($AJ215="","Other / Leased Fee",IFERROR(INDEX(mapPTGroup,MATCH(LEFT(TRIM($AJ215),2),mapPTCode,0)),"Other / Leased Fee"))</f>
        <v/>
      </c>
      <c r="CA215" s="76">
        <f>IF(TRIM($AF215&amp;"")="","NR",LEFT(TRIM($AF215),2))</f>
        <v/>
      </c>
      <c r="CB215" s="76">
        <f>IFERROR(LOOKUP(2,1/(LEFT(TRIM($AI215&amp;""),LEN(mapRegion))=mapRegion),mapRegion),"Not Reported")</f>
        <v/>
      </c>
      <c r="CC215" s="76">
        <f>IF($BY215=0,"",IF(TRIM($W215&amp;"")="REO","REO",IF(TRIM($W215&amp;"")="FC","Foreclosure",IF(TRIM($W215&amp;"")="90+","90+ Days Delinquent",IF(TRIM($W215&amp;"")="60","60 Days Delinquent",IF(TRIM($W215&amp;"")="30","30 Days Delinquent",IF($X215="Non-Performing Matured Balloon","Non-Performing Matured Balloon",IF(OR($X215="Late Payment But Less Than 30 Days Delinquent",LEFT($X215&amp;"",20)="Payment Not Received"),"Late / In Grace (&lt;30 Days)",IF($X215="Performing Matured Balloon","Performing Matured Balloon","Current")))))))))</f>
        <v/>
      </c>
      <c r="CD215" s="78">
        <f>IF(OR($CC215="REO",$CC215="Foreclosure",$CC215="90+ Days Delinquent",$CC215="60 Days Delinquent",$CC215="30 Days Delinquent",$CC215="Non-Performing Matured Balloon"),1,0)</f>
        <v/>
      </c>
      <c r="CE215" s="76">
        <f>IF($AB215="Currently special serv","Currently Specially Serviced",IF($AB215="Returned to master serv","Previously Specially Serviced","Never Specially Serviced"))</f>
        <v/>
      </c>
      <c r="CF215" s="78">
        <f>IF($CE215="Currently Specially Serviced",1,0)</f>
        <v/>
      </c>
      <c r="CG215" s="76">
        <f>IF($AA215="Yes","Currently on Watchlist",IF($AA215="Previously","Previously on Watchlist","Never on Watchlist"))</f>
        <v/>
      </c>
      <c r="CH215" s="78">
        <f>IF($CG215="Currently on Watchlist",1,0)</f>
        <v/>
      </c>
      <c r="CI215" s="76">
        <f>IF($Z215="Full Defeasance","Fully Defeased",IF($Z215="Portion Of Loan Previously Defeased","Partially Defeased",IF($Z215="Defeasance Not Allowable","Not Defeased (Not Permitted)","Not Defeased")))</f>
        <v/>
      </c>
      <c r="CJ215" s="78">
        <f>IF($CI215="Fully Defeased",1,0)</f>
        <v/>
      </c>
      <c r="CK215" s="76">
        <f>IF($R215="IO","Full IO",IF(LEFT($R215&amp;"",7)="IO then","Partial IO","Amortizing"))</f>
        <v/>
      </c>
      <c r="CL215" s="78">
        <f>IF($CK215="Full IO",1,0)</f>
        <v/>
      </c>
      <c r="CM215" s="78">
        <f>IF($CK215="Partial IO",1,0)</f>
        <v/>
      </c>
      <c r="CN215" s="76">
        <f>IF(LEFT($F215&amp;"",10)="SPLIT_LOAN","Pari Passu Split","Standalone")</f>
        <v/>
      </c>
      <c r="CO215" s="78">
        <f>IF($CN215="Pari Passu Split",1,0)</f>
        <v/>
      </c>
      <c r="CP215" s="77">
        <f>IF(ISNUMBER($T215),YEAR($T215),"")</f>
        <v/>
      </c>
      <c r="CQ215" s="79">
        <f>IF(ISNUMBER($V215),$V215,IF(ISNUMBER($U215),$U215,""))</f>
        <v/>
      </c>
      <c r="CR215" s="77">
        <f>IF(ISNUMBER($CQ215),YEAR($CQ215),"")</f>
        <v/>
      </c>
      <c r="CS215" s="78">
        <f>IF(ISNUMBER($M215),MAX(0,$M215),IF(TRIM($M215&amp;"")="matured",0,""))</f>
        <v/>
      </c>
      <c r="CT215" s="78">
        <f>IF(AND(ISNUMBER($CS215),N($CS215)&lt;=mMatWindow),1,0)</f>
        <v/>
      </c>
      <c r="CU215" s="80">
        <f>IF(ISNUMBER($J215),$J215/100,"")</f>
        <v/>
      </c>
      <c r="CV215" s="81">
        <f>IF(ISNUMBER($AQ215),$AQ215,"")</f>
        <v/>
      </c>
      <c r="CW215" s="81">
        <f>IF(ISNUMBER($AR215),$AR215,"")</f>
        <v/>
      </c>
      <c r="CX215" s="82">
        <f>IF(ISNUMBER($AS215),$AS215/100,"")</f>
        <v/>
      </c>
      <c r="CY215" s="82">
        <f>IF(ISNUMBER($AT215),$AT215/100,"")</f>
        <v/>
      </c>
      <c r="CZ215" s="82">
        <f>IF(ISNUMBER($AU215),$AU215/100,"")</f>
        <v/>
      </c>
      <c r="DA215" s="82">
        <f>IF(ISNUMBER($AV215),$AV215/100,"")</f>
        <v/>
      </c>
      <c r="DB215" s="82">
        <f>IF(ISNUMBER($AW215),$AW215/100,"")</f>
        <v/>
      </c>
      <c r="DC215" s="82">
        <f>IF(ISNUMBER($AX215),$AX215/100,"")</f>
        <v/>
      </c>
      <c r="DD215" s="77">
        <f>IFERROR(VALUE(LEFT(TRIM($AO215&amp;""),4)),"")</f>
        <v/>
      </c>
      <c r="DE215" s="78">
        <f>IF(AND($BY215=1,$BX215=1,OR(fDeal="All Deals",$BU215=fDeal),OR(fEntity="All Entities",$BV215=fEntity),OR(fPType="All Property Types",$BZ215=fPType),OR(fDefeased="Include",$CJ215=0)),1,0)</f>
        <v/>
      </c>
      <c r="DF215" s="83">
        <f>$DE215*N($I215)</f>
        <v/>
      </c>
      <c r="DG215" s="78">
        <f>IF($DE215=1,IF(COUNTIFS($F$8:$F215,$F215,$DE$8:$DE215,1)=1,1,0),0)</f>
        <v/>
      </c>
      <c r="DH215" s="83">
        <f>IF($DG215=1,SUMIFS($DF$8:$DF$1600,$F$8:$F$1600,$F215),0)</f>
        <v/>
      </c>
      <c r="DI215" s="78">
        <f>IF($DG215=1,COUNTIFS($F$8:$F$1600,$F215,$DE$8:$DE$1600,1),0)</f>
        <v/>
      </c>
      <c r="DJ215" s="84">
        <f>IF($DG215=1,$DH215+(100000-ROW())/mTieBreak,0)</f>
        <v/>
      </c>
    </row>
    <row r="216">
      <c r="B216" s="68" t="n">
        <v>19</v>
      </c>
      <c r="C216" s="69" t="inlineStr">
        <is>
          <t>BBC19C03</t>
        </is>
      </c>
      <c r="D216" s="69" t="inlineStr">
        <is>
          <t>19.000</t>
        </is>
      </c>
      <c r="E216" s="69" t="inlineStr">
        <is>
          <t>Patuxent Crossing</t>
        </is>
      </c>
      <c r="F216" s="69" t="inlineStr">
        <is>
          <t>SPLIT_LOAN_01540</t>
        </is>
      </c>
      <c r="G216" s="70" t="n">
        <v>1540</v>
      </c>
      <c r="H216" s="71" t="n">
        <v>20000000</v>
      </c>
      <c r="I216" s="71" t="n">
        <v>18175583.68</v>
      </c>
      <c r="J216" s="72" t="n">
        <v>4.6</v>
      </c>
      <c r="K216" s="69" t="inlineStr">
        <is>
          <t>Fixed rate</t>
        </is>
      </c>
      <c r="L216" s="68" t="n">
        <v>120</v>
      </c>
      <c r="M216" s="68" t="n">
        <v>31</v>
      </c>
      <c r="N216" s="68" t="n">
        <v>384</v>
      </c>
      <c r="O216" s="68" t="n">
        <v>24</v>
      </c>
      <c r="P216" s="68" t="n">
        <v>0</v>
      </c>
      <c r="Q216" s="68" t="n">
        <v>89</v>
      </c>
      <c r="R216" s="69" t="inlineStr">
        <is>
          <t>IO then Amort</t>
        </is>
      </c>
      <c r="S216" s="69" t="inlineStr">
        <is>
          <t>No</t>
        </is>
      </c>
      <c r="T216" s="73" t="n">
        <v>43556</v>
      </c>
      <c r="U216" s="73" t="n">
        <v>47214</v>
      </c>
      <c r="V216" s="73" t="n"/>
      <c r="W216" s="69" t="n"/>
      <c r="X216" s="69" t="inlineStr">
        <is>
          <t>Current</t>
        </is>
      </c>
      <c r="Y216" s="68" t="n"/>
      <c r="Z216" s="69" t="inlineStr">
        <is>
          <t>Portion Of Loan Previously Defeased</t>
        </is>
      </c>
      <c r="AA216" s="69" t="inlineStr">
        <is>
          <t>Yes</t>
        </is>
      </c>
      <c r="AB216" s="69" t="inlineStr">
        <is>
          <t>Never special serv</t>
        </is>
      </c>
      <c r="AC216" s="73" t="n"/>
      <c r="AD216" s="69" t="n"/>
      <c r="AE216" s="69" t="n"/>
      <c r="AF216" s="69" t="inlineStr">
        <is>
          <t>MD</t>
        </is>
      </c>
      <c r="AG216" s="69" t="inlineStr">
        <is>
          <t>Columbia</t>
        </is>
      </c>
      <c r="AH216" s="69" t="inlineStr">
        <is>
          <t>Baltimore-Columbia-Towson, MD</t>
        </is>
      </c>
      <c r="AI216" s="69" t="inlineStr">
        <is>
          <t>South / Atlantic</t>
        </is>
      </c>
      <c r="AJ216" s="69" t="inlineStr">
        <is>
          <t>OF</t>
        </is>
      </c>
      <c r="AK216" s="69" t="inlineStr">
        <is>
          <t>Suburban</t>
        </is>
      </c>
      <c r="AL216" s="68" t="n">
        <v>1</v>
      </c>
      <c r="AM216" s="68" t="n"/>
      <c r="AN216" s="68" t="n">
        <v>294730</v>
      </c>
      <c r="AO216" s="69" t="inlineStr">
        <is>
          <t>1986, 1989, 1998</t>
        </is>
      </c>
      <c r="AP216" s="70" t="n">
        <v>1998</v>
      </c>
      <c r="AQ216" s="74" t="n">
        <v>1.56</v>
      </c>
      <c r="AR216" s="74" t="n">
        <v>0.88</v>
      </c>
      <c r="AS216" s="74" t="n">
        <v>74.90000000000001</v>
      </c>
      <c r="AT216" s="74" t="n">
        <v>68.04000000000001</v>
      </c>
      <c r="AU216" s="74" t="n">
        <v>64.09999999999999</v>
      </c>
      <c r="AV216" s="74" t="n">
        <v>9.61630622</v>
      </c>
      <c r="AW216" s="74" t="n">
        <v>6.577770901</v>
      </c>
      <c r="AX216" s="75" t="n">
        <v>67</v>
      </c>
      <c r="AY216" s="71" t="n">
        <v>48850000</v>
      </c>
      <c r="AZ216" s="71" t="n">
        <v>48850000</v>
      </c>
      <c r="BA216" s="71" t="n">
        <v>3517164</v>
      </c>
      <c r="BB216" s="71" t="n">
        <v>1725617.29</v>
      </c>
      <c r="BC216" s="69" t="inlineStr">
        <is>
          <t>Acquisition</t>
        </is>
      </c>
      <c r="BD216" s="69" t="inlineStr">
        <is>
          <t>N</t>
        </is>
      </c>
      <c r="BE216" s="71" t="n">
        <v>15063014.97</v>
      </c>
      <c r="BF216" s="71" t="n"/>
      <c r="BG216" s="71" t="n"/>
      <c r="BH216" s="71" t="n">
        <v>0</v>
      </c>
      <c r="BI216" s="71" t="n">
        <v>0</v>
      </c>
      <c r="BJ216" s="69" t="inlineStr">
        <is>
          <t>N</t>
        </is>
      </c>
      <c r="BK216" s="69" t="inlineStr">
        <is>
          <t>MADISON STREET PROPERTIES</t>
        </is>
      </c>
      <c r="BL216" s="75" t="n">
        <v>15.48</v>
      </c>
      <c r="BM216" s="73" t="n">
        <v>48334</v>
      </c>
      <c r="BN216" s="69" t="n"/>
      <c r="BO216" s="69" t="inlineStr">
        <is>
          <t>Barclays</t>
        </is>
      </c>
      <c r="BP216" s="69" t="inlineStr">
        <is>
          <t>Midland Loan Services</t>
        </is>
      </c>
      <c r="BQ216" s="69" t="inlineStr">
        <is>
          <t>K-Star Asset Management LLC</t>
        </is>
      </c>
      <c r="BR216" s="69" t="n"/>
      <c r="BS216" s="73" t="n">
        <v>46276</v>
      </c>
      <c r="BU216" s="76">
        <f>IF($C216="","",IFERROR(INDEX(dmName,MATCH($C216,dmID,0)),"Unmapped"))</f>
        <v/>
      </c>
      <c r="BV216" s="76">
        <f>IF($C216="","",IFERROR(INDEX(dmEntity,MATCH($C216,dmID,0)),"Unmapped"))</f>
        <v/>
      </c>
      <c r="BW216" s="77">
        <f>IF($C216="","",IFERROR(INDEX(dmVintage,MATCH($C216,dmID,0)),""))</f>
        <v/>
      </c>
      <c r="BX216" s="78">
        <f>IFERROR(INDEX(dmInclude,MATCH($C216,dmID,0)),0)</f>
        <v/>
      </c>
      <c r="BY216" s="78">
        <f>IF(N($I216)&gt;0,1,0)</f>
        <v/>
      </c>
      <c r="BZ216" s="76">
        <f>IF($AJ216="","Other / Leased Fee",IFERROR(INDEX(mapPTGroup,MATCH(LEFT(TRIM($AJ216),2),mapPTCode,0)),"Other / Leased Fee"))</f>
        <v/>
      </c>
      <c r="CA216" s="76">
        <f>IF(TRIM($AF216&amp;"")="","NR",LEFT(TRIM($AF216),2))</f>
        <v/>
      </c>
      <c r="CB216" s="76">
        <f>IFERROR(LOOKUP(2,1/(LEFT(TRIM($AI216&amp;""),LEN(mapRegion))=mapRegion),mapRegion),"Not Reported")</f>
        <v/>
      </c>
      <c r="CC216" s="76">
        <f>IF($BY216=0,"",IF(TRIM($W216&amp;"")="REO","REO",IF(TRIM($W216&amp;"")="FC","Foreclosure",IF(TRIM($W216&amp;"")="90+","90+ Days Delinquent",IF(TRIM($W216&amp;"")="60","60 Days Delinquent",IF(TRIM($W216&amp;"")="30","30 Days Delinquent",IF($X216="Non-Performing Matured Balloon","Non-Performing Matured Balloon",IF(OR($X216="Late Payment But Less Than 30 Days Delinquent",LEFT($X216&amp;"",20)="Payment Not Received"),"Late / In Grace (&lt;30 Days)",IF($X216="Performing Matured Balloon","Performing Matured Balloon","Current")))))))))</f>
        <v/>
      </c>
      <c r="CD216" s="78">
        <f>IF(OR($CC216="REO",$CC216="Foreclosure",$CC216="90+ Days Delinquent",$CC216="60 Days Delinquent",$CC216="30 Days Delinquent",$CC216="Non-Performing Matured Balloon"),1,0)</f>
        <v/>
      </c>
      <c r="CE216" s="76">
        <f>IF($AB216="Currently special serv","Currently Specially Serviced",IF($AB216="Returned to master serv","Previously Specially Serviced","Never Specially Serviced"))</f>
        <v/>
      </c>
      <c r="CF216" s="78">
        <f>IF($CE216="Currently Specially Serviced",1,0)</f>
        <v/>
      </c>
      <c r="CG216" s="76">
        <f>IF($AA216="Yes","Currently on Watchlist",IF($AA216="Previously","Previously on Watchlist","Never on Watchlist"))</f>
        <v/>
      </c>
      <c r="CH216" s="78">
        <f>IF($CG216="Currently on Watchlist",1,0)</f>
        <v/>
      </c>
      <c r="CI216" s="76">
        <f>IF($Z216="Full Defeasance","Fully Defeased",IF($Z216="Portion Of Loan Previously Defeased","Partially Defeased",IF($Z216="Defeasance Not Allowable","Not Defeased (Not Permitted)","Not Defeased")))</f>
        <v/>
      </c>
      <c r="CJ216" s="78">
        <f>IF($CI216="Fully Defeased",1,0)</f>
        <v/>
      </c>
      <c r="CK216" s="76">
        <f>IF($R216="IO","Full IO",IF(LEFT($R216&amp;"",7)="IO then","Partial IO","Amortizing"))</f>
        <v/>
      </c>
      <c r="CL216" s="78">
        <f>IF($CK216="Full IO",1,0)</f>
        <v/>
      </c>
      <c r="CM216" s="78">
        <f>IF($CK216="Partial IO",1,0)</f>
        <v/>
      </c>
      <c r="CN216" s="76">
        <f>IF(LEFT($F216&amp;"",10)="SPLIT_LOAN","Pari Passu Split","Standalone")</f>
        <v/>
      </c>
      <c r="CO216" s="78">
        <f>IF($CN216="Pari Passu Split",1,0)</f>
        <v/>
      </c>
      <c r="CP216" s="77">
        <f>IF(ISNUMBER($T216),YEAR($T216),"")</f>
        <v/>
      </c>
      <c r="CQ216" s="79">
        <f>IF(ISNUMBER($V216),$V216,IF(ISNUMBER($U216),$U216,""))</f>
        <v/>
      </c>
      <c r="CR216" s="77">
        <f>IF(ISNUMBER($CQ216),YEAR($CQ216),"")</f>
        <v/>
      </c>
      <c r="CS216" s="78">
        <f>IF(ISNUMBER($M216),MAX(0,$M216),IF(TRIM($M216&amp;"")="matured",0,""))</f>
        <v/>
      </c>
      <c r="CT216" s="78">
        <f>IF(AND(ISNUMBER($CS216),N($CS216)&lt;=mMatWindow),1,0)</f>
        <v/>
      </c>
      <c r="CU216" s="80">
        <f>IF(ISNUMBER($J216),$J216/100,"")</f>
        <v/>
      </c>
      <c r="CV216" s="81">
        <f>IF(ISNUMBER($AQ216),$AQ216,"")</f>
        <v/>
      </c>
      <c r="CW216" s="81">
        <f>IF(ISNUMBER($AR216),$AR216,"")</f>
        <v/>
      </c>
      <c r="CX216" s="82">
        <f>IF(ISNUMBER($AS216),$AS216/100,"")</f>
        <v/>
      </c>
      <c r="CY216" s="82">
        <f>IF(ISNUMBER($AT216),$AT216/100,"")</f>
        <v/>
      </c>
      <c r="CZ216" s="82">
        <f>IF(ISNUMBER($AU216),$AU216/100,"")</f>
        <v/>
      </c>
      <c r="DA216" s="82">
        <f>IF(ISNUMBER($AV216),$AV216/100,"")</f>
        <v/>
      </c>
      <c r="DB216" s="82">
        <f>IF(ISNUMBER($AW216),$AW216/100,"")</f>
        <v/>
      </c>
      <c r="DC216" s="82">
        <f>IF(ISNUMBER($AX216),$AX216/100,"")</f>
        <v/>
      </c>
      <c r="DD216" s="77">
        <f>IFERROR(VALUE(LEFT(TRIM($AO216&amp;""),4)),"")</f>
        <v/>
      </c>
      <c r="DE216" s="78">
        <f>IF(AND($BY216=1,$BX216=1,OR(fDeal="All Deals",$BU216=fDeal),OR(fEntity="All Entities",$BV216=fEntity),OR(fPType="All Property Types",$BZ216=fPType),OR(fDefeased="Include",$CJ216=0)),1,0)</f>
        <v/>
      </c>
      <c r="DF216" s="83">
        <f>$DE216*N($I216)</f>
        <v/>
      </c>
      <c r="DG216" s="78">
        <f>IF($DE216=1,IF(COUNTIFS($F$8:$F216,$F216,$DE$8:$DE216,1)=1,1,0),0)</f>
        <v/>
      </c>
      <c r="DH216" s="83">
        <f>IF($DG216=1,SUMIFS($DF$8:$DF$1600,$F$8:$F$1600,$F216),0)</f>
        <v/>
      </c>
      <c r="DI216" s="78">
        <f>IF($DG216=1,COUNTIFS($F$8:$F$1600,$F216,$DE$8:$DE$1600,1),0)</f>
        <v/>
      </c>
      <c r="DJ216" s="84">
        <f>IF($DG216=1,$DH216+(100000-ROW())/mTieBreak,0)</f>
        <v/>
      </c>
    </row>
    <row r="217">
      <c r="B217" s="68" t="n">
        <v>20</v>
      </c>
      <c r="C217" s="69" t="inlineStr">
        <is>
          <t>BBC19C03</t>
        </is>
      </c>
      <c r="D217" s="69" t="inlineStr">
        <is>
          <t>20.000</t>
        </is>
      </c>
      <c r="E217" s="69" t="inlineStr">
        <is>
          <t>University Place</t>
        </is>
      </c>
      <c r="F217" s="69" t="inlineStr">
        <is>
          <t>LNBBC19C03-20.000</t>
        </is>
      </c>
      <c r="G217" s="70" t="n"/>
      <c r="H217" s="71" t="n">
        <v>18900000</v>
      </c>
      <c r="I217" s="71" t="n">
        <v>17608612.3000074</v>
      </c>
      <c r="J217" s="72" t="n">
        <v>4.81</v>
      </c>
      <c r="K217" s="69" t="inlineStr">
        <is>
          <t>Fixed rate</t>
        </is>
      </c>
      <c r="L217" s="68" t="n">
        <v>120</v>
      </c>
      <c r="M217" s="68" t="n">
        <v>32</v>
      </c>
      <c r="N217" s="68" t="n">
        <v>396</v>
      </c>
      <c r="O217" s="68" t="n">
        <v>36</v>
      </c>
      <c r="P217" s="68" t="n">
        <v>0</v>
      </c>
      <c r="Q217" s="68" t="n">
        <v>88</v>
      </c>
      <c r="R217" s="69" t="inlineStr">
        <is>
          <t>IO then Amort</t>
        </is>
      </c>
      <c r="S217" s="69" t="inlineStr">
        <is>
          <t>No</t>
        </is>
      </c>
      <c r="T217" s="73" t="n">
        <v>43586</v>
      </c>
      <c r="U217" s="73" t="n">
        <v>47239</v>
      </c>
      <c r="V217" s="73" t="n"/>
      <c r="W217" s="69" t="n"/>
      <c r="X217" s="69" t="inlineStr">
        <is>
          <t>Current</t>
        </is>
      </c>
      <c r="Y217" s="68" t="n"/>
      <c r="Z217" s="69" t="inlineStr">
        <is>
          <t>No Defeasance Occurred</t>
        </is>
      </c>
      <c r="AA217" s="69" t="inlineStr">
        <is>
          <t>Yes</t>
        </is>
      </c>
      <c r="AB217" s="69" t="inlineStr">
        <is>
          <t>Never special serv</t>
        </is>
      </c>
      <c r="AC217" s="73" t="n"/>
      <c r="AD217" s="69" t="n"/>
      <c r="AE217" s="69" t="n"/>
      <c r="AF217" s="69" t="inlineStr">
        <is>
          <t>AL</t>
        </is>
      </c>
      <c r="AG217" s="69" t="inlineStr">
        <is>
          <t>Huntsville</t>
        </is>
      </c>
      <c r="AH217" s="69" t="inlineStr">
        <is>
          <t>Huntsville, AL</t>
        </is>
      </c>
      <c r="AI217" s="69" t="inlineStr">
        <is>
          <t>South / Central East</t>
        </is>
      </c>
      <c r="AJ217" s="69" t="inlineStr">
        <is>
          <t>RT</t>
        </is>
      </c>
      <c r="AK217" s="69" t="inlineStr">
        <is>
          <t>Anchored</t>
        </is>
      </c>
      <c r="AL217" s="68" t="n">
        <v>1</v>
      </c>
      <c r="AM217" s="68" t="n"/>
      <c r="AN217" s="68" t="n">
        <v>154428</v>
      </c>
      <c r="AO217" s="69" t="inlineStr">
        <is>
          <t>1989</t>
        </is>
      </c>
      <c r="AP217" s="70" t="n">
        <v>2015</v>
      </c>
      <c r="AQ217" s="74" t="n">
        <v>1.62</v>
      </c>
      <c r="AR217" s="74" t="n">
        <v>1.89</v>
      </c>
      <c r="AS217" s="74" t="n">
        <v>69.2</v>
      </c>
      <c r="AT217" s="74" t="n">
        <v>64.5</v>
      </c>
      <c r="AU217" s="74" t="n">
        <v>61</v>
      </c>
      <c r="AV217" s="74" t="n">
        <v>10.236887196</v>
      </c>
      <c r="AW217" s="74" t="n">
        <v>12.423897822</v>
      </c>
      <c r="AX217" s="75" t="n">
        <v>100</v>
      </c>
      <c r="AY217" s="71" t="n">
        <v>27300000</v>
      </c>
      <c r="AZ217" s="71" t="n">
        <v>27300000</v>
      </c>
      <c r="BA217" s="71" t="n">
        <v>1934771.68</v>
      </c>
      <c r="BB217" s="71" t="n">
        <v>2251247</v>
      </c>
      <c r="BC217" s="69" t="inlineStr">
        <is>
          <t>Acquisition</t>
        </is>
      </c>
      <c r="BD217" s="69" t="inlineStr">
        <is>
          <t>N</t>
        </is>
      </c>
      <c r="BE217" s="71" t="n"/>
      <c r="BF217" s="71" t="n"/>
      <c r="BG217" s="71" t="n"/>
      <c r="BH217" s="71" t="n">
        <v>0</v>
      </c>
      <c r="BI217" s="71" t="n">
        <v>0</v>
      </c>
      <c r="BJ217" s="69" t="inlineStr">
        <is>
          <t>N</t>
        </is>
      </c>
      <c r="BK217" s="69" t="inlineStr">
        <is>
          <t>IKEA US</t>
        </is>
      </c>
      <c r="BL217" s="75" t="n">
        <v>30</v>
      </c>
      <c r="BM217" s="73" t="n">
        <v>49733</v>
      </c>
      <c r="BN217" s="69" t="n"/>
      <c r="BO217" s="69" t="inlineStr">
        <is>
          <t>KeyBank</t>
        </is>
      </c>
      <c r="BP217" s="69" t="inlineStr">
        <is>
          <t>Midland Loan Services</t>
        </is>
      </c>
      <c r="BQ217" s="69" t="inlineStr">
        <is>
          <t>K-Star Asset Management LLC</t>
        </is>
      </c>
      <c r="BR217" s="69" t="n"/>
      <c r="BS217" s="73" t="n">
        <v>46276</v>
      </c>
      <c r="BU217" s="76">
        <f>IF($C217="","",IFERROR(INDEX(dmName,MATCH($C217,dmID,0)),"Unmapped"))</f>
        <v/>
      </c>
      <c r="BV217" s="76">
        <f>IF($C217="","",IFERROR(INDEX(dmEntity,MATCH($C217,dmID,0)),"Unmapped"))</f>
        <v/>
      </c>
      <c r="BW217" s="77">
        <f>IF($C217="","",IFERROR(INDEX(dmVintage,MATCH($C217,dmID,0)),""))</f>
        <v/>
      </c>
      <c r="BX217" s="78">
        <f>IFERROR(INDEX(dmInclude,MATCH($C217,dmID,0)),0)</f>
        <v/>
      </c>
      <c r="BY217" s="78">
        <f>IF(N($I217)&gt;0,1,0)</f>
        <v/>
      </c>
      <c r="BZ217" s="76">
        <f>IF($AJ217="","Other / Leased Fee",IFERROR(INDEX(mapPTGroup,MATCH(LEFT(TRIM($AJ217),2),mapPTCode,0)),"Other / Leased Fee"))</f>
        <v/>
      </c>
      <c r="CA217" s="76">
        <f>IF(TRIM($AF217&amp;"")="","NR",LEFT(TRIM($AF217),2))</f>
        <v/>
      </c>
      <c r="CB217" s="76">
        <f>IFERROR(LOOKUP(2,1/(LEFT(TRIM($AI217&amp;""),LEN(mapRegion))=mapRegion),mapRegion),"Not Reported")</f>
        <v/>
      </c>
      <c r="CC217" s="76">
        <f>IF($BY217=0,"",IF(TRIM($W217&amp;"")="REO","REO",IF(TRIM($W217&amp;"")="FC","Foreclosure",IF(TRIM($W217&amp;"")="90+","90+ Days Delinquent",IF(TRIM($W217&amp;"")="60","60 Days Delinquent",IF(TRIM($W217&amp;"")="30","30 Days Delinquent",IF($X217="Non-Performing Matured Balloon","Non-Performing Matured Balloon",IF(OR($X217="Late Payment But Less Than 30 Days Delinquent",LEFT($X217&amp;"",20)="Payment Not Received"),"Late / In Grace (&lt;30 Days)",IF($X217="Performing Matured Balloon","Performing Matured Balloon","Current")))))))))</f>
        <v/>
      </c>
      <c r="CD217" s="78">
        <f>IF(OR($CC217="REO",$CC217="Foreclosure",$CC217="90+ Days Delinquent",$CC217="60 Days Delinquent",$CC217="30 Days Delinquent",$CC217="Non-Performing Matured Balloon"),1,0)</f>
        <v/>
      </c>
      <c r="CE217" s="76">
        <f>IF($AB217="Currently special serv","Currently Specially Serviced",IF($AB217="Returned to master serv","Previously Specially Serviced","Never Specially Serviced"))</f>
        <v/>
      </c>
      <c r="CF217" s="78">
        <f>IF($CE217="Currently Specially Serviced",1,0)</f>
        <v/>
      </c>
      <c r="CG217" s="76">
        <f>IF($AA217="Yes","Currently on Watchlist",IF($AA217="Previously","Previously on Watchlist","Never on Watchlist"))</f>
        <v/>
      </c>
      <c r="CH217" s="78">
        <f>IF($CG217="Currently on Watchlist",1,0)</f>
        <v/>
      </c>
      <c r="CI217" s="76">
        <f>IF($Z217="Full Defeasance","Fully Defeased",IF($Z217="Portion Of Loan Previously Defeased","Partially Defeased",IF($Z217="Defeasance Not Allowable","Not Defeased (Not Permitted)","Not Defeased")))</f>
        <v/>
      </c>
      <c r="CJ217" s="78">
        <f>IF($CI217="Fully Defeased",1,0)</f>
        <v/>
      </c>
      <c r="CK217" s="76">
        <f>IF($R217="IO","Full IO",IF(LEFT($R217&amp;"",7)="IO then","Partial IO","Amortizing"))</f>
        <v/>
      </c>
      <c r="CL217" s="78">
        <f>IF($CK217="Full IO",1,0)</f>
        <v/>
      </c>
      <c r="CM217" s="78">
        <f>IF($CK217="Partial IO",1,0)</f>
        <v/>
      </c>
      <c r="CN217" s="76">
        <f>IF(LEFT($F217&amp;"",10)="SPLIT_LOAN","Pari Passu Split","Standalone")</f>
        <v/>
      </c>
      <c r="CO217" s="78">
        <f>IF($CN217="Pari Passu Split",1,0)</f>
        <v/>
      </c>
      <c r="CP217" s="77">
        <f>IF(ISNUMBER($T217),YEAR($T217),"")</f>
        <v/>
      </c>
      <c r="CQ217" s="79">
        <f>IF(ISNUMBER($V217),$V217,IF(ISNUMBER($U217),$U217,""))</f>
        <v/>
      </c>
      <c r="CR217" s="77">
        <f>IF(ISNUMBER($CQ217),YEAR($CQ217),"")</f>
        <v/>
      </c>
      <c r="CS217" s="78">
        <f>IF(ISNUMBER($M217),MAX(0,$M217),IF(TRIM($M217&amp;"")="matured",0,""))</f>
        <v/>
      </c>
      <c r="CT217" s="78">
        <f>IF(AND(ISNUMBER($CS217),N($CS217)&lt;=mMatWindow),1,0)</f>
        <v/>
      </c>
      <c r="CU217" s="80">
        <f>IF(ISNUMBER($J217),$J217/100,"")</f>
        <v/>
      </c>
      <c r="CV217" s="81">
        <f>IF(ISNUMBER($AQ217),$AQ217,"")</f>
        <v/>
      </c>
      <c r="CW217" s="81">
        <f>IF(ISNUMBER($AR217),$AR217,"")</f>
        <v/>
      </c>
      <c r="CX217" s="82">
        <f>IF(ISNUMBER($AS217),$AS217/100,"")</f>
        <v/>
      </c>
      <c r="CY217" s="82">
        <f>IF(ISNUMBER($AT217),$AT217/100,"")</f>
        <v/>
      </c>
      <c r="CZ217" s="82">
        <f>IF(ISNUMBER($AU217),$AU217/100,"")</f>
        <v/>
      </c>
      <c r="DA217" s="82">
        <f>IF(ISNUMBER($AV217),$AV217/100,"")</f>
        <v/>
      </c>
      <c r="DB217" s="82">
        <f>IF(ISNUMBER($AW217),$AW217/100,"")</f>
        <v/>
      </c>
      <c r="DC217" s="82">
        <f>IF(ISNUMBER($AX217),$AX217/100,"")</f>
        <v/>
      </c>
      <c r="DD217" s="77">
        <f>IFERROR(VALUE(LEFT(TRIM($AO217&amp;""),4)),"")</f>
        <v/>
      </c>
      <c r="DE217" s="78">
        <f>IF(AND($BY217=1,$BX217=1,OR(fDeal="All Deals",$BU217=fDeal),OR(fEntity="All Entities",$BV217=fEntity),OR(fPType="All Property Types",$BZ217=fPType),OR(fDefeased="Include",$CJ217=0)),1,0)</f>
        <v/>
      </c>
      <c r="DF217" s="83">
        <f>$DE217*N($I217)</f>
        <v/>
      </c>
      <c r="DG217" s="78">
        <f>IF($DE217=1,IF(COUNTIFS($F$8:$F217,$F217,$DE$8:$DE217,1)=1,1,0),0)</f>
        <v/>
      </c>
      <c r="DH217" s="83">
        <f>IF($DG217=1,SUMIFS($DF$8:$DF$1600,$F$8:$F$1600,$F217),0)</f>
        <v/>
      </c>
      <c r="DI217" s="78">
        <f>IF($DG217=1,COUNTIFS($F$8:$F$1600,$F217,$DE$8:$DE$1600,1),0)</f>
        <v/>
      </c>
      <c r="DJ217" s="84">
        <f>IF($DG217=1,$DH217+(100000-ROW())/mTieBreak,0)</f>
        <v/>
      </c>
    </row>
    <row r="218">
      <c r="B218" s="68" t="n">
        <v>21</v>
      </c>
      <c r="C218" s="69" t="inlineStr">
        <is>
          <t>BBC19C03</t>
        </is>
      </c>
      <c r="D218" s="69" t="inlineStr">
        <is>
          <t>21.000</t>
        </is>
      </c>
      <c r="E218" s="69" t="inlineStr">
        <is>
          <t>The Block Northway</t>
        </is>
      </c>
      <c r="F218" s="69" t="inlineStr">
        <is>
          <t>SPLIT_LOAN_01498</t>
        </is>
      </c>
      <c r="G218" s="70" t="n">
        <v>1498</v>
      </c>
      <c r="H218" s="71" t="n">
        <v>17000000</v>
      </c>
      <c r="I218" s="71" t="n">
        <v>16340379.09</v>
      </c>
      <c r="J218" s="72" t="n">
        <v>4.6495</v>
      </c>
      <c r="K218" s="69" t="inlineStr">
        <is>
          <t>Fixed rate</t>
        </is>
      </c>
      <c r="L218" s="68" t="n">
        <v>120</v>
      </c>
      <c r="M218" s="68" t="n">
        <v>30</v>
      </c>
      <c r="N218" s="68" t="n">
        <v>420</v>
      </c>
      <c r="O218" s="68" t="n">
        <v>60</v>
      </c>
      <c r="P218" s="68" t="n">
        <v>0</v>
      </c>
      <c r="Q218" s="68" t="n">
        <v>90</v>
      </c>
      <c r="R218" s="69" t="inlineStr">
        <is>
          <t>IO then Amort</t>
        </is>
      </c>
      <c r="S218" s="69" t="inlineStr">
        <is>
          <t>No</t>
        </is>
      </c>
      <c r="T218" s="73" t="n">
        <v>43525</v>
      </c>
      <c r="U218" s="73" t="n">
        <v>47183</v>
      </c>
      <c r="V218" s="73" t="n"/>
      <c r="W218" s="69" t="n"/>
      <c r="X218" s="69" t="inlineStr">
        <is>
          <t>Current</t>
        </is>
      </c>
      <c r="Y218" s="68" t="n"/>
      <c r="Z218" s="69" t="inlineStr">
        <is>
          <t>Defeasance Not Allowable</t>
        </is>
      </c>
      <c r="AA218" s="69" t="inlineStr">
        <is>
          <t>Yes</t>
        </is>
      </c>
      <c r="AB218" s="69" t="inlineStr">
        <is>
          <t>Never special serv</t>
        </is>
      </c>
      <c r="AC218" s="73" t="n"/>
      <c r="AD218" s="69" t="n"/>
      <c r="AE218" s="69" t="n"/>
      <c r="AF218" s="69" t="inlineStr">
        <is>
          <t>PA</t>
        </is>
      </c>
      <c r="AG218" s="69" t="inlineStr">
        <is>
          <t>Pittsburgh</t>
        </is>
      </c>
      <c r="AH218" s="69" t="inlineStr">
        <is>
          <t>Pittsburgh, PA</t>
        </is>
      </c>
      <c r="AI218" s="69" t="inlineStr">
        <is>
          <t>Northeast / Mid-Atlantic</t>
        </is>
      </c>
      <c r="AJ218" s="69" t="inlineStr">
        <is>
          <t>RT</t>
        </is>
      </c>
      <c r="AK218" s="69" t="inlineStr">
        <is>
          <t>Anchored</t>
        </is>
      </c>
      <c r="AL218" s="68" t="n">
        <v>1</v>
      </c>
      <c r="AM218" s="68" t="n"/>
      <c r="AN218" s="68" t="n">
        <v>354400</v>
      </c>
      <c r="AO218" s="69" t="inlineStr">
        <is>
          <t>1958</t>
        </is>
      </c>
      <c r="AP218" s="70" t="n">
        <v>2018</v>
      </c>
      <c r="AQ218" s="74" t="n">
        <v>1.4</v>
      </c>
      <c r="AR218" s="74" t="n">
        <v>1.34</v>
      </c>
      <c r="AS218" s="74" t="n">
        <v>68.59999999999999</v>
      </c>
      <c r="AT218" s="74" t="n">
        <v>65.91</v>
      </c>
      <c r="AU218" s="74" t="n">
        <v>62.9</v>
      </c>
      <c r="AV218" s="74" t="n">
        <v>8.678056939999999</v>
      </c>
      <c r="AW218" s="74" t="n">
        <v>8.226529251000001</v>
      </c>
      <c r="AX218" s="75" t="n">
        <v>83</v>
      </c>
      <c r="AY218" s="71" t="n">
        <v>122500000</v>
      </c>
      <c r="AZ218" s="71" t="n">
        <v>122500000</v>
      </c>
      <c r="BA218" s="71" t="n">
        <v>7289567.83</v>
      </c>
      <c r="BB218" s="71" t="n">
        <v>6943615.58</v>
      </c>
      <c r="BC218" s="69" t="inlineStr">
        <is>
          <t>Refinance</t>
        </is>
      </c>
      <c r="BD218" s="69" t="inlineStr">
        <is>
          <t>N</t>
        </is>
      </c>
      <c r="BE218" s="71" t="n">
        <v>64400317.59</v>
      </c>
      <c r="BF218" s="71" t="n"/>
      <c r="BG218" s="71" t="n"/>
      <c r="BH218" s="71" t="n">
        <v>0</v>
      </c>
      <c r="BI218" s="71" t="n">
        <v>0</v>
      </c>
      <c r="BJ218" s="69" t="inlineStr">
        <is>
          <t>N</t>
        </is>
      </c>
      <c r="BK218" s="69" t="inlineStr">
        <is>
          <t>Nordstrom</t>
        </is>
      </c>
      <c r="BL218" s="75" t="n">
        <v>11.38</v>
      </c>
      <c r="BM218" s="73" t="n">
        <v>46996</v>
      </c>
      <c r="BN218" s="69" t="n"/>
      <c r="BO218" s="69" t="inlineStr">
        <is>
          <t>UBS</t>
        </is>
      </c>
      <c r="BP218" s="69" t="inlineStr">
        <is>
          <t>Midland Loan Services</t>
        </is>
      </c>
      <c r="BQ218" s="69" t="inlineStr">
        <is>
          <t>K-Star Asset Management LLC</t>
        </is>
      </c>
      <c r="BR218" s="69" t="n"/>
      <c r="BS218" s="73" t="n">
        <v>46276</v>
      </c>
      <c r="BU218" s="76">
        <f>IF($C218="","",IFERROR(INDEX(dmName,MATCH($C218,dmID,0)),"Unmapped"))</f>
        <v/>
      </c>
      <c r="BV218" s="76">
        <f>IF($C218="","",IFERROR(INDEX(dmEntity,MATCH($C218,dmID,0)),"Unmapped"))</f>
        <v/>
      </c>
      <c r="BW218" s="77">
        <f>IF($C218="","",IFERROR(INDEX(dmVintage,MATCH($C218,dmID,0)),""))</f>
        <v/>
      </c>
      <c r="BX218" s="78">
        <f>IFERROR(INDEX(dmInclude,MATCH($C218,dmID,0)),0)</f>
        <v/>
      </c>
      <c r="BY218" s="78">
        <f>IF(N($I218)&gt;0,1,0)</f>
        <v/>
      </c>
      <c r="BZ218" s="76">
        <f>IF($AJ218="","Other / Leased Fee",IFERROR(INDEX(mapPTGroup,MATCH(LEFT(TRIM($AJ218),2),mapPTCode,0)),"Other / Leased Fee"))</f>
        <v/>
      </c>
      <c r="CA218" s="76">
        <f>IF(TRIM($AF218&amp;"")="","NR",LEFT(TRIM($AF218),2))</f>
        <v/>
      </c>
      <c r="CB218" s="76">
        <f>IFERROR(LOOKUP(2,1/(LEFT(TRIM($AI218&amp;""),LEN(mapRegion))=mapRegion),mapRegion),"Not Reported")</f>
        <v/>
      </c>
      <c r="CC218" s="76">
        <f>IF($BY218=0,"",IF(TRIM($W218&amp;"")="REO","REO",IF(TRIM($W218&amp;"")="FC","Foreclosure",IF(TRIM($W218&amp;"")="90+","90+ Days Delinquent",IF(TRIM($W218&amp;"")="60","60 Days Delinquent",IF(TRIM($W218&amp;"")="30","30 Days Delinquent",IF($X218="Non-Performing Matured Balloon","Non-Performing Matured Balloon",IF(OR($X218="Late Payment But Less Than 30 Days Delinquent",LEFT($X218&amp;"",20)="Payment Not Received"),"Late / In Grace (&lt;30 Days)",IF($X218="Performing Matured Balloon","Performing Matured Balloon","Current")))))))))</f>
        <v/>
      </c>
      <c r="CD218" s="78">
        <f>IF(OR($CC218="REO",$CC218="Foreclosure",$CC218="90+ Days Delinquent",$CC218="60 Days Delinquent",$CC218="30 Days Delinquent",$CC218="Non-Performing Matured Balloon"),1,0)</f>
        <v/>
      </c>
      <c r="CE218" s="76">
        <f>IF($AB218="Currently special serv","Currently Specially Serviced",IF($AB218="Returned to master serv","Previously Specially Serviced","Never Specially Serviced"))</f>
        <v/>
      </c>
      <c r="CF218" s="78">
        <f>IF($CE218="Currently Specially Serviced",1,0)</f>
        <v/>
      </c>
      <c r="CG218" s="76">
        <f>IF($AA218="Yes","Currently on Watchlist",IF($AA218="Previously","Previously on Watchlist","Never on Watchlist"))</f>
        <v/>
      </c>
      <c r="CH218" s="78">
        <f>IF($CG218="Currently on Watchlist",1,0)</f>
        <v/>
      </c>
      <c r="CI218" s="76">
        <f>IF($Z218="Full Defeasance","Fully Defeased",IF($Z218="Portion Of Loan Previously Defeased","Partially Defeased",IF($Z218="Defeasance Not Allowable","Not Defeased (Not Permitted)","Not Defeased")))</f>
        <v/>
      </c>
      <c r="CJ218" s="78">
        <f>IF($CI218="Fully Defeased",1,0)</f>
        <v/>
      </c>
      <c r="CK218" s="76">
        <f>IF($R218="IO","Full IO",IF(LEFT($R218&amp;"",7)="IO then","Partial IO","Amortizing"))</f>
        <v/>
      </c>
      <c r="CL218" s="78">
        <f>IF($CK218="Full IO",1,0)</f>
        <v/>
      </c>
      <c r="CM218" s="78">
        <f>IF($CK218="Partial IO",1,0)</f>
        <v/>
      </c>
      <c r="CN218" s="76">
        <f>IF(LEFT($F218&amp;"",10)="SPLIT_LOAN","Pari Passu Split","Standalone")</f>
        <v/>
      </c>
      <c r="CO218" s="78">
        <f>IF($CN218="Pari Passu Split",1,0)</f>
        <v/>
      </c>
      <c r="CP218" s="77">
        <f>IF(ISNUMBER($T218),YEAR($T218),"")</f>
        <v/>
      </c>
      <c r="CQ218" s="79">
        <f>IF(ISNUMBER($V218),$V218,IF(ISNUMBER($U218),$U218,""))</f>
        <v/>
      </c>
      <c r="CR218" s="77">
        <f>IF(ISNUMBER($CQ218),YEAR($CQ218),"")</f>
        <v/>
      </c>
      <c r="CS218" s="78">
        <f>IF(ISNUMBER($M218),MAX(0,$M218),IF(TRIM($M218&amp;"")="matured",0,""))</f>
        <v/>
      </c>
      <c r="CT218" s="78">
        <f>IF(AND(ISNUMBER($CS218),N($CS218)&lt;=mMatWindow),1,0)</f>
        <v/>
      </c>
      <c r="CU218" s="80">
        <f>IF(ISNUMBER($J218),$J218/100,"")</f>
        <v/>
      </c>
      <c r="CV218" s="81">
        <f>IF(ISNUMBER($AQ218),$AQ218,"")</f>
        <v/>
      </c>
      <c r="CW218" s="81">
        <f>IF(ISNUMBER($AR218),$AR218,"")</f>
        <v/>
      </c>
      <c r="CX218" s="82">
        <f>IF(ISNUMBER($AS218),$AS218/100,"")</f>
        <v/>
      </c>
      <c r="CY218" s="82">
        <f>IF(ISNUMBER($AT218),$AT218/100,"")</f>
        <v/>
      </c>
      <c r="CZ218" s="82">
        <f>IF(ISNUMBER($AU218),$AU218/100,"")</f>
        <v/>
      </c>
      <c r="DA218" s="82">
        <f>IF(ISNUMBER($AV218),$AV218/100,"")</f>
        <v/>
      </c>
      <c r="DB218" s="82">
        <f>IF(ISNUMBER($AW218),$AW218/100,"")</f>
        <v/>
      </c>
      <c r="DC218" s="82">
        <f>IF(ISNUMBER($AX218),$AX218/100,"")</f>
        <v/>
      </c>
      <c r="DD218" s="77">
        <f>IFERROR(VALUE(LEFT(TRIM($AO218&amp;""),4)),"")</f>
        <v/>
      </c>
      <c r="DE218" s="78">
        <f>IF(AND($BY218=1,$BX218=1,OR(fDeal="All Deals",$BU218=fDeal),OR(fEntity="All Entities",$BV218=fEntity),OR(fPType="All Property Types",$BZ218=fPType),OR(fDefeased="Include",$CJ218=0)),1,0)</f>
        <v/>
      </c>
      <c r="DF218" s="83">
        <f>$DE218*N($I218)</f>
        <v/>
      </c>
      <c r="DG218" s="78">
        <f>IF($DE218=1,IF(COUNTIFS($F$8:$F218,$F218,$DE$8:$DE218,1)=1,1,0),0)</f>
        <v/>
      </c>
      <c r="DH218" s="83">
        <f>IF($DG218=1,SUMIFS($DF$8:$DF$1600,$F$8:$F$1600,$F218),0)</f>
        <v/>
      </c>
      <c r="DI218" s="78">
        <f>IF($DG218=1,COUNTIFS($F$8:$F$1600,$F218,$DE$8:$DE$1600,1),0)</f>
        <v/>
      </c>
      <c r="DJ218" s="84">
        <f>IF($DG218=1,$DH218+(100000-ROW())/mTieBreak,0)</f>
        <v/>
      </c>
    </row>
    <row r="219">
      <c r="B219" s="68" t="n">
        <v>22</v>
      </c>
      <c r="C219" s="69" t="inlineStr">
        <is>
          <t>BBC19C03</t>
        </is>
      </c>
      <c r="D219" s="69" t="inlineStr">
        <is>
          <t>22.TR</t>
        </is>
      </c>
      <c r="E219" s="69" t="inlineStr">
        <is>
          <t>Goodyear Portfolio - Trust</t>
        </is>
      </c>
      <c r="F219" s="69" t="inlineStr">
        <is>
          <t>SPLIT_LOAN_01505</t>
        </is>
      </c>
      <c r="G219" s="70" t="n">
        <v>1505</v>
      </c>
      <c r="H219" s="71" t="n">
        <v>16000000</v>
      </c>
      <c r="I219" s="71" t="n">
        <v>16000000</v>
      </c>
      <c r="J219" s="72" t="n">
        <v>4.917</v>
      </c>
      <c r="K219" s="69" t="inlineStr">
        <is>
          <t>Fixed rate</t>
        </is>
      </c>
      <c r="L219" s="68" t="n">
        <v>120</v>
      </c>
      <c r="M219" s="68" t="n">
        <v>32</v>
      </c>
      <c r="N219" s="68" t="n">
        <v>120</v>
      </c>
      <c r="O219" s="68" t="n"/>
      <c r="P219" s="68" t="n"/>
      <c r="Q219" s="68" t="n">
        <v>88</v>
      </c>
      <c r="R219" s="69" t="inlineStr">
        <is>
          <t>Sched</t>
        </is>
      </c>
      <c r="S219" s="69" t="inlineStr">
        <is>
          <t>No</t>
        </is>
      </c>
      <c r="T219" s="73" t="n">
        <v>43586</v>
      </c>
      <c r="U219" s="73" t="n">
        <v>47239</v>
      </c>
      <c r="V219" s="73" t="n"/>
      <c r="W219" s="69" t="n"/>
      <c r="X219" s="69" t="inlineStr">
        <is>
          <t>Late Payment But Less Than 30 Days Delinquent</t>
        </is>
      </c>
      <c r="Y219" s="68" t="n"/>
      <c r="Z219" s="69" t="inlineStr">
        <is>
          <t>No Defeasance Occurred</t>
        </is>
      </c>
      <c r="AA219" s="69" t="n"/>
      <c r="AB219" s="69" t="inlineStr">
        <is>
          <t>Never special serv</t>
        </is>
      </c>
      <c r="AC219" s="73" t="n"/>
      <c r="AD219" s="69" t="n"/>
      <c r="AE219" s="69" t="n"/>
      <c r="AF219" s="69" t="inlineStr">
        <is>
          <t>OH</t>
        </is>
      </c>
      <c r="AG219" s="69" t="inlineStr">
        <is>
          <t>Akron</t>
        </is>
      </c>
      <c r="AH219" s="69" t="inlineStr">
        <is>
          <t>Akron, OH</t>
        </is>
      </c>
      <c r="AI219" s="69" t="inlineStr">
        <is>
          <t>Midwest / Central East</t>
        </is>
      </c>
      <c r="AJ219" s="69" t="inlineStr">
        <is>
          <t>IN</t>
        </is>
      </c>
      <c r="AK219" s="69" t="inlineStr">
        <is>
          <t>Flex</t>
        </is>
      </c>
      <c r="AL219" s="68" t="n">
        <v>1</v>
      </c>
      <c r="AM219" s="68" t="n"/>
      <c r="AN219" s="68" t="n">
        <v>2046012</v>
      </c>
      <c r="AO219" s="69" t="n"/>
      <c r="AP219" s="70" t="n">
        <v>2018</v>
      </c>
      <c r="AQ219" s="74" t="n">
        <v>2.22</v>
      </c>
      <c r="AR219" s="74" t="n">
        <v>1.95</v>
      </c>
      <c r="AS219" s="74" t="n">
        <v>57.2</v>
      </c>
      <c r="AT219" s="74" t="n">
        <v>57.19</v>
      </c>
      <c r="AU219" s="74" t="n">
        <v>57.1</v>
      </c>
      <c r="AV219" s="74" t="n">
        <v>11.119182178</v>
      </c>
      <c r="AW219" s="74" t="n">
        <v>11.770396515</v>
      </c>
      <c r="AX219" s="75" t="n">
        <v>100</v>
      </c>
      <c r="AY219" s="71" t="n">
        <v>88300000</v>
      </c>
      <c r="AZ219" s="71" t="n">
        <v>88299999</v>
      </c>
      <c r="BA219" s="71" t="n">
        <v>5615187</v>
      </c>
      <c r="BB219" s="71" t="n">
        <v>5944050.24</v>
      </c>
      <c r="BC219" s="69" t="inlineStr">
        <is>
          <t>Refinance</t>
        </is>
      </c>
      <c r="BD219" s="69" t="inlineStr">
        <is>
          <t>N</t>
        </is>
      </c>
      <c r="BE219" s="71" t="n">
        <v>34500000</v>
      </c>
      <c r="BF219" s="71" t="n">
        <v>3038222.71</v>
      </c>
      <c r="BG219" s="71" t="n"/>
      <c r="BH219" s="71" t="n">
        <v>0</v>
      </c>
      <c r="BI219" s="71" t="n">
        <v>67452.55</v>
      </c>
      <c r="BJ219" s="69" t="inlineStr">
        <is>
          <t>N</t>
        </is>
      </c>
      <c r="BK219" s="69" t="inlineStr">
        <is>
          <t>Goodyear Tire and Rubber</t>
        </is>
      </c>
      <c r="BL219" s="75" t="n">
        <v>46.46</v>
      </c>
      <c r="BM219" s="73" t="n">
        <v>50525</v>
      </c>
      <c r="BN219" s="69" t="n"/>
      <c r="BO219" s="69" t="inlineStr">
        <is>
          <t>RMF</t>
        </is>
      </c>
      <c r="BP219" s="69" t="inlineStr">
        <is>
          <t>Midland Loan Services</t>
        </is>
      </c>
      <c r="BQ219" s="69" t="inlineStr">
        <is>
          <t>Rialto Capital</t>
        </is>
      </c>
      <c r="BR219" s="69" t="n"/>
      <c r="BS219" s="73" t="n">
        <v>46276</v>
      </c>
      <c r="BU219" s="76">
        <f>IF($C219="","",IFERROR(INDEX(dmName,MATCH($C219,dmID,0)),"Unmapped"))</f>
        <v/>
      </c>
      <c r="BV219" s="76">
        <f>IF($C219="","",IFERROR(INDEX(dmEntity,MATCH($C219,dmID,0)),"Unmapped"))</f>
        <v/>
      </c>
      <c r="BW219" s="77">
        <f>IF($C219="","",IFERROR(INDEX(dmVintage,MATCH($C219,dmID,0)),""))</f>
        <v/>
      </c>
      <c r="BX219" s="78">
        <f>IFERROR(INDEX(dmInclude,MATCH($C219,dmID,0)),0)</f>
        <v/>
      </c>
      <c r="BY219" s="78">
        <f>IF(N($I219)&gt;0,1,0)</f>
        <v/>
      </c>
      <c r="BZ219" s="76">
        <f>IF($AJ219="","Other / Leased Fee",IFERROR(INDEX(mapPTGroup,MATCH(LEFT(TRIM($AJ219),2),mapPTCode,0)),"Other / Leased Fee"))</f>
        <v/>
      </c>
      <c r="CA219" s="76">
        <f>IF(TRIM($AF219&amp;"")="","NR",LEFT(TRIM($AF219),2))</f>
        <v/>
      </c>
      <c r="CB219" s="76">
        <f>IFERROR(LOOKUP(2,1/(LEFT(TRIM($AI219&amp;""),LEN(mapRegion))=mapRegion),mapRegion),"Not Reported")</f>
        <v/>
      </c>
      <c r="CC219" s="76">
        <f>IF($BY219=0,"",IF(TRIM($W219&amp;"")="REO","REO",IF(TRIM($W219&amp;"")="FC","Foreclosure",IF(TRIM($W219&amp;"")="90+","90+ Days Delinquent",IF(TRIM($W219&amp;"")="60","60 Days Delinquent",IF(TRIM($W219&amp;"")="30","30 Days Delinquent",IF($X219="Non-Performing Matured Balloon","Non-Performing Matured Balloon",IF(OR($X219="Late Payment But Less Than 30 Days Delinquent",LEFT($X219&amp;"",20)="Payment Not Received"),"Late / In Grace (&lt;30 Days)",IF($X219="Performing Matured Balloon","Performing Matured Balloon","Current")))))))))</f>
        <v/>
      </c>
      <c r="CD219" s="78">
        <f>IF(OR($CC219="REO",$CC219="Foreclosure",$CC219="90+ Days Delinquent",$CC219="60 Days Delinquent",$CC219="30 Days Delinquent",$CC219="Non-Performing Matured Balloon"),1,0)</f>
        <v/>
      </c>
      <c r="CE219" s="76">
        <f>IF($AB219="Currently special serv","Currently Specially Serviced",IF($AB219="Returned to master serv","Previously Specially Serviced","Never Specially Serviced"))</f>
        <v/>
      </c>
      <c r="CF219" s="78">
        <f>IF($CE219="Currently Specially Serviced",1,0)</f>
        <v/>
      </c>
      <c r="CG219" s="76">
        <f>IF($AA219="Yes","Currently on Watchlist",IF($AA219="Previously","Previously on Watchlist","Never on Watchlist"))</f>
        <v/>
      </c>
      <c r="CH219" s="78">
        <f>IF($CG219="Currently on Watchlist",1,0)</f>
        <v/>
      </c>
      <c r="CI219" s="76">
        <f>IF($Z219="Full Defeasance","Fully Defeased",IF($Z219="Portion Of Loan Previously Defeased","Partially Defeased",IF($Z219="Defeasance Not Allowable","Not Defeased (Not Permitted)","Not Defeased")))</f>
        <v/>
      </c>
      <c r="CJ219" s="78">
        <f>IF($CI219="Fully Defeased",1,0)</f>
        <v/>
      </c>
      <c r="CK219" s="76">
        <f>IF($R219="IO","Full IO",IF(LEFT($R219&amp;"",7)="IO then","Partial IO","Amortizing"))</f>
        <v/>
      </c>
      <c r="CL219" s="78">
        <f>IF($CK219="Full IO",1,0)</f>
        <v/>
      </c>
      <c r="CM219" s="78">
        <f>IF($CK219="Partial IO",1,0)</f>
        <v/>
      </c>
      <c r="CN219" s="76">
        <f>IF(LEFT($F219&amp;"",10)="SPLIT_LOAN","Pari Passu Split","Standalone")</f>
        <v/>
      </c>
      <c r="CO219" s="78">
        <f>IF($CN219="Pari Passu Split",1,0)</f>
        <v/>
      </c>
      <c r="CP219" s="77">
        <f>IF(ISNUMBER($T219),YEAR($T219),"")</f>
        <v/>
      </c>
      <c r="CQ219" s="79">
        <f>IF(ISNUMBER($V219),$V219,IF(ISNUMBER($U219),$U219,""))</f>
        <v/>
      </c>
      <c r="CR219" s="77">
        <f>IF(ISNUMBER($CQ219),YEAR($CQ219),"")</f>
        <v/>
      </c>
      <c r="CS219" s="78">
        <f>IF(ISNUMBER($M219),MAX(0,$M219),IF(TRIM($M219&amp;"")="matured",0,""))</f>
        <v/>
      </c>
      <c r="CT219" s="78">
        <f>IF(AND(ISNUMBER($CS219),N($CS219)&lt;=mMatWindow),1,0)</f>
        <v/>
      </c>
      <c r="CU219" s="80">
        <f>IF(ISNUMBER($J219),$J219/100,"")</f>
        <v/>
      </c>
      <c r="CV219" s="81">
        <f>IF(ISNUMBER($AQ219),$AQ219,"")</f>
        <v/>
      </c>
      <c r="CW219" s="81">
        <f>IF(ISNUMBER($AR219),$AR219,"")</f>
        <v/>
      </c>
      <c r="CX219" s="82">
        <f>IF(ISNUMBER($AS219),$AS219/100,"")</f>
        <v/>
      </c>
      <c r="CY219" s="82">
        <f>IF(ISNUMBER($AT219),$AT219/100,"")</f>
        <v/>
      </c>
      <c r="CZ219" s="82">
        <f>IF(ISNUMBER($AU219),$AU219/100,"")</f>
        <v/>
      </c>
      <c r="DA219" s="82">
        <f>IF(ISNUMBER($AV219),$AV219/100,"")</f>
        <v/>
      </c>
      <c r="DB219" s="82">
        <f>IF(ISNUMBER($AW219),$AW219/100,"")</f>
        <v/>
      </c>
      <c r="DC219" s="82">
        <f>IF(ISNUMBER($AX219),$AX219/100,"")</f>
        <v/>
      </c>
      <c r="DD219" s="77">
        <f>IFERROR(VALUE(LEFT(TRIM($AO219&amp;""),4)),"")</f>
        <v/>
      </c>
      <c r="DE219" s="78">
        <f>IF(AND($BY219=1,$BX219=1,OR(fDeal="All Deals",$BU219=fDeal),OR(fEntity="All Entities",$BV219=fEntity),OR(fPType="All Property Types",$BZ219=fPType),OR(fDefeased="Include",$CJ219=0)),1,0)</f>
        <v/>
      </c>
      <c r="DF219" s="83">
        <f>$DE219*N($I219)</f>
        <v/>
      </c>
      <c r="DG219" s="78">
        <f>IF($DE219=1,IF(COUNTIFS($F$8:$F219,$F219,$DE$8:$DE219,1)=1,1,0),0)</f>
        <v/>
      </c>
      <c r="DH219" s="83">
        <f>IF($DG219=1,SUMIFS($DF$8:$DF$1600,$F$8:$F$1600,$F219),0)</f>
        <v/>
      </c>
      <c r="DI219" s="78">
        <f>IF($DG219=1,COUNTIFS($F$8:$F$1600,$F219,$DE$8:$DE$1600,1),0)</f>
        <v/>
      </c>
      <c r="DJ219" s="84">
        <f>IF($DG219=1,$DH219+(100000-ROW())/mTieBreak,0)</f>
        <v/>
      </c>
    </row>
    <row r="220">
      <c r="B220" s="68" t="n">
        <v>23</v>
      </c>
      <c r="C220" s="69" t="inlineStr">
        <is>
          <t>BBC19C03</t>
        </is>
      </c>
      <c r="D220" s="69" t="inlineStr">
        <is>
          <t>23.000</t>
        </is>
      </c>
      <c r="E220" s="69" t="inlineStr">
        <is>
          <t>ExchangeRight Net Leased Portfolio 24</t>
        </is>
      </c>
      <c r="F220" s="69" t="inlineStr">
        <is>
          <t>SPLIT_LOAN_01466</t>
        </is>
      </c>
      <c r="G220" s="70" t="n">
        <v>1466</v>
      </c>
      <c r="H220" s="71" t="n">
        <v>15000000</v>
      </c>
      <c r="I220" s="71" t="n">
        <v>15000000</v>
      </c>
      <c r="J220" s="72" t="n">
        <v>4.55</v>
      </c>
      <c r="K220" s="69" t="inlineStr">
        <is>
          <t>Fixed rate</t>
        </is>
      </c>
      <c r="L220" s="68" t="n">
        <v>120</v>
      </c>
      <c r="M220" s="68" t="n">
        <v>26</v>
      </c>
      <c r="N220" s="68" t="n">
        <v>120</v>
      </c>
      <c r="O220" s="68" t="n">
        <v>120</v>
      </c>
      <c r="P220" s="68" t="n">
        <v>26</v>
      </c>
      <c r="Q220" s="68" t="n">
        <v>94</v>
      </c>
      <c r="R220" s="69" t="inlineStr">
        <is>
          <t>IO</t>
        </is>
      </c>
      <c r="S220" s="69" t="inlineStr">
        <is>
          <t>Yes</t>
        </is>
      </c>
      <c r="T220" s="73" t="n">
        <v>43405</v>
      </c>
      <c r="U220" s="73" t="n">
        <v>47058</v>
      </c>
      <c r="V220" s="73" t="n"/>
      <c r="W220" s="69" t="n"/>
      <c r="X220" s="69" t="inlineStr">
        <is>
          <t>Current</t>
        </is>
      </c>
      <c r="Y220" s="68" t="n"/>
      <c r="Z220" s="69" t="inlineStr">
        <is>
          <t>No Defeasance Occurred</t>
        </is>
      </c>
      <c r="AA220" s="69" t="inlineStr">
        <is>
          <t>Yes</t>
        </is>
      </c>
      <c r="AB220" s="69" t="inlineStr">
        <is>
          <t>Never special serv</t>
        </is>
      </c>
      <c r="AC220" s="73" t="n"/>
      <c r="AD220" s="69" t="n"/>
      <c r="AE220" s="69" t="n"/>
      <c r="AF220" s="69" t="inlineStr">
        <is>
          <t>IL-22.521923600% TX-17.500230733% WI-11.309886400% IA-10.026769933% OH-9.003969467% TN-8.671651333% GA-7.870396133% NM-5.826640800% PA-5.494323200% FL-1.774208400%</t>
        </is>
      </c>
      <c r="AG220" s="69" t="n"/>
      <c r="AH220" s="69" t="inlineStr">
        <is>
          <t>Chicago-Naperville-Elgin, IL-IN-19.534754800% Des Moines-West Des Moines, IA-10.026769933% Nashville-Davidson--Murfreesboro--Franklin, TN-8.671651333% Atlanta-Sandy Springs-Roswell, GA-7.870396133% Cleveland, OH-7.338687333% Wisconsin Rapids-Marshfield, WI-5.952183200% Albuquerque, NM-5.826640800% Sheboygan, WI-5.357703200% Waco, TX-4.944152200% Austin-Round Rock-San Marcos, TX-4.578602400% Dallas-Fort Worth-Arlington, TX-4.578602400% Pittsburgh, PA-3.548417067% Brownsville-Harlingen, TX-3.398873733% Peoria, IL-2.987168800% Lancaster, PA-1.945906133% Tallahassee, FL-1.774208400% Mansfield, OH-1.665282133%</t>
        </is>
      </c>
      <c r="AI220" s="69" t="inlineStr">
        <is>
          <t>Midwest / Central East-42.835779467% South / Central West-17.500230733% Midwest / Central West-10.026769933% South / Atlantic-9.644604533% South / Central East-8.671651333% West / Mountain-5.826640800% Northeast / Mid-Atlantic-5.494323200%</t>
        </is>
      </c>
      <c r="AJ220" s="69" t="inlineStr">
        <is>
          <t>RT-77.902705000% OF-22.097295000%</t>
        </is>
      </c>
      <c r="AK220" s="69" t="n"/>
      <c r="AL220" s="68" t="n">
        <v>24</v>
      </c>
      <c r="AM220" s="68" t="n"/>
      <c r="AN220" s="68" t="n">
        <v>337478</v>
      </c>
      <c r="AO220" s="69" t="n"/>
      <c r="AP220" s="70" t="n">
        <v>2018</v>
      </c>
      <c r="AQ220" s="74" t="n">
        <v>2.04</v>
      </c>
      <c r="AR220" s="74" t="n">
        <v>2.02</v>
      </c>
      <c r="AS220" s="74" t="n">
        <v>62</v>
      </c>
      <c r="AT220" s="74" t="n">
        <v>62.02</v>
      </c>
      <c r="AU220" s="74" t="n">
        <v>62</v>
      </c>
      <c r="AV220" s="74" t="n">
        <v>9.401269472999999</v>
      </c>
      <c r="AW220" s="74" t="n">
        <v>9.544792448999999</v>
      </c>
      <c r="AX220" s="75" t="n">
        <v>100</v>
      </c>
      <c r="AY220" s="71" t="n">
        <v>87335000</v>
      </c>
      <c r="AZ220" s="71" t="n">
        <v>87335000</v>
      </c>
      <c r="BA220" s="71" t="n">
        <v>5092197.61</v>
      </c>
      <c r="BB220" s="71" t="n">
        <v>1261050.77</v>
      </c>
      <c r="BC220" s="69" t="inlineStr">
        <is>
          <t>Acquisition</t>
        </is>
      </c>
      <c r="BD220" s="69" t="inlineStr">
        <is>
          <t>N</t>
        </is>
      </c>
      <c r="BE220" s="71" t="n">
        <v>39165000</v>
      </c>
      <c r="BF220" s="71" t="n"/>
      <c r="BG220" s="71" t="n"/>
      <c r="BH220" s="71" t="n">
        <v>0</v>
      </c>
      <c r="BI220" s="71" t="n">
        <v>0</v>
      </c>
      <c r="BJ220" s="69" t="inlineStr">
        <is>
          <t>N</t>
        </is>
      </c>
      <c r="BK220" s="69" t="inlineStr">
        <is>
          <t>Walgreens</t>
        </is>
      </c>
      <c r="BL220" s="75" t="n">
        <v>30.02</v>
      </c>
      <c r="BM220" s="73" t="n">
        <v>46996</v>
      </c>
      <c r="BN220" s="69" t="n"/>
      <c r="BO220" s="69" t="inlineStr">
        <is>
          <t>Societe Generale</t>
        </is>
      </c>
      <c r="BP220" s="69" t="inlineStr">
        <is>
          <t>Midland Loan Services</t>
        </is>
      </c>
      <c r="BQ220" s="69" t="inlineStr">
        <is>
          <t>3650 REIT Loan Servicing LLC</t>
        </is>
      </c>
      <c r="BR220" s="69" t="n"/>
      <c r="BS220" s="73" t="n">
        <v>46276</v>
      </c>
      <c r="BU220" s="76">
        <f>IF($C220="","",IFERROR(INDEX(dmName,MATCH($C220,dmID,0)),"Unmapped"))</f>
        <v/>
      </c>
      <c r="BV220" s="76">
        <f>IF($C220="","",IFERROR(INDEX(dmEntity,MATCH($C220,dmID,0)),"Unmapped"))</f>
        <v/>
      </c>
      <c r="BW220" s="77">
        <f>IF($C220="","",IFERROR(INDEX(dmVintage,MATCH($C220,dmID,0)),""))</f>
        <v/>
      </c>
      <c r="BX220" s="78">
        <f>IFERROR(INDEX(dmInclude,MATCH($C220,dmID,0)),0)</f>
        <v/>
      </c>
      <c r="BY220" s="78">
        <f>IF(N($I220)&gt;0,1,0)</f>
        <v/>
      </c>
      <c r="BZ220" s="76">
        <f>IF($AJ220="","Other / Leased Fee",IFERROR(INDEX(mapPTGroup,MATCH(LEFT(TRIM($AJ220),2),mapPTCode,0)),"Other / Leased Fee"))</f>
        <v/>
      </c>
      <c r="CA220" s="76">
        <f>IF(TRIM($AF220&amp;"")="","NR",LEFT(TRIM($AF220),2))</f>
        <v/>
      </c>
      <c r="CB220" s="76">
        <f>IFERROR(LOOKUP(2,1/(LEFT(TRIM($AI220&amp;""),LEN(mapRegion))=mapRegion),mapRegion),"Not Reported")</f>
        <v/>
      </c>
      <c r="CC220" s="76">
        <f>IF($BY220=0,"",IF(TRIM($W220&amp;"")="REO","REO",IF(TRIM($W220&amp;"")="FC","Foreclosure",IF(TRIM($W220&amp;"")="90+","90+ Days Delinquent",IF(TRIM($W220&amp;"")="60","60 Days Delinquent",IF(TRIM($W220&amp;"")="30","30 Days Delinquent",IF($X220="Non-Performing Matured Balloon","Non-Performing Matured Balloon",IF(OR($X220="Late Payment But Less Than 30 Days Delinquent",LEFT($X220&amp;"",20)="Payment Not Received"),"Late / In Grace (&lt;30 Days)",IF($X220="Performing Matured Balloon","Performing Matured Balloon","Current")))))))))</f>
        <v/>
      </c>
      <c r="CD220" s="78">
        <f>IF(OR($CC220="REO",$CC220="Foreclosure",$CC220="90+ Days Delinquent",$CC220="60 Days Delinquent",$CC220="30 Days Delinquent",$CC220="Non-Performing Matured Balloon"),1,0)</f>
        <v/>
      </c>
      <c r="CE220" s="76">
        <f>IF($AB220="Currently special serv","Currently Specially Serviced",IF($AB220="Returned to master serv","Previously Specially Serviced","Never Specially Serviced"))</f>
        <v/>
      </c>
      <c r="CF220" s="78">
        <f>IF($CE220="Currently Specially Serviced",1,0)</f>
        <v/>
      </c>
      <c r="CG220" s="76">
        <f>IF($AA220="Yes","Currently on Watchlist",IF($AA220="Previously","Previously on Watchlist","Never on Watchlist"))</f>
        <v/>
      </c>
      <c r="CH220" s="78">
        <f>IF($CG220="Currently on Watchlist",1,0)</f>
        <v/>
      </c>
      <c r="CI220" s="76">
        <f>IF($Z220="Full Defeasance","Fully Defeased",IF($Z220="Portion Of Loan Previously Defeased","Partially Defeased",IF($Z220="Defeasance Not Allowable","Not Defeased (Not Permitted)","Not Defeased")))</f>
        <v/>
      </c>
      <c r="CJ220" s="78">
        <f>IF($CI220="Fully Defeased",1,0)</f>
        <v/>
      </c>
      <c r="CK220" s="76">
        <f>IF($R220="IO","Full IO",IF(LEFT($R220&amp;"",7)="IO then","Partial IO","Amortizing"))</f>
        <v/>
      </c>
      <c r="CL220" s="78">
        <f>IF($CK220="Full IO",1,0)</f>
        <v/>
      </c>
      <c r="CM220" s="78">
        <f>IF($CK220="Partial IO",1,0)</f>
        <v/>
      </c>
      <c r="CN220" s="76">
        <f>IF(LEFT($F220&amp;"",10)="SPLIT_LOAN","Pari Passu Split","Standalone")</f>
        <v/>
      </c>
      <c r="CO220" s="78">
        <f>IF($CN220="Pari Passu Split",1,0)</f>
        <v/>
      </c>
      <c r="CP220" s="77">
        <f>IF(ISNUMBER($T220),YEAR($T220),"")</f>
        <v/>
      </c>
      <c r="CQ220" s="79">
        <f>IF(ISNUMBER($V220),$V220,IF(ISNUMBER($U220),$U220,""))</f>
        <v/>
      </c>
      <c r="CR220" s="77">
        <f>IF(ISNUMBER($CQ220),YEAR($CQ220),"")</f>
        <v/>
      </c>
      <c r="CS220" s="78">
        <f>IF(ISNUMBER($M220),MAX(0,$M220),IF(TRIM($M220&amp;"")="matured",0,""))</f>
        <v/>
      </c>
      <c r="CT220" s="78">
        <f>IF(AND(ISNUMBER($CS220),N($CS220)&lt;=mMatWindow),1,0)</f>
        <v/>
      </c>
      <c r="CU220" s="80">
        <f>IF(ISNUMBER($J220),$J220/100,"")</f>
        <v/>
      </c>
      <c r="CV220" s="81">
        <f>IF(ISNUMBER($AQ220),$AQ220,"")</f>
        <v/>
      </c>
      <c r="CW220" s="81">
        <f>IF(ISNUMBER($AR220),$AR220,"")</f>
        <v/>
      </c>
      <c r="CX220" s="82">
        <f>IF(ISNUMBER($AS220),$AS220/100,"")</f>
        <v/>
      </c>
      <c r="CY220" s="82">
        <f>IF(ISNUMBER($AT220),$AT220/100,"")</f>
        <v/>
      </c>
      <c r="CZ220" s="82">
        <f>IF(ISNUMBER($AU220),$AU220/100,"")</f>
        <v/>
      </c>
      <c r="DA220" s="82">
        <f>IF(ISNUMBER($AV220),$AV220/100,"")</f>
        <v/>
      </c>
      <c r="DB220" s="82">
        <f>IF(ISNUMBER($AW220),$AW220/100,"")</f>
        <v/>
      </c>
      <c r="DC220" s="82">
        <f>IF(ISNUMBER($AX220),$AX220/100,"")</f>
        <v/>
      </c>
      <c r="DD220" s="77">
        <f>IFERROR(VALUE(LEFT(TRIM($AO220&amp;""),4)),"")</f>
        <v/>
      </c>
      <c r="DE220" s="78">
        <f>IF(AND($BY220=1,$BX220=1,OR(fDeal="All Deals",$BU220=fDeal),OR(fEntity="All Entities",$BV220=fEntity),OR(fPType="All Property Types",$BZ220=fPType),OR(fDefeased="Include",$CJ220=0)),1,0)</f>
        <v/>
      </c>
      <c r="DF220" s="83">
        <f>$DE220*N($I220)</f>
        <v/>
      </c>
      <c r="DG220" s="78">
        <f>IF($DE220=1,IF(COUNTIFS($F$8:$F220,$F220,$DE$8:$DE220,1)=1,1,0),0)</f>
        <v/>
      </c>
      <c r="DH220" s="83">
        <f>IF($DG220=1,SUMIFS($DF$8:$DF$1600,$F$8:$F$1600,$F220),0)</f>
        <v/>
      </c>
      <c r="DI220" s="78">
        <f>IF($DG220=1,COUNTIFS($F$8:$F$1600,$F220,$DE$8:$DE$1600,1),0)</f>
        <v/>
      </c>
      <c r="DJ220" s="84">
        <f>IF($DG220=1,$DH220+(100000-ROW())/mTieBreak,0)</f>
        <v/>
      </c>
    </row>
    <row r="221">
      <c r="B221" s="68" t="n">
        <v>24</v>
      </c>
      <c r="C221" s="69" t="inlineStr">
        <is>
          <t>BBC19C03</t>
        </is>
      </c>
      <c r="D221" s="69" t="inlineStr">
        <is>
          <t>24.000</t>
        </is>
      </c>
      <c r="E221" s="69" t="inlineStr">
        <is>
          <t>Creekside Village Apartments</t>
        </is>
      </c>
      <c r="F221" s="69" t="inlineStr">
        <is>
          <t>LNBBC19C03-24.000</t>
        </is>
      </c>
      <c r="G221" s="70" t="n"/>
      <c r="H221" s="71" t="n">
        <v>14745000</v>
      </c>
      <c r="I221" s="71" t="n">
        <v>12841833.56000119</v>
      </c>
      <c r="J221" s="72" t="n">
        <v>4.61</v>
      </c>
      <c r="K221" s="69" t="inlineStr">
        <is>
          <t>Fixed rate</t>
        </is>
      </c>
      <c r="L221" s="68" t="n">
        <v>120</v>
      </c>
      <c r="M221" s="68" t="n">
        <v>32</v>
      </c>
      <c r="N221" s="68" t="n">
        <v>360</v>
      </c>
      <c r="O221" s="68" t="n"/>
      <c r="P221" s="68" t="n"/>
      <c r="Q221" s="68" t="n">
        <v>88</v>
      </c>
      <c r="R221" s="69" t="n"/>
      <c r="S221" s="69" t="inlineStr">
        <is>
          <t>No</t>
        </is>
      </c>
      <c r="T221" s="73" t="n">
        <v>43586</v>
      </c>
      <c r="U221" s="73" t="n">
        <v>47239</v>
      </c>
      <c r="V221" s="73" t="n"/>
      <c r="W221" s="69" t="n"/>
      <c r="X221" s="69" t="inlineStr">
        <is>
          <t>Current</t>
        </is>
      </c>
      <c r="Y221" s="68" t="n"/>
      <c r="Z221" s="69" t="inlineStr">
        <is>
          <t>Defeasance Not Allowable</t>
        </is>
      </c>
      <c r="AA221" s="69" t="inlineStr">
        <is>
          <t>Previously</t>
        </is>
      </c>
      <c r="AB221" s="69" t="inlineStr">
        <is>
          <t>Never special serv</t>
        </is>
      </c>
      <c r="AC221" s="73" t="n"/>
      <c r="AD221" s="69" t="n"/>
      <c r="AE221" s="69" t="n"/>
      <c r="AF221" s="69" t="inlineStr">
        <is>
          <t>OR</t>
        </is>
      </c>
      <c r="AG221" s="69" t="inlineStr">
        <is>
          <t>Beaverton</t>
        </is>
      </c>
      <c r="AH221" s="69" t="inlineStr">
        <is>
          <t>Portland-Vancouver-Hillsboro, OR-WA</t>
        </is>
      </c>
      <c r="AI221" s="69" t="inlineStr">
        <is>
          <t>West / Pacific North</t>
        </is>
      </c>
      <c r="AJ221" s="69" t="inlineStr">
        <is>
          <t>MF</t>
        </is>
      </c>
      <c r="AK221" s="69" t="inlineStr">
        <is>
          <t>Garden</t>
        </is>
      </c>
      <c r="AL221" s="68" t="n">
        <v>1</v>
      </c>
      <c r="AM221" s="68" t="n">
        <v>120</v>
      </c>
      <c r="AN221" s="68" t="n"/>
      <c r="AO221" s="69" t="inlineStr">
        <is>
          <t>1985</t>
        </is>
      </c>
      <c r="AP221" s="70" t="n">
        <v>1985</v>
      </c>
      <c r="AQ221" s="74" t="n">
        <v>1.49</v>
      </c>
      <c r="AR221" s="74" t="n">
        <v>1.44</v>
      </c>
      <c r="AS221" s="74" t="n">
        <v>74.59999999999999</v>
      </c>
      <c r="AT221" s="74" t="n">
        <v>65.02</v>
      </c>
      <c r="AU221" s="74" t="n">
        <v>60.6</v>
      </c>
      <c r="AV221" s="74" t="n">
        <v>9.158535097</v>
      </c>
      <c r="AW221" s="74" t="n">
        <v>10.150103908</v>
      </c>
      <c r="AX221" s="75" t="n">
        <v>88</v>
      </c>
      <c r="AY221" s="71" t="n">
        <v>19750000</v>
      </c>
      <c r="AZ221" s="71" t="n">
        <v>19750000</v>
      </c>
      <c r="BA221" s="71" t="n">
        <v>1350426</v>
      </c>
      <c r="BB221" s="71" t="n">
        <v>1303459.45</v>
      </c>
      <c r="BC221" s="69" t="inlineStr">
        <is>
          <t>Refinance</t>
        </is>
      </c>
      <c r="BD221" s="69" t="inlineStr">
        <is>
          <t>N</t>
        </is>
      </c>
      <c r="BE221" s="71" t="n"/>
      <c r="BF221" s="71" t="n"/>
      <c r="BG221" s="71" t="n"/>
      <c r="BH221" s="71" t="n">
        <v>0</v>
      </c>
      <c r="BI221" s="71" t="n">
        <v>0</v>
      </c>
      <c r="BJ221" s="69" t="inlineStr">
        <is>
          <t>Y</t>
        </is>
      </c>
      <c r="BK221" s="69" t="n"/>
      <c r="BL221" s="75" t="n"/>
      <c r="BM221" s="73" t="n"/>
      <c r="BN221" s="69" t="n"/>
      <c r="BO221" s="69" t="inlineStr">
        <is>
          <t>Societe Generale</t>
        </is>
      </c>
      <c r="BP221" s="69" t="inlineStr">
        <is>
          <t>Midland Loan Services</t>
        </is>
      </c>
      <c r="BQ221" s="69" t="inlineStr">
        <is>
          <t>K-Star Asset Management LLC</t>
        </is>
      </c>
      <c r="BR221" s="69" t="n"/>
      <c r="BS221" s="73" t="n">
        <v>46276</v>
      </c>
      <c r="BU221" s="76">
        <f>IF($C221="","",IFERROR(INDEX(dmName,MATCH($C221,dmID,0)),"Unmapped"))</f>
        <v/>
      </c>
      <c r="BV221" s="76">
        <f>IF($C221="","",IFERROR(INDEX(dmEntity,MATCH($C221,dmID,0)),"Unmapped"))</f>
        <v/>
      </c>
      <c r="BW221" s="77">
        <f>IF($C221="","",IFERROR(INDEX(dmVintage,MATCH($C221,dmID,0)),""))</f>
        <v/>
      </c>
      <c r="BX221" s="78">
        <f>IFERROR(INDEX(dmInclude,MATCH($C221,dmID,0)),0)</f>
        <v/>
      </c>
      <c r="BY221" s="78">
        <f>IF(N($I221)&gt;0,1,0)</f>
        <v/>
      </c>
      <c r="BZ221" s="76">
        <f>IF($AJ221="","Other / Leased Fee",IFERROR(INDEX(mapPTGroup,MATCH(LEFT(TRIM($AJ221),2),mapPTCode,0)),"Other / Leased Fee"))</f>
        <v/>
      </c>
      <c r="CA221" s="76">
        <f>IF(TRIM($AF221&amp;"")="","NR",LEFT(TRIM($AF221),2))</f>
        <v/>
      </c>
      <c r="CB221" s="76">
        <f>IFERROR(LOOKUP(2,1/(LEFT(TRIM($AI221&amp;""),LEN(mapRegion))=mapRegion),mapRegion),"Not Reported")</f>
        <v/>
      </c>
      <c r="CC221" s="76">
        <f>IF($BY221=0,"",IF(TRIM($W221&amp;"")="REO","REO",IF(TRIM($W221&amp;"")="FC","Foreclosure",IF(TRIM($W221&amp;"")="90+","90+ Days Delinquent",IF(TRIM($W221&amp;"")="60","60 Days Delinquent",IF(TRIM($W221&amp;"")="30","30 Days Delinquent",IF($X221="Non-Performing Matured Balloon","Non-Performing Matured Balloon",IF(OR($X221="Late Payment But Less Than 30 Days Delinquent",LEFT($X221&amp;"",20)="Payment Not Received"),"Late / In Grace (&lt;30 Days)",IF($X221="Performing Matured Balloon","Performing Matured Balloon","Current")))))))))</f>
        <v/>
      </c>
      <c r="CD221" s="78">
        <f>IF(OR($CC221="REO",$CC221="Foreclosure",$CC221="90+ Days Delinquent",$CC221="60 Days Delinquent",$CC221="30 Days Delinquent",$CC221="Non-Performing Matured Balloon"),1,0)</f>
        <v/>
      </c>
      <c r="CE221" s="76">
        <f>IF($AB221="Currently special serv","Currently Specially Serviced",IF($AB221="Returned to master serv","Previously Specially Serviced","Never Specially Serviced"))</f>
        <v/>
      </c>
      <c r="CF221" s="78">
        <f>IF($CE221="Currently Specially Serviced",1,0)</f>
        <v/>
      </c>
      <c r="CG221" s="76">
        <f>IF($AA221="Yes","Currently on Watchlist",IF($AA221="Previously","Previously on Watchlist","Never on Watchlist"))</f>
        <v/>
      </c>
      <c r="CH221" s="78">
        <f>IF($CG221="Currently on Watchlist",1,0)</f>
        <v/>
      </c>
      <c r="CI221" s="76">
        <f>IF($Z221="Full Defeasance","Fully Defeased",IF($Z221="Portion Of Loan Previously Defeased","Partially Defeased",IF($Z221="Defeasance Not Allowable","Not Defeased (Not Permitted)","Not Defeased")))</f>
        <v/>
      </c>
      <c r="CJ221" s="78">
        <f>IF($CI221="Fully Defeased",1,0)</f>
        <v/>
      </c>
      <c r="CK221" s="76">
        <f>IF($R221="IO","Full IO",IF(LEFT($R221&amp;"",7)="IO then","Partial IO","Amortizing"))</f>
        <v/>
      </c>
      <c r="CL221" s="78">
        <f>IF($CK221="Full IO",1,0)</f>
        <v/>
      </c>
      <c r="CM221" s="78">
        <f>IF($CK221="Partial IO",1,0)</f>
        <v/>
      </c>
      <c r="CN221" s="76">
        <f>IF(LEFT($F221&amp;"",10)="SPLIT_LOAN","Pari Passu Split","Standalone")</f>
        <v/>
      </c>
      <c r="CO221" s="78">
        <f>IF($CN221="Pari Passu Split",1,0)</f>
        <v/>
      </c>
      <c r="CP221" s="77">
        <f>IF(ISNUMBER($T221),YEAR($T221),"")</f>
        <v/>
      </c>
      <c r="CQ221" s="79">
        <f>IF(ISNUMBER($V221),$V221,IF(ISNUMBER($U221),$U221,""))</f>
        <v/>
      </c>
      <c r="CR221" s="77">
        <f>IF(ISNUMBER($CQ221),YEAR($CQ221),"")</f>
        <v/>
      </c>
      <c r="CS221" s="78">
        <f>IF(ISNUMBER($M221),MAX(0,$M221),IF(TRIM($M221&amp;"")="matured",0,""))</f>
        <v/>
      </c>
      <c r="CT221" s="78">
        <f>IF(AND(ISNUMBER($CS221),N($CS221)&lt;=mMatWindow),1,0)</f>
        <v/>
      </c>
      <c r="CU221" s="80">
        <f>IF(ISNUMBER($J221),$J221/100,"")</f>
        <v/>
      </c>
      <c r="CV221" s="81">
        <f>IF(ISNUMBER($AQ221),$AQ221,"")</f>
        <v/>
      </c>
      <c r="CW221" s="81">
        <f>IF(ISNUMBER($AR221),$AR221,"")</f>
        <v/>
      </c>
      <c r="CX221" s="82">
        <f>IF(ISNUMBER($AS221),$AS221/100,"")</f>
        <v/>
      </c>
      <c r="CY221" s="82">
        <f>IF(ISNUMBER($AT221),$AT221/100,"")</f>
        <v/>
      </c>
      <c r="CZ221" s="82">
        <f>IF(ISNUMBER($AU221),$AU221/100,"")</f>
        <v/>
      </c>
      <c r="DA221" s="82">
        <f>IF(ISNUMBER($AV221),$AV221/100,"")</f>
        <v/>
      </c>
      <c r="DB221" s="82">
        <f>IF(ISNUMBER($AW221),$AW221/100,"")</f>
        <v/>
      </c>
      <c r="DC221" s="82">
        <f>IF(ISNUMBER($AX221),$AX221/100,"")</f>
        <v/>
      </c>
      <c r="DD221" s="77">
        <f>IFERROR(VALUE(LEFT(TRIM($AO221&amp;""),4)),"")</f>
        <v/>
      </c>
      <c r="DE221" s="78">
        <f>IF(AND($BY221=1,$BX221=1,OR(fDeal="All Deals",$BU221=fDeal),OR(fEntity="All Entities",$BV221=fEntity),OR(fPType="All Property Types",$BZ221=fPType),OR(fDefeased="Include",$CJ221=0)),1,0)</f>
        <v/>
      </c>
      <c r="DF221" s="83">
        <f>$DE221*N($I221)</f>
        <v/>
      </c>
      <c r="DG221" s="78">
        <f>IF($DE221=1,IF(COUNTIFS($F$8:$F221,$F221,$DE$8:$DE221,1)=1,1,0),0)</f>
        <v/>
      </c>
      <c r="DH221" s="83">
        <f>IF($DG221=1,SUMIFS($DF$8:$DF$1600,$F$8:$F$1600,$F221),0)</f>
        <v/>
      </c>
      <c r="DI221" s="78">
        <f>IF($DG221=1,COUNTIFS($F$8:$F$1600,$F221,$DE$8:$DE$1600,1),0)</f>
        <v/>
      </c>
      <c r="DJ221" s="84">
        <f>IF($DG221=1,$DH221+(100000-ROW())/mTieBreak,0)</f>
        <v/>
      </c>
    </row>
    <row r="222">
      <c r="B222" s="68" t="n">
        <v>25</v>
      </c>
      <c r="C222" s="69" t="inlineStr">
        <is>
          <t>BBC19C03</t>
        </is>
      </c>
      <c r="D222" s="69" t="inlineStr">
        <is>
          <t>25.000</t>
        </is>
      </c>
      <c r="E222" s="69" t="inlineStr">
        <is>
          <t>DentaQuest &amp; Aurora Portfolio</t>
        </is>
      </c>
      <c r="F222" s="69" t="inlineStr">
        <is>
          <t>LNBBC19C03-25.000</t>
        </is>
      </c>
      <c r="G222" s="70" t="n"/>
      <c r="H222" s="71" t="n">
        <v>14650000</v>
      </c>
      <c r="I222" s="71" t="n">
        <v>13357944.8600057</v>
      </c>
      <c r="J222" s="72" t="n">
        <v>4.887</v>
      </c>
      <c r="K222" s="69" t="inlineStr">
        <is>
          <t>Fixed rate</t>
        </is>
      </c>
      <c r="L222" s="68" t="n">
        <v>120</v>
      </c>
      <c r="M222" s="68" t="n">
        <v>30</v>
      </c>
      <c r="N222" s="68" t="n">
        <v>384</v>
      </c>
      <c r="O222" s="68" t="n">
        <v>24</v>
      </c>
      <c r="P222" s="68" t="n">
        <v>0</v>
      </c>
      <c r="Q222" s="68" t="n">
        <v>90</v>
      </c>
      <c r="R222" s="69" t="inlineStr">
        <is>
          <t>IO then Amort</t>
        </is>
      </c>
      <c r="S222" s="69" t="inlineStr">
        <is>
          <t>No</t>
        </is>
      </c>
      <c r="T222" s="73" t="n">
        <v>43525</v>
      </c>
      <c r="U222" s="73" t="n">
        <v>47183</v>
      </c>
      <c r="V222" s="73" t="n"/>
      <c r="W222" s="69" t="n"/>
      <c r="X222" s="69" t="inlineStr">
        <is>
          <t>Current</t>
        </is>
      </c>
      <c r="Y222" s="68" t="n"/>
      <c r="Z222" s="69" t="inlineStr">
        <is>
          <t>No Defeasance Occurred</t>
        </is>
      </c>
      <c r="AA222" s="69" t="inlineStr">
        <is>
          <t>Previously</t>
        </is>
      </c>
      <c r="AB222" s="69" t="inlineStr">
        <is>
          <t>Never special serv</t>
        </is>
      </c>
      <c r="AC222" s="73" t="n"/>
      <c r="AD222" s="69" t="n"/>
      <c r="AE222" s="69" t="n"/>
      <c r="AF222" s="69" t="inlineStr">
        <is>
          <t>WI</t>
        </is>
      </c>
      <c r="AG222" s="69" t="inlineStr">
        <is>
          <t>Milwaukee</t>
        </is>
      </c>
      <c r="AH222" s="69" t="inlineStr">
        <is>
          <t>Milwaukee-Waukesha, WI</t>
        </is>
      </c>
      <c r="AI222" s="69" t="inlineStr">
        <is>
          <t>Midwest / Central East</t>
        </is>
      </c>
      <c r="AJ222" s="69" t="inlineStr">
        <is>
          <t>OF</t>
        </is>
      </c>
      <c r="AK222" s="69" t="inlineStr">
        <is>
          <t>Suburban</t>
        </is>
      </c>
      <c r="AL222" s="68" t="n">
        <v>2</v>
      </c>
      <c r="AM222" s="68" t="n"/>
      <c r="AN222" s="68" t="n">
        <v>168828</v>
      </c>
      <c r="AO222" s="69" t="n"/>
      <c r="AP222" s="70" t="n">
        <v>2003</v>
      </c>
      <c r="AQ222" s="74" t="n">
        <v>1.58</v>
      </c>
      <c r="AR222" s="74" t="n">
        <v>1.82</v>
      </c>
      <c r="AS222" s="74" t="n">
        <v>73.3</v>
      </c>
      <c r="AT222" s="74" t="n">
        <v>66.79000000000001</v>
      </c>
      <c r="AU222" s="74" t="n">
        <v>63.2</v>
      </c>
      <c r="AV222" s="74" t="n">
        <v>10.069522184</v>
      </c>
      <c r="AW222" s="74" t="n">
        <v>11.471523921</v>
      </c>
      <c r="AX222" s="75" t="n">
        <v>100</v>
      </c>
      <c r="AY222" s="71" t="n">
        <v>20000000</v>
      </c>
      <c r="AZ222" s="71" t="n">
        <v>20000000</v>
      </c>
      <c r="BA222" s="71" t="n">
        <v>1475185</v>
      </c>
      <c r="BB222" s="71" t="n">
        <v>1692852.68</v>
      </c>
      <c r="BC222" s="69" t="inlineStr">
        <is>
          <t>Acquisition</t>
        </is>
      </c>
      <c r="BD222" s="69" t="inlineStr">
        <is>
          <t>N</t>
        </is>
      </c>
      <c r="BE222" s="71" t="n"/>
      <c r="BF222" s="71" t="n"/>
      <c r="BG222" s="71" t="n"/>
      <c r="BH222" s="71" t="n">
        <v>0</v>
      </c>
      <c r="BI222" s="71" t="n">
        <v>0</v>
      </c>
      <c r="BJ222" s="69" t="inlineStr">
        <is>
          <t>N</t>
        </is>
      </c>
      <c r="BK222" s="69" t="inlineStr">
        <is>
          <t>Denta Quest                         Dentaquest</t>
        </is>
      </c>
      <c r="BL222" s="75" t="n">
        <v>52.28</v>
      </c>
      <c r="BM222" s="73" t="n">
        <v>47726</v>
      </c>
      <c r="BN222" s="69" t="n"/>
      <c r="BO222" s="69" t="inlineStr">
        <is>
          <t>Barclays</t>
        </is>
      </c>
      <c r="BP222" s="69" t="inlineStr">
        <is>
          <t>Midland Loan Services</t>
        </is>
      </c>
      <c r="BQ222" s="69" t="inlineStr">
        <is>
          <t>K-Star Asset Management LLC</t>
        </is>
      </c>
      <c r="BR222" s="69" t="n"/>
      <c r="BS222" s="73" t="n">
        <v>46276</v>
      </c>
      <c r="BU222" s="76">
        <f>IF($C222="","",IFERROR(INDEX(dmName,MATCH($C222,dmID,0)),"Unmapped"))</f>
        <v/>
      </c>
      <c r="BV222" s="76">
        <f>IF($C222="","",IFERROR(INDEX(dmEntity,MATCH($C222,dmID,0)),"Unmapped"))</f>
        <v/>
      </c>
      <c r="BW222" s="77">
        <f>IF($C222="","",IFERROR(INDEX(dmVintage,MATCH($C222,dmID,0)),""))</f>
        <v/>
      </c>
      <c r="BX222" s="78">
        <f>IFERROR(INDEX(dmInclude,MATCH($C222,dmID,0)),0)</f>
        <v/>
      </c>
      <c r="BY222" s="78">
        <f>IF(N($I222)&gt;0,1,0)</f>
        <v/>
      </c>
      <c r="BZ222" s="76">
        <f>IF($AJ222="","Other / Leased Fee",IFERROR(INDEX(mapPTGroup,MATCH(LEFT(TRIM($AJ222),2),mapPTCode,0)),"Other / Leased Fee"))</f>
        <v/>
      </c>
      <c r="CA222" s="76">
        <f>IF(TRIM($AF222&amp;"")="","NR",LEFT(TRIM($AF222),2))</f>
        <v/>
      </c>
      <c r="CB222" s="76">
        <f>IFERROR(LOOKUP(2,1/(LEFT(TRIM($AI222&amp;""),LEN(mapRegion))=mapRegion),mapRegion),"Not Reported")</f>
        <v/>
      </c>
      <c r="CC222" s="76">
        <f>IF($BY222=0,"",IF(TRIM($W222&amp;"")="REO","REO",IF(TRIM($W222&amp;"")="FC","Foreclosure",IF(TRIM($W222&amp;"")="90+","90+ Days Delinquent",IF(TRIM($W222&amp;"")="60","60 Days Delinquent",IF(TRIM($W222&amp;"")="30","30 Days Delinquent",IF($X222="Non-Performing Matured Balloon","Non-Performing Matured Balloon",IF(OR($X222="Late Payment But Less Than 30 Days Delinquent",LEFT($X222&amp;"",20)="Payment Not Received"),"Late / In Grace (&lt;30 Days)",IF($X222="Performing Matured Balloon","Performing Matured Balloon","Current")))))))))</f>
        <v/>
      </c>
      <c r="CD222" s="78">
        <f>IF(OR($CC222="REO",$CC222="Foreclosure",$CC222="90+ Days Delinquent",$CC222="60 Days Delinquent",$CC222="30 Days Delinquent",$CC222="Non-Performing Matured Balloon"),1,0)</f>
        <v/>
      </c>
      <c r="CE222" s="76">
        <f>IF($AB222="Currently special serv","Currently Specially Serviced",IF($AB222="Returned to master serv","Previously Specially Serviced","Never Specially Serviced"))</f>
        <v/>
      </c>
      <c r="CF222" s="78">
        <f>IF($CE222="Currently Specially Serviced",1,0)</f>
        <v/>
      </c>
      <c r="CG222" s="76">
        <f>IF($AA222="Yes","Currently on Watchlist",IF($AA222="Previously","Previously on Watchlist","Never on Watchlist"))</f>
        <v/>
      </c>
      <c r="CH222" s="78">
        <f>IF($CG222="Currently on Watchlist",1,0)</f>
        <v/>
      </c>
      <c r="CI222" s="76">
        <f>IF($Z222="Full Defeasance","Fully Defeased",IF($Z222="Portion Of Loan Previously Defeased","Partially Defeased",IF($Z222="Defeasance Not Allowable","Not Defeased (Not Permitted)","Not Defeased")))</f>
        <v/>
      </c>
      <c r="CJ222" s="78">
        <f>IF($CI222="Fully Defeased",1,0)</f>
        <v/>
      </c>
      <c r="CK222" s="76">
        <f>IF($R222="IO","Full IO",IF(LEFT($R222&amp;"",7)="IO then","Partial IO","Amortizing"))</f>
        <v/>
      </c>
      <c r="CL222" s="78">
        <f>IF($CK222="Full IO",1,0)</f>
        <v/>
      </c>
      <c r="CM222" s="78">
        <f>IF($CK222="Partial IO",1,0)</f>
        <v/>
      </c>
      <c r="CN222" s="76">
        <f>IF(LEFT($F222&amp;"",10)="SPLIT_LOAN","Pari Passu Split","Standalone")</f>
        <v/>
      </c>
      <c r="CO222" s="78">
        <f>IF($CN222="Pari Passu Split",1,0)</f>
        <v/>
      </c>
      <c r="CP222" s="77">
        <f>IF(ISNUMBER($T222),YEAR($T222),"")</f>
        <v/>
      </c>
      <c r="CQ222" s="79">
        <f>IF(ISNUMBER($V222),$V222,IF(ISNUMBER($U222),$U222,""))</f>
        <v/>
      </c>
      <c r="CR222" s="77">
        <f>IF(ISNUMBER($CQ222),YEAR($CQ222),"")</f>
        <v/>
      </c>
      <c r="CS222" s="78">
        <f>IF(ISNUMBER($M222),MAX(0,$M222),IF(TRIM($M222&amp;"")="matured",0,""))</f>
        <v/>
      </c>
      <c r="CT222" s="78">
        <f>IF(AND(ISNUMBER($CS222),N($CS222)&lt;=mMatWindow),1,0)</f>
        <v/>
      </c>
      <c r="CU222" s="80">
        <f>IF(ISNUMBER($J222),$J222/100,"")</f>
        <v/>
      </c>
      <c r="CV222" s="81">
        <f>IF(ISNUMBER($AQ222),$AQ222,"")</f>
        <v/>
      </c>
      <c r="CW222" s="81">
        <f>IF(ISNUMBER($AR222),$AR222,"")</f>
        <v/>
      </c>
      <c r="CX222" s="82">
        <f>IF(ISNUMBER($AS222),$AS222/100,"")</f>
        <v/>
      </c>
      <c r="CY222" s="82">
        <f>IF(ISNUMBER($AT222),$AT222/100,"")</f>
        <v/>
      </c>
      <c r="CZ222" s="82">
        <f>IF(ISNUMBER($AU222),$AU222/100,"")</f>
        <v/>
      </c>
      <c r="DA222" s="82">
        <f>IF(ISNUMBER($AV222),$AV222/100,"")</f>
        <v/>
      </c>
      <c r="DB222" s="82">
        <f>IF(ISNUMBER($AW222),$AW222/100,"")</f>
        <v/>
      </c>
      <c r="DC222" s="82">
        <f>IF(ISNUMBER($AX222),$AX222/100,"")</f>
        <v/>
      </c>
      <c r="DD222" s="77">
        <f>IFERROR(VALUE(LEFT(TRIM($AO222&amp;""),4)),"")</f>
        <v/>
      </c>
      <c r="DE222" s="78">
        <f>IF(AND($BY222=1,$BX222=1,OR(fDeal="All Deals",$BU222=fDeal),OR(fEntity="All Entities",$BV222=fEntity),OR(fPType="All Property Types",$BZ222=fPType),OR(fDefeased="Include",$CJ222=0)),1,0)</f>
        <v/>
      </c>
      <c r="DF222" s="83">
        <f>$DE222*N($I222)</f>
        <v/>
      </c>
      <c r="DG222" s="78">
        <f>IF($DE222=1,IF(COUNTIFS($F$8:$F222,$F222,$DE$8:$DE222,1)=1,1,0),0)</f>
        <v/>
      </c>
      <c r="DH222" s="83">
        <f>IF($DG222=1,SUMIFS($DF$8:$DF$1600,$F$8:$F$1600,$F222),0)</f>
        <v/>
      </c>
      <c r="DI222" s="78">
        <f>IF($DG222=1,COUNTIFS($F$8:$F$1600,$F222,$DE$8:$DE$1600,1),0)</f>
        <v/>
      </c>
      <c r="DJ222" s="84">
        <f>IF($DG222=1,$DH222+(100000-ROW())/mTieBreak,0)</f>
        <v/>
      </c>
    </row>
    <row r="223">
      <c r="B223" s="68" t="n">
        <v>26</v>
      </c>
      <c r="C223" s="69" t="inlineStr">
        <is>
          <t>BBC19C03</t>
        </is>
      </c>
      <c r="D223" s="69" t="inlineStr">
        <is>
          <t>26.000</t>
        </is>
      </c>
      <c r="E223" s="69" t="inlineStr">
        <is>
          <t>Heartland Dental Medical Office Portfolio</t>
        </is>
      </c>
      <c r="F223" s="69" t="inlineStr">
        <is>
          <t>SPLIT_LOAN_01441</t>
        </is>
      </c>
      <c r="G223" s="70" t="n">
        <v>1441</v>
      </c>
      <c r="H223" s="71" t="n">
        <v>14500000</v>
      </c>
      <c r="I223" s="71" t="n">
        <v>0</v>
      </c>
      <c r="J223" s="72" t="n">
        <v>5.7</v>
      </c>
      <c r="K223" s="69" t="inlineStr">
        <is>
          <t>Fixed rate</t>
        </is>
      </c>
      <c r="L223" s="68" t="n">
        <v>120</v>
      </c>
      <c r="M223" s="68" t="n"/>
      <c r="N223" s="68" t="n">
        <v>360</v>
      </c>
      <c r="O223" s="68" t="n"/>
      <c r="P223" s="68" t="n"/>
      <c r="Q223" s="68" t="n"/>
      <c r="R223" s="69" t="n"/>
      <c r="S223" s="69" t="inlineStr">
        <is>
          <t>No</t>
        </is>
      </c>
      <c r="T223" s="73" t="n">
        <v>43405</v>
      </c>
      <c r="U223" s="73" t="n">
        <v>47063</v>
      </c>
      <c r="V223" s="73" t="n"/>
      <c r="W223" s="69" t="n"/>
      <c r="X223" s="69" t="inlineStr">
        <is>
          <t>Current</t>
        </is>
      </c>
      <c r="Y223" s="68" t="n"/>
      <c r="Z223" s="69" t="inlineStr">
        <is>
          <t>Defeasance Not Allowable</t>
        </is>
      </c>
      <c r="AA223" s="69" t="inlineStr">
        <is>
          <t>Previously</t>
        </is>
      </c>
      <c r="AB223" s="69" t="inlineStr">
        <is>
          <t>Never special serv</t>
        </is>
      </c>
      <c r="AC223" s="73" t="n"/>
      <c r="AD223" s="69" t="n"/>
      <c r="AE223" s="69" t="n"/>
      <c r="AF223" s="69" t="inlineStr">
        <is>
          <t>FL-23.082631655% IL-18.127512483% SC-7.594692552% MO-7.357656552% GA-6.919362759% IN-6.588182897% TX-6.295440414% TN-5.955207655% OK-2.496842138% KY-1.993246483% MD-1.618526345% AZ-1.428631517% WI-1.419806069% AL-1.397102483% OH-1.381828276% VA-1.220482000% AR-1.184803310% NE-1.090210552% MI-0.901080345% CO-0.842581724% KS-0.451130207% MN-0.274249310% NH-0.190027724% NM-0.188764552%</t>
        </is>
      </c>
      <c r="AG223" s="69" t="n"/>
      <c r="AH223" s="69" t="inlineStr">
        <is>
          <t>Chicago-Naperville-Elgin, IL-IN-6.405429379% Orlando-Kissimmee-Sanford, FL-6.212138552% Effingham, IL-5.687955724% St. Louis, MO-IL-5.329423862% Jacksonville, FL-5.288764483% Nashville-Davidson--Murfreesboro--Franklin, TN-4.979811517% Atlanta-Sandy Springs-Roswell, GA-4.189445931% Dallas-Fort Worth-Arlington, TX-2.991423793% Kansas City, MO-KS-2.855096966% Indianapolis-Carmel-Greenwood, IN-2.660858759% Springfield, IL-2.154991655% Tampa-St. Petersburg-Clearwater, FL-1.698997241% Port St. Lucie, FL-1.646714690% Washington-Arlington-Alexandria, DC-VA-MD-WV-1.642498621% Columbia, SC-1.631811724% Charlotte-Concord-Gastonia, NC-SC-1.546155103% Lakeland-Winter Haven, FL-1.537285310% Tulsa, OK-1.489412759% Cape Coral-Fort Myers, FL-1.428853241% Phoenix-Mesa-Chandler, AZ-1.428631517% North Port-Bradenton-Sarasota, FL-1.425185586% Greenville-Anderson-Greer, SC-1.421180069% Warner Robins, GA-1.418072000% Deltona-Daytona Beach-Ormond Beach, FL-1.362747931% Lafayette-West Lafayette, IN-1.235728552% Omaha, NE-IA-1.090210552% Myrtle Beach-Conway-North Myrtle Beach, SC-1.084304690% Granbury, TX-1.014919655% Birmingham, AL-1.013401655% Oklahoma City, OK-1.007429379% St. Joseph, MO-KS-1.002470897% Memphis, TN-MS-AR-0.975396138% Detroit-Warren-Dearborn, MI-0.901080345% Naples-Marco Island, FL-0.880476483% Fayetteville-Springdale-Rogers, AR-0.850055379% Bowling Green, KY-0.849756207% Boulder, CO-0.842581724% Charleston-North Charleston, SC-0.824459862% Peoria, IL-0.773030483% Austin-Round Rock-San Marcos, TX-0.749518000% Ocala, FL-0.710060966% Abilene, TX-0.683446000% Virginia Beach-Chesapeake-Norfolk, VA-NC-0.667734069% Bloomington, IL-0.666398897% Green Bay, WI-0.632548483% Tallahassee, FL-0.608554000% Cincinnati, OH-KY-IN-0.590947379% Lexington-Fayette, KY-0.574686966% Gainesville, GA-0.568925241% Ottawa, IL-0.556044345% Fort Wayne, IN-0.547878138% Lexington Park, MD-0.528775655% Augusta-Richmond County, GA-SC-0.497623241% Toledo, OH-0.496764552% Champaign-Urbana, IL-0.496182828% Richmond, IN-0.481983379% Houston-Pasadena-The Woodlands, TX-0.476892000% Charleston-Mattoon, IL-0.449939034% Greencastle, IN-0.433767310% Wausau, WI-0.403324069% South Bend-Mishawaka, IN-MI-0.402332414% Kokomo, IN-0.384969517% Scottsboro, AL-0.383700828% San Antonio-New Braunfels, TX-0.379240966% Spartanburg, SC-0.375002759% Arkadelphia, AR-0.334747931% Mount Sterling, KY-0.307396138% Akron, OH-0.294116345% Palm Bay-Melbourne-Titusville, FL-0.282853172% Worthington, MN-0.274249310% Columbus, GA-AL-0.267590000% LaGrange, GA-AL-0.261440414% Corbin, KY-0.261407172% Brunswick-St. Simons, GA-0.213889172% Boston-Cambridge-Newton, MA-NH-0.190027724% Albuquerque, NM-0.188764552%</t>
        </is>
      </c>
      <c r="AI223" s="69" t="inlineStr">
        <is>
          <t>South / Atlantic-40.435695310% Midwest / Central East-27.040205103% Midwest / Central West-10.551451586% South / Central West-9.977085862% South / Central East-9.345556621% West / Mountain-2.459977793% Northeast / New England-0.190027724%</t>
        </is>
      </c>
      <c r="AJ223" s="69" t="inlineStr">
        <is>
          <t>OF-82.170925241% MX-17.829074759%</t>
        </is>
      </c>
      <c r="AK223" s="69" t="n"/>
      <c r="AL223" s="68" t="n">
        <v>169</v>
      </c>
      <c r="AM223" s="68" t="n"/>
      <c r="AN223" s="68" t="n">
        <v>962501</v>
      </c>
      <c r="AO223" s="69" t="n"/>
      <c r="AP223" s="70" t="n">
        <v>2018</v>
      </c>
      <c r="AQ223" s="74" t="n">
        <v>1.59</v>
      </c>
      <c r="AR223" s="74" t="n">
        <v>1.63</v>
      </c>
      <c r="AS223" s="74" t="n">
        <v>55.1</v>
      </c>
      <c r="AT223" s="74" t="n"/>
      <c r="AU223" s="74" t="n">
        <v>46.6</v>
      </c>
      <c r="AV223" s="74" t="n">
        <v>11.081851213</v>
      </c>
      <c r="AW223" s="74" t="n"/>
      <c r="AX223" s="75" t="n">
        <v>96</v>
      </c>
      <c r="AY223" s="71" t="n">
        <v>325235000</v>
      </c>
      <c r="AZ223" s="71" t="n">
        <v>325235000</v>
      </c>
      <c r="BA223" s="71" t="n">
        <v>20002741.44</v>
      </c>
      <c r="BB223" s="71" t="n">
        <v>20449480.12</v>
      </c>
      <c r="BC223" s="69" t="inlineStr">
        <is>
          <t>Refinance</t>
        </is>
      </c>
      <c r="BD223" s="69" t="inlineStr">
        <is>
          <t>N</t>
        </is>
      </c>
      <c r="BE223" s="71" t="n">
        <v>0</v>
      </c>
      <c r="BF223" s="71" t="n"/>
      <c r="BG223" s="71" t="n"/>
      <c r="BH223" s="71" t="n">
        <v>0</v>
      </c>
      <c r="BI223" s="71" t="n">
        <v>0</v>
      </c>
      <c r="BJ223" s="69" t="inlineStr">
        <is>
          <t>N</t>
        </is>
      </c>
      <c r="BK223" s="69" t="inlineStr">
        <is>
          <t>HD home office</t>
        </is>
      </c>
      <c r="BL223" s="75" t="n">
        <v>8.75</v>
      </c>
      <c r="BM223" s="73" t="n">
        <v>46904</v>
      </c>
      <c r="BN223" s="69" t="n"/>
      <c r="BO223" s="69" t="inlineStr">
        <is>
          <t>UBS</t>
        </is>
      </c>
      <c r="BP223" s="69" t="inlineStr">
        <is>
          <t>Midland Loan Services</t>
        </is>
      </c>
      <c r="BQ223" s="69" t="inlineStr">
        <is>
          <t>Rialto Capital</t>
        </is>
      </c>
      <c r="BR223" s="69" t="inlineStr">
        <is>
          <t>Payoff With Yield Maintenance</t>
        </is>
      </c>
      <c r="BS223" s="73" t="n">
        <v>44879</v>
      </c>
      <c r="BU223" s="76">
        <f>IF($C223="","",IFERROR(INDEX(dmName,MATCH($C223,dmID,0)),"Unmapped"))</f>
        <v/>
      </c>
      <c r="BV223" s="76">
        <f>IF($C223="","",IFERROR(INDEX(dmEntity,MATCH($C223,dmID,0)),"Unmapped"))</f>
        <v/>
      </c>
      <c r="BW223" s="77">
        <f>IF($C223="","",IFERROR(INDEX(dmVintage,MATCH($C223,dmID,0)),""))</f>
        <v/>
      </c>
      <c r="BX223" s="78">
        <f>IFERROR(INDEX(dmInclude,MATCH($C223,dmID,0)),0)</f>
        <v/>
      </c>
      <c r="BY223" s="78">
        <f>IF(N($I223)&gt;0,1,0)</f>
        <v/>
      </c>
      <c r="BZ223" s="76">
        <f>IF($AJ223="","Other / Leased Fee",IFERROR(INDEX(mapPTGroup,MATCH(LEFT(TRIM($AJ223),2),mapPTCode,0)),"Other / Leased Fee"))</f>
        <v/>
      </c>
      <c r="CA223" s="76">
        <f>IF(TRIM($AF223&amp;"")="","NR",LEFT(TRIM($AF223),2))</f>
        <v/>
      </c>
      <c r="CB223" s="76">
        <f>IFERROR(LOOKUP(2,1/(LEFT(TRIM($AI223&amp;""),LEN(mapRegion))=mapRegion),mapRegion),"Not Reported")</f>
        <v/>
      </c>
      <c r="CC223" s="76">
        <f>IF($BY223=0,"",IF(TRIM($W223&amp;"")="REO","REO",IF(TRIM($W223&amp;"")="FC","Foreclosure",IF(TRIM($W223&amp;"")="90+","90+ Days Delinquent",IF(TRIM($W223&amp;"")="60","60 Days Delinquent",IF(TRIM($W223&amp;"")="30","30 Days Delinquent",IF($X223="Non-Performing Matured Balloon","Non-Performing Matured Balloon",IF(OR($X223="Late Payment But Less Than 30 Days Delinquent",LEFT($X223&amp;"",20)="Payment Not Received"),"Late / In Grace (&lt;30 Days)",IF($X223="Performing Matured Balloon","Performing Matured Balloon","Current")))))))))</f>
        <v/>
      </c>
      <c r="CD223" s="78">
        <f>IF(OR($CC223="REO",$CC223="Foreclosure",$CC223="90+ Days Delinquent",$CC223="60 Days Delinquent",$CC223="30 Days Delinquent",$CC223="Non-Performing Matured Balloon"),1,0)</f>
        <v/>
      </c>
      <c r="CE223" s="76">
        <f>IF($AB223="Currently special serv","Currently Specially Serviced",IF($AB223="Returned to master serv","Previously Specially Serviced","Never Specially Serviced"))</f>
        <v/>
      </c>
      <c r="CF223" s="78">
        <f>IF($CE223="Currently Specially Serviced",1,0)</f>
        <v/>
      </c>
      <c r="CG223" s="76">
        <f>IF($AA223="Yes","Currently on Watchlist",IF($AA223="Previously","Previously on Watchlist","Never on Watchlist"))</f>
        <v/>
      </c>
      <c r="CH223" s="78">
        <f>IF($CG223="Currently on Watchlist",1,0)</f>
        <v/>
      </c>
      <c r="CI223" s="76">
        <f>IF($Z223="Full Defeasance","Fully Defeased",IF($Z223="Portion Of Loan Previously Defeased","Partially Defeased",IF($Z223="Defeasance Not Allowable","Not Defeased (Not Permitted)","Not Defeased")))</f>
        <v/>
      </c>
      <c r="CJ223" s="78">
        <f>IF($CI223="Fully Defeased",1,0)</f>
        <v/>
      </c>
      <c r="CK223" s="76">
        <f>IF($R223="IO","Full IO",IF(LEFT($R223&amp;"",7)="IO then","Partial IO","Amortizing"))</f>
        <v/>
      </c>
      <c r="CL223" s="78">
        <f>IF($CK223="Full IO",1,0)</f>
        <v/>
      </c>
      <c r="CM223" s="78">
        <f>IF($CK223="Partial IO",1,0)</f>
        <v/>
      </c>
      <c r="CN223" s="76">
        <f>IF(LEFT($F223&amp;"",10)="SPLIT_LOAN","Pari Passu Split","Standalone")</f>
        <v/>
      </c>
      <c r="CO223" s="78">
        <f>IF($CN223="Pari Passu Split",1,0)</f>
        <v/>
      </c>
      <c r="CP223" s="77">
        <f>IF(ISNUMBER($T223),YEAR($T223),"")</f>
        <v/>
      </c>
      <c r="CQ223" s="79">
        <f>IF(ISNUMBER($V223),$V223,IF(ISNUMBER($U223),$U223,""))</f>
        <v/>
      </c>
      <c r="CR223" s="77">
        <f>IF(ISNUMBER($CQ223),YEAR($CQ223),"")</f>
        <v/>
      </c>
      <c r="CS223" s="78">
        <f>IF(ISNUMBER($M223),MAX(0,$M223),IF(TRIM($M223&amp;"")="matured",0,""))</f>
        <v/>
      </c>
      <c r="CT223" s="78">
        <f>IF(AND(ISNUMBER($CS223),N($CS223)&lt;=mMatWindow),1,0)</f>
        <v/>
      </c>
      <c r="CU223" s="80">
        <f>IF(ISNUMBER($J223),$J223/100,"")</f>
        <v/>
      </c>
      <c r="CV223" s="81">
        <f>IF(ISNUMBER($AQ223),$AQ223,"")</f>
        <v/>
      </c>
      <c r="CW223" s="81">
        <f>IF(ISNUMBER($AR223),$AR223,"")</f>
        <v/>
      </c>
      <c r="CX223" s="82">
        <f>IF(ISNUMBER($AS223),$AS223/100,"")</f>
        <v/>
      </c>
      <c r="CY223" s="82">
        <f>IF(ISNUMBER($AT223),$AT223/100,"")</f>
        <v/>
      </c>
      <c r="CZ223" s="82">
        <f>IF(ISNUMBER($AU223),$AU223/100,"")</f>
        <v/>
      </c>
      <c r="DA223" s="82">
        <f>IF(ISNUMBER($AV223),$AV223/100,"")</f>
        <v/>
      </c>
      <c r="DB223" s="82">
        <f>IF(ISNUMBER($AW223),$AW223/100,"")</f>
        <v/>
      </c>
      <c r="DC223" s="82">
        <f>IF(ISNUMBER($AX223),$AX223/100,"")</f>
        <v/>
      </c>
      <c r="DD223" s="77">
        <f>IFERROR(VALUE(LEFT(TRIM($AO223&amp;""),4)),"")</f>
        <v/>
      </c>
      <c r="DE223" s="78">
        <f>IF(AND($BY223=1,$BX223=1,OR(fDeal="All Deals",$BU223=fDeal),OR(fEntity="All Entities",$BV223=fEntity),OR(fPType="All Property Types",$BZ223=fPType),OR(fDefeased="Include",$CJ223=0)),1,0)</f>
        <v/>
      </c>
      <c r="DF223" s="83">
        <f>$DE223*N($I223)</f>
        <v/>
      </c>
      <c r="DG223" s="78">
        <f>IF($DE223=1,IF(COUNTIFS($F$8:$F223,$F223,$DE$8:$DE223,1)=1,1,0),0)</f>
        <v/>
      </c>
      <c r="DH223" s="83">
        <f>IF($DG223=1,SUMIFS($DF$8:$DF$1600,$F$8:$F$1600,$F223),0)</f>
        <v/>
      </c>
      <c r="DI223" s="78">
        <f>IF($DG223=1,COUNTIFS($F$8:$F$1600,$F223,$DE$8:$DE$1600,1),0)</f>
        <v/>
      </c>
      <c r="DJ223" s="84">
        <f>IF($DG223=1,$DH223+(100000-ROW())/mTieBreak,0)</f>
        <v/>
      </c>
    </row>
    <row r="224">
      <c r="B224" s="68" t="n">
        <v>27</v>
      </c>
      <c r="C224" s="69" t="inlineStr">
        <is>
          <t>BBC19C03</t>
        </is>
      </c>
      <c r="D224" s="69" t="inlineStr">
        <is>
          <t>27.000</t>
        </is>
      </c>
      <c r="E224" s="69" t="inlineStr">
        <is>
          <t>600 Pine Avenue</t>
        </is>
      </c>
      <c r="F224" s="69" t="inlineStr">
        <is>
          <t>LNBBC19C03-27.000</t>
        </is>
      </c>
      <c r="G224" s="70" t="n"/>
      <c r="H224" s="71" t="n">
        <v>14040000</v>
      </c>
      <c r="I224" s="71" t="n">
        <v>0</v>
      </c>
      <c r="J224" s="72" t="n">
        <v>4.8</v>
      </c>
      <c r="K224" s="69" t="inlineStr">
        <is>
          <t>Fixed rate</t>
        </is>
      </c>
      <c r="L224" s="68" t="n">
        <v>120</v>
      </c>
      <c r="M224" s="68" t="n"/>
      <c r="N224" s="68" t="n">
        <v>420</v>
      </c>
      <c r="O224" s="68" t="n">
        <v>60</v>
      </c>
      <c r="P224" s="68" t="n"/>
      <c r="Q224" s="68" t="n"/>
      <c r="R224" s="69" t="inlineStr">
        <is>
          <t>IO then Amort</t>
        </is>
      </c>
      <c r="S224" s="69" t="inlineStr">
        <is>
          <t>No</t>
        </is>
      </c>
      <c r="T224" s="73" t="n">
        <v>43497</v>
      </c>
      <c r="U224" s="73" t="n">
        <v>47150</v>
      </c>
      <c r="V224" s="73" t="n"/>
      <c r="W224" s="69" t="n"/>
      <c r="X224" s="69" t="inlineStr">
        <is>
          <t>Current</t>
        </is>
      </c>
      <c r="Y224" s="68" t="n"/>
      <c r="Z224" s="69" t="inlineStr">
        <is>
          <t>Defeasance Not Allowable</t>
        </is>
      </c>
      <c r="AA224" s="69" t="inlineStr">
        <is>
          <t>Previously</t>
        </is>
      </c>
      <c r="AB224" s="69" t="inlineStr">
        <is>
          <t>Never special serv</t>
        </is>
      </c>
      <c r="AC224" s="73" t="n"/>
      <c r="AD224" s="69" t="n"/>
      <c r="AE224" s="69" t="n"/>
      <c r="AF224" s="69" t="inlineStr">
        <is>
          <t>CA</t>
        </is>
      </c>
      <c r="AG224" s="69" t="inlineStr">
        <is>
          <t>Goleta</t>
        </is>
      </c>
      <c r="AH224" s="69" t="inlineStr">
        <is>
          <t>Santa Maria-Santa Barbara, CA</t>
        </is>
      </c>
      <c r="AI224" s="69" t="inlineStr">
        <is>
          <t>West / Pacific South</t>
        </is>
      </c>
      <c r="AJ224" s="69" t="inlineStr">
        <is>
          <t>IN</t>
        </is>
      </c>
      <c r="AK224" s="69" t="inlineStr">
        <is>
          <t>Flex</t>
        </is>
      </c>
      <c r="AL224" s="68" t="n">
        <v>1</v>
      </c>
      <c r="AM224" s="68" t="n"/>
      <c r="AN224" s="68" t="n">
        <v>83479</v>
      </c>
      <c r="AO224" s="69" t="inlineStr">
        <is>
          <t>1972</t>
        </is>
      </c>
      <c r="AP224" s="70" t="n">
        <v>2010</v>
      </c>
      <c r="AQ224" s="74" t="n">
        <v>1.76</v>
      </c>
      <c r="AR224" s="74" t="n">
        <v>1.62</v>
      </c>
      <c r="AS224" s="74" t="n">
        <v>65.3</v>
      </c>
      <c r="AT224" s="74" t="n"/>
      <c r="AU224" s="74" t="n">
        <v>60</v>
      </c>
      <c r="AV224" s="74" t="n">
        <v>11.051638177</v>
      </c>
      <c r="AW224" s="74" t="n"/>
      <c r="AX224" s="75" t="n">
        <v>100</v>
      </c>
      <c r="AY224" s="71" t="n">
        <v>21500000</v>
      </c>
      <c r="AZ224" s="71" t="n">
        <v>21500000</v>
      </c>
      <c r="BA224" s="71" t="n">
        <v>1551650</v>
      </c>
      <c r="BB224" s="71" t="n">
        <v>1432531.97</v>
      </c>
      <c r="BC224" s="69" t="inlineStr">
        <is>
          <t>Acquisition</t>
        </is>
      </c>
      <c r="BD224" s="69" t="inlineStr">
        <is>
          <t>N</t>
        </is>
      </c>
      <c r="BE224" s="71" t="n"/>
      <c r="BF224" s="71" t="n"/>
      <c r="BG224" s="71" t="n"/>
      <c r="BH224" s="71" t="n">
        <v>0</v>
      </c>
      <c r="BI224" s="71" t="n">
        <v>0</v>
      </c>
      <c r="BJ224" s="69" t="inlineStr">
        <is>
          <t>N</t>
        </is>
      </c>
      <c r="BK224" s="69" t="inlineStr">
        <is>
          <t>Northrop Grumman Innovation Systems Inc.</t>
        </is>
      </c>
      <c r="BL224" s="75" t="n">
        <v>100</v>
      </c>
      <c r="BM224" s="73" t="n">
        <v>49034</v>
      </c>
      <c r="BN224" s="69" t="n"/>
      <c r="BO224" s="69" t="inlineStr">
        <is>
          <t>Societe Generale</t>
        </is>
      </c>
      <c r="BP224" s="69" t="inlineStr">
        <is>
          <t>Midland Loan Services</t>
        </is>
      </c>
      <c r="BQ224" s="69" t="inlineStr">
        <is>
          <t>K-Star Asset Management LLC</t>
        </is>
      </c>
      <c r="BR224" s="69" t="inlineStr">
        <is>
          <t>Payoff With Yield Maintenance</t>
        </is>
      </c>
      <c r="BS224" s="73" t="n">
        <v>46245</v>
      </c>
      <c r="BU224" s="76">
        <f>IF($C224="","",IFERROR(INDEX(dmName,MATCH($C224,dmID,0)),"Unmapped"))</f>
        <v/>
      </c>
      <c r="BV224" s="76">
        <f>IF($C224="","",IFERROR(INDEX(dmEntity,MATCH($C224,dmID,0)),"Unmapped"))</f>
        <v/>
      </c>
      <c r="BW224" s="77">
        <f>IF($C224="","",IFERROR(INDEX(dmVintage,MATCH($C224,dmID,0)),""))</f>
        <v/>
      </c>
      <c r="BX224" s="78">
        <f>IFERROR(INDEX(dmInclude,MATCH($C224,dmID,0)),0)</f>
        <v/>
      </c>
      <c r="BY224" s="78">
        <f>IF(N($I224)&gt;0,1,0)</f>
        <v/>
      </c>
      <c r="BZ224" s="76">
        <f>IF($AJ224="","Other / Leased Fee",IFERROR(INDEX(mapPTGroup,MATCH(LEFT(TRIM($AJ224),2),mapPTCode,0)),"Other / Leased Fee"))</f>
        <v/>
      </c>
      <c r="CA224" s="76">
        <f>IF(TRIM($AF224&amp;"")="","NR",LEFT(TRIM($AF224),2))</f>
        <v/>
      </c>
      <c r="CB224" s="76">
        <f>IFERROR(LOOKUP(2,1/(LEFT(TRIM($AI224&amp;""),LEN(mapRegion))=mapRegion),mapRegion),"Not Reported")</f>
        <v/>
      </c>
      <c r="CC224" s="76">
        <f>IF($BY224=0,"",IF(TRIM($W224&amp;"")="REO","REO",IF(TRIM($W224&amp;"")="FC","Foreclosure",IF(TRIM($W224&amp;"")="90+","90+ Days Delinquent",IF(TRIM($W224&amp;"")="60","60 Days Delinquent",IF(TRIM($W224&amp;"")="30","30 Days Delinquent",IF($X224="Non-Performing Matured Balloon","Non-Performing Matured Balloon",IF(OR($X224="Late Payment But Less Than 30 Days Delinquent",LEFT($X224&amp;"",20)="Payment Not Received"),"Late / In Grace (&lt;30 Days)",IF($X224="Performing Matured Balloon","Performing Matured Balloon","Current")))))))))</f>
        <v/>
      </c>
      <c r="CD224" s="78">
        <f>IF(OR($CC224="REO",$CC224="Foreclosure",$CC224="90+ Days Delinquent",$CC224="60 Days Delinquent",$CC224="30 Days Delinquent",$CC224="Non-Performing Matured Balloon"),1,0)</f>
        <v/>
      </c>
      <c r="CE224" s="76">
        <f>IF($AB224="Currently special serv","Currently Specially Serviced",IF($AB224="Returned to master serv","Previously Specially Serviced","Never Specially Serviced"))</f>
        <v/>
      </c>
      <c r="CF224" s="78">
        <f>IF($CE224="Currently Specially Serviced",1,0)</f>
        <v/>
      </c>
      <c r="CG224" s="76">
        <f>IF($AA224="Yes","Currently on Watchlist",IF($AA224="Previously","Previously on Watchlist","Never on Watchlist"))</f>
        <v/>
      </c>
      <c r="CH224" s="78">
        <f>IF($CG224="Currently on Watchlist",1,0)</f>
        <v/>
      </c>
      <c r="CI224" s="76">
        <f>IF($Z224="Full Defeasance","Fully Defeased",IF($Z224="Portion Of Loan Previously Defeased","Partially Defeased",IF($Z224="Defeasance Not Allowable","Not Defeased (Not Permitted)","Not Defeased")))</f>
        <v/>
      </c>
      <c r="CJ224" s="78">
        <f>IF($CI224="Fully Defeased",1,0)</f>
        <v/>
      </c>
      <c r="CK224" s="76">
        <f>IF($R224="IO","Full IO",IF(LEFT($R224&amp;"",7)="IO then","Partial IO","Amortizing"))</f>
        <v/>
      </c>
      <c r="CL224" s="78">
        <f>IF($CK224="Full IO",1,0)</f>
        <v/>
      </c>
      <c r="CM224" s="78">
        <f>IF($CK224="Partial IO",1,0)</f>
        <v/>
      </c>
      <c r="CN224" s="76">
        <f>IF(LEFT($F224&amp;"",10)="SPLIT_LOAN","Pari Passu Split","Standalone")</f>
        <v/>
      </c>
      <c r="CO224" s="78">
        <f>IF($CN224="Pari Passu Split",1,0)</f>
        <v/>
      </c>
      <c r="CP224" s="77">
        <f>IF(ISNUMBER($T224),YEAR($T224),"")</f>
        <v/>
      </c>
      <c r="CQ224" s="79">
        <f>IF(ISNUMBER($V224),$V224,IF(ISNUMBER($U224),$U224,""))</f>
        <v/>
      </c>
      <c r="CR224" s="77">
        <f>IF(ISNUMBER($CQ224),YEAR($CQ224),"")</f>
        <v/>
      </c>
      <c r="CS224" s="78">
        <f>IF(ISNUMBER($M224),MAX(0,$M224),IF(TRIM($M224&amp;"")="matured",0,""))</f>
        <v/>
      </c>
      <c r="CT224" s="78">
        <f>IF(AND(ISNUMBER($CS224),N($CS224)&lt;=mMatWindow),1,0)</f>
        <v/>
      </c>
      <c r="CU224" s="80">
        <f>IF(ISNUMBER($J224),$J224/100,"")</f>
        <v/>
      </c>
      <c r="CV224" s="81">
        <f>IF(ISNUMBER($AQ224),$AQ224,"")</f>
        <v/>
      </c>
      <c r="CW224" s="81">
        <f>IF(ISNUMBER($AR224),$AR224,"")</f>
        <v/>
      </c>
      <c r="CX224" s="82">
        <f>IF(ISNUMBER($AS224),$AS224/100,"")</f>
        <v/>
      </c>
      <c r="CY224" s="82">
        <f>IF(ISNUMBER($AT224),$AT224/100,"")</f>
        <v/>
      </c>
      <c r="CZ224" s="82">
        <f>IF(ISNUMBER($AU224),$AU224/100,"")</f>
        <v/>
      </c>
      <c r="DA224" s="82">
        <f>IF(ISNUMBER($AV224),$AV224/100,"")</f>
        <v/>
      </c>
      <c r="DB224" s="82">
        <f>IF(ISNUMBER($AW224),$AW224/100,"")</f>
        <v/>
      </c>
      <c r="DC224" s="82">
        <f>IF(ISNUMBER($AX224),$AX224/100,"")</f>
        <v/>
      </c>
      <c r="DD224" s="77">
        <f>IFERROR(VALUE(LEFT(TRIM($AO224&amp;""),4)),"")</f>
        <v/>
      </c>
      <c r="DE224" s="78">
        <f>IF(AND($BY224=1,$BX224=1,OR(fDeal="All Deals",$BU224=fDeal),OR(fEntity="All Entities",$BV224=fEntity),OR(fPType="All Property Types",$BZ224=fPType),OR(fDefeased="Include",$CJ224=0)),1,0)</f>
        <v/>
      </c>
      <c r="DF224" s="83">
        <f>$DE224*N($I224)</f>
        <v/>
      </c>
      <c r="DG224" s="78">
        <f>IF($DE224=1,IF(COUNTIFS($F$8:$F224,$F224,$DE$8:$DE224,1)=1,1,0),0)</f>
        <v/>
      </c>
      <c r="DH224" s="83">
        <f>IF($DG224=1,SUMIFS($DF$8:$DF$1600,$F$8:$F$1600,$F224),0)</f>
        <v/>
      </c>
      <c r="DI224" s="78">
        <f>IF($DG224=1,COUNTIFS($F$8:$F$1600,$F224,$DE$8:$DE$1600,1),0)</f>
        <v/>
      </c>
      <c r="DJ224" s="84">
        <f>IF($DG224=1,$DH224+(100000-ROW())/mTieBreak,0)</f>
        <v/>
      </c>
    </row>
    <row r="225">
      <c r="B225" s="68" t="n">
        <v>28</v>
      </c>
      <c r="C225" s="69" t="inlineStr">
        <is>
          <t>BBC19C03</t>
        </is>
      </c>
      <c r="D225" s="69" t="inlineStr">
        <is>
          <t>28.000</t>
        </is>
      </c>
      <c r="E225" s="69" t="inlineStr">
        <is>
          <t>HGI Lubbock</t>
        </is>
      </c>
      <c r="F225" s="69" t="inlineStr">
        <is>
          <t>LNBBC19C03-28.000</t>
        </is>
      </c>
      <c r="G225" s="70" t="n"/>
      <c r="H225" s="71" t="n">
        <v>13570000</v>
      </c>
      <c r="I225" s="71" t="n">
        <v>12624118.0499957</v>
      </c>
      <c r="J225" s="72" t="n">
        <v>4.93</v>
      </c>
      <c r="K225" s="69" t="inlineStr">
        <is>
          <t>Fixed rate</t>
        </is>
      </c>
      <c r="L225" s="68" t="n">
        <v>120</v>
      </c>
      <c r="M225" s="68" t="n">
        <v>30</v>
      </c>
      <c r="N225" s="68" t="n">
        <v>396</v>
      </c>
      <c r="O225" s="68" t="n">
        <v>36</v>
      </c>
      <c r="P225" s="68" t="n">
        <v>0</v>
      </c>
      <c r="Q225" s="68" t="n">
        <v>90</v>
      </c>
      <c r="R225" s="69" t="inlineStr">
        <is>
          <t>IO then Amort</t>
        </is>
      </c>
      <c r="S225" s="69" t="inlineStr">
        <is>
          <t>No</t>
        </is>
      </c>
      <c r="T225" s="73" t="n">
        <v>43525</v>
      </c>
      <c r="U225" s="73" t="n">
        <v>47183</v>
      </c>
      <c r="V225" s="73" t="n"/>
      <c r="W225" s="69" t="n"/>
      <c r="X225" s="69" t="inlineStr">
        <is>
          <t>Current</t>
        </is>
      </c>
      <c r="Y225" s="68" t="n"/>
      <c r="Z225" s="69" t="inlineStr">
        <is>
          <t>No Defeasance Occurred</t>
        </is>
      </c>
      <c r="AA225" s="69" t="inlineStr">
        <is>
          <t>Previously</t>
        </is>
      </c>
      <c r="AB225" s="69" t="inlineStr">
        <is>
          <t>Never special serv</t>
        </is>
      </c>
      <c r="AC225" s="73" t="n"/>
      <c r="AD225" s="69" t="n"/>
      <c r="AE225" s="69" t="n"/>
      <c r="AF225" s="69" t="inlineStr">
        <is>
          <t>TX</t>
        </is>
      </c>
      <c r="AG225" s="69" t="inlineStr">
        <is>
          <t>Lubbock</t>
        </is>
      </c>
      <c r="AH225" s="69" t="inlineStr">
        <is>
          <t>Lubbock, TX</t>
        </is>
      </c>
      <c r="AI225" s="69" t="inlineStr">
        <is>
          <t>South / Central West</t>
        </is>
      </c>
      <c r="AJ225" s="69" t="inlineStr">
        <is>
          <t>HT</t>
        </is>
      </c>
      <c r="AK225" s="69" t="inlineStr">
        <is>
          <t>Select Service</t>
        </is>
      </c>
      <c r="AL225" s="68" t="n">
        <v>1</v>
      </c>
      <c r="AM225" s="68" t="n">
        <v>113</v>
      </c>
      <c r="AN225" s="68" t="n"/>
      <c r="AO225" s="69" t="inlineStr">
        <is>
          <t>2016</t>
        </is>
      </c>
      <c r="AP225" s="70" t="n">
        <v>2016</v>
      </c>
      <c r="AQ225" s="74" t="n">
        <v>1.96</v>
      </c>
      <c r="AR225" s="74" t="n">
        <v>1.46</v>
      </c>
      <c r="AS225" s="74" t="n">
        <v>64</v>
      </c>
      <c r="AT225" s="74" t="n">
        <v>59.55</v>
      </c>
      <c r="AU225" s="74" t="n">
        <v>56.6</v>
      </c>
      <c r="AV225" s="74" t="n">
        <v>12.545475313</v>
      </c>
      <c r="AW225" s="74" t="n">
        <v>10.031831016</v>
      </c>
      <c r="AX225" s="75" t="n">
        <v>80</v>
      </c>
      <c r="AY225" s="71" t="n">
        <v>21200000</v>
      </c>
      <c r="AZ225" s="71" t="n">
        <v>21200000</v>
      </c>
      <c r="BA225" s="71" t="n">
        <v>1702421</v>
      </c>
      <c r="BB225" s="71" t="n">
        <v>1266430.19</v>
      </c>
      <c r="BC225" s="69" t="inlineStr">
        <is>
          <t>Acquisition</t>
        </is>
      </c>
      <c r="BD225" s="69" t="inlineStr">
        <is>
          <t>N</t>
        </is>
      </c>
      <c r="BE225" s="71" t="n"/>
      <c r="BF225" s="71" t="n"/>
      <c r="BG225" s="71" t="n"/>
      <c r="BH225" s="71" t="n">
        <v>0</v>
      </c>
      <c r="BI225" s="71" t="n">
        <v>0</v>
      </c>
      <c r="BJ225" s="69" t="inlineStr">
        <is>
          <t>Y</t>
        </is>
      </c>
      <c r="BK225" s="69" t="n"/>
      <c r="BL225" s="75" t="n"/>
      <c r="BM225" s="73" t="n"/>
      <c r="BN225" s="69" t="n"/>
      <c r="BO225" s="69" t="inlineStr">
        <is>
          <t>Barclays</t>
        </is>
      </c>
      <c r="BP225" s="69" t="inlineStr">
        <is>
          <t>Midland Loan Services</t>
        </is>
      </c>
      <c r="BQ225" s="69" t="inlineStr">
        <is>
          <t>K-Star Asset Management LLC</t>
        </is>
      </c>
      <c r="BR225" s="69" t="n"/>
      <c r="BS225" s="73" t="n">
        <v>46276</v>
      </c>
      <c r="BU225" s="76">
        <f>IF($C225="","",IFERROR(INDEX(dmName,MATCH($C225,dmID,0)),"Unmapped"))</f>
        <v/>
      </c>
      <c r="BV225" s="76">
        <f>IF($C225="","",IFERROR(INDEX(dmEntity,MATCH($C225,dmID,0)),"Unmapped"))</f>
        <v/>
      </c>
      <c r="BW225" s="77">
        <f>IF($C225="","",IFERROR(INDEX(dmVintage,MATCH($C225,dmID,0)),""))</f>
        <v/>
      </c>
      <c r="BX225" s="78">
        <f>IFERROR(INDEX(dmInclude,MATCH($C225,dmID,0)),0)</f>
        <v/>
      </c>
      <c r="BY225" s="78">
        <f>IF(N($I225)&gt;0,1,0)</f>
        <v/>
      </c>
      <c r="BZ225" s="76">
        <f>IF($AJ225="","Other / Leased Fee",IFERROR(INDEX(mapPTGroup,MATCH(LEFT(TRIM($AJ225),2),mapPTCode,0)),"Other / Leased Fee"))</f>
        <v/>
      </c>
      <c r="CA225" s="76">
        <f>IF(TRIM($AF225&amp;"")="","NR",LEFT(TRIM($AF225),2))</f>
        <v/>
      </c>
      <c r="CB225" s="76">
        <f>IFERROR(LOOKUP(2,1/(LEFT(TRIM($AI225&amp;""),LEN(mapRegion))=mapRegion),mapRegion),"Not Reported")</f>
        <v/>
      </c>
      <c r="CC225" s="76">
        <f>IF($BY225=0,"",IF(TRIM($W225&amp;"")="REO","REO",IF(TRIM($W225&amp;"")="FC","Foreclosure",IF(TRIM($W225&amp;"")="90+","90+ Days Delinquent",IF(TRIM($W225&amp;"")="60","60 Days Delinquent",IF(TRIM($W225&amp;"")="30","30 Days Delinquent",IF($X225="Non-Performing Matured Balloon","Non-Performing Matured Balloon",IF(OR($X225="Late Payment But Less Than 30 Days Delinquent",LEFT($X225&amp;"",20)="Payment Not Received"),"Late / In Grace (&lt;30 Days)",IF($X225="Performing Matured Balloon","Performing Matured Balloon","Current")))))))))</f>
        <v/>
      </c>
      <c r="CD225" s="78">
        <f>IF(OR($CC225="REO",$CC225="Foreclosure",$CC225="90+ Days Delinquent",$CC225="60 Days Delinquent",$CC225="30 Days Delinquent",$CC225="Non-Performing Matured Balloon"),1,0)</f>
        <v/>
      </c>
      <c r="CE225" s="76">
        <f>IF($AB225="Currently special serv","Currently Specially Serviced",IF($AB225="Returned to master serv","Previously Specially Serviced","Never Specially Serviced"))</f>
        <v/>
      </c>
      <c r="CF225" s="78">
        <f>IF($CE225="Currently Specially Serviced",1,0)</f>
        <v/>
      </c>
      <c r="CG225" s="76">
        <f>IF($AA225="Yes","Currently on Watchlist",IF($AA225="Previously","Previously on Watchlist","Never on Watchlist"))</f>
        <v/>
      </c>
      <c r="CH225" s="78">
        <f>IF($CG225="Currently on Watchlist",1,0)</f>
        <v/>
      </c>
      <c r="CI225" s="76">
        <f>IF($Z225="Full Defeasance","Fully Defeased",IF($Z225="Portion Of Loan Previously Defeased","Partially Defeased",IF($Z225="Defeasance Not Allowable","Not Defeased (Not Permitted)","Not Defeased")))</f>
        <v/>
      </c>
      <c r="CJ225" s="78">
        <f>IF($CI225="Fully Defeased",1,0)</f>
        <v/>
      </c>
      <c r="CK225" s="76">
        <f>IF($R225="IO","Full IO",IF(LEFT($R225&amp;"",7)="IO then","Partial IO","Amortizing"))</f>
        <v/>
      </c>
      <c r="CL225" s="78">
        <f>IF($CK225="Full IO",1,0)</f>
        <v/>
      </c>
      <c r="CM225" s="78">
        <f>IF($CK225="Partial IO",1,0)</f>
        <v/>
      </c>
      <c r="CN225" s="76">
        <f>IF(LEFT($F225&amp;"",10)="SPLIT_LOAN","Pari Passu Split","Standalone")</f>
        <v/>
      </c>
      <c r="CO225" s="78">
        <f>IF($CN225="Pari Passu Split",1,0)</f>
        <v/>
      </c>
      <c r="CP225" s="77">
        <f>IF(ISNUMBER($T225),YEAR($T225),"")</f>
        <v/>
      </c>
      <c r="CQ225" s="79">
        <f>IF(ISNUMBER($V225),$V225,IF(ISNUMBER($U225),$U225,""))</f>
        <v/>
      </c>
      <c r="CR225" s="77">
        <f>IF(ISNUMBER($CQ225),YEAR($CQ225),"")</f>
        <v/>
      </c>
      <c r="CS225" s="78">
        <f>IF(ISNUMBER($M225),MAX(0,$M225),IF(TRIM($M225&amp;"")="matured",0,""))</f>
        <v/>
      </c>
      <c r="CT225" s="78">
        <f>IF(AND(ISNUMBER($CS225),N($CS225)&lt;=mMatWindow),1,0)</f>
        <v/>
      </c>
      <c r="CU225" s="80">
        <f>IF(ISNUMBER($J225),$J225/100,"")</f>
        <v/>
      </c>
      <c r="CV225" s="81">
        <f>IF(ISNUMBER($AQ225),$AQ225,"")</f>
        <v/>
      </c>
      <c r="CW225" s="81">
        <f>IF(ISNUMBER($AR225),$AR225,"")</f>
        <v/>
      </c>
      <c r="CX225" s="82">
        <f>IF(ISNUMBER($AS225),$AS225/100,"")</f>
        <v/>
      </c>
      <c r="CY225" s="82">
        <f>IF(ISNUMBER($AT225),$AT225/100,"")</f>
        <v/>
      </c>
      <c r="CZ225" s="82">
        <f>IF(ISNUMBER($AU225),$AU225/100,"")</f>
        <v/>
      </c>
      <c r="DA225" s="82">
        <f>IF(ISNUMBER($AV225),$AV225/100,"")</f>
        <v/>
      </c>
      <c r="DB225" s="82">
        <f>IF(ISNUMBER($AW225),$AW225/100,"")</f>
        <v/>
      </c>
      <c r="DC225" s="82">
        <f>IF(ISNUMBER($AX225),$AX225/100,"")</f>
        <v/>
      </c>
      <c r="DD225" s="77">
        <f>IFERROR(VALUE(LEFT(TRIM($AO225&amp;""),4)),"")</f>
        <v/>
      </c>
      <c r="DE225" s="78">
        <f>IF(AND($BY225=1,$BX225=1,OR(fDeal="All Deals",$BU225=fDeal),OR(fEntity="All Entities",$BV225=fEntity),OR(fPType="All Property Types",$BZ225=fPType),OR(fDefeased="Include",$CJ225=0)),1,0)</f>
        <v/>
      </c>
      <c r="DF225" s="83">
        <f>$DE225*N($I225)</f>
        <v/>
      </c>
      <c r="DG225" s="78">
        <f>IF($DE225=1,IF(COUNTIFS($F$8:$F225,$F225,$DE$8:$DE225,1)=1,1,0),0)</f>
        <v/>
      </c>
      <c r="DH225" s="83">
        <f>IF($DG225=1,SUMIFS($DF$8:$DF$1600,$F$8:$F$1600,$F225),0)</f>
        <v/>
      </c>
      <c r="DI225" s="78">
        <f>IF($DG225=1,COUNTIFS($F$8:$F$1600,$F225,$DE$8:$DE$1600,1),0)</f>
        <v/>
      </c>
      <c r="DJ225" s="84">
        <f>IF($DG225=1,$DH225+(100000-ROW())/mTieBreak,0)</f>
        <v/>
      </c>
    </row>
    <row r="226">
      <c r="B226" s="68" t="n">
        <v>29</v>
      </c>
      <c r="C226" s="69" t="inlineStr">
        <is>
          <t>BBC19C03</t>
        </is>
      </c>
      <c r="D226" s="69" t="inlineStr">
        <is>
          <t>29.000</t>
        </is>
      </c>
      <c r="E226" s="69" t="inlineStr">
        <is>
          <t>Carolina Beverage Group Building</t>
        </is>
      </c>
      <c r="F226" s="69" t="inlineStr">
        <is>
          <t>LNBBC19C03-29.000</t>
        </is>
      </c>
      <c r="G226" s="70" t="n"/>
      <c r="H226" s="71" t="n">
        <v>11732500</v>
      </c>
      <c r="I226" s="71" t="n">
        <v>11057833.39999601</v>
      </c>
      <c r="J226" s="72" t="n">
        <v>5.03</v>
      </c>
      <c r="K226" s="69" t="inlineStr">
        <is>
          <t>Fixed rate</t>
        </is>
      </c>
      <c r="L226" s="68" t="n">
        <v>120</v>
      </c>
      <c r="M226" s="68" t="n">
        <v>26</v>
      </c>
      <c r="N226" s="68" t="n">
        <v>408</v>
      </c>
      <c r="O226" s="68" t="n">
        <v>48</v>
      </c>
      <c r="P226" s="68" t="n">
        <v>0</v>
      </c>
      <c r="Q226" s="68" t="n">
        <v>94</v>
      </c>
      <c r="R226" s="69" t="inlineStr">
        <is>
          <t>IO then Amort</t>
        </is>
      </c>
      <c r="S226" s="69" t="inlineStr">
        <is>
          <t>No</t>
        </is>
      </c>
      <c r="T226" s="73" t="n">
        <v>43405</v>
      </c>
      <c r="U226" s="73" t="n">
        <v>47058</v>
      </c>
      <c r="V226" s="73" t="n"/>
      <c r="W226" s="69" t="n"/>
      <c r="X226" s="69" t="inlineStr">
        <is>
          <t>Current</t>
        </is>
      </c>
      <c r="Y226" s="68" t="n"/>
      <c r="Z226" s="69" t="inlineStr">
        <is>
          <t>No Defeasance Occurred</t>
        </is>
      </c>
      <c r="AA226" s="69" t="n"/>
      <c r="AB226" s="69" t="inlineStr">
        <is>
          <t>Never special serv</t>
        </is>
      </c>
      <c r="AC226" s="73" t="n"/>
      <c r="AD226" s="69" t="n"/>
      <c r="AE226" s="69" t="n"/>
      <c r="AF226" s="69" t="inlineStr">
        <is>
          <t>NC</t>
        </is>
      </c>
      <c r="AG226" s="69" t="inlineStr">
        <is>
          <t>Mooresville</t>
        </is>
      </c>
      <c r="AH226" s="69" t="inlineStr">
        <is>
          <t>Charlotte-Concord-Gastonia, NC-SC</t>
        </is>
      </c>
      <c r="AI226" s="69" t="inlineStr">
        <is>
          <t>South / Atlantic</t>
        </is>
      </c>
      <c r="AJ226" s="69" t="inlineStr">
        <is>
          <t>IN</t>
        </is>
      </c>
      <c r="AK226" s="69" t="inlineStr">
        <is>
          <t>Warehouse/Distribution</t>
        </is>
      </c>
      <c r="AL226" s="68" t="n">
        <v>1</v>
      </c>
      <c r="AM226" s="68" t="n"/>
      <c r="AN226" s="68" t="n">
        <v>151142</v>
      </c>
      <c r="AO226" s="69" t="inlineStr">
        <is>
          <t>1998, 2005, 2007</t>
        </is>
      </c>
      <c r="AP226" s="70" t="n">
        <v>2007</v>
      </c>
      <c r="AQ226" s="74" t="n">
        <v>1.39</v>
      </c>
      <c r="AR226" s="74" t="n">
        <v>1.63</v>
      </c>
      <c r="AS226" s="74" t="n">
        <v>63.8</v>
      </c>
      <c r="AT226" s="74" t="n">
        <v>60.1</v>
      </c>
      <c r="AU226" s="74" t="n">
        <v>57.7</v>
      </c>
      <c r="AV226" s="74" t="n">
        <v>9.015042745000001</v>
      </c>
      <c r="AW226" s="74" t="n">
        <v>11.208054554</v>
      </c>
      <c r="AX226" s="75" t="n">
        <v>100</v>
      </c>
      <c r="AY226" s="71" t="n">
        <v>18400000</v>
      </c>
      <c r="AZ226" s="71" t="n">
        <v>18400000</v>
      </c>
      <c r="BA226" s="71" t="n">
        <v>1057689.89</v>
      </c>
      <c r="BB226" s="71" t="n">
        <v>1239368</v>
      </c>
      <c r="BC226" s="69" t="inlineStr">
        <is>
          <t>Acquisition</t>
        </is>
      </c>
      <c r="BD226" s="69" t="inlineStr">
        <is>
          <t>N</t>
        </is>
      </c>
      <c r="BE226" s="71" t="n"/>
      <c r="BF226" s="71" t="n"/>
      <c r="BG226" s="71" t="n"/>
      <c r="BH226" s="71" t="n">
        <v>0</v>
      </c>
      <c r="BI226" s="71" t="n">
        <v>0</v>
      </c>
      <c r="BJ226" s="69" t="inlineStr">
        <is>
          <t>N</t>
        </is>
      </c>
      <c r="BK226" s="69" t="inlineStr">
        <is>
          <t>Carolina Beverage Group</t>
        </is>
      </c>
      <c r="BL226" s="75" t="n">
        <v>100</v>
      </c>
      <c r="BM226" s="73" t="n">
        <v>49795</v>
      </c>
      <c r="BN226" s="69" t="n"/>
      <c r="BO226" s="69" t="inlineStr">
        <is>
          <t>KeyBank</t>
        </is>
      </c>
      <c r="BP226" s="69" t="inlineStr">
        <is>
          <t>Midland Loan Services</t>
        </is>
      </c>
      <c r="BQ226" s="69" t="inlineStr">
        <is>
          <t>K-Star Asset Management LLC</t>
        </is>
      </c>
      <c r="BR226" s="69" t="n"/>
      <c r="BS226" s="73" t="n">
        <v>46276</v>
      </c>
      <c r="BU226" s="76">
        <f>IF($C226="","",IFERROR(INDEX(dmName,MATCH($C226,dmID,0)),"Unmapped"))</f>
        <v/>
      </c>
      <c r="BV226" s="76">
        <f>IF($C226="","",IFERROR(INDEX(dmEntity,MATCH($C226,dmID,0)),"Unmapped"))</f>
        <v/>
      </c>
      <c r="BW226" s="77">
        <f>IF($C226="","",IFERROR(INDEX(dmVintage,MATCH($C226,dmID,0)),""))</f>
        <v/>
      </c>
      <c r="BX226" s="78">
        <f>IFERROR(INDEX(dmInclude,MATCH($C226,dmID,0)),0)</f>
        <v/>
      </c>
      <c r="BY226" s="78">
        <f>IF(N($I226)&gt;0,1,0)</f>
        <v/>
      </c>
      <c r="BZ226" s="76">
        <f>IF($AJ226="","Other / Leased Fee",IFERROR(INDEX(mapPTGroup,MATCH(LEFT(TRIM($AJ226),2),mapPTCode,0)),"Other / Leased Fee"))</f>
        <v/>
      </c>
      <c r="CA226" s="76">
        <f>IF(TRIM($AF226&amp;"")="","NR",LEFT(TRIM($AF226),2))</f>
        <v/>
      </c>
      <c r="CB226" s="76">
        <f>IFERROR(LOOKUP(2,1/(LEFT(TRIM($AI226&amp;""),LEN(mapRegion))=mapRegion),mapRegion),"Not Reported")</f>
        <v/>
      </c>
      <c r="CC226" s="76">
        <f>IF($BY226=0,"",IF(TRIM($W226&amp;"")="REO","REO",IF(TRIM($W226&amp;"")="FC","Foreclosure",IF(TRIM($W226&amp;"")="90+","90+ Days Delinquent",IF(TRIM($W226&amp;"")="60","60 Days Delinquent",IF(TRIM($W226&amp;"")="30","30 Days Delinquent",IF($X226="Non-Performing Matured Balloon","Non-Performing Matured Balloon",IF(OR($X226="Late Payment But Less Than 30 Days Delinquent",LEFT($X226&amp;"",20)="Payment Not Received"),"Late / In Grace (&lt;30 Days)",IF($X226="Performing Matured Balloon","Performing Matured Balloon","Current")))))))))</f>
        <v/>
      </c>
      <c r="CD226" s="78">
        <f>IF(OR($CC226="REO",$CC226="Foreclosure",$CC226="90+ Days Delinquent",$CC226="60 Days Delinquent",$CC226="30 Days Delinquent",$CC226="Non-Performing Matured Balloon"),1,0)</f>
        <v/>
      </c>
      <c r="CE226" s="76">
        <f>IF($AB226="Currently special serv","Currently Specially Serviced",IF($AB226="Returned to master serv","Previously Specially Serviced","Never Specially Serviced"))</f>
        <v/>
      </c>
      <c r="CF226" s="78">
        <f>IF($CE226="Currently Specially Serviced",1,0)</f>
        <v/>
      </c>
      <c r="CG226" s="76">
        <f>IF($AA226="Yes","Currently on Watchlist",IF($AA226="Previously","Previously on Watchlist","Never on Watchlist"))</f>
        <v/>
      </c>
      <c r="CH226" s="78">
        <f>IF($CG226="Currently on Watchlist",1,0)</f>
        <v/>
      </c>
      <c r="CI226" s="76">
        <f>IF($Z226="Full Defeasance","Fully Defeased",IF($Z226="Portion Of Loan Previously Defeased","Partially Defeased",IF($Z226="Defeasance Not Allowable","Not Defeased (Not Permitted)","Not Defeased")))</f>
        <v/>
      </c>
      <c r="CJ226" s="78">
        <f>IF($CI226="Fully Defeased",1,0)</f>
        <v/>
      </c>
      <c r="CK226" s="76">
        <f>IF($R226="IO","Full IO",IF(LEFT($R226&amp;"",7)="IO then","Partial IO","Amortizing"))</f>
        <v/>
      </c>
      <c r="CL226" s="78">
        <f>IF($CK226="Full IO",1,0)</f>
        <v/>
      </c>
      <c r="CM226" s="78">
        <f>IF($CK226="Partial IO",1,0)</f>
        <v/>
      </c>
      <c r="CN226" s="76">
        <f>IF(LEFT($F226&amp;"",10)="SPLIT_LOAN","Pari Passu Split","Standalone")</f>
        <v/>
      </c>
      <c r="CO226" s="78">
        <f>IF($CN226="Pari Passu Split",1,0)</f>
        <v/>
      </c>
      <c r="CP226" s="77">
        <f>IF(ISNUMBER($T226),YEAR($T226),"")</f>
        <v/>
      </c>
      <c r="CQ226" s="79">
        <f>IF(ISNUMBER($V226),$V226,IF(ISNUMBER($U226),$U226,""))</f>
        <v/>
      </c>
      <c r="CR226" s="77">
        <f>IF(ISNUMBER($CQ226),YEAR($CQ226),"")</f>
        <v/>
      </c>
      <c r="CS226" s="78">
        <f>IF(ISNUMBER($M226),MAX(0,$M226),IF(TRIM($M226&amp;"")="matured",0,""))</f>
        <v/>
      </c>
      <c r="CT226" s="78">
        <f>IF(AND(ISNUMBER($CS226),N($CS226)&lt;=mMatWindow),1,0)</f>
        <v/>
      </c>
      <c r="CU226" s="80">
        <f>IF(ISNUMBER($J226),$J226/100,"")</f>
        <v/>
      </c>
      <c r="CV226" s="81">
        <f>IF(ISNUMBER($AQ226),$AQ226,"")</f>
        <v/>
      </c>
      <c r="CW226" s="81">
        <f>IF(ISNUMBER($AR226),$AR226,"")</f>
        <v/>
      </c>
      <c r="CX226" s="82">
        <f>IF(ISNUMBER($AS226),$AS226/100,"")</f>
        <v/>
      </c>
      <c r="CY226" s="82">
        <f>IF(ISNUMBER($AT226),$AT226/100,"")</f>
        <v/>
      </c>
      <c r="CZ226" s="82">
        <f>IF(ISNUMBER($AU226),$AU226/100,"")</f>
        <v/>
      </c>
      <c r="DA226" s="82">
        <f>IF(ISNUMBER($AV226),$AV226/100,"")</f>
        <v/>
      </c>
      <c r="DB226" s="82">
        <f>IF(ISNUMBER($AW226),$AW226/100,"")</f>
        <v/>
      </c>
      <c r="DC226" s="82">
        <f>IF(ISNUMBER($AX226),$AX226/100,"")</f>
        <v/>
      </c>
      <c r="DD226" s="77">
        <f>IFERROR(VALUE(LEFT(TRIM($AO226&amp;""),4)),"")</f>
        <v/>
      </c>
      <c r="DE226" s="78">
        <f>IF(AND($BY226=1,$BX226=1,OR(fDeal="All Deals",$BU226=fDeal),OR(fEntity="All Entities",$BV226=fEntity),OR(fPType="All Property Types",$BZ226=fPType),OR(fDefeased="Include",$CJ226=0)),1,0)</f>
        <v/>
      </c>
      <c r="DF226" s="83">
        <f>$DE226*N($I226)</f>
        <v/>
      </c>
      <c r="DG226" s="78">
        <f>IF($DE226=1,IF(COUNTIFS($F$8:$F226,$F226,$DE$8:$DE226,1)=1,1,0),0)</f>
        <v/>
      </c>
      <c r="DH226" s="83">
        <f>IF($DG226=1,SUMIFS($DF$8:$DF$1600,$F$8:$F$1600,$F226),0)</f>
        <v/>
      </c>
      <c r="DI226" s="78">
        <f>IF($DG226=1,COUNTIFS($F$8:$F$1600,$F226,$DE$8:$DE$1600,1),0)</f>
        <v/>
      </c>
      <c r="DJ226" s="84">
        <f>IF($DG226=1,$DH226+(100000-ROW())/mTieBreak,0)</f>
        <v/>
      </c>
    </row>
    <row r="227">
      <c r="B227" s="68" t="n">
        <v>30</v>
      </c>
      <c r="C227" s="69" t="inlineStr">
        <is>
          <t>BBC19C03</t>
        </is>
      </c>
      <c r="D227" s="69" t="inlineStr">
        <is>
          <t>30.000</t>
        </is>
      </c>
      <c r="E227" s="69" t="inlineStr">
        <is>
          <t>TownePlace Suites Altamonte Springs</t>
        </is>
      </c>
      <c r="F227" s="69" t="inlineStr">
        <is>
          <t>LNBBC19C03-30.000</t>
        </is>
      </c>
      <c r="G227" s="70" t="n"/>
      <c r="H227" s="71" t="n">
        <v>11200000</v>
      </c>
      <c r="I227" s="71" t="n">
        <v>9842218.130001601</v>
      </c>
      <c r="J227" s="72" t="n">
        <v>4.99</v>
      </c>
      <c r="K227" s="69" t="inlineStr">
        <is>
          <t>Fixed rate</t>
        </is>
      </c>
      <c r="L227" s="68" t="n">
        <v>120</v>
      </c>
      <c r="M227" s="68" t="n">
        <v>32</v>
      </c>
      <c r="N227" s="68" t="n">
        <v>360</v>
      </c>
      <c r="O227" s="68" t="n"/>
      <c r="P227" s="68" t="n"/>
      <c r="Q227" s="68" t="n">
        <v>88</v>
      </c>
      <c r="R227" s="69" t="n"/>
      <c r="S227" s="69" t="inlineStr">
        <is>
          <t>No</t>
        </is>
      </c>
      <c r="T227" s="73" t="n">
        <v>43586</v>
      </c>
      <c r="U227" s="73" t="n">
        <v>47239</v>
      </c>
      <c r="V227" s="73" t="n"/>
      <c r="W227" s="69" t="n"/>
      <c r="X227" s="69" t="inlineStr">
        <is>
          <t>Current</t>
        </is>
      </c>
      <c r="Y227" s="68" t="n"/>
      <c r="Z227" s="69" t="inlineStr">
        <is>
          <t>No Defeasance Occurred</t>
        </is>
      </c>
      <c r="AA227" s="69" t="inlineStr">
        <is>
          <t>Previously</t>
        </is>
      </c>
      <c r="AB227" s="69" t="inlineStr">
        <is>
          <t>Never special serv</t>
        </is>
      </c>
      <c r="AC227" s="73" t="n"/>
      <c r="AD227" s="69" t="n"/>
      <c r="AE227" s="69" t="n"/>
      <c r="AF227" s="69" t="inlineStr">
        <is>
          <t>FL</t>
        </is>
      </c>
      <c r="AG227" s="69" t="inlineStr">
        <is>
          <t>Altamonte Springs</t>
        </is>
      </c>
      <c r="AH227" s="69" t="inlineStr">
        <is>
          <t>Orlando-Kissimmee-Sanford, FL</t>
        </is>
      </c>
      <c r="AI227" s="69" t="inlineStr">
        <is>
          <t>South / Atlantic</t>
        </is>
      </c>
      <c r="AJ227" s="69" t="inlineStr">
        <is>
          <t>HT</t>
        </is>
      </c>
      <c r="AK227" s="69" t="inlineStr">
        <is>
          <t>Extended Stay</t>
        </is>
      </c>
      <c r="AL227" s="68" t="n">
        <v>1</v>
      </c>
      <c r="AM227" s="68" t="n">
        <v>117</v>
      </c>
      <c r="AN227" s="68" t="n"/>
      <c r="AO227" s="69" t="inlineStr">
        <is>
          <t>2017</t>
        </is>
      </c>
      <c r="AP227" s="70" t="n">
        <v>2017</v>
      </c>
      <c r="AQ227" s="74" t="n">
        <v>1.75</v>
      </c>
      <c r="AR227" s="74" t="n">
        <v>1.98</v>
      </c>
      <c r="AS227" s="74" t="n">
        <v>62.2</v>
      </c>
      <c r="AT227" s="74" t="n">
        <v>54.68</v>
      </c>
      <c r="AU227" s="74" t="n">
        <v>51.2</v>
      </c>
      <c r="AV227" s="74" t="n">
        <v>11.255544554</v>
      </c>
      <c r="AW227" s="74" t="n">
        <v>12.906333036</v>
      </c>
      <c r="AX227" s="75" t="n">
        <v>83</v>
      </c>
      <c r="AY227" s="71" t="n">
        <v>18000000</v>
      </c>
      <c r="AZ227" s="71" t="n">
        <v>18000000</v>
      </c>
      <c r="BA227" s="71" t="n">
        <v>1260620.99</v>
      </c>
      <c r="BB227" s="71" t="n">
        <v>1424426.8</v>
      </c>
      <c r="BC227" s="69" t="inlineStr">
        <is>
          <t>Refinance</t>
        </is>
      </c>
      <c r="BD227" s="69" t="inlineStr">
        <is>
          <t>N</t>
        </is>
      </c>
      <c r="BE227" s="71" t="n"/>
      <c r="BF227" s="71" t="n"/>
      <c r="BG227" s="71" t="n"/>
      <c r="BH227" s="71" t="n">
        <v>0</v>
      </c>
      <c r="BI227" s="71" t="n">
        <v>0</v>
      </c>
      <c r="BJ227" s="69" t="inlineStr">
        <is>
          <t>Y</t>
        </is>
      </c>
      <c r="BK227" s="69" t="n"/>
      <c r="BL227" s="75" t="n"/>
      <c r="BM227" s="73" t="n"/>
      <c r="BN227" s="69" t="n"/>
      <c r="BO227" s="69" t="inlineStr">
        <is>
          <t>Societe Generale</t>
        </is>
      </c>
      <c r="BP227" s="69" t="inlineStr">
        <is>
          <t>Midland Loan Services</t>
        </is>
      </c>
      <c r="BQ227" s="69" t="inlineStr">
        <is>
          <t>K-Star Asset Management LLC</t>
        </is>
      </c>
      <c r="BR227" s="69" t="n"/>
      <c r="BS227" s="73" t="n">
        <v>46276</v>
      </c>
      <c r="BU227" s="76">
        <f>IF($C227="","",IFERROR(INDEX(dmName,MATCH($C227,dmID,0)),"Unmapped"))</f>
        <v/>
      </c>
      <c r="BV227" s="76">
        <f>IF($C227="","",IFERROR(INDEX(dmEntity,MATCH($C227,dmID,0)),"Unmapped"))</f>
        <v/>
      </c>
      <c r="BW227" s="77">
        <f>IF($C227="","",IFERROR(INDEX(dmVintage,MATCH($C227,dmID,0)),""))</f>
        <v/>
      </c>
      <c r="BX227" s="78">
        <f>IFERROR(INDEX(dmInclude,MATCH($C227,dmID,0)),0)</f>
        <v/>
      </c>
      <c r="BY227" s="78">
        <f>IF(N($I227)&gt;0,1,0)</f>
        <v/>
      </c>
      <c r="BZ227" s="76">
        <f>IF($AJ227="","Other / Leased Fee",IFERROR(INDEX(mapPTGroup,MATCH(LEFT(TRIM($AJ227),2),mapPTCode,0)),"Other / Leased Fee"))</f>
        <v/>
      </c>
      <c r="CA227" s="76">
        <f>IF(TRIM($AF227&amp;"")="","NR",LEFT(TRIM($AF227),2))</f>
        <v/>
      </c>
      <c r="CB227" s="76">
        <f>IFERROR(LOOKUP(2,1/(LEFT(TRIM($AI227&amp;""),LEN(mapRegion))=mapRegion),mapRegion),"Not Reported")</f>
        <v/>
      </c>
      <c r="CC227" s="76">
        <f>IF($BY227=0,"",IF(TRIM($W227&amp;"")="REO","REO",IF(TRIM($W227&amp;"")="FC","Foreclosure",IF(TRIM($W227&amp;"")="90+","90+ Days Delinquent",IF(TRIM($W227&amp;"")="60","60 Days Delinquent",IF(TRIM($W227&amp;"")="30","30 Days Delinquent",IF($X227="Non-Performing Matured Balloon","Non-Performing Matured Balloon",IF(OR($X227="Late Payment But Less Than 30 Days Delinquent",LEFT($X227&amp;"",20)="Payment Not Received"),"Late / In Grace (&lt;30 Days)",IF($X227="Performing Matured Balloon","Performing Matured Balloon","Current")))))))))</f>
        <v/>
      </c>
      <c r="CD227" s="78">
        <f>IF(OR($CC227="REO",$CC227="Foreclosure",$CC227="90+ Days Delinquent",$CC227="60 Days Delinquent",$CC227="30 Days Delinquent",$CC227="Non-Performing Matured Balloon"),1,0)</f>
        <v/>
      </c>
      <c r="CE227" s="76">
        <f>IF($AB227="Currently special serv","Currently Specially Serviced",IF($AB227="Returned to master serv","Previously Specially Serviced","Never Specially Serviced"))</f>
        <v/>
      </c>
      <c r="CF227" s="78">
        <f>IF($CE227="Currently Specially Serviced",1,0)</f>
        <v/>
      </c>
      <c r="CG227" s="76">
        <f>IF($AA227="Yes","Currently on Watchlist",IF($AA227="Previously","Previously on Watchlist","Never on Watchlist"))</f>
        <v/>
      </c>
      <c r="CH227" s="78">
        <f>IF($CG227="Currently on Watchlist",1,0)</f>
        <v/>
      </c>
      <c r="CI227" s="76">
        <f>IF($Z227="Full Defeasance","Fully Defeased",IF($Z227="Portion Of Loan Previously Defeased","Partially Defeased",IF($Z227="Defeasance Not Allowable","Not Defeased (Not Permitted)","Not Defeased")))</f>
        <v/>
      </c>
      <c r="CJ227" s="78">
        <f>IF($CI227="Fully Defeased",1,0)</f>
        <v/>
      </c>
      <c r="CK227" s="76">
        <f>IF($R227="IO","Full IO",IF(LEFT($R227&amp;"",7)="IO then","Partial IO","Amortizing"))</f>
        <v/>
      </c>
      <c r="CL227" s="78">
        <f>IF($CK227="Full IO",1,0)</f>
        <v/>
      </c>
      <c r="CM227" s="78">
        <f>IF($CK227="Partial IO",1,0)</f>
        <v/>
      </c>
      <c r="CN227" s="76">
        <f>IF(LEFT($F227&amp;"",10)="SPLIT_LOAN","Pari Passu Split","Standalone")</f>
        <v/>
      </c>
      <c r="CO227" s="78">
        <f>IF($CN227="Pari Passu Split",1,0)</f>
        <v/>
      </c>
      <c r="CP227" s="77">
        <f>IF(ISNUMBER($T227),YEAR($T227),"")</f>
        <v/>
      </c>
      <c r="CQ227" s="79">
        <f>IF(ISNUMBER($V227),$V227,IF(ISNUMBER($U227),$U227,""))</f>
        <v/>
      </c>
      <c r="CR227" s="77">
        <f>IF(ISNUMBER($CQ227),YEAR($CQ227),"")</f>
        <v/>
      </c>
      <c r="CS227" s="78">
        <f>IF(ISNUMBER($M227),MAX(0,$M227),IF(TRIM($M227&amp;"")="matured",0,""))</f>
        <v/>
      </c>
      <c r="CT227" s="78">
        <f>IF(AND(ISNUMBER($CS227),N($CS227)&lt;=mMatWindow),1,0)</f>
        <v/>
      </c>
      <c r="CU227" s="80">
        <f>IF(ISNUMBER($J227),$J227/100,"")</f>
        <v/>
      </c>
      <c r="CV227" s="81">
        <f>IF(ISNUMBER($AQ227),$AQ227,"")</f>
        <v/>
      </c>
      <c r="CW227" s="81">
        <f>IF(ISNUMBER($AR227),$AR227,"")</f>
        <v/>
      </c>
      <c r="CX227" s="82">
        <f>IF(ISNUMBER($AS227),$AS227/100,"")</f>
        <v/>
      </c>
      <c r="CY227" s="82">
        <f>IF(ISNUMBER($AT227),$AT227/100,"")</f>
        <v/>
      </c>
      <c r="CZ227" s="82">
        <f>IF(ISNUMBER($AU227),$AU227/100,"")</f>
        <v/>
      </c>
      <c r="DA227" s="82">
        <f>IF(ISNUMBER($AV227),$AV227/100,"")</f>
        <v/>
      </c>
      <c r="DB227" s="82">
        <f>IF(ISNUMBER($AW227),$AW227/100,"")</f>
        <v/>
      </c>
      <c r="DC227" s="82">
        <f>IF(ISNUMBER($AX227),$AX227/100,"")</f>
        <v/>
      </c>
      <c r="DD227" s="77">
        <f>IFERROR(VALUE(LEFT(TRIM($AO227&amp;""),4)),"")</f>
        <v/>
      </c>
      <c r="DE227" s="78">
        <f>IF(AND($BY227=1,$BX227=1,OR(fDeal="All Deals",$BU227=fDeal),OR(fEntity="All Entities",$BV227=fEntity),OR(fPType="All Property Types",$BZ227=fPType),OR(fDefeased="Include",$CJ227=0)),1,0)</f>
        <v/>
      </c>
      <c r="DF227" s="83">
        <f>$DE227*N($I227)</f>
        <v/>
      </c>
      <c r="DG227" s="78">
        <f>IF($DE227=1,IF(COUNTIFS($F$8:$F227,$F227,$DE$8:$DE227,1)=1,1,0),0)</f>
        <v/>
      </c>
      <c r="DH227" s="83">
        <f>IF($DG227=1,SUMIFS($DF$8:$DF$1600,$F$8:$F$1600,$F227),0)</f>
        <v/>
      </c>
      <c r="DI227" s="78">
        <f>IF($DG227=1,COUNTIFS($F$8:$F$1600,$F227,$DE$8:$DE$1600,1),0)</f>
        <v/>
      </c>
      <c r="DJ227" s="84">
        <f>IF($DG227=1,$DH227+(100000-ROW())/mTieBreak,0)</f>
        <v/>
      </c>
    </row>
    <row r="228">
      <c r="B228" s="68" t="n">
        <v>31</v>
      </c>
      <c r="C228" s="69" t="inlineStr">
        <is>
          <t>BBC19C03</t>
        </is>
      </c>
      <c r="D228" s="69" t="inlineStr">
        <is>
          <t>31.000</t>
        </is>
      </c>
      <c r="E228" s="69" t="inlineStr">
        <is>
          <t>Bond Street Norfolk Retail Portfolio</t>
        </is>
      </c>
      <c r="F228" s="69" t="inlineStr">
        <is>
          <t>LNBBC19C03-31.000</t>
        </is>
      </c>
      <c r="G228" s="70" t="n"/>
      <c r="H228" s="71" t="n">
        <v>10415000</v>
      </c>
      <c r="I228" s="71" t="n">
        <v>9526042.599997036</v>
      </c>
      <c r="J228" s="72" t="n">
        <v>4.98</v>
      </c>
      <c r="K228" s="69" t="inlineStr">
        <is>
          <t>Fixed rate</t>
        </is>
      </c>
      <c r="L228" s="68" t="n">
        <v>120</v>
      </c>
      <c r="M228" s="68" t="n">
        <v>31</v>
      </c>
      <c r="N228" s="68" t="n">
        <v>384</v>
      </c>
      <c r="O228" s="68" t="n">
        <v>24</v>
      </c>
      <c r="P228" s="68" t="n">
        <v>0</v>
      </c>
      <c r="Q228" s="68" t="n">
        <v>89</v>
      </c>
      <c r="R228" s="69" t="inlineStr">
        <is>
          <t>IO then Amort</t>
        </is>
      </c>
      <c r="S228" s="69" t="inlineStr">
        <is>
          <t>No</t>
        </is>
      </c>
      <c r="T228" s="73" t="n">
        <v>43556</v>
      </c>
      <c r="U228" s="73" t="n">
        <v>47214</v>
      </c>
      <c r="V228" s="73" t="n"/>
      <c r="W228" s="69" t="n"/>
      <c r="X228" s="69" t="inlineStr">
        <is>
          <t>Current</t>
        </is>
      </c>
      <c r="Y228" s="68" t="n"/>
      <c r="Z228" s="69" t="inlineStr">
        <is>
          <t>No Defeasance Occurred</t>
        </is>
      </c>
      <c r="AA228" s="69" t="n"/>
      <c r="AB228" s="69" t="inlineStr">
        <is>
          <t>Never special serv</t>
        </is>
      </c>
      <c r="AC228" s="73" t="n"/>
      <c r="AD228" s="69" t="n"/>
      <c r="AE228" s="69" t="n"/>
      <c r="AF228" s="69" t="inlineStr">
        <is>
          <t>VA</t>
        </is>
      </c>
      <c r="AG228" s="69" t="n"/>
      <c r="AH228" s="69" t="inlineStr">
        <is>
          <t>Virginia Beach-Chesapeake-Norfolk, VA-NC</t>
        </is>
      </c>
      <c r="AI228" s="69" t="inlineStr">
        <is>
          <t>South / Atlantic</t>
        </is>
      </c>
      <c r="AJ228" s="69" t="inlineStr">
        <is>
          <t>RT</t>
        </is>
      </c>
      <c r="AK228" s="69" t="inlineStr">
        <is>
          <t>Unanchored</t>
        </is>
      </c>
      <c r="AL228" s="68" t="n">
        <v>2</v>
      </c>
      <c r="AM228" s="68" t="n"/>
      <c r="AN228" s="68" t="n">
        <v>34760</v>
      </c>
      <c r="AO228" s="69" t="n"/>
      <c r="AP228" s="70" t="n">
        <v>2018</v>
      </c>
      <c r="AQ228" s="74" t="n">
        <v>1.41</v>
      </c>
      <c r="AR228" s="74" t="n">
        <v>1.31</v>
      </c>
      <c r="AS228" s="74" t="n">
        <v>69</v>
      </c>
      <c r="AT228" s="74" t="n">
        <v>63.09</v>
      </c>
      <c r="AU228" s="74" t="n">
        <v>59.7</v>
      </c>
      <c r="AV228" s="74" t="n">
        <v>9.066010562000001</v>
      </c>
      <c r="AW228" s="74" t="n">
        <v>9.190532908</v>
      </c>
      <c r="AX228" s="75" t="n">
        <v>100</v>
      </c>
      <c r="AY228" s="71" t="n">
        <v>15100000</v>
      </c>
      <c r="AZ228" s="71" t="n">
        <v>15100000</v>
      </c>
      <c r="BA228" s="71" t="n">
        <v>944225</v>
      </c>
      <c r="BB228" s="71" t="n">
        <v>875494.08</v>
      </c>
      <c r="BC228" s="69" t="inlineStr">
        <is>
          <t>Acquisition</t>
        </is>
      </c>
      <c r="BD228" s="69" t="inlineStr">
        <is>
          <t>N</t>
        </is>
      </c>
      <c r="BE228" s="71" t="n"/>
      <c r="BF228" s="71" t="n"/>
      <c r="BG228" s="71" t="n"/>
      <c r="BH228" s="71" t="n">
        <v>0</v>
      </c>
      <c r="BI228" s="71" t="n">
        <v>0</v>
      </c>
      <c r="BJ228" s="69" t="inlineStr">
        <is>
          <t>N</t>
        </is>
      </c>
      <c r="BK228" s="69" t="inlineStr">
        <is>
          <t>Metro Diner</t>
        </is>
      </c>
      <c r="BL228" s="75" t="n">
        <v>11.23</v>
      </c>
      <c r="BM228" s="73" t="n">
        <v>46873</v>
      </c>
      <c r="BN228" s="69" t="n"/>
      <c r="BO228" s="69" t="inlineStr">
        <is>
          <t>Barclays</t>
        </is>
      </c>
      <c r="BP228" s="69" t="inlineStr">
        <is>
          <t>Midland Loan Services</t>
        </is>
      </c>
      <c r="BQ228" s="69" t="inlineStr">
        <is>
          <t>K-Star Asset Management LLC</t>
        </is>
      </c>
      <c r="BR228" s="69" t="n"/>
      <c r="BS228" s="73" t="n">
        <v>46276</v>
      </c>
      <c r="BU228" s="76">
        <f>IF($C228="","",IFERROR(INDEX(dmName,MATCH($C228,dmID,0)),"Unmapped"))</f>
        <v/>
      </c>
      <c r="BV228" s="76">
        <f>IF($C228="","",IFERROR(INDEX(dmEntity,MATCH($C228,dmID,0)),"Unmapped"))</f>
        <v/>
      </c>
      <c r="BW228" s="77">
        <f>IF($C228="","",IFERROR(INDEX(dmVintage,MATCH($C228,dmID,0)),""))</f>
        <v/>
      </c>
      <c r="BX228" s="78">
        <f>IFERROR(INDEX(dmInclude,MATCH($C228,dmID,0)),0)</f>
        <v/>
      </c>
      <c r="BY228" s="78">
        <f>IF(N($I228)&gt;0,1,0)</f>
        <v/>
      </c>
      <c r="BZ228" s="76">
        <f>IF($AJ228="","Other / Leased Fee",IFERROR(INDEX(mapPTGroup,MATCH(LEFT(TRIM($AJ228),2),mapPTCode,0)),"Other / Leased Fee"))</f>
        <v/>
      </c>
      <c r="CA228" s="76">
        <f>IF(TRIM($AF228&amp;"")="","NR",LEFT(TRIM($AF228),2))</f>
        <v/>
      </c>
      <c r="CB228" s="76">
        <f>IFERROR(LOOKUP(2,1/(LEFT(TRIM($AI228&amp;""),LEN(mapRegion))=mapRegion),mapRegion),"Not Reported")</f>
        <v/>
      </c>
      <c r="CC228" s="76">
        <f>IF($BY228=0,"",IF(TRIM($W228&amp;"")="REO","REO",IF(TRIM($W228&amp;"")="FC","Foreclosure",IF(TRIM($W228&amp;"")="90+","90+ Days Delinquent",IF(TRIM($W228&amp;"")="60","60 Days Delinquent",IF(TRIM($W228&amp;"")="30","30 Days Delinquent",IF($X228="Non-Performing Matured Balloon","Non-Performing Matured Balloon",IF(OR($X228="Late Payment But Less Than 30 Days Delinquent",LEFT($X228&amp;"",20)="Payment Not Received"),"Late / In Grace (&lt;30 Days)",IF($X228="Performing Matured Balloon","Performing Matured Balloon","Current")))))))))</f>
        <v/>
      </c>
      <c r="CD228" s="78">
        <f>IF(OR($CC228="REO",$CC228="Foreclosure",$CC228="90+ Days Delinquent",$CC228="60 Days Delinquent",$CC228="30 Days Delinquent",$CC228="Non-Performing Matured Balloon"),1,0)</f>
        <v/>
      </c>
      <c r="CE228" s="76">
        <f>IF($AB228="Currently special serv","Currently Specially Serviced",IF($AB228="Returned to master serv","Previously Specially Serviced","Never Specially Serviced"))</f>
        <v/>
      </c>
      <c r="CF228" s="78">
        <f>IF($CE228="Currently Specially Serviced",1,0)</f>
        <v/>
      </c>
      <c r="CG228" s="76">
        <f>IF($AA228="Yes","Currently on Watchlist",IF($AA228="Previously","Previously on Watchlist","Never on Watchlist"))</f>
        <v/>
      </c>
      <c r="CH228" s="78">
        <f>IF($CG228="Currently on Watchlist",1,0)</f>
        <v/>
      </c>
      <c r="CI228" s="76">
        <f>IF($Z228="Full Defeasance","Fully Defeased",IF($Z228="Portion Of Loan Previously Defeased","Partially Defeased",IF($Z228="Defeasance Not Allowable","Not Defeased (Not Permitted)","Not Defeased")))</f>
        <v/>
      </c>
      <c r="CJ228" s="78">
        <f>IF($CI228="Fully Defeased",1,0)</f>
        <v/>
      </c>
      <c r="CK228" s="76">
        <f>IF($R228="IO","Full IO",IF(LEFT($R228&amp;"",7)="IO then","Partial IO","Amortizing"))</f>
        <v/>
      </c>
      <c r="CL228" s="78">
        <f>IF($CK228="Full IO",1,0)</f>
        <v/>
      </c>
      <c r="CM228" s="78">
        <f>IF($CK228="Partial IO",1,0)</f>
        <v/>
      </c>
      <c r="CN228" s="76">
        <f>IF(LEFT($F228&amp;"",10)="SPLIT_LOAN","Pari Passu Split","Standalone")</f>
        <v/>
      </c>
      <c r="CO228" s="78">
        <f>IF($CN228="Pari Passu Split",1,0)</f>
        <v/>
      </c>
      <c r="CP228" s="77">
        <f>IF(ISNUMBER($T228),YEAR($T228),"")</f>
        <v/>
      </c>
      <c r="CQ228" s="79">
        <f>IF(ISNUMBER($V228),$V228,IF(ISNUMBER($U228),$U228,""))</f>
        <v/>
      </c>
      <c r="CR228" s="77">
        <f>IF(ISNUMBER($CQ228),YEAR($CQ228),"")</f>
        <v/>
      </c>
      <c r="CS228" s="78">
        <f>IF(ISNUMBER($M228),MAX(0,$M228),IF(TRIM($M228&amp;"")="matured",0,""))</f>
        <v/>
      </c>
      <c r="CT228" s="78">
        <f>IF(AND(ISNUMBER($CS228),N($CS228)&lt;=mMatWindow),1,0)</f>
        <v/>
      </c>
      <c r="CU228" s="80">
        <f>IF(ISNUMBER($J228),$J228/100,"")</f>
        <v/>
      </c>
      <c r="CV228" s="81">
        <f>IF(ISNUMBER($AQ228),$AQ228,"")</f>
        <v/>
      </c>
      <c r="CW228" s="81">
        <f>IF(ISNUMBER($AR228),$AR228,"")</f>
        <v/>
      </c>
      <c r="CX228" s="82">
        <f>IF(ISNUMBER($AS228),$AS228/100,"")</f>
        <v/>
      </c>
      <c r="CY228" s="82">
        <f>IF(ISNUMBER($AT228),$AT228/100,"")</f>
        <v/>
      </c>
      <c r="CZ228" s="82">
        <f>IF(ISNUMBER($AU228),$AU228/100,"")</f>
        <v/>
      </c>
      <c r="DA228" s="82">
        <f>IF(ISNUMBER($AV228),$AV228/100,"")</f>
        <v/>
      </c>
      <c r="DB228" s="82">
        <f>IF(ISNUMBER($AW228),$AW228/100,"")</f>
        <v/>
      </c>
      <c r="DC228" s="82">
        <f>IF(ISNUMBER($AX228),$AX228/100,"")</f>
        <v/>
      </c>
      <c r="DD228" s="77">
        <f>IFERROR(VALUE(LEFT(TRIM($AO228&amp;""),4)),"")</f>
        <v/>
      </c>
      <c r="DE228" s="78">
        <f>IF(AND($BY228=1,$BX228=1,OR(fDeal="All Deals",$BU228=fDeal),OR(fEntity="All Entities",$BV228=fEntity),OR(fPType="All Property Types",$BZ228=fPType),OR(fDefeased="Include",$CJ228=0)),1,0)</f>
        <v/>
      </c>
      <c r="DF228" s="83">
        <f>$DE228*N($I228)</f>
        <v/>
      </c>
      <c r="DG228" s="78">
        <f>IF($DE228=1,IF(COUNTIFS($F$8:$F228,$F228,$DE$8:$DE228,1)=1,1,0),0)</f>
        <v/>
      </c>
      <c r="DH228" s="83">
        <f>IF($DG228=1,SUMIFS($DF$8:$DF$1600,$F$8:$F$1600,$F228),0)</f>
        <v/>
      </c>
      <c r="DI228" s="78">
        <f>IF($DG228=1,COUNTIFS($F$8:$F$1600,$F228,$DE$8:$DE$1600,1),0)</f>
        <v/>
      </c>
      <c r="DJ228" s="84">
        <f>IF($DG228=1,$DH228+(100000-ROW())/mTieBreak,0)</f>
        <v/>
      </c>
    </row>
    <row r="229">
      <c r="B229" s="68" t="n">
        <v>32</v>
      </c>
      <c r="C229" s="69" t="inlineStr">
        <is>
          <t>BBC19C03</t>
        </is>
      </c>
      <c r="D229" s="69" t="inlineStr">
        <is>
          <t>32.000</t>
        </is>
      </c>
      <c r="E229" s="69" t="inlineStr">
        <is>
          <t>ILPT Hawaii Portfolio</t>
        </is>
      </c>
      <c r="F229" s="69" t="inlineStr">
        <is>
          <t>SPLIT_LOAN_01485</t>
        </is>
      </c>
      <c r="G229" s="70" t="n">
        <v>1485</v>
      </c>
      <c r="H229" s="71" t="n">
        <v>10000000</v>
      </c>
      <c r="I229" s="71" t="n">
        <v>10000000</v>
      </c>
      <c r="J229" s="72" t="n">
        <v>4.31</v>
      </c>
      <c r="K229" s="69" t="inlineStr">
        <is>
          <t>Fixed rate</t>
        </is>
      </c>
      <c r="L229" s="68" t="n">
        <v>120</v>
      </c>
      <c r="M229" s="68" t="n">
        <v>29</v>
      </c>
      <c r="N229" s="68" t="n">
        <v>120</v>
      </c>
      <c r="O229" s="68" t="n">
        <v>120</v>
      </c>
      <c r="P229" s="68" t="n">
        <v>29</v>
      </c>
      <c r="Q229" s="68" t="n">
        <v>91</v>
      </c>
      <c r="R229" s="69" t="inlineStr">
        <is>
          <t>IO</t>
        </is>
      </c>
      <c r="S229" s="69" t="inlineStr">
        <is>
          <t>Yes</t>
        </is>
      </c>
      <c r="T229" s="73" t="n">
        <v>43497</v>
      </c>
      <c r="U229" s="73" t="n">
        <v>47156</v>
      </c>
      <c r="V229" s="73" t="n"/>
      <c r="W229" s="69" t="n"/>
      <c r="X229" s="69" t="inlineStr">
        <is>
          <t>Current</t>
        </is>
      </c>
      <c r="Y229" s="68" t="n"/>
      <c r="Z229" s="69" t="inlineStr">
        <is>
          <t>No Defeasance Occurred</t>
        </is>
      </c>
      <c r="AA229" s="69" t="inlineStr">
        <is>
          <t>Yes</t>
        </is>
      </c>
      <c r="AB229" s="69" t="inlineStr">
        <is>
          <t>Never special serv</t>
        </is>
      </c>
      <c r="AC229" s="73" t="n"/>
      <c r="AD229" s="69" t="n"/>
      <c r="AE229" s="69" t="n"/>
      <c r="AF229" s="69" t="inlineStr">
        <is>
          <t>HI</t>
        </is>
      </c>
      <c r="AG229" s="69" t="n"/>
      <c r="AH229" s="69" t="inlineStr">
        <is>
          <t>Urban Honolulu, HI</t>
        </is>
      </c>
      <c r="AI229" s="69" t="inlineStr">
        <is>
          <t>West / Pacific South</t>
        </is>
      </c>
      <c r="AJ229" s="69" t="inlineStr">
        <is>
          <t>SP-94.299143129% IN-5.341587273% OT-0.359269598%</t>
        </is>
      </c>
      <c r="AK229" s="69" t="n"/>
      <c r="AL229" s="68" t="n">
        <v>186</v>
      </c>
      <c r="AM229" s="68" t="n"/>
      <c r="AN229" s="68" t="n">
        <v>9591512</v>
      </c>
      <c r="AO229" s="69" t="n"/>
      <c r="AP229" s="70" t="n">
        <v>2015</v>
      </c>
      <c r="AQ229" s="74" t="n">
        <v>2.4</v>
      </c>
      <c r="AR229" s="74" t="n">
        <v>2.85</v>
      </c>
      <c r="AS229" s="74" t="n">
        <v>45.2</v>
      </c>
      <c r="AT229" s="74" t="n">
        <v>45.17</v>
      </c>
      <c r="AU229" s="74" t="n">
        <v>45.2</v>
      </c>
      <c r="AV229" s="74" t="n">
        <v>10.493213692</v>
      </c>
      <c r="AW229" s="74" t="n">
        <v>11.215825895</v>
      </c>
      <c r="AX229" s="75" t="n">
        <v>100</v>
      </c>
      <c r="AY229" s="71" t="n">
        <v>1439117000</v>
      </c>
      <c r="AZ229" s="71" t="n">
        <v>1439117000</v>
      </c>
      <c r="BA229" s="71" t="n">
        <v>68205889</v>
      </c>
      <c r="BB229" s="71" t="n">
        <v>75906198.38</v>
      </c>
      <c r="BC229" s="69" t="inlineStr">
        <is>
          <t>Recapitalization</t>
        </is>
      </c>
      <c r="BD229" s="69" t="inlineStr">
        <is>
          <t>N</t>
        </is>
      </c>
      <c r="BE229" s="71" t="n">
        <v>640000000</v>
      </c>
      <c r="BF229" s="71" t="n"/>
      <c r="BG229" s="71" t="n"/>
      <c r="BH229" s="71" t="n">
        <v>0</v>
      </c>
      <c r="BI229" s="71" t="n">
        <v>0</v>
      </c>
      <c r="BJ229" s="69" t="inlineStr">
        <is>
          <t>N</t>
        </is>
      </c>
      <c r="BK229" s="69" t="inlineStr">
        <is>
          <t>Servco Pacific Inc.</t>
        </is>
      </c>
      <c r="BL229" s="75" t="n">
        <v>6.01</v>
      </c>
      <c r="BM229" s="73" t="n">
        <v>48638</v>
      </c>
      <c r="BN229" s="69" t="n"/>
      <c r="BO229" s="69" t="inlineStr">
        <is>
          <t>UBS</t>
        </is>
      </c>
      <c r="BP229" s="69" t="inlineStr">
        <is>
          <t>Midland Loan Services</t>
        </is>
      </c>
      <c r="BQ229" s="69" t="inlineStr">
        <is>
          <t>Rialto Capital</t>
        </is>
      </c>
      <c r="BR229" s="69" t="n"/>
      <c r="BS229" s="73" t="n">
        <v>46276</v>
      </c>
      <c r="BU229" s="76">
        <f>IF($C229="","",IFERROR(INDEX(dmName,MATCH($C229,dmID,0)),"Unmapped"))</f>
        <v/>
      </c>
      <c r="BV229" s="76">
        <f>IF($C229="","",IFERROR(INDEX(dmEntity,MATCH($C229,dmID,0)),"Unmapped"))</f>
        <v/>
      </c>
      <c r="BW229" s="77">
        <f>IF($C229="","",IFERROR(INDEX(dmVintage,MATCH($C229,dmID,0)),""))</f>
        <v/>
      </c>
      <c r="BX229" s="78">
        <f>IFERROR(INDEX(dmInclude,MATCH($C229,dmID,0)),0)</f>
        <v/>
      </c>
      <c r="BY229" s="78">
        <f>IF(N($I229)&gt;0,1,0)</f>
        <v/>
      </c>
      <c r="BZ229" s="76">
        <f>IF($AJ229="","Other / Leased Fee",IFERROR(INDEX(mapPTGroup,MATCH(LEFT(TRIM($AJ229),2),mapPTCode,0)),"Other / Leased Fee"))</f>
        <v/>
      </c>
      <c r="CA229" s="76">
        <f>IF(TRIM($AF229&amp;"")="","NR",LEFT(TRIM($AF229),2))</f>
        <v/>
      </c>
      <c r="CB229" s="76">
        <f>IFERROR(LOOKUP(2,1/(LEFT(TRIM($AI229&amp;""),LEN(mapRegion))=mapRegion),mapRegion),"Not Reported")</f>
        <v/>
      </c>
      <c r="CC229" s="76">
        <f>IF($BY229=0,"",IF(TRIM($W229&amp;"")="REO","REO",IF(TRIM($W229&amp;"")="FC","Foreclosure",IF(TRIM($W229&amp;"")="90+","90+ Days Delinquent",IF(TRIM($W229&amp;"")="60","60 Days Delinquent",IF(TRIM($W229&amp;"")="30","30 Days Delinquent",IF($X229="Non-Performing Matured Balloon","Non-Performing Matured Balloon",IF(OR($X229="Late Payment But Less Than 30 Days Delinquent",LEFT($X229&amp;"",20)="Payment Not Received"),"Late / In Grace (&lt;30 Days)",IF($X229="Performing Matured Balloon","Performing Matured Balloon","Current")))))))))</f>
        <v/>
      </c>
      <c r="CD229" s="78">
        <f>IF(OR($CC229="REO",$CC229="Foreclosure",$CC229="90+ Days Delinquent",$CC229="60 Days Delinquent",$CC229="30 Days Delinquent",$CC229="Non-Performing Matured Balloon"),1,0)</f>
        <v/>
      </c>
      <c r="CE229" s="76">
        <f>IF($AB229="Currently special serv","Currently Specially Serviced",IF($AB229="Returned to master serv","Previously Specially Serviced","Never Specially Serviced"))</f>
        <v/>
      </c>
      <c r="CF229" s="78">
        <f>IF($CE229="Currently Specially Serviced",1,0)</f>
        <v/>
      </c>
      <c r="CG229" s="76">
        <f>IF($AA229="Yes","Currently on Watchlist",IF($AA229="Previously","Previously on Watchlist","Never on Watchlist"))</f>
        <v/>
      </c>
      <c r="CH229" s="78">
        <f>IF($CG229="Currently on Watchlist",1,0)</f>
        <v/>
      </c>
      <c r="CI229" s="76">
        <f>IF($Z229="Full Defeasance","Fully Defeased",IF($Z229="Portion Of Loan Previously Defeased","Partially Defeased",IF($Z229="Defeasance Not Allowable","Not Defeased (Not Permitted)","Not Defeased")))</f>
        <v/>
      </c>
      <c r="CJ229" s="78">
        <f>IF($CI229="Fully Defeased",1,0)</f>
        <v/>
      </c>
      <c r="CK229" s="76">
        <f>IF($R229="IO","Full IO",IF(LEFT($R229&amp;"",7)="IO then","Partial IO","Amortizing"))</f>
        <v/>
      </c>
      <c r="CL229" s="78">
        <f>IF($CK229="Full IO",1,0)</f>
        <v/>
      </c>
      <c r="CM229" s="78">
        <f>IF($CK229="Partial IO",1,0)</f>
        <v/>
      </c>
      <c r="CN229" s="76">
        <f>IF(LEFT($F229&amp;"",10)="SPLIT_LOAN","Pari Passu Split","Standalone")</f>
        <v/>
      </c>
      <c r="CO229" s="78">
        <f>IF($CN229="Pari Passu Split",1,0)</f>
        <v/>
      </c>
      <c r="CP229" s="77">
        <f>IF(ISNUMBER($T229),YEAR($T229),"")</f>
        <v/>
      </c>
      <c r="CQ229" s="79">
        <f>IF(ISNUMBER($V229),$V229,IF(ISNUMBER($U229),$U229,""))</f>
        <v/>
      </c>
      <c r="CR229" s="77">
        <f>IF(ISNUMBER($CQ229),YEAR($CQ229),"")</f>
        <v/>
      </c>
      <c r="CS229" s="78">
        <f>IF(ISNUMBER($M229),MAX(0,$M229),IF(TRIM($M229&amp;"")="matured",0,""))</f>
        <v/>
      </c>
      <c r="CT229" s="78">
        <f>IF(AND(ISNUMBER($CS229),N($CS229)&lt;=mMatWindow),1,0)</f>
        <v/>
      </c>
      <c r="CU229" s="80">
        <f>IF(ISNUMBER($J229),$J229/100,"")</f>
        <v/>
      </c>
      <c r="CV229" s="81">
        <f>IF(ISNUMBER($AQ229),$AQ229,"")</f>
        <v/>
      </c>
      <c r="CW229" s="81">
        <f>IF(ISNUMBER($AR229),$AR229,"")</f>
        <v/>
      </c>
      <c r="CX229" s="82">
        <f>IF(ISNUMBER($AS229),$AS229/100,"")</f>
        <v/>
      </c>
      <c r="CY229" s="82">
        <f>IF(ISNUMBER($AT229),$AT229/100,"")</f>
        <v/>
      </c>
      <c r="CZ229" s="82">
        <f>IF(ISNUMBER($AU229),$AU229/100,"")</f>
        <v/>
      </c>
      <c r="DA229" s="82">
        <f>IF(ISNUMBER($AV229),$AV229/100,"")</f>
        <v/>
      </c>
      <c r="DB229" s="82">
        <f>IF(ISNUMBER($AW229),$AW229/100,"")</f>
        <v/>
      </c>
      <c r="DC229" s="82">
        <f>IF(ISNUMBER($AX229),$AX229/100,"")</f>
        <v/>
      </c>
      <c r="DD229" s="77">
        <f>IFERROR(VALUE(LEFT(TRIM($AO229&amp;""),4)),"")</f>
        <v/>
      </c>
      <c r="DE229" s="78">
        <f>IF(AND($BY229=1,$BX229=1,OR(fDeal="All Deals",$BU229=fDeal),OR(fEntity="All Entities",$BV229=fEntity),OR(fPType="All Property Types",$BZ229=fPType),OR(fDefeased="Include",$CJ229=0)),1,0)</f>
        <v/>
      </c>
      <c r="DF229" s="83">
        <f>$DE229*N($I229)</f>
        <v/>
      </c>
      <c r="DG229" s="78">
        <f>IF($DE229=1,IF(COUNTIFS($F$8:$F229,$F229,$DE$8:$DE229,1)=1,1,0),0)</f>
        <v/>
      </c>
      <c r="DH229" s="83">
        <f>IF($DG229=1,SUMIFS($DF$8:$DF$1600,$F$8:$F$1600,$F229),0)</f>
        <v/>
      </c>
      <c r="DI229" s="78">
        <f>IF($DG229=1,COUNTIFS($F$8:$F$1600,$F229,$DE$8:$DE$1600,1),0)</f>
        <v/>
      </c>
      <c r="DJ229" s="84">
        <f>IF($DG229=1,$DH229+(100000-ROW())/mTieBreak,0)</f>
        <v/>
      </c>
    </row>
    <row r="230">
      <c r="B230" s="68" t="n">
        <v>33</v>
      </c>
      <c r="C230" s="69" t="inlineStr">
        <is>
          <t>BBC19C03</t>
        </is>
      </c>
      <c r="D230" s="69" t="inlineStr">
        <is>
          <t>33.000</t>
        </is>
      </c>
      <c r="E230" s="69" t="inlineStr">
        <is>
          <t>Southern Motion Industrial Portfolio</t>
        </is>
      </c>
      <c r="F230" s="69" t="inlineStr">
        <is>
          <t>SPLIT_LOAN_01497</t>
        </is>
      </c>
      <c r="G230" s="70" t="n">
        <v>1497</v>
      </c>
      <c r="H230" s="71" t="n">
        <v>10000000</v>
      </c>
      <c r="I230" s="71" t="n">
        <v>9118958.280000001</v>
      </c>
      <c r="J230" s="72" t="n">
        <v>4.8</v>
      </c>
      <c r="K230" s="69" t="inlineStr">
        <is>
          <t>Fixed rate</t>
        </is>
      </c>
      <c r="L230" s="68" t="n">
        <v>120</v>
      </c>
      <c r="M230" s="68" t="n">
        <v>31</v>
      </c>
      <c r="N230" s="68" t="n">
        <v>384</v>
      </c>
      <c r="O230" s="68" t="n">
        <v>24</v>
      </c>
      <c r="P230" s="68" t="n">
        <v>0</v>
      </c>
      <c r="Q230" s="68" t="n">
        <v>89</v>
      </c>
      <c r="R230" s="69" t="inlineStr">
        <is>
          <t>IO then Amort</t>
        </is>
      </c>
      <c r="S230" s="69" t="inlineStr">
        <is>
          <t>No</t>
        </is>
      </c>
      <c r="T230" s="73" t="n">
        <v>43556</v>
      </c>
      <c r="U230" s="73" t="n">
        <v>47214</v>
      </c>
      <c r="V230" s="73" t="n"/>
      <c r="W230" s="69" t="n"/>
      <c r="X230" s="69" t="inlineStr">
        <is>
          <t>Current</t>
        </is>
      </c>
      <c r="Y230" s="68" t="n"/>
      <c r="Z230" s="69" t="inlineStr">
        <is>
          <t>Defeasance Not Allowable</t>
        </is>
      </c>
      <c r="AA230" s="69" t="inlineStr">
        <is>
          <t>Yes</t>
        </is>
      </c>
      <c r="AB230" s="69" t="inlineStr">
        <is>
          <t>Never special serv</t>
        </is>
      </c>
      <c r="AC230" s="73" t="n"/>
      <c r="AD230" s="69" t="n"/>
      <c r="AE230" s="69" t="n"/>
      <c r="AF230" s="69" t="inlineStr">
        <is>
          <t>MS</t>
        </is>
      </c>
      <c r="AG230" s="69" t="n"/>
      <c r="AH230" s="69" t="inlineStr">
        <is>
          <t>Tupelo, MS-44.657110171%</t>
        </is>
      </c>
      <c r="AI230" s="69" t="inlineStr">
        <is>
          <t>South / Central East</t>
        </is>
      </c>
      <c r="AJ230" s="69" t="inlineStr">
        <is>
          <t>IN</t>
        </is>
      </c>
      <c r="AK230" s="69" t="inlineStr">
        <is>
          <t>Manufacturing</t>
        </is>
      </c>
      <c r="AL230" s="68" t="n">
        <v>6</v>
      </c>
      <c r="AM230" s="68" t="n"/>
      <c r="AN230" s="68" t="n">
        <v>1710330</v>
      </c>
      <c r="AO230" s="69" t="n"/>
      <c r="AP230" s="70" t="n">
        <v>2016</v>
      </c>
      <c r="AQ230" s="74" t="n">
        <v>1.73</v>
      </c>
      <c r="AR230" s="74" t="n">
        <v>0.79</v>
      </c>
      <c r="AS230" s="74" t="n">
        <v>65.59999999999999</v>
      </c>
      <c r="AT230" s="74" t="n">
        <v>61.93</v>
      </c>
      <c r="AU230" s="74" t="n">
        <v>56.5</v>
      </c>
      <c r="AV230" s="74" t="n">
        <v>10.891528808</v>
      </c>
      <c r="AW230" s="74" t="n">
        <v>4.238757654</v>
      </c>
      <c r="AX230" s="75" t="n">
        <v>100</v>
      </c>
      <c r="AY230" s="71" t="n">
        <v>63575000</v>
      </c>
      <c r="AZ230" s="71" t="n">
        <v>61390000</v>
      </c>
      <c r="BA230" s="71" t="n">
        <v>4540678.36</v>
      </c>
      <c r="BB230" s="71" t="n">
        <v>516900.58</v>
      </c>
      <c r="BC230" s="69" t="inlineStr">
        <is>
          <t>Recapitalization</t>
        </is>
      </c>
      <c r="BD230" s="69" t="inlineStr">
        <is>
          <t>N</t>
        </is>
      </c>
      <c r="BE230" s="71" t="n">
        <v>28897978.79</v>
      </c>
      <c r="BF230" s="71" t="n"/>
      <c r="BG230" s="71" t="n"/>
      <c r="BH230" s="71" t="n">
        <v>0</v>
      </c>
      <c r="BI230" s="71" t="n">
        <v>0</v>
      </c>
      <c r="BJ230" s="69" t="inlineStr">
        <is>
          <t>N</t>
        </is>
      </c>
      <c r="BK230" s="69" t="inlineStr">
        <is>
          <t>Southern Motion Inc.</t>
        </is>
      </c>
      <c r="BL230" s="75" t="n">
        <v>100</v>
      </c>
      <c r="BM230" s="73" t="n">
        <v>50770</v>
      </c>
      <c r="BN230" s="69" t="n"/>
      <c r="BO230" s="69" t="inlineStr">
        <is>
          <t>UBS</t>
        </is>
      </c>
      <c r="BP230" s="69" t="inlineStr">
        <is>
          <t>Midland Loan Services</t>
        </is>
      </c>
      <c r="BQ230" s="69" t="inlineStr">
        <is>
          <t>Midland Loan Services</t>
        </is>
      </c>
      <c r="BR230" s="69" t="n"/>
      <c r="BS230" s="73" t="n">
        <v>46276</v>
      </c>
      <c r="BU230" s="76">
        <f>IF($C230="","",IFERROR(INDEX(dmName,MATCH($C230,dmID,0)),"Unmapped"))</f>
        <v/>
      </c>
      <c r="BV230" s="76">
        <f>IF($C230="","",IFERROR(INDEX(dmEntity,MATCH($C230,dmID,0)),"Unmapped"))</f>
        <v/>
      </c>
      <c r="BW230" s="77">
        <f>IF($C230="","",IFERROR(INDEX(dmVintage,MATCH($C230,dmID,0)),""))</f>
        <v/>
      </c>
      <c r="BX230" s="78">
        <f>IFERROR(INDEX(dmInclude,MATCH($C230,dmID,0)),0)</f>
        <v/>
      </c>
      <c r="BY230" s="78">
        <f>IF(N($I230)&gt;0,1,0)</f>
        <v/>
      </c>
      <c r="BZ230" s="76">
        <f>IF($AJ230="","Other / Leased Fee",IFERROR(INDEX(mapPTGroup,MATCH(LEFT(TRIM($AJ230),2),mapPTCode,0)),"Other / Leased Fee"))</f>
        <v/>
      </c>
      <c r="CA230" s="76">
        <f>IF(TRIM($AF230&amp;"")="","NR",LEFT(TRIM($AF230),2))</f>
        <v/>
      </c>
      <c r="CB230" s="76">
        <f>IFERROR(LOOKUP(2,1/(LEFT(TRIM($AI230&amp;""),LEN(mapRegion))=mapRegion),mapRegion),"Not Reported")</f>
        <v/>
      </c>
      <c r="CC230" s="76">
        <f>IF($BY230=0,"",IF(TRIM($W230&amp;"")="REO","REO",IF(TRIM($W230&amp;"")="FC","Foreclosure",IF(TRIM($W230&amp;"")="90+","90+ Days Delinquent",IF(TRIM($W230&amp;"")="60","60 Days Delinquent",IF(TRIM($W230&amp;"")="30","30 Days Delinquent",IF($X230="Non-Performing Matured Balloon","Non-Performing Matured Balloon",IF(OR($X230="Late Payment But Less Than 30 Days Delinquent",LEFT($X230&amp;"",20)="Payment Not Received"),"Late / In Grace (&lt;30 Days)",IF($X230="Performing Matured Balloon","Performing Matured Balloon","Current")))))))))</f>
        <v/>
      </c>
      <c r="CD230" s="78">
        <f>IF(OR($CC230="REO",$CC230="Foreclosure",$CC230="90+ Days Delinquent",$CC230="60 Days Delinquent",$CC230="30 Days Delinquent",$CC230="Non-Performing Matured Balloon"),1,0)</f>
        <v/>
      </c>
      <c r="CE230" s="76">
        <f>IF($AB230="Currently special serv","Currently Specially Serviced",IF($AB230="Returned to master serv","Previously Specially Serviced","Never Specially Serviced"))</f>
        <v/>
      </c>
      <c r="CF230" s="78">
        <f>IF($CE230="Currently Specially Serviced",1,0)</f>
        <v/>
      </c>
      <c r="CG230" s="76">
        <f>IF($AA230="Yes","Currently on Watchlist",IF($AA230="Previously","Previously on Watchlist","Never on Watchlist"))</f>
        <v/>
      </c>
      <c r="CH230" s="78">
        <f>IF($CG230="Currently on Watchlist",1,0)</f>
        <v/>
      </c>
      <c r="CI230" s="76">
        <f>IF($Z230="Full Defeasance","Fully Defeased",IF($Z230="Portion Of Loan Previously Defeased","Partially Defeased",IF($Z230="Defeasance Not Allowable","Not Defeased (Not Permitted)","Not Defeased")))</f>
        <v/>
      </c>
      <c r="CJ230" s="78">
        <f>IF($CI230="Fully Defeased",1,0)</f>
        <v/>
      </c>
      <c r="CK230" s="76">
        <f>IF($R230="IO","Full IO",IF(LEFT($R230&amp;"",7)="IO then","Partial IO","Amortizing"))</f>
        <v/>
      </c>
      <c r="CL230" s="78">
        <f>IF($CK230="Full IO",1,0)</f>
        <v/>
      </c>
      <c r="CM230" s="78">
        <f>IF($CK230="Partial IO",1,0)</f>
        <v/>
      </c>
      <c r="CN230" s="76">
        <f>IF(LEFT($F230&amp;"",10)="SPLIT_LOAN","Pari Passu Split","Standalone")</f>
        <v/>
      </c>
      <c r="CO230" s="78">
        <f>IF($CN230="Pari Passu Split",1,0)</f>
        <v/>
      </c>
      <c r="CP230" s="77">
        <f>IF(ISNUMBER($T230),YEAR($T230),"")</f>
        <v/>
      </c>
      <c r="CQ230" s="79">
        <f>IF(ISNUMBER($V230),$V230,IF(ISNUMBER($U230),$U230,""))</f>
        <v/>
      </c>
      <c r="CR230" s="77">
        <f>IF(ISNUMBER($CQ230),YEAR($CQ230),"")</f>
        <v/>
      </c>
      <c r="CS230" s="78">
        <f>IF(ISNUMBER($M230),MAX(0,$M230),IF(TRIM($M230&amp;"")="matured",0,""))</f>
        <v/>
      </c>
      <c r="CT230" s="78">
        <f>IF(AND(ISNUMBER($CS230),N($CS230)&lt;=mMatWindow),1,0)</f>
        <v/>
      </c>
      <c r="CU230" s="80">
        <f>IF(ISNUMBER($J230),$J230/100,"")</f>
        <v/>
      </c>
      <c r="CV230" s="81">
        <f>IF(ISNUMBER($AQ230),$AQ230,"")</f>
        <v/>
      </c>
      <c r="CW230" s="81">
        <f>IF(ISNUMBER($AR230),$AR230,"")</f>
        <v/>
      </c>
      <c r="CX230" s="82">
        <f>IF(ISNUMBER($AS230),$AS230/100,"")</f>
        <v/>
      </c>
      <c r="CY230" s="82">
        <f>IF(ISNUMBER($AT230),$AT230/100,"")</f>
        <v/>
      </c>
      <c r="CZ230" s="82">
        <f>IF(ISNUMBER($AU230),$AU230/100,"")</f>
        <v/>
      </c>
      <c r="DA230" s="82">
        <f>IF(ISNUMBER($AV230),$AV230/100,"")</f>
        <v/>
      </c>
      <c r="DB230" s="82">
        <f>IF(ISNUMBER($AW230),$AW230/100,"")</f>
        <v/>
      </c>
      <c r="DC230" s="82">
        <f>IF(ISNUMBER($AX230),$AX230/100,"")</f>
        <v/>
      </c>
      <c r="DD230" s="77">
        <f>IFERROR(VALUE(LEFT(TRIM($AO230&amp;""),4)),"")</f>
        <v/>
      </c>
      <c r="DE230" s="78">
        <f>IF(AND($BY230=1,$BX230=1,OR(fDeal="All Deals",$BU230=fDeal),OR(fEntity="All Entities",$BV230=fEntity),OR(fPType="All Property Types",$BZ230=fPType),OR(fDefeased="Include",$CJ230=0)),1,0)</f>
        <v/>
      </c>
      <c r="DF230" s="83">
        <f>$DE230*N($I230)</f>
        <v/>
      </c>
      <c r="DG230" s="78">
        <f>IF($DE230=1,IF(COUNTIFS($F$8:$F230,$F230,$DE$8:$DE230,1)=1,1,0),0)</f>
        <v/>
      </c>
      <c r="DH230" s="83">
        <f>IF($DG230=1,SUMIFS($DF$8:$DF$1600,$F$8:$F$1600,$F230),0)</f>
        <v/>
      </c>
      <c r="DI230" s="78">
        <f>IF($DG230=1,COUNTIFS($F$8:$F$1600,$F230,$DE$8:$DE$1600,1),0)</f>
        <v/>
      </c>
      <c r="DJ230" s="84">
        <f>IF($DG230=1,$DH230+(100000-ROW())/mTieBreak,0)</f>
        <v/>
      </c>
    </row>
    <row r="231">
      <c r="B231" s="68" t="n">
        <v>34</v>
      </c>
      <c r="C231" s="69" t="inlineStr">
        <is>
          <t>BBC19C03</t>
        </is>
      </c>
      <c r="D231" s="69" t="inlineStr">
        <is>
          <t>34.000</t>
        </is>
      </c>
      <c r="E231" s="69" t="inlineStr">
        <is>
          <t>Candlewood Suites Indianapolis Downtown Medical District</t>
        </is>
      </c>
      <c r="F231" s="69" t="inlineStr">
        <is>
          <t>LNBBC19C03-34.000</t>
        </is>
      </c>
      <c r="G231" s="70" t="n"/>
      <c r="H231" s="71" t="n">
        <v>10000000</v>
      </c>
      <c r="I231" s="71" t="n">
        <v>8812866.839999998</v>
      </c>
      <c r="J231" s="72" t="n">
        <v>5.38</v>
      </c>
      <c r="K231" s="69" t="inlineStr">
        <is>
          <t>Fixed rate</t>
        </is>
      </c>
      <c r="L231" s="68" t="n">
        <v>120</v>
      </c>
      <c r="M231" s="68" t="n">
        <v>29</v>
      </c>
      <c r="N231" s="68" t="n">
        <v>360</v>
      </c>
      <c r="O231" s="68" t="n"/>
      <c r="P231" s="68" t="n"/>
      <c r="Q231" s="68" t="n">
        <v>91</v>
      </c>
      <c r="R231" s="69" t="n"/>
      <c r="S231" s="69" t="inlineStr">
        <is>
          <t>No</t>
        </is>
      </c>
      <c r="T231" s="73" t="n">
        <v>43497</v>
      </c>
      <c r="U231" s="73" t="n">
        <v>47155</v>
      </c>
      <c r="V231" s="73" t="n"/>
      <c r="W231" s="69" t="n"/>
      <c r="X231" s="69" t="inlineStr">
        <is>
          <t>Current</t>
        </is>
      </c>
      <c r="Y231" s="68" t="n"/>
      <c r="Z231" s="69" t="inlineStr">
        <is>
          <t>No Defeasance Occurred</t>
        </is>
      </c>
      <c r="AA231" s="69" t="inlineStr">
        <is>
          <t>Previously</t>
        </is>
      </c>
      <c r="AB231" s="69" t="inlineStr">
        <is>
          <t>Never special serv</t>
        </is>
      </c>
      <c r="AC231" s="73" t="n"/>
      <c r="AD231" s="69" t="n"/>
      <c r="AE231" s="69" t="n"/>
      <c r="AF231" s="69" t="inlineStr">
        <is>
          <t>IN</t>
        </is>
      </c>
      <c r="AG231" s="69" t="inlineStr">
        <is>
          <t>Indianapolis</t>
        </is>
      </c>
      <c r="AH231" s="69" t="inlineStr">
        <is>
          <t>Indianapolis-Carmel-Greenwood, IN</t>
        </is>
      </c>
      <c r="AI231" s="69" t="inlineStr">
        <is>
          <t>Midwest / Central East</t>
        </is>
      </c>
      <c r="AJ231" s="69" t="inlineStr">
        <is>
          <t>HT</t>
        </is>
      </c>
      <c r="AK231" s="69" t="inlineStr">
        <is>
          <t>Extended Stay</t>
        </is>
      </c>
      <c r="AL231" s="68" t="n">
        <v>1</v>
      </c>
      <c r="AM231" s="68" t="n">
        <v>142</v>
      </c>
      <c r="AN231" s="68" t="n"/>
      <c r="AO231" s="69" t="inlineStr">
        <is>
          <t>1960</t>
        </is>
      </c>
      <c r="AP231" s="70" t="n">
        <v>2007</v>
      </c>
      <c r="AQ231" s="74" t="n">
        <v>1.65</v>
      </c>
      <c r="AR231" s="74" t="n">
        <v>2.11</v>
      </c>
      <c r="AS231" s="74" t="n">
        <v>64.2</v>
      </c>
      <c r="AT231" s="74" t="n">
        <v>56.86</v>
      </c>
      <c r="AU231" s="74" t="n">
        <v>53.7</v>
      </c>
      <c r="AV231" s="74" t="n">
        <v>11.09863</v>
      </c>
      <c r="AW231" s="74" t="n">
        <v>16.06830678</v>
      </c>
      <c r="AX231" s="75" t="n">
        <v>74</v>
      </c>
      <c r="AY231" s="71" t="n">
        <v>15500000</v>
      </c>
      <c r="AZ231" s="71" t="n">
        <v>15500000</v>
      </c>
      <c r="BA231" s="71" t="n">
        <v>1109863</v>
      </c>
      <c r="BB231" s="71" t="n">
        <v>1416078.48</v>
      </c>
      <c r="BC231" s="69" t="inlineStr">
        <is>
          <t>Refinance</t>
        </is>
      </c>
      <c r="BD231" s="69" t="inlineStr">
        <is>
          <t>N</t>
        </is>
      </c>
      <c r="BE231" s="71" t="n"/>
      <c r="BF231" s="71" t="n"/>
      <c r="BG231" s="71" t="n"/>
      <c r="BH231" s="71" t="n">
        <v>0</v>
      </c>
      <c r="BI231" s="71" t="n">
        <v>0</v>
      </c>
      <c r="BJ231" s="69" t="inlineStr">
        <is>
          <t>Y</t>
        </is>
      </c>
      <c r="BK231" s="69" t="n"/>
      <c r="BL231" s="75" t="n"/>
      <c r="BM231" s="73" t="n"/>
      <c r="BN231" s="69" t="n"/>
      <c r="BO231" s="69" t="inlineStr">
        <is>
          <t>Barclays</t>
        </is>
      </c>
      <c r="BP231" s="69" t="inlineStr">
        <is>
          <t>Midland Loan Services</t>
        </is>
      </c>
      <c r="BQ231" s="69" t="inlineStr">
        <is>
          <t>K-Star Asset Management LLC</t>
        </is>
      </c>
      <c r="BR231" s="69" t="n"/>
      <c r="BS231" s="73" t="n">
        <v>46276</v>
      </c>
      <c r="BU231" s="76">
        <f>IF($C231="","",IFERROR(INDEX(dmName,MATCH($C231,dmID,0)),"Unmapped"))</f>
        <v/>
      </c>
      <c r="BV231" s="76">
        <f>IF($C231="","",IFERROR(INDEX(dmEntity,MATCH($C231,dmID,0)),"Unmapped"))</f>
        <v/>
      </c>
      <c r="BW231" s="77">
        <f>IF($C231="","",IFERROR(INDEX(dmVintage,MATCH($C231,dmID,0)),""))</f>
        <v/>
      </c>
      <c r="BX231" s="78">
        <f>IFERROR(INDEX(dmInclude,MATCH($C231,dmID,0)),0)</f>
        <v/>
      </c>
      <c r="BY231" s="78">
        <f>IF(N($I231)&gt;0,1,0)</f>
        <v/>
      </c>
      <c r="BZ231" s="76">
        <f>IF($AJ231="","Other / Leased Fee",IFERROR(INDEX(mapPTGroup,MATCH(LEFT(TRIM($AJ231),2),mapPTCode,0)),"Other / Leased Fee"))</f>
        <v/>
      </c>
      <c r="CA231" s="76">
        <f>IF(TRIM($AF231&amp;"")="","NR",LEFT(TRIM($AF231),2))</f>
        <v/>
      </c>
      <c r="CB231" s="76">
        <f>IFERROR(LOOKUP(2,1/(LEFT(TRIM($AI231&amp;""),LEN(mapRegion))=mapRegion),mapRegion),"Not Reported")</f>
        <v/>
      </c>
      <c r="CC231" s="76">
        <f>IF($BY231=0,"",IF(TRIM($W231&amp;"")="REO","REO",IF(TRIM($W231&amp;"")="FC","Foreclosure",IF(TRIM($W231&amp;"")="90+","90+ Days Delinquent",IF(TRIM($W231&amp;"")="60","60 Days Delinquent",IF(TRIM($W231&amp;"")="30","30 Days Delinquent",IF($X231="Non-Performing Matured Balloon","Non-Performing Matured Balloon",IF(OR($X231="Late Payment But Less Than 30 Days Delinquent",LEFT($X231&amp;"",20)="Payment Not Received"),"Late / In Grace (&lt;30 Days)",IF($X231="Performing Matured Balloon","Performing Matured Balloon","Current")))))))))</f>
        <v/>
      </c>
      <c r="CD231" s="78">
        <f>IF(OR($CC231="REO",$CC231="Foreclosure",$CC231="90+ Days Delinquent",$CC231="60 Days Delinquent",$CC231="30 Days Delinquent",$CC231="Non-Performing Matured Balloon"),1,0)</f>
        <v/>
      </c>
      <c r="CE231" s="76">
        <f>IF($AB231="Currently special serv","Currently Specially Serviced",IF($AB231="Returned to master serv","Previously Specially Serviced","Never Specially Serviced"))</f>
        <v/>
      </c>
      <c r="CF231" s="78">
        <f>IF($CE231="Currently Specially Serviced",1,0)</f>
        <v/>
      </c>
      <c r="CG231" s="76">
        <f>IF($AA231="Yes","Currently on Watchlist",IF($AA231="Previously","Previously on Watchlist","Never on Watchlist"))</f>
        <v/>
      </c>
      <c r="CH231" s="78">
        <f>IF($CG231="Currently on Watchlist",1,0)</f>
        <v/>
      </c>
      <c r="CI231" s="76">
        <f>IF($Z231="Full Defeasance","Fully Defeased",IF($Z231="Portion Of Loan Previously Defeased","Partially Defeased",IF($Z231="Defeasance Not Allowable","Not Defeased (Not Permitted)","Not Defeased")))</f>
        <v/>
      </c>
      <c r="CJ231" s="78">
        <f>IF($CI231="Fully Defeased",1,0)</f>
        <v/>
      </c>
      <c r="CK231" s="76">
        <f>IF($R231="IO","Full IO",IF(LEFT($R231&amp;"",7)="IO then","Partial IO","Amortizing"))</f>
        <v/>
      </c>
      <c r="CL231" s="78">
        <f>IF($CK231="Full IO",1,0)</f>
        <v/>
      </c>
      <c r="CM231" s="78">
        <f>IF($CK231="Partial IO",1,0)</f>
        <v/>
      </c>
      <c r="CN231" s="76">
        <f>IF(LEFT($F231&amp;"",10)="SPLIT_LOAN","Pari Passu Split","Standalone")</f>
        <v/>
      </c>
      <c r="CO231" s="78">
        <f>IF($CN231="Pari Passu Split",1,0)</f>
        <v/>
      </c>
      <c r="CP231" s="77">
        <f>IF(ISNUMBER($T231),YEAR($T231),"")</f>
        <v/>
      </c>
      <c r="CQ231" s="79">
        <f>IF(ISNUMBER($V231),$V231,IF(ISNUMBER($U231),$U231,""))</f>
        <v/>
      </c>
      <c r="CR231" s="77">
        <f>IF(ISNUMBER($CQ231),YEAR($CQ231),"")</f>
        <v/>
      </c>
      <c r="CS231" s="78">
        <f>IF(ISNUMBER($M231),MAX(0,$M231),IF(TRIM($M231&amp;"")="matured",0,""))</f>
        <v/>
      </c>
      <c r="CT231" s="78">
        <f>IF(AND(ISNUMBER($CS231),N($CS231)&lt;=mMatWindow),1,0)</f>
        <v/>
      </c>
      <c r="CU231" s="80">
        <f>IF(ISNUMBER($J231),$J231/100,"")</f>
        <v/>
      </c>
      <c r="CV231" s="81">
        <f>IF(ISNUMBER($AQ231),$AQ231,"")</f>
        <v/>
      </c>
      <c r="CW231" s="81">
        <f>IF(ISNUMBER($AR231),$AR231,"")</f>
        <v/>
      </c>
      <c r="CX231" s="82">
        <f>IF(ISNUMBER($AS231),$AS231/100,"")</f>
        <v/>
      </c>
      <c r="CY231" s="82">
        <f>IF(ISNUMBER($AT231),$AT231/100,"")</f>
        <v/>
      </c>
      <c r="CZ231" s="82">
        <f>IF(ISNUMBER($AU231),$AU231/100,"")</f>
        <v/>
      </c>
      <c r="DA231" s="82">
        <f>IF(ISNUMBER($AV231),$AV231/100,"")</f>
        <v/>
      </c>
      <c r="DB231" s="82">
        <f>IF(ISNUMBER($AW231),$AW231/100,"")</f>
        <v/>
      </c>
      <c r="DC231" s="82">
        <f>IF(ISNUMBER($AX231),$AX231/100,"")</f>
        <v/>
      </c>
      <c r="DD231" s="77">
        <f>IFERROR(VALUE(LEFT(TRIM($AO231&amp;""),4)),"")</f>
        <v/>
      </c>
      <c r="DE231" s="78">
        <f>IF(AND($BY231=1,$BX231=1,OR(fDeal="All Deals",$BU231=fDeal),OR(fEntity="All Entities",$BV231=fEntity),OR(fPType="All Property Types",$BZ231=fPType),OR(fDefeased="Include",$CJ231=0)),1,0)</f>
        <v/>
      </c>
      <c r="DF231" s="83">
        <f>$DE231*N($I231)</f>
        <v/>
      </c>
      <c r="DG231" s="78">
        <f>IF($DE231=1,IF(COUNTIFS($F$8:$F231,$F231,$DE$8:$DE231,1)=1,1,0),0)</f>
        <v/>
      </c>
      <c r="DH231" s="83">
        <f>IF($DG231=1,SUMIFS($DF$8:$DF$1600,$F$8:$F$1600,$F231),0)</f>
        <v/>
      </c>
      <c r="DI231" s="78">
        <f>IF($DG231=1,COUNTIFS($F$8:$F$1600,$F231,$DE$8:$DE$1600,1),0)</f>
        <v/>
      </c>
      <c r="DJ231" s="84">
        <f>IF($DG231=1,$DH231+(100000-ROW())/mTieBreak,0)</f>
        <v/>
      </c>
    </row>
    <row r="232">
      <c r="B232" s="68" t="n">
        <v>35</v>
      </c>
      <c r="C232" s="69" t="inlineStr">
        <is>
          <t>BBC19C03</t>
        </is>
      </c>
      <c r="D232" s="69" t="inlineStr">
        <is>
          <t>35.000</t>
        </is>
      </c>
      <c r="E232" s="69" t="inlineStr">
        <is>
          <t>Sierra Springs Village</t>
        </is>
      </c>
      <c r="F232" s="69" t="inlineStr">
        <is>
          <t>LNBBC19C03-35.000</t>
        </is>
      </c>
      <c r="G232" s="70" t="n"/>
      <c r="H232" s="71" t="n">
        <v>9840000</v>
      </c>
      <c r="I232" s="71" t="n">
        <v>9840000</v>
      </c>
      <c r="J232" s="72" t="n">
        <v>5.15</v>
      </c>
      <c r="K232" s="69" t="inlineStr">
        <is>
          <t>Fixed rate</t>
        </is>
      </c>
      <c r="L232" s="68" t="n">
        <v>120</v>
      </c>
      <c r="M232" s="68" t="n">
        <v>31</v>
      </c>
      <c r="N232" s="68" t="n">
        <v>120</v>
      </c>
      <c r="O232" s="68" t="n">
        <v>120</v>
      </c>
      <c r="P232" s="68" t="n">
        <v>31</v>
      </c>
      <c r="Q232" s="68" t="n">
        <v>89</v>
      </c>
      <c r="R232" s="69" t="inlineStr">
        <is>
          <t>IO</t>
        </is>
      </c>
      <c r="S232" s="69" t="inlineStr">
        <is>
          <t>Yes</t>
        </is>
      </c>
      <c r="T232" s="73" t="n">
        <v>43556</v>
      </c>
      <c r="U232" s="73" t="n">
        <v>47214</v>
      </c>
      <c r="V232" s="73" t="n"/>
      <c r="W232" s="69" t="n"/>
      <c r="X232" s="69" t="inlineStr">
        <is>
          <t>Current</t>
        </is>
      </c>
      <c r="Y232" s="68" t="n"/>
      <c r="Z232" s="69" t="inlineStr">
        <is>
          <t>No Defeasance Occurred</t>
        </is>
      </c>
      <c r="AA232" s="69" t="inlineStr">
        <is>
          <t>Previously</t>
        </is>
      </c>
      <c r="AB232" s="69" t="inlineStr">
        <is>
          <t>Never special serv</t>
        </is>
      </c>
      <c r="AC232" s="73" t="n"/>
      <c r="AD232" s="69" t="n"/>
      <c r="AE232" s="69" t="n"/>
      <c r="AF232" s="69" t="inlineStr">
        <is>
          <t>CA</t>
        </is>
      </c>
      <c r="AG232" s="69" t="inlineStr">
        <is>
          <t>Van Nuys</t>
        </is>
      </c>
      <c r="AH232" s="69" t="inlineStr">
        <is>
          <t>Los Angeles-Long Beach-Anaheim, CA</t>
        </is>
      </c>
      <c r="AI232" s="69" t="inlineStr">
        <is>
          <t>West / Pacific South</t>
        </is>
      </c>
      <c r="AJ232" s="69" t="inlineStr">
        <is>
          <t>MH</t>
        </is>
      </c>
      <c r="AK232" s="69" t="n"/>
      <c r="AL232" s="68" t="n">
        <v>1</v>
      </c>
      <c r="AM232" s="68" t="n">
        <v>145</v>
      </c>
      <c r="AN232" s="68" t="n"/>
      <c r="AO232" s="69" t="inlineStr">
        <is>
          <t>1953</t>
        </is>
      </c>
      <c r="AP232" s="70" t="n">
        <v>1953</v>
      </c>
      <c r="AQ232" s="74" t="n">
        <v>1.48</v>
      </c>
      <c r="AR232" s="74" t="n">
        <v>2.19</v>
      </c>
      <c r="AS232" s="74" t="n">
        <v>58.8</v>
      </c>
      <c r="AT232" s="74" t="n">
        <v>58.82</v>
      </c>
      <c r="AU232" s="74" t="n">
        <v>58.8</v>
      </c>
      <c r="AV232" s="74" t="n">
        <v>7.747489837</v>
      </c>
      <c r="AW232" s="74" t="n">
        <v>11.115831606</v>
      </c>
      <c r="AX232" s="75" t="n">
        <v>98</v>
      </c>
      <c r="AY232" s="71" t="n">
        <v>16730000</v>
      </c>
      <c r="AZ232" s="71" t="n">
        <v>16730000</v>
      </c>
      <c r="BA232" s="71" t="n">
        <v>762353</v>
      </c>
      <c r="BB232" s="71" t="n">
        <v>1127686.23</v>
      </c>
      <c r="BC232" s="69" t="inlineStr">
        <is>
          <t>Acquisition</t>
        </is>
      </c>
      <c r="BD232" s="69" t="inlineStr">
        <is>
          <t>N</t>
        </is>
      </c>
      <c r="BE232" s="71" t="n"/>
      <c r="BF232" s="71" t="n"/>
      <c r="BG232" s="71" t="n"/>
      <c r="BH232" s="71" t="n">
        <v>0</v>
      </c>
      <c r="BI232" s="71" t="n">
        <v>0</v>
      </c>
      <c r="BJ232" s="69" t="inlineStr">
        <is>
          <t>N</t>
        </is>
      </c>
      <c r="BK232" s="69" t="n"/>
      <c r="BL232" s="75" t="n"/>
      <c r="BM232" s="73" t="n"/>
      <c r="BN232" s="69" t="n"/>
      <c r="BO232" s="69" t="inlineStr">
        <is>
          <t>Barclays</t>
        </is>
      </c>
      <c r="BP232" s="69" t="inlineStr">
        <is>
          <t>Midland Loan Services</t>
        </is>
      </c>
      <c r="BQ232" s="69" t="inlineStr">
        <is>
          <t>K-Star Asset Management LLC</t>
        </is>
      </c>
      <c r="BR232" s="69" t="n"/>
      <c r="BS232" s="73" t="n">
        <v>46276</v>
      </c>
      <c r="BU232" s="76">
        <f>IF($C232="","",IFERROR(INDEX(dmName,MATCH($C232,dmID,0)),"Unmapped"))</f>
        <v/>
      </c>
      <c r="BV232" s="76">
        <f>IF($C232="","",IFERROR(INDEX(dmEntity,MATCH($C232,dmID,0)),"Unmapped"))</f>
        <v/>
      </c>
      <c r="BW232" s="77">
        <f>IF($C232="","",IFERROR(INDEX(dmVintage,MATCH($C232,dmID,0)),""))</f>
        <v/>
      </c>
      <c r="BX232" s="78">
        <f>IFERROR(INDEX(dmInclude,MATCH($C232,dmID,0)),0)</f>
        <v/>
      </c>
      <c r="BY232" s="78">
        <f>IF(N($I232)&gt;0,1,0)</f>
        <v/>
      </c>
      <c r="BZ232" s="76">
        <f>IF($AJ232="","Other / Leased Fee",IFERROR(INDEX(mapPTGroup,MATCH(LEFT(TRIM($AJ232),2),mapPTCode,0)),"Other / Leased Fee"))</f>
        <v/>
      </c>
      <c r="CA232" s="76">
        <f>IF(TRIM($AF232&amp;"")="","NR",LEFT(TRIM($AF232),2))</f>
        <v/>
      </c>
      <c r="CB232" s="76">
        <f>IFERROR(LOOKUP(2,1/(LEFT(TRIM($AI232&amp;""),LEN(mapRegion))=mapRegion),mapRegion),"Not Reported")</f>
        <v/>
      </c>
      <c r="CC232" s="76">
        <f>IF($BY232=0,"",IF(TRIM($W232&amp;"")="REO","REO",IF(TRIM($W232&amp;"")="FC","Foreclosure",IF(TRIM($W232&amp;"")="90+","90+ Days Delinquent",IF(TRIM($W232&amp;"")="60","60 Days Delinquent",IF(TRIM($W232&amp;"")="30","30 Days Delinquent",IF($X232="Non-Performing Matured Balloon","Non-Performing Matured Balloon",IF(OR($X232="Late Payment But Less Than 30 Days Delinquent",LEFT($X232&amp;"",20)="Payment Not Received"),"Late / In Grace (&lt;30 Days)",IF($X232="Performing Matured Balloon","Performing Matured Balloon","Current")))))))))</f>
        <v/>
      </c>
      <c r="CD232" s="78">
        <f>IF(OR($CC232="REO",$CC232="Foreclosure",$CC232="90+ Days Delinquent",$CC232="60 Days Delinquent",$CC232="30 Days Delinquent",$CC232="Non-Performing Matured Balloon"),1,0)</f>
        <v/>
      </c>
      <c r="CE232" s="76">
        <f>IF($AB232="Currently special serv","Currently Specially Serviced",IF($AB232="Returned to master serv","Previously Specially Serviced","Never Specially Serviced"))</f>
        <v/>
      </c>
      <c r="CF232" s="78">
        <f>IF($CE232="Currently Specially Serviced",1,0)</f>
        <v/>
      </c>
      <c r="CG232" s="76">
        <f>IF($AA232="Yes","Currently on Watchlist",IF($AA232="Previously","Previously on Watchlist","Never on Watchlist"))</f>
        <v/>
      </c>
      <c r="CH232" s="78">
        <f>IF($CG232="Currently on Watchlist",1,0)</f>
        <v/>
      </c>
      <c r="CI232" s="76">
        <f>IF($Z232="Full Defeasance","Fully Defeased",IF($Z232="Portion Of Loan Previously Defeased","Partially Defeased",IF($Z232="Defeasance Not Allowable","Not Defeased (Not Permitted)","Not Defeased")))</f>
        <v/>
      </c>
      <c r="CJ232" s="78">
        <f>IF($CI232="Fully Defeased",1,0)</f>
        <v/>
      </c>
      <c r="CK232" s="76">
        <f>IF($R232="IO","Full IO",IF(LEFT($R232&amp;"",7)="IO then","Partial IO","Amortizing"))</f>
        <v/>
      </c>
      <c r="CL232" s="78">
        <f>IF($CK232="Full IO",1,0)</f>
        <v/>
      </c>
      <c r="CM232" s="78">
        <f>IF($CK232="Partial IO",1,0)</f>
        <v/>
      </c>
      <c r="CN232" s="76">
        <f>IF(LEFT($F232&amp;"",10)="SPLIT_LOAN","Pari Passu Split","Standalone")</f>
        <v/>
      </c>
      <c r="CO232" s="78">
        <f>IF($CN232="Pari Passu Split",1,0)</f>
        <v/>
      </c>
      <c r="CP232" s="77">
        <f>IF(ISNUMBER($T232),YEAR($T232),"")</f>
        <v/>
      </c>
      <c r="CQ232" s="79">
        <f>IF(ISNUMBER($V232),$V232,IF(ISNUMBER($U232),$U232,""))</f>
        <v/>
      </c>
      <c r="CR232" s="77">
        <f>IF(ISNUMBER($CQ232),YEAR($CQ232),"")</f>
        <v/>
      </c>
      <c r="CS232" s="78">
        <f>IF(ISNUMBER($M232),MAX(0,$M232),IF(TRIM($M232&amp;"")="matured",0,""))</f>
        <v/>
      </c>
      <c r="CT232" s="78">
        <f>IF(AND(ISNUMBER($CS232),N($CS232)&lt;=mMatWindow),1,0)</f>
        <v/>
      </c>
      <c r="CU232" s="80">
        <f>IF(ISNUMBER($J232),$J232/100,"")</f>
        <v/>
      </c>
      <c r="CV232" s="81">
        <f>IF(ISNUMBER($AQ232),$AQ232,"")</f>
        <v/>
      </c>
      <c r="CW232" s="81">
        <f>IF(ISNUMBER($AR232),$AR232,"")</f>
        <v/>
      </c>
      <c r="CX232" s="82">
        <f>IF(ISNUMBER($AS232),$AS232/100,"")</f>
        <v/>
      </c>
      <c r="CY232" s="82">
        <f>IF(ISNUMBER($AT232),$AT232/100,"")</f>
        <v/>
      </c>
      <c r="CZ232" s="82">
        <f>IF(ISNUMBER($AU232),$AU232/100,"")</f>
        <v/>
      </c>
      <c r="DA232" s="82">
        <f>IF(ISNUMBER($AV232),$AV232/100,"")</f>
        <v/>
      </c>
      <c r="DB232" s="82">
        <f>IF(ISNUMBER($AW232),$AW232/100,"")</f>
        <v/>
      </c>
      <c r="DC232" s="82">
        <f>IF(ISNUMBER($AX232),$AX232/100,"")</f>
        <v/>
      </c>
      <c r="DD232" s="77">
        <f>IFERROR(VALUE(LEFT(TRIM($AO232&amp;""),4)),"")</f>
        <v/>
      </c>
      <c r="DE232" s="78">
        <f>IF(AND($BY232=1,$BX232=1,OR(fDeal="All Deals",$BU232=fDeal),OR(fEntity="All Entities",$BV232=fEntity),OR(fPType="All Property Types",$BZ232=fPType),OR(fDefeased="Include",$CJ232=0)),1,0)</f>
        <v/>
      </c>
      <c r="DF232" s="83">
        <f>$DE232*N($I232)</f>
        <v/>
      </c>
      <c r="DG232" s="78">
        <f>IF($DE232=1,IF(COUNTIFS($F$8:$F232,$F232,$DE$8:$DE232,1)=1,1,0),0)</f>
        <v/>
      </c>
      <c r="DH232" s="83">
        <f>IF($DG232=1,SUMIFS($DF$8:$DF$1600,$F$8:$F$1600,$F232),0)</f>
        <v/>
      </c>
      <c r="DI232" s="78">
        <f>IF($DG232=1,COUNTIFS($F$8:$F$1600,$F232,$DE$8:$DE$1600,1),0)</f>
        <v/>
      </c>
      <c r="DJ232" s="84">
        <f>IF($DG232=1,$DH232+(100000-ROW())/mTieBreak,0)</f>
        <v/>
      </c>
    </row>
    <row r="233">
      <c r="B233" s="68" t="n">
        <v>36</v>
      </c>
      <c r="C233" s="69" t="inlineStr">
        <is>
          <t>BBC19C03</t>
        </is>
      </c>
      <c r="D233" s="69" t="inlineStr">
        <is>
          <t>36.TR</t>
        </is>
      </c>
      <c r="E233" s="69" t="inlineStr">
        <is>
          <t>Christiana Mall - Trust</t>
        </is>
      </c>
      <c r="F233" s="69" t="inlineStr">
        <is>
          <t>SPLIT_LOAN_01318</t>
        </is>
      </c>
      <c r="G233" s="70" t="n">
        <v>1318</v>
      </c>
      <c r="H233" s="71" t="n">
        <v>9704000</v>
      </c>
      <c r="I233" s="71" t="n">
        <v>9704000</v>
      </c>
      <c r="J233" s="72" t="n">
        <v>4.2775</v>
      </c>
      <c r="K233" s="69" t="inlineStr">
        <is>
          <t>Fixed rate</t>
        </is>
      </c>
      <c r="L233" s="68" t="n">
        <v>120</v>
      </c>
      <c r="M233" s="68" t="n">
        <v>23</v>
      </c>
      <c r="N233" s="68" t="n">
        <v>120</v>
      </c>
      <c r="O233" s="68" t="n">
        <v>120</v>
      </c>
      <c r="P233" s="68" t="n">
        <v>23</v>
      </c>
      <c r="Q233" s="68" t="n">
        <v>97</v>
      </c>
      <c r="R233" s="69" t="inlineStr">
        <is>
          <t>IO</t>
        </is>
      </c>
      <c r="S233" s="69" t="inlineStr">
        <is>
          <t>Yes</t>
        </is>
      </c>
      <c r="T233" s="73" t="n">
        <v>43313</v>
      </c>
      <c r="U233" s="73" t="n">
        <v>46966</v>
      </c>
      <c r="V233" s="73" t="n"/>
      <c r="W233" s="69" t="n"/>
      <c r="X233" s="69" t="inlineStr">
        <is>
          <t>Current</t>
        </is>
      </c>
      <c r="Y233" s="68" t="n"/>
      <c r="Z233" s="69" t="inlineStr">
        <is>
          <t>No Defeasance Occurred</t>
        </is>
      </c>
      <c r="AA233" s="69" t="n"/>
      <c r="AB233" s="69" t="inlineStr">
        <is>
          <t>Never special serv</t>
        </is>
      </c>
      <c r="AC233" s="73" t="n"/>
      <c r="AD233" s="69" t="n"/>
      <c r="AE233" s="69" t="n"/>
      <c r="AF233" s="69" t="inlineStr">
        <is>
          <t>DE</t>
        </is>
      </c>
      <c r="AG233" s="69" t="inlineStr">
        <is>
          <t>Newark</t>
        </is>
      </c>
      <c r="AH233" s="69" t="inlineStr">
        <is>
          <t>Philadelphia-Camden-Wilmington, PA-NJ-DE-MD</t>
        </is>
      </c>
      <c r="AI233" s="69" t="inlineStr">
        <is>
          <t>Northeast / Mid-Atlantic</t>
        </is>
      </c>
      <c r="AJ233" s="69" t="inlineStr">
        <is>
          <t>RT</t>
        </is>
      </c>
      <c r="AK233" s="69" t="inlineStr">
        <is>
          <t>Super Regional Mall</t>
        </is>
      </c>
      <c r="AL233" s="68" t="n">
        <v>1</v>
      </c>
      <c r="AM233" s="68" t="n"/>
      <c r="AN233" s="68" t="n">
        <v>779084</v>
      </c>
      <c r="AO233" s="69" t="inlineStr">
        <is>
          <t>1978</t>
        </is>
      </c>
      <c r="AP233" s="70" t="n">
        <v>2015</v>
      </c>
      <c r="AQ233" s="74" t="n">
        <v>3.15</v>
      </c>
      <c r="AR233" s="74" t="n">
        <v>2.83</v>
      </c>
      <c r="AS233" s="74" t="n">
        <v>32.5</v>
      </c>
      <c r="AT233" s="74" t="n">
        <v>32.5</v>
      </c>
      <c r="AU233" s="74" t="n">
        <v>32.5</v>
      </c>
      <c r="AV233" s="74" t="n">
        <v>13.64040355</v>
      </c>
      <c r="AW233" s="74" t="n">
        <v>12.305089435</v>
      </c>
      <c r="AX233" s="75" t="n">
        <v>96</v>
      </c>
      <c r="AY233" s="71" t="n">
        <v>1040000000</v>
      </c>
      <c r="AZ233" s="71" t="n">
        <v>1040000000</v>
      </c>
      <c r="BA233" s="71" t="n">
        <v>46104564</v>
      </c>
      <c r="BB233" s="71" t="n">
        <v>41591202.29</v>
      </c>
      <c r="BC233" s="69" t="inlineStr">
        <is>
          <t>Refinance</t>
        </is>
      </c>
      <c r="BD233" s="69" t="inlineStr">
        <is>
          <t>N</t>
        </is>
      </c>
      <c r="BE233" s="71" t="n">
        <v>328296000</v>
      </c>
      <c r="BF233" s="71" t="n">
        <v>212000000</v>
      </c>
      <c r="BG233" s="71" t="n"/>
      <c r="BH233" s="71" t="n">
        <v>0</v>
      </c>
      <c r="BI233" s="71" t="n">
        <v>0</v>
      </c>
      <c r="BJ233" s="69" t="inlineStr">
        <is>
          <t>N</t>
        </is>
      </c>
      <c r="BK233" s="69" t="inlineStr">
        <is>
          <t>MACYS Non Collateral Tenant 215000 SF</t>
        </is>
      </c>
      <c r="BL233" s="75" t="n">
        <v>16.96</v>
      </c>
      <c r="BM233" s="73" t="n">
        <v>47118</v>
      </c>
      <c r="BN233" s="69" t="n"/>
      <c r="BO233" s="69" t="inlineStr">
        <is>
          <t>Societe Generale</t>
        </is>
      </c>
      <c r="BP233" s="69" t="inlineStr">
        <is>
          <t>Midland Loan Services</t>
        </is>
      </c>
      <c r="BQ233" s="69" t="inlineStr">
        <is>
          <t>Wells Fargo</t>
        </is>
      </c>
      <c r="BR233" s="69" t="n"/>
      <c r="BS233" s="73" t="n">
        <v>46276</v>
      </c>
      <c r="BU233" s="76">
        <f>IF($C233="","",IFERROR(INDEX(dmName,MATCH($C233,dmID,0)),"Unmapped"))</f>
        <v/>
      </c>
      <c r="BV233" s="76">
        <f>IF($C233="","",IFERROR(INDEX(dmEntity,MATCH($C233,dmID,0)),"Unmapped"))</f>
        <v/>
      </c>
      <c r="BW233" s="77">
        <f>IF($C233="","",IFERROR(INDEX(dmVintage,MATCH($C233,dmID,0)),""))</f>
        <v/>
      </c>
      <c r="BX233" s="78">
        <f>IFERROR(INDEX(dmInclude,MATCH($C233,dmID,0)),0)</f>
        <v/>
      </c>
      <c r="BY233" s="78">
        <f>IF(N($I233)&gt;0,1,0)</f>
        <v/>
      </c>
      <c r="BZ233" s="76">
        <f>IF($AJ233="","Other / Leased Fee",IFERROR(INDEX(mapPTGroup,MATCH(LEFT(TRIM($AJ233),2),mapPTCode,0)),"Other / Leased Fee"))</f>
        <v/>
      </c>
      <c r="CA233" s="76">
        <f>IF(TRIM($AF233&amp;"")="","NR",LEFT(TRIM($AF233),2))</f>
        <v/>
      </c>
      <c r="CB233" s="76">
        <f>IFERROR(LOOKUP(2,1/(LEFT(TRIM($AI233&amp;""),LEN(mapRegion))=mapRegion),mapRegion),"Not Reported")</f>
        <v/>
      </c>
      <c r="CC233" s="76">
        <f>IF($BY233=0,"",IF(TRIM($W233&amp;"")="REO","REO",IF(TRIM($W233&amp;"")="FC","Foreclosure",IF(TRIM($W233&amp;"")="90+","90+ Days Delinquent",IF(TRIM($W233&amp;"")="60","60 Days Delinquent",IF(TRIM($W233&amp;"")="30","30 Days Delinquent",IF($X233="Non-Performing Matured Balloon","Non-Performing Matured Balloon",IF(OR($X233="Late Payment But Less Than 30 Days Delinquent",LEFT($X233&amp;"",20)="Payment Not Received"),"Late / In Grace (&lt;30 Days)",IF($X233="Performing Matured Balloon","Performing Matured Balloon","Current")))))))))</f>
        <v/>
      </c>
      <c r="CD233" s="78">
        <f>IF(OR($CC233="REO",$CC233="Foreclosure",$CC233="90+ Days Delinquent",$CC233="60 Days Delinquent",$CC233="30 Days Delinquent",$CC233="Non-Performing Matured Balloon"),1,0)</f>
        <v/>
      </c>
      <c r="CE233" s="76">
        <f>IF($AB233="Currently special serv","Currently Specially Serviced",IF($AB233="Returned to master serv","Previously Specially Serviced","Never Specially Serviced"))</f>
        <v/>
      </c>
      <c r="CF233" s="78">
        <f>IF($CE233="Currently Specially Serviced",1,0)</f>
        <v/>
      </c>
      <c r="CG233" s="76">
        <f>IF($AA233="Yes","Currently on Watchlist",IF($AA233="Previously","Previously on Watchlist","Never on Watchlist"))</f>
        <v/>
      </c>
      <c r="CH233" s="78">
        <f>IF($CG233="Currently on Watchlist",1,0)</f>
        <v/>
      </c>
      <c r="CI233" s="76">
        <f>IF($Z233="Full Defeasance","Fully Defeased",IF($Z233="Portion Of Loan Previously Defeased","Partially Defeased",IF($Z233="Defeasance Not Allowable","Not Defeased (Not Permitted)","Not Defeased")))</f>
        <v/>
      </c>
      <c r="CJ233" s="78">
        <f>IF($CI233="Fully Defeased",1,0)</f>
        <v/>
      </c>
      <c r="CK233" s="76">
        <f>IF($R233="IO","Full IO",IF(LEFT($R233&amp;"",7)="IO then","Partial IO","Amortizing"))</f>
        <v/>
      </c>
      <c r="CL233" s="78">
        <f>IF($CK233="Full IO",1,0)</f>
        <v/>
      </c>
      <c r="CM233" s="78">
        <f>IF($CK233="Partial IO",1,0)</f>
        <v/>
      </c>
      <c r="CN233" s="76">
        <f>IF(LEFT($F233&amp;"",10)="SPLIT_LOAN","Pari Passu Split","Standalone")</f>
        <v/>
      </c>
      <c r="CO233" s="78">
        <f>IF($CN233="Pari Passu Split",1,0)</f>
        <v/>
      </c>
      <c r="CP233" s="77">
        <f>IF(ISNUMBER($T233),YEAR($T233),"")</f>
        <v/>
      </c>
      <c r="CQ233" s="79">
        <f>IF(ISNUMBER($V233),$V233,IF(ISNUMBER($U233),$U233,""))</f>
        <v/>
      </c>
      <c r="CR233" s="77">
        <f>IF(ISNUMBER($CQ233),YEAR($CQ233),"")</f>
        <v/>
      </c>
      <c r="CS233" s="78">
        <f>IF(ISNUMBER($M233),MAX(0,$M233),IF(TRIM($M233&amp;"")="matured",0,""))</f>
        <v/>
      </c>
      <c r="CT233" s="78">
        <f>IF(AND(ISNUMBER($CS233),N($CS233)&lt;=mMatWindow),1,0)</f>
        <v/>
      </c>
      <c r="CU233" s="80">
        <f>IF(ISNUMBER($J233),$J233/100,"")</f>
        <v/>
      </c>
      <c r="CV233" s="81">
        <f>IF(ISNUMBER($AQ233),$AQ233,"")</f>
        <v/>
      </c>
      <c r="CW233" s="81">
        <f>IF(ISNUMBER($AR233),$AR233,"")</f>
        <v/>
      </c>
      <c r="CX233" s="82">
        <f>IF(ISNUMBER($AS233),$AS233/100,"")</f>
        <v/>
      </c>
      <c r="CY233" s="82">
        <f>IF(ISNUMBER($AT233),$AT233/100,"")</f>
        <v/>
      </c>
      <c r="CZ233" s="82">
        <f>IF(ISNUMBER($AU233),$AU233/100,"")</f>
        <v/>
      </c>
      <c r="DA233" s="82">
        <f>IF(ISNUMBER($AV233),$AV233/100,"")</f>
        <v/>
      </c>
      <c r="DB233" s="82">
        <f>IF(ISNUMBER($AW233),$AW233/100,"")</f>
        <v/>
      </c>
      <c r="DC233" s="82">
        <f>IF(ISNUMBER($AX233),$AX233/100,"")</f>
        <v/>
      </c>
      <c r="DD233" s="77">
        <f>IFERROR(VALUE(LEFT(TRIM($AO233&amp;""),4)),"")</f>
        <v/>
      </c>
      <c r="DE233" s="78">
        <f>IF(AND($BY233=1,$BX233=1,OR(fDeal="All Deals",$BU233=fDeal),OR(fEntity="All Entities",$BV233=fEntity),OR(fPType="All Property Types",$BZ233=fPType),OR(fDefeased="Include",$CJ233=0)),1,0)</f>
        <v/>
      </c>
      <c r="DF233" s="83">
        <f>$DE233*N($I233)</f>
        <v/>
      </c>
      <c r="DG233" s="78">
        <f>IF($DE233=1,IF(COUNTIFS($F$8:$F233,$F233,$DE$8:$DE233,1)=1,1,0),0)</f>
        <v/>
      </c>
      <c r="DH233" s="83">
        <f>IF($DG233=1,SUMIFS($DF$8:$DF$1600,$F$8:$F$1600,$F233),0)</f>
        <v/>
      </c>
      <c r="DI233" s="78">
        <f>IF($DG233=1,COUNTIFS($F$8:$F$1600,$F233,$DE$8:$DE$1600,1),0)</f>
        <v/>
      </c>
      <c r="DJ233" s="84">
        <f>IF($DG233=1,$DH233+(100000-ROW())/mTieBreak,0)</f>
        <v/>
      </c>
    </row>
    <row r="234">
      <c r="B234" s="68" t="n">
        <v>37</v>
      </c>
      <c r="C234" s="69" t="inlineStr">
        <is>
          <t>BBC19C03</t>
        </is>
      </c>
      <c r="D234" s="69" t="inlineStr">
        <is>
          <t>37.000</t>
        </is>
      </c>
      <c r="E234" s="69" t="inlineStr">
        <is>
          <t>Sangamon Center</t>
        </is>
      </c>
      <c r="F234" s="69" t="inlineStr">
        <is>
          <t>LNBBC19C03-37.000</t>
        </is>
      </c>
      <c r="G234" s="70" t="n"/>
      <c r="H234" s="71" t="n">
        <v>8700000</v>
      </c>
      <c r="I234" s="71" t="n">
        <v>7775003.329998601</v>
      </c>
      <c r="J234" s="72" t="n">
        <v>4.75</v>
      </c>
      <c r="K234" s="69" t="inlineStr">
        <is>
          <t>Fixed rate</t>
        </is>
      </c>
      <c r="L234" s="68" t="n">
        <v>120</v>
      </c>
      <c r="M234" s="68" t="n">
        <v>32</v>
      </c>
      <c r="N234" s="68" t="n">
        <v>372</v>
      </c>
      <c r="O234" s="68" t="n">
        <v>12</v>
      </c>
      <c r="P234" s="68" t="n">
        <v>0</v>
      </c>
      <c r="Q234" s="68" t="n">
        <v>88</v>
      </c>
      <c r="R234" s="69" t="inlineStr">
        <is>
          <t>IO then Amort</t>
        </is>
      </c>
      <c r="S234" s="69" t="inlineStr">
        <is>
          <t>No</t>
        </is>
      </c>
      <c r="T234" s="73" t="n">
        <v>43586</v>
      </c>
      <c r="U234" s="73" t="n">
        <v>47239</v>
      </c>
      <c r="V234" s="73" t="n"/>
      <c r="W234" s="69" t="n"/>
      <c r="X234" s="69" t="inlineStr">
        <is>
          <t>Current</t>
        </is>
      </c>
      <c r="Y234" s="68" t="n"/>
      <c r="Z234" s="69" t="inlineStr">
        <is>
          <t>No Defeasance Occurred</t>
        </is>
      </c>
      <c r="AA234" s="69" t="inlineStr">
        <is>
          <t>Previously</t>
        </is>
      </c>
      <c r="AB234" s="69" t="inlineStr">
        <is>
          <t>Never special serv</t>
        </is>
      </c>
      <c r="AC234" s="73" t="n"/>
      <c r="AD234" s="69" t="n"/>
      <c r="AE234" s="69" t="n"/>
      <c r="AF234" s="69" t="inlineStr">
        <is>
          <t>IL</t>
        </is>
      </c>
      <c r="AG234" s="69" t="inlineStr">
        <is>
          <t>Springfield</t>
        </is>
      </c>
      <c r="AH234" s="69" t="inlineStr">
        <is>
          <t>Springfield, IL</t>
        </is>
      </c>
      <c r="AI234" s="69" t="inlineStr">
        <is>
          <t>Midwest / Central East</t>
        </is>
      </c>
      <c r="AJ234" s="69" t="inlineStr">
        <is>
          <t>RT</t>
        </is>
      </c>
      <c r="AK234" s="69" t="inlineStr">
        <is>
          <t>Anchored</t>
        </is>
      </c>
      <c r="AL234" s="68" t="n">
        <v>1</v>
      </c>
      <c r="AM234" s="68" t="n"/>
      <c r="AN234" s="68" t="n">
        <v>139392</v>
      </c>
      <c r="AO234" s="69" t="inlineStr">
        <is>
          <t>1974</t>
        </is>
      </c>
      <c r="AP234" s="70" t="n">
        <v>1996</v>
      </c>
      <c r="AQ234" s="74" t="n">
        <v>1.9</v>
      </c>
      <c r="AR234" s="74" t="n">
        <v>1.98</v>
      </c>
      <c r="AS234" s="74" t="n">
        <v>69</v>
      </c>
      <c r="AT234" s="74" t="n">
        <v>61.71</v>
      </c>
      <c r="AU234" s="74" t="n">
        <v>57.9</v>
      </c>
      <c r="AV234" s="74" t="n">
        <v>11.904172414</v>
      </c>
      <c r="AW234" s="74" t="n">
        <v>13.858274836</v>
      </c>
      <c r="AX234" s="75" t="n">
        <v>98</v>
      </c>
      <c r="AY234" s="71" t="n">
        <v>12600000</v>
      </c>
      <c r="AZ234" s="71" t="n">
        <v>12600000</v>
      </c>
      <c r="BA234" s="71" t="n">
        <v>1035663</v>
      </c>
      <c r="BB234" s="71" t="n">
        <v>1077481.33</v>
      </c>
      <c r="BC234" s="69" t="inlineStr">
        <is>
          <t>Refinance</t>
        </is>
      </c>
      <c r="BD234" s="69" t="inlineStr">
        <is>
          <t>N</t>
        </is>
      </c>
      <c r="BE234" s="71" t="n"/>
      <c r="BF234" s="71" t="n"/>
      <c r="BG234" s="71" t="n"/>
      <c r="BH234" s="71" t="n">
        <v>0</v>
      </c>
      <c r="BI234" s="71" t="n">
        <v>0</v>
      </c>
      <c r="BJ234" s="69" t="inlineStr">
        <is>
          <t>N</t>
        </is>
      </c>
      <c r="BK234" s="69" t="inlineStr">
        <is>
          <t>Schnuck Markets, Inc.</t>
        </is>
      </c>
      <c r="BL234" s="75" t="n">
        <v>45.26</v>
      </c>
      <c r="BM234" s="73" t="n">
        <v>48087</v>
      </c>
      <c r="BN234" s="69" t="n"/>
      <c r="BO234" s="69" t="inlineStr">
        <is>
          <t>KeyBank</t>
        </is>
      </c>
      <c r="BP234" s="69" t="inlineStr">
        <is>
          <t>Midland Loan Services</t>
        </is>
      </c>
      <c r="BQ234" s="69" t="inlineStr">
        <is>
          <t>K-Star Asset Management LLC</t>
        </is>
      </c>
      <c r="BR234" s="69" t="n"/>
      <c r="BS234" s="73" t="n">
        <v>46276</v>
      </c>
      <c r="BU234" s="76">
        <f>IF($C234="","",IFERROR(INDEX(dmName,MATCH($C234,dmID,0)),"Unmapped"))</f>
        <v/>
      </c>
      <c r="BV234" s="76">
        <f>IF($C234="","",IFERROR(INDEX(dmEntity,MATCH($C234,dmID,0)),"Unmapped"))</f>
        <v/>
      </c>
      <c r="BW234" s="77">
        <f>IF($C234="","",IFERROR(INDEX(dmVintage,MATCH($C234,dmID,0)),""))</f>
        <v/>
      </c>
      <c r="BX234" s="78">
        <f>IFERROR(INDEX(dmInclude,MATCH($C234,dmID,0)),0)</f>
        <v/>
      </c>
      <c r="BY234" s="78">
        <f>IF(N($I234)&gt;0,1,0)</f>
        <v/>
      </c>
      <c r="BZ234" s="76">
        <f>IF($AJ234="","Other / Leased Fee",IFERROR(INDEX(mapPTGroup,MATCH(LEFT(TRIM($AJ234),2),mapPTCode,0)),"Other / Leased Fee"))</f>
        <v/>
      </c>
      <c r="CA234" s="76">
        <f>IF(TRIM($AF234&amp;"")="","NR",LEFT(TRIM($AF234),2))</f>
        <v/>
      </c>
      <c r="CB234" s="76">
        <f>IFERROR(LOOKUP(2,1/(LEFT(TRIM($AI234&amp;""),LEN(mapRegion))=mapRegion),mapRegion),"Not Reported")</f>
        <v/>
      </c>
      <c r="CC234" s="76">
        <f>IF($BY234=0,"",IF(TRIM($W234&amp;"")="REO","REO",IF(TRIM($W234&amp;"")="FC","Foreclosure",IF(TRIM($W234&amp;"")="90+","90+ Days Delinquent",IF(TRIM($W234&amp;"")="60","60 Days Delinquent",IF(TRIM($W234&amp;"")="30","30 Days Delinquent",IF($X234="Non-Performing Matured Balloon","Non-Performing Matured Balloon",IF(OR($X234="Late Payment But Less Than 30 Days Delinquent",LEFT($X234&amp;"",20)="Payment Not Received"),"Late / In Grace (&lt;30 Days)",IF($X234="Performing Matured Balloon","Performing Matured Balloon","Current")))))))))</f>
        <v/>
      </c>
      <c r="CD234" s="78">
        <f>IF(OR($CC234="REO",$CC234="Foreclosure",$CC234="90+ Days Delinquent",$CC234="60 Days Delinquent",$CC234="30 Days Delinquent",$CC234="Non-Performing Matured Balloon"),1,0)</f>
        <v/>
      </c>
      <c r="CE234" s="76">
        <f>IF($AB234="Currently special serv","Currently Specially Serviced",IF($AB234="Returned to master serv","Previously Specially Serviced","Never Specially Serviced"))</f>
        <v/>
      </c>
      <c r="CF234" s="78">
        <f>IF($CE234="Currently Specially Serviced",1,0)</f>
        <v/>
      </c>
      <c r="CG234" s="76">
        <f>IF($AA234="Yes","Currently on Watchlist",IF($AA234="Previously","Previously on Watchlist","Never on Watchlist"))</f>
        <v/>
      </c>
      <c r="CH234" s="78">
        <f>IF($CG234="Currently on Watchlist",1,0)</f>
        <v/>
      </c>
      <c r="CI234" s="76">
        <f>IF($Z234="Full Defeasance","Fully Defeased",IF($Z234="Portion Of Loan Previously Defeased","Partially Defeased",IF($Z234="Defeasance Not Allowable","Not Defeased (Not Permitted)","Not Defeased")))</f>
        <v/>
      </c>
      <c r="CJ234" s="78">
        <f>IF($CI234="Fully Defeased",1,0)</f>
        <v/>
      </c>
      <c r="CK234" s="76">
        <f>IF($R234="IO","Full IO",IF(LEFT($R234&amp;"",7)="IO then","Partial IO","Amortizing"))</f>
        <v/>
      </c>
      <c r="CL234" s="78">
        <f>IF($CK234="Full IO",1,0)</f>
        <v/>
      </c>
      <c r="CM234" s="78">
        <f>IF($CK234="Partial IO",1,0)</f>
        <v/>
      </c>
      <c r="CN234" s="76">
        <f>IF(LEFT($F234&amp;"",10)="SPLIT_LOAN","Pari Passu Split","Standalone")</f>
        <v/>
      </c>
      <c r="CO234" s="78">
        <f>IF($CN234="Pari Passu Split",1,0)</f>
        <v/>
      </c>
      <c r="CP234" s="77">
        <f>IF(ISNUMBER($T234),YEAR($T234),"")</f>
        <v/>
      </c>
      <c r="CQ234" s="79">
        <f>IF(ISNUMBER($V234),$V234,IF(ISNUMBER($U234),$U234,""))</f>
        <v/>
      </c>
      <c r="CR234" s="77">
        <f>IF(ISNUMBER($CQ234),YEAR($CQ234),"")</f>
        <v/>
      </c>
      <c r="CS234" s="78">
        <f>IF(ISNUMBER($M234),MAX(0,$M234),IF(TRIM($M234&amp;"")="matured",0,""))</f>
        <v/>
      </c>
      <c r="CT234" s="78">
        <f>IF(AND(ISNUMBER($CS234),N($CS234)&lt;=mMatWindow),1,0)</f>
        <v/>
      </c>
      <c r="CU234" s="80">
        <f>IF(ISNUMBER($J234),$J234/100,"")</f>
        <v/>
      </c>
      <c r="CV234" s="81">
        <f>IF(ISNUMBER($AQ234),$AQ234,"")</f>
        <v/>
      </c>
      <c r="CW234" s="81">
        <f>IF(ISNUMBER($AR234),$AR234,"")</f>
        <v/>
      </c>
      <c r="CX234" s="82">
        <f>IF(ISNUMBER($AS234),$AS234/100,"")</f>
        <v/>
      </c>
      <c r="CY234" s="82">
        <f>IF(ISNUMBER($AT234),$AT234/100,"")</f>
        <v/>
      </c>
      <c r="CZ234" s="82">
        <f>IF(ISNUMBER($AU234),$AU234/100,"")</f>
        <v/>
      </c>
      <c r="DA234" s="82">
        <f>IF(ISNUMBER($AV234),$AV234/100,"")</f>
        <v/>
      </c>
      <c r="DB234" s="82">
        <f>IF(ISNUMBER($AW234),$AW234/100,"")</f>
        <v/>
      </c>
      <c r="DC234" s="82">
        <f>IF(ISNUMBER($AX234),$AX234/100,"")</f>
        <v/>
      </c>
      <c r="DD234" s="77">
        <f>IFERROR(VALUE(LEFT(TRIM($AO234&amp;""),4)),"")</f>
        <v/>
      </c>
      <c r="DE234" s="78">
        <f>IF(AND($BY234=1,$BX234=1,OR(fDeal="All Deals",$BU234=fDeal),OR(fEntity="All Entities",$BV234=fEntity),OR(fPType="All Property Types",$BZ234=fPType),OR(fDefeased="Include",$CJ234=0)),1,0)</f>
        <v/>
      </c>
      <c r="DF234" s="83">
        <f>$DE234*N($I234)</f>
        <v/>
      </c>
      <c r="DG234" s="78">
        <f>IF($DE234=1,IF(COUNTIFS($F$8:$F234,$F234,$DE$8:$DE234,1)=1,1,0),0)</f>
        <v/>
      </c>
      <c r="DH234" s="83">
        <f>IF($DG234=1,SUMIFS($DF$8:$DF$1600,$F$8:$F$1600,$F234),0)</f>
        <v/>
      </c>
      <c r="DI234" s="78">
        <f>IF($DG234=1,COUNTIFS($F$8:$F$1600,$F234,$DE$8:$DE$1600,1),0)</f>
        <v/>
      </c>
      <c r="DJ234" s="84">
        <f>IF($DG234=1,$DH234+(100000-ROW())/mTieBreak,0)</f>
        <v/>
      </c>
    </row>
    <row r="235">
      <c r="B235" s="68" t="n">
        <v>38</v>
      </c>
      <c r="C235" s="69" t="inlineStr">
        <is>
          <t>BBC19C03</t>
        </is>
      </c>
      <c r="D235" s="69" t="inlineStr">
        <is>
          <t>38.000</t>
        </is>
      </c>
      <c r="E235" s="69" t="inlineStr">
        <is>
          <t>Fairfield Inn &amp; Suites Dunn</t>
        </is>
      </c>
      <c r="F235" s="69" t="inlineStr">
        <is>
          <t>LNBBC19C03-38.000</t>
        </is>
      </c>
      <c r="G235" s="70" t="n"/>
      <c r="H235" s="71" t="n">
        <v>8200000</v>
      </c>
      <c r="I235" s="71" t="n">
        <v>4986485.19</v>
      </c>
      <c r="J235" s="72" t="n">
        <v>5</v>
      </c>
      <c r="K235" s="69" t="inlineStr">
        <is>
          <t>Fixed rate</t>
        </is>
      </c>
      <c r="L235" s="68" t="n">
        <v>120</v>
      </c>
      <c r="M235" s="68" t="n">
        <v>31</v>
      </c>
      <c r="N235" s="68" t="n">
        <v>360</v>
      </c>
      <c r="O235" s="68" t="n"/>
      <c r="P235" s="68" t="n"/>
      <c r="Q235" s="68" t="n">
        <v>89</v>
      </c>
      <c r="R235" s="69" t="n"/>
      <c r="S235" s="69" t="inlineStr">
        <is>
          <t>No</t>
        </is>
      </c>
      <c r="T235" s="73" t="n">
        <v>43556</v>
      </c>
      <c r="U235" s="73" t="n">
        <v>47214</v>
      </c>
      <c r="V235" s="73" t="n"/>
      <c r="W235" s="69" t="n"/>
      <c r="X235" s="69" t="inlineStr">
        <is>
          <t>Current</t>
        </is>
      </c>
      <c r="Y235" s="68" t="n"/>
      <c r="Z235" s="69" t="inlineStr">
        <is>
          <t>No Defeasance Occurred</t>
        </is>
      </c>
      <c r="AA235" s="69" t="inlineStr">
        <is>
          <t>Yes</t>
        </is>
      </c>
      <c r="AB235" s="69" t="inlineStr">
        <is>
          <t>Never special serv</t>
        </is>
      </c>
      <c r="AC235" s="73" t="n"/>
      <c r="AD235" s="69" t="n"/>
      <c r="AE235" s="69" t="n"/>
      <c r="AF235" s="69" t="inlineStr">
        <is>
          <t>NC</t>
        </is>
      </c>
      <c r="AG235" s="69" t="inlineStr">
        <is>
          <t>Dunn</t>
        </is>
      </c>
      <c r="AH235" s="69" t="inlineStr">
        <is>
          <t>Anderson Creek, NC</t>
        </is>
      </c>
      <c r="AI235" s="69" t="inlineStr">
        <is>
          <t>South / Atlantic</t>
        </is>
      </c>
      <c r="AJ235" s="69" t="inlineStr">
        <is>
          <t>HT</t>
        </is>
      </c>
      <c r="AK235" s="69" t="inlineStr">
        <is>
          <t>Limited Service</t>
        </is>
      </c>
      <c r="AL235" s="68" t="n">
        <v>1</v>
      </c>
      <c r="AM235" s="68" t="n">
        <v>88</v>
      </c>
      <c r="AN235" s="68" t="n"/>
      <c r="AO235" s="69" t="inlineStr">
        <is>
          <t>2016</t>
        </is>
      </c>
      <c r="AP235" s="70" t="n">
        <v>2016</v>
      </c>
      <c r="AQ235" s="74" t="n">
        <v>1.72</v>
      </c>
      <c r="AR235" s="74" t="n">
        <v>0.75</v>
      </c>
      <c r="AS235" s="74" t="n">
        <v>64.40000000000001</v>
      </c>
      <c r="AT235" s="74" t="n">
        <v>39.26</v>
      </c>
      <c r="AU235" s="74" t="n">
        <v>53.1</v>
      </c>
      <c r="AV235" s="74" t="n">
        <v>11.050780488</v>
      </c>
      <c r="AW235" s="74" t="n">
        <v>6.41648692</v>
      </c>
      <c r="AX235" s="75" t="n">
        <v>60</v>
      </c>
      <c r="AY235" s="71" t="n">
        <v>12700000</v>
      </c>
      <c r="AZ235" s="71" t="n">
        <v>12700000</v>
      </c>
      <c r="BA235" s="71" t="n">
        <v>906164</v>
      </c>
      <c r="BB235" s="71" t="n">
        <v>395744.56</v>
      </c>
      <c r="BC235" s="69" t="inlineStr">
        <is>
          <t>Refinance</t>
        </is>
      </c>
      <c r="BD235" s="69" t="inlineStr">
        <is>
          <t>N</t>
        </is>
      </c>
      <c r="BE235" s="71" t="n"/>
      <c r="BF235" s="71" t="n"/>
      <c r="BG235" s="71" t="n"/>
      <c r="BH235" s="71" t="n">
        <v>0</v>
      </c>
      <c r="BI235" s="71" t="n">
        <v>0</v>
      </c>
      <c r="BJ235" s="69" t="inlineStr">
        <is>
          <t>N</t>
        </is>
      </c>
      <c r="BK235" s="69" t="n"/>
      <c r="BL235" s="75" t="n"/>
      <c r="BM235" s="73" t="n"/>
      <c r="BN235" s="69" t="n"/>
      <c r="BO235" s="69" t="inlineStr">
        <is>
          <t>RMF</t>
        </is>
      </c>
      <c r="BP235" s="69" t="inlineStr">
        <is>
          <t>Midland Loan Services</t>
        </is>
      </c>
      <c r="BQ235" s="69" t="inlineStr">
        <is>
          <t>K-Star Asset Management LLC</t>
        </is>
      </c>
      <c r="BR235" s="69" t="inlineStr">
        <is>
          <t>Partial Liquidation (Curtailment)</t>
        </is>
      </c>
      <c r="BS235" s="73" t="n">
        <v>46276</v>
      </c>
      <c r="BU235" s="76">
        <f>IF($C235="","",IFERROR(INDEX(dmName,MATCH($C235,dmID,0)),"Unmapped"))</f>
        <v/>
      </c>
      <c r="BV235" s="76">
        <f>IF($C235="","",IFERROR(INDEX(dmEntity,MATCH($C235,dmID,0)),"Unmapped"))</f>
        <v/>
      </c>
      <c r="BW235" s="77">
        <f>IF($C235="","",IFERROR(INDEX(dmVintage,MATCH($C235,dmID,0)),""))</f>
        <v/>
      </c>
      <c r="BX235" s="78">
        <f>IFERROR(INDEX(dmInclude,MATCH($C235,dmID,0)),0)</f>
        <v/>
      </c>
      <c r="BY235" s="78">
        <f>IF(N($I235)&gt;0,1,0)</f>
        <v/>
      </c>
      <c r="BZ235" s="76">
        <f>IF($AJ235="","Other / Leased Fee",IFERROR(INDEX(mapPTGroup,MATCH(LEFT(TRIM($AJ235),2),mapPTCode,0)),"Other / Leased Fee"))</f>
        <v/>
      </c>
      <c r="CA235" s="76">
        <f>IF(TRIM($AF235&amp;"")="","NR",LEFT(TRIM($AF235),2))</f>
        <v/>
      </c>
      <c r="CB235" s="76">
        <f>IFERROR(LOOKUP(2,1/(LEFT(TRIM($AI235&amp;""),LEN(mapRegion))=mapRegion),mapRegion),"Not Reported")</f>
        <v/>
      </c>
      <c r="CC235" s="76">
        <f>IF($BY235=0,"",IF(TRIM($W235&amp;"")="REO","REO",IF(TRIM($W235&amp;"")="FC","Foreclosure",IF(TRIM($W235&amp;"")="90+","90+ Days Delinquent",IF(TRIM($W235&amp;"")="60","60 Days Delinquent",IF(TRIM($W235&amp;"")="30","30 Days Delinquent",IF($X235="Non-Performing Matured Balloon","Non-Performing Matured Balloon",IF(OR($X235="Late Payment But Less Than 30 Days Delinquent",LEFT($X235&amp;"",20)="Payment Not Received"),"Late / In Grace (&lt;30 Days)",IF($X235="Performing Matured Balloon","Performing Matured Balloon","Current")))))))))</f>
        <v/>
      </c>
      <c r="CD235" s="78">
        <f>IF(OR($CC235="REO",$CC235="Foreclosure",$CC235="90+ Days Delinquent",$CC235="60 Days Delinquent",$CC235="30 Days Delinquent",$CC235="Non-Performing Matured Balloon"),1,0)</f>
        <v/>
      </c>
      <c r="CE235" s="76">
        <f>IF($AB235="Currently special serv","Currently Specially Serviced",IF($AB235="Returned to master serv","Previously Specially Serviced","Never Specially Serviced"))</f>
        <v/>
      </c>
      <c r="CF235" s="78">
        <f>IF($CE235="Currently Specially Serviced",1,0)</f>
        <v/>
      </c>
      <c r="CG235" s="76">
        <f>IF($AA235="Yes","Currently on Watchlist",IF($AA235="Previously","Previously on Watchlist","Never on Watchlist"))</f>
        <v/>
      </c>
      <c r="CH235" s="78">
        <f>IF($CG235="Currently on Watchlist",1,0)</f>
        <v/>
      </c>
      <c r="CI235" s="76">
        <f>IF($Z235="Full Defeasance","Fully Defeased",IF($Z235="Portion Of Loan Previously Defeased","Partially Defeased",IF($Z235="Defeasance Not Allowable","Not Defeased (Not Permitted)","Not Defeased")))</f>
        <v/>
      </c>
      <c r="CJ235" s="78">
        <f>IF($CI235="Fully Defeased",1,0)</f>
        <v/>
      </c>
      <c r="CK235" s="76">
        <f>IF($R235="IO","Full IO",IF(LEFT($R235&amp;"",7)="IO then","Partial IO","Amortizing"))</f>
        <v/>
      </c>
      <c r="CL235" s="78">
        <f>IF($CK235="Full IO",1,0)</f>
        <v/>
      </c>
      <c r="CM235" s="78">
        <f>IF($CK235="Partial IO",1,0)</f>
        <v/>
      </c>
      <c r="CN235" s="76">
        <f>IF(LEFT($F235&amp;"",10)="SPLIT_LOAN","Pari Passu Split","Standalone")</f>
        <v/>
      </c>
      <c r="CO235" s="78">
        <f>IF($CN235="Pari Passu Split",1,0)</f>
        <v/>
      </c>
      <c r="CP235" s="77">
        <f>IF(ISNUMBER($T235),YEAR($T235),"")</f>
        <v/>
      </c>
      <c r="CQ235" s="79">
        <f>IF(ISNUMBER($V235),$V235,IF(ISNUMBER($U235),$U235,""))</f>
        <v/>
      </c>
      <c r="CR235" s="77">
        <f>IF(ISNUMBER($CQ235),YEAR($CQ235),"")</f>
        <v/>
      </c>
      <c r="CS235" s="78">
        <f>IF(ISNUMBER($M235),MAX(0,$M235),IF(TRIM($M235&amp;"")="matured",0,""))</f>
        <v/>
      </c>
      <c r="CT235" s="78">
        <f>IF(AND(ISNUMBER($CS235),N($CS235)&lt;=mMatWindow),1,0)</f>
        <v/>
      </c>
      <c r="CU235" s="80">
        <f>IF(ISNUMBER($J235),$J235/100,"")</f>
        <v/>
      </c>
      <c r="CV235" s="81">
        <f>IF(ISNUMBER($AQ235),$AQ235,"")</f>
        <v/>
      </c>
      <c r="CW235" s="81">
        <f>IF(ISNUMBER($AR235),$AR235,"")</f>
        <v/>
      </c>
      <c r="CX235" s="82">
        <f>IF(ISNUMBER($AS235),$AS235/100,"")</f>
        <v/>
      </c>
      <c r="CY235" s="82">
        <f>IF(ISNUMBER($AT235),$AT235/100,"")</f>
        <v/>
      </c>
      <c r="CZ235" s="82">
        <f>IF(ISNUMBER($AU235),$AU235/100,"")</f>
        <v/>
      </c>
      <c r="DA235" s="82">
        <f>IF(ISNUMBER($AV235),$AV235/100,"")</f>
        <v/>
      </c>
      <c r="DB235" s="82">
        <f>IF(ISNUMBER($AW235),$AW235/100,"")</f>
        <v/>
      </c>
      <c r="DC235" s="82">
        <f>IF(ISNUMBER($AX235),$AX235/100,"")</f>
        <v/>
      </c>
      <c r="DD235" s="77">
        <f>IFERROR(VALUE(LEFT(TRIM($AO235&amp;""),4)),"")</f>
        <v/>
      </c>
      <c r="DE235" s="78">
        <f>IF(AND($BY235=1,$BX235=1,OR(fDeal="All Deals",$BU235=fDeal),OR(fEntity="All Entities",$BV235=fEntity),OR(fPType="All Property Types",$BZ235=fPType),OR(fDefeased="Include",$CJ235=0)),1,0)</f>
        <v/>
      </c>
      <c r="DF235" s="83">
        <f>$DE235*N($I235)</f>
        <v/>
      </c>
      <c r="DG235" s="78">
        <f>IF($DE235=1,IF(COUNTIFS($F$8:$F235,$F235,$DE$8:$DE235,1)=1,1,0),0)</f>
        <v/>
      </c>
      <c r="DH235" s="83">
        <f>IF($DG235=1,SUMIFS($DF$8:$DF$1600,$F$8:$F$1600,$F235),0)</f>
        <v/>
      </c>
      <c r="DI235" s="78">
        <f>IF($DG235=1,COUNTIFS($F$8:$F$1600,$F235,$DE$8:$DE$1600,1),0)</f>
        <v/>
      </c>
      <c r="DJ235" s="84">
        <f>IF($DG235=1,$DH235+(100000-ROW())/mTieBreak,0)</f>
        <v/>
      </c>
    </row>
    <row r="236">
      <c r="B236" s="68" t="n">
        <v>39</v>
      </c>
      <c r="C236" s="69" t="inlineStr">
        <is>
          <t>BBC19C03</t>
        </is>
      </c>
      <c r="D236" s="69" t="inlineStr">
        <is>
          <t>39.000</t>
        </is>
      </c>
      <c r="E236" s="69" t="inlineStr">
        <is>
          <t>Burns Office &amp; Industrial Portfolio</t>
        </is>
      </c>
      <c r="F236" s="69" t="inlineStr">
        <is>
          <t>LNBBC19C03-39.000</t>
        </is>
      </c>
      <c r="G236" s="70" t="n"/>
      <c r="H236" s="71" t="n">
        <v>7700000</v>
      </c>
      <c r="I236" s="71" t="n">
        <v>7074302.5000032</v>
      </c>
      <c r="J236" s="72" t="n">
        <v>5.15</v>
      </c>
      <c r="K236" s="69" t="inlineStr">
        <is>
          <t>Fixed rate</t>
        </is>
      </c>
      <c r="L236" s="68" t="n">
        <v>120</v>
      </c>
      <c r="M236" s="68" t="n">
        <v>32</v>
      </c>
      <c r="N236" s="68" t="n">
        <v>384</v>
      </c>
      <c r="O236" s="68" t="n">
        <v>24</v>
      </c>
      <c r="P236" s="68" t="n">
        <v>0</v>
      </c>
      <c r="Q236" s="68" t="n">
        <v>88</v>
      </c>
      <c r="R236" s="69" t="inlineStr">
        <is>
          <t>IO then Amort</t>
        </is>
      </c>
      <c r="S236" s="69" t="inlineStr">
        <is>
          <t>No</t>
        </is>
      </c>
      <c r="T236" s="73" t="n">
        <v>43586</v>
      </c>
      <c r="U236" s="73" t="n">
        <v>47244</v>
      </c>
      <c r="V236" s="73" t="n"/>
      <c r="W236" s="69" t="n"/>
      <c r="X236" s="69" t="inlineStr">
        <is>
          <t>Current</t>
        </is>
      </c>
      <c r="Y236" s="68" t="n"/>
      <c r="Z236" s="69" t="inlineStr">
        <is>
          <t>Full Defeasance</t>
        </is>
      </c>
      <c r="AA236" s="69" t="inlineStr">
        <is>
          <t>Previously</t>
        </is>
      </c>
      <c r="AB236" s="69" t="inlineStr">
        <is>
          <t>Never special serv</t>
        </is>
      </c>
      <c r="AC236" s="73" t="n"/>
      <c r="AD236" s="69" t="n"/>
      <c r="AE236" s="69" t="n"/>
      <c r="AF236" s="69" t="inlineStr">
        <is>
          <t>FL</t>
        </is>
      </c>
      <c r="AG236" s="69" t="n"/>
      <c r="AH236" s="69" t="inlineStr">
        <is>
          <t>Cape Coral-Fort Myers, FL</t>
        </is>
      </c>
      <c r="AI236" s="69" t="inlineStr">
        <is>
          <t>South / Atlantic</t>
        </is>
      </c>
      <c r="AJ236" s="69" t="inlineStr">
        <is>
          <t>IN</t>
        </is>
      </c>
      <c r="AK236" s="69" t="n"/>
      <c r="AL236" s="68" t="n">
        <v>5</v>
      </c>
      <c r="AM236" s="68" t="n"/>
      <c r="AN236" s="68" t="n">
        <v>113193</v>
      </c>
      <c r="AO236" s="69" t="n"/>
      <c r="AP236" s="70" t="n">
        <v>1990</v>
      </c>
      <c r="AQ236" s="74" t="n">
        <v>1.59</v>
      </c>
      <c r="AR236" s="74" t="n">
        <v>1.77</v>
      </c>
      <c r="AS236" s="74" t="n">
        <v>71.2</v>
      </c>
      <c r="AT236" s="74" t="n">
        <v>65.38</v>
      </c>
      <c r="AU236" s="74" t="n">
        <v>61.8</v>
      </c>
      <c r="AV236" s="74" t="n">
        <v>10.413965065</v>
      </c>
      <c r="AW236" s="74" t="n">
        <v>12.633924122</v>
      </c>
      <c r="AX236" s="75" t="n">
        <v>94.8</v>
      </c>
      <c r="AY236" s="71" t="n">
        <v>10820000</v>
      </c>
      <c r="AZ236" s="71" t="n">
        <v>10820000</v>
      </c>
      <c r="BA236" s="71" t="n">
        <v>801875.3100000001</v>
      </c>
      <c r="BB236" s="71" t="n">
        <v>893762.01</v>
      </c>
      <c r="BC236" s="69" t="inlineStr">
        <is>
          <t>Refinance</t>
        </is>
      </c>
      <c r="BD236" s="69" t="inlineStr">
        <is>
          <t>N</t>
        </is>
      </c>
      <c r="BE236" s="71" t="n"/>
      <c r="BF236" s="71" t="n"/>
      <c r="BG236" s="71" t="n"/>
      <c r="BH236" s="71" t="n">
        <v>0</v>
      </c>
      <c r="BI236" s="71" t="n">
        <v>0</v>
      </c>
      <c r="BJ236" s="69" t="inlineStr">
        <is>
          <t>N</t>
        </is>
      </c>
      <c r="BK236" s="69" t="inlineStr">
        <is>
          <t>Nextep Counseling and Clinical</t>
        </is>
      </c>
      <c r="BL236" s="75" t="n">
        <v>4.11</v>
      </c>
      <c r="BM236" s="73" t="n">
        <v>46721</v>
      </c>
      <c r="BN236" s="69" t="n"/>
      <c r="BO236" s="69" t="inlineStr">
        <is>
          <t>UBS</t>
        </is>
      </c>
      <c r="BP236" s="69" t="inlineStr">
        <is>
          <t>Midland Loan Services</t>
        </is>
      </c>
      <c r="BQ236" s="69" t="inlineStr">
        <is>
          <t>K-Star Asset Management LLC</t>
        </is>
      </c>
      <c r="BR236" s="69" t="n"/>
      <c r="BS236" s="73" t="n">
        <v>46276</v>
      </c>
      <c r="BU236" s="76">
        <f>IF($C236="","",IFERROR(INDEX(dmName,MATCH($C236,dmID,0)),"Unmapped"))</f>
        <v/>
      </c>
      <c r="BV236" s="76">
        <f>IF($C236="","",IFERROR(INDEX(dmEntity,MATCH($C236,dmID,0)),"Unmapped"))</f>
        <v/>
      </c>
      <c r="BW236" s="77">
        <f>IF($C236="","",IFERROR(INDEX(dmVintage,MATCH($C236,dmID,0)),""))</f>
        <v/>
      </c>
      <c r="BX236" s="78">
        <f>IFERROR(INDEX(dmInclude,MATCH($C236,dmID,0)),0)</f>
        <v/>
      </c>
      <c r="BY236" s="78">
        <f>IF(N($I236)&gt;0,1,0)</f>
        <v/>
      </c>
      <c r="BZ236" s="76">
        <f>IF($AJ236="","Other / Leased Fee",IFERROR(INDEX(mapPTGroup,MATCH(LEFT(TRIM($AJ236),2),mapPTCode,0)),"Other / Leased Fee"))</f>
        <v/>
      </c>
      <c r="CA236" s="76">
        <f>IF(TRIM($AF236&amp;"")="","NR",LEFT(TRIM($AF236),2))</f>
        <v/>
      </c>
      <c r="CB236" s="76">
        <f>IFERROR(LOOKUP(2,1/(LEFT(TRIM($AI236&amp;""),LEN(mapRegion))=mapRegion),mapRegion),"Not Reported")</f>
        <v/>
      </c>
      <c r="CC236" s="76">
        <f>IF($BY236=0,"",IF(TRIM($W236&amp;"")="REO","REO",IF(TRIM($W236&amp;"")="FC","Foreclosure",IF(TRIM($W236&amp;"")="90+","90+ Days Delinquent",IF(TRIM($W236&amp;"")="60","60 Days Delinquent",IF(TRIM($W236&amp;"")="30","30 Days Delinquent",IF($X236="Non-Performing Matured Balloon","Non-Performing Matured Balloon",IF(OR($X236="Late Payment But Less Than 30 Days Delinquent",LEFT($X236&amp;"",20)="Payment Not Received"),"Late / In Grace (&lt;30 Days)",IF($X236="Performing Matured Balloon","Performing Matured Balloon","Current")))))))))</f>
        <v/>
      </c>
      <c r="CD236" s="78">
        <f>IF(OR($CC236="REO",$CC236="Foreclosure",$CC236="90+ Days Delinquent",$CC236="60 Days Delinquent",$CC236="30 Days Delinquent",$CC236="Non-Performing Matured Balloon"),1,0)</f>
        <v/>
      </c>
      <c r="CE236" s="76">
        <f>IF($AB236="Currently special serv","Currently Specially Serviced",IF($AB236="Returned to master serv","Previously Specially Serviced","Never Specially Serviced"))</f>
        <v/>
      </c>
      <c r="CF236" s="78">
        <f>IF($CE236="Currently Specially Serviced",1,0)</f>
        <v/>
      </c>
      <c r="CG236" s="76">
        <f>IF($AA236="Yes","Currently on Watchlist",IF($AA236="Previously","Previously on Watchlist","Never on Watchlist"))</f>
        <v/>
      </c>
      <c r="CH236" s="78">
        <f>IF($CG236="Currently on Watchlist",1,0)</f>
        <v/>
      </c>
      <c r="CI236" s="76">
        <f>IF($Z236="Full Defeasance","Fully Defeased",IF($Z236="Portion Of Loan Previously Defeased","Partially Defeased",IF($Z236="Defeasance Not Allowable","Not Defeased (Not Permitted)","Not Defeased")))</f>
        <v/>
      </c>
      <c r="CJ236" s="78">
        <f>IF($CI236="Fully Defeased",1,0)</f>
        <v/>
      </c>
      <c r="CK236" s="76">
        <f>IF($R236="IO","Full IO",IF(LEFT($R236&amp;"",7)="IO then","Partial IO","Amortizing"))</f>
        <v/>
      </c>
      <c r="CL236" s="78">
        <f>IF($CK236="Full IO",1,0)</f>
        <v/>
      </c>
      <c r="CM236" s="78">
        <f>IF($CK236="Partial IO",1,0)</f>
        <v/>
      </c>
      <c r="CN236" s="76">
        <f>IF(LEFT($F236&amp;"",10)="SPLIT_LOAN","Pari Passu Split","Standalone")</f>
        <v/>
      </c>
      <c r="CO236" s="78">
        <f>IF($CN236="Pari Passu Split",1,0)</f>
        <v/>
      </c>
      <c r="CP236" s="77">
        <f>IF(ISNUMBER($T236),YEAR($T236),"")</f>
        <v/>
      </c>
      <c r="CQ236" s="79">
        <f>IF(ISNUMBER($V236),$V236,IF(ISNUMBER($U236),$U236,""))</f>
        <v/>
      </c>
      <c r="CR236" s="77">
        <f>IF(ISNUMBER($CQ236),YEAR($CQ236),"")</f>
        <v/>
      </c>
      <c r="CS236" s="78">
        <f>IF(ISNUMBER($M236),MAX(0,$M236),IF(TRIM($M236&amp;"")="matured",0,""))</f>
        <v/>
      </c>
      <c r="CT236" s="78">
        <f>IF(AND(ISNUMBER($CS236),N($CS236)&lt;=mMatWindow),1,0)</f>
        <v/>
      </c>
      <c r="CU236" s="80">
        <f>IF(ISNUMBER($J236),$J236/100,"")</f>
        <v/>
      </c>
      <c r="CV236" s="81">
        <f>IF(ISNUMBER($AQ236),$AQ236,"")</f>
        <v/>
      </c>
      <c r="CW236" s="81">
        <f>IF(ISNUMBER($AR236),$AR236,"")</f>
        <v/>
      </c>
      <c r="CX236" s="82">
        <f>IF(ISNUMBER($AS236),$AS236/100,"")</f>
        <v/>
      </c>
      <c r="CY236" s="82">
        <f>IF(ISNUMBER($AT236),$AT236/100,"")</f>
        <v/>
      </c>
      <c r="CZ236" s="82">
        <f>IF(ISNUMBER($AU236),$AU236/100,"")</f>
        <v/>
      </c>
      <c r="DA236" s="82">
        <f>IF(ISNUMBER($AV236),$AV236/100,"")</f>
        <v/>
      </c>
      <c r="DB236" s="82">
        <f>IF(ISNUMBER($AW236),$AW236/100,"")</f>
        <v/>
      </c>
      <c r="DC236" s="82">
        <f>IF(ISNUMBER($AX236),$AX236/100,"")</f>
        <v/>
      </c>
      <c r="DD236" s="77">
        <f>IFERROR(VALUE(LEFT(TRIM($AO236&amp;""),4)),"")</f>
        <v/>
      </c>
      <c r="DE236" s="78">
        <f>IF(AND($BY236=1,$BX236=1,OR(fDeal="All Deals",$BU236=fDeal),OR(fEntity="All Entities",$BV236=fEntity),OR(fPType="All Property Types",$BZ236=fPType),OR(fDefeased="Include",$CJ236=0)),1,0)</f>
        <v/>
      </c>
      <c r="DF236" s="83">
        <f>$DE236*N($I236)</f>
        <v/>
      </c>
      <c r="DG236" s="78">
        <f>IF($DE236=1,IF(COUNTIFS($F$8:$F236,$F236,$DE$8:$DE236,1)=1,1,0),0)</f>
        <v/>
      </c>
      <c r="DH236" s="83">
        <f>IF($DG236=1,SUMIFS($DF$8:$DF$1600,$F$8:$F$1600,$F236),0)</f>
        <v/>
      </c>
      <c r="DI236" s="78">
        <f>IF($DG236=1,COUNTIFS($F$8:$F$1600,$F236,$DE$8:$DE$1600,1),0)</f>
        <v/>
      </c>
      <c r="DJ236" s="84">
        <f>IF($DG236=1,$DH236+(100000-ROW())/mTieBreak,0)</f>
        <v/>
      </c>
    </row>
    <row r="237">
      <c r="B237" s="68" t="n">
        <v>40</v>
      </c>
      <c r="C237" s="69" t="inlineStr">
        <is>
          <t>BBC19C03</t>
        </is>
      </c>
      <c r="D237" s="69" t="inlineStr">
        <is>
          <t>40.000</t>
        </is>
      </c>
      <c r="E237" s="69" t="inlineStr">
        <is>
          <t>North Attleboro Shopping Center</t>
        </is>
      </c>
      <c r="F237" s="69" t="inlineStr">
        <is>
          <t>LNBBC19C03-40.000</t>
        </is>
      </c>
      <c r="G237" s="70" t="n"/>
      <c r="H237" s="71" t="n">
        <v>7500000</v>
      </c>
      <c r="I237" s="71" t="n">
        <v>6837217.520002501</v>
      </c>
      <c r="J237" s="72" t="n">
        <v>5.28</v>
      </c>
      <c r="K237" s="69" t="inlineStr">
        <is>
          <t>Fixed rate</t>
        </is>
      </c>
      <c r="L237" s="68" t="n">
        <v>120</v>
      </c>
      <c r="M237" s="68" t="n">
        <v>32</v>
      </c>
      <c r="N237" s="68" t="n">
        <v>378</v>
      </c>
      <c r="O237" s="68" t="n">
        <v>18</v>
      </c>
      <c r="P237" s="68" t="n">
        <v>0</v>
      </c>
      <c r="Q237" s="68" t="n">
        <v>88</v>
      </c>
      <c r="R237" s="69" t="inlineStr">
        <is>
          <t>IO then Amort</t>
        </is>
      </c>
      <c r="S237" s="69" t="inlineStr">
        <is>
          <t>No</t>
        </is>
      </c>
      <c r="T237" s="73" t="n">
        <v>43586</v>
      </c>
      <c r="U237" s="73" t="n">
        <v>47239</v>
      </c>
      <c r="V237" s="73" t="n"/>
      <c r="W237" s="69" t="inlineStr">
        <is>
          <t>90+</t>
        </is>
      </c>
      <c r="X237" s="69" t="inlineStr">
        <is>
          <t>90-120 Days Delinquent</t>
        </is>
      </c>
      <c r="Y237" s="68" t="n">
        <v>3</v>
      </c>
      <c r="Z237" s="69" t="inlineStr">
        <is>
          <t>No Defeasance Occurred</t>
        </is>
      </c>
      <c r="AA237" s="69" t="inlineStr">
        <is>
          <t>Previously</t>
        </is>
      </c>
      <c r="AB237" s="69" t="inlineStr">
        <is>
          <t>Currently special serv</t>
        </is>
      </c>
      <c r="AC237" s="73" t="n">
        <v>45568</v>
      </c>
      <c r="AD237" s="69" t="inlineStr">
        <is>
          <t>Payment Default (all payments excluding Balloon/Maturity Payment)</t>
        </is>
      </c>
      <c r="AE237" s="69" t="inlineStr">
        <is>
          <t>DPO</t>
        </is>
      </c>
      <c r="AF237" s="69" t="inlineStr">
        <is>
          <t>MA</t>
        </is>
      </c>
      <c r="AG237" s="69" t="inlineStr">
        <is>
          <t>North Attleboro</t>
        </is>
      </c>
      <c r="AH237" s="69" t="inlineStr">
        <is>
          <t>Providence-Warwick, RI-MA</t>
        </is>
      </c>
      <c r="AI237" s="69" t="inlineStr">
        <is>
          <t>Northeast / New England</t>
        </is>
      </c>
      <c r="AJ237" s="69" t="inlineStr">
        <is>
          <t>RT</t>
        </is>
      </c>
      <c r="AK237" s="69" t="inlineStr">
        <is>
          <t>Anchored</t>
        </is>
      </c>
      <c r="AL237" s="68" t="n">
        <v>1</v>
      </c>
      <c r="AM237" s="68" t="n"/>
      <c r="AN237" s="68" t="n">
        <v>58504</v>
      </c>
      <c r="AO237" s="69" t="inlineStr">
        <is>
          <t>1960</t>
        </is>
      </c>
      <c r="AP237" s="70" t="n">
        <v>2018</v>
      </c>
      <c r="AQ237" s="74" t="n">
        <v>1.28</v>
      </c>
      <c r="AR237" s="74" t="n">
        <v>1.35</v>
      </c>
      <c r="AS237" s="74" t="n">
        <v>71.40000000000001</v>
      </c>
      <c r="AT237" s="74" t="n">
        <v>105.19</v>
      </c>
      <c r="AU237" s="74" t="n">
        <v>61.5</v>
      </c>
      <c r="AV237" s="74" t="n">
        <v>8.487603999999999</v>
      </c>
      <c r="AW237" s="74" t="n">
        <v>2.45965584</v>
      </c>
      <c r="AX237" s="75" t="n">
        <v>100</v>
      </c>
      <c r="AY237" s="71" t="n">
        <v>10500000</v>
      </c>
      <c r="AZ237" s="71" t="n">
        <v>6500000</v>
      </c>
      <c r="BA237" s="71" t="n">
        <v>636570.3</v>
      </c>
      <c r="BB237" s="71" t="n">
        <v>168172.02</v>
      </c>
      <c r="BC237" s="69" t="inlineStr">
        <is>
          <t>Refinance</t>
        </is>
      </c>
      <c r="BD237" s="69" t="inlineStr">
        <is>
          <t>N</t>
        </is>
      </c>
      <c r="BE237" s="71" t="n"/>
      <c r="BF237" s="71" t="n"/>
      <c r="BG237" s="71" t="n"/>
      <c r="BH237" s="71" t="n">
        <v>277191.58</v>
      </c>
      <c r="BI237" s="71" t="n">
        <v>160262.08</v>
      </c>
      <c r="BJ237" s="69" t="inlineStr">
        <is>
          <t>N</t>
        </is>
      </c>
      <c r="BK237" s="69" t="inlineStr">
        <is>
          <t>Fit Factory</t>
        </is>
      </c>
      <c r="BL237" s="75" t="n">
        <v>39.95</v>
      </c>
      <c r="BM237" s="73" t="n">
        <v>48796</v>
      </c>
      <c r="BN237" s="69" t="n"/>
      <c r="BO237" s="69" t="inlineStr">
        <is>
          <t>Societe Generale</t>
        </is>
      </c>
      <c r="BP237" s="69" t="inlineStr">
        <is>
          <t>Midland Loan Services</t>
        </is>
      </c>
      <c r="BQ237" s="69" t="inlineStr">
        <is>
          <t>K-Star Asset Management LLC</t>
        </is>
      </c>
      <c r="BR237" s="69" t="n"/>
      <c r="BS237" s="73" t="n">
        <v>46276</v>
      </c>
      <c r="BU237" s="76">
        <f>IF($C237="","",IFERROR(INDEX(dmName,MATCH($C237,dmID,0)),"Unmapped"))</f>
        <v/>
      </c>
      <c r="BV237" s="76">
        <f>IF($C237="","",IFERROR(INDEX(dmEntity,MATCH($C237,dmID,0)),"Unmapped"))</f>
        <v/>
      </c>
      <c r="BW237" s="77">
        <f>IF($C237="","",IFERROR(INDEX(dmVintage,MATCH($C237,dmID,0)),""))</f>
        <v/>
      </c>
      <c r="BX237" s="78">
        <f>IFERROR(INDEX(dmInclude,MATCH($C237,dmID,0)),0)</f>
        <v/>
      </c>
      <c r="BY237" s="78">
        <f>IF(N($I237)&gt;0,1,0)</f>
        <v/>
      </c>
      <c r="BZ237" s="76">
        <f>IF($AJ237="","Other / Leased Fee",IFERROR(INDEX(mapPTGroup,MATCH(LEFT(TRIM($AJ237),2),mapPTCode,0)),"Other / Leased Fee"))</f>
        <v/>
      </c>
      <c r="CA237" s="76">
        <f>IF(TRIM($AF237&amp;"")="","NR",LEFT(TRIM($AF237),2))</f>
        <v/>
      </c>
      <c r="CB237" s="76">
        <f>IFERROR(LOOKUP(2,1/(LEFT(TRIM($AI237&amp;""),LEN(mapRegion))=mapRegion),mapRegion),"Not Reported")</f>
        <v/>
      </c>
      <c r="CC237" s="76">
        <f>IF($BY237=0,"",IF(TRIM($W237&amp;"")="REO","REO",IF(TRIM($W237&amp;"")="FC","Foreclosure",IF(TRIM($W237&amp;"")="90+","90+ Days Delinquent",IF(TRIM($W237&amp;"")="60","60 Days Delinquent",IF(TRIM($W237&amp;"")="30","30 Days Delinquent",IF($X237="Non-Performing Matured Balloon","Non-Performing Matured Balloon",IF(OR($X237="Late Payment But Less Than 30 Days Delinquent",LEFT($X237&amp;"",20)="Payment Not Received"),"Late / In Grace (&lt;30 Days)",IF($X237="Performing Matured Balloon","Performing Matured Balloon","Current")))))))))</f>
        <v/>
      </c>
      <c r="CD237" s="78">
        <f>IF(OR($CC237="REO",$CC237="Foreclosure",$CC237="90+ Days Delinquent",$CC237="60 Days Delinquent",$CC237="30 Days Delinquent",$CC237="Non-Performing Matured Balloon"),1,0)</f>
        <v/>
      </c>
      <c r="CE237" s="76">
        <f>IF($AB237="Currently special serv","Currently Specially Serviced",IF($AB237="Returned to master serv","Previously Specially Serviced","Never Specially Serviced"))</f>
        <v/>
      </c>
      <c r="CF237" s="78">
        <f>IF($CE237="Currently Specially Serviced",1,0)</f>
        <v/>
      </c>
      <c r="CG237" s="76">
        <f>IF($AA237="Yes","Currently on Watchlist",IF($AA237="Previously","Previously on Watchlist","Never on Watchlist"))</f>
        <v/>
      </c>
      <c r="CH237" s="78">
        <f>IF($CG237="Currently on Watchlist",1,0)</f>
        <v/>
      </c>
      <c r="CI237" s="76">
        <f>IF($Z237="Full Defeasance","Fully Defeased",IF($Z237="Portion Of Loan Previously Defeased","Partially Defeased",IF($Z237="Defeasance Not Allowable","Not Defeased (Not Permitted)","Not Defeased")))</f>
        <v/>
      </c>
      <c r="CJ237" s="78">
        <f>IF($CI237="Fully Defeased",1,0)</f>
        <v/>
      </c>
      <c r="CK237" s="76">
        <f>IF($R237="IO","Full IO",IF(LEFT($R237&amp;"",7)="IO then","Partial IO","Amortizing"))</f>
        <v/>
      </c>
      <c r="CL237" s="78">
        <f>IF($CK237="Full IO",1,0)</f>
        <v/>
      </c>
      <c r="CM237" s="78">
        <f>IF($CK237="Partial IO",1,0)</f>
        <v/>
      </c>
      <c r="CN237" s="76">
        <f>IF(LEFT($F237&amp;"",10)="SPLIT_LOAN","Pari Passu Split","Standalone")</f>
        <v/>
      </c>
      <c r="CO237" s="78">
        <f>IF($CN237="Pari Passu Split",1,0)</f>
        <v/>
      </c>
      <c r="CP237" s="77">
        <f>IF(ISNUMBER($T237),YEAR($T237),"")</f>
        <v/>
      </c>
      <c r="CQ237" s="79">
        <f>IF(ISNUMBER($V237),$V237,IF(ISNUMBER($U237),$U237,""))</f>
        <v/>
      </c>
      <c r="CR237" s="77">
        <f>IF(ISNUMBER($CQ237),YEAR($CQ237),"")</f>
        <v/>
      </c>
      <c r="CS237" s="78">
        <f>IF(ISNUMBER($M237),MAX(0,$M237),IF(TRIM($M237&amp;"")="matured",0,""))</f>
        <v/>
      </c>
      <c r="CT237" s="78">
        <f>IF(AND(ISNUMBER($CS237),N($CS237)&lt;=mMatWindow),1,0)</f>
        <v/>
      </c>
      <c r="CU237" s="80">
        <f>IF(ISNUMBER($J237),$J237/100,"")</f>
        <v/>
      </c>
      <c r="CV237" s="81">
        <f>IF(ISNUMBER($AQ237),$AQ237,"")</f>
        <v/>
      </c>
      <c r="CW237" s="81">
        <f>IF(ISNUMBER($AR237),$AR237,"")</f>
        <v/>
      </c>
      <c r="CX237" s="82">
        <f>IF(ISNUMBER($AS237),$AS237/100,"")</f>
        <v/>
      </c>
      <c r="CY237" s="82">
        <f>IF(ISNUMBER($AT237),$AT237/100,"")</f>
        <v/>
      </c>
      <c r="CZ237" s="82">
        <f>IF(ISNUMBER($AU237),$AU237/100,"")</f>
        <v/>
      </c>
      <c r="DA237" s="82">
        <f>IF(ISNUMBER($AV237),$AV237/100,"")</f>
        <v/>
      </c>
      <c r="DB237" s="82">
        <f>IF(ISNUMBER($AW237),$AW237/100,"")</f>
        <v/>
      </c>
      <c r="DC237" s="82">
        <f>IF(ISNUMBER($AX237),$AX237/100,"")</f>
        <v/>
      </c>
      <c r="DD237" s="77">
        <f>IFERROR(VALUE(LEFT(TRIM($AO237&amp;""),4)),"")</f>
        <v/>
      </c>
      <c r="DE237" s="78">
        <f>IF(AND($BY237=1,$BX237=1,OR(fDeal="All Deals",$BU237=fDeal),OR(fEntity="All Entities",$BV237=fEntity),OR(fPType="All Property Types",$BZ237=fPType),OR(fDefeased="Include",$CJ237=0)),1,0)</f>
        <v/>
      </c>
      <c r="DF237" s="83">
        <f>$DE237*N($I237)</f>
        <v/>
      </c>
      <c r="DG237" s="78">
        <f>IF($DE237=1,IF(COUNTIFS($F$8:$F237,$F237,$DE$8:$DE237,1)=1,1,0),0)</f>
        <v/>
      </c>
      <c r="DH237" s="83">
        <f>IF($DG237=1,SUMIFS($DF$8:$DF$1600,$F$8:$F$1600,$F237),0)</f>
        <v/>
      </c>
      <c r="DI237" s="78">
        <f>IF($DG237=1,COUNTIFS($F$8:$F$1600,$F237,$DE$8:$DE$1600,1),0)</f>
        <v/>
      </c>
      <c r="DJ237" s="84">
        <f>IF($DG237=1,$DH237+(100000-ROW())/mTieBreak,0)</f>
        <v/>
      </c>
    </row>
    <row r="238">
      <c r="B238" s="68" t="n">
        <v>41</v>
      </c>
      <c r="C238" s="69" t="inlineStr">
        <is>
          <t>BBC19C03</t>
        </is>
      </c>
      <c r="D238" s="69" t="inlineStr">
        <is>
          <t>41.000</t>
        </is>
      </c>
      <c r="E238" s="69" t="inlineStr">
        <is>
          <t>Hampton Inn - Wausau, WI</t>
        </is>
      </c>
      <c r="F238" s="69" t="inlineStr">
        <is>
          <t>LNBBC19C03-41.000</t>
        </is>
      </c>
      <c r="G238" s="70" t="n"/>
      <c r="H238" s="71" t="n">
        <v>6685000</v>
      </c>
      <c r="I238" s="71" t="n">
        <v>5883315.380001465</v>
      </c>
      <c r="J238" s="72" t="n">
        <v>5.14</v>
      </c>
      <c r="K238" s="69" t="inlineStr">
        <is>
          <t>Fixed rate</t>
        </is>
      </c>
      <c r="L238" s="68" t="n">
        <v>120</v>
      </c>
      <c r="M238" s="68" t="n">
        <v>31</v>
      </c>
      <c r="N238" s="68" t="n">
        <v>360</v>
      </c>
      <c r="O238" s="68" t="n"/>
      <c r="P238" s="68" t="n"/>
      <c r="Q238" s="68" t="n">
        <v>89</v>
      </c>
      <c r="R238" s="69" t="n"/>
      <c r="S238" s="69" t="inlineStr">
        <is>
          <t>No</t>
        </is>
      </c>
      <c r="T238" s="73" t="n">
        <v>43556</v>
      </c>
      <c r="U238" s="73" t="n">
        <v>47214</v>
      </c>
      <c r="V238" s="73" t="n"/>
      <c r="W238" s="69" t="n"/>
      <c r="X238" s="69" t="inlineStr">
        <is>
          <t>Current</t>
        </is>
      </c>
      <c r="Y238" s="68" t="n"/>
      <c r="Z238" s="69" t="inlineStr">
        <is>
          <t>No Defeasance Occurred</t>
        </is>
      </c>
      <c r="AA238" s="69" t="inlineStr">
        <is>
          <t>Previously</t>
        </is>
      </c>
      <c r="AB238" s="69" t="inlineStr">
        <is>
          <t>Never special serv</t>
        </is>
      </c>
      <c r="AC238" s="73" t="n"/>
      <c r="AD238" s="69" t="n"/>
      <c r="AE238" s="69" t="n"/>
      <c r="AF238" s="69" t="inlineStr">
        <is>
          <t>WI</t>
        </is>
      </c>
      <c r="AG238" s="69" t="inlineStr">
        <is>
          <t>Wausau</t>
        </is>
      </c>
      <c r="AH238" s="69" t="inlineStr">
        <is>
          <t>Wausau, WI</t>
        </is>
      </c>
      <c r="AI238" s="69" t="inlineStr">
        <is>
          <t>Midwest / Central East</t>
        </is>
      </c>
      <c r="AJ238" s="69" t="inlineStr">
        <is>
          <t>HT</t>
        </is>
      </c>
      <c r="AK238" s="69" t="inlineStr">
        <is>
          <t>Limited Service</t>
        </is>
      </c>
      <c r="AL238" s="68" t="n">
        <v>1</v>
      </c>
      <c r="AM238" s="68" t="n">
        <v>87</v>
      </c>
      <c r="AN238" s="68" t="n"/>
      <c r="AO238" s="69" t="inlineStr">
        <is>
          <t>1997</t>
        </is>
      </c>
      <c r="AP238" s="70" t="n">
        <v>2017</v>
      </c>
      <c r="AQ238" s="74" t="n">
        <v>1.96</v>
      </c>
      <c r="AR238" s="74" t="n">
        <v>3.49</v>
      </c>
      <c r="AS238" s="74" t="n">
        <v>67.40000000000001</v>
      </c>
      <c r="AT238" s="74" t="n">
        <v>59.43</v>
      </c>
      <c r="AU238" s="74" t="n">
        <v>55.8</v>
      </c>
      <c r="AV238" s="74" t="n">
        <v>12.837651458</v>
      </c>
      <c r="AW238" s="74" t="n">
        <v>22.606627456</v>
      </c>
      <c r="AX238" s="75" t="n">
        <v>76</v>
      </c>
      <c r="AY238" s="71" t="n">
        <v>9900000</v>
      </c>
      <c r="AZ238" s="71" t="n">
        <v>9900000</v>
      </c>
      <c r="BA238" s="71" t="n">
        <v>858197</v>
      </c>
      <c r="BB238" s="71" t="n">
        <v>1528566.18</v>
      </c>
      <c r="BC238" s="69" t="inlineStr">
        <is>
          <t>Acquisition</t>
        </is>
      </c>
      <c r="BD238" s="69" t="inlineStr">
        <is>
          <t>N</t>
        </is>
      </c>
      <c r="BE238" s="71" t="n"/>
      <c r="BF238" s="71" t="n"/>
      <c r="BG238" s="71" t="n"/>
      <c r="BH238" s="71" t="n">
        <v>0</v>
      </c>
      <c r="BI238" s="71" t="n">
        <v>0</v>
      </c>
      <c r="BJ238" s="69" t="inlineStr">
        <is>
          <t>N</t>
        </is>
      </c>
      <c r="BK238" s="69" t="n"/>
      <c r="BL238" s="75" t="n"/>
      <c r="BM238" s="73" t="n"/>
      <c r="BN238" s="69" t="n"/>
      <c r="BO238" s="69" t="inlineStr">
        <is>
          <t>Barclays</t>
        </is>
      </c>
      <c r="BP238" s="69" t="inlineStr">
        <is>
          <t>Midland Loan Services</t>
        </is>
      </c>
      <c r="BQ238" s="69" t="inlineStr">
        <is>
          <t>K-Star Asset Management LLC</t>
        </is>
      </c>
      <c r="BR238" s="69" t="n"/>
      <c r="BS238" s="73" t="n">
        <v>46276</v>
      </c>
      <c r="BU238" s="76">
        <f>IF($C238="","",IFERROR(INDEX(dmName,MATCH($C238,dmID,0)),"Unmapped"))</f>
        <v/>
      </c>
      <c r="BV238" s="76">
        <f>IF($C238="","",IFERROR(INDEX(dmEntity,MATCH($C238,dmID,0)),"Unmapped"))</f>
        <v/>
      </c>
      <c r="BW238" s="77">
        <f>IF($C238="","",IFERROR(INDEX(dmVintage,MATCH($C238,dmID,0)),""))</f>
        <v/>
      </c>
      <c r="BX238" s="78">
        <f>IFERROR(INDEX(dmInclude,MATCH($C238,dmID,0)),0)</f>
        <v/>
      </c>
      <c r="BY238" s="78">
        <f>IF(N($I238)&gt;0,1,0)</f>
        <v/>
      </c>
      <c r="BZ238" s="76">
        <f>IF($AJ238="","Other / Leased Fee",IFERROR(INDEX(mapPTGroup,MATCH(LEFT(TRIM($AJ238),2),mapPTCode,0)),"Other / Leased Fee"))</f>
        <v/>
      </c>
      <c r="CA238" s="76">
        <f>IF(TRIM($AF238&amp;"")="","NR",LEFT(TRIM($AF238),2))</f>
        <v/>
      </c>
      <c r="CB238" s="76">
        <f>IFERROR(LOOKUP(2,1/(LEFT(TRIM($AI238&amp;""),LEN(mapRegion))=mapRegion),mapRegion),"Not Reported")</f>
        <v/>
      </c>
      <c r="CC238" s="76">
        <f>IF($BY238=0,"",IF(TRIM($W238&amp;"")="REO","REO",IF(TRIM($W238&amp;"")="FC","Foreclosure",IF(TRIM($W238&amp;"")="90+","90+ Days Delinquent",IF(TRIM($W238&amp;"")="60","60 Days Delinquent",IF(TRIM($W238&amp;"")="30","30 Days Delinquent",IF($X238="Non-Performing Matured Balloon","Non-Performing Matured Balloon",IF(OR($X238="Late Payment But Less Than 30 Days Delinquent",LEFT($X238&amp;"",20)="Payment Not Received"),"Late / In Grace (&lt;30 Days)",IF($X238="Performing Matured Balloon","Performing Matured Balloon","Current")))))))))</f>
        <v/>
      </c>
      <c r="CD238" s="78">
        <f>IF(OR($CC238="REO",$CC238="Foreclosure",$CC238="90+ Days Delinquent",$CC238="60 Days Delinquent",$CC238="30 Days Delinquent",$CC238="Non-Performing Matured Balloon"),1,0)</f>
        <v/>
      </c>
      <c r="CE238" s="76">
        <f>IF($AB238="Currently special serv","Currently Specially Serviced",IF($AB238="Returned to master serv","Previously Specially Serviced","Never Specially Serviced"))</f>
        <v/>
      </c>
      <c r="CF238" s="78">
        <f>IF($CE238="Currently Specially Serviced",1,0)</f>
        <v/>
      </c>
      <c r="CG238" s="76">
        <f>IF($AA238="Yes","Currently on Watchlist",IF($AA238="Previously","Previously on Watchlist","Never on Watchlist"))</f>
        <v/>
      </c>
      <c r="CH238" s="78">
        <f>IF($CG238="Currently on Watchlist",1,0)</f>
        <v/>
      </c>
      <c r="CI238" s="76">
        <f>IF($Z238="Full Defeasance","Fully Defeased",IF($Z238="Portion Of Loan Previously Defeased","Partially Defeased",IF($Z238="Defeasance Not Allowable","Not Defeased (Not Permitted)","Not Defeased")))</f>
        <v/>
      </c>
      <c r="CJ238" s="78">
        <f>IF($CI238="Fully Defeased",1,0)</f>
        <v/>
      </c>
      <c r="CK238" s="76">
        <f>IF($R238="IO","Full IO",IF(LEFT($R238&amp;"",7)="IO then","Partial IO","Amortizing"))</f>
        <v/>
      </c>
      <c r="CL238" s="78">
        <f>IF($CK238="Full IO",1,0)</f>
        <v/>
      </c>
      <c r="CM238" s="78">
        <f>IF($CK238="Partial IO",1,0)</f>
        <v/>
      </c>
      <c r="CN238" s="76">
        <f>IF(LEFT($F238&amp;"",10)="SPLIT_LOAN","Pari Passu Split","Standalone")</f>
        <v/>
      </c>
      <c r="CO238" s="78">
        <f>IF($CN238="Pari Passu Split",1,0)</f>
        <v/>
      </c>
      <c r="CP238" s="77">
        <f>IF(ISNUMBER($T238),YEAR($T238),"")</f>
        <v/>
      </c>
      <c r="CQ238" s="79">
        <f>IF(ISNUMBER($V238),$V238,IF(ISNUMBER($U238),$U238,""))</f>
        <v/>
      </c>
      <c r="CR238" s="77">
        <f>IF(ISNUMBER($CQ238),YEAR($CQ238),"")</f>
        <v/>
      </c>
      <c r="CS238" s="78">
        <f>IF(ISNUMBER($M238),MAX(0,$M238),IF(TRIM($M238&amp;"")="matured",0,""))</f>
        <v/>
      </c>
      <c r="CT238" s="78">
        <f>IF(AND(ISNUMBER($CS238),N($CS238)&lt;=mMatWindow),1,0)</f>
        <v/>
      </c>
      <c r="CU238" s="80">
        <f>IF(ISNUMBER($J238),$J238/100,"")</f>
        <v/>
      </c>
      <c r="CV238" s="81">
        <f>IF(ISNUMBER($AQ238),$AQ238,"")</f>
        <v/>
      </c>
      <c r="CW238" s="81">
        <f>IF(ISNUMBER($AR238),$AR238,"")</f>
        <v/>
      </c>
      <c r="CX238" s="82">
        <f>IF(ISNUMBER($AS238),$AS238/100,"")</f>
        <v/>
      </c>
      <c r="CY238" s="82">
        <f>IF(ISNUMBER($AT238),$AT238/100,"")</f>
        <v/>
      </c>
      <c r="CZ238" s="82">
        <f>IF(ISNUMBER($AU238),$AU238/100,"")</f>
        <v/>
      </c>
      <c r="DA238" s="82">
        <f>IF(ISNUMBER($AV238),$AV238/100,"")</f>
        <v/>
      </c>
      <c r="DB238" s="82">
        <f>IF(ISNUMBER($AW238),$AW238/100,"")</f>
        <v/>
      </c>
      <c r="DC238" s="82">
        <f>IF(ISNUMBER($AX238),$AX238/100,"")</f>
        <v/>
      </c>
      <c r="DD238" s="77">
        <f>IFERROR(VALUE(LEFT(TRIM($AO238&amp;""),4)),"")</f>
        <v/>
      </c>
      <c r="DE238" s="78">
        <f>IF(AND($BY238=1,$BX238=1,OR(fDeal="All Deals",$BU238=fDeal),OR(fEntity="All Entities",$BV238=fEntity),OR(fPType="All Property Types",$BZ238=fPType),OR(fDefeased="Include",$CJ238=0)),1,0)</f>
        <v/>
      </c>
      <c r="DF238" s="83">
        <f>$DE238*N($I238)</f>
        <v/>
      </c>
      <c r="DG238" s="78">
        <f>IF($DE238=1,IF(COUNTIFS($F$8:$F238,$F238,$DE$8:$DE238,1)=1,1,0),0)</f>
        <v/>
      </c>
      <c r="DH238" s="83">
        <f>IF($DG238=1,SUMIFS($DF$8:$DF$1600,$F$8:$F$1600,$F238),0)</f>
        <v/>
      </c>
      <c r="DI238" s="78">
        <f>IF($DG238=1,COUNTIFS($F$8:$F$1600,$F238,$DE$8:$DE$1600,1),0)</f>
        <v/>
      </c>
      <c r="DJ238" s="84">
        <f>IF($DG238=1,$DH238+(100000-ROW())/mTieBreak,0)</f>
        <v/>
      </c>
    </row>
    <row r="239">
      <c r="B239" s="68" t="n">
        <v>42</v>
      </c>
      <c r="C239" s="69" t="inlineStr">
        <is>
          <t>BBC19C03</t>
        </is>
      </c>
      <c r="D239" s="69" t="inlineStr">
        <is>
          <t>42.000</t>
        </is>
      </c>
      <c r="E239" s="69" t="inlineStr">
        <is>
          <t>Townline Self Storage</t>
        </is>
      </c>
      <c r="F239" s="69" t="inlineStr">
        <is>
          <t>LNBBC19C03-42.000</t>
        </is>
      </c>
      <c r="G239" s="70" t="n"/>
      <c r="H239" s="71" t="n">
        <v>6650000</v>
      </c>
      <c r="I239" s="71" t="n">
        <v>6192931.72999795</v>
      </c>
      <c r="J239" s="72" t="n">
        <v>4.9</v>
      </c>
      <c r="K239" s="69" t="inlineStr">
        <is>
          <t>Fixed rate</t>
        </is>
      </c>
      <c r="L239" s="68" t="n">
        <v>120</v>
      </c>
      <c r="M239" s="68" t="n">
        <v>31</v>
      </c>
      <c r="N239" s="68" t="n">
        <v>396</v>
      </c>
      <c r="O239" s="68" t="n">
        <v>36</v>
      </c>
      <c r="P239" s="68" t="n">
        <v>0</v>
      </c>
      <c r="Q239" s="68" t="n">
        <v>89</v>
      </c>
      <c r="R239" s="69" t="inlineStr">
        <is>
          <t>IO then Amort</t>
        </is>
      </c>
      <c r="S239" s="69" t="inlineStr">
        <is>
          <t>No</t>
        </is>
      </c>
      <c r="T239" s="73" t="n">
        <v>43556</v>
      </c>
      <c r="U239" s="73" t="n">
        <v>47214</v>
      </c>
      <c r="V239" s="73" t="n"/>
      <c r="W239" s="69" t="n"/>
      <c r="X239" s="69" t="inlineStr">
        <is>
          <t>Current</t>
        </is>
      </c>
      <c r="Y239" s="68" t="n"/>
      <c r="Z239" s="69" t="inlineStr">
        <is>
          <t>Full Defeasance</t>
        </is>
      </c>
      <c r="AA239" s="69" t="n"/>
      <c r="AB239" s="69" t="inlineStr">
        <is>
          <t>Never special serv</t>
        </is>
      </c>
      <c r="AC239" s="73" t="n"/>
      <c r="AD239" s="69" t="n"/>
      <c r="AE239" s="69" t="n"/>
      <c r="AF239" s="69" t="inlineStr">
        <is>
          <t>MA</t>
        </is>
      </c>
      <c r="AG239" s="69" t="inlineStr">
        <is>
          <t>Malden</t>
        </is>
      </c>
      <c r="AH239" s="69" t="inlineStr">
        <is>
          <t>Boston-Cambridge-Newton, MA-NH</t>
        </is>
      </c>
      <c r="AI239" s="69" t="inlineStr">
        <is>
          <t>Northeast / New England</t>
        </is>
      </c>
      <c r="AJ239" s="69" t="inlineStr">
        <is>
          <t>SS</t>
        </is>
      </c>
      <c r="AK239" s="69" t="n"/>
      <c r="AL239" s="68" t="n">
        <v>1</v>
      </c>
      <c r="AM239" s="68" t="n">
        <v>471</v>
      </c>
      <c r="AN239" s="68" t="n"/>
      <c r="AO239" s="69" t="inlineStr">
        <is>
          <t>1988-2011</t>
        </is>
      </c>
      <c r="AP239" s="70" t="n">
        <v>2011</v>
      </c>
      <c r="AQ239" s="74" t="n">
        <v>1.38</v>
      </c>
      <c r="AR239" s="74" t="n">
        <v>2.49</v>
      </c>
      <c r="AS239" s="74" t="n">
        <v>72.7</v>
      </c>
      <c r="AT239" s="74" t="n">
        <v>67.68000000000001</v>
      </c>
      <c r="AU239" s="74" t="n">
        <v>64.2</v>
      </c>
      <c r="AV239" s="74" t="n">
        <v>8.771413534000001</v>
      </c>
      <c r="AW239" s="74" t="n">
        <v>16.99752663</v>
      </c>
      <c r="AX239" s="75" t="n">
        <v>87</v>
      </c>
      <c r="AY239" s="71" t="n">
        <v>9150000</v>
      </c>
      <c r="AZ239" s="71" t="n">
        <v>9150000</v>
      </c>
      <c r="BA239" s="71" t="n">
        <v>583299</v>
      </c>
      <c r="BB239" s="71" t="n">
        <v>1052645.22</v>
      </c>
      <c r="BC239" s="69" t="inlineStr">
        <is>
          <t>Refinance</t>
        </is>
      </c>
      <c r="BD239" s="69" t="inlineStr">
        <is>
          <t>N</t>
        </is>
      </c>
      <c r="BE239" s="71" t="n"/>
      <c r="BF239" s="71" t="n"/>
      <c r="BG239" s="71" t="n"/>
      <c r="BH239" s="71" t="n">
        <v>0</v>
      </c>
      <c r="BI239" s="71" t="n">
        <v>0</v>
      </c>
      <c r="BJ239" s="69" t="inlineStr">
        <is>
          <t>N</t>
        </is>
      </c>
      <c r="BK239" s="69" t="n"/>
      <c r="BL239" s="75" t="n"/>
      <c r="BM239" s="73" t="n"/>
      <c r="BN239" s="69" t="n"/>
      <c r="BO239" s="69" t="inlineStr">
        <is>
          <t>RMF</t>
        </is>
      </c>
      <c r="BP239" s="69" t="inlineStr">
        <is>
          <t>Midland Loan Services</t>
        </is>
      </c>
      <c r="BQ239" s="69" t="inlineStr">
        <is>
          <t>K-Star Asset Management LLC</t>
        </is>
      </c>
      <c r="BR239" s="69" t="n"/>
      <c r="BS239" s="73" t="n">
        <v>46276</v>
      </c>
      <c r="BU239" s="76">
        <f>IF($C239="","",IFERROR(INDEX(dmName,MATCH($C239,dmID,0)),"Unmapped"))</f>
        <v/>
      </c>
      <c r="BV239" s="76">
        <f>IF($C239="","",IFERROR(INDEX(dmEntity,MATCH($C239,dmID,0)),"Unmapped"))</f>
        <v/>
      </c>
      <c r="BW239" s="77">
        <f>IF($C239="","",IFERROR(INDEX(dmVintage,MATCH($C239,dmID,0)),""))</f>
        <v/>
      </c>
      <c r="BX239" s="78">
        <f>IFERROR(INDEX(dmInclude,MATCH($C239,dmID,0)),0)</f>
        <v/>
      </c>
      <c r="BY239" s="78">
        <f>IF(N($I239)&gt;0,1,0)</f>
        <v/>
      </c>
      <c r="BZ239" s="76">
        <f>IF($AJ239="","Other / Leased Fee",IFERROR(INDEX(mapPTGroup,MATCH(LEFT(TRIM($AJ239),2),mapPTCode,0)),"Other / Leased Fee"))</f>
        <v/>
      </c>
      <c r="CA239" s="76">
        <f>IF(TRIM($AF239&amp;"")="","NR",LEFT(TRIM($AF239),2))</f>
        <v/>
      </c>
      <c r="CB239" s="76">
        <f>IFERROR(LOOKUP(2,1/(LEFT(TRIM($AI239&amp;""),LEN(mapRegion))=mapRegion),mapRegion),"Not Reported")</f>
        <v/>
      </c>
      <c r="CC239" s="76">
        <f>IF($BY239=0,"",IF(TRIM($W239&amp;"")="REO","REO",IF(TRIM($W239&amp;"")="FC","Foreclosure",IF(TRIM($W239&amp;"")="90+","90+ Days Delinquent",IF(TRIM($W239&amp;"")="60","60 Days Delinquent",IF(TRIM($W239&amp;"")="30","30 Days Delinquent",IF($X239="Non-Performing Matured Balloon","Non-Performing Matured Balloon",IF(OR($X239="Late Payment But Less Than 30 Days Delinquent",LEFT($X239&amp;"",20)="Payment Not Received"),"Late / In Grace (&lt;30 Days)",IF($X239="Performing Matured Balloon","Performing Matured Balloon","Current")))))))))</f>
        <v/>
      </c>
      <c r="CD239" s="78">
        <f>IF(OR($CC239="REO",$CC239="Foreclosure",$CC239="90+ Days Delinquent",$CC239="60 Days Delinquent",$CC239="30 Days Delinquent",$CC239="Non-Performing Matured Balloon"),1,0)</f>
        <v/>
      </c>
      <c r="CE239" s="76">
        <f>IF($AB239="Currently special serv","Currently Specially Serviced",IF($AB239="Returned to master serv","Previously Specially Serviced","Never Specially Serviced"))</f>
        <v/>
      </c>
      <c r="CF239" s="78">
        <f>IF($CE239="Currently Specially Serviced",1,0)</f>
        <v/>
      </c>
      <c r="CG239" s="76">
        <f>IF($AA239="Yes","Currently on Watchlist",IF($AA239="Previously","Previously on Watchlist","Never on Watchlist"))</f>
        <v/>
      </c>
      <c r="CH239" s="78">
        <f>IF($CG239="Currently on Watchlist",1,0)</f>
        <v/>
      </c>
      <c r="CI239" s="76">
        <f>IF($Z239="Full Defeasance","Fully Defeased",IF($Z239="Portion Of Loan Previously Defeased","Partially Defeased",IF($Z239="Defeasance Not Allowable","Not Defeased (Not Permitted)","Not Defeased")))</f>
        <v/>
      </c>
      <c r="CJ239" s="78">
        <f>IF($CI239="Fully Defeased",1,0)</f>
        <v/>
      </c>
      <c r="CK239" s="76">
        <f>IF($R239="IO","Full IO",IF(LEFT($R239&amp;"",7)="IO then","Partial IO","Amortizing"))</f>
        <v/>
      </c>
      <c r="CL239" s="78">
        <f>IF($CK239="Full IO",1,0)</f>
        <v/>
      </c>
      <c r="CM239" s="78">
        <f>IF($CK239="Partial IO",1,0)</f>
        <v/>
      </c>
      <c r="CN239" s="76">
        <f>IF(LEFT($F239&amp;"",10)="SPLIT_LOAN","Pari Passu Split","Standalone")</f>
        <v/>
      </c>
      <c r="CO239" s="78">
        <f>IF($CN239="Pari Passu Split",1,0)</f>
        <v/>
      </c>
      <c r="CP239" s="77">
        <f>IF(ISNUMBER($T239),YEAR($T239),"")</f>
        <v/>
      </c>
      <c r="CQ239" s="79">
        <f>IF(ISNUMBER($V239),$V239,IF(ISNUMBER($U239),$U239,""))</f>
        <v/>
      </c>
      <c r="CR239" s="77">
        <f>IF(ISNUMBER($CQ239),YEAR($CQ239),"")</f>
        <v/>
      </c>
      <c r="CS239" s="78">
        <f>IF(ISNUMBER($M239),MAX(0,$M239),IF(TRIM($M239&amp;"")="matured",0,""))</f>
        <v/>
      </c>
      <c r="CT239" s="78">
        <f>IF(AND(ISNUMBER($CS239),N($CS239)&lt;=mMatWindow),1,0)</f>
        <v/>
      </c>
      <c r="CU239" s="80">
        <f>IF(ISNUMBER($J239),$J239/100,"")</f>
        <v/>
      </c>
      <c r="CV239" s="81">
        <f>IF(ISNUMBER($AQ239),$AQ239,"")</f>
        <v/>
      </c>
      <c r="CW239" s="81">
        <f>IF(ISNUMBER($AR239),$AR239,"")</f>
        <v/>
      </c>
      <c r="CX239" s="82">
        <f>IF(ISNUMBER($AS239),$AS239/100,"")</f>
        <v/>
      </c>
      <c r="CY239" s="82">
        <f>IF(ISNUMBER($AT239),$AT239/100,"")</f>
        <v/>
      </c>
      <c r="CZ239" s="82">
        <f>IF(ISNUMBER($AU239),$AU239/100,"")</f>
        <v/>
      </c>
      <c r="DA239" s="82">
        <f>IF(ISNUMBER($AV239),$AV239/100,"")</f>
        <v/>
      </c>
      <c r="DB239" s="82">
        <f>IF(ISNUMBER($AW239),$AW239/100,"")</f>
        <v/>
      </c>
      <c r="DC239" s="82">
        <f>IF(ISNUMBER($AX239),$AX239/100,"")</f>
        <v/>
      </c>
      <c r="DD239" s="77">
        <f>IFERROR(VALUE(LEFT(TRIM($AO239&amp;""),4)),"")</f>
        <v/>
      </c>
      <c r="DE239" s="78">
        <f>IF(AND($BY239=1,$BX239=1,OR(fDeal="All Deals",$BU239=fDeal),OR(fEntity="All Entities",$BV239=fEntity),OR(fPType="All Property Types",$BZ239=fPType),OR(fDefeased="Include",$CJ239=0)),1,0)</f>
        <v/>
      </c>
      <c r="DF239" s="83">
        <f>$DE239*N($I239)</f>
        <v/>
      </c>
      <c r="DG239" s="78">
        <f>IF($DE239=1,IF(COUNTIFS($F$8:$F239,$F239,$DE$8:$DE239,1)=1,1,0),0)</f>
        <v/>
      </c>
      <c r="DH239" s="83">
        <f>IF($DG239=1,SUMIFS($DF$8:$DF$1600,$F$8:$F$1600,$F239),0)</f>
        <v/>
      </c>
      <c r="DI239" s="78">
        <f>IF($DG239=1,COUNTIFS($F$8:$F$1600,$F239,$DE$8:$DE$1600,1),0)</f>
        <v/>
      </c>
      <c r="DJ239" s="84">
        <f>IF($DG239=1,$DH239+(100000-ROW())/mTieBreak,0)</f>
        <v/>
      </c>
    </row>
    <row r="240">
      <c r="B240" s="68" t="n">
        <v>43</v>
      </c>
      <c r="C240" s="69" t="inlineStr">
        <is>
          <t>BBC19C03</t>
        </is>
      </c>
      <c r="D240" s="69" t="inlineStr">
        <is>
          <t>43.000</t>
        </is>
      </c>
      <c r="E240" s="69" t="inlineStr">
        <is>
          <t>Holiday Inn Express Gatesville</t>
        </is>
      </c>
      <c r="F240" s="69" t="inlineStr">
        <is>
          <t>LNBBC19C03-43.000</t>
        </is>
      </c>
      <c r="G240" s="70" t="n"/>
      <c r="H240" s="71" t="n">
        <v>5700000</v>
      </c>
      <c r="I240" s="71" t="n">
        <v>4755001.1400012</v>
      </c>
      <c r="J240" s="72" t="n">
        <v>5.5</v>
      </c>
      <c r="K240" s="69" t="inlineStr">
        <is>
          <t>Fixed rate</t>
        </is>
      </c>
      <c r="L240" s="68" t="n">
        <v>120</v>
      </c>
      <c r="M240" s="68" t="n">
        <v>30</v>
      </c>
      <c r="N240" s="68" t="n">
        <v>300</v>
      </c>
      <c r="O240" s="68" t="n"/>
      <c r="P240" s="68" t="n"/>
      <c r="Q240" s="68" t="n">
        <v>90</v>
      </c>
      <c r="R240" s="69" t="n"/>
      <c r="S240" s="69" t="inlineStr">
        <is>
          <t>No</t>
        </is>
      </c>
      <c r="T240" s="73" t="n">
        <v>43525</v>
      </c>
      <c r="U240" s="73" t="n">
        <v>47178</v>
      </c>
      <c r="V240" s="73" t="n"/>
      <c r="W240" s="69" t="n"/>
      <c r="X240" s="69" t="inlineStr">
        <is>
          <t>Current</t>
        </is>
      </c>
      <c r="Y240" s="68" t="n"/>
      <c r="Z240" s="69" t="inlineStr">
        <is>
          <t>Full Defeasance</t>
        </is>
      </c>
      <c r="AA240" s="69" t="inlineStr">
        <is>
          <t>Previously</t>
        </is>
      </c>
      <c r="AB240" s="69" t="inlineStr">
        <is>
          <t>Returned to master serv</t>
        </is>
      </c>
      <c r="AC240" s="73" t="n"/>
      <c r="AD240" s="69" t="inlineStr">
        <is>
          <t>Other</t>
        </is>
      </c>
      <c r="AE240" s="69" t="inlineStr">
        <is>
          <t>Resolved</t>
        </is>
      </c>
      <c r="AF240" s="69" t="inlineStr">
        <is>
          <t>TX</t>
        </is>
      </c>
      <c r="AG240" s="69" t="inlineStr">
        <is>
          <t>Gatesville</t>
        </is>
      </c>
      <c r="AH240" s="69" t="inlineStr">
        <is>
          <t>Killeen-Temple, TX</t>
        </is>
      </c>
      <c r="AI240" s="69" t="inlineStr">
        <is>
          <t>South / Central West</t>
        </is>
      </c>
      <c r="AJ240" s="69" t="inlineStr">
        <is>
          <t>HT</t>
        </is>
      </c>
      <c r="AK240" s="69" t="inlineStr">
        <is>
          <t>Limited Service</t>
        </is>
      </c>
      <c r="AL240" s="68" t="n">
        <v>1</v>
      </c>
      <c r="AM240" s="68" t="n">
        <v>68</v>
      </c>
      <c r="AN240" s="68" t="n"/>
      <c r="AO240" s="69" t="inlineStr">
        <is>
          <t>2016</t>
        </is>
      </c>
      <c r="AP240" s="70" t="n">
        <v>2016</v>
      </c>
      <c r="AQ240" s="74" t="n">
        <v>1.88</v>
      </c>
      <c r="AR240" s="74" t="n">
        <v>1.73</v>
      </c>
      <c r="AS240" s="74" t="n">
        <v>63.8</v>
      </c>
      <c r="AT240" s="74" t="n">
        <v>69.93000000000001</v>
      </c>
      <c r="AU240" s="74" t="n">
        <v>48.8</v>
      </c>
      <c r="AV240" s="74" t="n">
        <v>13.881852807</v>
      </c>
      <c r="AW240" s="74" t="n">
        <v>15.246018006</v>
      </c>
      <c r="AX240" s="75" t="n">
        <v>68</v>
      </c>
      <c r="AY240" s="71" t="n">
        <v>8900000</v>
      </c>
      <c r="AZ240" s="71" t="n">
        <v>6800000</v>
      </c>
      <c r="BA240" s="71" t="n">
        <v>791265.61</v>
      </c>
      <c r="BB240" s="71" t="n">
        <v>724948.33</v>
      </c>
      <c r="BC240" s="69" t="inlineStr">
        <is>
          <t>Refinance</t>
        </is>
      </c>
      <c r="BD240" s="69" t="inlineStr">
        <is>
          <t>N</t>
        </is>
      </c>
      <c r="BE240" s="71" t="n"/>
      <c r="BF240" s="71" t="n"/>
      <c r="BG240" s="71" t="n"/>
      <c r="BH240" s="71" t="n">
        <v>0</v>
      </c>
      <c r="BI240" s="71" t="n">
        <v>0</v>
      </c>
      <c r="BJ240" s="69" t="inlineStr">
        <is>
          <t>Y</t>
        </is>
      </c>
      <c r="BK240" s="69" t="n"/>
      <c r="BL240" s="75" t="n"/>
      <c r="BM240" s="73" t="n"/>
      <c r="BN240" s="69" t="n"/>
      <c r="BO240" s="69" t="inlineStr">
        <is>
          <t>Societe Generale</t>
        </is>
      </c>
      <c r="BP240" s="69" t="inlineStr">
        <is>
          <t>Midland Loan Services</t>
        </is>
      </c>
      <c r="BQ240" s="69" t="inlineStr">
        <is>
          <t>K-Star Asset Management LLC</t>
        </is>
      </c>
      <c r="BR240" s="69" t="n"/>
      <c r="BS240" s="73" t="n">
        <v>46276</v>
      </c>
      <c r="BU240" s="76">
        <f>IF($C240="","",IFERROR(INDEX(dmName,MATCH($C240,dmID,0)),"Unmapped"))</f>
        <v/>
      </c>
      <c r="BV240" s="76">
        <f>IF($C240="","",IFERROR(INDEX(dmEntity,MATCH($C240,dmID,0)),"Unmapped"))</f>
        <v/>
      </c>
      <c r="BW240" s="77">
        <f>IF($C240="","",IFERROR(INDEX(dmVintage,MATCH($C240,dmID,0)),""))</f>
        <v/>
      </c>
      <c r="BX240" s="78">
        <f>IFERROR(INDEX(dmInclude,MATCH($C240,dmID,0)),0)</f>
        <v/>
      </c>
      <c r="BY240" s="78">
        <f>IF(N($I240)&gt;0,1,0)</f>
        <v/>
      </c>
      <c r="BZ240" s="76">
        <f>IF($AJ240="","Other / Leased Fee",IFERROR(INDEX(mapPTGroup,MATCH(LEFT(TRIM($AJ240),2),mapPTCode,0)),"Other / Leased Fee"))</f>
        <v/>
      </c>
      <c r="CA240" s="76">
        <f>IF(TRIM($AF240&amp;"")="","NR",LEFT(TRIM($AF240),2))</f>
        <v/>
      </c>
      <c r="CB240" s="76">
        <f>IFERROR(LOOKUP(2,1/(LEFT(TRIM($AI240&amp;""),LEN(mapRegion))=mapRegion),mapRegion),"Not Reported")</f>
        <v/>
      </c>
      <c r="CC240" s="76">
        <f>IF($BY240=0,"",IF(TRIM($W240&amp;"")="REO","REO",IF(TRIM($W240&amp;"")="FC","Foreclosure",IF(TRIM($W240&amp;"")="90+","90+ Days Delinquent",IF(TRIM($W240&amp;"")="60","60 Days Delinquent",IF(TRIM($W240&amp;"")="30","30 Days Delinquent",IF($X240="Non-Performing Matured Balloon","Non-Performing Matured Balloon",IF(OR($X240="Late Payment But Less Than 30 Days Delinquent",LEFT($X240&amp;"",20)="Payment Not Received"),"Late / In Grace (&lt;30 Days)",IF($X240="Performing Matured Balloon","Performing Matured Balloon","Current")))))))))</f>
        <v/>
      </c>
      <c r="CD240" s="78">
        <f>IF(OR($CC240="REO",$CC240="Foreclosure",$CC240="90+ Days Delinquent",$CC240="60 Days Delinquent",$CC240="30 Days Delinquent",$CC240="Non-Performing Matured Balloon"),1,0)</f>
        <v/>
      </c>
      <c r="CE240" s="76">
        <f>IF($AB240="Currently special serv","Currently Specially Serviced",IF($AB240="Returned to master serv","Previously Specially Serviced","Never Specially Serviced"))</f>
        <v/>
      </c>
      <c r="CF240" s="78">
        <f>IF($CE240="Currently Specially Serviced",1,0)</f>
        <v/>
      </c>
      <c r="CG240" s="76">
        <f>IF($AA240="Yes","Currently on Watchlist",IF($AA240="Previously","Previously on Watchlist","Never on Watchlist"))</f>
        <v/>
      </c>
      <c r="CH240" s="78">
        <f>IF($CG240="Currently on Watchlist",1,0)</f>
        <v/>
      </c>
      <c r="CI240" s="76">
        <f>IF($Z240="Full Defeasance","Fully Defeased",IF($Z240="Portion Of Loan Previously Defeased","Partially Defeased",IF($Z240="Defeasance Not Allowable","Not Defeased (Not Permitted)","Not Defeased")))</f>
        <v/>
      </c>
      <c r="CJ240" s="78">
        <f>IF($CI240="Fully Defeased",1,0)</f>
        <v/>
      </c>
      <c r="CK240" s="76">
        <f>IF($R240="IO","Full IO",IF(LEFT($R240&amp;"",7)="IO then","Partial IO","Amortizing"))</f>
        <v/>
      </c>
      <c r="CL240" s="78">
        <f>IF($CK240="Full IO",1,0)</f>
        <v/>
      </c>
      <c r="CM240" s="78">
        <f>IF($CK240="Partial IO",1,0)</f>
        <v/>
      </c>
      <c r="CN240" s="76">
        <f>IF(LEFT($F240&amp;"",10)="SPLIT_LOAN","Pari Passu Split","Standalone")</f>
        <v/>
      </c>
      <c r="CO240" s="78">
        <f>IF($CN240="Pari Passu Split",1,0)</f>
        <v/>
      </c>
      <c r="CP240" s="77">
        <f>IF(ISNUMBER($T240),YEAR($T240),"")</f>
        <v/>
      </c>
      <c r="CQ240" s="79">
        <f>IF(ISNUMBER($V240),$V240,IF(ISNUMBER($U240),$U240,""))</f>
        <v/>
      </c>
      <c r="CR240" s="77">
        <f>IF(ISNUMBER($CQ240),YEAR($CQ240),"")</f>
        <v/>
      </c>
      <c r="CS240" s="78">
        <f>IF(ISNUMBER($M240),MAX(0,$M240),IF(TRIM($M240&amp;"")="matured",0,""))</f>
        <v/>
      </c>
      <c r="CT240" s="78">
        <f>IF(AND(ISNUMBER($CS240),N($CS240)&lt;=mMatWindow),1,0)</f>
        <v/>
      </c>
      <c r="CU240" s="80">
        <f>IF(ISNUMBER($J240),$J240/100,"")</f>
        <v/>
      </c>
      <c r="CV240" s="81">
        <f>IF(ISNUMBER($AQ240),$AQ240,"")</f>
        <v/>
      </c>
      <c r="CW240" s="81">
        <f>IF(ISNUMBER($AR240),$AR240,"")</f>
        <v/>
      </c>
      <c r="CX240" s="82">
        <f>IF(ISNUMBER($AS240),$AS240/100,"")</f>
        <v/>
      </c>
      <c r="CY240" s="82">
        <f>IF(ISNUMBER($AT240),$AT240/100,"")</f>
        <v/>
      </c>
      <c r="CZ240" s="82">
        <f>IF(ISNUMBER($AU240),$AU240/100,"")</f>
        <v/>
      </c>
      <c r="DA240" s="82">
        <f>IF(ISNUMBER($AV240),$AV240/100,"")</f>
        <v/>
      </c>
      <c r="DB240" s="82">
        <f>IF(ISNUMBER($AW240),$AW240/100,"")</f>
        <v/>
      </c>
      <c r="DC240" s="82">
        <f>IF(ISNUMBER($AX240),$AX240/100,"")</f>
        <v/>
      </c>
      <c r="DD240" s="77">
        <f>IFERROR(VALUE(LEFT(TRIM($AO240&amp;""),4)),"")</f>
        <v/>
      </c>
      <c r="DE240" s="78">
        <f>IF(AND($BY240=1,$BX240=1,OR(fDeal="All Deals",$BU240=fDeal),OR(fEntity="All Entities",$BV240=fEntity),OR(fPType="All Property Types",$BZ240=fPType),OR(fDefeased="Include",$CJ240=0)),1,0)</f>
        <v/>
      </c>
      <c r="DF240" s="83">
        <f>$DE240*N($I240)</f>
        <v/>
      </c>
      <c r="DG240" s="78">
        <f>IF($DE240=1,IF(COUNTIFS($F$8:$F240,$F240,$DE$8:$DE240,1)=1,1,0),0)</f>
        <v/>
      </c>
      <c r="DH240" s="83">
        <f>IF($DG240=1,SUMIFS($DF$8:$DF$1600,$F$8:$F$1600,$F240),0)</f>
        <v/>
      </c>
      <c r="DI240" s="78">
        <f>IF($DG240=1,COUNTIFS($F$8:$F$1600,$F240,$DE$8:$DE$1600,1),0)</f>
        <v/>
      </c>
      <c r="DJ240" s="84">
        <f>IF($DG240=1,$DH240+(100000-ROW())/mTieBreak,0)</f>
        <v/>
      </c>
    </row>
    <row r="241">
      <c r="B241" s="68" t="n">
        <v>44</v>
      </c>
      <c r="C241" s="69" t="inlineStr">
        <is>
          <t>BBC19C03</t>
        </is>
      </c>
      <c r="D241" s="69" t="inlineStr">
        <is>
          <t>44.000</t>
        </is>
      </c>
      <c r="E241" s="69" t="inlineStr">
        <is>
          <t>Safeway La Grande</t>
        </is>
      </c>
      <c r="F241" s="69" t="inlineStr">
        <is>
          <t>LNBBC19C03-44.000</t>
        </is>
      </c>
      <c r="G241" s="70" t="n"/>
      <c r="H241" s="71" t="n">
        <v>5500000</v>
      </c>
      <c r="I241" s="71" t="n">
        <v>5500000</v>
      </c>
      <c r="J241" s="72" t="n">
        <v>5.05</v>
      </c>
      <c r="K241" s="69" t="inlineStr">
        <is>
          <t>Fixed rate</t>
        </is>
      </c>
      <c r="L241" s="68" t="n">
        <v>120</v>
      </c>
      <c r="M241" s="68" t="n">
        <v>32</v>
      </c>
      <c r="N241" s="68" t="n">
        <v>120</v>
      </c>
      <c r="O241" s="68" t="n">
        <v>120</v>
      </c>
      <c r="P241" s="68" t="n">
        <v>32</v>
      </c>
      <c r="Q241" s="68" t="n">
        <v>88</v>
      </c>
      <c r="R241" s="69" t="inlineStr">
        <is>
          <t>IO</t>
        </is>
      </c>
      <c r="S241" s="69" t="inlineStr">
        <is>
          <t>Yes</t>
        </is>
      </c>
      <c r="T241" s="73" t="n">
        <v>43586</v>
      </c>
      <c r="U241" s="73" t="n">
        <v>47239</v>
      </c>
      <c r="V241" s="73" t="n"/>
      <c r="W241" s="69" t="n"/>
      <c r="X241" s="69" t="inlineStr">
        <is>
          <t>Current</t>
        </is>
      </c>
      <c r="Y241" s="68" t="n"/>
      <c r="Z241" s="69" t="inlineStr">
        <is>
          <t>No Defeasance Occurred</t>
        </is>
      </c>
      <c r="AA241" s="69" t="inlineStr">
        <is>
          <t>Previously</t>
        </is>
      </c>
      <c r="AB241" s="69" t="inlineStr">
        <is>
          <t>Never special serv</t>
        </is>
      </c>
      <c r="AC241" s="73" t="n"/>
      <c r="AD241" s="69" t="n"/>
      <c r="AE241" s="69" t="n"/>
      <c r="AF241" s="69" t="inlineStr">
        <is>
          <t>OR</t>
        </is>
      </c>
      <c r="AG241" s="69" t="inlineStr">
        <is>
          <t>La Grande</t>
        </is>
      </c>
      <c r="AH241" s="69" t="inlineStr">
        <is>
          <t>La Grande, OR</t>
        </is>
      </c>
      <c r="AI241" s="69" t="inlineStr">
        <is>
          <t>West / Pacific North</t>
        </is>
      </c>
      <c r="AJ241" s="69" t="inlineStr">
        <is>
          <t>RT</t>
        </is>
      </c>
      <c r="AK241" s="69" t="inlineStr">
        <is>
          <t>Free Standing</t>
        </is>
      </c>
      <c r="AL241" s="68" t="n">
        <v>1</v>
      </c>
      <c r="AM241" s="68" t="n"/>
      <c r="AN241" s="68" t="n">
        <v>56284</v>
      </c>
      <c r="AO241" s="69" t="inlineStr">
        <is>
          <t>2001</t>
        </is>
      </c>
      <c r="AP241" s="70" t="n">
        <v>2013</v>
      </c>
      <c r="AQ241" s="74" t="n">
        <v>1.77</v>
      </c>
      <c r="AR241" s="74" t="n">
        <v>2.01</v>
      </c>
      <c r="AS241" s="74" t="n">
        <v>57.9</v>
      </c>
      <c r="AT241" s="74" t="n">
        <v>57.89</v>
      </c>
      <c r="AU241" s="74" t="n">
        <v>57.9</v>
      </c>
      <c r="AV241" s="74" t="n">
        <v>9.054054545</v>
      </c>
      <c r="AW241" s="74" t="n">
        <v>10.275789818</v>
      </c>
      <c r="AX241" s="75" t="n">
        <v>100</v>
      </c>
      <c r="AY241" s="71" t="n">
        <v>9500000</v>
      </c>
      <c r="AZ241" s="71" t="n">
        <v>9500000</v>
      </c>
      <c r="BA241" s="71" t="n">
        <v>497973</v>
      </c>
      <c r="BB241" s="71" t="n">
        <v>565168.4399999999</v>
      </c>
      <c r="BC241" s="69" t="inlineStr">
        <is>
          <t>Acquisition</t>
        </is>
      </c>
      <c r="BD241" s="69" t="inlineStr">
        <is>
          <t>N</t>
        </is>
      </c>
      <c r="BE241" s="71" t="n"/>
      <c r="BF241" s="71" t="n"/>
      <c r="BG241" s="71" t="n"/>
      <c r="BH241" s="71" t="n">
        <v>0</v>
      </c>
      <c r="BI241" s="71" t="n">
        <v>0</v>
      </c>
      <c r="BJ241" s="69" t="inlineStr">
        <is>
          <t>N</t>
        </is>
      </c>
      <c r="BK241" s="69" t="inlineStr">
        <is>
          <t>Safeway</t>
        </is>
      </c>
      <c r="BL241" s="75" t="n">
        <v>100</v>
      </c>
      <c r="BM241" s="73" t="n">
        <v>50344</v>
      </c>
      <c r="BN241" s="69" t="n"/>
      <c r="BO241" s="69" t="inlineStr">
        <is>
          <t>Societe Generale</t>
        </is>
      </c>
      <c r="BP241" s="69" t="inlineStr">
        <is>
          <t>Midland Loan Services</t>
        </is>
      </c>
      <c r="BQ241" s="69" t="inlineStr">
        <is>
          <t>K-Star Asset Management LLC</t>
        </is>
      </c>
      <c r="BR241" s="69" t="n"/>
      <c r="BS241" s="73" t="n">
        <v>46276</v>
      </c>
      <c r="BU241" s="76">
        <f>IF($C241="","",IFERROR(INDEX(dmName,MATCH($C241,dmID,0)),"Unmapped"))</f>
        <v/>
      </c>
      <c r="BV241" s="76">
        <f>IF($C241="","",IFERROR(INDEX(dmEntity,MATCH($C241,dmID,0)),"Unmapped"))</f>
        <v/>
      </c>
      <c r="BW241" s="77">
        <f>IF($C241="","",IFERROR(INDEX(dmVintage,MATCH($C241,dmID,0)),""))</f>
        <v/>
      </c>
      <c r="BX241" s="78">
        <f>IFERROR(INDEX(dmInclude,MATCH($C241,dmID,0)),0)</f>
        <v/>
      </c>
      <c r="BY241" s="78">
        <f>IF(N($I241)&gt;0,1,0)</f>
        <v/>
      </c>
      <c r="BZ241" s="76">
        <f>IF($AJ241="","Other / Leased Fee",IFERROR(INDEX(mapPTGroup,MATCH(LEFT(TRIM($AJ241),2),mapPTCode,0)),"Other / Leased Fee"))</f>
        <v/>
      </c>
      <c r="CA241" s="76">
        <f>IF(TRIM($AF241&amp;"")="","NR",LEFT(TRIM($AF241),2))</f>
        <v/>
      </c>
      <c r="CB241" s="76">
        <f>IFERROR(LOOKUP(2,1/(LEFT(TRIM($AI241&amp;""),LEN(mapRegion))=mapRegion),mapRegion),"Not Reported")</f>
        <v/>
      </c>
      <c r="CC241" s="76">
        <f>IF($BY241=0,"",IF(TRIM($W241&amp;"")="REO","REO",IF(TRIM($W241&amp;"")="FC","Foreclosure",IF(TRIM($W241&amp;"")="90+","90+ Days Delinquent",IF(TRIM($W241&amp;"")="60","60 Days Delinquent",IF(TRIM($W241&amp;"")="30","30 Days Delinquent",IF($X241="Non-Performing Matured Balloon","Non-Performing Matured Balloon",IF(OR($X241="Late Payment But Less Than 30 Days Delinquent",LEFT($X241&amp;"",20)="Payment Not Received"),"Late / In Grace (&lt;30 Days)",IF($X241="Performing Matured Balloon","Performing Matured Balloon","Current")))))))))</f>
        <v/>
      </c>
      <c r="CD241" s="78">
        <f>IF(OR($CC241="REO",$CC241="Foreclosure",$CC241="90+ Days Delinquent",$CC241="60 Days Delinquent",$CC241="30 Days Delinquent",$CC241="Non-Performing Matured Balloon"),1,0)</f>
        <v/>
      </c>
      <c r="CE241" s="76">
        <f>IF($AB241="Currently special serv","Currently Specially Serviced",IF($AB241="Returned to master serv","Previously Specially Serviced","Never Specially Serviced"))</f>
        <v/>
      </c>
      <c r="CF241" s="78">
        <f>IF($CE241="Currently Specially Serviced",1,0)</f>
        <v/>
      </c>
      <c r="CG241" s="76">
        <f>IF($AA241="Yes","Currently on Watchlist",IF($AA241="Previously","Previously on Watchlist","Never on Watchlist"))</f>
        <v/>
      </c>
      <c r="CH241" s="78">
        <f>IF($CG241="Currently on Watchlist",1,0)</f>
        <v/>
      </c>
      <c r="CI241" s="76">
        <f>IF($Z241="Full Defeasance","Fully Defeased",IF($Z241="Portion Of Loan Previously Defeased","Partially Defeased",IF($Z241="Defeasance Not Allowable","Not Defeased (Not Permitted)","Not Defeased")))</f>
        <v/>
      </c>
      <c r="CJ241" s="78">
        <f>IF($CI241="Fully Defeased",1,0)</f>
        <v/>
      </c>
      <c r="CK241" s="76">
        <f>IF($R241="IO","Full IO",IF(LEFT($R241&amp;"",7)="IO then","Partial IO","Amortizing"))</f>
        <v/>
      </c>
      <c r="CL241" s="78">
        <f>IF($CK241="Full IO",1,0)</f>
        <v/>
      </c>
      <c r="CM241" s="78">
        <f>IF($CK241="Partial IO",1,0)</f>
        <v/>
      </c>
      <c r="CN241" s="76">
        <f>IF(LEFT($F241&amp;"",10)="SPLIT_LOAN","Pari Passu Split","Standalone")</f>
        <v/>
      </c>
      <c r="CO241" s="78">
        <f>IF($CN241="Pari Passu Split",1,0)</f>
        <v/>
      </c>
      <c r="CP241" s="77">
        <f>IF(ISNUMBER($T241),YEAR($T241),"")</f>
        <v/>
      </c>
      <c r="CQ241" s="79">
        <f>IF(ISNUMBER($V241),$V241,IF(ISNUMBER($U241),$U241,""))</f>
        <v/>
      </c>
      <c r="CR241" s="77">
        <f>IF(ISNUMBER($CQ241),YEAR($CQ241),"")</f>
        <v/>
      </c>
      <c r="CS241" s="78">
        <f>IF(ISNUMBER($M241),MAX(0,$M241),IF(TRIM($M241&amp;"")="matured",0,""))</f>
        <v/>
      </c>
      <c r="CT241" s="78">
        <f>IF(AND(ISNUMBER($CS241),N($CS241)&lt;=mMatWindow),1,0)</f>
        <v/>
      </c>
      <c r="CU241" s="80">
        <f>IF(ISNUMBER($J241),$J241/100,"")</f>
        <v/>
      </c>
      <c r="CV241" s="81">
        <f>IF(ISNUMBER($AQ241),$AQ241,"")</f>
        <v/>
      </c>
      <c r="CW241" s="81">
        <f>IF(ISNUMBER($AR241),$AR241,"")</f>
        <v/>
      </c>
      <c r="CX241" s="82">
        <f>IF(ISNUMBER($AS241),$AS241/100,"")</f>
        <v/>
      </c>
      <c r="CY241" s="82">
        <f>IF(ISNUMBER($AT241),$AT241/100,"")</f>
        <v/>
      </c>
      <c r="CZ241" s="82">
        <f>IF(ISNUMBER($AU241),$AU241/100,"")</f>
        <v/>
      </c>
      <c r="DA241" s="82">
        <f>IF(ISNUMBER($AV241),$AV241/100,"")</f>
        <v/>
      </c>
      <c r="DB241" s="82">
        <f>IF(ISNUMBER($AW241),$AW241/100,"")</f>
        <v/>
      </c>
      <c r="DC241" s="82">
        <f>IF(ISNUMBER($AX241),$AX241/100,"")</f>
        <v/>
      </c>
      <c r="DD241" s="77">
        <f>IFERROR(VALUE(LEFT(TRIM($AO241&amp;""),4)),"")</f>
        <v/>
      </c>
      <c r="DE241" s="78">
        <f>IF(AND($BY241=1,$BX241=1,OR(fDeal="All Deals",$BU241=fDeal),OR(fEntity="All Entities",$BV241=fEntity),OR(fPType="All Property Types",$BZ241=fPType),OR(fDefeased="Include",$CJ241=0)),1,0)</f>
        <v/>
      </c>
      <c r="DF241" s="83">
        <f>$DE241*N($I241)</f>
        <v/>
      </c>
      <c r="DG241" s="78">
        <f>IF($DE241=1,IF(COUNTIFS($F$8:$F241,$F241,$DE$8:$DE241,1)=1,1,0),0)</f>
        <v/>
      </c>
      <c r="DH241" s="83">
        <f>IF($DG241=1,SUMIFS($DF$8:$DF$1600,$F$8:$F$1600,$F241),0)</f>
        <v/>
      </c>
      <c r="DI241" s="78">
        <f>IF($DG241=1,COUNTIFS($F$8:$F$1600,$F241,$DE$8:$DE$1600,1),0)</f>
        <v/>
      </c>
      <c r="DJ241" s="84">
        <f>IF($DG241=1,$DH241+(100000-ROW())/mTieBreak,0)</f>
        <v/>
      </c>
    </row>
    <row r="242">
      <c r="B242" s="68" t="n">
        <v>45</v>
      </c>
      <c r="C242" s="69" t="inlineStr">
        <is>
          <t>BBC19C03</t>
        </is>
      </c>
      <c r="D242" s="69" t="inlineStr">
        <is>
          <t>45.000</t>
        </is>
      </c>
      <c r="E242" s="69" t="inlineStr">
        <is>
          <t>Town Plaza Leesville</t>
        </is>
      </c>
      <c r="F242" s="69" t="inlineStr">
        <is>
          <t>LNBBC19C03-45.000</t>
        </is>
      </c>
      <c r="G242" s="70" t="n"/>
      <c r="H242" s="71" t="n">
        <v>5475000</v>
      </c>
      <c r="I242" s="71" t="n">
        <v>4795613.570000551</v>
      </c>
      <c r="J242" s="72" t="n">
        <v>4.85</v>
      </c>
      <c r="K242" s="69" t="inlineStr">
        <is>
          <t>Fixed rate</t>
        </is>
      </c>
      <c r="L242" s="68" t="n">
        <v>120</v>
      </c>
      <c r="M242" s="68" t="n">
        <v>32</v>
      </c>
      <c r="N242" s="68" t="n">
        <v>360</v>
      </c>
      <c r="O242" s="68" t="n"/>
      <c r="P242" s="68" t="n"/>
      <c r="Q242" s="68" t="n">
        <v>88</v>
      </c>
      <c r="R242" s="69" t="n"/>
      <c r="S242" s="69" t="inlineStr">
        <is>
          <t>No</t>
        </is>
      </c>
      <c r="T242" s="73" t="n">
        <v>43586</v>
      </c>
      <c r="U242" s="73" t="n">
        <v>47239</v>
      </c>
      <c r="V242" s="73" t="n"/>
      <c r="W242" s="69" t="n"/>
      <c r="X242" s="69" t="inlineStr">
        <is>
          <t>Current</t>
        </is>
      </c>
      <c r="Y242" s="68" t="n"/>
      <c r="Z242" s="69" t="inlineStr">
        <is>
          <t>No Defeasance Occurred</t>
        </is>
      </c>
      <c r="AA242" s="69" t="inlineStr">
        <is>
          <t>Yes</t>
        </is>
      </c>
      <c r="AB242" s="69" t="inlineStr">
        <is>
          <t>Never special serv</t>
        </is>
      </c>
      <c r="AC242" s="73" t="n"/>
      <c r="AD242" s="69" t="n"/>
      <c r="AE242" s="69" t="n"/>
      <c r="AF242" s="69" t="inlineStr">
        <is>
          <t>LA</t>
        </is>
      </c>
      <c r="AG242" s="69" t="inlineStr">
        <is>
          <t>Leesville</t>
        </is>
      </c>
      <c r="AH242" s="69" t="n"/>
      <c r="AI242" s="69" t="inlineStr">
        <is>
          <t>South / Central West</t>
        </is>
      </c>
      <c r="AJ242" s="69" t="inlineStr">
        <is>
          <t>RT</t>
        </is>
      </c>
      <c r="AK242" s="69" t="inlineStr">
        <is>
          <t>Anchored</t>
        </is>
      </c>
      <c r="AL242" s="68" t="n">
        <v>1</v>
      </c>
      <c r="AM242" s="68" t="n"/>
      <c r="AN242" s="68" t="n">
        <v>102714</v>
      </c>
      <c r="AO242" s="69" t="inlineStr">
        <is>
          <t>1984</t>
        </is>
      </c>
      <c r="AP242" s="70" t="n">
        <v>1984</v>
      </c>
      <c r="AQ242" s="74" t="n">
        <v>1.89</v>
      </c>
      <c r="AR242" s="74" t="n">
        <v>1.39</v>
      </c>
      <c r="AS242" s="74" t="n">
        <v>62.9</v>
      </c>
      <c r="AT242" s="74" t="n">
        <v>55.12</v>
      </c>
      <c r="AU242" s="74" t="n">
        <v>51.5</v>
      </c>
      <c r="AV242" s="74" t="n">
        <v>11.955453699</v>
      </c>
      <c r="AW242" s="74" t="n">
        <v>10.897656001</v>
      </c>
      <c r="AX242" s="75" t="n">
        <v>90</v>
      </c>
      <c r="AY242" s="71" t="n">
        <v>8700000</v>
      </c>
      <c r="AZ242" s="71" t="n">
        <v>8700000</v>
      </c>
      <c r="BA242" s="71" t="n">
        <v>654561.09</v>
      </c>
      <c r="BB242" s="71" t="n">
        <v>120126.97</v>
      </c>
      <c r="BC242" s="69" t="inlineStr">
        <is>
          <t>Refinance</t>
        </is>
      </c>
      <c r="BD242" s="69" t="inlineStr">
        <is>
          <t>N</t>
        </is>
      </c>
      <c r="BE242" s="71" t="n"/>
      <c r="BF242" s="71" t="n"/>
      <c r="BG242" s="71" t="n"/>
      <c r="BH242" s="71" t="n">
        <v>0</v>
      </c>
      <c r="BI242" s="71" t="n">
        <v>0</v>
      </c>
      <c r="BJ242" s="69" t="inlineStr">
        <is>
          <t>N</t>
        </is>
      </c>
      <c r="BK242" s="69" t="inlineStr">
        <is>
          <t>Beall's</t>
        </is>
      </c>
      <c r="BL242" s="75" t="n">
        <v>30.26</v>
      </c>
      <c r="BM242" s="73" t="n">
        <v>48244</v>
      </c>
      <c r="BN242" s="69" t="n"/>
      <c r="BO242" s="69" t="inlineStr">
        <is>
          <t>Societe Generale</t>
        </is>
      </c>
      <c r="BP242" s="69" t="inlineStr">
        <is>
          <t>Midland Loan Services</t>
        </is>
      </c>
      <c r="BQ242" s="69" t="inlineStr">
        <is>
          <t>K-Star Asset Management LLC</t>
        </is>
      </c>
      <c r="BR242" s="69" t="n"/>
      <c r="BS242" s="73" t="n">
        <v>46276</v>
      </c>
      <c r="BU242" s="76">
        <f>IF($C242="","",IFERROR(INDEX(dmName,MATCH($C242,dmID,0)),"Unmapped"))</f>
        <v/>
      </c>
      <c r="BV242" s="76">
        <f>IF($C242="","",IFERROR(INDEX(dmEntity,MATCH($C242,dmID,0)),"Unmapped"))</f>
        <v/>
      </c>
      <c r="BW242" s="77">
        <f>IF($C242="","",IFERROR(INDEX(dmVintage,MATCH($C242,dmID,0)),""))</f>
        <v/>
      </c>
      <c r="BX242" s="78">
        <f>IFERROR(INDEX(dmInclude,MATCH($C242,dmID,0)),0)</f>
        <v/>
      </c>
      <c r="BY242" s="78">
        <f>IF(N($I242)&gt;0,1,0)</f>
        <v/>
      </c>
      <c r="BZ242" s="76">
        <f>IF($AJ242="","Other / Leased Fee",IFERROR(INDEX(mapPTGroup,MATCH(LEFT(TRIM($AJ242),2),mapPTCode,0)),"Other / Leased Fee"))</f>
        <v/>
      </c>
      <c r="CA242" s="76">
        <f>IF(TRIM($AF242&amp;"")="","NR",LEFT(TRIM($AF242),2))</f>
        <v/>
      </c>
      <c r="CB242" s="76">
        <f>IFERROR(LOOKUP(2,1/(LEFT(TRIM($AI242&amp;""),LEN(mapRegion))=mapRegion),mapRegion),"Not Reported")</f>
        <v/>
      </c>
      <c r="CC242" s="76">
        <f>IF($BY242=0,"",IF(TRIM($W242&amp;"")="REO","REO",IF(TRIM($W242&amp;"")="FC","Foreclosure",IF(TRIM($W242&amp;"")="90+","90+ Days Delinquent",IF(TRIM($W242&amp;"")="60","60 Days Delinquent",IF(TRIM($W242&amp;"")="30","30 Days Delinquent",IF($X242="Non-Performing Matured Balloon","Non-Performing Matured Balloon",IF(OR($X242="Late Payment But Less Than 30 Days Delinquent",LEFT($X242&amp;"",20)="Payment Not Received"),"Late / In Grace (&lt;30 Days)",IF($X242="Performing Matured Balloon","Performing Matured Balloon","Current")))))))))</f>
        <v/>
      </c>
      <c r="CD242" s="78">
        <f>IF(OR($CC242="REO",$CC242="Foreclosure",$CC242="90+ Days Delinquent",$CC242="60 Days Delinquent",$CC242="30 Days Delinquent",$CC242="Non-Performing Matured Balloon"),1,0)</f>
        <v/>
      </c>
      <c r="CE242" s="76">
        <f>IF($AB242="Currently special serv","Currently Specially Serviced",IF($AB242="Returned to master serv","Previously Specially Serviced","Never Specially Serviced"))</f>
        <v/>
      </c>
      <c r="CF242" s="78">
        <f>IF($CE242="Currently Specially Serviced",1,0)</f>
        <v/>
      </c>
      <c r="CG242" s="76">
        <f>IF($AA242="Yes","Currently on Watchlist",IF($AA242="Previously","Previously on Watchlist","Never on Watchlist"))</f>
        <v/>
      </c>
      <c r="CH242" s="78">
        <f>IF($CG242="Currently on Watchlist",1,0)</f>
        <v/>
      </c>
      <c r="CI242" s="76">
        <f>IF($Z242="Full Defeasance","Fully Defeased",IF($Z242="Portion Of Loan Previously Defeased","Partially Defeased",IF($Z242="Defeasance Not Allowable","Not Defeased (Not Permitted)","Not Defeased")))</f>
        <v/>
      </c>
      <c r="CJ242" s="78">
        <f>IF($CI242="Fully Defeased",1,0)</f>
        <v/>
      </c>
      <c r="CK242" s="76">
        <f>IF($R242="IO","Full IO",IF(LEFT($R242&amp;"",7)="IO then","Partial IO","Amortizing"))</f>
        <v/>
      </c>
      <c r="CL242" s="78">
        <f>IF($CK242="Full IO",1,0)</f>
        <v/>
      </c>
      <c r="CM242" s="78">
        <f>IF($CK242="Partial IO",1,0)</f>
        <v/>
      </c>
      <c r="CN242" s="76">
        <f>IF(LEFT($F242&amp;"",10)="SPLIT_LOAN","Pari Passu Split","Standalone")</f>
        <v/>
      </c>
      <c r="CO242" s="78">
        <f>IF($CN242="Pari Passu Split",1,0)</f>
        <v/>
      </c>
      <c r="CP242" s="77">
        <f>IF(ISNUMBER($T242),YEAR($T242),"")</f>
        <v/>
      </c>
      <c r="CQ242" s="79">
        <f>IF(ISNUMBER($V242),$V242,IF(ISNUMBER($U242),$U242,""))</f>
        <v/>
      </c>
      <c r="CR242" s="77">
        <f>IF(ISNUMBER($CQ242),YEAR($CQ242),"")</f>
        <v/>
      </c>
      <c r="CS242" s="78">
        <f>IF(ISNUMBER($M242),MAX(0,$M242),IF(TRIM($M242&amp;"")="matured",0,""))</f>
        <v/>
      </c>
      <c r="CT242" s="78">
        <f>IF(AND(ISNUMBER($CS242),N($CS242)&lt;=mMatWindow),1,0)</f>
        <v/>
      </c>
      <c r="CU242" s="80">
        <f>IF(ISNUMBER($J242),$J242/100,"")</f>
        <v/>
      </c>
      <c r="CV242" s="81">
        <f>IF(ISNUMBER($AQ242),$AQ242,"")</f>
        <v/>
      </c>
      <c r="CW242" s="81">
        <f>IF(ISNUMBER($AR242),$AR242,"")</f>
        <v/>
      </c>
      <c r="CX242" s="82">
        <f>IF(ISNUMBER($AS242),$AS242/100,"")</f>
        <v/>
      </c>
      <c r="CY242" s="82">
        <f>IF(ISNUMBER($AT242),$AT242/100,"")</f>
        <v/>
      </c>
      <c r="CZ242" s="82">
        <f>IF(ISNUMBER($AU242),$AU242/100,"")</f>
        <v/>
      </c>
      <c r="DA242" s="82">
        <f>IF(ISNUMBER($AV242),$AV242/100,"")</f>
        <v/>
      </c>
      <c r="DB242" s="82">
        <f>IF(ISNUMBER($AW242),$AW242/100,"")</f>
        <v/>
      </c>
      <c r="DC242" s="82">
        <f>IF(ISNUMBER($AX242),$AX242/100,"")</f>
        <v/>
      </c>
      <c r="DD242" s="77">
        <f>IFERROR(VALUE(LEFT(TRIM($AO242&amp;""),4)),"")</f>
        <v/>
      </c>
      <c r="DE242" s="78">
        <f>IF(AND($BY242=1,$BX242=1,OR(fDeal="All Deals",$BU242=fDeal),OR(fEntity="All Entities",$BV242=fEntity),OR(fPType="All Property Types",$BZ242=fPType),OR(fDefeased="Include",$CJ242=0)),1,0)</f>
        <v/>
      </c>
      <c r="DF242" s="83">
        <f>$DE242*N($I242)</f>
        <v/>
      </c>
      <c r="DG242" s="78">
        <f>IF($DE242=1,IF(COUNTIFS($F$8:$F242,$F242,$DE$8:$DE242,1)=1,1,0),0)</f>
        <v/>
      </c>
      <c r="DH242" s="83">
        <f>IF($DG242=1,SUMIFS($DF$8:$DF$1600,$F$8:$F$1600,$F242),0)</f>
        <v/>
      </c>
      <c r="DI242" s="78">
        <f>IF($DG242=1,COUNTIFS($F$8:$F$1600,$F242,$DE$8:$DE$1600,1),0)</f>
        <v/>
      </c>
      <c r="DJ242" s="84">
        <f>IF($DG242=1,$DH242+(100000-ROW())/mTieBreak,0)</f>
        <v/>
      </c>
    </row>
    <row r="243">
      <c r="B243" s="68" t="n">
        <v>46</v>
      </c>
      <c r="C243" s="69" t="inlineStr">
        <is>
          <t>BBC19C03</t>
        </is>
      </c>
      <c r="D243" s="69" t="inlineStr">
        <is>
          <t>46.000</t>
        </is>
      </c>
      <c r="E243" s="69" t="inlineStr">
        <is>
          <t>Best Western Plus Fairburn Atlanta Southwest</t>
        </is>
      </c>
      <c r="F243" s="69" t="inlineStr">
        <is>
          <t>LNBBC19C03-46.000</t>
        </is>
      </c>
      <c r="G243" s="70" t="n"/>
      <c r="H243" s="71" t="n">
        <v>4750000</v>
      </c>
      <c r="I243" s="71" t="n">
        <v>3938895.099999001</v>
      </c>
      <c r="J243" s="72" t="n">
        <v>5.05</v>
      </c>
      <c r="K243" s="69" t="inlineStr">
        <is>
          <t>Fixed rate</t>
        </is>
      </c>
      <c r="L243" s="68" t="n">
        <v>120</v>
      </c>
      <c r="M243" s="68" t="n">
        <v>32</v>
      </c>
      <c r="N243" s="68" t="n">
        <v>300</v>
      </c>
      <c r="O243" s="68" t="n"/>
      <c r="P243" s="68" t="n"/>
      <c r="Q243" s="68" t="n">
        <v>88</v>
      </c>
      <c r="R243" s="69" t="n"/>
      <c r="S243" s="69" t="inlineStr">
        <is>
          <t>No</t>
        </is>
      </c>
      <c r="T243" s="73" t="n">
        <v>43586</v>
      </c>
      <c r="U243" s="73" t="n">
        <v>47239</v>
      </c>
      <c r="V243" s="73" t="n"/>
      <c r="W243" s="69" t="n"/>
      <c r="X243" s="69" t="inlineStr">
        <is>
          <t>Current</t>
        </is>
      </c>
      <c r="Y243" s="68" t="n"/>
      <c r="Z243" s="69" t="inlineStr">
        <is>
          <t>No Defeasance Occurred</t>
        </is>
      </c>
      <c r="AA243" s="69" t="inlineStr">
        <is>
          <t>Yes</t>
        </is>
      </c>
      <c r="AB243" s="69" t="inlineStr">
        <is>
          <t>Never special serv</t>
        </is>
      </c>
      <c r="AC243" s="73" t="n"/>
      <c r="AD243" s="69" t="n"/>
      <c r="AE243" s="69" t="n"/>
      <c r="AF243" s="69" t="inlineStr">
        <is>
          <t>GA</t>
        </is>
      </c>
      <c r="AG243" s="69" t="inlineStr">
        <is>
          <t>Fairburn</t>
        </is>
      </c>
      <c r="AH243" s="69" t="inlineStr">
        <is>
          <t>Atlanta-Sandy Springs-Roswell, GA</t>
        </is>
      </c>
      <c r="AI243" s="69" t="inlineStr">
        <is>
          <t>South / Atlantic</t>
        </is>
      </c>
      <c r="AJ243" s="69" t="inlineStr">
        <is>
          <t>HT</t>
        </is>
      </c>
      <c r="AK243" s="69" t="inlineStr">
        <is>
          <t>Limited Service</t>
        </is>
      </c>
      <c r="AL243" s="68" t="n">
        <v>1</v>
      </c>
      <c r="AM243" s="68" t="n">
        <v>74</v>
      </c>
      <c r="AN243" s="68" t="n"/>
      <c r="AO243" s="69" t="inlineStr">
        <is>
          <t>2007</t>
        </is>
      </c>
      <c r="AP243" s="70" t="n">
        <v>2016</v>
      </c>
      <c r="AQ243" s="74" t="n">
        <v>1.87</v>
      </c>
      <c r="AR243" s="74" t="n">
        <v>0.04</v>
      </c>
      <c r="AS243" s="74" t="n">
        <v>64.5</v>
      </c>
      <c r="AT243" s="74" t="n">
        <v>53.59</v>
      </c>
      <c r="AU243" s="74" t="n">
        <v>48.4</v>
      </c>
      <c r="AV243" s="74" t="n">
        <v>13.184237053</v>
      </c>
      <c r="AW243" s="74" t="n">
        <v>0.793699228</v>
      </c>
      <c r="AX243" s="75" t="n">
        <v>52</v>
      </c>
      <c r="AY243" s="71" t="n">
        <v>7350000</v>
      </c>
      <c r="AZ243" s="71" t="n">
        <v>7350000</v>
      </c>
      <c r="BA243" s="71" t="n">
        <v>626251.26</v>
      </c>
      <c r="BB243" s="71" t="n">
        <v>3617.14</v>
      </c>
      <c r="BC243" s="69" t="inlineStr">
        <is>
          <t>Refinance</t>
        </is>
      </c>
      <c r="BD243" s="69" t="inlineStr">
        <is>
          <t>N</t>
        </is>
      </c>
      <c r="BE243" s="71" t="n"/>
      <c r="BF243" s="71" t="n"/>
      <c r="BG243" s="71" t="n"/>
      <c r="BH243" s="71" t="n">
        <v>0</v>
      </c>
      <c r="BI243" s="71" t="n">
        <v>0</v>
      </c>
      <c r="BJ243" s="69" t="inlineStr">
        <is>
          <t>Y</t>
        </is>
      </c>
      <c r="BK243" s="69" t="n"/>
      <c r="BL243" s="75" t="n"/>
      <c r="BM243" s="73" t="n"/>
      <c r="BN243" s="69" t="n"/>
      <c r="BO243" s="69" t="inlineStr">
        <is>
          <t>Societe Generale</t>
        </is>
      </c>
      <c r="BP243" s="69" t="inlineStr">
        <is>
          <t>Midland Loan Services</t>
        </is>
      </c>
      <c r="BQ243" s="69" t="inlineStr">
        <is>
          <t>K-Star Asset Management LLC</t>
        </is>
      </c>
      <c r="BR243" s="69" t="n"/>
      <c r="BS243" s="73" t="n">
        <v>46276</v>
      </c>
      <c r="BU243" s="76">
        <f>IF($C243="","",IFERROR(INDEX(dmName,MATCH($C243,dmID,0)),"Unmapped"))</f>
        <v/>
      </c>
      <c r="BV243" s="76">
        <f>IF($C243="","",IFERROR(INDEX(dmEntity,MATCH($C243,dmID,0)),"Unmapped"))</f>
        <v/>
      </c>
      <c r="BW243" s="77">
        <f>IF($C243="","",IFERROR(INDEX(dmVintage,MATCH($C243,dmID,0)),""))</f>
        <v/>
      </c>
      <c r="BX243" s="78">
        <f>IFERROR(INDEX(dmInclude,MATCH($C243,dmID,0)),0)</f>
        <v/>
      </c>
      <c r="BY243" s="78">
        <f>IF(N($I243)&gt;0,1,0)</f>
        <v/>
      </c>
      <c r="BZ243" s="76">
        <f>IF($AJ243="","Other / Leased Fee",IFERROR(INDEX(mapPTGroup,MATCH(LEFT(TRIM($AJ243),2),mapPTCode,0)),"Other / Leased Fee"))</f>
        <v/>
      </c>
      <c r="CA243" s="76">
        <f>IF(TRIM($AF243&amp;"")="","NR",LEFT(TRIM($AF243),2))</f>
        <v/>
      </c>
      <c r="CB243" s="76">
        <f>IFERROR(LOOKUP(2,1/(LEFT(TRIM($AI243&amp;""),LEN(mapRegion))=mapRegion),mapRegion),"Not Reported")</f>
        <v/>
      </c>
      <c r="CC243" s="76">
        <f>IF($BY243=0,"",IF(TRIM($W243&amp;"")="REO","REO",IF(TRIM($W243&amp;"")="FC","Foreclosure",IF(TRIM($W243&amp;"")="90+","90+ Days Delinquent",IF(TRIM($W243&amp;"")="60","60 Days Delinquent",IF(TRIM($W243&amp;"")="30","30 Days Delinquent",IF($X243="Non-Performing Matured Balloon","Non-Performing Matured Balloon",IF(OR($X243="Late Payment But Less Than 30 Days Delinquent",LEFT($X243&amp;"",20)="Payment Not Received"),"Late / In Grace (&lt;30 Days)",IF($X243="Performing Matured Balloon","Performing Matured Balloon","Current")))))))))</f>
        <v/>
      </c>
      <c r="CD243" s="78">
        <f>IF(OR($CC243="REO",$CC243="Foreclosure",$CC243="90+ Days Delinquent",$CC243="60 Days Delinquent",$CC243="30 Days Delinquent",$CC243="Non-Performing Matured Balloon"),1,0)</f>
        <v/>
      </c>
      <c r="CE243" s="76">
        <f>IF($AB243="Currently special serv","Currently Specially Serviced",IF($AB243="Returned to master serv","Previously Specially Serviced","Never Specially Serviced"))</f>
        <v/>
      </c>
      <c r="CF243" s="78">
        <f>IF($CE243="Currently Specially Serviced",1,0)</f>
        <v/>
      </c>
      <c r="CG243" s="76">
        <f>IF($AA243="Yes","Currently on Watchlist",IF($AA243="Previously","Previously on Watchlist","Never on Watchlist"))</f>
        <v/>
      </c>
      <c r="CH243" s="78">
        <f>IF($CG243="Currently on Watchlist",1,0)</f>
        <v/>
      </c>
      <c r="CI243" s="76">
        <f>IF($Z243="Full Defeasance","Fully Defeased",IF($Z243="Portion Of Loan Previously Defeased","Partially Defeased",IF($Z243="Defeasance Not Allowable","Not Defeased (Not Permitted)","Not Defeased")))</f>
        <v/>
      </c>
      <c r="CJ243" s="78">
        <f>IF($CI243="Fully Defeased",1,0)</f>
        <v/>
      </c>
      <c r="CK243" s="76">
        <f>IF($R243="IO","Full IO",IF(LEFT($R243&amp;"",7)="IO then","Partial IO","Amortizing"))</f>
        <v/>
      </c>
      <c r="CL243" s="78">
        <f>IF($CK243="Full IO",1,0)</f>
        <v/>
      </c>
      <c r="CM243" s="78">
        <f>IF($CK243="Partial IO",1,0)</f>
        <v/>
      </c>
      <c r="CN243" s="76">
        <f>IF(LEFT($F243&amp;"",10)="SPLIT_LOAN","Pari Passu Split","Standalone")</f>
        <v/>
      </c>
      <c r="CO243" s="78">
        <f>IF($CN243="Pari Passu Split",1,0)</f>
        <v/>
      </c>
      <c r="CP243" s="77">
        <f>IF(ISNUMBER($T243),YEAR($T243),"")</f>
        <v/>
      </c>
      <c r="CQ243" s="79">
        <f>IF(ISNUMBER($V243),$V243,IF(ISNUMBER($U243),$U243,""))</f>
        <v/>
      </c>
      <c r="CR243" s="77">
        <f>IF(ISNUMBER($CQ243),YEAR($CQ243),"")</f>
        <v/>
      </c>
      <c r="CS243" s="78">
        <f>IF(ISNUMBER($M243),MAX(0,$M243),IF(TRIM($M243&amp;"")="matured",0,""))</f>
        <v/>
      </c>
      <c r="CT243" s="78">
        <f>IF(AND(ISNUMBER($CS243),N($CS243)&lt;=mMatWindow),1,0)</f>
        <v/>
      </c>
      <c r="CU243" s="80">
        <f>IF(ISNUMBER($J243),$J243/100,"")</f>
        <v/>
      </c>
      <c r="CV243" s="81">
        <f>IF(ISNUMBER($AQ243),$AQ243,"")</f>
        <v/>
      </c>
      <c r="CW243" s="81">
        <f>IF(ISNUMBER($AR243),$AR243,"")</f>
        <v/>
      </c>
      <c r="CX243" s="82">
        <f>IF(ISNUMBER($AS243),$AS243/100,"")</f>
        <v/>
      </c>
      <c r="CY243" s="82">
        <f>IF(ISNUMBER($AT243),$AT243/100,"")</f>
        <v/>
      </c>
      <c r="CZ243" s="82">
        <f>IF(ISNUMBER($AU243),$AU243/100,"")</f>
        <v/>
      </c>
      <c r="DA243" s="82">
        <f>IF(ISNUMBER($AV243),$AV243/100,"")</f>
        <v/>
      </c>
      <c r="DB243" s="82">
        <f>IF(ISNUMBER($AW243),$AW243/100,"")</f>
        <v/>
      </c>
      <c r="DC243" s="82">
        <f>IF(ISNUMBER($AX243),$AX243/100,"")</f>
        <v/>
      </c>
      <c r="DD243" s="77">
        <f>IFERROR(VALUE(LEFT(TRIM($AO243&amp;""),4)),"")</f>
        <v/>
      </c>
      <c r="DE243" s="78">
        <f>IF(AND($BY243=1,$BX243=1,OR(fDeal="All Deals",$BU243=fDeal),OR(fEntity="All Entities",$BV243=fEntity),OR(fPType="All Property Types",$BZ243=fPType),OR(fDefeased="Include",$CJ243=0)),1,0)</f>
        <v/>
      </c>
      <c r="DF243" s="83">
        <f>$DE243*N($I243)</f>
        <v/>
      </c>
      <c r="DG243" s="78">
        <f>IF($DE243=1,IF(COUNTIFS($F$8:$F243,$F243,$DE$8:$DE243,1)=1,1,0),0)</f>
        <v/>
      </c>
      <c r="DH243" s="83">
        <f>IF($DG243=1,SUMIFS($DF$8:$DF$1600,$F$8:$F$1600,$F243),0)</f>
        <v/>
      </c>
      <c r="DI243" s="78">
        <f>IF($DG243=1,COUNTIFS($F$8:$F$1600,$F243,$DE$8:$DE$1600,1),0)</f>
        <v/>
      </c>
      <c r="DJ243" s="84">
        <f>IF($DG243=1,$DH243+(100000-ROW())/mTieBreak,0)</f>
        <v/>
      </c>
    </row>
    <row r="244">
      <c r="B244" s="68" t="n">
        <v>47</v>
      </c>
      <c r="C244" s="69" t="inlineStr">
        <is>
          <t>BBC19C03</t>
        </is>
      </c>
      <c r="D244" s="69" t="inlineStr">
        <is>
          <t>47.000</t>
        </is>
      </c>
      <c r="E244" s="69" t="inlineStr">
        <is>
          <t>Hampton Inn - Santa Rosa</t>
        </is>
      </c>
      <c r="F244" s="69" t="inlineStr">
        <is>
          <t>LNBBC19C03-47.000</t>
        </is>
      </c>
      <c r="G244" s="70" t="n"/>
      <c r="H244" s="71" t="n">
        <v>4500000</v>
      </c>
      <c r="I244" s="71" t="n">
        <v>3760025.740002</v>
      </c>
      <c r="J244" s="72" t="n">
        <v>5.35</v>
      </c>
      <c r="K244" s="69" t="inlineStr">
        <is>
          <t>Fixed rate</t>
        </is>
      </c>
      <c r="L244" s="68" t="n">
        <v>120</v>
      </c>
      <c r="M244" s="68" t="n">
        <v>32</v>
      </c>
      <c r="N244" s="68" t="n">
        <v>300</v>
      </c>
      <c r="O244" s="68" t="n"/>
      <c r="P244" s="68" t="n"/>
      <c r="Q244" s="68" t="n">
        <v>88</v>
      </c>
      <c r="R244" s="69" t="n"/>
      <c r="S244" s="69" t="inlineStr">
        <is>
          <t>No</t>
        </is>
      </c>
      <c r="T244" s="73" t="n">
        <v>43586</v>
      </c>
      <c r="U244" s="73" t="n">
        <v>47239</v>
      </c>
      <c r="V244" s="73" t="n"/>
      <c r="W244" s="69" t="n"/>
      <c r="X244" s="69" t="inlineStr">
        <is>
          <t>Current</t>
        </is>
      </c>
      <c r="Y244" s="68" t="n"/>
      <c r="Z244" s="69" t="inlineStr">
        <is>
          <t>Full Defeasance</t>
        </is>
      </c>
      <c r="AA244" s="69" t="inlineStr">
        <is>
          <t>Previously</t>
        </is>
      </c>
      <c r="AB244" s="69" t="inlineStr">
        <is>
          <t>Never special serv</t>
        </is>
      </c>
      <c r="AC244" s="73" t="n"/>
      <c r="AD244" s="69" t="n"/>
      <c r="AE244" s="69" t="n"/>
      <c r="AF244" s="69" t="inlineStr">
        <is>
          <t>NM</t>
        </is>
      </c>
      <c r="AG244" s="69" t="inlineStr">
        <is>
          <t>Santa Rosa</t>
        </is>
      </c>
      <c r="AH244" s="69" t="n"/>
      <c r="AI244" s="69" t="inlineStr">
        <is>
          <t>West / Mountain</t>
        </is>
      </c>
      <c r="AJ244" s="69" t="inlineStr">
        <is>
          <t>HT</t>
        </is>
      </c>
      <c r="AK244" s="69" t="inlineStr">
        <is>
          <t>Limited Service</t>
        </is>
      </c>
      <c r="AL244" s="68" t="n">
        <v>1</v>
      </c>
      <c r="AM244" s="68" t="n">
        <v>64</v>
      </c>
      <c r="AN244" s="68" t="n"/>
      <c r="AO244" s="69" t="inlineStr">
        <is>
          <t>2008</t>
        </is>
      </c>
      <c r="AP244" s="70" t="n">
        <v>2015</v>
      </c>
      <c r="AQ244" s="74" t="n">
        <v>2.15</v>
      </c>
      <c r="AR244" s="74" t="n">
        <v>3.06</v>
      </c>
      <c r="AS244" s="74" t="n">
        <v>61.6</v>
      </c>
      <c r="AT244" s="74" t="n">
        <v>51.51</v>
      </c>
      <c r="AU244" s="74" t="n">
        <v>46.7</v>
      </c>
      <c r="AV244" s="74" t="n">
        <v>15.632142</v>
      </c>
      <c r="AW244" s="74" t="n">
        <v>25.684026301</v>
      </c>
      <c r="AX244" s="75" t="n">
        <v>95</v>
      </c>
      <c r="AY244" s="71" t="n">
        <v>7300000</v>
      </c>
      <c r="AZ244" s="71" t="n">
        <v>7300000</v>
      </c>
      <c r="BA244" s="71" t="n">
        <v>703446.39</v>
      </c>
      <c r="BB244" s="71" t="n">
        <v>1001300</v>
      </c>
      <c r="BC244" s="69" t="inlineStr">
        <is>
          <t>Refinance</t>
        </is>
      </c>
      <c r="BD244" s="69" t="inlineStr">
        <is>
          <t>N</t>
        </is>
      </c>
      <c r="BE244" s="71" t="n"/>
      <c r="BF244" s="71" t="n"/>
      <c r="BG244" s="71" t="n"/>
      <c r="BH244" s="71" t="n">
        <v>0</v>
      </c>
      <c r="BI244" s="71" t="n">
        <v>0</v>
      </c>
      <c r="BJ244" s="69" t="inlineStr">
        <is>
          <t>N</t>
        </is>
      </c>
      <c r="BK244" s="69" t="n"/>
      <c r="BL244" s="75" t="n"/>
      <c r="BM244" s="73" t="n"/>
      <c r="BN244" s="69" t="n"/>
      <c r="BO244" s="69" t="inlineStr">
        <is>
          <t>KeyBank</t>
        </is>
      </c>
      <c r="BP244" s="69" t="inlineStr">
        <is>
          <t>Midland Loan Services</t>
        </is>
      </c>
      <c r="BQ244" s="69" t="inlineStr">
        <is>
          <t>K-Star Asset Management LLC</t>
        </is>
      </c>
      <c r="BR244" s="69" t="n"/>
      <c r="BS244" s="73" t="n">
        <v>46276</v>
      </c>
      <c r="BU244" s="76">
        <f>IF($C244="","",IFERROR(INDEX(dmName,MATCH($C244,dmID,0)),"Unmapped"))</f>
        <v/>
      </c>
      <c r="BV244" s="76">
        <f>IF($C244="","",IFERROR(INDEX(dmEntity,MATCH($C244,dmID,0)),"Unmapped"))</f>
        <v/>
      </c>
      <c r="BW244" s="77">
        <f>IF($C244="","",IFERROR(INDEX(dmVintage,MATCH($C244,dmID,0)),""))</f>
        <v/>
      </c>
      <c r="BX244" s="78">
        <f>IFERROR(INDEX(dmInclude,MATCH($C244,dmID,0)),0)</f>
        <v/>
      </c>
      <c r="BY244" s="78">
        <f>IF(N($I244)&gt;0,1,0)</f>
        <v/>
      </c>
      <c r="BZ244" s="76">
        <f>IF($AJ244="","Other / Leased Fee",IFERROR(INDEX(mapPTGroup,MATCH(LEFT(TRIM($AJ244),2),mapPTCode,0)),"Other / Leased Fee"))</f>
        <v/>
      </c>
      <c r="CA244" s="76">
        <f>IF(TRIM($AF244&amp;"")="","NR",LEFT(TRIM($AF244),2))</f>
        <v/>
      </c>
      <c r="CB244" s="76">
        <f>IFERROR(LOOKUP(2,1/(LEFT(TRIM($AI244&amp;""),LEN(mapRegion))=mapRegion),mapRegion),"Not Reported")</f>
        <v/>
      </c>
      <c r="CC244" s="76">
        <f>IF($BY244=0,"",IF(TRIM($W244&amp;"")="REO","REO",IF(TRIM($W244&amp;"")="FC","Foreclosure",IF(TRIM($W244&amp;"")="90+","90+ Days Delinquent",IF(TRIM($W244&amp;"")="60","60 Days Delinquent",IF(TRIM($W244&amp;"")="30","30 Days Delinquent",IF($X244="Non-Performing Matured Balloon","Non-Performing Matured Balloon",IF(OR($X244="Late Payment But Less Than 30 Days Delinquent",LEFT($X244&amp;"",20)="Payment Not Received"),"Late / In Grace (&lt;30 Days)",IF($X244="Performing Matured Balloon","Performing Matured Balloon","Current")))))))))</f>
        <v/>
      </c>
      <c r="CD244" s="78">
        <f>IF(OR($CC244="REO",$CC244="Foreclosure",$CC244="90+ Days Delinquent",$CC244="60 Days Delinquent",$CC244="30 Days Delinquent",$CC244="Non-Performing Matured Balloon"),1,0)</f>
        <v/>
      </c>
      <c r="CE244" s="76">
        <f>IF($AB244="Currently special serv","Currently Specially Serviced",IF($AB244="Returned to master serv","Previously Specially Serviced","Never Specially Serviced"))</f>
        <v/>
      </c>
      <c r="CF244" s="78">
        <f>IF($CE244="Currently Specially Serviced",1,0)</f>
        <v/>
      </c>
      <c r="CG244" s="76">
        <f>IF($AA244="Yes","Currently on Watchlist",IF($AA244="Previously","Previously on Watchlist","Never on Watchlist"))</f>
        <v/>
      </c>
      <c r="CH244" s="78">
        <f>IF($CG244="Currently on Watchlist",1,0)</f>
        <v/>
      </c>
      <c r="CI244" s="76">
        <f>IF($Z244="Full Defeasance","Fully Defeased",IF($Z244="Portion Of Loan Previously Defeased","Partially Defeased",IF($Z244="Defeasance Not Allowable","Not Defeased (Not Permitted)","Not Defeased")))</f>
        <v/>
      </c>
      <c r="CJ244" s="78">
        <f>IF($CI244="Fully Defeased",1,0)</f>
        <v/>
      </c>
      <c r="CK244" s="76">
        <f>IF($R244="IO","Full IO",IF(LEFT($R244&amp;"",7)="IO then","Partial IO","Amortizing"))</f>
        <v/>
      </c>
      <c r="CL244" s="78">
        <f>IF($CK244="Full IO",1,0)</f>
        <v/>
      </c>
      <c r="CM244" s="78">
        <f>IF($CK244="Partial IO",1,0)</f>
        <v/>
      </c>
      <c r="CN244" s="76">
        <f>IF(LEFT($F244&amp;"",10)="SPLIT_LOAN","Pari Passu Split","Standalone")</f>
        <v/>
      </c>
      <c r="CO244" s="78">
        <f>IF($CN244="Pari Passu Split",1,0)</f>
        <v/>
      </c>
      <c r="CP244" s="77">
        <f>IF(ISNUMBER($T244),YEAR($T244),"")</f>
        <v/>
      </c>
      <c r="CQ244" s="79">
        <f>IF(ISNUMBER($V244),$V244,IF(ISNUMBER($U244),$U244,""))</f>
        <v/>
      </c>
      <c r="CR244" s="77">
        <f>IF(ISNUMBER($CQ244),YEAR($CQ244),"")</f>
        <v/>
      </c>
      <c r="CS244" s="78">
        <f>IF(ISNUMBER($M244),MAX(0,$M244),IF(TRIM($M244&amp;"")="matured",0,""))</f>
        <v/>
      </c>
      <c r="CT244" s="78">
        <f>IF(AND(ISNUMBER($CS244),N($CS244)&lt;=mMatWindow),1,0)</f>
        <v/>
      </c>
      <c r="CU244" s="80">
        <f>IF(ISNUMBER($J244),$J244/100,"")</f>
        <v/>
      </c>
      <c r="CV244" s="81">
        <f>IF(ISNUMBER($AQ244),$AQ244,"")</f>
        <v/>
      </c>
      <c r="CW244" s="81">
        <f>IF(ISNUMBER($AR244),$AR244,"")</f>
        <v/>
      </c>
      <c r="CX244" s="82">
        <f>IF(ISNUMBER($AS244),$AS244/100,"")</f>
        <v/>
      </c>
      <c r="CY244" s="82">
        <f>IF(ISNUMBER($AT244),$AT244/100,"")</f>
        <v/>
      </c>
      <c r="CZ244" s="82">
        <f>IF(ISNUMBER($AU244),$AU244/100,"")</f>
        <v/>
      </c>
      <c r="DA244" s="82">
        <f>IF(ISNUMBER($AV244),$AV244/100,"")</f>
        <v/>
      </c>
      <c r="DB244" s="82">
        <f>IF(ISNUMBER($AW244),$AW244/100,"")</f>
        <v/>
      </c>
      <c r="DC244" s="82">
        <f>IF(ISNUMBER($AX244),$AX244/100,"")</f>
        <v/>
      </c>
      <c r="DD244" s="77">
        <f>IFERROR(VALUE(LEFT(TRIM($AO244&amp;""),4)),"")</f>
        <v/>
      </c>
      <c r="DE244" s="78">
        <f>IF(AND($BY244=1,$BX244=1,OR(fDeal="All Deals",$BU244=fDeal),OR(fEntity="All Entities",$BV244=fEntity),OR(fPType="All Property Types",$BZ244=fPType),OR(fDefeased="Include",$CJ244=0)),1,0)</f>
        <v/>
      </c>
      <c r="DF244" s="83">
        <f>$DE244*N($I244)</f>
        <v/>
      </c>
      <c r="DG244" s="78">
        <f>IF($DE244=1,IF(COUNTIFS($F$8:$F244,$F244,$DE$8:$DE244,1)=1,1,0),0)</f>
        <v/>
      </c>
      <c r="DH244" s="83">
        <f>IF($DG244=1,SUMIFS($DF$8:$DF$1600,$F$8:$F$1600,$F244),0)</f>
        <v/>
      </c>
      <c r="DI244" s="78">
        <f>IF($DG244=1,COUNTIFS($F$8:$F$1600,$F244,$DE$8:$DE$1600,1),0)</f>
        <v/>
      </c>
      <c r="DJ244" s="84">
        <f>IF($DG244=1,$DH244+(100000-ROW())/mTieBreak,0)</f>
        <v/>
      </c>
    </row>
    <row r="245">
      <c r="B245" s="68" t="n">
        <v>48</v>
      </c>
      <c r="C245" s="69" t="inlineStr">
        <is>
          <t>BBC19C03</t>
        </is>
      </c>
      <c r="D245" s="69" t="inlineStr">
        <is>
          <t>48.000</t>
        </is>
      </c>
      <c r="E245" s="69" t="inlineStr">
        <is>
          <t>Best Western Long Beach Inn</t>
        </is>
      </c>
      <c r="F245" s="69" t="inlineStr">
        <is>
          <t>LNBBC19C03-48.000</t>
        </is>
      </c>
      <c r="G245" s="70" t="n"/>
      <c r="H245" s="71" t="n">
        <v>4500000</v>
      </c>
      <c r="I245" s="71" t="n">
        <v>4006492.6000005</v>
      </c>
      <c r="J245" s="72" t="n">
        <v>5.84</v>
      </c>
      <c r="K245" s="69" t="inlineStr">
        <is>
          <t>Fixed rate</t>
        </is>
      </c>
      <c r="L245" s="68" t="n">
        <v>120</v>
      </c>
      <c r="M245" s="68" t="n">
        <v>29</v>
      </c>
      <c r="N245" s="68" t="n">
        <v>360</v>
      </c>
      <c r="O245" s="68" t="n"/>
      <c r="P245" s="68" t="n"/>
      <c r="Q245" s="68" t="n">
        <v>91</v>
      </c>
      <c r="R245" s="69" t="n"/>
      <c r="S245" s="69" t="inlineStr">
        <is>
          <t>No</t>
        </is>
      </c>
      <c r="T245" s="73" t="n">
        <v>43497</v>
      </c>
      <c r="U245" s="73" t="n">
        <v>47150</v>
      </c>
      <c r="V245" s="73" t="n"/>
      <c r="W245" s="69" t="n"/>
      <c r="X245" s="69" t="inlineStr">
        <is>
          <t>Current</t>
        </is>
      </c>
      <c r="Y245" s="68" t="n"/>
      <c r="Z245" s="69" t="inlineStr">
        <is>
          <t>No Defeasance Occurred</t>
        </is>
      </c>
      <c r="AA245" s="69" t="inlineStr">
        <is>
          <t>Previously</t>
        </is>
      </c>
      <c r="AB245" s="69" t="inlineStr">
        <is>
          <t>Never special serv</t>
        </is>
      </c>
      <c r="AC245" s="73" t="n"/>
      <c r="AD245" s="69" t="n"/>
      <c r="AE245" s="69" t="n"/>
      <c r="AF245" s="69" t="inlineStr">
        <is>
          <t>WA</t>
        </is>
      </c>
      <c r="AG245" s="69" t="inlineStr">
        <is>
          <t>Long Beach</t>
        </is>
      </c>
      <c r="AH245" s="69" t="n"/>
      <c r="AI245" s="69" t="inlineStr">
        <is>
          <t>West / Pacific North</t>
        </is>
      </c>
      <c r="AJ245" s="69" t="inlineStr">
        <is>
          <t>HT</t>
        </is>
      </c>
      <c r="AK245" s="69" t="inlineStr">
        <is>
          <t>Limited Service</t>
        </is>
      </c>
      <c r="AL245" s="68" t="n">
        <v>1</v>
      </c>
      <c r="AM245" s="68" t="n">
        <v>50</v>
      </c>
      <c r="AN245" s="68" t="n"/>
      <c r="AO245" s="69" t="inlineStr">
        <is>
          <t>1989</t>
        </is>
      </c>
      <c r="AP245" s="70" t="n">
        <v>2015</v>
      </c>
      <c r="AQ245" s="74" t="n">
        <v>1.73</v>
      </c>
      <c r="AR245" s="74" t="n">
        <v>2.36</v>
      </c>
      <c r="AS245" s="74" t="n">
        <v>66.90000000000001</v>
      </c>
      <c r="AT245" s="74" t="n">
        <v>59.8</v>
      </c>
      <c r="AU245" s="74" t="n">
        <v>56.7</v>
      </c>
      <c r="AV245" s="74" t="n">
        <v>12.234587333</v>
      </c>
      <c r="AW245" s="74" t="n">
        <v>18.727275573</v>
      </c>
      <c r="AX245" s="75" t="n">
        <v>53</v>
      </c>
      <c r="AY245" s="71" t="n">
        <v>6700000</v>
      </c>
      <c r="AZ245" s="71" t="n">
        <v>6700000</v>
      </c>
      <c r="BA245" s="71" t="n">
        <v>550556.4300000001</v>
      </c>
      <c r="BB245" s="71" t="n">
        <v>750306.91</v>
      </c>
      <c r="BC245" s="69" t="inlineStr">
        <is>
          <t>Refinance</t>
        </is>
      </c>
      <c r="BD245" s="69" t="inlineStr">
        <is>
          <t>N</t>
        </is>
      </c>
      <c r="BE245" s="71" t="n"/>
      <c r="BF245" s="71" t="n"/>
      <c r="BG245" s="71" t="n"/>
      <c r="BH245" s="71" t="n">
        <v>0</v>
      </c>
      <c r="BI245" s="71" t="n">
        <v>0</v>
      </c>
      <c r="BJ245" s="69" t="inlineStr">
        <is>
          <t>N</t>
        </is>
      </c>
      <c r="BK245" s="69" t="n"/>
      <c r="BL245" s="75" t="n"/>
      <c r="BM245" s="73" t="n"/>
      <c r="BN245" s="69" t="n"/>
      <c r="BO245" s="69" t="inlineStr">
        <is>
          <t>Societe Generale</t>
        </is>
      </c>
      <c r="BP245" s="69" t="inlineStr">
        <is>
          <t>Midland Loan Services</t>
        </is>
      </c>
      <c r="BQ245" s="69" t="inlineStr">
        <is>
          <t>K-Star Asset Management LLC</t>
        </is>
      </c>
      <c r="BR245" s="69" t="n"/>
      <c r="BS245" s="73" t="n">
        <v>46276</v>
      </c>
      <c r="BU245" s="76">
        <f>IF($C245="","",IFERROR(INDEX(dmName,MATCH($C245,dmID,0)),"Unmapped"))</f>
        <v/>
      </c>
      <c r="BV245" s="76">
        <f>IF($C245="","",IFERROR(INDEX(dmEntity,MATCH($C245,dmID,0)),"Unmapped"))</f>
        <v/>
      </c>
      <c r="BW245" s="77">
        <f>IF($C245="","",IFERROR(INDEX(dmVintage,MATCH($C245,dmID,0)),""))</f>
        <v/>
      </c>
      <c r="BX245" s="78">
        <f>IFERROR(INDEX(dmInclude,MATCH($C245,dmID,0)),0)</f>
        <v/>
      </c>
      <c r="BY245" s="78">
        <f>IF(N($I245)&gt;0,1,0)</f>
        <v/>
      </c>
      <c r="BZ245" s="76">
        <f>IF($AJ245="","Other / Leased Fee",IFERROR(INDEX(mapPTGroup,MATCH(LEFT(TRIM($AJ245),2),mapPTCode,0)),"Other / Leased Fee"))</f>
        <v/>
      </c>
      <c r="CA245" s="76">
        <f>IF(TRIM($AF245&amp;"")="","NR",LEFT(TRIM($AF245),2))</f>
        <v/>
      </c>
      <c r="CB245" s="76">
        <f>IFERROR(LOOKUP(2,1/(LEFT(TRIM($AI245&amp;""),LEN(mapRegion))=mapRegion),mapRegion),"Not Reported")</f>
        <v/>
      </c>
      <c r="CC245" s="76">
        <f>IF($BY245=0,"",IF(TRIM($W245&amp;"")="REO","REO",IF(TRIM($W245&amp;"")="FC","Foreclosure",IF(TRIM($W245&amp;"")="90+","90+ Days Delinquent",IF(TRIM($W245&amp;"")="60","60 Days Delinquent",IF(TRIM($W245&amp;"")="30","30 Days Delinquent",IF($X245="Non-Performing Matured Balloon","Non-Performing Matured Balloon",IF(OR($X245="Late Payment But Less Than 30 Days Delinquent",LEFT($X245&amp;"",20)="Payment Not Received"),"Late / In Grace (&lt;30 Days)",IF($X245="Performing Matured Balloon","Performing Matured Balloon","Current")))))))))</f>
        <v/>
      </c>
      <c r="CD245" s="78">
        <f>IF(OR($CC245="REO",$CC245="Foreclosure",$CC245="90+ Days Delinquent",$CC245="60 Days Delinquent",$CC245="30 Days Delinquent",$CC245="Non-Performing Matured Balloon"),1,0)</f>
        <v/>
      </c>
      <c r="CE245" s="76">
        <f>IF($AB245="Currently special serv","Currently Specially Serviced",IF($AB245="Returned to master serv","Previously Specially Serviced","Never Specially Serviced"))</f>
        <v/>
      </c>
      <c r="CF245" s="78">
        <f>IF($CE245="Currently Specially Serviced",1,0)</f>
        <v/>
      </c>
      <c r="CG245" s="76">
        <f>IF($AA245="Yes","Currently on Watchlist",IF($AA245="Previously","Previously on Watchlist","Never on Watchlist"))</f>
        <v/>
      </c>
      <c r="CH245" s="78">
        <f>IF($CG245="Currently on Watchlist",1,0)</f>
        <v/>
      </c>
      <c r="CI245" s="76">
        <f>IF($Z245="Full Defeasance","Fully Defeased",IF($Z245="Portion Of Loan Previously Defeased","Partially Defeased",IF($Z245="Defeasance Not Allowable","Not Defeased (Not Permitted)","Not Defeased")))</f>
        <v/>
      </c>
      <c r="CJ245" s="78">
        <f>IF($CI245="Fully Defeased",1,0)</f>
        <v/>
      </c>
      <c r="CK245" s="76">
        <f>IF($R245="IO","Full IO",IF(LEFT($R245&amp;"",7)="IO then","Partial IO","Amortizing"))</f>
        <v/>
      </c>
      <c r="CL245" s="78">
        <f>IF($CK245="Full IO",1,0)</f>
        <v/>
      </c>
      <c r="CM245" s="78">
        <f>IF($CK245="Partial IO",1,0)</f>
        <v/>
      </c>
      <c r="CN245" s="76">
        <f>IF(LEFT($F245&amp;"",10)="SPLIT_LOAN","Pari Passu Split","Standalone")</f>
        <v/>
      </c>
      <c r="CO245" s="78">
        <f>IF($CN245="Pari Passu Split",1,0)</f>
        <v/>
      </c>
      <c r="CP245" s="77">
        <f>IF(ISNUMBER($T245),YEAR($T245),"")</f>
        <v/>
      </c>
      <c r="CQ245" s="79">
        <f>IF(ISNUMBER($V245),$V245,IF(ISNUMBER($U245),$U245,""))</f>
        <v/>
      </c>
      <c r="CR245" s="77">
        <f>IF(ISNUMBER($CQ245),YEAR($CQ245),"")</f>
        <v/>
      </c>
      <c r="CS245" s="78">
        <f>IF(ISNUMBER($M245),MAX(0,$M245),IF(TRIM($M245&amp;"")="matured",0,""))</f>
        <v/>
      </c>
      <c r="CT245" s="78">
        <f>IF(AND(ISNUMBER($CS245),N($CS245)&lt;=mMatWindow),1,0)</f>
        <v/>
      </c>
      <c r="CU245" s="80">
        <f>IF(ISNUMBER($J245),$J245/100,"")</f>
        <v/>
      </c>
      <c r="CV245" s="81">
        <f>IF(ISNUMBER($AQ245),$AQ245,"")</f>
        <v/>
      </c>
      <c r="CW245" s="81">
        <f>IF(ISNUMBER($AR245),$AR245,"")</f>
        <v/>
      </c>
      <c r="CX245" s="82">
        <f>IF(ISNUMBER($AS245),$AS245/100,"")</f>
        <v/>
      </c>
      <c r="CY245" s="82">
        <f>IF(ISNUMBER($AT245),$AT245/100,"")</f>
        <v/>
      </c>
      <c r="CZ245" s="82">
        <f>IF(ISNUMBER($AU245),$AU245/100,"")</f>
        <v/>
      </c>
      <c r="DA245" s="82">
        <f>IF(ISNUMBER($AV245),$AV245/100,"")</f>
        <v/>
      </c>
      <c r="DB245" s="82">
        <f>IF(ISNUMBER($AW245),$AW245/100,"")</f>
        <v/>
      </c>
      <c r="DC245" s="82">
        <f>IF(ISNUMBER($AX245),$AX245/100,"")</f>
        <v/>
      </c>
      <c r="DD245" s="77">
        <f>IFERROR(VALUE(LEFT(TRIM($AO245&amp;""),4)),"")</f>
        <v/>
      </c>
      <c r="DE245" s="78">
        <f>IF(AND($BY245=1,$BX245=1,OR(fDeal="All Deals",$BU245=fDeal),OR(fEntity="All Entities",$BV245=fEntity),OR(fPType="All Property Types",$BZ245=fPType),OR(fDefeased="Include",$CJ245=0)),1,0)</f>
        <v/>
      </c>
      <c r="DF245" s="83">
        <f>$DE245*N($I245)</f>
        <v/>
      </c>
      <c r="DG245" s="78">
        <f>IF($DE245=1,IF(COUNTIFS($F$8:$F245,$F245,$DE$8:$DE245,1)=1,1,0),0)</f>
        <v/>
      </c>
      <c r="DH245" s="83">
        <f>IF($DG245=1,SUMIFS($DF$8:$DF$1600,$F$8:$F$1600,$F245),0)</f>
        <v/>
      </c>
      <c r="DI245" s="78">
        <f>IF($DG245=1,COUNTIFS($F$8:$F$1600,$F245,$DE$8:$DE$1600,1),0)</f>
        <v/>
      </c>
      <c r="DJ245" s="84">
        <f>IF($DG245=1,$DH245+(100000-ROW())/mTieBreak,0)</f>
        <v/>
      </c>
    </row>
    <row r="246">
      <c r="B246" s="68" t="n">
        <v>49</v>
      </c>
      <c r="C246" s="69" t="inlineStr">
        <is>
          <t>BBC19C03</t>
        </is>
      </c>
      <c r="D246" s="69" t="inlineStr">
        <is>
          <t>49.000</t>
        </is>
      </c>
      <c r="E246" s="69" t="inlineStr">
        <is>
          <t>Baymont Inn &amp; Suites Green Bay</t>
        </is>
      </c>
      <c r="F246" s="69" t="inlineStr">
        <is>
          <t>LNBBC19C03-49.000</t>
        </is>
      </c>
      <c r="G246" s="70" t="n"/>
      <c r="H246" s="71" t="n">
        <v>3200000</v>
      </c>
      <c r="I246" s="71" t="n">
        <v>2680454.75</v>
      </c>
      <c r="J246" s="72" t="n">
        <v>5.45</v>
      </c>
      <c r="K246" s="69" t="inlineStr">
        <is>
          <t>Fixed rate</t>
        </is>
      </c>
      <c r="L246" s="68" t="n">
        <v>120</v>
      </c>
      <c r="M246" s="68" t="n">
        <v>32</v>
      </c>
      <c r="N246" s="68" t="n">
        <v>300</v>
      </c>
      <c r="O246" s="68" t="n"/>
      <c r="P246" s="68" t="n"/>
      <c r="Q246" s="68" t="n">
        <v>88</v>
      </c>
      <c r="R246" s="69" t="n"/>
      <c r="S246" s="69" t="inlineStr">
        <is>
          <t>No</t>
        </is>
      </c>
      <c r="T246" s="73" t="n">
        <v>43586</v>
      </c>
      <c r="U246" s="73" t="n">
        <v>47244</v>
      </c>
      <c r="V246" s="73" t="n"/>
      <c r="W246" s="69" t="n"/>
      <c r="X246" s="69" t="inlineStr">
        <is>
          <t>Current</t>
        </is>
      </c>
      <c r="Y246" s="68" t="n"/>
      <c r="Z246" s="69" t="inlineStr">
        <is>
          <t>Full Defeasance</t>
        </is>
      </c>
      <c r="AA246" s="69" t="inlineStr">
        <is>
          <t>Previously</t>
        </is>
      </c>
      <c r="AB246" s="69" t="inlineStr">
        <is>
          <t>Never special serv</t>
        </is>
      </c>
      <c r="AC246" s="73" t="n"/>
      <c r="AD246" s="69" t="n"/>
      <c r="AE246" s="69" t="n"/>
      <c r="AF246" s="69" t="inlineStr">
        <is>
          <t>WI</t>
        </is>
      </c>
      <c r="AG246" s="69" t="inlineStr">
        <is>
          <t>Green Bay</t>
        </is>
      </c>
      <c r="AH246" s="69" t="inlineStr">
        <is>
          <t>Green Bay, WI</t>
        </is>
      </c>
      <c r="AI246" s="69" t="inlineStr">
        <is>
          <t>Midwest / Central East</t>
        </is>
      </c>
      <c r="AJ246" s="69" t="inlineStr">
        <is>
          <t>HT</t>
        </is>
      </c>
      <c r="AK246" s="69" t="inlineStr">
        <is>
          <t>Limited Service</t>
        </is>
      </c>
      <c r="AL246" s="68" t="n">
        <v>1</v>
      </c>
      <c r="AM246" s="68" t="n">
        <v>76</v>
      </c>
      <c r="AN246" s="68" t="n"/>
      <c r="AO246" s="69" t="inlineStr">
        <is>
          <t>1988</t>
        </is>
      </c>
      <c r="AP246" s="70" t="n">
        <v>2017</v>
      </c>
      <c r="AQ246" s="74" t="n">
        <v>1.89</v>
      </c>
      <c r="AR246" s="74" t="n">
        <v>1.89</v>
      </c>
      <c r="AS246" s="74" t="n">
        <v>65.2</v>
      </c>
      <c r="AT246" s="74" t="n">
        <v>54.7</v>
      </c>
      <c r="AU246" s="74" t="n">
        <v>49.6</v>
      </c>
      <c r="AV246" s="74" t="n">
        <v>13.86253125</v>
      </c>
      <c r="AW246" s="74" t="n">
        <v>21.944849843</v>
      </c>
      <c r="AX246" s="75" t="n">
        <v>65</v>
      </c>
      <c r="AY246" s="71" t="n">
        <v>4900000</v>
      </c>
      <c r="AZ246" s="71" t="n">
        <v>4900000</v>
      </c>
      <c r="BA246" s="71" t="n">
        <v>443601</v>
      </c>
      <c r="BB246" s="71" t="n">
        <v>444506.32</v>
      </c>
      <c r="BC246" s="69" t="inlineStr">
        <is>
          <t>Refinance</t>
        </is>
      </c>
      <c r="BD246" s="69" t="inlineStr">
        <is>
          <t>N</t>
        </is>
      </c>
      <c r="BE246" s="71" t="n"/>
      <c r="BF246" s="71" t="n"/>
      <c r="BG246" s="71" t="n"/>
      <c r="BH246" s="71" t="n">
        <v>0</v>
      </c>
      <c r="BI246" s="71" t="n">
        <v>0</v>
      </c>
      <c r="BJ246" s="69" t="inlineStr">
        <is>
          <t>Y</t>
        </is>
      </c>
      <c r="BK246" s="69" t="n"/>
      <c r="BL246" s="75" t="n"/>
      <c r="BM246" s="73" t="n"/>
      <c r="BN246" s="69" t="n"/>
      <c r="BO246" s="69" t="inlineStr">
        <is>
          <t>RMF</t>
        </is>
      </c>
      <c r="BP246" s="69" t="inlineStr">
        <is>
          <t>Midland Loan Services</t>
        </is>
      </c>
      <c r="BQ246" s="69" t="inlineStr">
        <is>
          <t>K-Star Asset Management LLC</t>
        </is>
      </c>
      <c r="BR246" s="69" t="n"/>
      <c r="BS246" s="73" t="n">
        <v>46276</v>
      </c>
      <c r="BU246" s="76">
        <f>IF($C246="","",IFERROR(INDEX(dmName,MATCH($C246,dmID,0)),"Unmapped"))</f>
        <v/>
      </c>
      <c r="BV246" s="76">
        <f>IF($C246="","",IFERROR(INDEX(dmEntity,MATCH($C246,dmID,0)),"Unmapped"))</f>
        <v/>
      </c>
      <c r="BW246" s="77">
        <f>IF($C246="","",IFERROR(INDEX(dmVintage,MATCH($C246,dmID,0)),""))</f>
        <v/>
      </c>
      <c r="BX246" s="78">
        <f>IFERROR(INDEX(dmInclude,MATCH($C246,dmID,0)),0)</f>
        <v/>
      </c>
      <c r="BY246" s="78">
        <f>IF(N($I246)&gt;0,1,0)</f>
        <v/>
      </c>
      <c r="BZ246" s="76">
        <f>IF($AJ246="","Other / Leased Fee",IFERROR(INDEX(mapPTGroup,MATCH(LEFT(TRIM($AJ246),2),mapPTCode,0)),"Other / Leased Fee"))</f>
        <v/>
      </c>
      <c r="CA246" s="76">
        <f>IF(TRIM($AF246&amp;"")="","NR",LEFT(TRIM($AF246),2))</f>
        <v/>
      </c>
      <c r="CB246" s="76">
        <f>IFERROR(LOOKUP(2,1/(LEFT(TRIM($AI246&amp;""),LEN(mapRegion))=mapRegion),mapRegion),"Not Reported")</f>
        <v/>
      </c>
      <c r="CC246" s="76">
        <f>IF($BY246=0,"",IF(TRIM($W246&amp;"")="REO","REO",IF(TRIM($W246&amp;"")="FC","Foreclosure",IF(TRIM($W246&amp;"")="90+","90+ Days Delinquent",IF(TRIM($W246&amp;"")="60","60 Days Delinquent",IF(TRIM($W246&amp;"")="30","30 Days Delinquent",IF($X246="Non-Performing Matured Balloon","Non-Performing Matured Balloon",IF(OR($X246="Late Payment But Less Than 30 Days Delinquent",LEFT($X246&amp;"",20)="Payment Not Received"),"Late / In Grace (&lt;30 Days)",IF($X246="Performing Matured Balloon","Performing Matured Balloon","Current")))))))))</f>
        <v/>
      </c>
      <c r="CD246" s="78">
        <f>IF(OR($CC246="REO",$CC246="Foreclosure",$CC246="90+ Days Delinquent",$CC246="60 Days Delinquent",$CC246="30 Days Delinquent",$CC246="Non-Performing Matured Balloon"),1,0)</f>
        <v/>
      </c>
      <c r="CE246" s="76">
        <f>IF($AB246="Currently special serv","Currently Specially Serviced",IF($AB246="Returned to master serv","Previously Specially Serviced","Never Specially Serviced"))</f>
        <v/>
      </c>
      <c r="CF246" s="78">
        <f>IF($CE246="Currently Specially Serviced",1,0)</f>
        <v/>
      </c>
      <c r="CG246" s="76">
        <f>IF($AA246="Yes","Currently on Watchlist",IF($AA246="Previously","Previously on Watchlist","Never on Watchlist"))</f>
        <v/>
      </c>
      <c r="CH246" s="78">
        <f>IF($CG246="Currently on Watchlist",1,0)</f>
        <v/>
      </c>
      <c r="CI246" s="76">
        <f>IF($Z246="Full Defeasance","Fully Defeased",IF($Z246="Portion Of Loan Previously Defeased","Partially Defeased",IF($Z246="Defeasance Not Allowable","Not Defeased (Not Permitted)","Not Defeased")))</f>
        <v/>
      </c>
      <c r="CJ246" s="78">
        <f>IF($CI246="Fully Defeased",1,0)</f>
        <v/>
      </c>
      <c r="CK246" s="76">
        <f>IF($R246="IO","Full IO",IF(LEFT($R246&amp;"",7)="IO then","Partial IO","Amortizing"))</f>
        <v/>
      </c>
      <c r="CL246" s="78">
        <f>IF($CK246="Full IO",1,0)</f>
        <v/>
      </c>
      <c r="CM246" s="78">
        <f>IF($CK246="Partial IO",1,0)</f>
        <v/>
      </c>
      <c r="CN246" s="76">
        <f>IF(LEFT($F246&amp;"",10)="SPLIT_LOAN","Pari Passu Split","Standalone")</f>
        <v/>
      </c>
      <c r="CO246" s="78">
        <f>IF($CN246="Pari Passu Split",1,0)</f>
        <v/>
      </c>
      <c r="CP246" s="77">
        <f>IF(ISNUMBER($T246),YEAR($T246),"")</f>
        <v/>
      </c>
      <c r="CQ246" s="79">
        <f>IF(ISNUMBER($V246),$V246,IF(ISNUMBER($U246),$U246,""))</f>
        <v/>
      </c>
      <c r="CR246" s="77">
        <f>IF(ISNUMBER($CQ246),YEAR($CQ246),"")</f>
        <v/>
      </c>
      <c r="CS246" s="78">
        <f>IF(ISNUMBER($M246),MAX(0,$M246),IF(TRIM($M246&amp;"")="matured",0,""))</f>
        <v/>
      </c>
      <c r="CT246" s="78">
        <f>IF(AND(ISNUMBER($CS246),N($CS246)&lt;=mMatWindow),1,0)</f>
        <v/>
      </c>
      <c r="CU246" s="80">
        <f>IF(ISNUMBER($J246),$J246/100,"")</f>
        <v/>
      </c>
      <c r="CV246" s="81">
        <f>IF(ISNUMBER($AQ246),$AQ246,"")</f>
        <v/>
      </c>
      <c r="CW246" s="81">
        <f>IF(ISNUMBER($AR246),$AR246,"")</f>
        <v/>
      </c>
      <c r="CX246" s="82">
        <f>IF(ISNUMBER($AS246),$AS246/100,"")</f>
        <v/>
      </c>
      <c r="CY246" s="82">
        <f>IF(ISNUMBER($AT246),$AT246/100,"")</f>
        <v/>
      </c>
      <c r="CZ246" s="82">
        <f>IF(ISNUMBER($AU246),$AU246/100,"")</f>
        <v/>
      </c>
      <c r="DA246" s="82">
        <f>IF(ISNUMBER($AV246),$AV246/100,"")</f>
        <v/>
      </c>
      <c r="DB246" s="82">
        <f>IF(ISNUMBER($AW246),$AW246/100,"")</f>
        <v/>
      </c>
      <c r="DC246" s="82">
        <f>IF(ISNUMBER($AX246),$AX246/100,"")</f>
        <v/>
      </c>
      <c r="DD246" s="77">
        <f>IFERROR(VALUE(LEFT(TRIM($AO246&amp;""),4)),"")</f>
        <v/>
      </c>
      <c r="DE246" s="78">
        <f>IF(AND($BY246=1,$BX246=1,OR(fDeal="All Deals",$BU246=fDeal),OR(fEntity="All Entities",$BV246=fEntity),OR(fPType="All Property Types",$BZ246=fPType),OR(fDefeased="Include",$CJ246=0)),1,0)</f>
        <v/>
      </c>
      <c r="DF246" s="83">
        <f>$DE246*N($I246)</f>
        <v/>
      </c>
      <c r="DG246" s="78">
        <f>IF($DE246=1,IF(COUNTIFS($F$8:$F246,$F246,$DE$8:$DE246,1)=1,1,0),0)</f>
        <v/>
      </c>
      <c r="DH246" s="83">
        <f>IF($DG246=1,SUMIFS($DF$8:$DF$1600,$F$8:$F$1600,$F246),0)</f>
        <v/>
      </c>
      <c r="DI246" s="78">
        <f>IF($DG246=1,COUNTIFS($F$8:$F$1600,$F246,$DE$8:$DE$1600,1),0)</f>
        <v/>
      </c>
      <c r="DJ246" s="84">
        <f>IF($DG246=1,$DH246+(100000-ROW())/mTieBreak,0)</f>
        <v/>
      </c>
    </row>
    <row r="247">
      <c r="B247" s="68" t="n">
        <v>50</v>
      </c>
      <c r="C247" s="69" t="inlineStr">
        <is>
          <t>BBC19C03</t>
        </is>
      </c>
      <c r="D247" s="69" t="inlineStr">
        <is>
          <t>50.000</t>
        </is>
      </c>
      <c r="E247" s="69" t="inlineStr">
        <is>
          <t>123 Whiting Street</t>
        </is>
      </c>
      <c r="F247" s="69" t="inlineStr">
        <is>
          <t>LNBBC19C03-50.000</t>
        </is>
      </c>
      <c r="G247" s="70" t="n"/>
      <c r="H247" s="71" t="n">
        <v>2637500</v>
      </c>
      <c r="I247" s="71" t="n">
        <v>0</v>
      </c>
      <c r="J247" s="72" t="n">
        <v>5.94</v>
      </c>
      <c r="K247" s="69" t="inlineStr">
        <is>
          <t>Fixed rate</t>
        </is>
      </c>
      <c r="L247" s="68" t="n">
        <v>120</v>
      </c>
      <c r="M247" s="68" t="n"/>
      <c r="N247" s="68" t="n">
        <v>360</v>
      </c>
      <c r="O247" s="68" t="n"/>
      <c r="P247" s="68" t="n"/>
      <c r="Q247" s="68" t="n"/>
      <c r="R247" s="69" t="n"/>
      <c r="S247" s="69" t="inlineStr">
        <is>
          <t>No</t>
        </is>
      </c>
      <c r="T247" s="73" t="n">
        <v>43497</v>
      </c>
      <c r="U247" s="73" t="n">
        <v>47154</v>
      </c>
      <c r="V247" s="73" t="n"/>
      <c r="W247" s="69" t="n"/>
      <c r="X247" s="69" t="inlineStr">
        <is>
          <t>Current</t>
        </is>
      </c>
      <c r="Y247" s="68" t="n"/>
      <c r="Z247" s="69" t="inlineStr">
        <is>
          <t>No Defeasance Occurred</t>
        </is>
      </c>
      <c r="AA247" s="69" t="inlineStr">
        <is>
          <t>Previously</t>
        </is>
      </c>
      <c r="AB247" s="69" t="inlineStr">
        <is>
          <t>Currently special serv</t>
        </is>
      </c>
      <c r="AC247" s="73" t="n">
        <v>45392</v>
      </c>
      <c r="AD247" s="69" t="inlineStr">
        <is>
          <t>Payment Default (all payments excluding Balloon/Maturity Payment)</t>
        </is>
      </c>
      <c r="AE247" s="69" t="inlineStr">
        <is>
          <t>Note Sale</t>
        </is>
      </c>
      <c r="AF247" s="69" t="inlineStr">
        <is>
          <t>CT</t>
        </is>
      </c>
      <c r="AG247" s="69" t="inlineStr">
        <is>
          <t>Plainville</t>
        </is>
      </c>
      <c r="AH247" s="69" t="inlineStr">
        <is>
          <t>Hartford-West Hartford-East Hartford, CT</t>
        </is>
      </c>
      <c r="AI247" s="69" t="inlineStr">
        <is>
          <t>Northeast / New England</t>
        </is>
      </c>
      <c r="AJ247" s="69" t="inlineStr">
        <is>
          <t>IN</t>
        </is>
      </c>
      <c r="AK247" s="69" t="inlineStr">
        <is>
          <t>Flex</t>
        </is>
      </c>
      <c r="AL247" s="68" t="n">
        <v>1</v>
      </c>
      <c r="AM247" s="68" t="n"/>
      <c r="AN247" s="68" t="n">
        <v>99709</v>
      </c>
      <c r="AO247" s="69" t="inlineStr">
        <is>
          <t>1910</t>
        </is>
      </c>
      <c r="AP247" s="70" t="n">
        <v>2007</v>
      </c>
      <c r="AQ247" s="74" t="n">
        <v>1.41</v>
      </c>
      <c r="AR247" s="74" t="n">
        <v>1.08</v>
      </c>
      <c r="AS247" s="74" t="n">
        <v>73.59999999999999</v>
      </c>
      <c r="AT247" s="74" t="n"/>
      <c r="AU247" s="74" t="n">
        <v>62.5</v>
      </c>
      <c r="AV247" s="74" t="n">
        <v>10.078616114</v>
      </c>
      <c r="AW247" s="74" t="n"/>
      <c r="AX247" s="75" t="n">
        <v>100</v>
      </c>
      <c r="AY247" s="71" t="n">
        <v>3570000</v>
      </c>
      <c r="AZ247" s="71" t="n">
        <v>3900000</v>
      </c>
      <c r="BA247" s="71" t="n">
        <v>265823.5</v>
      </c>
      <c r="BB247" s="71" t="n">
        <v>202932.69</v>
      </c>
      <c r="BC247" s="69" t="inlineStr">
        <is>
          <t>Acquisition</t>
        </is>
      </c>
      <c r="BD247" s="69" t="inlineStr">
        <is>
          <t>N</t>
        </is>
      </c>
      <c r="BE247" s="71" t="n"/>
      <c r="BF247" s="71" t="n"/>
      <c r="BG247" s="71" t="n"/>
      <c r="BH247" s="71" t="n">
        <v>0</v>
      </c>
      <c r="BI247" s="71" t="n">
        <v>0</v>
      </c>
      <c r="BJ247" s="69" t="inlineStr">
        <is>
          <t>N</t>
        </is>
      </c>
      <c r="BK247" s="69" t="inlineStr">
        <is>
          <t>Progressive Specialty Glass Company</t>
        </is>
      </c>
      <c r="BL247" s="75" t="n">
        <v>11.13</v>
      </c>
      <c r="BM247" s="73" t="n">
        <v>45046</v>
      </c>
      <c r="BN247" s="69" t="n"/>
      <c r="BO247" s="69" t="inlineStr">
        <is>
          <t>Natixis</t>
        </is>
      </c>
      <c r="BP247" s="69" t="inlineStr">
        <is>
          <t>Midland Loan Services</t>
        </is>
      </c>
      <c r="BQ247" s="69" t="inlineStr">
        <is>
          <t>K-Star Asset Management LLC</t>
        </is>
      </c>
      <c r="BR247" s="69" t="inlineStr">
        <is>
          <t>DPO</t>
        </is>
      </c>
      <c r="BS247" s="73" t="n">
        <v>46276</v>
      </c>
      <c r="BU247" s="76">
        <f>IF($C247="","",IFERROR(INDEX(dmName,MATCH($C247,dmID,0)),"Unmapped"))</f>
        <v/>
      </c>
      <c r="BV247" s="76">
        <f>IF($C247="","",IFERROR(INDEX(dmEntity,MATCH($C247,dmID,0)),"Unmapped"))</f>
        <v/>
      </c>
      <c r="BW247" s="77">
        <f>IF($C247="","",IFERROR(INDEX(dmVintage,MATCH($C247,dmID,0)),""))</f>
        <v/>
      </c>
      <c r="BX247" s="78">
        <f>IFERROR(INDEX(dmInclude,MATCH($C247,dmID,0)),0)</f>
        <v/>
      </c>
      <c r="BY247" s="78">
        <f>IF(N($I247)&gt;0,1,0)</f>
        <v/>
      </c>
      <c r="BZ247" s="76">
        <f>IF($AJ247="","Other / Leased Fee",IFERROR(INDEX(mapPTGroup,MATCH(LEFT(TRIM($AJ247),2),mapPTCode,0)),"Other / Leased Fee"))</f>
        <v/>
      </c>
      <c r="CA247" s="76">
        <f>IF(TRIM($AF247&amp;"")="","NR",LEFT(TRIM($AF247),2))</f>
        <v/>
      </c>
      <c r="CB247" s="76">
        <f>IFERROR(LOOKUP(2,1/(LEFT(TRIM($AI247&amp;""),LEN(mapRegion))=mapRegion),mapRegion),"Not Reported")</f>
        <v/>
      </c>
      <c r="CC247" s="76">
        <f>IF($BY247=0,"",IF(TRIM($W247&amp;"")="REO","REO",IF(TRIM($W247&amp;"")="FC","Foreclosure",IF(TRIM($W247&amp;"")="90+","90+ Days Delinquent",IF(TRIM($W247&amp;"")="60","60 Days Delinquent",IF(TRIM($W247&amp;"")="30","30 Days Delinquent",IF($X247="Non-Performing Matured Balloon","Non-Performing Matured Balloon",IF(OR($X247="Late Payment But Less Than 30 Days Delinquent",LEFT($X247&amp;"",20)="Payment Not Received"),"Late / In Grace (&lt;30 Days)",IF($X247="Performing Matured Balloon","Performing Matured Balloon","Current")))))))))</f>
        <v/>
      </c>
      <c r="CD247" s="78">
        <f>IF(OR($CC247="REO",$CC247="Foreclosure",$CC247="90+ Days Delinquent",$CC247="60 Days Delinquent",$CC247="30 Days Delinquent",$CC247="Non-Performing Matured Balloon"),1,0)</f>
        <v/>
      </c>
      <c r="CE247" s="76">
        <f>IF($AB247="Currently special serv","Currently Specially Serviced",IF($AB247="Returned to master serv","Previously Specially Serviced","Never Specially Serviced"))</f>
        <v/>
      </c>
      <c r="CF247" s="78">
        <f>IF($CE247="Currently Specially Serviced",1,0)</f>
        <v/>
      </c>
      <c r="CG247" s="76">
        <f>IF($AA247="Yes","Currently on Watchlist",IF($AA247="Previously","Previously on Watchlist","Never on Watchlist"))</f>
        <v/>
      </c>
      <c r="CH247" s="78">
        <f>IF($CG247="Currently on Watchlist",1,0)</f>
        <v/>
      </c>
      <c r="CI247" s="76">
        <f>IF($Z247="Full Defeasance","Fully Defeased",IF($Z247="Portion Of Loan Previously Defeased","Partially Defeased",IF($Z247="Defeasance Not Allowable","Not Defeased (Not Permitted)","Not Defeased")))</f>
        <v/>
      </c>
      <c r="CJ247" s="78">
        <f>IF($CI247="Fully Defeased",1,0)</f>
        <v/>
      </c>
      <c r="CK247" s="76">
        <f>IF($R247="IO","Full IO",IF(LEFT($R247&amp;"",7)="IO then","Partial IO","Amortizing"))</f>
        <v/>
      </c>
      <c r="CL247" s="78">
        <f>IF($CK247="Full IO",1,0)</f>
        <v/>
      </c>
      <c r="CM247" s="78">
        <f>IF($CK247="Partial IO",1,0)</f>
        <v/>
      </c>
      <c r="CN247" s="76">
        <f>IF(LEFT($F247&amp;"",10)="SPLIT_LOAN","Pari Passu Split","Standalone")</f>
        <v/>
      </c>
      <c r="CO247" s="78">
        <f>IF($CN247="Pari Passu Split",1,0)</f>
        <v/>
      </c>
      <c r="CP247" s="77">
        <f>IF(ISNUMBER($T247),YEAR($T247),"")</f>
        <v/>
      </c>
      <c r="CQ247" s="79">
        <f>IF(ISNUMBER($V247),$V247,IF(ISNUMBER($U247),$U247,""))</f>
        <v/>
      </c>
      <c r="CR247" s="77">
        <f>IF(ISNUMBER($CQ247),YEAR($CQ247),"")</f>
        <v/>
      </c>
      <c r="CS247" s="78">
        <f>IF(ISNUMBER($M247),MAX(0,$M247),IF(TRIM($M247&amp;"")="matured",0,""))</f>
        <v/>
      </c>
      <c r="CT247" s="78">
        <f>IF(AND(ISNUMBER($CS247),N($CS247)&lt;=mMatWindow),1,0)</f>
        <v/>
      </c>
      <c r="CU247" s="80">
        <f>IF(ISNUMBER($J247),$J247/100,"")</f>
        <v/>
      </c>
      <c r="CV247" s="81">
        <f>IF(ISNUMBER($AQ247),$AQ247,"")</f>
        <v/>
      </c>
      <c r="CW247" s="81">
        <f>IF(ISNUMBER($AR247),$AR247,"")</f>
        <v/>
      </c>
      <c r="CX247" s="82">
        <f>IF(ISNUMBER($AS247),$AS247/100,"")</f>
        <v/>
      </c>
      <c r="CY247" s="82">
        <f>IF(ISNUMBER($AT247),$AT247/100,"")</f>
        <v/>
      </c>
      <c r="CZ247" s="82">
        <f>IF(ISNUMBER($AU247),$AU247/100,"")</f>
        <v/>
      </c>
      <c r="DA247" s="82">
        <f>IF(ISNUMBER($AV247),$AV247/100,"")</f>
        <v/>
      </c>
      <c r="DB247" s="82">
        <f>IF(ISNUMBER($AW247),$AW247/100,"")</f>
        <v/>
      </c>
      <c r="DC247" s="82">
        <f>IF(ISNUMBER($AX247),$AX247/100,"")</f>
        <v/>
      </c>
      <c r="DD247" s="77">
        <f>IFERROR(VALUE(LEFT(TRIM($AO247&amp;""),4)),"")</f>
        <v/>
      </c>
      <c r="DE247" s="78">
        <f>IF(AND($BY247=1,$BX247=1,OR(fDeal="All Deals",$BU247=fDeal),OR(fEntity="All Entities",$BV247=fEntity),OR(fPType="All Property Types",$BZ247=fPType),OR(fDefeased="Include",$CJ247=0)),1,0)</f>
        <v/>
      </c>
      <c r="DF247" s="83">
        <f>$DE247*N($I247)</f>
        <v/>
      </c>
      <c r="DG247" s="78">
        <f>IF($DE247=1,IF(COUNTIFS($F$8:$F247,$F247,$DE$8:$DE247,1)=1,1,0),0)</f>
        <v/>
      </c>
      <c r="DH247" s="83">
        <f>IF($DG247=1,SUMIFS($DF$8:$DF$1600,$F$8:$F$1600,$F247),0)</f>
        <v/>
      </c>
      <c r="DI247" s="78">
        <f>IF($DG247=1,COUNTIFS($F$8:$F$1600,$F247,$DE$8:$DE$1600,1),0)</f>
        <v/>
      </c>
      <c r="DJ247" s="84">
        <f>IF($DG247=1,$DH247+(100000-ROW())/mTieBreak,0)</f>
        <v/>
      </c>
    </row>
    <row r="248">
      <c r="B248" s="68" t="n">
        <v>1</v>
      </c>
      <c r="C248" s="69" t="inlineStr">
        <is>
          <t>GS219G38</t>
        </is>
      </c>
      <c r="D248" s="69" t="inlineStr">
        <is>
          <t>1.000</t>
        </is>
      </c>
      <c r="E248" s="69" t="inlineStr">
        <is>
          <t>365 Bond</t>
        </is>
      </c>
      <c r="F248" s="69" t="inlineStr">
        <is>
          <t>SPLIT_LOAN_01474</t>
        </is>
      </c>
      <c r="G248" s="70" t="n">
        <v>1474</v>
      </c>
      <c r="H248" s="71" t="n">
        <v>65000000</v>
      </c>
      <c r="I248" s="71" t="n">
        <v>0</v>
      </c>
      <c r="J248" s="72" t="n">
        <v>4.0227718</v>
      </c>
      <c r="K248" s="69" t="inlineStr">
        <is>
          <t>Fixed rate</t>
        </is>
      </c>
      <c r="L248" s="68" t="n">
        <v>60</v>
      </c>
      <c r="M248" s="68" t="n"/>
      <c r="N248" s="68" t="n">
        <v>60</v>
      </c>
      <c r="O248" s="68" t="n">
        <v>60</v>
      </c>
      <c r="P248" s="68" t="n"/>
      <c r="Q248" s="68" t="n"/>
      <c r="R248" s="69" t="inlineStr">
        <is>
          <t>IO</t>
        </is>
      </c>
      <c r="S248" s="69" t="inlineStr">
        <is>
          <t>Yes</t>
        </is>
      </c>
      <c r="T248" s="73" t="n">
        <v>43466</v>
      </c>
      <c r="U248" s="73" t="n">
        <v>45266</v>
      </c>
      <c r="V248" s="73" t="n"/>
      <c r="W248" s="69" t="n"/>
      <c r="X248" s="69" t="inlineStr">
        <is>
          <t>Current</t>
        </is>
      </c>
      <c r="Y248" s="68" t="n"/>
      <c r="Z248" s="69" t="inlineStr">
        <is>
          <t>No Defeasance Occurred</t>
        </is>
      </c>
      <c r="AA248" s="69" t="inlineStr">
        <is>
          <t>Previously</t>
        </is>
      </c>
      <c r="AB248" s="69" t="inlineStr">
        <is>
          <t>Never special serv</t>
        </is>
      </c>
      <c r="AC248" s="73" t="n"/>
      <c r="AD248" s="69" t="n"/>
      <c r="AE248" s="69" t="n"/>
      <c r="AF248" s="69" t="inlineStr">
        <is>
          <t>NY</t>
        </is>
      </c>
      <c r="AG248" s="69" t="inlineStr">
        <is>
          <t>Brooklyn</t>
        </is>
      </c>
      <c r="AH248" s="69" t="inlineStr">
        <is>
          <t>New York-Newark-Jersey City, NY-NJ</t>
        </is>
      </c>
      <c r="AI248" s="69" t="inlineStr">
        <is>
          <t>Northeast / Mid-Atlantic</t>
        </is>
      </c>
      <c r="AJ248" s="69" t="inlineStr">
        <is>
          <t>MF</t>
        </is>
      </c>
      <c r="AK248" s="69" t="inlineStr">
        <is>
          <t>High Rise</t>
        </is>
      </c>
      <c r="AL248" s="68" t="n">
        <v>1</v>
      </c>
      <c r="AM248" s="68" t="n">
        <v>430</v>
      </c>
      <c r="AN248" s="68" t="n"/>
      <c r="AO248" s="69" t="inlineStr">
        <is>
          <t>2016</t>
        </is>
      </c>
      <c r="AP248" s="70" t="n">
        <v>2016</v>
      </c>
      <c r="AQ248" s="74" t="n">
        <v>2.79</v>
      </c>
      <c r="AR248" s="74" t="n">
        <v>2.98</v>
      </c>
      <c r="AS248" s="74" t="n">
        <v>37.9</v>
      </c>
      <c r="AT248" s="74" t="n"/>
      <c r="AU248" s="74" t="n">
        <v>37.9</v>
      </c>
      <c r="AV248" s="74" t="n">
        <v>11.362836618</v>
      </c>
      <c r="AW248" s="74" t="n"/>
      <c r="AX248" s="75" t="n">
        <v>95.15000000000001</v>
      </c>
      <c r="AY248" s="71" t="n">
        <v>290100000</v>
      </c>
      <c r="AZ248" s="71" t="n">
        <v>290100000</v>
      </c>
      <c r="BA248" s="71" t="n">
        <v>12499120.28</v>
      </c>
      <c r="BB248" s="71" t="n">
        <v>6680537.33</v>
      </c>
      <c r="BC248" s="69" t="inlineStr">
        <is>
          <t>Refinance</t>
        </is>
      </c>
      <c r="BD248" s="69" t="inlineStr">
        <is>
          <t>N</t>
        </is>
      </c>
      <c r="BE248" s="71" t="n">
        <v>0</v>
      </c>
      <c r="BF248" s="71" t="n"/>
      <c r="BG248" s="71" t="n">
        <v>100000000</v>
      </c>
      <c r="BH248" s="71" t="n">
        <v>0</v>
      </c>
      <c r="BI248" s="71" t="n">
        <v>0</v>
      </c>
      <c r="BJ248" s="69" t="inlineStr">
        <is>
          <t>N</t>
        </is>
      </c>
      <c r="BK248" s="69" t="n"/>
      <c r="BL248" s="75" t="n"/>
      <c r="BM248" s="73" t="n"/>
      <c r="BN248" s="69" t="inlineStr">
        <is>
          <t>LSG Enterprises LLC</t>
        </is>
      </c>
      <c r="BO248" s="69" t="inlineStr">
        <is>
          <t>Goldman Sachs</t>
        </is>
      </c>
      <c r="BP248" s="69" t="inlineStr">
        <is>
          <t>Wells Fargo</t>
        </is>
      </c>
      <c r="BQ248" s="69" t="inlineStr">
        <is>
          <t>K-Star Asset Management LLC</t>
        </is>
      </c>
      <c r="BR248" s="69" t="inlineStr">
        <is>
          <t>Full Payoff At Maturity</t>
        </is>
      </c>
      <c r="BS248" s="73" t="n">
        <v>45266</v>
      </c>
      <c r="BU248" s="76">
        <f>IF($C248="","",IFERROR(INDEX(dmName,MATCH($C248,dmID,0)),"Unmapped"))</f>
        <v/>
      </c>
      <c r="BV248" s="76">
        <f>IF($C248="","",IFERROR(INDEX(dmEntity,MATCH($C248,dmID,0)),"Unmapped"))</f>
        <v/>
      </c>
      <c r="BW248" s="77">
        <f>IF($C248="","",IFERROR(INDEX(dmVintage,MATCH($C248,dmID,0)),""))</f>
        <v/>
      </c>
      <c r="BX248" s="78">
        <f>IFERROR(INDEX(dmInclude,MATCH($C248,dmID,0)),0)</f>
        <v/>
      </c>
      <c r="BY248" s="78">
        <f>IF(N($I248)&gt;0,1,0)</f>
        <v/>
      </c>
      <c r="BZ248" s="76">
        <f>IF($AJ248="","Other / Leased Fee",IFERROR(INDEX(mapPTGroup,MATCH(LEFT(TRIM($AJ248),2),mapPTCode,0)),"Other / Leased Fee"))</f>
        <v/>
      </c>
      <c r="CA248" s="76">
        <f>IF(TRIM($AF248&amp;"")="","NR",LEFT(TRIM($AF248),2))</f>
        <v/>
      </c>
      <c r="CB248" s="76">
        <f>IFERROR(LOOKUP(2,1/(LEFT(TRIM($AI248&amp;""),LEN(mapRegion))=mapRegion),mapRegion),"Not Reported")</f>
        <v/>
      </c>
      <c r="CC248" s="76">
        <f>IF($BY248=0,"",IF(TRIM($W248&amp;"")="REO","REO",IF(TRIM($W248&amp;"")="FC","Foreclosure",IF(TRIM($W248&amp;"")="90+","90+ Days Delinquent",IF(TRIM($W248&amp;"")="60","60 Days Delinquent",IF(TRIM($W248&amp;"")="30","30 Days Delinquent",IF($X248="Non-Performing Matured Balloon","Non-Performing Matured Balloon",IF(OR($X248="Late Payment But Less Than 30 Days Delinquent",LEFT($X248&amp;"",20)="Payment Not Received"),"Late / In Grace (&lt;30 Days)",IF($X248="Performing Matured Balloon","Performing Matured Balloon","Current")))))))))</f>
        <v/>
      </c>
      <c r="CD248" s="78">
        <f>IF(OR($CC248="REO",$CC248="Foreclosure",$CC248="90+ Days Delinquent",$CC248="60 Days Delinquent",$CC248="30 Days Delinquent",$CC248="Non-Performing Matured Balloon"),1,0)</f>
        <v/>
      </c>
      <c r="CE248" s="76">
        <f>IF($AB248="Currently special serv","Currently Specially Serviced",IF($AB248="Returned to master serv","Previously Specially Serviced","Never Specially Serviced"))</f>
        <v/>
      </c>
      <c r="CF248" s="78">
        <f>IF($CE248="Currently Specially Serviced",1,0)</f>
        <v/>
      </c>
      <c r="CG248" s="76">
        <f>IF($AA248="Yes","Currently on Watchlist",IF($AA248="Previously","Previously on Watchlist","Never on Watchlist"))</f>
        <v/>
      </c>
      <c r="CH248" s="78">
        <f>IF($CG248="Currently on Watchlist",1,0)</f>
        <v/>
      </c>
      <c r="CI248" s="76">
        <f>IF($Z248="Full Defeasance","Fully Defeased",IF($Z248="Portion Of Loan Previously Defeased","Partially Defeased",IF($Z248="Defeasance Not Allowable","Not Defeased (Not Permitted)","Not Defeased")))</f>
        <v/>
      </c>
      <c r="CJ248" s="78">
        <f>IF($CI248="Fully Defeased",1,0)</f>
        <v/>
      </c>
      <c r="CK248" s="76">
        <f>IF($R248="IO","Full IO",IF(LEFT($R248&amp;"",7)="IO then","Partial IO","Amortizing"))</f>
        <v/>
      </c>
      <c r="CL248" s="78">
        <f>IF($CK248="Full IO",1,0)</f>
        <v/>
      </c>
      <c r="CM248" s="78">
        <f>IF($CK248="Partial IO",1,0)</f>
        <v/>
      </c>
      <c r="CN248" s="76">
        <f>IF(LEFT($F248&amp;"",10)="SPLIT_LOAN","Pari Passu Split","Standalone")</f>
        <v/>
      </c>
      <c r="CO248" s="78">
        <f>IF($CN248="Pari Passu Split",1,0)</f>
        <v/>
      </c>
      <c r="CP248" s="77">
        <f>IF(ISNUMBER($T248),YEAR($T248),"")</f>
        <v/>
      </c>
      <c r="CQ248" s="79">
        <f>IF(ISNUMBER($V248),$V248,IF(ISNUMBER($U248),$U248,""))</f>
        <v/>
      </c>
      <c r="CR248" s="77">
        <f>IF(ISNUMBER($CQ248),YEAR($CQ248),"")</f>
        <v/>
      </c>
      <c r="CS248" s="78">
        <f>IF(ISNUMBER($M248),MAX(0,$M248),IF(TRIM($M248&amp;"")="matured",0,""))</f>
        <v/>
      </c>
      <c r="CT248" s="78">
        <f>IF(AND(ISNUMBER($CS248),N($CS248)&lt;=mMatWindow),1,0)</f>
        <v/>
      </c>
      <c r="CU248" s="80">
        <f>IF(ISNUMBER($J248),$J248/100,"")</f>
        <v/>
      </c>
      <c r="CV248" s="81">
        <f>IF(ISNUMBER($AQ248),$AQ248,"")</f>
        <v/>
      </c>
      <c r="CW248" s="81">
        <f>IF(ISNUMBER($AR248),$AR248,"")</f>
        <v/>
      </c>
      <c r="CX248" s="82">
        <f>IF(ISNUMBER($AS248),$AS248/100,"")</f>
        <v/>
      </c>
      <c r="CY248" s="82">
        <f>IF(ISNUMBER($AT248),$AT248/100,"")</f>
        <v/>
      </c>
      <c r="CZ248" s="82">
        <f>IF(ISNUMBER($AU248),$AU248/100,"")</f>
        <v/>
      </c>
      <c r="DA248" s="82">
        <f>IF(ISNUMBER($AV248),$AV248/100,"")</f>
        <v/>
      </c>
      <c r="DB248" s="82">
        <f>IF(ISNUMBER($AW248),$AW248/100,"")</f>
        <v/>
      </c>
      <c r="DC248" s="82">
        <f>IF(ISNUMBER($AX248),$AX248/100,"")</f>
        <v/>
      </c>
      <c r="DD248" s="77">
        <f>IFERROR(VALUE(LEFT(TRIM($AO248&amp;""),4)),"")</f>
        <v/>
      </c>
      <c r="DE248" s="78">
        <f>IF(AND($BY248=1,$BX248=1,OR(fDeal="All Deals",$BU248=fDeal),OR(fEntity="All Entities",$BV248=fEntity),OR(fPType="All Property Types",$BZ248=fPType),OR(fDefeased="Include",$CJ248=0)),1,0)</f>
        <v/>
      </c>
      <c r="DF248" s="83">
        <f>$DE248*N($I248)</f>
        <v/>
      </c>
      <c r="DG248" s="78">
        <f>IF($DE248=1,IF(COUNTIFS($F$8:$F248,$F248,$DE$8:$DE248,1)=1,1,0),0)</f>
        <v/>
      </c>
      <c r="DH248" s="83">
        <f>IF($DG248=1,SUMIFS($DF$8:$DF$1600,$F$8:$F$1600,$F248),0)</f>
        <v/>
      </c>
      <c r="DI248" s="78">
        <f>IF($DG248=1,COUNTIFS($F$8:$F$1600,$F248,$DE$8:$DE$1600,1),0)</f>
        <v/>
      </c>
      <c r="DJ248" s="84">
        <f>IF($DG248=1,$DH248+(100000-ROW())/mTieBreak,0)</f>
        <v/>
      </c>
    </row>
    <row r="249">
      <c r="B249" s="68" t="n">
        <v>2</v>
      </c>
      <c r="C249" s="69" t="inlineStr">
        <is>
          <t>GS219G38</t>
        </is>
      </c>
      <c r="D249" s="69" t="inlineStr">
        <is>
          <t>2.000</t>
        </is>
      </c>
      <c r="E249" s="69" t="inlineStr">
        <is>
          <t>Torrance Towne Center</t>
        </is>
      </c>
      <c r="F249" s="69" t="inlineStr">
        <is>
          <t>LNGS219G38-2.000</t>
        </is>
      </c>
      <c r="G249" s="70" t="n"/>
      <c r="H249" s="71" t="n">
        <v>52000000</v>
      </c>
      <c r="I249" s="71" t="n">
        <v>52000000</v>
      </c>
      <c r="J249" s="72" t="n">
        <v>4.778</v>
      </c>
      <c r="K249" s="69" t="inlineStr">
        <is>
          <t>Fixed rate</t>
        </is>
      </c>
      <c r="L249" s="68" t="n">
        <v>120</v>
      </c>
      <c r="M249" s="68" t="n">
        <v>27</v>
      </c>
      <c r="N249" s="68" t="n">
        <v>120</v>
      </c>
      <c r="O249" s="68" t="n">
        <v>120</v>
      </c>
      <c r="P249" s="68" t="n">
        <v>27</v>
      </c>
      <c r="Q249" s="68" t="n">
        <v>93</v>
      </c>
      <c r="R249" s="69" t="inlineStr">
        <is>
          <t>IO</t>
        </is>
      </c>
      <c r="S249" s="69" t="inlineStr">
        <is>
          <t>Yes</t>
        </is>
      </c>
      <c r="T249" s="73" t="n">
        <v>43435</v>
      </c>
      <c r="U249" s="73" t="n">
        <v>47093</v>
      </c>
      <c r="V249" s="73" t="n"/>
      <c r="W249" s="69" t="n"/>
      <c r="X249" s="69" t="inlineStr">
        <is>
          <t>Current</t>
        </is>
      </c>
      <c r="Y249" s="68" t="n"/>
      <c r="Z249" s="69" t="inlineStr">
        <is>
          <t>Defeasance Not Allowable</t>
        </is>
      </c>
      <c r="AA249" s="69" t="inlineStr">
        <is>
          <t>Previously</t>
        </is>
      </c>
      <c r="AB249" s="69" t="inlineStr">
        <is>
          <t>Never special serv</t>
        </is>
      </c>
      <c r="AC249" s="73" t="n"/>
      <c r="AD249" s="69" t="n"/>
      <c r="AE249" s="69" t="n"/>
      <c r="AF249" s="69" t="inlineStr">
        <is>
          <t>CA</t>
        </is>
      </c>
      <c r="AG249" s="69" t="inlineStr">
        <is>
          <t>Torrance</t>
        </is>
      </c>
      <c r="AH249" s="69" t="inlineStr">
        <is>
          <t>Los Angeles-Long Beach-Anaheim, CA</t>
        </is>
      </c>
      <c r="AI249" s="69" t="inlineStr">
        <is>
          <t>West / Pacific South</t>
        </is>
      </c>
      <c r="AJ249" s="69" t="inlineStr">
        <is>
          <t>RT</t>
        </is>
      </c>
      <c r="AK249" s="69" t="inlineStr">
        <is>
          <t>Anchored</t>
        </is>
      </c>
      <c r="AL249" s="68" t="n">
        <v>1</v>
      </c>
      <c r="AM249" s="68" t="n"/>
      <c r="AN249" s="68" t="n">
        <v>265538</v>
      </c>
      <c r="AO249" s="69" t="inlineStr">
        <is>
          <t>1958, 1986, 2003</t>
        </is>
      </c>
      <c r="AP249" s="70" t="n">
        <v>2003</v>
      </c>
      <c r="AQ249" s="74" t="n">
        <v>2.1</v>
      </c>
      <c r="AR249" s="74" t="n">
        <v>2.06</v>
      </c>
      <c r="AS249" s="74" t="n">
        <v>60.1</v>
      </c>
      <c r="AT249" s="74" t="n">
        <v>60.12</v>
      </c>
      <c r="AU249" s="74" t="n">
        <v>60.1</v>
      </c>
      <c r="AV249" s="74" t="n">
        <v>10.178616038</v>
      </c>
      <c r="AW249" s="74" t="n">
        <v>11.744592308</v>
      </c>
      <c r="AX249" s="75" t="n">
        <v>96</v>
      </c>
      <c r="AY249" s="71" t="n">
        <v>86500000</v>
      </c>
      <c r="AZ249" s="71" t="n">
        <v>86500000</v>
      </c>
      <c r="BA249" s="71" t="n">
        <v>5292880.34</v>
      </c>
      <c r="BB249" s="71" t="n">
        <v>4311710.28</v>
      </c>
      <c r="BC249" s="69" t="inlineStr">
        <is>
          <t>Refinance</t>
        </is>
      </c>
      <c r="BD249" s="69" t="inlineStr">
        <is>
          <t>Y</t>
        </is>
      </c>
      <c r="BE249" s="71" t="n"/>
      <c r="BF249" s="71" t="n"/>
      <c r="BG249" s="71" t="n"/>
      <c r="BH249" s="71" t="n">
        <v>0</v>
      </c>
      <c r="BI249" s="71" t="n">
        <v>0</v>
      </c>
      <c r="BJ249" s="69" t="inlineStr">
        <is>
          <t>N</t>
        </is>
      </c>
      <c r="BK249" s="69" t="inlineStr">
        <is>
          <t>Kohl's Department Store</t>
        </is>
      </c>
      <c r="BL249" s="75" t="n">
        <v>36.04</v>
      </c>
      <c r="BM249" s="73" t="n">
        <v>47149</v>
      </c>
      <c r="BN249" s="69" t="inlineStr">
        <is>
          <t>Norman R. La Caze and Carole La Caze</t>
        </is>
      </c>
      <c r="BO249" s="69" t="inlineStr">
        <is>
          <t>Goldman Sachs</t>
        </is>
      </c>
      <c r="BP249" s="69" t="inlineStr">
        <is>
          <t>TriMont Real Estate Advisors</t>
        </is>
      </c>
      <c r="BQ249" s="69" t="inlineStr">
        <is>
          <t>K-Star Asset Management LLC</t>
        </is>
      </c>
      <c r="BR249" s="69" t="n"/>
      <c r="BS249" s="73" t="n">
        <v>46273</v>
      </c>
      <c r="BU249" s="76">
        <f>IF($C249="","",IFERROR(INDEX(dmName,MATCH($C249,dmID,0)),"Unmapped"))</f>
        <v/>
      </c>
      <c r="BV249" s="76">
        <f>IF($C249="","",IFERROR(INDEX(dmEntity,MATCH($C249,dmID,0)),"Unmapped"))</f>
        <v/>
      </c>
      <c r="BW249" s="77">
        <f>IF($C249="","",IFERROR(INDEX(dmVintage,MATCH($C249,dmID,0)),""))</f>
        <v/>
      </c>
      <c r="BX249" s="78">
        <f>IFERROR(INDEX(dmInclude,MATCH($C249,dmID,0)),0)</f>
        <v/>
      </c>
      <c r="BY249" s="78">
        <f>IF(N($I249)&gt;0,1,0)</f>
        <v/>
      </c>
      <c r="BZ249" s="76">
        <f>IF($AJ249="","Other / Leased Fee",IFERROR(INDEX(mapPTGroup,MATCH(LEFT(TRIM($AJ249),2),mapPTCode,0)),"Other / Leased Fee"))</f>
        <v/>
      </c>
      <c r="CA249" s="76">
        <f>IF(TRIM($AF249&amp;"")="","NR",LEFT(TRIM($AF249),2))</f>
        <v/>
      </c>
      <c r="CB249" s="76">
        <f>IFERROR(LOOKUP(2,1/(LEFT(TRIM($AI249&amp;""),LEN(mapRegion))=mapRegion),mapRegion),"Not Reported")</f>
        <v/>
      </c>
      <c r="CC249" s="76">
        <f>IF($BY249=0,"",IF(TRIM($W249&amp;"")="REO","REO",IF(TRIM($W249&amp;"")="FC","Foreclosure",IF(TRIM($W249&amp;"")="90+","90+ Days Delinquent",IF(TRIM($W249&amp;"")="60","60 Days Delinquent",IF(TRIM($W249&amp;"")="30","30 Days Delinquent",IF($X249="Non-Performing Matured Balloon","Non-Performing Matured Balloon",IF(OR($X249="Late Payment But Less Than 30 Days Delinquent",LEFT($X249&amp;"",20)="Payment Not Received"),"Late / In Grace (&lt;30 Days)",IF($X249="Performing Matured Balloon","Performing Matured Balloon","Current")))))))))</f>
        <v/>
      </c>
      <c r="CD249" s="78">
        <f>IF(OR($CC249="REO",$CC249="Foreclosure",$CC249="90+ Days Delinquent",$CC249="60 Days Delinquent",$CC249="30 Days Delinquent",$CC249="Non-Performing Matured Balloon"),1,0)</f>
        <v/>
      </c>
      <c r="CE249" s="76">
        <f>IF($AB249="Currently special serv","Currently Specially Serviced",IF($AB249="Returned to master serv","Previously Specially Serviced","Never Specially Serviced"))</f>
        <v/>
      </c>
      <c r="CF249" s="78">
        <f>IF($CE249="Currently Specially Serviced",1,0)</f>
        <v/>
      </c>
      <c r="CG249" s="76">
        <f>IF($AA249="Yes","Currently on Watchlist",IF($AA249="Previously","Previously on Watchlist","Never on Watchlist"))</f>
        <v/>
      </c>
      <c r="CH249" s="78">
        <f>IF($CG249="Currently on Watchlist",1,0)</f>
        <v/>
      </c>
      <c r="CI249" s="76">
        <f>IF($Z249="Full Defeasance","Fully Defeased",IF($Z249="Portion Of Loan Previously Defeased","Partially Defeased",IF($Z249="Defeasance Not Allowable","Not Defeased (Not Permitted)","Not Defeased")))</f>
        <v/>
      </c>
      <c r="CJ249" s="78">
        <f>IF($CI249="Fully Defeased",1,0)</f>
        <v/>
      </c>
      <c r="CK249" s="76">
        <f>IF($R249="IO","Full IO",IF(LEFT($R249&amp;"",7)="IO then","Partial IO","Amortizing"))</f>
        <v/>
      </c>
      <c r="CL249" s="78">
        <f>IF($CK249="Full IO",1,0)</f>
        <v/>
      </c>
      <c r="CM249" s="78">
        <f>IF($CK249="Partial IO",1,0)</f>
        <v/>
      </c>
      <c r="CN249" s="76">
        <f>IF(LEFT($F249&amp;"",10)="SPLIT_LOAN","Pari Passu Split","Standalone")</f>
        <v/>
      </c>
      <c r="CO249" s="78">
        <f>IF($CN249="Pari Passu Split",1,0)</f>
        <v/>
      </c>
      <c r="CP249" s="77">
        <f>IF(ISNUMBER($T249),YEAR($T249),"")</f>
        <v/>
      </c>
      <c r="CQ249" s="79">
        <f>IF(ISNUMBER($V249),$V249,IF(ISNUMBER($U249),$U249,""))</f>
        <v/>
      </c>
      <c r="CR249" s="77">
        <f>IF(ISNUMBER($CQ249),YEAR($CQ249),"")</f>
        <v/>
      </c>
      <c r="CS249" s="78">
        <f>IF(ISNUMBER($M249),MAX(0,$M249),IF(TRIM($M249&amp;"")="matured",0,""))</f>
        <v/>
      </c>
      <c r="CT249" s="78">
        <f>IF(AND(ISNUMBER($CS249),N($CS249)&lt;=mMatWindow),1,0)</f>
        <v/>
      </c>
      <c r="CU249" s="80">
        <f>IF(ISNUMBER($J249),$J249/100,"")</f>
        <v/>
      </c>
      <c r="CV249" s="81">
        <f>IF(ISNUMBER($AQ249),$AQ249,"")</f>
        <v/>
      </c>
      <c r="CW249" s="81">
        <f>IF(ISNUMBER($AR249),$AR249,"")</f>
        <v/>
      </c>
      <c r="CX249" s="82">
        <f>IF(ISNUMBER($AS249),$AS249/100,"")</f>
        <v/>
      </c>
      <c r="CY249" s="82">
        <f>IF(ISNUMBER($AT249),$AT249/100,"")</f>
        <v/>
      </c>
      <c r="CZ249" s="82">
        <f>IF(ISNUMBER($AU249),$AU249/100,"")</f>
        <v/>
      </c>
      <c r="DA249" s="82">
        <f>IF(ISNUMBER($AV249),$AV249/100,"")</f>
        <v/>
      </c>
      <c r="DB249" s="82">
        <f>IF(ISNUMBER($AW249),$AW249/100,"")</f>
        <v/>
      </c>
      <c r="DC249" s="82">
        <f>IF(ISNUMBER($AX249),$AX249/100,"")</f>
        <v/>
      </c>
      <c r="DD249" s="77">
        <f>IFERROR(VALUE(LEFT(TRIM($AO249&amp;""),4)),"")</f>
        <v/>
      </c>
      <c r="DE249" s="78">
        <f>IF(AND($BY249=1,$BX249=1,OR(fDeal="All Deals",$BU249=fDeal),OR(fEntity="All Entities",$BV249=fEntity),OR(fPType="All Property Types",$BZ249=fPType),OR(fDefeased="Include",$CJ249=0)),1,0)</f>
        <v/>
      </c>
      <c r="DF249" s="83">
        <f>$DE249*N($I249)</f>
        <v/>
      </c>
      <c r="DG249" s="78">
        <f>IF($DE249=1,IF(COUNTIFS($F$8:$F249,$F249,$DE$8:$DE249,1)=1,1,0),0)</f>
        <v/>
      </c>
      <c r="DH249" s="83">
        <f>IF($DG249=1,SUMIFS($DF$8:$DF$1600,$F$8:$F$1600,$F249),0)</f>
        <v/>
      </c>
      <c r="DI249" s="78">
        <f>IF($DG249=1,COUNTIFS($F$8:$F$1600,$F249,$DE$8:$DE$1600,1),0)</f>
        <v/>
      </c>
      <c r="DJ249" s="84">
        <f>IF($DG249=1,$DH249+(100000-ROW())/mTieBreak,0)</f>
        <v/>
      </c>
    </row>
    <row r="250">
      <c r="B250" s="68" t="n">
        <v>3</v>
      </c>
      <c r="C250" s="69" t="inlineStr">
        <is>
          <t>GS219G38</t>
        </is>
      </c>
      <c r="D250" s="69" t="inlineStr">
        <is>
          <t>3.000</t>
        </is>
      </c>
      <c r="E250" s="69" t="inlineStr">
        <is>
          <t>Pace Gallery HQ</t>
        </is>
      </c>
      <c r="F250" s="69" t="inlineStr">
        <is>
          <t>SPLIT_LOAN_01475</t>
        </is>
      </c>
      <c r="G250" s="70" t="n">
        <v>1475</v>
      </c>
      <c r="H250" s="71" t="n">
        <v>50000000</v>
      </c>
      <c r="I250" s="71" t="n">
        <v>50000000</v>
      </c>
      <c r="J250" s="72" t="n">
        <v>5.15</v>
      </c>
      <c r="K250" s="69" t="inlineStr">
        <is>
          <t>Fixed rate</t>
        </is>
      </c>
      <c r="L250" s="68" t="n">
        <v>120</v>
      </c>
      <c r="M250" s="68" t="n">
        <v>29</v>
      </c>
      <c r="N250" s="68" t="n">
        <v>120</v>
      </c>
      <c r="O250" s="68" t="n">
        <v>120</v>
      </c>
      <c r="P250" s="68" t="n">
        <v>29</v>
      </c>
      <c r="Q250" s="68" t="n">
        <v>91</v>
      </c>
      <c r="R250" s="69" t="inlineStr">
        <is>
          <t>IO</t>
        </is>
      </c>
      <c r="S250" s="69" t="inlineStr">
        <is>
          <t>Yes</t>
        </is>
      </c>
      <c r="T250" s="73" t="n">
        <v>43497</v>
      </c>
      <c r="U250" s="73" t="n">
        <v>47155</v>
      </c>
      <c r="V250" s="73" t="n"/>
      <c r="W250" s="69" t="n"/>
      <c r="X250" s="69" t="inlineStr">
        <is>
          <t>Current</t>
        </is>
      </c>
      <c r="Y250" s="68" t="n"/>
      <c r="Z250" s="69" t="inlineStr">
        <is>
          <t>No Defeasance Occurred</t>
        </is>
      </c>
      <c r="AA250" s="69" t="n"/>
      <c r="AB250" s="69" t="inlineStr">
        <is>
          <t>Never special serv</t>
        </is>
      </c>
      <c r="AC250" s="73" t="n"/>
      <c r="AD250" s="69" t="n"/>
      <c r="AE250" s="69" t="n"/>
      <c r="AF250" s="69" t="inlineStr">
        <is>
          <t>NY</t>
        </is>
      </c>
      <c r="AG250" s="69" t="inlineStr">
        <is>
          <t>New York</t>
        </is>
      </c>
      <c r="AH250" s="69" t="inlineStr">
        <is>
          <t>New York-Newark-Jersey City, NY-NJ</t>
        </is>
      </c>
      <c r="AI250" s="69" t="inlineStr">
        <is>
          <t>Northeast / Mid-Atlantic</t>
        </is>
      </c>
      <c r="AJ250" s="69" t="inlineStr">
        <is>
          <t>MX</t>
        </is>
      </c>
      <c r="AK250" s="69" t="n"/>
      <c r="AL250" s="68" t="n">
        <v>1</v>
      </c>
      <c r="AM250" s="68" t="n"/>
      <c r="AN250" s="68" t="n">
        <v>74563</v>
      </c>
      <c r="AO250" s="69" t="inlineStr">
        <is>
          <t>2018</t>
        </is>
      </c>
      <c r="AP250" s="70" t="n">
        <v>2018</v>
      </c>
      <c r="AQ250" s="74" t="n">
        <v>1.62</v>
      </c>
      <c r="AR250" s="74" t="n">
        <v>2.03</v>
      </c>
      <c r="AS250" s="74" t="n">
        <v>50</v>
      </c>
      <c r="AT250" s="74" t="n">
        <v>52.94</v>
      </c>
      <c r="AU250" s="74" t="n">
        <v>50</v>
      </c>
      <c r="AV250" s="74" t="n">
        <v>8.484675589</v>
      </c>
      <c r="AW250" s="74" t="n">
        <v>10.7098942</v>
      </c>
      <c r="AX250" s="75" t="n">
        <v>100</v>
      </c>
      <c r="AY250" s="71" t="n">
        <v>170000000</v>
      </c>
      <c r="AZ250" s="71" t="n">
        <v>170000000</v>
      </c>
      <c r="BA250" s="71" t="n">
        <v>7636208.03</v>
      </c>
      <c r="BB250" s="71" t="n">
        <v>4760123.67</v>
      </c>
      <c r="BC250" s="69" t="inlineStr">
        <is>
          <t>Refinance</t>
        </is>
      </c>
      <c r="BD250" s="69" t="inlineStr">
        <is>
          <t>N</t>
        </is>
      </c>
      <c r="BE250" s="71" t="n">
        <v>40000000</v>
      </c>
      <c r="BF250" s="71" t="n"/>
      <c r="BG250" s="71" t="n"/>
      <c r="BH250" s="71" t="n">
        <v>0</v>
      </c>
      <c r="BI250" s="71" t="n">
        <v>0</v>
      </c>
      <c r="BJ250" s="69" t="inlineStr">
        <is>
          <t>N</t>
        </is>
      </c>
      <c r="BK250" s="69" t="inlineStr">
        <is>
          <t>PACE &amp; PACE</t>
        </is>
      </c>
      <c r="BL250" s="75" t="n">
        <v>100.59</v>
      </c>
      <c r="BM250" s="73" t="n">
        <v>50753</v>
      </c>
      <c r="BN250" s="69" t="inlineStr">
        <is>
          <t>Samuel G. Weinberg</t>
        </is>
      </c>
      <c r="BO250" s="69" t="inlineStr">
        <is>
          <t>Citigroup Global Markets</t>
        </is>
      </c>
      <c r="BP250" s="69" t="inlineStr">
        <is>
          <t>TriMont Real Estate Advisors</t>
        </is>
      </c>
      <c r="BQ250" s="69" t="inlineStr">
        <is>
          <t>K-Star Asset Management LLC</t>
        </is>
      </c>
      <c r="BR250" s="69" t="n"/>
      <c r="BS250" s="73" t="n">
        <v>46273</v>
      </c>
      <c r="BU250" s="76">
        <f>IF($C250="","",IFERROR(INDEX(dmName,MATCH($C250,dmID,0)),"Unmapped"))</f>
        <v/>
      </c>
      <c r="BV250" s="76">
        <f>IF($C250="","",IFERROR(INDEX(dmEntity,MATCH($C250,dmID,0)),"Unmapped"))</f>
        <v/>
      </c>
      <c r="BW250" s="77">
        <f>IF($C250="","",IFERROR(INDEX(dmVintage,MATCH($C250,dmID,0)),""))</f>
        <v/>
      </c>
      <c r="BX250" s="78">
        <f>IFERROR(INDEX(dmInclude,MATCH($C250,dmID,0)),0)</f>
        <v/>
      </c>
      <c r="BY250" s="78">
        <f>IF(N($I250)&gt;0,1,0)</f>
        <v/>
      </c>
      <c r="BZ250" s="76">
        <f>IF($AJ250="","Other / Leased Fee",IFERROR(INDEX(mapPTGroup,MATCH(LEFT(TRIM($AJ250),2),mapPTCode,0)),"Other / Leased Fee"))</f>
        <v/>
      </c>
      <c r="CA250" s="76">
        <f>IF(TRIM($AF250&amp;"")="","NR",LEFT(TRIM($AF250),2))</f>
        <v/>
      </c>
      <c r="CB250" s="76">
        <f>IFERROR(LOOKUP(2,1/(LEFT(TRIM($AI250&amp;""),LEN(mapRegion))=mapRegion),mapRegion),"Not Reported")</f>
        <v/>
      </c>
      <c r="CC250" s="76">
        <f>IF($BY250=0,"",IF(TRIM($W250&amp;"")="REO","REO",IF(TRIM($W250&amp;"")="FC","Foreclosure",IF(TRIM($W250&amp;"")="90+","90+ Days Delinquent",IF(TRIM($W250&amp;"")="60","60 Days Delinquent",IF(TRIM($W250&amp;"")="30","30 Days Delinquent",IF($X250="Non-Performing Matured Balloon","Non-Performing Matured Balloon",IF(OR($X250="Late Payment But Less Than 30 Days Delinquent",LEFT($X250&amp;"",20)="Payment Not Received"),"Late / In Grace (&lt;30 Days)",IF($X250="Performing Matured Balloon","Performing Matured Balloon","Current")))))))))</f>
        <v/>
      </c>
      <c r="CD250" s="78">
        <f>IF(OR($CC250="REO",$CC250="Foreclosure",$CC250="90+ Days Delinquent",$CC250="60 Days Delinquent",$CC250="30 Days Delinquent",$CC250="Non-Performing Matured Balloon"),1,0)</f>
        <v/>
      </c>
      <c r="CE250" s="76">
        <f>IF($AB250="Currently special serv","Currently Specially Serviced",IF($AB250="Returned to master serv","Previously Specially Serviced","Never Specially Serviced"))</f>
        <v/>
      </c>
      <c r="CF250" s="78">
        <f>IF($CE250="Currently Specially Serviced",1,0)</f>
        <v/>
      </c>
      <c r="CG250" s="76">
        <f>IF($AA250="Yes","Currently on Watchlist",IF($AA250="Previously","Previously on Watchlist","Never on Watchlist"))</f>
        <v/>
      </c>
      <c r="CH250" s="78">
        <f>IF($CG250="Currently on Watchlist",1,0)</f>
        <v/>
      </c>
      <c r="CI250" s="76">
        <f>IF($Z250="Full Defeasance","Fully Defeased",IF($Z250="Portion Of Loan Previously Defeased","Partially Defeased",IF($Z250="Defeasance Not Allowable","Not Defeased (Not Permitted)","Not Defeased")))</f>
        <v/>
      </c>
      <c r="CJ250" s="78">
        <f>IF($CI250="Fully Defeased",1,0)</f>
        <v/>
      </c>
      <c r="CK250" s="76">
        <f>IF($R250="IO","Full IO",IF(LEFT($R250&amp;"",7)="IO then","Partial IO","Amortizing"))</f>
        <v/>
      </c>
      <c r="CL250" s="78">
        <f>IF($CK250="Full IO",1,0)</f>
        <v/>
      </c>
      <c r="CM250" s="78">
        <f>IF($CK250="Partial IO",1,0)</f>
        <v/>
      </c>
      <c r="CN250" s="76">
        <f>IF(LEFT($F250&amp;"",10)="SPLIT_LOAN","Pari Passu Split","Standalone")</f>
        <v/>
      </c>
      <c r="CO250" s="78">
        <f>IF($CN250="Pari Passu Split",1,0)</f>
        <v/>
      </c>
      <c r="CP250" s="77">
        <f>IF(ISNUMBER($T250),YEAR($T250),"")</f>
        <v/>
      </c>
      <c r="CQ250" s="79">
        <f>IF(ISNUMBER($V250),$V250,IF(ISNUMBER($U250),$U250,""))</f>
        <v/>
      </c>
      <c r="CR250" s="77">
        <f>IF(ISNUMBER($CQ250),YEAR($CQ250),"")</f>
        <v/>
      </c>
      <c r="CS250" s="78">
        <f>IF(ISNUMBER($M250),MAX(0,$M250),IF(TRIM($M250&amp;"")="matured",0,""))</f>
        <v/>
      </c>
      <c r="CT250" s="78">
        <f>IF(AND(ISNUMBER($CS250),N($CS250)&lt;=mMatWindow),1,0)</f>
        <v/>
      </c>
      <c r="CU250" s="80">
        <f>IF(ISNUMBER($J250),$J250/100,"")</f>
        <v/>
      </c>
      <c r="CV250" s="81">
        <f>IF(ISNUMBER($AQ250),$AQ250,"")</f>
        <v/>
      </c>
      <c r="CW250" s="81">
        <f>IF(ISNUMBER($AR250),$AR250,"")</f>
        <v/>
      </c>
      <c r="CX250" s="82">
        <f>IF(ISNUMBER($AS250),$AS250/100,"")</f>
        <v/>
      </c>
      <c r="CY250" s="82">
        <f>IF(ISNUMBER($AT250),$AT250/100,"")</f>
        <v/>
      </c>
      <c r="CZ250" s="82">
        <f>IF(ISNUMBER($AU250),$AU250/100,"")</f>
        <v/>
      </c>
      <c r="DA250" s="82">
        <f>IF(ISNUMBER($AV250),$AV250/100,"")</f>
        <v/>
      </c>
      <c r="DB250" s="82">
        <f>IF(ISNUMBER($AW250),$AW250/100,"")</f>
        <v/>
      </c>
      <c r="DC250" s="82">
        <f>IF(ISNUMBER($AX250),$AX250/100,"")</f>
        <v/>
      </c>
      <c r="DD250" s="77">
        <f>IFERROR(VALUE(LEFT(TRIM($AO250&amp;""),4)),"")</f>
        <v/>
      </c>
      <c r="DE250" s="78">
        <f>IF(AND($BY250=1,$BX250=1,OR(fDeal="All Deals",$BU250=fDeal),OR(fEntity="All Entities",$BV250=fEntity),OR(fPType="All Property Types",$BZ250=fPType),OR(fDefeased="Include",$CJ250=0)),1,0)</f>
        <v/>
      </c>
      <c r="DF250" s="83">
        <f>$DE250*N($I250)</f>
        <v/>
      </c>
      <c r="DG250" s="78">
        <f>IF($DE250=1,IF(COUNTIFS($F$8:$F250,$F250,$DE$8:$DE250,1)=1,1,0),0)</f>
        <v/>
      </c>
      <c r="DH250" s="83">
        <f>IF($DG250=1,SUMIFS($DF$8:$DF$1600,$F$8:$F$1600,$F250),0)</f>
        <v/>
      </c>
      <c r="DI250" s="78">
        <f>IF($DG250=1,COUNTIFS($F$8:$F$1600,$F250,$DE$8:$DE$1600,1),0)</f>
        <v/>
      </c>
      <c r="DJ250" s="84">
        <f>IF($DG250=1,$DH250+(100000-ROW())/mTieBreak,0)</f>
        <v/>
      </c>
    </row>
    <row r="251">
      <c r="B251" s="68" t="n">
        <v>4</v>
      </c>
      <c r="C251" s="69" t="inlineStr">
        <is>
          <t>GS219G38</t>
        </is>
      </c>
      <c r="D251" s="69" t="inlineStr">
        <is>
          <t>4.000</t>
        </is>
      </c>
      <c r="E251" s="69" t="inlineStr">
        <is>
          <t>Heitman Life Storage Portfolio</t>
        </is>
      </c>
      <c r="F251" s="69" t="inlineStr">
        <is>
          <t>LNGS219G38-4.000</t>
        </is>
      </c>
      <c r="G251" s="70" t="n"/>
      <c r="H251" s="71" t="n">
        <v>45350000</v>
      </c>
      <c r="I251" s="71" t="n">
        <v>45350000</v>
      </c>
      <c r="J251" s="72" t="n">
        <v>4.408</v>
      </c>
      <c r="K251" s="69" t="inlineStr">
        <is>
          <t>Fixed rate</t>
        </is>
      </c>
      <c r="L251" s="68" t="n">
        <v>120</v>
      </c>
      <c r="M251" s="68" t="n">
        <v>28</v>
      </c>
      <c r="N251" s="68" t="n">
        <v>120</v>
      </c>
      <c r="O251" s="68" t="n">
        <v>120</v>
      </c>
      <c r="P251" s="68" t="n">
        <v>28</v>
      </c>
      <c r="Q251" s="68" t="n">
        <v>92</v>
      </c>
      <c r="R251" s="69" t="inlineStr">
        <is>
          <t>IO</t>
        </is>
      </c>
      <c r="S251" s="69" t="inlineStr">
        <is>
          <t>Yes</t>
        </is>
      </c>
      <c r="T251" s="73" t="n">
        <v>43466</v>
      </c>
      <c r="U251" s="73" t="n">
        <v>47124</v>
      </c>
      <c r="V251" s="73" t="n"/>
      <c r="W251" s="69" t="n"/>
      <c r="X251" s="69" t="inlineStr">
        <is>
          <t>Current</t>
        </is>
      </c>
      <c r="Y251" s="68" t="n"/>
      <c r="Z251" s="69" t="inlineStr">
        <is>
          <t>No Defeasance Occurred</t>
        </is>
      </c>
      <c r="AA251" s="69" t="inlineStr">
        <is>
          <t>Previously</t>
        </is>
      </c>
      <c r="AB251" s="69" t="inlineStr">
        <is>
          <t>Never special serv</t>
        </is>
      </c>
      <c r="AC251" s="73" t="n"/>
      <c r="AD251" s="69" t="n"/>
      <c r="AE251" s="69" t="n"/>
      <c r="AF251" s="69" t="inlineStr">
        <is>
          <t>TX-58.377075845% AZ-16.829101680% NC-10.562291050% FL-7.834620774% VA-6.396910652%</t>
        </is>
      </c>
      <c r="AG251" s="69" t="n"/>
      <c r="AH251" s="69" t="inlineStr">
        <is>
          <t>Austin-Round Rock-San Marcos, TX-29.001102895% Houston-Pasadena-The Woodlands, TX-17.250281724% Phoenix-Mesa-Chandler, AZ-16.829101680% Durham-Chapel Hill, NC-10.562291050% Miami-Fort Lauderdale-West Palm Beach, FL-7.834620774% Virginia Beach-Chesapeake-Norfolk, VA-NC-6.396910652% San Antonio-New Braunfels, TX-6.357220641% Dallas-Fort Worth-Arlington, TX-5.768470586%</t>
        </is>
      </c>
      <c r="AI251" s="69" t="inlineStr">
        <is>
          <t>South / Central West-58.377075845% South / Atlantic-24.793822475% West / Mountain-16.829101680%</t>
        </is>
      </c>
      <c r="AJ251" s="69" t="inlineStr">
        <is>
          <t>SS</t>
        </is>
      </c>
      <c r="AK251" s="69" t="n"/>
      <c r="AL251" s="68" t="n">
        <v>12</v>
      </c>
      <c r="AM251" s="68" t="n"/>
      <c r="AN251" s="68" t="n">
        <v>772483</v>
      </c>
      <c r="AO251" s="69" t="n"/>
      <c r="AP251" s="70" t="n">
        <v>2007</v>
      </c>
      <c r="AQ251" s="74" t="n">
        <v>2.6</v>
      </c>
      <c r="AR251" s="74" t="n">
        <v>3.61</v>
      </c>
      <c r="AS251" s="74" t="n">
        <v>49.1</v>
      </c>
      <c r="AT251" s="74" t="n">
        <v>49.11</v>
      </c>
      <c r="AU251" s="74" t="n">
        <v>49.1</v>
      </c>
      <c r="AV251" s="74" t="n">
        <v>11.608620309</v>
      </c>
      <c r="AW251" s="74" t="n">
        <v>16.144886725</v>
      </c>
      <c r="AX251" s="75" t="n">
        <v>94</v>
      </c>
      <c r="AY251" s="71" t="n">
        <v>92340000</v>
      </c>
      <c r="AZ251" s="71" t="n">
        <v>92340000</v>
      </c>
      <c r="BA251" s="71" t="n">
        <v>5264509.31</v>
      </c>
      <c r="BB251" s="71" t="n">
        <v>7321706.13</v>
      </c>
      <c r="BC251" s="69" t="inlineStr">
        <is>
          <t>Acquisition</t>
        </is>
      </c>
      <c r="BD251" s="69" t="inlineStr">
        <is>
          <t>N</t>
        </is>
      </c>
      <c r="BE251" s="71" t="n"/>
      <c r="BF251" s="71" t="n"/>
      <c r="BG251" s="71" t="n"/>
      <c r="BH251" s="71" t="n">
        <v>0</v>
      </c>
      <c r="BI251" s="71" t="n">
        <v>0</v>
      </c>
      <c r="BJ251" s="69" t="inlineStr">
        <is>
          <t>N</t>
        </is>
      </c>
      <c r="BK251" s="69" t="n"/>
      <c r="BL251" s="75" t="n"/>
      <c r="BM251" s="73" t="n"/>
      <c r="BN251" s="69" t="n"/>
      <c r="BO251" s="69" t="inlineStr">
        <is>
          <t>Goldman Sachs</t>
        </is>
      </c>
      <c r="BP251" s="69" t="inlineStr">
        <is>
          <t>TriMont Real Estate Advisors</t>
        </is>
      </c>
      <c r="BQ251" s="69" t="inlineStr">
        <is>
          <t>K-Star Asset Management LLC</t>
        </is>
      </c>
      <c r="BR251" s="69" t="n"/>
      <c r="BS251" s="73" t="n">
        <v>46273</v>
      </c>
      <c r="BU251" s="76">
        <f>IF($C251="","",IFERROR(INDEX(dmName,MATCH($C251,dmID,0)),"Unmapped"))</f>
        <v/>
      </c>
      <c r="BV251" s="76">
        <f>IF($C251="","",IFERROR(INDEX(dmEntity,MATCH($C251,dmID,0)),"Unmapped"))</f>
        <v/>
      </c>
      <c r="BW251" s="77">
        <f>IF($C251="","",IFERROR(INDEX(dmVintage,MATCH($C251,dmID,0)),""))</f>
        <v/>
      </c>
      <c r="BX251" s="78">
        <f>IFERROR(INDEX(dmInclude,MATCH($C251,dmID,0)),0)</f>
        <v/>
      </c>
      <c r="BY251" s="78">
        <f>IF(N($I251)&gt;0,1,0)</f>
        <v/>
      </c>
      <c r="BZ251" s="76">
        <f>IF($AJ251="","Other / Leased Fee",IFERROR(INDEX(mapPTGroup,MATCH(LEFT(TRIM($AJ251),2),mapPTCode,0)),"Other / Leased Fee"))</f>
        <v/>
      </c>
      <c r="CA251" s="76">
        <f>IF(TRIM($AF251&amp;"")="","NR",LEFT(TRIM($AF251),2))</f>
        <v/>
      </c>
      <c r="CB251" s="76">
        <f>IFERROR(LOOKUP(2,1/(LEFT(TRIM($AI251&amp;""),LEN(mapRegion))=mapRegion),mapRegion),"Not Reported")</f>
        <v/>
      </c>
      <c r="CC251" s="76">
        <f>IF($BY251=0,"",IF(TRIM($W251&amp;"")="REO","REO",IF(TRIM($W251&amp;"")="FC","Foreclosure",IF(TRIM($W251&amp;"")="90+","90+ Days Delinquent",IF(TRIM($W251&amp;"")="60","60 Days Delinquent",IF(TRIM($W251&amp;"")="30","30 Days Delinquent",IF($X251="Non-Performing Matured Balloon","Non-Performing Matured Balloon",IF(OR($X251="Late Payment But Less Than 30 Days Delinquent",LEFT($X251&amp;"",20)="Payment Not Received"),"Late / In Grace (&lt;30 Days)",IF($X251="Performing Matured Balloon","Performing Matured Balloon","Current")))))))))</f>
        <v/>
      </c>
      <c r="CD251" s="78">
        <f>IF(OR($CC251="REO",$CC251="Foreclosure",$CC251="90+ Days Delinquent",$CC251="60 Days Delinquent",$CC251="30 Days Delinquent",$CC251="Non-Performing Matured Balloon"),1,0)</f>
        <v/>
      </c>
      <c r="CE251" s="76">
        <f>IF($AB251="Currently special serv","Currently Specially Serviced",IF($AB251="Returned to master serv","Previously Specially Serviced","Never Specially Serviced"))</f>
        <v/>
      </c>
      <c r="CF251" s="78">
        <f>IF($CE251="Currently Specially Serviced",1,0)</f>
        <v/>
      </c>
      <c r="CG251" s="76">
        <f>IF($AA251="Yes","Currently on Watchlist",IF($AA251="Previously","Previously on Watchlist","Never on Watchlist"))</f>
        <v/>
      </c>
      <c r="CH251" s="78">
        <f>IF($CG251="Currently on Watchlist",1,0)</f>
        <v/>
      </c>
      <c r="CI251" s="76">
        <f>IF($Z251="Full Defeasance","Fully Defeased",IF($Z251="Portion Of Loan Previously Defeased","Partially Defeased",IF($Z251="Defeasance Not Allowable","Not Defeased (Not Permitted)","Not Defeased")))</f>
        <v/>
      </c>
      <c r="CJ251" s="78">
        <f>IF($CI251="Fully Defeased",1,0)</f>
        <v/>
      </c>
      <c r="CK251" s="76">
        <f>IF($R251="IO","Full IO",IF(LEFT($R251&amp;"",7)="IO then","Partial IO","Amortizing"))</f>
        <v/>
      </c>
      <c r="CL251" s="78">
        <f>IF($CK251="Full IO",1,0)</f>
        <v/>
      </c>
      <c r="CM251" s="78">
        <f>IF($CK251="Partial IO",1,0)</f>
        <v/>
      </c>
      <c r="CN251" s="76">
        <f>IF(LEFT($F251&amp;"",10)="SPLIT_LOAN","Pari Passu Split","Standalone")</f>
        <v/>
      </c>
      <c r="CO251" s="78">
        <f>IF($CN251="Pari Passu Split",1,0)</f>
        <v/>
      </c>
      <c r="CP251" s="77">
        <f>IF(ISNUMBER($T251),YEAR($T251),"")</f>
        <v/>
      </c>
      <c r="CQ251" s="79">
        <f>IF(ISNUMBER($V251),$V251,IF(ISNUMBER($U251),$U251,""))</f>
        <v/>
      </c>
      <c r="CR251" s="77">
        <f>IF(ISNUMBER($CQ251),YEAR($CQ251),"")</f>
        <v/>
      </c>
      <c r="CS251" s="78">
        <f>IF(ISNUMBER($M251),MAX(0,$M251),IF(TRIM($M251&amp;"")="matured",0,""))</f>
        <v/>
      </c>
      <c r="CT251" s="78">
        <f>IF(AND(ISNUMBER($CS251),N($CS251)&lt;=mMatWindow),1,0)</f>
        <v/>
      </c>
      <c r="CU251" s="80">
        <f>IF(ISNUMBER($J251),$J251/100,"")</f>
        <v/>
      </c>
      <c r="CV251" s="81">
        <f>IF(ISNUMBER($AQ251),$AQ251,"")</f>
        <v/>
      </c>
      <c r="CW251" s="81">
        <f>IF(ISNUMBER($AR251),$AR251,"")</f>
        <v/>
      </c>
      <c r="CX251" s="82">
        <f>IF(ISNUMBER($AS251),$AS251/100,"")</f>
        <v/>
      </c>
      <c r="CY251" s="82">
        <f>IF(ISNUMBER($AT251),$AT251/100,"")</f>
        <v/>
      </c>
      <c r="CZ251" s="82">
        <f>IF(ISNUMBER($AU251),$AU251/100,"")</f>
        <v/>
      </c>
      <c r="DA251" s="82">
        <f>IF(ISNUMBER($AV251),$AV251/100,"")</f>
        <v/>
      </c>
      <c r="DB251" s="82">
        <f>IF(ISNUMBER($AW251),$AW251/100,"")</f>
        <v/>
      </c>
      <c r="DC251" s="82">
        <f>IF(ISNUMBER($AX251),$AX251/100,"")</f>
        <v/>
      </c>
      <c r="DD251" s="77">
        <f>IFERROR(VALUE(LEFT(TRIM($AO251&amp;""),4)),"")</f>
        <v/>
      </c>
      <c r="DE251" s="78">
        <f>IF(AND($BY251=1,$BX251=1,OR(fDeal="All Deals",$BU251=fDeal),OR(fEntity="All Entities",$BV251=fEntity),OR(fPType="All Property Types",$BZ251=fPType),OR(fDefeased="Include",$CJ251=0)),1,0)</f>
        <v/>
      </c>
      <c r="DF251" s="83">
        <f>$DE251*N($I251)</f>
        <v/>
      </c>
      <c r="DG251" s="78">
        <f>IF($DE251=1,IF(COUNTIFS($F$8:$F251,$F251,$DE$8:$DE251,1)=1,1,0),0)</f>
        <v/>
      </c>
      <c r="DH251" s="83">
        <f>IF($DG251=1,SUMIFS($DF$8:$DF$1600,$F$8:$F$1600,$F251),0)</f>
        <v/>
      </c>
      <c r="DI251" s="78">
        <f>IF($DG251=1,COUNTIFS($F$8:$F$1600,$F251,$DE$8:$DE$1600,1),0)</f>
        <v/>
      </c>
      <c r="DJ251" s="84">
        <f>IF($DG251=1,$DH251+(100000-ROW())/mTieBreak,0)</f>
        <v/>
      </c>
    </row>
    <row r="252">
      <c r="B252" s="68" t="n">
        <v>5</v>
      </c>
      <c r="C252" s="69" t="inlineStr">
        <is>
          <t>GS219G38</t>
        </is>
      </c>
      <c r="D252" s="69" t="inlineStr">
        <is>
          <t>5.000</t>
        </is>
      </c>
      <c r="E252" s="69" t="inlineStr">
        <is>
          <t>Albertsons Industrial - IL</t>
        </is>
      </c>
      <c r="F252" s="69" t="inlineStr">
        <is>
          <t>LNGS219G38-5.000</t>
        </is>
      </c>
      <c r="G252" s="70" t="n"/>
      <c r="H252" s="71" t="n">
        <v>41400000</v>
      </c>
      <c r="I252" s="71" t="n">
        <v>41400000</v>
      </c>
      <c r="J252" s="72" t="n">
        <v>3.86</v>
      </c>
      <c r="K252" s="69" t="inlineStr">
        <is>
          <t>Fixed rate</t>
        </is>
      </c>
      <c r="L252" s="68" t="n">
        <v>120</v>
      </c>
      <c r="M252" s="68" t="n">
        <v>28</v>
      </c>
      <c r="N252" s="68" t="n">
        <v>120</v>
      </c>
      <c r="O252" s="68" t="n">
        <v>120</v>
      </c>
      <c r="P252" s="68" t="n">
        <v>28</v>
      </c>
      <c r="Q252" s="68" t="n">
        <v>92</v>
      </c>
      <c r="R252" s="69" t="inlineStr">
        <is>
          <t>IO</t>
        </is>
      </c>
      <c r="S252" s="69" t="inlineStr">
        <is>
          <t>Yes</t>
        </is>
      </c>
      <c r="T252" s="73" t="n">
        <v>43466</v>
      </c>
      <c r="U252" s="73" t="n">
        <v>48950</v>
      </c>
      <c r="V252" s="73" t="n">
        <v>47124</v>
      </c>
      <c r="W252" s="69" t="n"/>
      <c r="X252" s="69" t="inlineStr">
        <is>
          <t>Current</t>
        </is>
      </c>
      <c r="Y252" s="68" t="n"/>
      <c r="Z252" s="69" t="inlineStr">
        <is>
          <t>Defeasance Not Allowable</t>
        </is>
      </c>
      <c r="AA252" s="69" t="inlineStr">
        <is>
          <t>Previously</t>
        </is>
      </c>
      <c r="AB252" s="69" t="inlineStr">
        <is>
          <t>Never special serv</t>
        </is>
      </c>
      <c r="AC252" s="73" t="n"/>
      <c r="AD252" s="69" t="n"/>
      <c r="AE252" s="69" t="n"/>
      <c r="AF252" s="69" t="inlineStr">
        <is>
          <t>IL</t>
        </is>
      </c>
      <c r="AG252" s="69" t="inlineStr">
        <is>
          <t>Melrose Park</t>
        </is>
      </c>
      <c r="AH252" s="69" t="inlineStr">
        <is>
          <t>Chicago-Naperville-Elgin, IL-IN</t>
        </is>
      </c>
      <c r="AI252" s="69" t="inlineStr">
        <is>
          <t>Midwest / Central East</t>
        </is>
      </c>
      <c r="AJ252" s="69" t="inlineStr">
        <is>
          <t>IN</t>
        </is>
      </c>
      <c r="AK252" s="69" t="inlineStr">
        <is>
          <t>Warehouse/Distribution</t>
        </is>
      </c>
      <c r="AL252" s="68" t="n">
        <v>1</v>
      </c>
      <c r="AM252" s="68" t="n"/>
      <c r="AN252" s="68" t="n">
        <v>1561613</v>
      </c>
      <c r="AO252" s="69" t="inlineStr">
        <is>
          <t>1955</t>
        </is>
      </c>
      <c r="AP252" s="70" t="n">
        <v>2000</v>
      </c>
      <c r="AQ252" s="74" t="n">
        <v>4.34</v>
      </c>
      <c r="AR252" s="74" t="n">
        <v>5.11</v>
      </c>
      <c r="AS252" s="74" t="n">
        <v>32.9</v>
      </c>
      <c r="AT252" s="74" t="n">
        <v>32.86</v>
      </c>
      <c r="AU252" s="74" t="n">
        <v>32.9</v>
      </c>
      <c r="AV252" s="74" t="n">
        <v>16.974680435</v>
      </c>
      <c r="AW252" s="74" t="n">
        <v>19.526017778</v>
      </c>
      <c r="AX252" s="75" t="n">
        <v>100</v>
      </c>
      <c r="AY252" s="71" t="n">
        <v>126000000</v>
      </c>
      <c r="AZ252" s="71" t="n">
        <v>126000000</v>
      </c>
      <c r="BA252" s="71" t="n">
        <v>7027517.7</v>
      </c>
      <c r="BB252" s="71" t="n">
        <v>4128662.85</v>
      </c>
      <c r="BC252" s="69" t="inlineStr">
        <is>
          <t>Acquisition</t>
        </is>
      </c>
      <c r="BD252" s="69" t="inlineStr">
        <is>
          <t>N</t>
        </is>
      </c>
      <c r="BE252" s="71" t="n"/>
      <c r="BF252" s="71" t="n"/>
      <c r="BG252" s="71" t="n">
        <v>53062500</v>
      </c>
      <c r="BH252" s="71" t="n">
        <v>0</v>
      </c>
      <c r="BI252" s="71" t="n">
        <v>0</v>
      </c>
      <c r="BJ252" s="69" t="inlineStr">
        <is>
          <t>N</t>
        </is>
      </c>
      <c r="BK252" s="69" t="inlineStr">
        <is>
          <t>Albertson's</t>
        </is>
      </c>
      <c r="BL252" s="75" t="n">
        <v>100</v>
      </c>
      <c r="BM252" s="73" t="n">
        <v>50770</v>
      </c>
      <c r="BN252" s="69" t="inlineStr">
        <is>
          <t>USRA Net Lease III Capital Corp.</t>
        </is>
      </c>
      <c r="BO252" s="69" t="inlineStr">
        <is>
          <t>Goldman Sachs</t>
        </is>
      </c>
      <c r="BP252" s="69" t="inlineStr">
        <is>
          <t>TriMont Real Estate Advisors</t>
        </is>
      </c>
      <c r="BQ252" s="69" t="inlineStr">
        <is>
          <t>K-Star Asset Management LLC</t>
        </is>
      </c>
      <c r="BR252" s="69" t="n"/>
      <c r="BS252" s="73" t="n">
        <v>46273</v>
      </c>
      <c r="BU252" s="76">
        <f>IF($C252="","",IFERROR(INDEX(dmName,MATCH($C252,dmID,0)),"Unmapped"))</f>
        <v/>
      </c>
      <c r="BV252" s="76">
        <f>IF($C252="","",IFERROR(INDEX(dmEntity,MATCH($C252,dmID,0)),"Unmapped"))</f>
        <v/>
      </c>
      <c r="BW252" s="77">
        <f>IF($C252="","",IFERROR(INDEX(dmVintage,MATCH($C252,dmID,0)),""))</f>
        <v/>
      </c>
      <c r="BX252" s="78">
        <f>IFERROR(INDEX(dmInclude,MATCH($C252,dmID,0)),0)</f>
        <v/>
      </c>
      <c r="BY252" s="78">
        <f>IF(N($I252)&gt;0,1,0)</f>
        <v/>
      </c>
      <c r="BZ252" s="76">
        <f>IF($AJ252="","Other / Leased Fee",IFERROR(INDEX(mapPTGroup,MATCH(LEFT(TRIM($AJ252),2),mapPTCode,0)),"Other / Leased Fee"))</f>
        <v/>
      </c>
      <c r="CA252" s="76">
        <f>IF(TRIM($AF252&amp;"")="","NR",LEFT(TRIM($AF252),2))</f>
        <v/>
      </c>
      <c r="CB252" s="76">
        <f>IFERROR(LOOKUP(2,1/(LEFT(TRIM($AI252&amp;""),LEN(mapRegion))=mapRegion),mapRegion),"Not Reported")</f>
        <v/>
      </c>
      <c r="CC252" s="76">
        <f>IF($BY252=0,"",IF(TRIM($W252&amp;"")="REO","REO",IF(TRIM($W252&amp;"")="FC","Foreclosure",IF(TRIM($W252&amp;"")="90+","90+ Days Delinquent",IF(TRIM($W252&amp;"")="60","60 Days Delinquent",IF(TRIM($W252&amp;"")="30","30 Days Delinquent",IF($X252="Non-Performing Matured Balloon","Non-Performing Matured Balloon",IF(OR($X252="Late Payment But Less Than 30 Days Delinquent",LEFT($X252&amp;"",20)="Payment Not Received"),"Late / In Grace (&lt;30 Days)",IF($X252="Performing Matured Balloon","Performing Matured Balloon","Current")))))))))</f>
        <v/>
      </c>
      <c r="CD252" s="78">
        <f>IF(OR($CC252="REO",$CC252="Foreclosure",$CC252="90+ Days Delinquent",$CC252="60 Days Delinquent",$CC252="30 Days Delinquent",$CC252="Non-Performing Matured Balloon"),1,0)</f>
        <v/>
      </c>
      <c r="CE252" s="76">
        <f>IF($AB252="Currently special serv","Currently Specially Serviced",IF($AB252="Returned to master serv","Previously Specially Serviced","Never Specially Serviced"))</f>
        <v/>
      </c>
      <c r="CF252" s="78">
        <f>IF($CE252="Currently Specially Serviced",1,0)</f>
        <v/>
      </c>
      <c r="CG252" s="76">
        <f>IF($AA252="Yes","Currently on Watchlist",IF($AA252="Previously","Previously on Watchlist","Never on Watchlist"))</f>
        <v/>
      </c>
      <c r="CH252" s="78">
        <f>IF($CG252="Currently on Watchlist",1,0)</f>
        <v/>
      </c>
      <c r="CI252" s="76">
        <f>IF($Z252="Full Defeasance","Fully Defeased",IF($Z252="Portion Of Loan Previously Defeased","Partially Defeased",IF($Z252="Defeasance Not Allowable","Not Defeased (Not Permitted)","Not Defeased")))</f>
        <v/>
      </c>
      <c r="CJ252" s="78">
        <f>IF($CI252="Fully Defeased",1,0)</f>
        <v/>
      </c>
      <c r="CK252" s="76">
        <f>IF($R252="IO","Full IO",IF(LEFT($R252&amp;"",7)="IO then","Partial IO","Amortizing"))</f>
        <v/>
      </c>
      <c r="CL252" s="78">
        <f>IF($CK252="Full IO",1,0)</f>
        <v/>
      </c>
      <c r="CM252" s="78">
        <f>IF($CK252="Partial IO",1,0)</f>
        <v/>
      </c>
      <c r="CN252" s="76">
        <f>IF(LEFT($F252&amp;"",10)="SPLIT_LOAN","Pari Passu Split","Standalone")</f>
        <v/>
      </c>
      <c r="CO252" s="78">
        <f>IF($CN252="Pari Passu Split",1,0)</f>
        <v/>
      </c>
      <c r="CP252" s="77">
        <f>IF(ISNUMBER($T252),YEAR($T252),"")</f>
        <v/>
      </c>
      <c r="CQ252" s="79">
        <f>IF(ISNUMBER($V252),$V252,IF(ISNUMBER($U252),$U252,""))</f>
        <v/>
      </c>
      <c r="CR252" s="77">
        <f>IF(ISNUMBER($CQ252),YEAR($CQ252),"")</f>
        <v/>
      </c>
      <c r="CS252" s="78">
        <f>IF(ISNUMBER($M252),MAX(0,$M252),IF(TRIM($M252&amp;"")="matured",0,""))</f>
        <v/>
      </c>
      <c r="CT252" s="78">
        <f>IF(AND(ISNUMBER($CS252),N($CS252)&lt;=mMatWindow),1,0)</f>
        <v/>
      </c>
      <c r="CU252" s="80">
        <f>IF(ISNUMBER($J252),$J252/100,"")</f>
        <v/>
      </c>
      <c r="CV252" s="81">
        <f>IF(ISNUMBER($AQ252),$AQ252,"")</f>
        <v/>
      </c>
      <c r="CW252" s="81">
        <f>IF(ISNUMBER($AR252),$AR252,"")</f>
        <v/>
      </c>
      <c r="CX252" s="82">
        <f>IF(ISNUMBER($AS252),$AS252/100,"")</f>
        <v/>
      </c>
      <c r="CY252" s="82">
        <f>IF(ISNUMBER($AT252),$AT252/100,"")</f>
        <v/>
      </c>
      <c r="CZ252" s="82">
        <f>IF(ISNUMBER($AU252),$AU252/100,"")</f>
        <v/>
      </c>
      <c r="DA252" s="82">
        <f>IF(ISNUMBER($AV252),$AV252/100,"")</f>
        <v/>
      </c>
      <c r="DB252" s="82">
        <f>IF(ISNUMBER($AW252),$AW252/100,"")</f>
        <v/>
      </c>
      <c r="DC252" s="82">
        <f>IF(ISNUMBER($AX252),$AX252/100,"")</f>
        <v/>
      </c>
      <c r="DD252" s="77">
        <f>IFERROR(VALUE(LEFT(TRIM($AO252&amp;""),4)),"")</f>
        <v/>
      </c>
      <c r="DE252" s="78">
        <f>IF(AND($BY252=1,$BX252=1,OR(fDeal="All Deals",$BU252=fDeal),OR(fEntity="All Entities",$BV252=fEntity),OR(fPType="All Property Types",$BZ252=fPType),OR(fDefeased="Include",$CJ252=0)),1,0)</f>
        <v/>
      </c>
      <c r="DF252" s="83">
        <f>$DE252*N($I252)</f>
        <v/>
      </c>
      <c r="DG252" s="78">
        <f>IF($DE252=1,IF(COUNTIFS($F$8:$F252,$F252,$DE$8:$DE252,1)=1,1,0),0)</f>
        <v/>
      </c>
      <c r="DH252" s="83">
        <f>IF($DG252=1,SUMIFS($DF$8:$DF$1600,$F$8:$F$1600,$F252),0)</f>
        <v/>
      </c>
      <c r="DI252" s="78">
        <f>IF($DG252=1,COUNTIFS($F$8:$F$1600,$F252,$DE$8:$DE$1600,1),0)</f>
        <v/>
      </c>
      <c r="DJ252" s="84">
        <f>IF($DG252=1,$DH252+(100000-ROW())/mTieBreak,0)</f>
        <v/>
      </c>
    </row>
    <row r="253">
      <c r="B253" s="68" t="n">
        <v>6</v>
      </c>
      <c r="C253" s="69" t="inlineStr">
        <is>
          <t>GS219G38</t>
        </is>
      </c>
      <c r="D253" s="69" t="inlineStr">
        <is>
          <t>6.000</t>
        </is>
      </c>
      <c r="E253" s="69" t="inlineStr">
        <is>
          <t>Pier 70</t>
        </is>
      </c>
      <c r="F253" s="69" t="inlineStr">
        <is>
          <t>SPLIT_LOAN_01379</t>
        </is>
      </c>
      <c r="G253" s="70" t="n">
        <v>1379</v>
      </c>
      <c r="H253" s="71" t="n">
        <v>35000000</v>
      </c>
      <c r="I253" s="71" t="n">
        <v>35000000</v>
      </c>
      <c r="J253" s="72" t="n">
        <v>4.878</v>
      </c>
      <c r="K253" s="69" t="inlineStr">
        <is>
          <t>Fixed rate</t>
        </is>
      </c>
      <c r="L253" s="68" t="n">
        <v>120</v>
      </c>
      <c r="M253" s="68" t="n">
        <v>25</v>
      </c>
      <c r="N253" s="68" t="n">
        <v>120</v>
      </c>
      <c r="O253" s="68" t="n">
        <v>120</v>
      </c>
      <c r="P253" s="68" t="n">
        <v>25</v>
      </c>
      <c r="Q253" s="68" t="n">
        <v>95</v>
      </c>
      <c r="R253" s="69" t="inlineStr">
        <is>
          <t>IO</t>
        </is>
      </c>
      <c r="S253" s="69" t="inlineStr">
        <is>
          <t>Yes</t>
        </is>
      </c>
      <c r="T253" s="73" t="n">
        <v>43374</v>
      </c>
      <c r="U253" s="73" t="n">
        <v>47032</v>
      </c>
      <c r="V253" s="73" t="n"/>
      <c r="W253" s="69" t="n"/>
      <c r="X253" s="69" t="inlineStr">
        <is>
          <t>Current</t>
        </is>
      </c>
      <c r="Y253" s="68" t="n"/>
      <c r="Z253" s="69" t="inlineStr">
        <is>
          <t>No Defeasance Occurred</t>
        </is>
      </c>
      <c r="AA253" s="69" t="n"/>
      <c r="AB253" s="69" t="inlineStr">
        <is>
          <t>Never special serv</t>
        </is>
      </c>
      <c r="AC253" s="73" t="n"/>
      <c r="AD253" s="69" t="n"/>
      <c r="AE253" s="69" t="n"/>
      <c r="AF253" s="69" t="inlineStr">
        <is>
          <t>CA</t>
        </is>
      </c>
      <c r="AG253" s="69" t="inlineStr">
        <is>
          <t>San Francisco</t>
        </is>
      </c>
      <c r="AH253" s="69" t="inlineStr">
        <is>
          <t>San Francisco-Oakland-Fremont, CA</t>
        </is>
      </c>
      <c r="AI253" s="69" t="inlineStr">
        <is>
          <t>West / Pacific North</t>
        </is>
      </c>
      <c r="AJ253" s="69" t="inlineStr">
        <is>
          <t>MX</t>
        </is>
      </c>
      <c r="AK253" s="69" t="inlineStr">
        <is>
          <t>Office/Industrial</t>
        </is>
      </c>
      <c r="AL253" s="68" t="n">
        <v>1</v>
      </c>
      <c r="AM253" s="68" t="n"/>
      <c r="AN253" s="68" t="n">
        <v>322814</v>
      </c>
      <c r="AO253" s="69" t="inlineStr">
        <is>
          <t>1885-1941</t>
        </is>
      </c>
      <c r="AP253" s="70" t="n">
        <v>2019</v>
      </c>
      <c r="AQ253" s="74" t="n">
        <v>2.19</v>
      </c>
      <c r="AR253" s="74" t="n">
        <v>3</v>
      </c>
      <c r="AS253" s="74" t="n">
        <v>52.9</v>
      </c>
      <c r="AT253" s="74" t="n">
        <v>52.92</v>
      </c>
      <c r="AU253" s="74" t="n">
        <v>45.6</v>
      </c>
      <c r="AV253" s="74" t="n">
        <v>10.833316374</v>
      </c>
      <c r="AW253" s="74" t="n">
        <v>11.387969252</v>
      </c>
      <c r="AX253" s="75" t="n">
        <v>100</v>
      </c>
      <c r="AY253" s="71" t="n">
        <v>217300000</v>
      </c>
      <c r="AZ253" s="71" t="n">
        <v>217300000</v>
      </c>
      <c r="BA253" s="71" t="n">
        <v>12458313.83</v>
      </c>
      <c r="BB253" s="71" t="n">
        <v>12789419</v>
      </c>
      <c r="BC253" s="69" t="inlineStr">
        <is>
          <t>Refinance</t>
        </is>
      </c>
      <c r="BD253" s="69" t="inlineStr">
        <is>
          <t>Y</t>
        </is>
      </c>
      <c r="BE253" s="71" t="n">
        <v>80000000</v>
      </c>
      <c r="BF253" s="71" t="n"/>
      <c r="BG253" s="71" t="n"/>
      <c r="BH253" s="71" t="n">
        <v>0</v>
      </c>
      <c r="BI253" s="71" t="n">
        <v>0</v>
      </c>
      <c r="BJ253" s="69" t="inlineStr">
        <is>
          <t>N</t>
        </is>
      </c>
      <c r="BK253" s="69" t="inlineStr">
        <is>
          <t>Uber Technologies  Inc</t>
        </is>
      </c>
      <c r="BL253" s="75" t="n">
        <v>40.6</v>
      </c>
      <c r="BM253" s="73" t="n">
        <v>46873</v>
      </c>
      <c r="BN253" s="69" t="inlineStr">
        <is>
          <t>Julian Robert Orton, III</t>
        </is>
      </c>
      <c r="BO253" s="69" t="inlineStr">
        <is>
          <t>Goldman Sachs</t>
        </is>
      </c>
      <c r="BP253" s="69" t="inlineStr">
        <is>
          <t>TriMont Real Estate Advisors</t>
        </is>
      </c>
      <c r="BQ253" s="69" t="inlineStr">
        <is>
          <t>Rialto Capital</t>
        </is>
      </c>
      <c r="BR253" s="69" t="n"/>
      <c r="BS253" s="73" t="n">
        <v>46273</v>
      </c>
      <c r="BU253" s="76">
        <f>IF($C253="","",IFERROR(INDEX(dmName,MATCH($C253,dmID,0)),"Unmapped"))</f>
        <v/>
      </c>
      <c r="BV253" s="76">
        <f>IF($C253="","",IFERROR(INDEX(dmEntity,MATCH($C253,dmID,0)),"Unmapped"))</f>
        <v/>
      </c>
      <c r="BW253" s="77">
        <f>IF($C253="","",IFERROR(INDEX(dmVintage,MATCH($C253,dmID,0)),""))</f>
        <v/>
      </c>
      <c r="BX253" s="78">
        <f>IFERROR(INDEX(dmInclude,MATCH($C253,dmID,0)),0)</f>
        <v/>
      </c>
      <c r="BY253" s="78">
        <f>IF(N($I253)&gt;0,1,0)</f>
        <v/>
      </c>
      <c r="BZ253" s="76">
        <f>IF($AJ253="","Other / Leased Fee",IFERROR(INDEX(mapPTGroup,MATCH(LEFT(TRIM($AJ253),2),mapPTCode,0)),"Other / Leased Fee"))</f>
        <v/>
      </c>
      <c r="CA253" s="76">
        <f>IF(TRIM($AF253&amp;"")="","NR",LEFT(TRIM($AF253),2))</f>
        <v/>
      </c>
      <c r="CB253" s="76">
        <f>IFERROR(LOOKUP(2,1/(LEFT(TRIM($AI253&amp;""),LEN(mapRegion))=mapRegion),mapRegion),"Not Reported")</f>
        <v/>
      </c>
      <c r="CC253" s="76">
        <f>IF($BY253=0,"",IF(TRIM($W253&amp;"")="REO","REO",IF(TRIM($W253&amp;"")="FC","Foreclosure",IF(TRIM($W253&amp;"")="90+","90+ Days Delinquent",IF(TRIM($W253&amp;"")="60","60 Days Delinquent",IF(TRIM($W253&amp;"")="30","30 Days Delinquent",IF($X253="Non-Performing Matured Balloon","Non-Performing Matured Balloon",IF(OR($X253="Late Payment But Less Than 30 Days Delinquent",LEFT($X253&amp;"",20)="Payment Not Received"),"Late / In Grace (&lt;30 Days)",IF($X253="Performing Matured Balloon","Performing Matured Balloon","Current")))))))))</f>
        <v/>
      </c>
      <c r="CD253" s="78">
        <f>IF(OR($CC253="REO",$CC253="Foreclosure",$CC253="90+ Days Delinquent",$CC253="60 Days Delinquent",$CC253="30 Days Delinquent",$CC253="Non-Performing Matured Balloon"),1,0)</f>
        <v/>
      </c>
      <c r="CE253" s="76">
        <f>IF($AB253="Currently special serv","Currently Specially Serviced",IF($AB253="Returned to master serv","Previously Specially Serviced","Never Specially Serviced"))</f>
        <v/>
      </c>
      <c r="CF253" s="78">
        <f>IF($CE253="Currently Specially Serviced",1,0)</f>
        <v/>
      </c>
      <c r="CG253" s="76">
        <f>IF($AA253="Yes","Currently on Watchlist",IF($AA253="Previously","Previously on Watchlist","Never on Watchlist"))</f>
        <v/>
      </c>
      <c r="CH253" s="78">
        <f>IF($CG253="Currently on Watchlist",1,0)</f>
        <v/>
      </c>
      <c r="CI253" s="76">
        <f>IF($Z253="Full Defeasance","Fully Defeased",IF($Z253="Portion Of Loan Previously Defeased","Partially Defeased",IF($Z253="Defeasance Not Allowable","Not Defeased (Not Permitted)","Not Defeased")))</f>
        <v/>
      </c>
      <c r="CJ253" s="78">
        <f>IF($CI253="Fully Defeased",1,0)</f>
        <v/>
      </c>
      <c r="CK253" s="76">
        <f>IF($R253="IO","Full IO",IF(LEFT($R253&amp;"",7)="IO then","Partial IO","Amortizing"))</f>
        <v/>
      </c>
      <c r="CL253" s="78">
        <f>IF($CK253="Full IO",1,0)</f>
        <v/>
      </c>
      <c r="CM253" s="78">
        <f>IF($CK253="Partial IO",1,0)</f>
        <v/>
      </c>
      <c r="CN253" s="76">
        <f>IF(LEFT($F253&amp;"",10)="SPLIT_LOAN","Pari Passu Split","Standalone")</f>
        <v/>
      </c>
      <c r="CO253" s="78">
        <f>IF($CN253="Pari Passu Split",1,0)</f>
        <v/>
      </c>
      <c r="CP253" s="77">
        <f>IF(ISNUMBER($T253),YEAR($T253),"")</f>
        <v/>
      </c>
      <c r="CQ253" s="79">
        <f>IF(ISNUMBER($V253),$V253,IF(ISNUMBER($U253),$U253,""))</f>
        <v/>
      </c>
      <c r="CR253" s="77">
        <f>IF(ISNUMBER($CQ253),YEAR($CQ253),"")</f>
        <v/>
      </c>
      <c r="CS253" s="78">
        <f>IF(ISNUMBER($M253),MAX(0,$M253),IF(TRIM($M253&amp;"")="matured",0,""))</f>
        <v/>
      </c>
      <c r="CT253" s="78">
        <f>IF(AND(ISNUMBER($CS253),N($CS253)&lt;=mMatWindow),1,0)</f>
        <v/>
      </c>
      <c r="CU253" s="80">
        <f>IF(ISNUMBER($J253),$J253/100,"")</f>
        <v/>
      </c>
      <c r="CV253" s="81">
        <f>IF(ISNUMBER($AQ253),$AQ253,"")</f>
        <v/>
      </c>
      <c r="CW253" s="81">
        <f>IF(ISNUMBER($AR253),$AR253,"")</f>
        <v/>
      </c>
      <c r="CX253" s="82">
        <f>IF(ISNUMBER($AS253),$AS253/100,"")</f>
        <v/>
      </c>
      <c r="CY253" s="82">
        <f>IF(ISNUMBER($AT253),$AT253/100,"")</f>
        <v/>
      </c>
      <c r="CZ253" s="82">
        <f>IF(ISNUMBER($AU253),$AU253/100,"")</f>
        <v/>
      </c>
      <c r="DA253" s="82">
        <f>IF(ISNUMBER($AV253),$AV253/100,"")</f>
        <v/>
      </c>
      <c r="DB253" s="82">
        <f>IF(ISNUMBER($AW253),$AW253/100,"")</f>
        <v/>
      </c>
      <c r="DC253" s="82">
        <f>IF(ISNUMBER($AX253),$AX253/100,"")</f>
        <v/>
      </c>
      <c r="DD253" s="77">
        <f>IFERROR(VALUE(LEFT(TRIM($AO253&amp;""),4)),"")</f>
        <v/>
      </c>
      <c r="DE253" s="78">
        <f>IF(AND($BY253=1,$BX253=1,OR(fDeal="All Deals",$BU253=fDeal),OR(fEntity="All Entities",$BV253=fEntity),OR(fPType="All Property Types",$BZ253=fPType),OR(fDefeased="Include",$CJ253=0)),1,0)</f>
        <v/>
      </c>
      <c r="DF253" s="83">
        <f>$DE253*N($I253)</f>
        <v/>
      </c>
      <c r="DG253" s="78">
        <f>IF($DE253=1,IF(COUNTIFS($F$8:$F253,$F253,$DE$8:$DE253,1)=1,1,0),0)</f>
        <v/>
      </c>
      <c r="DH253" s="83">
        <f>IF($DG253=1,SUMIFS($DF$8:$DF$1600,$F$8:$F$1600,$F253),0)</f>
        <v/>
      </c>
      <c r="DI253" s="78">
        <f>IF($DG253=1,COUNTIFS($F$8:$F$1600,$F253,$DE$8:$DE$1600,1),0)</f>
        <v/>
      </c>
      <c r="DJ253" s="84">
        <f>IF($DG253=1,$DH253+(100000-ROW())/mTieBreak,0)</f>
        <v/>
      </c>
    </row>
    <row r="254">
      <c r="B254" s="68" t="n">
        <v>7</v>
      </c>
      <c r="C254" s="69" t="inlineStr">
        <is>
          <t>GS219G38</t>
        </is>
      </c>
      <c r="D254" s="69" t="inlineStr">
        <is>
          <t>7.000</t>
        </is>
      </c>
      <c r="E254" s="69" t="inlineStr">
        <is>
          <t>Perimeter Square</t>
        </is>
      </c>
      <c r="F254" s="69" t="inlineStr">
        <is>
          <t>LNGS219G38-7.000</t>
        </is>
      </c>
      <c r="G254" s="70" t="n"/>
      <c r="H254" s="71" t="n">
        <v>35000000</v>
      </c>
      <c r="I254" s="71" t="n">
        <v>35000000</v>
      </c>
      <c r="J254" s="72" t="n">
        <v>5.5455</v>
      </c>
      <c r="K254" s="69" t="inlineStr">
        <is>
          <t>Fixed rate</t>
        </is>
      </c>
      <c r="L254" s="68" t="n">
        <v>120</v>
      </c>
      <c r="M254" s="68" t="n">
        <v>26</v>
      </c>
      <c r="N254" s="68" t="n">
        <v>120</v>
      </c>
      <c r="O254" s="68" t="n">
        <v>120</v>
      </c>
      <c r="P254" s="68" t="n">
        <v>26</v>
      </c>
      <c r="Q254" s="68" t="n">
        <v>94</v>
      </c>
      <c r="R254" s="69" t="inlineStr">
        <is>
          <t>IO</t>
        </is>
      </c>
      <c r="S254" s="69" t="inlineStr">
        <is>
          <t>Yes</t>
        </is>
      </c>
      <c r="T254" s="73" t="n">
        <v>43405</v>
      </c>
      <c r="U254" s="73" t="n">
        <v>47063</v>
      </c>
      <c r="V254" s="73" t="n"/>
      <c r="W254" s="69" t="n"/>
      <c r="X254" s="69" t="inlineStr">
        <is>
          <t>Current</t>
        </is>
      </c>
      <c r="Y254" s="68" t="n"/>
      <c r="Z254" s="69" t="inlineStr">
        <is>
          <t>Defeasance Not Allowable</t>
        </is>
      </c>
      <c r="AA254" s="69" t="inlineStr">
        <is>
          <t>Previously</t>
        </is>
      </c>
      <c r="AB254" s="69" t="inlineStr">
        <is>
          <t>Never special serv</t>
        </is>
      </c>
      <c r="AC254" s="73" t="n"/>
      <c r="AD254" s="69" t="n"/>
      <c r="AE254" s="69" t="n"/>
      <c r="AF254" s="69" t="inlineStr">
        <is>
          <t>GA</t>
        </is>
      </c>
      <c r="AG254" s="69" t="inlineStr">
        <is>
          <t>Atlanta</t>
        </is>
      </c>
      <c r="AH254" s="69" t="inlineStr">
        <is>
          <t>Atlanta-Sandy Springs-Roswell, GA</t>
        </is>
      </c>
      <c r="AI254" s="69" t="inlineStr">
        <is>
          <t>South / Atlantic</t>
        </is>
      </c>
      <c r="AJ254" s="69" t="inlineStr">
        <is>
          <t>RT</t>
        </is>
      </c>
      <c r="AK254" s="69" t="inlineStr">
        <is>
          <t>Anchored</t>
        </is>
      </c>
      <c r="AL254" s="68" t="n">
        <v>1</v>
      </c>
      <c r="AM254" s="68" t="n"/>
      <c r="AN254" s="68" t="n">
        <v>186059</v>
      </c>
      <c r="AO254" s="69" t="inlineStr">
        <is>
          <t>1994</t>
        </is>
      </c>
      <c r="AP254" s="70" t="n">
        <v>1994</v>
      </c>
      <c r="AQ254" s="74" t="n">
        <v>1.48</v>
      </c>
      <c r="AR254" s="74" t="n">
        <v>1.6</v>
      </c>
      <c r="AS254" s="74" t="n">
        <v>64</v>
      </c>
      <c r="AT254" s="74" t="n">
        <v>64.04000000000001</v>
      </c>
      <c r="AU254" s="74" t="n">
        <v>64</v>
      </c>
      <c r="AV254" s="74" t="n">
        <v>8.328371486</v>
      </c>
      <c r="AW254" s="74" t="n">
        <v>9.875329199999999</v>
      </c>
      <c r="AX254" s="75" t="n">
        <v>100</v>
      </c>
      <c r="AY254" s="71" t="n">
        <v>54650000</v>
      </c>
      <c r="AZ254" s="71" t="n">
        <v>54650000</v>
      </c>
      <c r="BA254" s="71" t="n">
        <v>2914930.02</v>
      </c>
      <c r="BB254" s="71" t="n">
        <v>1573814.63</v>
      </c>
      <c r="BC254" s="69" t="inlineStr">
        <is>
          <t>Refinance</t>
        </is>
      </c>
      <c r="BD254" s="69" t="inlineStr">
        <is>
          <t>N</t>
        </is>
      </c>
      <c r="BE254" s="71" t="n"/>
      <c r="BF254" s="71" t="n"/>
      <c r="BG254" s="71" t="n"/>
      <c r="BH254" s="71" t="n">
        <v>0</v>
      </c>
      <c r="BI254" s="71" t="n">
        <v>0</v>
      </c>
      <c r="BJ254" s="69" t="inlineStr">
        <is>
          <t>N</t>
        </is>
      </c>
      <c r="BK254" s="69" t="inlineStr">
        <is>
          <t>Academy Sports + Outdoors</t>
        </is>
      </c>
      <c r="BL254" s="75" t="n">
        <v>27.74</v>
      </c>
      <c r="BM254" s="73" t="n">
        <v>50283</v>
      </c>
      <c r="BN254" s="69" t="inlineStr">
        <is>
          <t>E. Stanley Kroenke</t>
        </is>
      </c>
      <c r="BO254" s="69" t="inlineStr">
        <is>
          <t>Goldman Sachs</t>
        </is>
      </c>
      <c r="BP254" s="69" t="inlineStr">
        <is>
          <t>TriMont Real Estate Advisors</t>
        </is>
      </c>
      <c r="BQ254" s="69" t="inlineStr">
        <is>
          <t>K-Star Asset Management LLC</t>
        </is>
      </c>
      <c r="BR254" s="69" t="n"/>
      <c r="BS254" s="73" t="n">
        <v>46273</v>
      </c>
      <c r="BU254" s="76">
        <f>IF($C254="","",IFERROR(INDEX(dmName,MATCH($C254,dmID,0)),"Unmapped"))</f>
        <v/>
      </c>
      <c r="BV254" s="76">
        <f>IF($C254="","",IFERROR(INDEX(dmEntity,MATCH($C254,dmID,0)),"Unmapped"))</f>
        <v/>
      </c>
      <c r="BW254" s="77">
        <f>IF($C254="","",IFERROR(INDEX(dmVintage,MATCH($C254,dmID,0)),""))</f>
        <v/>
      </c>
      <c r="BX254" s="78">
        <f>IFERROR(INDEX(dmInclude,MATCH($C254,dmID,0)),0)</f>
        <v/>
      </c>
      <c r="BY254" s="78">
        <f>IF(N($I254)&gt;0,1,0)</f>
        <v/>
      </c>
      <c r="BZ254" s="76">
        <f>IF($AJ254="","Other / Leased Fee",IFERROR(INDEX(mapPTGroup,MATCH(LEFT(TRIM($AJ254),2),mapPTCode,0)),"Other / Leased Fee"))</f>
        <v/>
      </c>
      <c r="CA254" s="76">
        <f>IF(TRIM($AF254&amp;"")="","NR",LEFT(TRIM($AF254),2))</f>
        <v/>
      </c>
      <c r="CB254" s="76">
        <f>IFERROR(LOOKUP(2,1/(LEFT(TRIM($AI254&amp;""),LEN(mapRegion))=mapRegion),mapRegion),"Not Reported")</f>
        <v/>
      </c>
      <c r="CC254" s="76">
        <f>IF($BY254=0,"",IF(TRIM($W254&amp;"")="REO","REO",IF(TRIM($W254&amp;"")="FC","Foreclosure",IF(TRIM($W254&amp;"")="90+","90+ Days Delinquent",IF(TRIM($W254&amp;"")="60","60 Days Delinquent",IF(TRIM($W254&amp;"")="30","30 Days Delinquent",IF($X254="Non-Performing Matured Balloon","Non-Performing Matured Balloon",IF(OR($X254="Late Payment But Less Than 30 Days Delinquent",LEFT($X254&amp;"",20)="Payment Not Received"),"Late / In Grace (&lt;30 Days)",IF($X254="Performing Matured Balloon","Performing Matured Balloon","Current")))))))))</f>
        <v/>
      </c>
      <c r="CD254" s="78">
        <f>IF(OR($CC254="REO",$CC254="Foreclosure",$CC254="90+ Days Delinquent",$CC254="60 Days Delinquent",$CC254="30 Days Delinquent",$CC254="Non-Performing Matured Balloon"),1,0)</f>
        <v/>
      </c>
      <c r="CE254" s="76">
        <f>IF($AB254="Currently special serv","Currently Specially Serviced",IF($AB254="Returned to master serv","Previously Specially Serviced","Never Specially Serviced"))</f>
        <v/>
      </c>
      <c r="CF254" s="78">
        <f>IF($CE254="Currently Specially Serviced",1,0)</f>
        <v/>
      </c>
      <c r="CG254" s="76">
        <f>IF($AA254="Yes","Currently on Watchlist",IF($AA254="Previously","Previously on Watchlist","Never on Watchlist"))</f>
        <v/>
      </c>
      <c r="CH254" s="78">
        <f>IF($CG254="Currently on Watchlist",1,0)</f>
        <v/>
      </c>
      <c r="CI254" s="76">
        <f>IF($Z254="Full Defeasance","Fully Defeased",IF($Z254="Portion Of Loan Previously Defeased","Partially Defeased",IF($Z254="Defeasance Not Allowable","Not Defeased (Not Permitted)","Not Defeased")))</f>
        <v/>
      </c>
      <c r="CJ254" s="78">
        <f>IF($CI254="Fully Defeased",1,0)</f>
        <v/>
      </c>
      <c r="CK254" s="76">
        <f>IF($R254="IO","Full IO",IF(LEFT($R254&amp;"",7)="IO then","Partial IO","Amortizing"))</f>
        <v/>
      </c>
      <c r="CL254" s="78">
        <f>IF($CK254="Full IO",1,0)</f>
        <v/>
      </c>
      <c r="CM254" s="78">
        <f>IF($CK254="Partial IO",1,0)</f>
        <v/>
      </c>
      <c r="CN254" s="76">
        <f>IF(LEFT($F254&amp;"",10)="SPLIT_LOAN","Pari Passu Split","Standalone")</f>
        <v/>
      </c>
      <c r="CO254" s="78">
        <f>IF($CN254="Pari Passu Split",1,0)</f>
        <v/>
      </c>
      <c r="CP254" s="77">
        <f>IF(ISNUMBER($T254),YEAR($T254),"")</f>
        <v/>
      </c>
      <c r="CQ254" s="79">
        <f>IF(ISNUMBER($V254),$V254,IF(ISNUMBER($U254),$U254,""))</f>
        <v/>
      </c>
      <c r="CR254" s="77">
        <f>IF(ISNUMBER($CQ254),YEAR($CQ254),"")</f>
        <v/>
      </c>
      <c r="CS254" s="78">
        <f>IF(ISNUMBER($M254),MAX(0,$M254),IF(TRIM($M254&amp;"")="matured",0,""))</f>
        <v/>
      </c>
      <c r="CT254" s="78">
        <f>IF(AND(ISNUMBER($CS254),N($CS254)&lt;=mMatWindow),1,0)</f>
        <v/>
      </c>
      <c r="CU254" s="80">
        <f>IF(ISNUMBER($J254),$J254/100,"")</f>
        <v/>
      </c>
      <c r="CV254" s="81">
        <f>IF(ISNUMBER($AQ254),$AQ254,"")</f>
        <v/>
      </c>
      <c r="CW254" s="81">
        <f>IF(ISNUMBER($AR254),$AR254,"")</f>
        <v/>
      </c>
      <c r="CX254" s="82">
        <f>IF(ISNUMBER($AS254),$AS254/100,"")</f>
        <v/>
      </c>
      <c r="CY254" s="82">
        <f>IF(ISNUMBER($AT254),$AT254/100,"")</f>
        <v/>
      </c>
      <c r="CZ254" s="82">
        <f>IF(ISNUMBER($AU254),$AU254/100,"")</f>
        <v/>
      </c>
      <c r="DA254" s="82">
        <f>IF(ISNUMBER($AV254),$AV254/100,"")</f>
        <v/>
      </c>
      <c r="DB254" s="82">
        <f>IF(ISNUMBER($AW254),$AW254/100,"")</f>
        <v/>
      </c>
      <c r="DC254" s="82">
        <f>IF(ISNUMBER($AX254),$AX254/100,"")</f>
        <v/>
      </c>
      <c r="DD254" s="77">
        <f>IFERROR(VALUE(LEFT(TRIM($AO254&amp;""),4)),"")</f>
        <v/>
      </c>
      <c r="DE254" s="78">
        <f>IF(AND($BY254=1,$BX254=1,OR(fDeal="All Deals",$BU254=fDeal),OR(fEntity="All Entities",$BV254=fEntity),OR(fPType="All Property Types",$BZ254=fPType),OR(fDefeased="Include",$CJ254=0)),1,0)</f>
        <v/>
      </c>
      <c r="DF254" s="83">
        <f>$DE254*N($I254)</f>
        <v/>
      </c>
      <c r="DG254" s="78">
        <f>IF($DE254=1,IF(COUNTIFS($F$8:$F254,$F254,$DE$8:$DE254,1)=1,1,0),0)</f>
        <v/>
      </c>
      <c r="DH254" s="83">
        <f>IF($DG254=1,SUMIFS($DF$8:$DF$1600,$F$8:$F$1600,$F254),0)</f>
        <v/>
      </c>
      <c r="DI254" s="78">
        <f>IF($DG254=1,COUNTIFS($F$8:$F$1600,$F254,$DE$8:$DE$1600,1),0)</f>
        <v/>
      </c>
      <c r="DJ254" s="84">
        <f>IF($DG254=1,$DH254+(100000-ROW())/mTieBreak,0)</f>
        <v/>
      </c>
    </row>
    <row r="255">
      <c r="B255" s="68" t="n">
        <v>8</v>
      </c>
      <c r="C255" s="69" t="inlineStr">
        <is>
          <t>GS219G38</t>
        </is>
      </c>
      <c r="D255" s="69" t="inlineStr">
        <is>
          <t>8.000</t>
        </is>
      </c>
      <c r="E255" s="69" t="inlineStr">
        <is>
          <t>3 Park Avenue</t>
        </is>
      </c>
      <c r="F255" s="69" t="inlineStr">
        <is>
          <t>SPLIT_LOAN_01468</t>
        </is>
      </c>
      <c r="G255" s="70" t="n">
        <v>1468</v>
      </c>
      <c r="H255" s="71" t="n">
        <v>34000000</v>
      </c>
      <c r="I255" s="71" t="n">
        <v>34000000</v>
      </c>
      <c r="J255" s="72" t="n">
        <v>4.75</v>
      </c>
      <c r="K255" s="69" t="inlineStr">
        <is>
          <t>Fixed rate</t>
        </is>
      </c>
      <c r="L255" s="68" t="n">
        <v>120</v>
      </c>
      <c r="M255" s="68" t="n">
        <v>27</v>
      </c>
      <c r="N255" s="68" t="n">
        <v>120</v>
      </c>
      <c r="O255" s="68" t="n">
        <v>120</v>
      </c>
      <c r="P255" s="68" t="n">
        <v>27</v>
      </c>
      <c r="Q255" s="68" t="n">
        <v>93</v>
      </c>
      <c r="R255" s="69" t="inlineStr">
        <is>
          <t>IO</t>
        </is>
      </c>
      <c r="S255" s="69" t="inlineStr">
        <is>
          <t>Yes</t>
        </is>
      </c>
      <c r="T255" s="73" t="n">
        <v>43435</v>
      </c>
      <c r="U255" s="73" t="n">
        <v>47093</v>
      </c>
      <c r="V255" s="73" t="n"/>
      <c r="W255" s="69" t="n"/>
      <c r="X255" s="69" t="inlineStr">
        <is>
          <t>Current</t>
        </is>
      </c>
      <c r="Y255" s="68" t="n"/>
      <c r="Z255" s="69" t="inlineStr">
        <is>
          <t>No Defeasance Occurred</t>
        </is>
      </c>
      <c r="AA255" s="69" t="inlineStr">
        <is>
          <t>Yes</t>
        </is>
      </c>
      <c r="AB255" s="69" t="inlineStr">
        <is>
          <t>Returned to master serv</t>
        </is>
      </c>
      <c r="AC255" s="73" t="n"/>
      <c r="AD255" s="69" t="inlineStr">
        <is>
          <t>Imminent Monetary Default (excluding Balloon/Maturity Default &amp; Single Tenant Bankruptcy/Vacate)</t>
        </is>
      </c>
      <c r="AE255" s="69" t="inlineStr">
        <is>
          <t>Resolved</t>
        </is>
      </c>
      <c r="AF255" s="69" t="inlineStr">
        <is>
          <t>NY</t>
        </is>
      </c>
      <c r="AG255" s="69" t="inlineStr">
        <is>
          <t>New York</t>
        </is>
      </c>
      <c r="AH255" s="69" t="inlineStr">
        <is>
          <t>New York-Newark-Jersey City, NY-NJ</t>
        </is>
      </c>
      <c r="AI255" s="69" t="inlineStr">
        <is>
          <t>Northeast / Mid-Atlantic</t>
        </is>
      </c>
      <c r="AJ255" s="69" t="inlineStr">
        <is>
          <t>OF</t>
        </is>
      </c>
      <c r="AK255" s="69" t="inlineStr">
        <is>
          <t>CBD</t>
        </is>
      </c>
      <c r="AL255" s="68" t="n">
        <v>1</v>
      </c>
      <c r="AM255" s="68" t="n"/>
      <c r="AN255" s="68" t="n">
        <v>667446</v>
      </c>
      <c r="AO255" s="69" t="inlineStr">
        <is>
          <t>1977</t>
        </is>
      </c>
      <c r="AP255" s="70" t="n">
        <v>2001</v>
      </c>
      <c r="AQ255" s="74" t="n">
        <v>1.84</v>
      </c>
      <c r="AR255" s="74" t="n">
        <v>0.76</v>
      </c>
      <c r="AS255" s="74" t="n">
        <v>36</v>
      </c>
      <c r="AT255" s="74" t="n">
        <v>36.04</v>
      </c>
      <c r="AU255" s="74" t="n">
        <v>36.04</v>
      </c>
      <c r="AV255" s="74" t="n">
        <v>8.840841758</v>
      </c>
      <c r="AW255" s="74" t="n">
        <v>3.746157143</v>
      </c>
      <c r="AX255" s="75" t="n">
        <v>48</v>
      </c>
      <c r="AY255" s="71" t="n">
        <v>505000000</v>
      </c>
      <c r="AZ255" s="71" t="n">
        <v>505000000</v>
      </c>
      <c r="BA255" s="71" t="n">
        <v>16090332</v>
      </c>
      <c r="BB255" s="71" t="n">
        <v>6818006</v>
      </c>
      <c r="BC255" s="69" t="inlineStr">
        <is>
          <t>Refinance</t>
        </is>
      </c>
      <c r="BD255" s="69" t="inlineStr">
        <is>
          <t>N</t>
        </is>
      </c>
      <c r="BE255" s="71" t="n">
        <v>148000000</v>
      </c>
      <c r="BF255" s="71" t="n"/>
      <c r="BG255" s="71" t="n"/>
      <c r="BH255" s="71" t="n">
        <v>0</v>
      </c>
      <c r="BI255" s="71" t="n">
        <v>0</v>
      </c>
      <c r="BJ255" s="69" t="inlineStr">
        <is>
          <t>N</t>
        </is>
      </c>
      <c r="BK255" s="69" t="inlineStr">
        <is>
          <t>HOUGHTON MIFFLIN</t>
        </is>
      </c>
      <c r="BL255" s="75" t="n">
        <v>9.66</v>
      </c>
      <c r="BM255" s="73" t="n">
        <v>46752</v>
      </c>
      <c r="BN255" s="69" t="inlineStr">
        <is>
          <t>Charles Steven Cohen</t>
        </is>
      </c>
      <c r="BO255" s="69" t="inlineStr">
        <is>
          <t>Citigroup Global Markets</t>
        </is>
      </c>
      <c r="BP255" s="69" t="inlineStr">
        <is>
          <t>TriMont Real Estate Advisors</t>
        </is>
      </c>
      <c r="BQ255" s="69" t="inlineStr">
        <is>
          <t>LNR Partners</t>
        </is>
      </c>
      <c r="BR255" s="69" t="n"/>
      <c r="BS255" s="73" t="n">
        <v>46273</v>
      </c>
      <c r="BU255" s="76">
        <f>IF($C255="","",IFERROR(INDEX(dmName,MATCH($C255,dmID,0)),"Unmapped"))</f>
        <v/>
      </c>
      <c r="BV255" s="76">
        <f>IF($C255="","",IFERROR(INDEX(dmEntity,MATCH($C255,dmID,0)),"Unmapped"))</f>
        <v/>
      </c>
      <c r="BW255" s="77">
        <f>IF($C255="","",IFERROR(INDEX(dmVintage,MATCH($C255,dmID,0)),""))</f>
        <v/>
      </c>
      <c r="BX255" s="78">
        <f>IFERROR(INDEX(dmInclude,MATCH($C255,dmID,0)),0)</f>
        <v/>
      </c>
      <c r="BY255" s="78">
        <f>IF(N($I255)&gt;0,1,0)</f>
        <v/>
      </c>
      <c r="BZ255" s="76">
        <f>IF($AJ255="","Other / Leased Fee",IFERROR(INDEX(mapPTGroup,MATCH(LEFT(TRIM($AJ255),2),mapPTCode,0)),"Other / Leased Fee"))</f>
        <v/>
      </c>
      <c r="CA255" s="76">
        <f>IF(TRIM($AF255&amp;"")="","NR",LEFT(TRIM($AF255),2))</f>
        <v/>
      </c>
      <c r="CB255" s="76">
        <f>IFERROR(LOOKUP(2,1/(LEFT(TRIM($AI255&amp;""),LEN(mapRegion))=mapRegion),mapRegion),"Not Reported")</f>
        <v/>
      </c>
      <c r="CC255" s="76">
        <f>IF($BY255=0,"",IF(TRIM($W255&amp;"")="REO","REO",IF(TRIM($W255&amp;"")="FC","Foreclosure",IF(TRIM($W255&amp;"")="90+","90+ Days Delinquent",IF(TRIM($W255&amp;"")="60","60 Days Delinquent",IF(TRIM($W255&amp;"")="30","30 Days Delinquent",IF($X255="Non-Performing Matured Balloon","Non-Performing Matured Balloon",IF(OR($X255="Late Payment But Less Than 30 Days Delinquent",LEFT($X255&amp;"",20)="Payment Not Received"),"Late / In Grace (&lt;30 Days)",IF($X255="Performing Matured Balloon","Performing Matured Balloon","Current")))))))))</f>
        <v/>
      </c>
      <c r="CD255" s="78">
        <f>IF(OR($CC255="REO",$CC255="Foreclosure",$CC255="90+ Days Delinquent",$CC255="60 Days Delinquent",$CC255="30 Days Delinquent",$CC255="Non-Performing Matured Balloon"),1,0)</f>
        <v/>
      </c>
      <c r="CE255" s="76">
        <f>IF($AB255="Currently special serv","Currently Specially Serviced",IF($AB255="Returned to master serv","Previously Specially Serviced","Never Specially Serviced"))</f>
        <v/>
      </c>
      <c r="CF255" s="78">
        <f>IF($CE255="Currently Specially Serviced",1,0)</f>
        <v/>
      </c>
      <c r="CG255" s="76">
        <f>IF($AA255="Yes","Currently on Watchlist",IF($AA255="Previously","Previously on Watchlist","Never on Watchlist"))</f>
        <v/>
      </c>
      <c r="CH255" s="78">
        <f>IF($CG255="Currently on Watchlist",1,0)</f>
        <v/>
      </c>
      <c r="CI255" s="76">
        <f>IF($Z255="Full Defeasance","Fully Defeased",IF($Z255="Portion Of Loan Previously Defeased","Partially Defeased",IF($Z255="Defeasance Not Allowable","Not Defeased (Not Permitted)","Not Defeased")))</f>
        <v/>
      </c>
      <c r="CJ255" s="78">
        <f>IF($CI255="Fully Defeased",1,0)</f>
        <v/>
      </c>
      <c r="CK255" s="76">
        <f>IF($R255="IO","Full IO",IF(LEFT($R255&amp;"",7)="IO then","Partial IO","Amortizing"))</f>
        <v/>
      </c>
      <c r="CL255" s="78">
        <f>IF($CK255="Full IO",1,0)</f>
        <v/>
      </c>
      <c r="CM255" s="78">
        <f>IF($CK255="Partial IO",1,0)</f>
        <v/>
      </c>
      <c r="CN255" s="76">
        <f>IF(LEFT($F255&amp;"",10)="SPLIT_LOAN","Pari Passu Split","Standalone")</f>
        <v/>
      </c>
      <c r="CO255" s="78">
        <f>IF($CN255="Pari Passu Split",1,0)</f>
        <v/>
      </c>
      <c r="CP255" s="77">
        <f>IF(ISNUMBER($T255),YEAR($T255),"")</f>
        <v/>
      </c>
      <c r="CQ255" s="79">
        <f>IF(ISNUMBER($V255),$V255,IF(ISNUMBER($U255),$U255,""))</f>
        <v/>
      </c>
      <c r="CR255" s="77">
        <f>IF(ISNUMBER($CQ255),YEAR($CQ255),"")</f>
        <v/>
      </c>
      <c r="CS255" s="78">
        <f>IF(ISNUMBER($M255),MAX(0,$M255),IF(TRIM($M255&amp;"")="matured",0,""))</f>
        <v/>
      </c>
      <c r="CT255" s="78">
        <f>IF(AND(ISNUMBER($CS255),N($CS255)&lt;=mMatWindow),1,0)</f>
        <v/>
      </c>
      <c r="CU255" s="80">
        <f>IF(ISNUMBER($J255),$J255/100,"")</f>
        <v/>
      </c>
      <c r="CV255" s="81">
        <f>IF(ISNUMBER($AQ255),$AQ255,"")</f>
        <v/>
      </c>
      <c r="CW255" s="81">
        <f>IF(ISNUMBER($AR255),$AR255,"")</f>
        <v/>
      </c>
      <c r="CX255" s="82">
        <f>IF(ISNUMBER($AS255),$AS255/100,"")</f>
        <v/>
      </c>
      <c r="CY255" s="82">
        <f>IF(ISNUMBER($AT255),$AT255/100,"")</f>
        <v/>
      </c>
      <c r="CZ255" s="82">
        <f>IF(ISNUMBER($AU255),$AU255/100,"")</f>
        <v/>
      </c>
      <c r="DA255" s="82">
        <f>IF(ISNUMBER($AV255),$AV255/100,"")</f>
        <v/>
      </c>
      <c r="DB255" s="82">
        <f>IF(ISNUMBER($AW255),$AW255/100,"")</f>
        <v/>
      </c>
      <c r="DC255" s="82">
        <f>IF(ISNUMBER($AX255),$AX255/100,"")</f>
        <v/>
      </c>
      <c r="DD255" s="77">
        <f>IFERROR(VALUE(LEFT(TRIM($AO255&amp;""),4)),"")</f>
        <v/>
      </c>
      <c r="DE255" s="78">
        <f>IF(AND($BY255=1,$BX255=1,OR(fDeal="All Deals",$BU255=fDeal),OR(fEntity="All Entities",$BV255=fEntity),OR(fPType="All Property Types",$BZ255=fPType),OR(fDefeased="Include",$CJ255=0)),1,0)</f>
        <v/>
      </c>
      <c r="DF255" s="83">
        <f>$DE255*N($I255)</f>
        <v/>
      </c>
      <c r="DG255" s="78">
        <f>IF($DE255=1,IF(COUNTIFS($F$8:$F255,$F255,$DE$8:$DE255,1)=1,1,0),0)</f>
        <v/>
      </c>
      <c r="DH255" s="83">
        <f>IF($DG255=1,SUMIFS($DF$8:$DF$1600,$F$8:$F$1600,$F255),0)</f>
        <v/>
      </c>
      <c r="DI255" s="78">
        <f>IF($DG255=1,COUNTIFS($F$8:$F$1600,$F255,$DE$8:$DE$1600,1),0)</f>
        <v/>
      </c>
      <c r="DJ255" s="84">
        <f>IF($DG255=1,$DH255+(100000-ROW())/mTieBreak,0)</f>
        <v/>
      </c>
    </row>
    <row r="256">
      <c r="B256" s="68" t="n">
        <v>9</v>
      </c>
      <c r="C256" s="69" t="inlineStr">
        <is>
          <t>GS219G38</t>
        </is>
      </c>
      <c r="D256" s="69" t="inlineStr">
        <is>
          <t>9.000</t>
        </is>
      </c>
      <c r="E256" s="69" t="inlineStr">
        <is>
          <t>Residence Inn Chula Vista</t>
        </is>
      </c>
      <c r="F256" s="69" t="inlineStr">
        <is>
          <t>LNGS219G38-9.000</t>
        </is>
      </c>
      <c r="G256" s="70" t="n"/>
      <c r="H256" s="71" t="n">
        <v>29000000</v>
      </c>
      <c r="I256" s="71" t="n">
        <v>25454166.91999701</v>
      </c>
      <c r="J256" s="72" t="n">
        <v>5.35</v>
      </c>
      <c r="K256" s="69" t="inlineStr">
        <is>
          <t>Fixed rate</t>
        </is>
      </c>
      <c r="L256" s="68" t="n">
        <v>120</v>
      </c>
      <c r="M256" s="68" t="n">
        <v>27</v>
      </c>
      <c r="N256" s="68" t="n">
        <v>360</v>
      </c>
      <c r="O256" s="68" t="n"/>
      <c r="P256" s="68" t="n"/>
      <c r="Q256" s="68" t="n">
        <v>93</v>
      </c>
      <c r="R256" s="69" t="n"/>
      <c r="S256" s="69" t="inlineStr">
        <is>
          <t>No</t>
        </is>
      </c>
      <c r="T256" s="73" t="n">
        <v>43435</v>
      </c>
      <c r="U256" s="73" t="n">
        <v>47093</v>
      </c>
      <c r="V256" s="73" t="n"/>
      <c r="W256" s="69" t="n"/>
      <c r="X256" s="69" t="inlineStr">
        <is>
          <t>Current</t>
        </is>
      </c>
      <c r="Y256" s="68" t="n"/>
      <c r="Z256" s="69" t="inlineStr">
        <is>
          <t>No Defeasance Occurred</t>
        </is>
      </c>
      <c r="AA256" s="69" t="inlineStr">
        <is>
          <t>Previously</t>
        </is>
      </c>
      <c r="AB256" s="69" t="inlineStr">
        <is>
          <t>Never special serv</t>
        </is>
      </c>
      <c r="AC256" s="73" t="n"/>
      <c r="AD256" s="69" t="n"/>
      <c r="AE256" s="69" t="n"/>
      <c r="AF256" s="69" t="inlineStr">
        <is>
          <t>CA</t>
        </is>
      </c>
      <c r="AG256" s="69" t="inlineStr">
        <is>
          <t>Chula Vista</t>
        </is>
      </c>
      <c r="AH256" s="69" t="inlineStr">
        <is>
          <t>San Diego-Chula Vista-Carlsbad, CA</t>
        </is>
      </c>
      <c r="AI256" s="69" t="inlineStr">
        <is>
          <t>West / Pacific South</t>
        </is>
      </c>
      <c r="AJ256" s="69" t="inlineStr">
        <is>
          <t>HT</t>
        </is>
      </c>
      <c r="AK256" s="69" t="inlineStr">
        <is>
          <t>Extended Stay</t>
        </is>
      </c>
      <c r="AL256" s="68" t="n">
        <v>1</v>
      </c>
      <c r="AM256" s="68" t="n">
        <v>148</v>
      </c>
      <c r="AN256" s="68" t="n"/>
      <c r="AO256" s="69" t="inlineStr">
        <is>
          <t>2017</t>
        </is>
      </c>
      <c r="AP256" s="70" t="n">
        <v>2017</v>
      </c>
      <c r="AQ256" s="74" t="n">
        <v>1.9</v>
      </c>
      <c r="AR256" s="74" t="n">
        <v>2.11</v>
      </c>
      <c r="AS256" s="74" t="n">
        <v>67.3</v>
      </c>
      <c r="AT256" s="74" t="n">
        <v>59.2</v>
      </c>
      <c r="AU256" s="74" t="n">
        <v>56.1</v>
      </c>
      <c r="AV256" s="74" t="n">
        <v>12.702669414</v>
      </c>
      <c r="AW256" s="74" t="n">
        <v>14.876159773</v>
      </c>
      <c r="AX256" s="75" t="n">
        <v>88</v>
      </c>
      <c r="AY256" s="71" t="n">
        <v>43000000</v>
      </c>
      <c r="AZ256" s="71" t="n">
        <v>43000000</v>
      </c>
      <c r="BA256" s="71" t="n">
        <v>3683774.13</v>
      </c>
      <c r="BB256" s="71" t="n">
        <v>4104307.13</v>
      </c>
      <c r="BC256" s="69" t="inlineStr">
        <is>
          <t>Refinance</t>
        </is>
      </c>
      <c r="BD256" s="69" t="inlineStr">
        <is>
          <t>N</t>
        </is>
      </c>
      <c r="BE256" s="71" t="n"/>
      <c r="BF256" s="71" t="n"/>
      <c r="BG256" s="71" t="n"/>
      <c r="BH256" s="71" t="n">
        <v>0</v>
      </c>
      <c r="BI256" s="71" t="n">
        <v>0</v>
      </c>
      <c r="BJ256" s="69" t="inlineStr">
        <is>
          <t>N</t>
        </is>
      </c>
      <c r="BK256" s="69" t="n"/>
      <c r="BL256" s="75" t="n"/>
      <c r="BM256" s="73" t="n"/>
      <c r="BN256" s="69" t="inlineStr">
        <is>
          <t>Alfred E. Baldwin and Alfred E. Baldwin, as Trustee of the A&amp;D Baldwin Family Trust dated July 11, 1985</t>
        </is>
      </c>
      <c r="BO256" s="69" t="inlineStr">
        <is>
          <t>Goldman Sachs</t>
        </is>
      </c>
      <c r="BP256" s="69" t="inlineStr">
        <is>
          <t>TriMont Real Estate Advisors</t>
        </is>
      </c>
      <c r="BQ256" s="69" t="inlineStr">
        <is>
          <t>K-Star Asset Management LLC</t>
        </is>
      </c>
      <c r="BR256" s="69" t="n"/>
      <c r="BS256" s="73" t="n">
        <v>46273</v>
      </c>
      <c r="BU256" s="76">
        <f>IF($C256="","",IFERROR(INDEX(dmName,MATCH($C256,dmID,0)),"Unmapped"))</f>
        <v/>
      </c>
      <c r="BV256" s="76">
        <f>IF($C256="","",IFERROR(INDEX(dmEntity,MATCH($C256,dmID,0)),"Unmapped"))</f>
        <v/>
      </c>
      <c r="BW256" s="77">
        <f>IF($C256="","",IFERROR(INDEX(dmVintage,MATCH($C256,dmID,0)),""))</f>
        <v/>
      </c>
      <c r="BX256" s="78">
        <f>IFERROR(INDEX(dmInclude,MATCH($C256,dmID,0)),0)</f>
        <v/>
      </c>
      <c r="BY256" s="78">
        <f>IF(N($I256)&gt;0,1,0)</f>
        <v/>
      </c>
      <c r="BZ256" s="76">
        <f>IF($AJ256="","Other / Leased Fee",IFERROR(INDEX(mapPTGroup,MATCH(LEFT(TRIM($AJ256),2),mapPTCode,0)),"Other / Leased Fee"))</f>
        <v/>
      </c>
      <c r="CA256" s="76">
        <f>IF(TRIM($AF256&amp;"")="","NR",LEFT(TRIM($AF256),2))</f>
        <v/>
      </c>
      <c r="CB256" s="76">
        <f>IFERROR(LOOKUP(2,1/(LEFT(TRIM($AI256&amp;""),LEN(mapRegion))=mapRegion),mapRegion),"Not Reported")</f>
        <v/>
      </c>
      <c r="CC256" s="76">
        <f>IF($BY256=0,"",IF(TRIM($W256&amp;"")="REO","REO",IF(TRIM($W256&amp;"")="FC","Foreclosure",IF(TRIM($W256&amp;"")="90+","90+ Days Delinquent",IF(TRIM($W256&amp;"")="60","60 Days Delinquent",IF(TRIM($W256&amp;"")="30","30 Days Delinquent",IF($X256="Non-Performing Matured Balloon","Non-Performing Matured Balloon",IF(OR($X256="Late Payment But Less Than 30 Days Delinquent",LEFT($X256&amp;"",20)="Payment Not Received"),"Late / In Grace (&lt;30 Days)",IF($X256="Performing Matured Balloon","Performing Matured Balloon","Current")))))))))</f>
        <v/>
      </c>
      <c r="CD256" s="78">
        <f>IF(OR($CC256="REO",$CC256="Foreclosure",$CC256="90+ Days Delinquent",$CC256="60 Days Delinquent",$CC256="30 Days Delinquent",$CC256="Non-Performing Matured Balloon"),1,0)</f>
        <v/>
      </c>
      <c r="CE256" s="76">
        <f>IF($AB256="Currently special serv","Currently Specially Serviced",IF($AB256="Returned to master serv","Previously Specially Serviced","Never Specially Serviced"))</f>
        <v/>
      </c>
      <c r="CF256" s="78">
        <f>IF($CE256="Currently Specially Serviced",1,0)</f>
        <v/>
      </c>
      <c r="CG256" s="76">
        <f>IF($AA256="Yes","Currently on Watchlist",IF($AA256="Previously","Previously on Watchlist","Never on Watchlist"))</f>
        <v/>
      </c>
      <c r="CH256" s="78">
        <f>IF($CG256="Currently on Watchlist",1,0)</f>
        <v/>
      </c>
      <c r="CI256" s="76">
        <f>IF($Z256="Full Defeasance","Fully Defeased",IF($Z256="Portion Of Loan Previously Defeased","Partially Defeased",IF($Z256="Defeasance Not Allowable","Not Defeased (Not Permitted)","Not Defeased")))</f>
        <v/>
      </c>
      <c r="CJ256" s="78">
        <f>IF($CI256="Fully Defeased",1,0)</f>
        <v/>
      </c>
      <c r="CK256" s="76">
        <f>IF($R256="IO","Full IO",IF(LEFT($R256&amp;"",7)="IO then","Partial IO","Amortizing"))</f>
        <v/>
      </c>
      <c r="CL256" s="78">
        <f>IF($CK256="Full IO",1,0)</f>
        <v/>
      </c>
      <c r="CM256" s="78">
        <f>IF($CK256="Partial IO",1,0)</f>
        <v/>
      </c>
      <c r="CN256" s="76">
        <f>IF(LEFT($F256&amp;"",10)="SPLIT_LOAN","Pari Passu Split","Standalone")</f>
        <v/>
      </c>
      <c r="CO256" s="78">
        <f>IF($CN256="Pari Passu Split",1,0)</f>
        <v/>
      </c>
      <c r="CP256" s="77">
        <f>IF(ISNUMBER($T256),YEAR($T256),"")</f>
        <v/>
      </c>
      <c r="CQ256" s="79">
        <f>IF(ISNUMBER($V256),$V256,IF(ISNUMBER($U256),$U256,""))</f>
        <v/>
      </c>
      <c r="CR256" s="77">
        <f>IF(ISNUMBER($CQ256),YEAR($CQ256),"")</f>
        <v/>
      </c>
      <c r="CS256" s="78">
        <f>IF(ISNUMBER($M256),MAX(0,$M256),IF(TRIM($M256&amp;"")="matured",0,""))</f>
        <v/>
      </c>
      <c r="CT256" s="78">
        <f>IF(AND(ISNUMBER($CS256),N($CS256)&lt;=mMatWindow),1,0)</f>
        <v/>
      </c>
      <c r="CU256" s="80">
        <f>IF(ISNUMBER($J256),$J256/100,"")</f>
        <v/>
      </c>
      <c r="CV256" s="81">
        <f>IF(ISNUMBER($AQ256),$AQ256,"")</f>
        <v/>
      </c>
      <c r="CW256" s="81">
        <f>IF(ISNUMBER($AR256),$AR256,"")</f>
        <v/>
      </c>
      <c r="CX256" s="82">
        <f>IF(ISNUMBER($AS256),$AS256/100,"")</f>
        <v/>
      </c>
      <c r="CY256" s="82">
        <f>IF(ISNUMBER($AT256),$AT256/100,"")</f>
        <v/>
      </c>
      <c r="CZ256" s="82">
        <f>IF(ISNUMBER($AU256),$AU256/100,"")</f>
        <v/>
      </c>
      <c r="DA256" s="82">
        <f>IF(ISNUMBER($AV256),$AV256/100,"")</f>
        <v/>
      </c>
      <c r="DB256" s="82">
        <f>IF(ISNUMBER($AW256),$AW256/100,"")</f>
        <v/>
      </c>
      <c r="DC256" s="82">
        <f>IF(ISNUMBER($AX256),$AX256/100,"")</f>
        <v/>
      </c>
      <c r="DD256" s="77">
        <f>IFERROR(VALUE(LEFT(TRIM($AO256&amp;""),4)),"")</f>
        <v/>
      </c>
      <c r="DE256" s="78">
        <f>IF(AND($BY256=1,$BX256=1,OR(fDeal="All Deals",$BU256=fDeal),OR(fEntity="All Entities",$BV256=fEntity),OR(fPType="All Property Types",$BZ256=fPType),OR(fDefeased="Include",$CJ256=0)),1,0)</f>
        <v/>
      </c>
      <c r="DF256" s="83">
        <f>$DE256*N($I256)</f>
        <v/>
      </c>
      <c r="DG256" s="78">
        <f>IF($DE256=1,IF(COUNTIFS($F$8:$F256,$F256,$DE$8:$DE256,1)=1,1,0),0)</f>
        <v/>
      </c>
      <c r="DH256" s="83">
        <f>IF($DG256=1,SUMIFS($DF$8:$DF$1600,$F$8:$F$1600,$F256),0)</f>
        <v/>
      </c>
      <c r="DI256" s="78">
        <f>IF($DG256=1,COUNTIFS($F$8:$F$1600,$F256,$DE$8:$DE$1600,1),0)</f>
        <v/>
      </c>
      <c r="DJ256" s="84">
        <f>IF($DG256=1,$DH256+(100000-ROW())/mTieBreak,0)</f>
        <v/>
      </c>
    </row>
    <row r="257">
      <c r="B257" s="68" t="n">
        <v>10</v>
      </c>
      <c r="C257" s="69" t="inlineStr">
        <is>
          <t>GS219G38</t>
        </is>
      </c>
      <c r="D257" s="69" t="inlineStr">
        <is>
          <t>10.000</t>
        </is>
      </c>
      <c r="E257" s="69" t="inlineStr">
        <is>
          <t>145 Clinton</t>
        </is>
      </c>
      <c r="F257" s="69" t="inlineStr">
        <is>
          <t>SPLIT_LOAN_01455</t>
        </is>
      </c>
      <c r="G257" s="70" t="n">
        <v>1455</v>
      </c>
      <c r="H257" s="71" t="n">
        <v>28200000</v>
      </c>
      <c r="I257" s="71" t="n">
        <v>28200000</v>
      </c>
      <c r="J257" s="72" t="n">
        <v>4.965</v>
      </c>
      <c r="K257" s="69" t="inlineStr">
        <is>
          <t>Fixed rate</t>
        </is>
      </c>
      <c r="L257" s="68" t="n">
        <v>120</v>
      </c>
      <c r="M257" s="68" t="n">
        <v>27</v>
      </c>
      <c r="N257" s="68" t="n">
        <v>120</v>
      </c>
      <c r="O257" s="68" t="n">
        <v>120</v>
      </c>
      <c r="P257" s="68" t="n">
        <v>27</v>
      </c>
      <c r="Q257" s="68" t="n">
        <v>93</v>
      </c>
      <c r="R257" s="69" t="inlineStr">
        <is>
          <t>IO</t>
        </is>
      </c>
      <c r="S257" s="69" t="inlineStr">
        <is>
          <t>Yes</t>
        </is>
      </c>
      <c r="T257" s="73" t="n">
        <v>43435</v>
      </c>
      <c r="U257" s="73" t="n">
        <v>47093</v>
      </c>
      <c r="V257" s="73" t="n"/>
      <c r="W257" s="69" t="n"/>
      <c r="X257" s="69" t="inlineStr">
        <is>
          <t>Current</t>
        </is>
      </c>
      <c r="Y257" s="68" t="n"/>
      <c r="Z257" s="69" t="inlineStr">
        <is>
          <t>No Defeasance Occurred</t>
        </is>
      </c>
      <c r="AA257" s="69" t="inlineStr">
        <is>
          <t>Previously</t>
        </is>
      </c>
      <c r="AB257" s="69" t="inlineStr">
        <is>
          <t>Never special serv</t>
        </is>
      </c>
      <c r="AC257" s="73" t="n"/>
      <c r="AD257" s="69" t="n"/>
      <c r="AE257" s="69" t="n"/>
      <c r="AF257" s="69" t="inlineStr">
        <is>
          <t>NY</t>
        </is>
      </c>
      <c r="AG257" s="69" t="inlineStr">
        <is>
          <t>New York</t>
        </is>
      </c>
      <c r="AH257" s="69" t="inlineStr">
        <is>
          <t>New York-Newark-Jersey City, NY-NJ</t>
        </is>
      </c>
      <c r="AI257" s="69" t="inlineStr">
        <is>
          <t>Northeast / Mid-Atlantic</t>
        </is>
      </c>
      <c r="AJ257" s="69" t="inlineStr">
        <is>
          <t>RT</t>
        </is>
      </c>
      <c r="AK257" s="69" t="inlineStr">
        <is>
          <t>Anchored</t>
        </is>
      </c>
      <c r="AL257" s="68" t="n">
        <v>1</v>
      </c>
      <c r="AM257" s="68" t="n"/>
      <c r="AN257" s="68" t="n">
        <v>67217</v>
      </c>
      <c r="AO257" s="69" t="inlineStr">
        <is>
          <t>2018</t>
        </is>
      </c>
      <c r="AP257" s="70" t="n">
        <v>2018</v>
      </c>
      <c r="AQ257" s="74" t="n">
        <v>1.3</v>
      </c>
      <c r="AR257" s="74" t="n">
        <v>1.52</v>
      </c>
      <c r="AS257" s="74" t="n">
        <v>65</v>
      </c>
      <c r="AT257" s="74" t="n">
        <v>64.95</v>
      </c>
      <c r="AU257" s="74" t="n">
        <v>65</v>
      </c>
      <c r="AV257" s="74" t="n">
        <v>6.532050836</v>
      </c>
      <c r="AW257" s="74" t="n">
        <v>7.366376481</v>
      </c>
      <c r="AX257" s="75" t="n">
        <v>83</v>
      </c>
      <c r="AY257" s="71" t="n">
        <v>105000000</v>
      </c>
      <c r="AZ257" s="71" t="n">
        <v>105000000</v>
      </c>
      <c r="BA257" s="71" t="n">
        <v>4454858.67</v>
      </c>
      <c r="BB257" s="71" t="n">
        <v>1301474</v>
      </c>
      <c r="BC257" s="69" t="inlineStr">
        <is>
          <t>Refinance</t>
        </is>
      </c>
      <c r="BD257" s="69" t="inlineStr">
        <is>
          <t>N</t>
        </is>
      </c>
      <c r="BE257" s="71" t="n">
        <v>40000000</v>
      </c>
      <c r="BF257" s="71" t="n"/>
      <c r="BG257" s="71" t="n"/>
      <c r="BH257" s="71" t="n">
        <v>0</v>
      </c>
      <c r="BI257" s="71" t="n">
        <v>0</v>
      </c>
      <c r="BJ257" s="69" t="inlineStr">
        <is>
          <t>N</t>
        </is>
      </c>
      <c r="BK257" s="69" t="inlineStr">
        <is>
          <t>Trader Joe's</t>
        </is>
      </c>
      <c r="BL257" s="75" t="n">
        <v>45.56</v>
      </c>
      <c r="BM257" s="73" t="n">
        <v>48852</v>
      </c>
      <c r="BN257" s="69" t="inlineStr">
        <is>
          <t>DSA Phase I Holdings LLC</t>
        </is>
      </c>
      <c r="BO257" s="69" t="inlineStr">
        <is>
          <t>Goldman Sachs</t>
        </is>
      </c>
      <c r="BP257" s="69" t="inlineStr">
        <is>
          <t>TriMont Real Estate Advisors</t>
        </is>
      </c>
      <c r="BQ257" s="69" t="inlineStr">
        <is>
          <t>CWCapital</t>
        </is>
      </c>
      <c r="BR257" s="69" t="n"/>
      <c r="BS257" s="73" t="n">
        <v>46273</v>
      </c>
      <c r="BU257" s="76">
        <f>IF($C257="","",IFERROR(INDEX(dmName,MATCH($C257,dmID,0)),"Unmapped"))</f>
        <v/>
      </c>
      <c r="BV257" s="76">
        <f>IF($C257="","",IFERROR(INDEX(dmEntity,MATCH($C257,dmID,0)),"Unmapped"))</f>
        <v/>
      </c>
      <c r="BW257" s="77">
        <f>IF($C257="","",IFERROR(INDEX(dmVintage,MATCH($C257,dmID,0)),""))</f>
        <v/>
      </c>
      <c r="BX257" s="78">
        <f>IFERROR(INDEX(dmInclude,MATCH($C257,dmID,0)),0)</f>
        <v/>
      </c>
      <c r="BY257" s="78">
        <f>IF(N($I257)&gt;0,1,0)</f>
        <v/>
      </c>
      <c r="BZ257" s="76">
        <f>IF($AJ257="","Other / Leased Fee",IFERROR(INDEX(mapPTGroup,MATCH(LEFT(TRIM($AJ257),2),mapPTCode,0)),"Other / Leased Fee"))</f>
        <v/>
      </c>
      <c r="CA257" s="76">
        <f>IF(TRIM($AF257&amp;"")="","NR",LEFT(TRIM($AF257),2))</f>
        <v/>
      </c>
      <c r="CB257" s="76">
        <f>IFERROR(LOOKUP(2,1/(LEFT(TRIM($AI257&amp;""),LEN(mapRegion))=mapRegion),mapRegion),"Not Reported")</f>
        <v/>
      </c>
      <c r="CC257" s="76">
        <f>IF($BY257=0,"",IF(TRIM($W257&amp;"")="REO","REO",IF(TRIM($W257&amp;"")="FC","Foreclosure",IF(TRIM($W257&amp;"")="90+","90+ Days Delinquent",IF(TRIM($W257&amp;"")="60","60 Days Delinquent",IF(TRIM($W257&amp;"")="30","30 Days Delinquent",IF($X257="Non-Performing Matured Balloon","Non-Performing Matured Balloon",IF(OR($X257="Late Payment But Less Than 30 Days Delinquent",LEFT($X257&amp;"",20)="Payment Not Received"),"Late / In Grace (&lt;30 Days)",IF($X257="Performing Matured Balloon","Performing Matured Balloon","Current")))))))))</f>
        <v/>
      </c>
      <c r="CD257" s="78">
        <f>IF(OR($CC257="REO",$CC257="Foreclosure",$CC257="90+ Days Delinquent",$CC257="60 Days Delinquent",$CC257="30 Days Delinquent",$CC257="Non-Performing Matured Balloon"),1,0)</f>
        <v/>
      </c>
      <c r="CE257" s="76">
        <f>IF($AB257="Currently special serv","Currently Specially Serviced",IF($AB257="Returned to master serv","Previously Specially Serviced","Never Specially Serviced"))</f>
        <v/>
      </c>
      <c r="CF257" s="78">
        <f>IF($CE257="Currently Specially Serviced",1,0)</f>
        <v/>
      </c>
      <c r="CG257" s="76">
        <f>IF($AA257="Yes","Currently on Watchlist",IF($AA257="Previously","Previously on Watchlist","Never on Watchlist"))</f>
        <v/>
      </c>
      <c r="CH257" s="78">
        <f>IF($CG257="Currently on Watchlist",1,0)</f>
        <v/>
      </c>
      <c r="CI257" s="76">
        <f>IF($Z257="Full Defeasance","Fully Defeased",IF($Z257="Portion Of Loan Previously Defeased","Partially Defeased",IF($Z257="Defeasance Not Allowable","Not Defeased (Not Permitted)","Not Defeased")))</f>
        <v/>
      </c>
      <c r="CJ257" s="78">
        <f>IF($CI257="Fully Defeased",1,0)</f>
        <v/>
      </c>
      <c r="CK257" s="76">
        <f>IF($R257="IO","Full IO",IF(LEFT($R257&amp;"",7)="IO then","Partial IO","Amortizing"))</f>
        <v/>
      </c>
      <c r="CL257" s="78">
        <f>IF($CK257="Full IO",1,0)</f>
        <v/>
      </c>
      <c r="CM257" s="78">
        <f>IF($CK257="Partial IO",1,0)</f>
        <v/>
      </c>
      <c r="CN257" s="76">
        <f>IF(LEFT($F257&amp;"",10)="SPLIT_LOAN","Pari Passu Split","Standalone")</f>
        <v/>
      </c>
      <c r="CO257" s="78">
        <f>IF($CN257="Pari Passu Split",1,0)</f>
        <v/>
      </c>
      <c r="CP257" s="77">
        <f>IF(ISNUMBER($T257),YEAR($T257),"")</f>
        <v/>
      </c>
      <c r="CQ257" s="79">
        <f>IF(ISNUMBER($V257),$V257,IF(ISNUMBER($U257),$U257,""))</f>
        <v/>
      </c>
      <c r="CR257" s="77">
        <f>IF(ISNUMBER($CQ257),YEAR($CQ257),"")</f>
        <v/>
      </c>
      <c r="CS257" s="78">
        <f>IF(ISNUMBER($M257),MAX(0,$M257),IF(TRIM($M257&amp;"")="matured",0,""))</f>
        <v/>
      </c>
      <c r="CT257" s="78">
        <f>IF(AND(ISNUMBER($CS257),N($CS257)&lt;=mMatWindow),1,0)</f>
        <v/>
      </c>
      <c r="CU257" s="80">
        <f>IF(ISNUMBER($J257),$J257/100,"")</f>
        <v/>
      </c>
      <c r="CV257" s="81">
        <f>IF(ISNUMBER($AQ257),$AQ257,"")</f>
        <v/>
      </c>
      <c r="CW257" s="81">
        <f>IF(ISNUMBER($AR257),$AR257,"")</f>
        <v/>
      </c>
      <c r="CX257" s="82">
        <f>IF(ISNUMBER($AS257),$AS257/100,"")</f>
        <v/>
      </c>
      <c r="CY257" s="82">
        <f>IF(ISNUMBER($AT257),$AT257/100,"")</f>
        <v/>
      </c>
      <c r="CZ257" s="82">
        <f>IF(ISNUMBER($AU257),$AU257/100,"")</f>
        <v/>
      </c>
      <c r="DA257" s="82">
        <f>IF(ISNUMBER($AV257),$AV257/100,"")</f>
        <v/>
      </c>
      <c r="DB257" s="82">
        <f>IF(ISNUMBER($AW257),$AW257/100,"")</f>
        <v/>
      </c>
      <c r="DC257" s="82">
        <f>IF(ISNUMBER($AX257),$AX257/100,"")</f>
        <v/>
      </c>
      <c r="DD257" s="77">
        <f>IFERROR(VALUE(LEFT(TRIM($AO257&amp;""),4)),"")</f>
        <v/>
      </c>
      <c r="DE257" s="78">
        <f>IF(AND($BY257=1,$BX257=1,OR(fDeal="All Deals",$BU257=fDeal),OR(fEntity="All Entities",$BV257=fEntity),OR(fPType="All Property Types",$BZ257=fPType),OR(fDefeased="Include",$CJ257=0)),1,0)</f>
        <v/>
      </c>
      <c r="DF257" s="83">
        <f>$DE257*N($I257)</f>
        <v/>
      </c>
      <c r="DG257" s="78">
        <f>IF($DE257=1,IF(COUNTIFS($F$8:$F257,$F257,$DE$8:$DE257,1)=1,1,0),0)</f>
        <v/>
      </c>
      <c r="DH257" s="83">
        <f>IF($DG257=1,SUMIFS($DF$8:$DF$1600,$F$8:$F$1600,$F257),0)</f>
        <v/>
      </c>
      <c r="DI257" s="78">
        <f>IF($DG257=1,COUNTIFS($F$8:$F$1600,$F257,$DE$8:$DE$1600,1),0)</f>
        <v/>
      </c>
      <c r="DJ257" s="84">
        <f>IF($DG257=1,$DH257+(100000-ROW())/mTieBreak,0)</f>
        <v/>
      </c>
    </row>
    <row r="258">
      <c r="B258" s="68" t="n">
        <v>11</v>
      </c>
      <c r="C258" s="69" t="inlineStr">
        <is>
          <t>GS219G38</t>
        </is>
      </c>
      <c r="D258" s="69" t="inlineStr">
        <is>
          <t>11.000</t>
        </is>
      </c>
      <c r="E258" s="69" t="inlineStr">
        <is>
          <t>Vee Pak Industrial Portfolio</t>
        </is>
      </c>
      <c r="F258" s="69" t="inlineStr">
        <is>
          <t>LNGS219G38-11.000</t>
        </is>
      </c>
      <c r="G258" s="70" t="n"/>
      <c r="H258" s="71" t="n">
        <v>26845000</v>
      </c>
      <c r="I258" s="71" t="n">
        <v>26845000</v>
      </c>
      <c r="J258" s="72" t="n">
        <v>4.89</v>
      </c>
      <c r="K258" s="69" t="inlineStr">
        <is>
          <t>Fixed rate</t>
        </is>
      </c>
      <c r="L258" s="68" t="n">
        <v>120</v>
      </c>
      <c r="M258" s="68" t="n">
        <v>29</v>
      </c>
      <c r="N258" s="68" t="n">
        <v>120</v>
      </c>
      <c r="O258" s="68" t="n">
        <v>120</v>
      </c>
      <c r="P258" s="68" t="n">
        <v>29</v>
      </c>
      <c r="Q258" s="68" t="n">
        <v>91</v>
      </c>
      <c r="R258" s="69" t="inlineStr">
        <is>
          <t>IO</t>
        </is>
      </c>
      <c r="S258" s="69" t="inlineStr">
        <is>
          <t>Yes</t>
        </is>
      </c>
      <c r="T258" s="73" t="n">
        <v>43497</v>
      </c>
      <c r="U258" s="73" t="n">
        <v>47155</v>
      </c>
      <c r="V258" s="73" t="n"/>
      <c r="W258" s="69" t="n"/>
      <c r="X258" s="69" t="inlineStr">
        <is>
          <t>Current</t>
        </is>
      </c>
      <c r="Y258" s="68" t="n"/>
      <c r="Z258" s="69" t="inlineStr">
        <is>
          <t>No Defeasance Occurred</t>
        </is>
      </c>
      <c r="AA258" s="69" t="inlineStr">
        <is>
          <t>Previously</t>
        </is>
      </c>
      <c r="AB258" s="69" t="inlineStr">
        <is>
          <t>Never special serv</t>
        </is>
      </c>
      <c r="AC258" s="73" t="n"/>
      <c r="AD258" s="69" t="n"/>
      <c r="AE258" s="69" t="n"/>
      <c r="AF258" s="69" t="inlineStr">
        <is>
          <t>IL</t>
        </is>
      </c>
      <c r="AG258" s="69" t="n"/>
      <c r="AH258" s="69" t="inlineStr">
        <is>
          <t>Chicago-Naperville-Elgin, IL-IN</t>
        </is>
      </c>
      <c r="AI258" s="69" t="inlineStr">
        <is>
          <t>Midwest / Central East</t>
        </is>
      </c>
      <c r="AJ258" s="69" t="inlineStr">
        <is>
          <t>IN</t>
        </is>
      </c>
      <c r="AK258" s="69" t="n"/>
      <c r="AL258" s="68" t="n">
        <v>3</v>
      </c>
      <c r="AM258" s="68" t="n"/>
      <c r="AN258" s="68" t="n">
        <v>546591</v>
      </c>
      <c r="AO258" s="69" t="n"/>
      <c r="AP258" s="70" t="n">
        <v>2018</v>
      </c>
      <c r="AQ258" s="74" t="n">
        <v>1.72</v>
      </c>
      <c r="AR258" s="74" t="n">
        <v>2.64</v>
      </c>
      <c r="AS258" s="74" t="n">
        <v>63.8</v>
      </c>
      <c r="AT258" s="74" t="n">
        <v>63.76</v>
      </c>
      <c r="AU258" s="74" t="n">
        <v>63.76</v>
      </c>
      <c r="AV258" s="74" t="n">
        <v>8.53853604</v>
      </c>
      <c r="AW258" s="74" t="n">
        <v>10.721473533</v>
      </c>
      <c r="AX258" s="75" t="n">
        <v>100</v>
      </c>
      <c r="AY258" s="71" t="n">
        <v>42100000</v>
      </c>
      <c r="AZ258" s="71" t="n">
        <v>42100000</v>
      </c>
      <c r="BA258" s="71" t="n">
        <v>2292170</v>
      </c>
      <c r="BB258" s="71" t="n">
        <v>865972.45</v>
      </c>
      <c r="BC258" s="69" t="inlineStr">
        <is>
          <t>Acquisition</t>
        </is>
      </c>
      <c r="BD258" s="69" t="inlineStr">
        <is>
          <t>N</t>
        </is>
      </c>
      <c r="BE258" s="71" t="n"/>
      <c r="BF258" s="71" t="n"/>
      <c r="BG258" s="71" t="n"/>
      <c r="BH258" s="71" t="n">
        <v>0</v>
      </c>
      <c r="BI258" s="71" t="n">
        <v>0</v>
      </c>
      <c r="BJ258" s="69" t="inlineStr">
        <is>
          <t>N</t>
        </is>
      </c>
      <c r="BK258" s="69" t="inlineStr">
        <is>
          <t>Voyant</t>
        </is>
      </c>
      <c r="BL258" s="75" t="n">
        <v>100</v>
      </c>
      <c r="BM258" s="73" t="n">
        <v>50801</v>
      </c>
      <c r="BN258" s="69" t="inlineStr">
        <is>
          <t>AG Net Lease III Corp. and AG Net Lease III (SO) Corp.</t>
        </is>
      </c>
      <c r="BO258" s="69" t="inlineStr">
        <is>
          <t>Citigroup Global Markets</t>
        </is>
      </c>
      <c r="BP258" s="69" t="inlineStr">
        <is>
          <t>TriMont Real Estate Advisors</t>
        </is>
      </c>
      <c r="BQ258" s="69" t="inlineStr">
        <is>
          <t>K-Star Asset Management LLC</t>
        </is>
      </c>
      <c r="BR258" s="69" t="n"/>
      <c r="BS258" s="73" t="n">
        <v>46273</v>
      </c>
      <c r="BU258" s="76">
        <f>IF($C258="","",IFERROR(INDEX(dmName,MATCH($C258,dmID,0)),"Unmapped"))</f>
        <v/>
      </c>
      <c r="BV258" s="76">
        <f>IF($C258="","",IFERROR(INDEX(dmEntity,MATCH($C258,dmID,0)),"Unmapped"))</f>
        <v/>
      </c>
      <c r="BW258" s="77">
        <f>IF($C258="","",IFERROR(INDEX(dmVintage,MATCH($C258,dmID,0)),""))</f>
        <v/>
      </c>
      <c r="BX258" s="78">
        <f>IFERROR(INDEX(dmInclude,MATCH($C258,dmID,0)),0)</f>
        <v/>
      </c>
      <c r="BY258" s="78">
        <f>IF(N($I258)&gt;0,1,0)</f>
        <v/>
      </c>
      <c r="BZ258" s="76">
        <f>IF($AJ258="","Other / Leased Fee",IFERROR(INDEX(mapPTGroup,MATCH(LEFT(TRIM($AJ258),2),mapPTCode,0)),"Other / Leased Fee"))</f>
        <v/>
      </c>
      <c r="CA258" s="76">
        <f>IF(TRIM($AF258&amp;"")="","NR",LEFT(TRIM($AF258),2))</f>
        <v/>
      </c>
      <c r="CB258" s="76">
        <f>IFERROR(LOOKUP(2,1/(LEFT(TRIM($AI258&amp;""),LEN(mapRegion))=mapRegion),mapRegion),"Not Reported")</f>
        <v/>
      </c>
      <c r="CC258" s="76">
        <f>IF($BY258=0,"",IF(TRIM($W258&amp;"")="REO","REO",IF(TRIM($W258&amp;"")="FC","Foreclosure",IF(TRIM($W258&amp;"")="90+","90+ Days Delinquent",IF(TRIM($W258&amp;"")="60","60 Days Delinquent",IF(TRIM($W258&amp;"")="30","30 Days Delinquent",IF($X258="Non-Performing Matured Balloon","Non-Performing Matured Balloon",IF(OR($X258="Late Payment But Less Than 30 Days Delinquent",LEFT($X258&amp;"",20)="Payment Not Received"),"Late / In Grace (&lt;30 Days)",IF($X258="Performing Matured Balloon","Performing Matured Balloon","Current")))))))))</f>
        <v/>
      </c>
      <c r="CD258" s="78">
        <f>IF(OR($CC258="REO",$CC258="Foreclosure",$CC258="90+ Days Delinquent",$CC258="60 Days Delinquent",$CC258="30 Days Delinquent",$CC258="Non-Performing Matured Balloon"),1,0)</f>
        <v/>
      </c>
      <c r="CE258" s="76">
        <f>IF($AB258="Currently special serv","Currently Specially Serviced",IF($AB258="Returned to master serv","Previously Specially Serviced","Never Specially Serviced"))</f>
        <v/>
      </c>
      <c r="CF258" s="78">
        <f>IF($CE258="Currently Specially Serviced",1,0)</f>
        <v/>
      </c>
      <c r="CG258" s="76">
        <f>IF($AA258="Yes","Currently on Watchlist",IF($AA258="Previously","Previously on Watchlist","Never on Watchlist"))</f>
        <v/>
      </c>
      <c r="CH258" s="78">
        <f>IF($CG258="Currently on Watchlist",1,0)</f>
        <v/>
      </c>
      <c r="CI258" s="76">
        <f>IF($Z258="Full Defeasance","Fully Defeased",IF($Z258="Portion Of Loan Previously Defeased","Partially Defeased",IF($Z258="Defeasance Not Allowable","Not Defeased (Not Permitted)","Not Defeased")))</f>
        <v/>
      </c>
      <c r="CJ258" s="78">
        <f>IF($CI258="Fully Defeased",1,0)</f>
        <v/>
      </c>
      <c r="CK258" s="76">
        <f>IF($R258="IO","Full IO",IF(LEFT($R258&amp;"",7)="IO then","Partial IO","Amortizing"))</f>
        <v/>
      </c>
      <c r="CL258" s="78">
        <f>IF($CK258="Full IO",1,0)</f>
        <v/>
      </c>
      <c r="CM258" s="78">
        <f>IF($CK258="Partial IO",1,0)</f>
        <v/>
      </c>
      <c r="CN258" s="76">
        <f>IF(LEFT($F258&amp;"",10)="SPLIT_LOAN","Pari Passu Split","Standalone")</f>
        <v/>
      </c>
      <c r="CO258" s="78">
        <f>IF($CN258="Pari Passu Split",1,0)</f>
        <v/>
      </c>
      <c r="CP258" s="77">
        <f>IF(ISNUMBER($T258),YEAR($T258),"")</f>
        <v/>
      </c>
      <c r="CQ258" s="79">
        <f>IF(ISNUMBER($V258),$V258,IF(ISNUMBER($U258),$U258,""))</f>
        <v/>
      </c>
      <c r="CR258" s="77">
        <f>IF(ISNUMBER($CQ258),YEAR($CQ258),"")</f>
        <v/>
      </c>
      <c r="CS258" s="78">
        <f>IF(ISNUMBER($M258),MAX(0,$M258),IF(TRIM($M258&amp;"")="matured",0,""))</f>
        <v/>
      </c>
      <c r="CT258" s="78">
        <f>IF(AND(ISNUMBER($CS258),N($CS258)&lt;=mMatWindow),1,0)</f>
        <v/>
      </c>
      <c r="CU258" s="80">
        <f>IF(ISNUMBER($J258),$J258/100,"")</f>
        <v/>
      </c>
      <c r="CV258" s="81">
        <f>IF(ISNUMBER($AQ258),$AQ258,"")</f>
        <v/>
      </c>
      <c r="CW258" s="81">
        <f>IF(ISNUMBER($AR258),$AR258,"")</f>
        <v/>
      </c>
      <c r="CX258" s="82">
        <f>IF(ISNUMBER($AS258),$AS258/100,"")</f>
        <v/>
      </c>
      <c r="CY258" s="82">
        <f>IF(ISNUMBER($AT258),$AT258/100,"")</f>
        <v/>
      </c>
      <c r="CZ258" s="82">
        <f>IF(ISNUMBER($AU258),$AU258/100,"")</f>
        <v/>
      </c>
      <c r="DA258" s="82">
        <f>IF(ISNUMBER($AV258),$AV258/100,"")</f>
        <v/>
      </c>
      <c r="DB258" s="82">
        <f>IF(ISNUMBER($AW258),$AW258/100,"")</f>
        <v/>
      </c>
      <c r="DC258" s="82">
        <f>IF(ISNUMBER($AX258),$AX258/100,"")</f>
        <v/>
      </c>
      <c r="DD258" s="77">
        <f>IFERROR(VALUE(LEFT(TRIM($AO258&amp;""),4)),"")</f>
        <v/>
      </c>
      <c r="DE258" s="78">
        <f>IF(AND($BY258=1,$BX258=1,OR(fDeal="All Deals",$BU258=fDeal),OR(fEntity="All Entities",$BV258=fEntity),OR(fPType="All Property Types",$BZ258=fPType),OR(fDefeased="Include",$CJ258=0)),1,0)</f>
        <v/>
      </c>
      <c r="DF258" s="83">
        <f>$DE258*N($I258)</f>
        <v/>
      </c>
      <c r="DG258" s="78">
        <f>IF($DE258=1,IF(COUNTIFS($F$8:$F258,$F258,$DE$8:$DE258,1)=1,1,0),0)</f>
        <v/>
      </c>
      <c r="DH258" s="83">
        <f>IF($DG258=1,SUMIFS($DF$8:$DF$1600,$F$8:$F$1600,$F258),0)</f>
        <v/>
      </c>
      <c r="DI258" s="78">
        <f>IF($DG258=1,COUNTIFS($F$8:$F$1600,$F258,$DE$8:$DE$1600,1),0)</f>
        <v/>
      </c>
      <c r="DJ258" s="84">
        <f>IF($DG258=1,$DH258+(100000-ROW())/mTieBreak,0)</f>
        <v/>
      </c>
    </row>
    <row r="259">
      <c r="B259" s="68" t="n">
        <v>12</v>
      </c>
      <c r="C259" s="69" t="inlineStr">
        <is>
          <t>GS219G38</t>
        </is>
      </c>
      <c r="D259" s="69" t="inlineStr">
        <is>
          <t>12.000</t>
        </is>
      </c>
      <c r="E259" s="69" t="inlineStr">
        <is>
          <t>Moxy Denver Cherry Creek</t>
        </is>
      </c>
      <c r="F259" s="69" t="inlineStr">
        <is>
          <t>LNGS219G38-12.000</t>
        </is>
      </c>
      <c r="G259" s="70" t="n"/>
      <c r="H259" s="71" t="n">
        <v>25000000</v>
      </c>
      <c r="I259" s="71" t="n">
        <v>25000000</v>
      </c>
      <c r="J259" s="72" t="n">
        <v>5.06</v>
      </c>
      <c r="K259" s="69" t="inlineStr">
        <is>
          <t>Fixed rate</t>
        </is>
      </c>
      <c r="L259" s="68" t="n">
        <v>120</v>
      </c>
      <c r="M259" s="68" t="n">
        <v>28</v>
      </c>
      <c r="N259" s="68" t="n">
        <v>120</v>
      </c>
      <c r="O259" s="68" t="n">
        <v>120</v>
      </c>
      <c r="P259" s="68" t="n">
        <v>28</v>
      </c>
      <c r="Q259" s="68" t="n">
        <v>92</v>
      </c>
      <c r="R259" s="69" t="inlineStr">
        <is>
          <t>IO</t>
        </is>
      </c>
      <c r="S259" s="69" t="inlineStr">
        <is>
          <t>Yes</t>
        </is>
      </c>
      <c r="T259" s="73" t="n">
        <v>43466</v>
      </c>
      <c r="U259" s="73" t="n">
        <v>47124</v>
      </c>
      <c r="V259" s="73" t="n"/>
      <c r="W259" s="69" t="n"/>
      <c r="X259" s="69" t="inlineStr">
        <is>
          <t>Current</t>
        </is>
      </c>
      <c r="Y259" s="68" t="n"/>
      <c r="Z259" s="69" t="inlineStr">
        <is>
          <t>No Defeasance Occurred</t>
        </is>
      </c>
      <c r="AA259" s="69" t="inlineStr">
        <is>
          <t>Yes</t>
        </is>
      </c>
      <c r="AB259" s="69" t="inlineStr">
        <is>
          <t>Never special serv</t>
        </is>
      </c>
      <c r="AC259" s="73" t="n"/>
      <c r="AD259" s="69" t="n"/>
      <c r="AE259" s="69" t="n"/>
      <c r="AF259" s="69" t="inlineStr">
        <is>
          <t>CO</t>
        </is>
      </c>
      <c r="AG259" s="69" t="inlineStr">
        <is>
          <t>Denver</t>
        </is>
      </c>
      <c r="AH259" s="69" t="inlineStr">
        <is>
          <t>Denver-Aurora-Centennial, CO</t>
        </is>
      </c>
      <c r="AI259" s="69" t="inlineStr">
        <is>
          <t>West / Mountain</t>
        </is>
      </c>
      <c r="AJ259" s="69" t="inlineStr">
        <is>
          <t>HT</t>
        </is>
      </c>
      <c r="AK259" s="69" t="inlineStr">
        <is>
          <t>Select Service</t>
        </is>
      </c>
      <c r="AL259" s="68" t="n">
        <v>1</v>
      </c>
      <c r="AM259" s="68" t="n">
        <v>170</v>
      </c>
      <c r="AN259" s="68" t="n"/>
      <c r="AO259" s="69" t="inlineStr">
        <is>
          <t>2017</t>
        </is>
      </c>
      <c r="AP259" s="70" t="n">
        <v>2017</v>
      </c>
      <c r="AQ259" s="74" t="n">
        <v>2.22</v>
      </c>
      <c r="AR259" s="74" t="n">
        <v>2.26</v>
      </c>
      <c r="AS259" s="74" t="n">
        <v>50</v>
      </c>
      <c r="AT259" s="74" t="n">
        <v>50</v>
      </c>
      <c r="AU259" s="74" t="n">
        <v>50</v>
      </c>
      <c r="AV259" s="74" t="n">
        <v>11.40561612</v>
      </c>
      <c r="AW259" s="74" t="n">
        <v>11.35136168</v>
      </c>
      <c r="AX259" s="75" t="n">
        <v>74</v>
      </c>
      <c r="AY259" s="71" t="n">
        <v>50000000</v>
      </c>
      <c r="AZ259" s="71" t="n">
        <v>50000000</v>
      </c>
      <c r="BA259" s="71" t="n">
        <v>2851404.03</v>
      </c>
      <c r="BB259" s="71" t="n">
        <v>2895370.94</v>
      </c>
      <c r="BC259" s="69" t="inlineStr">
        <is>
          <t>Refinance</t>
        </is>
      </c>
      <c r="BD259" s="69" t="inlineStr">
        <is>
          <t>Y</t>
        </is>
      </c>
      <c r="BE259" s="71" t="n"/>
      <c r="BF259" s="71" t="n"/>
      <c r="BG259" s="71" t="n"/>
      <c r="BH259" s="71" t="n">
        <v>0</v>
      </c>
      <c r="BI259" s="71" t="n">
        <v>0</v>
      </c>
      <c r="BJ259" s="69" t="inlineStr">
        <is>
          <t>Y</t>
        </is>
      </c>
      <c r="BK259" s="69" t="n"/>
      <c r="BL259" s="75" t="n"/>
      <c r="BM259" s="73" t="n"/>
      <c r="BN259" s="69" t="inlineStr">
        <is>
          <t>Matthew Joblon and Jarrett Posner</t>
        </is>
      </c>
      <c r="BO259" s="69" t="inlineStr">
        <is>
          <t>Goldman Sachs</t>
        </is>
      </c>
      <c r="BP259" s="69" t="inlineStr">
        <is>
          <t>TriMont Real Estate Advisors</t>
        </is>
      </c>
      <c r="BQ259" s="69" t="inlineStr">
        <is>
          <t>K-Star Asset Management LLC</t>
        </is>
      </c>
      <c r="BR259" s="69" t="n"/>
      <c r="BS259" s="73" t="n">
        <v>46273</v>
      </c>
      <c r="BU259" s="76">
        <f>IF($C259="","",IFERROR(INDEX(dmName,MATCH($C259,dmID,0)),"Unmapped"))</f>
        <v/>
      </c>
      <c r="BV259" s="76">
        <f>IF($C259="","",IFERROR(INDEX(dmEntity,MATCH($C259,dmID,0)),"Unmapped"))</f>
        <v/>
      </c>
      <c r="BW259" s="77">
        <f>IF($C259="","",IFERROR(INDEX(dmVintage,MATCH($C259,dmID,0)),""))</f>
        <v/>
      </c>
      <c r="BX259" s="78">
        <f>IFERROR(INDEX(dmInclude,MATCH($C259,dmID,0)),0)</f>
        <v/>
      </c>
      <c r="BY259" s="78">
        <f>IF(N($I259)&gt;0,1,0)</f>
        <v/>
      </c>
      <c r="BZ259" s="76">
        <f>IF($AJ259="","Other / Leased Fee",IFERROR(INDEX(mapPTGroup,MATCH(LEFT(TRIM($AJ259),2),mapPTCode,0)),"Other / Leased Fee"))</f>
        <v/>
      </c>
      <c r="CA259" s="76">
        <f>IF(TRIM($AF259&amp;"")="","NR",LEFT(TRIM($AF259),2))</f>
        <v/>
      </c>
      <c r="CB259" s="76">
        <f>IFERROR(LOOKUP(2,1/(LEFT(TRIM($AI259&amp;""),LEN(mapRegion))=mapRegion),mapRegion),"Not Reported")</f>
        <v/>
      </c>
      <c r="CC259" s="76">
        <f>IF($BY259=0,"",IF(TRIM($W259&amp;"")="REO","REO",IF(TRIM($W259&amp;"")="FC","Foreclosure",IF(TRIM($W259&amp;"")="90+","90+ Days Delinquent",IF(TRIM($W259&amp;"")="60","60 Days Delinquent",IF(TRIM($W259&amp;"")="30","30 Days Delinquent",IF($X259="Non-Performing Matured Balloon","Non-Performing Matured Balloon",IF(OR($X259="Late Payment But Less Than 30 Days Delinquent",LEFT($X259&amp;"",20)="Payment Not Received"),"Late / In Grace (&lt;30 Days)",IF($X259="Performing Matured Balloon","Performing Matured Balloon","Current")))))))))</f>
        <v/>
      </c>
      <c r="CD259" s="78">
        <f>IF(OR($CC259="REO",$CC259="Foreclosure",$CC259="90+ Days Delinquent",$CC259="60 Days Delinquent",$CC259="30 Days Delinquent",$CC259="Non-Performing Matured Balloon"),1,0)</f>
        <v/>
      </c>
      <c r="CE259" s="76">
        <f>IF($AB259="Currently special serv","Currently Specially Serviced",IF($AB259="Returned to master serv","Previously Specially Serviced","Never Specially Serviced"))</f>
        <v/>
      </c>
      <c r="CF259" s="78">
        <f>IF($CE259="Currently Specially Serviced",1,0)</f>
        <v/>
      </c>
      <c r="CG259" s="76">
        <f>IF($AA259="Yes","Currently on Watchlist",IF($AA259="Previously","Previously on Watchlist","Never on Watchlist"))</f>
        <v/>
      </c>
      <c r="CH259" s="78">
        <f>IF($CG259="Currently on Watchlist",1,0)</f>
        <v/>
      </c>
      <c r="CI259" s="76">
        <f>IF($Z259="Full Defeasance","Fully Defeased",IF($Z259="Portion Of Loan Previously Defeased","Partially Defeased",IF($Z259="Defeasance Not Allowable","Not Defeased (Not Permitted)","Not Defeased")))</f>
        <v/>
      </c>
      <c r="CJ259" s="78">
        <f>IF($CI259="Fully Defeased",1,0)</f>
        <v/>
      </c>
      <c r="CK259" s="76">
        <f>IF($R259="IO","Full IO",IF(LEFT($R259&amp;"",7)="IO then","Partial IO","Amortizing"))</f>
        <v/>
      </c>
      <c r="CL259" s="78">
        <f>IF($CK259="Full IO",1,0)</f>
        <v/>
      </c>
      <c r="CM259" s="78">
        <f>IF($CK259="Partial IO",1,0)</f>
        <v/>
      </c>
      <c r="CN259" s="76">
        <f>IF(LEFT($F259&amp;"",10)="SPLIT_LOAN","Pari Passu Split","Standalone")</f>
        <v/>
      </c>
      <c r="CO259" s="78">
        <f>IF($CN259="Pari Passu Split",1,0)</f>
        <v/>
      </c>
      <c r="CP259" s="77">
        <f>IF(ISNUMBER($T259),YEAR($T259),"")</f>
        <v/>
      </c>
      <c r="CQ259" s="79">
        <f>IF(ISNUMBER($V259),$V259,IF(ISNUMBER($U259),$U259,""))</f>
        <v/>
      </c>
      <c r="CR259" s="77">
        <f>IF(ISNUMBER($CQ259),YEAR($CQ259),"")</f>
        <v/>
      </c>
      <c r="CS259" s="78">
        <f>IF(ISNUMBER($M259),MAX(0,$M259),IF(TRIM($M259&amp;"")="matured",0,""))</f>
        <v/>
      </c>
      <c r="CT259" s="78">
        <f>IF(AND(ISNUMBER($CS259),N($CS259)&lt;=mMatWindow),1,0)</f>
        <v/>
      </c>
      <c r="CU259" s="80">
        <f>IF(ISNUMBER($J259),$J259/100,"")</f>
        <v/>
      </c>
      <c r="CV259" s="81">
        <f>IF(ISNUMBER($AQ259),$AQ259,"")</f>
        <v/>
      </c>
      <c r="CW259" s="81">
        <f>IF(ISNUMBER($AR259),$AR259,"")</f>
        <v/>
      </c>
      <c r="CX259" s="82">
        <f>IF(ISNUMBER($AS259),$AS259/100,"")</f>
        <v/>
      </c>
      <c r="CY259" s="82">
        <f>IF(ISNUMBER($AT259),$AT259/100,"")</f>
        <v/>
      </c>
      <c r="CZ259" s="82">
        <f>IF(ISNUMBER($AU259),$AU259/100,"")</f>
        <v/>
      </c>
      <c r="DA259" s="82">
        <f>IF(ISNUMBER($AV259),$AV259/100,"")</f>
        <v/>
      </c>
      <c r="DB259" s="82">
        <f>IF(ISNUMBER($AW259),$AW259/100,"")</f>
        <v/>
      </c>
      <c r="DC259" s="82">
        <f>IF(ISNUMBER($AX259),$AX259/100,"")</f>
        <v/>
      </c>
      <c r="DD259" s="77">
        <f>IFERROR(VALUE(LEFT(TRIM($AO259&amp;""),4)),"")</f>
        <v/>
      </c>
      <c r="DE259" s="78">
        <f>IF(AND($BY259=1,$BX259=1,OR(fDeal="All Deals",$BU259=fDeal),OR(fEntity="All Entities",$BV259=fEntity),OR(fPType="All Property Types",$BZ259=fPType),OR(fDefeased="Include",$CJ259=0)),1,0)</f>
        <v/>
      </c>
      <c r="DF259" s="83">
        <f>$DE259*N($I259)</f>
        <v/>
      </c>
      <c r="DG259" s="78">
        <f>IF($DE259=1,IF(COUNTIFS($F$8:$F259,$F259,$DE$8:$DE259,1)=1,1,0),0)</f>
        <v/>
      </c>
      <c r="DH259" s="83">
        <f>IF($DG259=1,SUMIFS($DF$8:$DF$1600,$F$8:$F$1600,$F259),0)</f>
        <v/>
      </c>
      <c r="DI259" s="78">
        <f>IF($DG259=1,COUNTIFS($F$8:$F$1600,$F259,$DE$8:$DE$1600,1),0)</f>
        <v/>
      </c>
      <c r="DJ259" s="84">
        <f>IF($DG259=1,$DH259+(100000-ROW())/mTieBreak,0)</f>
        <v/>
      </c>
    </row>
    <row r="260">
      <c r="B260" s="68" t="n">
        <v>13</v>
      </c>
      <c r="C260" s="69" t="inlineStr">
        <is>
          <t>GS219G38</t>
        </is>
      </c>
      <c r="D260" s="69" t="inlineStr">
        <is>
          <t>13.000</t>
        </is>
      </c>
      <c r="E260" s="69" t="inlineStr">
        <is>
          <t>North Miami Business Park</t>
        </is>
      </c>
      <c r="F260" s="69" t="inlineStr">
        <is>
          <t>LNGS219G38-13.000</t>
        </is>
      </c>
      <c r="G260" s="70" t="n"/>
      <c r="H260" s="71" t="n">
        <v>22000000</v>
      </c>
      <c r="I260" s="71" t="n">
        <v>22000000</v>
      </c>
      <c r="J260" s="72" t="n">
        <v>4.97</v>
      </c>
      <c r="K260" s="69" t="inlineStr">
        <is>
          <t>Fixed rate</t>
        </is>
      </c>
      <c r="L260" s="68" t="n">
        <v>120</v>
      </c>
      <c r="M260" s="68" t="n">
        <v>29</v>
      </c>
      <c r="N260" s="68" t="n">
        <v>120</v>
      </c>
      <c r="O260" s="68" t="n">
        <v>120</v>
      </c>
      <c r="P260" s="68" t="n">
        <v>29</v>
      </c>
      <c r="Q260" s="68" t="n">
        <v>91</v>
      </c>
      <c r="R260" s="69" t="inlineStr">
        <is>
          <t>IO</t>
        </is>
      </c>
      <c r="S260" s="69" t="inlineStr">
        <is>
          <t>Yes</t>
        </is>
      </c>
      <c r="T260" s="73" t="n">
        <v>43497</v>
      </c>
      <c r="U260" s="73" t="n">
        <v>47155</v>
      </c>
      <c r="V260" s="73" t="n"/>
      <c r="W260" s="69" t="n"/>
      <c r="X260" s="69" t="inlineStr">
        <is>
          <t>Current</t>
        </is>
      </c>
      <c r="Y260" s="68" t="n"/>
      <c r="Z260" s="69" t="inlineStr">
        <is>
          <t>No Defeasance Occurred</t>
        </is>
      </c>
      <c r="AA260" s="69" t="n"/>
      <c r="AB260" s="69" t="inlineStr">
        <is>
          <t>Never special serv</t>
        </is>
      </c>
      <c r="AC260" s="73" t="n"/>
      <c r="AD260" s="69" t="n"/>
      <c r="AE260" s="69" t="n"/>
      <c r="AF260" s="69" t="inlineStr">
        <is>
          <t>FL</t>
        </is>
      </c>
      <c r="AG260" s="69" t="inlineStr">
        <is>
          <t>North Miami</t>
        </is>
      </c>
      <c r="AH260" s="69" t="inlineStr">
        <is>
          <t>Miami-Fort Lauderdale-West Palm Beach, FL</t>
        </is>
      </c>
      <c r="AI260" s="69" t="inlineStr">
        <is>
          <t>South / Atlantic</t>
        </is>
      </c>
      <c r="AJ260" s="69" t="inlineStr">
        <is>
          <t>MX</t>
        </is>
      </c>
      <c r="AK260" s="69" t="n"/>
      <c r="AL260" s="68" t="n">
        <v>1</v>
      </c>
      <c r="AM260" s="68" t="n"/>
      <c r="AN260" s="68" t="n">
        <v>214568</v>
      </c>
      <c r="AO260" s="69" t="inlineStr">
        <is>
          <t>1972-1978</t>
        </is>
      </c>
      <c r="AP260" s="70" t="n">
        <v>1978</v>
      </c>
      <c r="AQ260" s="74" t="n">
        <v>1.81</v>
      </c>
      <c r="AR260" s="74" t="n">
        <v>3.21</v>
      </c>
      <c r="AS260" s="74" t="n">
        <v>62.3</v>
      </c>
      <c r="AT260" s="74" t="n">
        <v>62.32</v>
      </c>
      <c r="AU260" s="74" t="n">
        <v>62.32</v>
      </c>
      <c r="AV260" s="74" t="n">
        <v>9.105830136</v>
      </c>
      <c r="AW260" s="74" t="n">
        <v>16.447452545</v>
      </c>
      <c r="AX260" s="75" t="n">
        <v>94</v>
      </c>
      <c r="AY260" s="71" t="n">
        <v>35300000</v>
      </c>
      <c r="AZ260" s="71" t="n">
        <v>35300000</v>
      </c>
      <c r="BA260" s="71" t="n">
        <v>2003282.63</v>
      </c>
      <c r="BB260" s="71" t="n">
        <v>1776032.3</v>
      </c>
      <c r="BC260" s="69" t="inlineStr">
        <is>
          <t>Acquisition</t>
        </is>
      </c>
      <c r="BD260" s="69" t="inlineStr">
        <is>
          <t>N</t>
        </is>
      </c>
      <c r="BE260" s="71" t="n"/>
      <c r="BF260" s="71" t="n"/>
      <c r="BG260" s="71" t="n"/>
      <c r="BH260" s="71" t="n">
        <v>0</v>
      </c>
      <c r="BI260" s="71" t="n">
        <v>0</v>
      </c>
      <c r="BJ260" s="69" t="inlineStr">
        <is>
          <t>N</t>
        </is>
      </c>
      <c r="BK260" s="69" t="inlineStr">
        <is>
          <t>Dekowood</t>
        </is>
      </c>
      <c r="BL260" s="75" t="n">
        <v>3.22</v>
      </c>
      <c r="BM260" s="73" t="n">
        <v>46234</v>
      </c>
      <c r="BN260" s="69" t="inlineStr">
        <is>
          <t>Kenneth Israel</t>
        </is>
      </c>
      <c r="BO260" s="69" t="inlineStr">
        <is>
          <t>Citigroup Global Markets</t>
        </is>
      </c>
      <c r="BP260" s="69" t="inlineStr">
        <is>
          <t>TriMont Real Estate Advisors</t>
        </is>
      </c>
      <c r="BQ260" s="69" t="inlineStr">
        <is>
          <t>K-Star Asset Management LLC</t>
        </is>
      </c>
      <c r="BR260" s="69" t="n"/>
      <c r="BS260" s="73" t="n">
        <v>46273</v>
      </c>
      <c r="BU260" s="76">
        <f>IF($C260="","",IFERROR(INDEX(dmName,MATCH($C260,dmID,0)),"Unmapped"))</f>
        <v/>
      </c>
      <c r="BV260" s="76">
        <f>IF($C260="","",IFERROR(INDEX(dmEntity,MATCH($C260,dmID,0)),"Unmapped"))</f>
        <v/>
      </c>
      <c r="BW260" s="77">
        <f>IF($C260="","",IFERROR(INDEX(dmVintage,MATCH($C260,dmID,0)),""))</f>
        <v/>
      </c>
      <c r="BX260" s="78">
        <f>IFERROR(INDEX(dmInclude,MATCH($C260,dmID,0)),0)</f>
        <v/>
      </c>
      <c r="BY260" s="78">
        <f>IF(N($I260)&gt;0,1,0)</f>
        <v/>
      </c>
      <c r="BZ260" s="76">
        <f>IF($AJ260="","Other / Leased Fee",IFERROR(INDEX(mapPTGroup,MATCH(LEFT(TRIM($AJ260),2),mapPTCode,0)),"Other / Leased Fee"))</f>
        <v/>
      </c>
      <c r="CA260" s="76">
        <f>IF(TRIM($AF260&amp;"")="","NR",LEFT(TRIM($AF260),2))</f>
        <v/>
      </c>
      <c r="CB260" s="76">
        <f>IFERROR(LOOKUP(2,1/(LEFT(TRIM($AI260&amp;""),LEN(mapRegion))=mapRegion),mapRegion),"Not Reported")</f>
        <v/>
      </c>
      <c r="CC260" s="76">
        <f>IF($BY260=0,"",IF(TRIM($W260&amp;"")="REO","REO",IF(TRIM($W260&amp;"")="FC","Foreclosure",IF(TRIM($W260&amp;"")="90+","90+ Days Delinquent",IF(TRIM($W260&amp;"")="60","60 Days Delinquent",IF(TRIM($W260&amp;"")="30","30 Days Delinquent",IF($X260="Non-Performing Matured Balloon","Non-Performing Matured Balloon",IF(OR($X260="Late Payment But Less Than 30 Days Delinquent",LEFT($X260&amp;"",20)="Payment Not Received"),"Late / In Grace (&lt;30 Days)",IF($X260="Performing Matured Balloon","Performing Matured Balloon","Current")))))))))</f>
        <v/>
      </c>
      <c r="CD260" s="78">
        <f>IF(OR($CC260="REO",$CC260="Foreclosure",$CC260="90+ Days Delinquent",$CC260="60 Days Delinquent",$CC260="30 Days Delinquent",$CC260="Non-Performing Matured Balloon"),1,0)</f>
        <v/>
      </c>
      <c r="CE260" s="76">
        <f>IF($AB260="Currently special serv","Currently Specially Serviced",IF($AB260="Returned to master serv","Previously Specially Serviced","Never Specially Serviced"))</f>
        <v/>
      </c>
      <c r="CF260" s="78">
        <f>IF($CE260="Currently Specially Serviced",1,0)</f>
        <v/>
      </c>
      <c r="CG260" s="76">
        <f>IF($AA260="Yes","Currently on Watchlist",IF($AA260="Previously","Previously on Watchlist","Never on Watchlist"))</f>
        <v/>
      </c>
      <c r="CH260" s="78">
        <f>IF($CG260="Currently on Watchlist",1,0)</f>
        <v/>
      </c>
      <c r="CI260" s="76">
        <f>IF($Z260="Full Defeasance","Fully Defeased",IF($Z260="Portion Of Loan Previously Defeased","Partially Defeased",IF($Z260="Defeasance Not Allowable","Not Defeased (Not Permitted)","Not Defeased")))</f>
        <v/>
      </c>
      <c r="CJ260" s="78">
        <f>IF($CI260="Fully Defeased",1,0)</f>
        <v/>
      </c>
      <c r="CK260" s="76">
        <f>IF($R260="IO","Full IO",IF(LEFT($R260&amp;"",7)="IO then","Partial IO","Amortizing"))</f>
        <v/>
      </c>
      <c r="CL260" s="78">
        <f>IF($CK260="Full IO",1,0)</f>
        <v/>
      </c>
      <c r="CM260" s="78">
        <f>IF($CK260="Partial IO",1,0)</f>
        <v/>
      </c>
      <c r="CN260" s="76">
        <f>IF(LEFT($F260&amp;"",10)="SPLIT_LOAN","Pari Passu Split","Standalone")</f>
        <v/>
      </c>
      <c r="CO260" s="78">
        <f>IF($CN260="Pari Passu Split",1,0)</f>
        <v/>
      </c>
      <c r="CP260" s="77">
        <f>IF(ISNUMBER($T260),YEAR($T260),"")</f>
        <v/>
      </c>
      <c r="CQ260" s="79">
        <f>IF(ISNUMBER($V260),$V260,IF(ISNUMBER($U260),$U260,""))</f>
        <v/>
      </c>
      <c r="CR260" s="77">
        <f>IF(ISNUMBER($CQ260),YEAR($CQ260),"")</f>
        <v/>
      </c>
      <c r="CS260" s="78">
        <f>IF(ISNUMBER($M260),MAX(0,$M260),IF(TRIM($M260&amp;"")="matured",0,""))</f>
        <v/>
      </c>
      <c r="CT260" s="78">
        <f>IF(AND(ISNUMBER($CS260),N($CS260)&lt;=mMatWindow),1,0)</f>
        <v/>
      </c>
      <c r="CU260" s="80">
        <f>IF(ISNUMBER($J260),$J260/100,"")</f>
        <v/>
      </c>
      <c r="CV260" s="81">
        <f>IF(ISNUMBER($AQ260),$AQ260,"")</f>
        <v/>
      </c>
      <c r="CW260" s="81">
        <f>IF(ISNUMBER($AR260),$AR260,"")</f>
        <v/>
      </c>
      <c r="CX260" s="82">
        <f>IF(ISNUMBER($AS260),$AS260/100,"")</f>
        <v/>
      </c>
      <c r="CY260" s="82">
        <f>IF(ISNUMBER($AT260),$AT260/100,"")</f>
        <v/>
      </c>
      <c r="CZ260" s="82">
        <f>IF(ISNUMBER($AU260),$AU260/100,"")</f>
        <v/>
      </c>
      <c r="DA260" s="82">
        <f>IF(ISNUMBER($AV260),$AV260/100,"")</f>
        <v/>
      </c>
      <c r="DB260" s="82">
        <f>IF(ISNUMBER($AW260),$AW260/100,"")</f>
        <v/>
      </c>
      <c r="DC260" s="82">
        <f>IF(ISNUMBER($AX260),$AX260/100,"")</f>
        <v/>
      </c>
      <c r="DD260" s="77">
        <f>IFERROR(VALUE(LEFT(TRIM($AO260&amp;""),4)),"")</f>
        <v/>
      </c>
      <c r="DE260" s="78">
        <f>IF(AND($BY260=1,$BX260=1,OR(fDeal="All Deals",$BU260=fDeal),OR(fEntity="All Entities",$BV260=fEntity),OR(fPType="All Property Types",$BZ260=fPType),OR(fDefeased="Include",$CJ260=0)),1,0)</f>
        <v/>
      </c>
      <c r="DF260" s="83">
        <f>$DE260*N($I260)</f>
        <v/>
      </c>
      <c r="DG260" s="78">
        <f>IF($DE260=1,IF(COUNTIFS($F$8:$F260,$F260,$DE$8:$DE260,1)=1,1,0),0)</f>
        <v/>
      </c>
      <c r="DH260" s="83">
        <f>IF($DG260=1,SUMIFS($DF$8:$DF$1600,$F$8:$F$1600,$F260),0)</f>
        <v/>
      </c>
      <c r="DI260" s="78">
        <f>IF($DG260=1,COUNTIFS($F$8:$F$1600,$F260,$DE$8:$DE$1600,1),0)</f>
        <v/>
      </c>
      <c r="DJ260" s="84">
        <f>IF($DG260=1,$DH260+(100000-ROW())/mTieBreak,0)</f>
        <v/>
      </c>
    </row>
    <row r="261">
      <c r="B261" s="68" t="n">
        <v>14</v>
      </c>
      <c r="C261" s="69" t="inlineStr">
        <is>
          <t>GS219G38</t>
        </is>
      </c>
      <c r="D261" s="69" t="inlineStr">
        <is>
          <t>14.000</t>
        </is>
      </c>
      <c r="E261" s="69" t="inlineStr">
        <is>
          <t>Dublin Office Portfolio</t>
        </is>
      </c>
      <c r="F261" s="69" t="inlineStr">
        <is>
          <t>LNGS219G38-14.000</t>
        </is>
      </c>
      <c r="G261" s="70" t="n"/>
      <c r="H261" s="71" t="n">
        <v>22000000</v>
      </c>
      <c r="I261" s="71" t="n">
        <v>19184601.950008</v>
      </c>
      <c r="J261" s="72" t="n">
        <v>5.077</v>
      </c>
      <c r="K261" s="69" t="inlineStr">
        <is>
          <t>Fixed rate</t>
        </is>
      </c>
      <c r="L261" s="68" t="n">
        <v>120</v>
      </c>
      <c r="M261" s="68" t="n">
        <v>27</v>
      </c>
      <c r="N261" s="68" t="n">
        <v>360</v>
      </c>
      <c r="O261" s="68" t="n"/>
      <c r="P261" s="68" t="n"/>
      <c r="Q261" s="68" t="n">
        <v>93</v>
      </c>
      <c r="R261" s="69" t="n"/>
      <c r="S261" s="69" t="inlineStr">
        <is>
          <t>No</t>
        </is>
      </c>
      <c r="T261" s="73" t="n">
        <v>43435</v>
      </c>
      <c r="U261" s="73" t="n">
        <v>47093</v>
      </c>
      <c r="V261" s="73" t="n"/>
      <c r="W261" s="69" t="n"/>
      <c r="X261" s="69" t="inlineStr">
        <is>
          <t>Current</t>
        </is>
      </c>
      <c r="Y261" s="68" t="n"/>
      <c r="Z261" s="69" t="inlineStr">
        <is>
          <t>No Defeasance Occurred</t>
        </is>
      </c>
      <c r="AA261" s="69" t="inlineStr">
        <is>
          <t>Yes</t>
        </is>
      </c>
      <c r="AB261" s="69" t="inlineStr">
        <is>
          <t>Never special serv</t>
        </is>
      </c>
      <c r="AC261" s="73" t="n"/>
      <c r="AD261" s="69" t="n"/>
      <c r="AE261" s="69" t="n"/>
      <c r="AF261" s="69" t="inlineStr">
        <is>
          <t>OH</t>
        </is>
      </c>
      <c r="AG261" s="69" t="n"/>
      <c r="AH261" s="69" t="inlineStr">
        <is>
          <t>Columbus, OH</t>
        </is>
      </c>
      <c r="AI261" s="69" t="inlineStr">
        <is>
          <t>Midwest / Central East</t>
        </is>
      </c>
      <c r="AJ261" s="69" t="inlineStr">
        <is>
          <t>OF</t>
        </is>
      </c>
      <c r="AK261" s="69" t="inlineStr">
        <is>
          <t>Suburban</t>
        </is>
      </c>
      <c r="AL261" s="68" t="n">
        <v>2</v>
      </c>
      <c r="AM261" s="68" t="n"/>
      <c r="AN261" s="68" t="n">
        <v>293180</v>
      </c>
      <c r="AO261" s="69" t="n"/>
      <c r="AP261" s="70" t="n">
        <v>1999</v>
      </c>
      <c r="AQ261" s="74" t="n">
        <v>1.63</v>
      </c>
      <c r="AR261" s="74" t="n">
        <v>-0.18</v>
      </c>
      <c r="AS261" s="74" t="n">
        <v>51.2</v>
      </c>
      <c r="AT261" s="74" t="n">
        <v>44.72</v>
      </c>
      <c r="AU261" s="74" t="n">
        <v>42.3</v>
      </c>
      <c r="AV261" s="74" t="n">
        <v>10.576479591</v>
      </c>
      <c r="AW261" s="74" t="n">
        <v>1.117452687</v>
      </c>
      <c r="AX261" s="75" t="n">
        <v>45</v>
      </c>
      <c r="AY261" s="71" t="n">
        <v>42900000</v>
      </c>
      <c r="AZ261" s="71" t="n">
        <v>42900000</v>
      </c>
      <c r="BA261" s="71" t="n">
        <v>2326825.51</v>
      </c>
      <c r="BB261" s="71" t="n">
        <v>-65689.75999999999</v>
      </c>
      <c r="BC261" s="69" t="inlineStr">
        <is>
          <t>Refinance</t>
        </is>
      </c>
      <c r="BD261" s="69" t="inlineStr">
        <is>
          <t>N</t>
        </is>
      </c>
      <c r="BE261" s="71" t="n"/>
      <c r="BF261" s="71" t="n"/>
      <c r="BG261" s="71" t="n"/>
      <c r="BH261" s="71" t="n">
        <v>0</v>
      </c>
      <c r="BI261" s="71" t="n">
        <v>0</v>
      </c>
      <c r="BJ261" s="69" t="inlineStr">
        <is>
          <t>N</t>
        </is>
      </c>
      <c r="BK261" s="69" t="inlineStr">
        <is>
          <t>United HealthCare</t>
        </is>
      </c>
      <c r="BL261" s="75" t="n">
        <v>11.25</v>
      </c>
      <c r="BM261" s="73" t="n">
        <v>46630</v>
      </c>
      <c r="BN261" s="69" t="inlineStr">
        <is>
          <t>Raymond Massa</t>
        </is>
      </c>
      <c r="BO261" s="69" t="inlineStr">
        <is>
          <t>Goldman Sachs</t>
        </is>
      </c>
      <c r="BP261" s="69" t="inlineStr">
        <is>
          <t>TriMont Real Estate Advisors</t>
        </is>
      </c>
      <c r="BQ261" s="69" t="inlineStr">
        <is>
          <t>K-Star Asset Management LLC</t>
        </is>
      </c>
      <c r="BR261" s="69" t="n"/>
      <c r="BS261" s="73" t="n">
        <v>46273</v>
      </c>
      <c r="BU261" s="76">
        <f>IF($C261="","",IFERROR(INDEX(dmName,MATCH($C261,dmID,0)),"Unmapped"))</f>
        <v/>
      </c>
      <c r="BV261" s="76">
        <f>IF($C261="","",IFERROR(INDEX(dmEntity,MATCH($C261,dmID,0)),"Unmapped"))</f>
        <v/>
      </c>
      <c r="BW261" s="77">
        <f>IF($C261="","",IFERROR(INDEX(dmVintage,MATCH($C261,dmID,0)),""))</f>
        <v/>
      </c>
      <c r="BX261" s="78">
        <f>IFERROR(INDEX(dmInclude,MATCH($C261,dmID,0)),0)</f>
        <v/>
      </c>
      <c r="BY261" s="78">
        <f>IF(N($I261)&gt;0,1,0)</f>
        <v/>
      </c>
      <c r="BZ261" s="76">
        <f>IF($AJ261="","Other / Leased Fee",IFERROR(INDEX(mapPTGroup,MATCH(LEFT(TRIM($AJ261),2),mapPTCode,0)),"Other / Leased Fee"))</f>
        <v/>
      </c>
      <c r="CA261" s="76">
        <f>IF(TRIM($AF261&amp;"")="","NR",LEFT(TRIM($AF261),2))</f>
        <v/>
      </c>
      <c r="CB261" s="76">
        <f>IFERROR(LOOKUP(2,1/(LEFT(TRIM($AI261&amp;""),LEN(mapRegion))=mapRegion),mapRegion),"Not Reported")</f>
        <v/>
      </c>
      <c r="CC261" s="76">
        <f>IF($BY261=0,"",IF(TRIM($W261&amp;"")="REO","REO",IF(TRIM($W261&amp;"")="FC","Foreclosure",IF(TRIM($W261&amp;"")="90+","90+ Days Delinquent",IF(TRIM($W261&amp;"")="60","60 Days Delinquent",IF(TRIM($W261&amp;"")="30","30 Days Delinquent",IF($X261="Non-Performing Matured Balloon","Non-Performing Matured Balloon",IF(OR($X261="Late Payment But Less Than 30 Days Delinquent",LEFT($X261&amp;"",20)="Payment Not Received"),"Late / In Grace (&lt;30 Days)",IF($X261="Performing Matured Balloon","Performing Matured Balloon","Current")))))))))</f>
        <v/>
      </c>
      <c r="CD261" s="78">
        <f>IF(OR($CC261="REO",$CC261="Foreclosure",$CC261="90+ Days Delinquent",$CC261="60 Days Delinquent",$CC261="30 Days Delinquent",$CC261="Non-Performing Matured Balloon"),1,0)</f>
        <v/>
      </c>
      <c r="CE261" s="76">
        <f>IF($AB261="Currently special serv","Currently Specially Serviced",IF($AB261="Returned to master serv","Previously Specially Serviced","Never Specially Serviced"))</f>
        <v/>
      </c>
      <c r="CF261" s="78">
        <f>IF($CE261="Currently Specially Serviced",1,0)</f>
        <v/>
      </c>
      <c r="CG261" s="76">
        <f>IF($AA261="Yes","Currently on Watchlist",IF($AA261="Previously","Previously on Watchlist","Never on Watchlist"))</f>
        <v/>
      </c>
      <c r="CH261" s="78">
        <f>IF($CG261="Currently on Watchlist",1,0)</f>
        <v/>
      </c>
      <c r="CI261" s="76">
        <f>IF($Z261="Full Defeasance","Fully Defeased",IF($Z261="Portion Of Loan Previously Defeased","Partially Defeased",IF($Z261="Defeasance Not Allowable","Not Defeased (Not Permitted)","Not Defeased")))</f>
        <v/>
      </c>
      <c r="CJ261" s="78">
        <f>IF($CI261="Fully Defeased",1,0)</f>
        <v/>
      </c>
      <c r="CK261" s="76">
        <f>IF($R261="IO","Full IO",IF(LEFT($R261&amp;"",7)="IO then","Partial IO","Amortizing"))</f>
        <v/>
      </c>
      <c r="CL261" s="78">
        <f>IF($CK261="Full IO",1,0)</f>
        <v/>
      </c>
      <c r="CM261" s="78">
        <f>IF($CK261="Partial IO",1,0)</f>
        <v/>
      </c>
      <c r="CN261" s="76">
        <f>IF(LEFT($F261&amp;"",10)="SPLIT_LOAN","Pari Passu Split","Standalone")</f>
        <v/>
      </c>
      <c r="CO261" s="78">
        <f>IF($CN261="Pari Passu Split",1,0)</f>
        <v/>
      </c>
      <c r="CP261" s="77">
        <f>IF(ISNUMBER($T261),YEAR($T261),"")</f>
        <v/>
      </c>
      <c r="CQ261" s="79">
        <f>IF(ISNUMBER($V261),$V261,IF(ISNUMBER($U261),$U261,""))</f>
        <v/>
      </c>
      <c r="CR261" s="77">
        <f>IF(ISNUMBER($CQ261),YEAR($CQ261),"")</f>
        <v/>
      </c>
      <c r="CS261" s="78">
        <f>IF(ISNUMBER($M261),MAX(0,$M261),IF(TRIM($M261&amp;"")="matured",0,""))</f>
        <v/>
      </c>
      <c r="CT261" s="78">
        <f>IF(AND(ISNUMBER($CS261),N($CS261)&lt;=mMatWindow),1,0)</f>
        <v/>
      </c>
      <c r="CU261" s="80">
        <f>IF(ISNUMBER($J261),$J261/100,"")</f>
        <v/>
      </c>
      <c r="CV261" s="81">
        <f>IF(ISNUMBER($AQ261),$AQ261,"")</f>
        <v/>
      </c>
      <c r="CW261" s="81">
        <f>IF(ISNUMBER($AR261),$AR261,"")</f>
        <v/>
      </c>
      <c r="CX261" s="82">
        <f>IF(ISNUMBER($AS261),$AS261/100,"")</f>
        <v/>
      </c>
      <c r="CY261" s="82">
        <f>IF(ISNUMBER($AT261),$AT261/100,"")</f>
        <v/>
      </c>
      <c r="CZ261" s="82">
        <f>IF(ISNUMBER($AU261),$AU261/100,"")</f>
        <v/>
      </c>
      <c r="DA261" s="82">
        <f>IF(ISNUMBER($AV261),$AV261/100,"")</f>
        <v/>
      </c>
      <c r="DB261" s="82">
        <f>IF(ISNUMBER($AW261),$AW261/100,"")</f>
        <v/>
      </c>
      <c r="DC261" s="82">
        <f>IF(ISNUMBER($AX261),$AX261/100,"")</f>
        <v/>
      </c>
      <c r="DD261" s="77">
        <f>IFERROR(VALUE(LEFT(TRIM($AO261&amp;""),4)),"")</f>
        <v/>
      </c>
      <c r="DE261" s="78">
        <f>IF(AND($BY261=1,$BX261=1,OR(fDeal="All Deals",$BU261=fDeal),OR(fEntity="All Entities",$BV261=fEntity),OR(fPType="All Property Types",$BZ261=fPType),OR(fDefeased="Include",$CJ261=0)),1,0)</f>
        <v/>
      </c>
      <c r="DF261" s="83">
        <f>$DE261*N($I261)</f>
        <v/>
      </c>
      <c r="DG261" s="78">
        <f>IF($DE261=1,IF(COUNTIFS($F$8:$F261,$F261,$DE$8:$DE261,1)=1,1,0),0)</f>
        <v/>
      </c>
      <c r="DH261" s="83">
        <f>IF($DG261=1,SUMIFS($DF$8:$DF$1600,$F$8:$F$1600,$F261),0)</f>
        <v/>
      </c>
      <c r="DI261" s="78">
        <f>IF($DG261=1,COUNTIFS($F$8:$F$1600,$F261,$DE$8:$DE$1600,1),0)</f>
        <v/>
      </c>
      <c r="DJ261" s="84">
        <f>IF($DG261=1,$DH261+(100000-ROW())/mTieBreak,0)</f>
        <v/>
      </c>
    </row>
    <row r="262">
      <c r="B262" s="68" t="n">
        <v>15</v>
      </c>
      <c r="C262" s="69" t="inlineStr">
        <is>
          <t>GS219G38</t>
        </is>
      </c>
      <c r="D262" s="69" t="inlineStr">
        <is>
          <t>15.000</t>
        </is>
      </c>
      <c r="E262" s="69" t="inlineStr">
        <is>
          <t>5444 &amp; 5430 Westheimer</t>
        </is>
      </c>
      <c r="F262" s="69" t="inlineStr">
        <is>
          <t>SPLIT_LOAN_01457</t>
        </is>
      </c>
      <c r="G262" s="70" t="n">
        <v>1457</v>
      </c>
      <c r="H262" s="71" t="n">
        <v>21000000</v>
      </c>
      <c r="I262" s="71" t="n">
        <v>21000000</v>
      </c>
      <c r="J262" s="72" t="n">
        <v>4.72</v>
      </c>
      <c r="K262" s="69" t="inlineStr">
        <is>
          <t>Fixed rate</t>
        </is>
      </c>
      <c r="L262" s="68" t="n">
        <v>120</v>
      </c>
      <c r="M262" s="68" t="n">
        <v>26</v>
      </c>
      <c r="N262" s="68" t="n">
        <v>120</v>
      </c>
      <c r="O262" s="68" t="n">
        <v>120</v>
      </c>
      <c r="P262" s="68" t="n">
        <v>26</v>
      </c>
      <c r="Q262" s="68" t="n">
        <v>94</v>
      </c>
      <c r="R262" s="69" t="inlineStr">
        <is>
          <t>IO</t>
        </is>
      </c>
      <c r="S262" s="69" t="inlineStr">
        <is>
          <t>Yes</t>
        </is>
      </c>
      <c r="T262" s="73" t="n">
        <v>43405</v>
      </c>
      <c r="U262" s="73" t="n">
        <v>47063</v>
      </c>
      <c r="V262" s="73" t="n"/>
      <c r="W262" s="69" t="n"/>
      <c r="X262" s="69" t="inlineStr">
        <is>
          <t>Current</t>
        </is>
      </c>
      <c r="Y262" s="68" t="n"/>
      <c r="Z262" s="69" t="inlineStr">
        <is>
          <t>Defeasance Not Allowable</t>
        </is>
      </c>
      <c r="AA262" s="69" t="inlineStr">
        <is>
          <t>Yes</t>
        </is>
      </c>
      <c r="AB262" s="69" t="inlineStr">
        <is>
          <t>Never special serv</t>
        </is>
      </c>
      <c r="AC262" s="73" t="n"/>
      <c r="AD262" s="69" t="n"/>
      <c r="AE262" s="69" t="n"/>
      <c r="AF262" s="69" t="inlineStr">
        <is>
          <t>TX</t>
        </is>
      </c>
      <c r="AG262" s="69" t="inlineStr">
        <is>
          <t>Houston</t>
        </is>
      </c>
      <c r="AH262" s="69" t="inlineStr">
        <is>
          <t>Houston-Pasadena-The Woodlands, TX</t>
        </is>
      </c>
      <c r="AI262" s="69" t="inlineStr">
        <is>
          <t>South / Central West</t>
        </is>
      </c>
      <c r="AJ262" s="69" t="inlineStr">
        <is>
          <t>OF</t>
        </is>
      </c>
      <c r="AK262" s="69" t="inlineStr">
        <is>
          <t>Suburban</t>
        </is>
      </c>
      <c r="AL262" s="68" t="n">
        <v>1</v>
      </c>
      <c r="AM262" s="68" t="n"/>
      <c r="AN262" s="68" t="n">
        <v>404762</v>
      </c>
      <c r="AO262" s="69" t="inlineStr">
        <is>
          <t>1979, 1981</t>
        </is>
      </c>
      <c r="AP262" s="70" t="n">
        <v>2013</v>
      </c>
      <c r="AQ262" s="74" t="n">
        <v>2.4</v>
      </c>
      <c r="AR262" s="74" t="n">
        <v>0.52</v>
      </c>
      <c r="AS262" s="74" t="n">
        <v>63.4</v>
      </c>
      <c r="AT262" s="74" t="n">
        <v>63.35</v>
      </c>
      <c r="AU262" s="74" t="n">
        <v>63.4</v>
      </c>
      <c r="AV262" s="74" t="n">
        <v>11.492512667</v>
      </c>
      <c r="AW262" s="74" t="n">
        <v>2.769919608</v>
      </c>
      <c r="AX262" s="75" t="n">
        <v>43</v>
      </c>
      <c r="AY262" s="71" t="n">
        <v>80500000</v>
      </c>
      <c r="AZ262" s="71" t="n">
        <v>80500000</v>
      </c>
      <c r="BA262" s="71" t="n">
        <v>5861181.46</v>
      </c>
      <c r="BB262" s="71" t="n">
        <v>1266020</v>
      </c>
      <c r="BC262" s="69" t="inlineStr">
        <is>
          <t>Refinance</t>
        </is>
      </c>
      <c r="BD262" s="69" t="inlineStr">
        <is>
          <t>N</t>
        </is>
      </c>
      <c r="BE262" s="71" t="n">
        <v>30000000</v>
      </c>
      <c r="BF262" s="71" t="n"/>
      <c r="BG262" s="71" t="n"/>
      <c r="BH262" s="71" t="n">
        <v>0</v>
      </c>
      <c r="BI262" s="71" t="n">
        <v>0</v>
      </c>
      <c r="BJ262" s="69" t="inlineStr">
        <is>
          <t>N</t>
        </is>
      </c>
      <c r="BK262" s="69" t="inlineStr">
        <is>
          <t>WESTLAKE MANAGEMENT SERVIC</t>
        </is>
      </c>
      <c r="BL262" s="75" t="n">
        <v>9.56</v>
      </c>
      <c r="BM262" s="73" t="n">
        <v>49765</v>
      </c>
      <c r="BN262" s="69" t="inlineStr">
        <is>
          <t>Gulf United Investments Corporation</t>
        </is>
      </c>
      <c r="BO262" s="69" t="inlineStr">
        <is>
          <t>Goldman Sachs</t>
        </is>
      </c>
      <c r="BP262" s="69" t="inlineStr">
        <is>
          <t>TriMont Real Estate Advisors</t>
        </is>
      </c>
      <c r="BQ262" s="69" t="inlineStr">
        <is>
          <t>CWCapital</t>
        </is>
      </c>
      <c r="BR262" s="69" t="n"/>
      <c r="BS262" s="73" t="n">
        <v>46273</v>
      </c>
      <c r="BU262" s="76">
        <f>IF($C262="","",IFERROR(INDEX(dmName,MATCH($C262,dmID,0)),"Unmapped"))</f>
        <v/>
      </c>
      <c r="BV262" s="76">
        <f>IF($C262="","",IFERROR(INDEX(dmEntity,MATCH($C262,dmID,0)),"Unmapped"))</f>
        <v/>
      </c>
      <c r="BW262" s="77">
        <f>IF($C262="","",IFERROR(INDEX(dmVintage,MATCH($C262,dmID,0)),""))</f>
        <v/>
      </c>
      <c r="BX262" s="78">
        <f>IFERROR(INDEX(dmInclude,MATCH($C262,dmID,0)),0)</f>
        <v/>
      </c>
      <c r="BY262" s="78">
        <f>IF(N($I262)&gt;0,1,0)</f>
        <v/>
      </c>
      <c r="BZ262" s="76">
        <f>IF($AJ262="","Other / Leased Fee",IFERROR(INDEX(mapPTGroup,MATCH(LEFT(TRIM($AJ262),2),mapPTCode,0)),"Other / Leased Fee"))</f>
        <v/>
      </c>
      <c r="CA262" s="76">
        <f>IF(TRIM($AF262&amp;"")="","NR",LEFT(TRIM($AF262),2))</f>
        <v/>
      </c>
      <c r="CB262" s="76">
        <f>IFERROR(LOOKUP(2,1/(LEFT(TRIM($AI262&amp;""),LEN(mapRegion))=mapRegion),mapRegion),"Not Reported")</f>
        <v/>
      </c>
      <c r="CC262" s="76">
        <f>IF($BY262=0,"",IF(TRIM($W262&amp;"")="REO","REO",IF(TRIM($W262&amp;"")="FC","Foreclosure",IF(TRIM($W262&amp;"")="90+","90+ Days Delinquent",IF(TRIM($W262&amp;"")="60","60 Days Delinquent",IF(TRIM($W262&amp;"")="30","30 Days Delinquent",IF($X262="Non-Performing Matured Balloon","Non-Performing Matured Balloon",IF(OR($X262="Late Payment But Less Than 30 Days Delinquent",LEFT($X262&amp;"",20)="Payment Not Received"),"Late / In Grace (&lt;30 Days)",IF($X262="Performing Matured Balloon","Performing Matured Balloon","Current")))))))))</f>
        <v/>
      </c>
      <c r="CD262" s="78">
        <f>IF(OR($CC262="REO",$CC262="Foreclosure",$CC262="90+ Days Delinquent",$CC262="60 Days Delinquent",$CC262="30 Days Delinquent",$CC262="Non-Performing Matured Balloon"),1,0)</f>
        <v/>
      </c>
      <c r="CE262" s="76">
        <f>IF($AB262="Currently special serv","Currently Specially Serviced",IF($AB262="Returned to master serv","Previously Specially Serviced","Never Specially Serviced"))</f>
        <v/>
      </c>
      <c r="CF262" s="78">
        <f>IF($CE262="Currently Specially Serviced",1,0)</f>
        <v/>
      </c>
      <c r="CG262" s="76">
        <f>IF($AA262="Yes","Currently on Watchlist",IF($AA262="Previously","Previously on Watchlist","Never on Watchlist"))</f>
        <v/>
      </c>
      <c r="CH262" s="78">
        <f>IF($CG262="Currently on Watchlist",1,0)</f>
        <v/>
      </c>
      <c r="CI262" s="76">
        <f>IF($Z262="Full Defeasance","Fully Defeased",IF($Z262="Portion Of Loan Previously Defeased","Partially Defeased",IF($Z262="Defeasance Not Allowable","Not Defeased (Not Permitted)","Not Defeased")))</f>
        <v/>
      </c>
      <c r="CJ262" s="78">
        <f>IF($CI262="Fully Defeased",1,0)</f>
        <v/>
      </c>
      <c r="CK262" s="76">
        <f>IF($R262="IO","Full IO",IF(LEFT($R262&amp;"",7)="IO then","Partial IO","Amortizing"))</f>
        <v/>
      </c>
      <c r="CL262" s="78">
        <f>IF($CK262="Full IO",1,0)</f>
        <v/>
      </c>
      <c r="CM262" s="78">
        <f>IF($CK262="Partial IO",1,0)</f>
        <v/>
      </c>
      <c r="CN262" s="76">
        <f>IF(LEFT($F262&amp;"",10)="SPLIT_LOAN","Pari Passu Split","Standalone")</f>
        <v/>
      </c>
      <c r="CO262" s="78">
        <f>IF($CN262="Pari Passu Split",1,0)</f>
        <v/>
      </c>
      <c r="CP262" s="77">
        <f>IF(ISNUMBER($T262),YEAR($T262),"")</f>
        <v/>
      </c>
      <c r="CQ262" s="79">
        <f>IF(ISNUMBER($V262),$V262,IF(ISNUMBER($U262),$U262,""))</f>
        <v/>
      </c>
      <c r="CR262" s="77">
        <f>IF(ISNUMBER($CQ262),YEAR($CQ262),"")</f>
        <v/>
      </c>
      <c r="CS262" s="78">
        <f>IF(ISNUMBER($M262),MAX(0,$M262),IF(TRIM($M262&amp;"")="matured",0,""))</f>
        <v/>
      </c>
      <c r="CT262" s="78">
        <f>IF(AND(ISNUMBER($CS262),N($CS262)&lt;=mMatWindow),1,0)</f>
        <v/>
      </c>
      <c r="CU262" s="80">
        <f>IF(ISNUMBER($J262),$J262/100,"")</f>
        <v/>
      </c>
      <c r="CV262" s="81">
        <f>IF(ISNUMBER($AQ262),$AQ262,"")</f>
        <v/>
      </c>
      <c r="CW262" s="81">
        <f>IF(ISNUMBER($AR262),$AR262,"")</f>
        <v/>
      </c>
      <c r="CX262" s="82">
        <f>IF(ISNUMBER($AS262),$AS262/100,"")</f>
        <v/>
      </c>
      <c r="CY262" s="82">
        <f>IF(ISNUMBER($AT262),$AT262/100,"")</f>
        <v/>
      </c>
      <c r="CZ262" s="82">
        <f>IF(ISNUMBER($AU262),$AU262/100,"")</f>
        <v/>
      </c>
      <c r="DA262" s="82">
        <f>IF(ISNUMBER($AV262),$AV262/100,"")</f>
        <v/>
      </c>
      <c r="DB262" s="82">
        <f>IF(ISNUMBER($AW262),$AW262/100,"")</f>
        <v/>
      </c>
      <c r="DC262" s="82">
        <f>IF(ISNUMBER($AX262),$AX262/100,"")</f>
        <v/>
      </c>
      <c r="DD262" s="77">
        <f>IFERROR(VALUE(LEFT(TRIM($AO262&amp;""),4)),"")</f>
        <v/>
      </c>
      <c r="DE262" s="78">
        <f>IF(AND($BY262=1,$BX262=1,OR(fDeal="All Deals",$BU262=fDeal),OR(fEntity="All Entities",$BV262=fEntity),OR(fPType="All Property Types",$BZ262=fPType),OR(fDefeased="Include",$CJ262=0)),1,0)</f>
        <v/>
      </c>
      <c r="DF262" s="83">
        <f>$DE262*N($I262)</f>
        <v/>
      </c>
      <c r="DG262" s="78">
        <f>IF($DE262=1,IF(COUNTIFS($F$8:$F262,$F262,$DE$8:$DE262,1)=1,1,0),0)</f>
        <v/>
      </c>
      <c r="DH262" s="83">
        <f>IF($DG262=1,SUMIFS($DF$8:$DF$1600,$F$8:$F$1600,$F262),0)</f>
        <v/>
      </c>
      <c r="DI262" s="78">
        <f>IF($DG262=1,COUNTIFS($F$8:$F$1600,$F262,$DE$8:$DE$1600,1),0)</f>
        <v/>
      </c>
      <c r="DJ262" s="84">
        <f>IF($DG262=1,$DH262+(100000-ROW())/mTieBreak,0)</f>
        <v/>
      </c>
    </row>
    <row r="263">
      <c r="B263" s="68" t="n">
        <v>16</v>
      </c>
      <c r="C263" s="69" t="inlineStr">
        <is>
          <t>GS219G38</t>
        </is>
      </c>
      <c r="D263" s="69" t="inlineStr">
        <is>
          <t>16.000</t>
        </is>
      </c>
      <c r="E263" s="69" t="inlineStr">
        <is>
          <t>PPC Flexible Packaging Portfolio</t>
        </is>
      </c>
      <c r="F263" s="69" t="inlineStr">
        <is>
          <t>LNGS219G38-16.000</t>
        </is>
      </c>
      <c r="G263" s="70" t="n"/>
      <c r="H263" s="71" t="n">
        <v>19300000</v>
      </c>
      <c r="I263" s="71" t="n">
        <v>18532620.0900086</v>
      </c>
      <c r="J263" s="72" t="n">
        <v>4.9</v>
      </c>
      <c r="K263" s="69" t="inlineStr">
        <is>
          <t>Fixed rate</t>
        </is>
      </c>
      <c r="L263" s="68" t="n">
        <v>120</v>
      </c>
      <c r="M263" s="68" t="n">
        <v>28</v>
      </c>
      <c r="N263" s="68" t="n">
        <v>420</v>
      </c>
      <c r="O263" s="68" t="n">
        <v>60</v>
      </c>
      <c r="P263" s="68" t="n">
        <v>0</v>
      </c>
      <c r="Q263" s="68" t="n">
        <v>92</v>
      </c>
      <c r="R263" s="69" t="inlineStr">
        <is>
          <t>IO then Amort</t>
        </is>
      </c>
      <c r="S263" s="69" t="inlineStr">
        <is>
          <t>No</t>
        </is>
      </c>
      <c r="T263" s="73" t="n">
        <v>43466</v>
      </c>
      <c r="U263" s="73" t="n">
        <v>47124</v>
      </c>
      <c r="V263" s="73" t="n"/>
      <c r="W263" s="69" t="n"/>
      <c r="X263" s="69" t="inlineStr">
        <is>
          <t>Current</t>
        </is>
      </c>
      <c r="Y263" s="68" t="n"/>
      <c r="Z263" s="69" t="inlineStr">
        <is>
          <t>No Defeasance Occurred</t>
        </is>
      </c>
      <c r="AA263" s="69" t="n"/>
      <c r="AB263" s="69" t="inlineStr">
        <is>
          <t>Never special serv</t>
        </is>
      </c>
      <c r="AC263" s="73" t="n"/>
      <c r="AD263" s="69" t="n"/>
      <c r="AE263" s="69" t="n"/>
      <c r="AF263" s="69" t="inlineStr">
        <is>
          <t>UT-85.472970001% GA-14.527029999%</t>
        </is>
      </c>
      <c r="AG263" s="69" t="n"/>
      <c r="AH263" s="69" t="inlineStr">
        <is>
          <t>Provo-Orem-Lehi, UT-85.472970001% Rome, GA-14.527029999%</t>
        </is>
      </c>
      <c r="AI263" s="69" t="inlineStr">
        <is>
          <t>West / Mountain-85.472970001% South / Atlantic-14.527029999%</t>
        </is>
      </c>
      <c r="AJ263" s="69" t="inlineStr">
        <is>
          <t>IN</t>
        </is>
      </c>
      <c r="AK263" s="69" t="inlineStr">
        <is>
          <t>Manufacturing</t>
        </is>
      </c>
      <c r="AL263" s="68" t="n">
        <v>2</v>
      </c>
      <c r="AM263" s="68" t="n"/>
      <c r="AN263" s="68" t="n">
        <v>474299</v>
      </c>
      <c r="AO263" s="69" t="n"/>
      <c r="AP263" s="70" t="n">
        <v>2000</v>
      </c>
      <c r="AQ263" s="74" t="n">
        <v>1.52</v>
      </c>
      <c r="AR263" s="74" t="n">
        <v>1.86</v>
      </c>
      <c r="AS263" s="74" t="n">
        <v>65.2</v>
      </c>
      <c r="AT263" s="74" t="n">
        <v>62.61</v>
      </c>
      <c r="AU263" s="74" t="n">
        <v>60</v>
      </c>
      <c r="AV263" s="74" t="n">
        <v>9.699170777000001</v>
      </c>
      <c r="AW263" s="74" t="n">
        <v>12.021754016</v>
      </c>
      <c r="AX263" s="75" t="n">
        <v>100</v>
      </c>
      <c r="AY263" s="71" t="n">
        <v>29600000</v>
      </c>
      <c r="AZ263" s="71" t="n">
        <v>29600000</v>
      </c>
      <c r="BA263" s="71" t="n">
        <v>1871939.96</v>
      </c>
      <c r="BB263" s="71" t="n">
        <v>571146.75</v>
      </c>
      <c r="BC263" s="69" t="inlineStr">
        <is>
          <t>Acquisition</t>
        </is>
      </c>
      <c r="BD263" s="69" t="inlineStr">
        <is>
          <t>N</t>
        </is>
      </c>
      <c r="BE263" s="71" t="n"/>
      <c r="BF263" s="71" t="n"/>
      <c r="BG263" s="71" t="n"/>
      <c r="BH263" s="71" t="n">
        <v>0</v>
      </c>
      <c r="BI263" s="71" t="n">
        <v>0</v>
      </c>
      <c r="BJ263" s="69" t="inlineStr">
        <is>
          <t>N</t>
        </is>
      </c>
      <c r="BK263" s="69" t="inlineStr">
        <is>
          <t>PPC Flexible Products</t>
        </is>
      </c>
      <c r="BL263" s="75" t="n">
        <v>80.04000000000001</v>
      </c>
      <c r="BM263" s="73" t="n">
        <v>50739</v>
      </c>
      <c r="BN263" s="69" t="inlineStr">
        <is>
          <t>New Mountain Net Lease Corporation and New Mountain Net Lease Partners Corporation</t>
        </is>
      </c>
      <c r="BO263" s="69" t="inlineStr">
        <is>
          <t>Goldman Sachs</t>
        </is>
      </c>
      <c r="BP263" s="69" t="inlineStr">
        <is>
          <t>TriMont Real Estate Advisors</t>
        </is>
      </c>
      <c r="BQ263" s="69" t="inlineStr">
        <is>
          <t>K-Star Asset Management LLC</t>
        </is>
      </c>
      <c r="BR263" s="69" t="n"/>
      <c r="BS263" s="73" t="n">
        <v>46273</v>
      </c>
      <c r="BU263" s="76">
        <f>IF($C263="","",IFERROR(INDEX(dmName,MATCH($C263,dmID,0)),"Unmapped"))</f>
        <v/>
      </c>
      <c r="BV263" s="76">
        <f>IF($C263="","",IFERROR(INDEX(dmEntity,MATCH($C263,dmID,0)),"Unmapped"))</f>
        <v/>
      </c>
      <c r="BW263" s="77">
        <f>IF($C263="","",IFERROR(INDEX(dmVintage,MATCH($C263,dmID,0)),""))</f>
        <v/>
      </c>
      <c r="BX263" s="78">
        <f>IFERROR(INDEX(dmInclude,MATCH($C263,dmID,0)),0)</f>
        <v/>
      </c>
      <c r="BY263" s="78">
        <f>IF(N($I263)&gt;0,1,0)</f>
        <v/>
      </c>
      <c r="BZ263" s="76">
        <f>IF($AJ263="","Other / Leased Fee",IFERROR(INDEX(mapPTGroup,MATCH(LEFT(TRIM($AJ263),2),mapPTCode,0)),"Other / Leased Fee"))</f>
        <v/>
      </c>
      <c r="CA263" s="76">
        <f>IF(TRIM($AF263&amp;"")="","NR",LEFT(TRIM($AF263),2))</f>
        <v/>
      </c>
      <c r="CB263" s="76">
        <f>IFERROR(LOOKUP(2,1/(LEFT(TRIM($AI263&amp;""),LEN(mapRegion))=mapRegion),mapRegion),"Not Reported")</f>
        <v/>
      </c>
      <c r="CC263" s="76">
        <f>IF($BY263=0,"",IF(TRIM($W263&amp;"")="REO","REO",IF(TRIM($W263&amp;"")="FC","Foreclosure",IF(TRIM($W263&amp;"")="90+","90+ Days Delinquent",IF(TRIM($W263&amp;"")="60","60 Days Delinquent",IF(TRIM($W263&amp;"")="30","30 Days Delinquent",IF($X263="Non-Performing Matured Balloon","Non-Performing Matured Balloon",IF(OR($X263="Late Payment But Less Than 30 Days Delinquent",LEFT($X263&amp;"",20)="Payment Not Received"),"Late / In Grace (&lt;30 Days)",IF($X263="Performing Matured Balloon","Performing Matured Balloon","Current")))))))))</f>
        <v/>
      </c>
      <c r="CD263" s="78">
        <f>IF(OR($CC263="REO",$CC263="Foreclosure",$CC263="90+ Days Delinquent",$CC263="60 Days Delinquent",$CC263="30 Days Delinquent",$CC263="Non-Performing Matured Balloon"),1,0)</f>
        <v/>
      </c>
      <c r="CE263" s="76">
        <f>IF($AB263="Currently special serv","Currently Specially Serviced",IF($AB263="Returned to master serv","Previously Specially Serviced","Never Specially Serviced"))</f>
        <v/>
      </c>
      <c r="CF263" s="78">
        <f>IF($CE263="Currently Specially Serviced",1,0)</f>
        <v/>
      </c>
      <c r="CG263" s="76">
        <f>IF($AA263="Yes","Currently on Watchlist",IF($AA263="Previously","Previously on Watchlist","Never on Watchlist"))</f>
        <v/>
      </c>
      <c r="CH263" s="78">
        <f>IF($CG263="Currently on Watchlist",1,0)</f>
        <v/>
      </c>
      <c r="CI263" s="76">
        <f>IF($Z263="Full Defeasance","Fully Defeased",IF($Z263="Portion Of Loan Previously Defeased","Partially Defeased",IF($Z263="Defeasance Not Allowable","Not Defeased (Not Permitted)","Not Defeased")))</f>
        <v/>
      </c>
      <c r="CJ263" s="78">
        <f>IF($CI263="Fully Defeased",1,0)</f>
        <v/>
      </c>
      <c r="CK263" s="76">
        <f>IF($R263="IO","Full IO",IF(LEFT($R263&amp;"",7)="IO then","Partial IO","Amortizing"))</f>
        <v/>
      </c>
      <c r="CL263" s="78">
        <f>IF($CK263="Full IO",1,0)</f>
        <v/>
      </c>
      <c r="CM263" s="78">
        <f>IF($CK263="Partial IO",1,0)</f>
        <v/>
      </c>
      <c r="CN263" s="76">
        <f>IF(LEFT($F263&amp;"",10)="SPLIT_LOAN","Pari Passu Split","Standalone")</f>
        <v/>
      </c>
      <c r="CO263" s="78">
        <f>IF($CN263="Pari Passu Split",1,0)</f>
        <v/>
      </c>
      <c r="CP263" s="77">
        <f>IF(ISNUMBER($T263),YEAR($T263),"")</f>
        <v/>
      </c>
      <c r="CQ263" s="79">
        <f>IF(ISNUMBER($V263),$V263,IF(ISNUMBER($U263),$U263,""))</f>
        <v/>
      </c>
      <c r="CR263" s="77">
        <f>IF(ISNUMBER($CQ263),YEAR($CQ263),"")</f>
        <v/>
      </c>
      <c r="CS263" s="78">
        <f>IF(ISNUMBER($M263),MAX(0,$M263),IF(TRIM($M263&amp;"")="matured",0,""))</f>
        <v/>
      </c>
      <c r="CT263" s="78">
        <f>IF(AND(ISNUMBER($CS263),N($CS263)&lt;=mMatWindow),1,0)</f>
        <v/>
      </c>
      <c r="CU263" s="80">
        <f>IF(ISNUMBER($J263),$J263/100,"")</f>
        <v/>
      </c>
      <c r="CV263" s="81">
        <f>IF(ISNUMBER($AQ263),$AQ263,"")</f>
        <v/>
      </c>
      <c r="CW263" s="81">
        <f>IF(ISNUMBER($AR263),$AR263,"")</f>
        <v/>
      </c>
      <c r="CX263" s="82">
        <f>IF(ISNUMBER($AS263),$AS263/100,"")</f>
        <v/>
      </c>
      <c r="CY263" s="82">
        <f>IF(ISNUMBER($AT263),$AT263/100,"")</f>
        <v/>
      </c>
      <c r="CZ263" s="82">
        <f>IF(ISNUMBER($AU263),$AU263/100,"")</f>
        <v/>
      </c>
      <c r="DA263" s="82">
        <f>IF(ISNUMBER($AV263),$AV263/100,"")</f>
        <v/>
      </c>
      <c r="DB263" s="82">
        <f>IF(ISNUMBER($AW263),$AW263/100,"")</f>
        <v/>
      </c>
      <c r="DC263" s="82">
        <f>IF(ISNUMBER($AX263),$AX263/100,"")</f>
        <v/>
      </c>
      <c r="DD263" s="77">
        <f>IFERROR(VALUE(LEFT(TRIM($AO263&amp;""),4)),"")</f>
        <v/>
      </c>
      <c r="DE263" s="78">
        <f>IF(AND($BY263=1,$BX263=1,OR(fDeal="All Deals",$BU263=fDeal),OR(fEntity="All Entities",$BV263=fEntity),OR(fPType="All Property Types",$BZ263=fPType),OR(fDefeased="Include",$CJ263=0)),1,0)</f>
        <v/>
      </c>
      <c r="DF263" s="83">
        <f>$DE263*N($I263)</f>
        <v/>
      </c>
      <c r="DG263" s="78">
        <f>IF($DE263=1,IF(COUNTIFS($F$8:$F263,$F263,$DE$8:$DE263,1)=1,1,0),0)</f>
        <v/>
      </c>
      <c r="DH263" s="83">
        <f>IF($DG263=1,SUMIFS($DF$8:$DF$1600,$F$8:$F$1600,$F263),0)</f>
        <v/>
      </c>
      <c r="DI263" s="78">
        <f>IF($DG263=1,COUNTIFS($F$8:$F$1600,$F263,$DE$8:$DE$1600,1),0)</f>
        <v/>
      </c>
      <c r="DJ263" s="84">
        <f>IF($DG263=1,$DH263+(100000-ROW())/mTieBreak,0)</f>
        <v/>
      </c>
    </row>
    <row r="264">
      <c r="B264" s="68" t="n">
        <v>17</v>
      </c>
      <c r="C264" s="69" t="inlineStr">
        <is>
          <t>GS219G38</t>
        </is>
      </c>
      <c r="D264" s="69" t="inlineStr">
        <is>
          <t>17.000</t>
        </is>
      </c>
      <c r="E264" s="69" t="inlineStr">
        <is>
          <t>Life Time - Fort Worth</t>
        </is>
      </c>
      <c r="F264" s="69" t="inlineStr">
        <is>
          <t>LNGS219G38-17.000</t>
        </is>
      </c>
      <c r="G264" s="70" t="n"/>
      <c r="H264" s="71" t="n">
        <v>19200000</v>
      </c>
      <c r="I264" s="71" t="n">
        <v>19200000</v>
      </c>
      <c r="J264" s="72" t="n">
        <v>4.9215</v>
      </c>
      <c r="K264" s="69" t="inlineStr">
        <is>
          <t>Fixed rate</t>
        </is>
      </c>
      <c r="L264" s="68" t="n">
        <v>120</v>
      </c>
      <c r="M264" s="68" t="n">
        <v>29</v>
      </c>
      <c r="N264" s="68" t="n">
        <v>120</v>
      </c>
      <c r="O264" s="68" t="n">
        <v>120</v>
      </c>
      <c r="P264" s="68" t="n">
        <v>29</v>
      </c>
      <c r="Q264" s="68" t="n">
        <v>91</v>
      </c>
      <c r="R264" s="69" t="inlineStr">
        <is>
          <t>IO</t>
        </is>
      </c>
      <c r="S264" s="69" t="inlineStr">
        <is>
          <t>Yes</t>
        </is>
      </c>
      <c r="T264" s="73" t="n">
        <v>43497</v>
      </c>
      <c r="U264" s="73" t="n">
        <v>47155</v>
      </c>
      <c r="V264" s="73" t="n"/>
      <c r="W264" s="69" t="n"/>
      <c r="X264" s="69" t="inlineStr">
        <is>
          <t>Current</t>
        </is>
      </c>
      <c r="Y264" s="68" t="n"/>
      <c r="Z264" s="69" t="inlineStr">
        <is>
          <t>No Defeasance Occurred</t>
        </is>
      </c>
      <c r="AA264" s="69" t="inlineStr">
        <is>
          <t>Previously</t>
        </is>
      </c>
      <c r="AB264" s="69" t="inlineStr">
        <is>
          <t>Never special serv</t>
        </is>
      </c>
      <c r="AC264" s="73" t="n"/>
      <c r="AD264" s="69" t="n"/>
      <c r="AE264" s="69" t="n"/>
      <c r="AF264" s="69" t="inlineStr">
        <is>
          <t>TX</t>
        </is>
      </c>
      <c r="AG264" s="69" t="inlineStr">
        <is>
          <t>Fort Worth</t>
        </is>
      </c>
      <c r="AH264" s="69" t="inlineStr">
        <is>
          <t>Dallas-Fort Worth-Arlington, TX</t>
        </is>
      </c>
      <c r="AI264" s="69" t="inlineStr">
        <is>
          <t>South / Central West</t>
        </is>
      </c>
      <c r="AJ264" s="69" t="inlineStr">
        <is>
          <t>RT</t>
        </is>
      </c>
      <c r="AK264" s="69" t="inlineStr">
        <is>
          <t>Single Tenant</t>
        </is>
      </c>
      <c r="AL264" s="68" t="n">
        <v>1</v>
      </c>
      <c r="AM264" s="68" t="n"/>
      <c r="AN264" s="68" t="n">
        <v>123359</v>
      </c>
      <c r="AO264" s="69" t="inlineStr">
        <is>
          <t>2017</t>
        </is>
      </c>
      <c r="AP264" s="70" t="n">
        <v>2017</v>
      </c>
      <c r="AQ264" s="74" t="n">
        <v>2.06</v>
      </c>
      <c r="AR264" s="74" t="n">
        <v>2.39</v>
      </c>
      <c r="AS264" s="74" t="n">
        <v>59.6</v>
      </c>
      <c r="AT264" s="74" t="n">
        <v>59.63</v>
      </c>
      <c r="AU264" s="74" t="n">
        <v>59.6</v>
      </c>
      <c r="AV264" s="74" t="n">
        <v>10.285671875</v>
      </c>
      <c r="AW264" s="74" t="n">
        <v>11.73459375</v>
      </c>
      <c r="AX264" s="75" t="n">
        <v>100</v>
      </c>
      <c r="AY264" s="71" t="n">
        <v>32200000</v>
      </c>
      <c r="AZ264" s="71" t="n">
        <v>32200000</v>
      </c>
      <c r="BA264" s="71" t="n">
        <v>1974849</v>
      </c>
      <c r="BB264" s="71" t="n">
        <v>1142857</v>
      </c>
      <c r="BC264" s="69" t="inlineStr">
        <is>
          <t>Acquisition</t>
        </is>
      </c>
      <c r="BD264" s="69" t="inlineStr">
        <is>
          <t>N</t>
        </is>
      </c>
      <c r="BE264" s="71" t="n"/>
      <c r="BF264" s="71" t="n"/>
      <c r="BG264" s="71" t="n"/>
      <c r="BH264" s="71" t="n">
        <v>0</v>
      </c>
      <c r="BI264" s="71" t="n">
        <v>0</v>
      </c>
      <c r="BJ264" s="69" t="inlineStr">
        <is>
          <t>N</t>
        </is>
      </c>
      <c r="BK264" s="69" t="inlineStr">
        <is>
          <t>Healthy Way of Life VIII  LLC</t>
        </is>
      </c>
      <c r="BL264" s="75" t="n">
        <v>100</v>
      </c>
      <c r="BM264" s="73" t="n">
        <v>52625</v>
      </c>
      <c r="BN264" s="69" t="inlineStr">
        <is>
          <t>Bahram Akradi and Stuart Gary Lasher</t>
        </is>
      </c>
      <c r="BO264" s="69" t="inlineStr">
        <is>
          <t>Goldman Sachs</t>
        </is>
      </c>
      <c r="BP264" s="69" t="inlineStr">
        <is>
          <t>TriMont Real Estate Advisors</t>
        </is>
      </c>
      <c r="BQ264" s="69" t="inlineStr">
        <is>
          <t>K-Star Asset Management LLC</t>
        </is>
      </c>
      <c r="BR264" s="69" t="n"/>
      <c r="BS264" s="73" t="n">
        <v>46273</v>
      </c>
      <c r="BU264" s="76">
        <f>IF($C264="","",IFERROR(INDEX(dmName,MATCH($C264,dmID,0)),"Unmapped"))</f>
        <v/>
      </c>
      <c r="BV264" s="76">
        <f>IF($C264="","",IFERROR(INDEX(dmEntity,MATCH($C264,dmID,0)),"Unmapped"))</f>
        <v/>
      </c>
      <c r="BW264" s="77">
        <f>IF($C264="","",IFERROR(INDEX(dmVintage,MATCH($C264,dmID,0)),""))</f>
        <v/>
      </c>
      <c r="BX264" s="78">
        <f>IFERROR(INDEX(dmInclude,MATCH($C264,dmID,0)),0)</f>
        <v/>
      </c>
      <c r="BY264" s="78">
        <f>IF(N($I264)&gt;0,1,0)</f>
        <v/>
      </c>
      <c r="BZ264" s="76">
        <f>IF($AJ264="","Other / Leased Fee",IFERROR(INDEX(mapPTGroup,MATCH(LEFT(TRIM($AJ264),2),mapPTCode,0)),"Other / Leased Fee"))</f>
        <v/>
      </c>
      <c r="CA264" s="76">
        <f>IF(TRIM($AF264&amp;"")="","NR",LEFT(TRIM($AF264),2))</f>
        <v/>
      </c>
      <c r="CB264" s="76">
        <f>IFERROR(LOOKUP(2,1/(LEFT(TRIM($AI264&amp;""),LEN(mapRegion))=mapRegion),mapRegion),"Not Reported")</f>
        <v/>
      </c>
      <c r="CC264" s="76">
        <f>IF($BY264=0,"",IF(TRIM($W264&amp;"")="REO","REO",IF(TRIM($W264&amp;"")="FC","Foreclosure",IF(TRIM($W264&amp;"")="90+","90+ Days Delinquent",IF(TRIM($W264&amp;"")="60","60 Days Delinquent",IF(TRIM($W264&amp;"")="30","30 Days Delinquent",IF($X264="Non-Performing Matured Balloon","Non-Performing Matured Balloon",IF(OR($X264="Late Payment But Less Than 30 Days Delinquent",LEFT($X264&amp;"",20)="Payment Not Received"),"Late / In Grace (&lt;30 Days)",IF($X264="Performing Matured Balloon","Performing Matured Balloon","Current")))))))))</f>
        <v/>
      </c>
      <c r="CD264" s="78">
        <f>IF(OR($CC264="REO",$CC264="Foreclosure",$CC264="90+ Days Delinquent",$CC264="60 Days Delinquent",$CC264="30 Days Delinquent",$CC264="Non-Performing Matured Balloon"),1,0)</f>
        <v/>
      </c>
      <c r="CE264" s="76">
        <f>IF($AB264="Currently special serv","Currently Specially Serviced",IF($AB264="Returned to master serv","Previously Specially Serviced","Never Specially Serviced"))</f>
        <v/>
      </c>
      <c r="CF264" s="78">
        <f>IF($CE264="Currently Specially Serviced",1,0)</f>
        <v/>
      </c>
      <c r="CG264" s="76">
        <f>IF($AA264="Yes","Currently on Watchlist",IF($AA264="Previously","Previously on Watchlist","Never on Watchlist"))</f>
        <v/>
      </c>
      <c r="CH264" s="78">
        <f>IF($CG264="Currently on Watchlist",1,0)</f>
        <v/>
      </c>
      <c r="CI264" s="76">
        <f>IF($Z264="Full Defeasance","Fully Defeased",IF($Z264="Portion Of Loan Previously Defeased","Partially Defeased",IF($Z264="Defeasance Not Allowable","Not Defeased (Not Permitted)","Not Defeased")))</f>
        <v/>
      </c>
      <c r="CJ264" s="78">
        <f>IF($CI264="Fully Defeased",1,0)</f>
        <v/>
      </c>
      <c r="CK264" s="76">
        <f>IF($R264="IO","Full IO",IF(LEFT($R264&amp;"",7)="IO then","Partial IO","Amortizing"))</f>
        <v/>
      </c>
      <c r="CL264" s="78">
        <f>IF($CK264="Full IO",1,0)</f>
        <v/>
      </c>
      <c r="CM264" s="78">
        <f>IF($CK264="Partial IO",1,0)</f>
        <v/>
      </c>
      <c r="CN264" s="76">
        <f>IF(LEFT($F264&amp;"",10)="SPLIT_LOAN","Pari Passu Split","Standalone")</f>
        <v/>
      </c>
      <c r="CO264" s="78">
        <f>IF($CN264="Pari Passu Split",1,0)</f>
        <v/>
      </c>
      <c r="CP264" s="77">
        <f>IF(ISNUMBER($T264),YEAR($T264),"")</f>
        <v/>
      </c>
      <c r="CQ264" s="79">
        <f>IF(ISNUMBER($V264),$V264,IF(ISNUMBER($U264),$U264,""))</f>
        <v/>
      </c>
      <c r="CR264" s="77">
        <f>IF(ISNUMBER($CQ264),YEAR($CQ264),"")</f>
        <v/>
      </c>
      <c r="CS264" s="78">
        <f>IF(ISNUMBER($M264),MAX(0,$M264),IF(TRIM($M264&amp;"")="matured",0,""))</f>
        <v/>
      </c>
      <c r="CT264" s="78">
        <f>IF(AND(ISNUMBER($CS264),N($CS264)&lt;=mMatWindow),1,0)</f>
        <v/>
      </c>
      <c r="CU264" s="80">
        <f>IF(ISNUMBER($J264),$J264/100,"")</f>
        <v/>
      </c>
      <c r="CV264" s="81">
        <f>IF(ISNUMBER($AQ264),$AQ264,"")</f>
        <v/>
      </c>
      <c r="CW264" s="81">
        <f>IF(ISNUMBER($AR264),$AR264,"")</f>
        <v/>
      </c>
      <c r="CX264" s="82">
        <f>IF(ISNUMBER($AS264),$AS264/100,"")</f>
        <v/>
      </c>
      <c r="CY264" s="82">
        <f>IF(ISNUMBER($AT264),$AT264/100,"")</f>
        <v/>
      </c>
      <c r="CZ264" s="82">
        <f>IF(ISNUMBER($AU264),$AU264/100,"")</f>
        <v/>
      </c>
      <c r="DA264" s="82">
        <f>IF(ISNUMBER($AV264),$AV264/100,"")</f>
        <v/>
      </c>
      <c r="DB264" s="82">
        <f>IF(ISNUMBER($AW264),$AW264/100,"")</f>
        <v/>
      </c>
      <c r="DC264" s="82">
        <f>IF(ISNUMBER($AX264),$AX264/100,"")</f>
        <v/>
      </c>
      <c r="DD264" s="77">
        <f>IFERROR(VALUE(LEFT(TRIM($AO264&amp;""),4)),"")</f>
        <v/>
      </c>
      <c r="DE264" s="78">
        <f>IF(AND($BY264=1,$BX264=1,OR(fDeal="All Deals",$BU264=fDeal),OR(fEntity="All Entities",$BV264=fEntity),OR(fPType="All Property Types",$BZ264=fPType),OR(fDefeased="Include",$CJ264=0)),1,0)</f>
        <v/>
      </c>
      <c r="DF264" s="83">
        <f>$DE264*N($I264)</f>
        <v/>
      </c>
      <c r="DG264" s="78">
        <f>IF($DE264=1,IF(COUNTIFS($F$8:$F264,$F264,$DE$8:$DE264,1)=1,1,0),0)</f>
        <v/>
      </c>
      <c r="DH264" s="83">
        <f>IF($DG264=1,SUMIFS($DF$8:$DF$1600,$F$8:$F$1600,$F264),0)</f>
        <v/>
      </c>
      <c r="DI264" s="78">
        <f>IF($DG264=1,COUNTIFS($F$8:$F$1600,$F264,$DE$8:$DE$1600,1),0)</f>
        <v/>
      </c>
      <c r="DJ264" s="84">
        <f>IF($DG264=1,$DH264+(100000-ROW())/mTieBreak,0)</f>
        <v/>
      </c>
    </row>
    <row r="265">
      <c r="B265" s="68" t="n">
        <v>18</v>
      </c>
      <c r="C265" s="69" t="inlineStr">
        <is>
          <t>GS219G38</t>
        </is>
      </c>
      <c r="D265" s="69" t="inlineStr">
        <is>
          <t>18.000</t>
        </is>
      </c>
      <c r="E265" s="69" t="inlineStr">
        <is>
          <t>Mercury Drive</t>
        </is>
      </c>
      <c r="F265" s="69" t="inlineStr">
        <is>
          <t>LNGS219G38-18.000</t>
        </is>
      </c>
      <c r="G265" s="70" t="n"/>
      <c r="H265" s="71" t="n">
        <v>19000000</v>
      </c>
      <c r="I265" s="71" t="n">
        <v>16595142.179991</v>
      </c>
      <c r="J265" s="72" t="n">
        <v>5.07</v>
      </c>
      <c r="K265" s="69" t="inlineStr">
        <is>
          <t>Fixed rate</t>
        </is>
      </c>
      <c r="L265" s="68" t="n">
        <v>120</v>
      </c>
      <c r="M265" s="68" t="n">
        <v>28</v>
      </c>
      <c r="N265" s="68" t="n">
        <v>360</v>
      </c>
      <c r="O265" s="68" t="n"/>
      <c r="P265" s="68" t="n"/>
      <c r="Q265" s="68" t="n">
        <v>92</v>
      </c>
      <c r="R265" s="69" t="n"/>
      <c r="S265" s="69" t="inlineStr">
        <is>
          <t>No</t>
        </is>
      </c>
      <c r="T265" s="73" t="n">
        <v>43466</v>
      </c>
      <c r="U265" s="73" t="n">
        <v>48219</v>
      </c>
      <c r="V265" s="73" t="n">
        <v>47124</v>
      </c>
      <c r="W265" s="69" t="n"/>
      <c r="X265" s="69" t="inlineStr">
        <is>
          <t>Current</t>
        </is>
      </c>
      <c r="Y265" s="68" t="n"/>
      <c r="Z265" s="69" t="inlineStr">
        <is>
          <t>No Defeasance Occurred</t>
        </is>
      </c>
      <c r="AA265" s="69" t="inlineStr">
        <is>
          <t>Previously</t>
        </is>
      </c>
      <c r="AB265" s="69" t="inlineStr">
        <is>
          <t>Never special serv</t>
        </is>
      </c>
      <c r="AC265" s="73" t="n"/>
      <c r="AD265" s="69" t="n"/>
      <c r="AE265" s="69" t="n"/>
      <c r="AF265" s="69" t="inlineStr">
        <is>
          <t>MI</t>
        </is>
      </c>
      <c r="AG265" s="69" t="inlineStr">
        <is>
          <t>Dearborn</t>
        </is>
      </c>
      <c r="AH265" s="69" t="inlineStr">
        <is>
          <t>Detroit-Warren-Dearborn, MI</t>
        </is>
      </c>
      <c r="AI265" s="69" t="inlineStr">
        <is>
          <t>Midwest / Central East</t>
        </is>
      </c>
      <c r="AJ265" s="69" t="inlineStr">
        <is>
          <t>OF</t>
        </is>
      </c>
      <c r="AK265" s="69" t="inlineStr">
        <is>
          <t>Suburban/Flex</t>
        </is>
      </c>
      <c r="AL265" s="68" t="n">
        <v>1</v>
      </c>
      <c r="AM265" s="68" t="n"/>
      <c r="AN265" s="68" t="n">
        <v>193463</v>
      </c>
      <c r="AO265" s="69" t="inlineStr">
        <is>
          <t>1998</t>
        </is>
      </c>
      <c r="AP265" s="70" t="n">
        <v>2017</v>
      </c>
      <c r="AQ265" s="74" t="n">
        <v>1.87</v>
      </c>
      <c r="AR265" s="74" t="n">
        <v>1.91</v>
      </c>
      <c r="AS265" s="74" t="n">
        <v>72.2</v>
      </c>
      <c r="AT265" s="74" t="n">
        <v>63.1</v>
      </c>
      <c r="AU265" s="74" t="n">
        <v>59.5</v>
      </c>
      <c r="AV265" s="74" t="n">
        <v>12.161507684</v>
      </c>
      <c r="AW265" s="74" t="n">
        <v>13.890006997</v>
      </c>
      <c r="AX265" s="75" t="n">
        <v>100</v>
      </c>
      <c r="AY265" s="71" t="n">
        <v>26300000</v>
      </c>
      <c r="AZ265" s="71" t="n">
        <v>26300000</v>
      </c>
      <c r="BA265" s="71" t="n">
        <v>2310686.46</v>
      </c>
      <c r="BB265" s="71" t="n">
        <v>1175990.23</v>
      </c>
      <c r="BC265" s="69" t="inlineStr">
        <is>
          <t>Acquisition</t>
        </is>
      </c>
      <c r="BD265" s="69" t="inlineStr">
        <is>
          <t>N</t>
        </is>
      </c>
      <c r="BE265" s="71" t="n"/>
      <c r="BF265" s="71" t="n"/>
      <c r="BG265" s="71" t="n"/>
      <c r="BH265" s="71" t="n">
        <v>0</v>
      </c>
      <c r="BI265" s="71" t="n">
        <v>0</v>
      </c>
      <c r="BJ265" s="69" t="inlineStr">
        <is>
          <t>N</t>
        </is>
      </c>
      <c r="BK265" s="69" t="inlineStr">
        <is>
          <t>Ford Motor Company</t>
        </is>
      </c>
      <c r="BL265" s="75" t="n">
        <v>100</v>
      </c>
      <c r="BM265" s="73" t="n">
        <v>47118</v>
      </c>
      <c r="BN265" s="69" t="inlineStr">
        <is>
          <t>Meshulam Martin</t>
        </is>
      </c>
      <c r="BO265" s="69" t="inlineStr">
        <is>
          <t>Goldman Sachs</t>
        </is>
      </c>
      <c r="BP265" s="69" t="inlineStr">
        <is>
          <t>TriMont Real Estate Advisors</t>
        </is>
      </c>
      <c r="BQ265" s="69" t="inlineStr">
        <is>
          <t>K-Star Asset Management LLC</t>
        </is>
      </c>
      <c r="BR265" s="69" t="n"/>
      <c r="BS265" s="73" t="n">
        <v>46273</v>
      </c>
      <c r="BU265" s="76">
        <f>IF($C265="","",IFERROR(INDEX(dmName,MATCH($C265,dmID,0)),"Unmapped"))</f>
        <v/>
      </c>
      <c r="BV265" s="76">
        <f>IF($C265="","",IFERROR(INDEX(dmEntity,MATCH($C265,dmID,0)),"Unmapped"))</f>
        <v/>
      </c>
      <c r="BW265" s="77">
        <f>IF($C265="","",IFERROR(INDEX(dmVintage,MATCH($C265,dmID,0)),""))</f>
        <v/>
      </c>
      <c r="BX265" s="78">
        <f>IFERROR(INDEX(dmInclude,MATCH($C265,dmID,0)),0)</f>
        <v/>
      </c>
      <c r="BY265" s="78">
        <f>IF(N($I265)&gt;0,1,0)</f>
        <v/>
      </c>
      <c r="BZ265" s="76">
        <f>IF($AJ265="","Other / Leased Fee",IFERROR(INDEX(mapPTGroup,MATCH(LEFT(TRIM($AJ265),2),mapPTCode,0)),"Other / Leased Fee"))</f>
        <v/>
      </c>
      <c r="CA265" s="76">
        <f>IF(TRIM($AF265&amp;"")="","NR",LEFT(TRIM($AF265),2))</f>
        <v/>
      </c>
      <c r="CB265" s="76">
        <f>IFERROR(LOOKUP(2,1/(LEFT(TRIM($AI265&amp;""),LEN(mapRegion))=mapRegion),mapRegion),"Not Reported")</f>
        <v/>
      </c>
      <c r="CC265" s="76">
        <f>IF($BY265=0,"",IF(TRIM($W265&amp;"")="REO","REO",IF(TRIM($W265&amp;"")="FC","Foreclosure",IF(TRIM($W265&amp;"")="90+","90+ Days Delinquent",IF(TRIM($W265&amp;"")="60","60 Days Delinquent",IF(TRIM($W265&amp;"")="30","30 Days Delinquent",IF($X265="Non-Performing Matured Balloon","Non-Performing Matured Balloon",IF(OR($X265="Late Payment But Less Than 30 Days Delinquent",LEFT($X265&amp;"",20)="Payment Not Received"),"Late / In Grace (&lt;30 Days)",IF($X265="Performing Matured Balloon","Performing Matured Balloon","Current")))))))))</f>
        <v/>
      </c>
      <c r="CD265" s="78">
        <f>IF(OR($CC265="REO",$CC265="Foreclosure",$CC265="90+ Days Delinquent",$CC265="60 Days Delinquent",$CC265="30 Days Delinquent",$CC265="Non-Performing Matured Balloon"),1,0)</f>
        <v/>
      </c>
      <c r="CE265" s="76">
        <f>IF($AB265="Currently special serv","Currently Specially Serviced",IF($AB265="Returned to master serv","Previously Specially Serviced","Never Specially Serviced"))</f>
        <v/>
      </c>
      <c r="CF265" s="78">
        <f>IF($CE265="Currently Specially Serviced",1,0)</f>
        <v/>
      </c>
      <c r="CG265" s="76">
        <f>IF($AA265="Yes","Currently on Watchlist",IF($AA265="Previously","Previously on Watchlist","Never on Watchlist"))</f>
        <v/>
      </c>
      <c r="CH265" s="78">
        <f>IF($CG265="Currently on Watchlist",1,0)</f>
        <v/>
      </c>
      <c r="CI265" s="76">
        <f>IF($Z265="Full Defeasance","Fully Defeased",IF($Z265="Portion Of Loan Previously Defeased","Partially Defeased",IF($Z265="Defeasance Not Allowable","Not Defeased (Not Permitted)","Not Defeased")))</f>
        <v/>
      </c>
      <c r="CJ265" s="78">
        <f>IF($CI265="Fully Defeased",1,0)</f>
        <v/>
      </c>
      <c r="CK265" s="76">
        <f>IF($R265="IO","Full IO",IF(LEFT($R265&amp;"",7)="IO then","Partial IO","Amortizing"))</f>
        <v/>
      </c>
      <c r="CL265" s="78">
        <f>IF($CK265="Full IO",1,0)</f>
        <v/>
      </c>
      <c r="CM265" s="78">
        <f>IF($CK265="Partial IO",1,0)</f>
        <v/>
      </c>
      <c r="CN265" s="76">
        <f>IF(LEFT($F265&amp;"",10)="SPLIT_LOAN","Pari Passu Split","Standalone")</f>
        <v/>
      </c>
      <c r="CO265" s="78">
        <f>IF($CN265="Pari Passu Split",1,0)</f>
        <v/>
      </c>
      <c r="CP265" s="77">
        <f>IF(ISNUMBER($T265),YEAR($T265),"")</f>
        <v/>
      </c>
      <c r="CQ265" s="79">
        <f>IF(ISNUMBER($V265),$V265,IF(ISNUMBER($U265),$U265,""))</f>
        <v/>
      </c>
      <c r="CR265" s="77">
        <f>IF(ISNUMBER($CQ265),YEAR($CQ265),"")</f>
        <v/>
      </c>
      <c r="CS265" s="78">
        <f>IF(ISNUMBER($M265),MAX(0,$M265),IF(TRIM($M265&amp;"")="matured",0,""))</f>
        <v/>
      </c>
      <c r="CT265" s="78">
        <f>IF(AND(ISNUMBER($CS265),N($CS265)&lt;=mMatWindow),1,0)</f>
        <v/>
      </c>
      <c r="CU265" s="80">
        <f>IF(ISNUMBER($J265),$J265/100,"")</f>
        <v/>
      </c>
      <c r="CV265" s="81">
        <f>IF(ISNUMBER($AQ265),$AQ265,"")</f>
        <v/>
      </c>
      <c r="CW265" s="81">
        <f>IF(ISNUMBER($AR265),$AR265,"")</f>
        <v/>
      </c>
      <c r="CX265" s="82">
        <f>IF(ISNUMBER($AS265),$AS265/100,"")</f>
        <v/>
      </c>
      <c r="CY265" s="82">
        <f>IF(ISNUMBER($AT265),$AT265/100,"")</f>
        <v/>
      </c>
      <c r="CZ265" s="82">
        <f>IF(ISNUMBER($AU265),$AU265/100,"")</f>
        <v/>
      </c>
      <c r="DA265" s="82">
        <f>IF(ISNUMBER($AV265),$AV265/100,"")</f>
        <v/>
      </c>
      <c r="DB265" s="82">
        <f>IF(ISNUMBER($AW265),$AW265/100,"")</f>
        <v/>
      </c>
      <c r="DC265" s="82">
        <f>IF(ISNUMBER($AX265),$AX265/100,"")</f>
        <v/>
      </c>
      <c r="DD265" s="77">
        <f>IFERROR(VALUE(LEFT(TRIM($AO265&amp;""),4)),"")</f>
        <v/>
      </c>
      <c r="DE265" s="78">
        <f>IF(AND($BY265=1,$BX265=1,OR(fDeal="All Deals",$BU265=fDeal),OR(fEntity="All Entities",$BV265=fEntity),OR(fPType="All Property Types",$BZ265=fPType),OR(fDefeased="Include",$CJ265=0)),1,0)</f>
        <v/>
      </c>
      <c r="DF265" s="83">
        <f>$DE265*N($I265)</f>
        <v/>
      </c>
      <c r="DG265" s="78">
        <f>IF($DE265=1,IF(COUNTIFS($F$8:$F265,$F265,$DE$8:$DE265,1)=1,1,0),0)</f>
        <v/>
      </c>
      <c r="DH265" s="83">
        <f>IF($DG265=1,SUMIFS($DF$8:$DF$1600,$F$8:$F$1600,$F265),0)</f>
        <v/>
      </c>
      <c r="DI265" s="78">
        <f>IF($DG265=1,COUNTIFS($F$8:$F$1600,$F265,$DE$8:$DE$1600,1),0)</f>
        <v/>
      </c>
      <c r="DJ265" s="84">
        <f>IF($DG265=1,$DH265+(100000-ROW())/mTieBreak,0)</f>
        <v/>
      </c>
    </row>
    <row r="266">
      <c r="B266" s="68" t="n">
        <v>19</v>
      </c>
      <c r="C266" s="69" t="inlineStr">
        <is>
          <t>GS219G38</t>
        </is>
      </c>
      <c r="D266" s="69" t="inlineStr">
        <is>
          <t>19.000</t>
        </is>
      </c>
      <c r="E266" s="69" t="inlineStr">
        <is>
          <t>Albertsons Industrial - PA</t>
        </is>
      </c>
      <c r="F266" s="69" t="inlineStr">
        <is>
          <t>SPLIT_LOAN_01476</t>
        </is>
      </c>
      <c r="G266" s="70" t="n">
        <v>1476</v>
      </c>
      <c r="H266" s="71" t="n">
        <v>15000000</v>
      </c>
      <c r="I266" s="71" t="n">
        <v>15000000</v>
      </c>
      <c r="J266" s="72" t="n">
        <v>5.04</v>
      </c>
      <c r="K266" s="69" t="inlineStr">
        <is>
          <t>Fixed rate</t>
        </is>
      </c>
      <c r="L266" s="68" t="n">
        <v>120</v>
      </c>
      <c r="M266" s="68" t="n">
        <v>28</v>
      </c>
      <c r="N266" s="68" t="n">
        <v>120</v>
      </c>
      <c r="O266" s="68" t="n">
        <v>120</v>
      </c>
      <c r="P266" s="68" t="n">
        <v>28</v>
      </c>
      <c r="Q266" s="68" t="n">
        <v>92</v>
      </c>
      <c r="R266" s="69" t="inlineStr">
        <is>
          <t>IO</t>
        </is>
      </c>
      <c r="S266" s="69" t="inlineStr">
        <is>
          <t>Yes</t>
        </is>
      </c>
      <c r="T266" s="73" t="n">
        <v>43466</v>
      </c>
      <c r="U266" s="73" t="n">
        <v>47124</v>
      </c>
      <c r="V266" s="73" t="n"/>
      <c r="W266" s="69" t="n"/>
      <c r="X266" s="69" t="inlineStr">
        <is>
          <t>Current</t>
        </is>
      </c>
      <c r="Y266" s="68" t="n"/>
      <c r="Z266" s="69" t="inlineStr">
        <is>
          <t>Defeasance Not Allowable</t>
        </is>
      </c>
      <c r="AA266" s="69" t="inlineStr">
        <is>
          <t>Previously</t>
        </is>
      </c>
      <c r="AB266" s="69" t="inlineStr">
        <is>
          <t>Never special serv</t>
        </is>
      </c>
      <c r="AC266" s="73" t="n"/>
      <c r="AD266" s="69" t="n"/>
      <c r="AE266" s="69" t="n"/>
      <c r="AF266" s="69" t="inlineStr">
        <is>
          <t>PA</t>
        </is>
      </c>
      <c r="AG266" s="69" t="inlineStr">
        <is>
          <t>Denver</t>
        </is>
      </c>
      <c r="AH266" s="69" t="inlineStr">
        <is>
          <t>Lancaster, PA</t>
        </is>
      </c>
      <c r="AI266" s="69" t="inlineStr">
        <is>
          <t>Northeast / Mid-Atlantic</t>
        </is>
      </c>
      <c r="AJ266" s="69" t="inlineStr">
        <is>
          <t>IN</t>
        </is>
      </c>
      <c r="AK266" s="69" t="inlineStr">
        <is>
          <t>Warehouse/Distribution</t>
        </is>
      </c>
      <c r="AL266" s="68" t="n">
        <v>1</v>
      </c>
      <c r="AM266" s="68" t="n"/>
      <c r="AN266" s="68" t="n">
        <v>1539407</v>
      </c>
      <c r="AO266" s="69" t="inlineStr">
        <is>
          <t>1999</t>
        </is>
      </c>
      <c r="AP266" s="70" t="n">
        <v>2018</v>
      </c>
      <c r="AQ266" s="74" t="n">
        <v>1.67</v>
      </c>
      <c r="AR266" s="74" t="n">
        <v>1.61</v>
      </c>
      <c r="AS266" s="74" t="n">
        <v>65.59999999999999</v>
      </c>
      <c r="AT266" s="74" t="n">
        <v>65.58</v>
      </c>
      <c r="AU266" s="74" t="n">
        <v>65.59999999999999</v>
      </c>
      <c r="AV266" s="74" t="n">
        <v>8.552493545999999</v>
      </c>
      <c r="AW266" s="74" t="n">
        <v>8.207415372</v>
      </c>
      <c r="AX266" s="75" t="n">
        <v>100</v>
      </c>
      <c r="AY266" s="71" t="n">
        <v>117000000</v>
      </c>
      <c r="AZ266" s="71" t="n">
        <v>117000000</v>
      </c>
      <c r="BA266" s="71" t="n">
        <v>6562542.11</v>
      </c>
      <c r="BB266" s="71" t="n">
        <v>6297755</v>
      </c>
      <c r="BC266" s="69" t="inlineStr">
        <is>
          <t>Acquisition</t>
        </is>
      </c>
      <c r="BD266" s="69" t="inlineStr">
        <is>
          <t>N</t>
        </is>
      </c>
      <c r="BE266" s="71" t="n">
        <v>61732500</v>
      </c>
      <c r="BF266" s="71" t="n"/>
      <c r="BG266" s="71" t="n"/>
      <c r="BH266" s="71" t="n">
        <v>0</v>
      </c>
      <c r="BI266" s="71" t="n">
        <v>0</v>
      </c>
      <c r="BJ266" s="69" t="inlineStr">
        <is>
          <t>N</t>
        </is>
      </c>
      <c r="BK266" s="69" t="inlineStr">
        <is>
          <t>New Albersons L.P</t>
        </is>
      </c>
      <c r="BL266" s="75" t="n">
        <v>100</v>
      </c>
      <c r="BM266" s="73" t="n">
        <v>50770</v>
      </c>
      <c r="BN266" s="69" t="inlineStr">
        <is>
          <t>USRA Net Lease III Capital Corp.</t>
        </is>
      </c>
      <c r="BO266" s="69" t="inlineStr">
        <is>
          <t>Goldman Sachs</t>
        </is>
      </c>
      <c r="BP266" s="69" t="inlineStr">
        <is>
          <t>TriMont Real Estate Advisors</t>
        </is>
      </c>
      <c r="BQ266" s="69" t="inlineStr">
        <is>
          <t>KeyBank National Association</t>
        </is>
      </c>
      <c r="BR266" s="69" t="n"/>
      <c r="BS266" s="73" t="n">
        <v>46273</v>
      </c>
      <c r="BU266" s="76">
        <f>IF($C266="","",IFERROR(INDEX(dmName,MATCH($C266,dmID,0)),"Unmapped"))</f>
        <v/>
      </c>
      <c r="BV266" s="76">
        <f>IF($C266="","",IFERROR(INDEX(dmEntity,MATCH($C266,dmID,0)),"Unmapped"))</f>
        <v/>
      </c>
      <c r="BW266" s="77">
        <f>IF($C266="","",IFERROR(INDEX(dmVintage,MATCH($C266,dmID,0)),""))</f>
        <v/>
      </c>
      <c r="BX266" s="78">
        <f>IFERROR(INDEX(dmInclude,MATCH($C266,dmID,0)),0)</f>
        <v/>
      </c>
      <c r="BY266" s="78">
        <f>IF(N($I266)&gt;0,1,0)</f>
        <v/>
      </c>
      <c r="BZ266" s="76">
        <f>IF($AJ266="","Other / Leased Fee",IFERROR(INDEX(mapPTGroup,MATCH(LEFT(TRIM($AJ266),2),mapPTCode,0)),"Other / Leased Fee"))</f>
        <v/>
      </c>
      <c r="CA266" s="76">
        <f>IF(TRIM($AF266&amp;"")="","NR",LEFT(TRIM($AF266),2))</f>
        <v/>
      </c>
      <c r="CB266" s="76">
        <f>IFERROR(LOOKUP(2,1/(LEFT(TRIM($AI266&amp;""),LEN(mapRegion))=mapRegion),mapRegion),"Not Reported")</f>
        <v/>
      </c>
      <c r="CC266" s="76">
        <f>IF($BY266=0,"",IF(TRIM($W266&amp;"")="REO","REO",IF(TRIM($W266&amp;"")="FC","Foreclosure",IF(TRIM($W266&amp;"")="90+","90+ Days Delinquent",IF(TRIM($W266&amp;"")="60","60 Days Delinquent",IF(TRIM($W266&amp;"")="30","30 Days Delinquent",IF($X266="Non-Performing Matured Balloon","Non-Performing Matured Balloon",IF(OR($X266="Late Payment But Less Than 30 Days Delinquent",LEFT($X266&amp;"",20)="Payment Not Received"),"Late / In Grace (&lt;30 Days)",IF($X266="Performing Matured Balloon","Performing Matured Balloon","Current")))))))))</f>
        <v/>
      </c>
      <c r="CD266" s="78">
        <f>IF(OR($CC266="REO",$CC266="Foreclosure",$CC266="90+ Days Delinquent",$CC266="60 Days Delinquent",$CC266="30 Days Delinquent",$CC266="Non-Performing Matured Balloon"),1,0)</f>
        <v/>
      </c>
      <c r="CE266" s="76">
        <f>IF($AB266="Currently special serv","Currently Specially Serviced",IF($AB266="Returned to master serv","Previously Specially Serviced","Never Specially Serviced"))</f>
        <v/>
      </c>
      <c r="CF266" s="78">
        <f>IF($CE266="Currently Specially Serviced",1,0)</f>
        <v/>
      </c>
      <c r="CG266" s="76">
        <f>IF($AA266="Yes","Currently on Watchlist",IF($AA266="Previously","Previously on Watchlist","Never on Watchlist"))</f>
        <v/>
      </c>
      <c r="CH266" s="78">
        <f>IF($CG266="Currently on Watchlist",1,0)</f>
        <v/>
      </c>
      <c r="CI266" s="76">
        <f>IF($Z266="Full Defeasance","Fully Defeased",IF($Z266="Portion Of Loan Previously Defeased","Partially Defeased",IF($Z266="Defeasance Not Allowable","Not Defeased (Not Permitted)","Not Defeased")))</f>
        <v/>
      </c>
      <c r="CJ266" s="78">
        <f>IF($CI266="Fully Defeased",1,0)</f>
        <v/>
      </c>
      <c r="CK266" s="76">
        <f>IF($R266="IO","Full IO",IF(LEFT($R266&amp;"",7)="IO then","Partial IO","Amortizing"))</f>
        <v/>
      </c>
      <c r="CL266" s="78">
        <f>IF($CK266="Full IO",1,0)</f>
        <v/>
      </c>
      <c r="CM266" s="78">
        <f>IF($CK266="Partial IO",1,0)</f>
        <v/>
      </c>
      <c r="CN266" s="76">
        <f>IF(LEFT($F266&amp;"",10)="SPLIT_LOAN","Pari Passu Split","Standalone")</f>
        <v/>
      </c>
      <c r="CO266" s="78">
        <f>IF($CN266="Pari Passu Split",1,0)</f>
        <v/>
      </c>
      <c r="CP266" s="77">
        <f>IF(ISNUMBER($T266),YEAR($T266),"")</f>
        <v/>
      </c>
      <c r="CQ266" s="79">
        <f>IF(ISNUMBER($V266),$V266,IF(ISNUMBER($U266),$U266,""))</f>
        <v/>
      </c>
      <c r="CR266" s="77">
        <f>IF(ISNUMBER($CQ266),YEAR($CQ266),"")</f>
        <v/>
      </c>
      <c r="CS266" s="78">
        <f>IF(ISNUMBER($M266),MAX(0,$M266),IF(TRIM($M266&amp;"")="matured",0,""))</f>
        <v/>
      </c>
      <c r="CT266" s="78">
        <f>IF(AND(ISNUMBER($CS266),N($CS266)&lt;=mMatWindow),1,0)</f>
        <v/>
      </c>
      <c r="CU266" s="80">
        <f>IF(ISNUMBER($J266),$J266/100,"")</f>
        <v/>
      </c>
      <c r="CV266" s="81">
        <f>IF(ISNUMBER($AQ266),$AQ266,"")</f>
        <v/>
      </c>
      <c r="CW266" s="81">
        <f>IF(ISNUMBER($AR266),$AR266,"")</f>
        <v/>
      </c>
      <c r="CX266" s="82">
        <f>IF(ISNUMBER($AS266),$AS266/100,"")</f>
        <v/>
      </c>
      <c r="CY266" s="82">
        <f>IF(ISNUMBER($AT266),$AT266/100,"")</f>
        <v/>
      </c>
      <c r="CZ266" s="82">
        <f>IF(ISNUMBER($AU266),$AU266/100,"")</f>
        <v/>
      </c>
      <c r="DA266" s="82">
        <f>IF(ISNUMBER($AV266),$AV266/100,"")</f>
        <v/>
      </c>
      <c r="DB266" s="82">
        <f>IF(ISNUMBER($AW266),$AW266/100,"")</f>
        <v/>
      </c>
      <c r="DC266" s="82">
        <f>IF(ISNUMBER($AX266),$AX266/100,"")</f>
        <v/>
      </c>
      <c r="DD266" s="77">
        <f>IFERROR(VALUE(LEFT(TRIM($AO266&amp;""),4)),"")</f>
        <v/>
      </c>
      <c r="DE266" s="78">
        <f>IF(AND($BY266=1,$BX266=1,OR(fDeal="All Deals",$BU266=fDeal),OR(fEntity="All Entities",$BV266=fEntity),OR(fPType="All Property Types",$BZ266=fPType),OR(fDefeased="Include",$CJ266=0)),1,0)</f>
        <v/>
      </c>
      <c r="DF266" s="83">
        <f>$DE266*N($I266)</f>
        <v/>
      </c>
      <c r="DG266" s="78">
        <f>IF($DE266=1,IF(COUNTIFS($F$8:$F266,$F266,$DE$8:$DE266,1)=1,1,0),0)</f>
        <v/>
      </c>
      <c r="DH266" s="83">
        <f>IF($DG266=1,SUMIFS($DF$8:$DF$1600,$F$8:$F$1600,$F266),0)</f>
        <v/>
      </c>
      <c r="DI266" s="78">
        <f>IF($DG266=1,COUNTIFS($F$8:$F$1600,$F266,$DE$8:$DE$1600,1),0)</f>
        <v/>
      </c>
      <c r="DJ266" s="84">
        <f>IF($DG266=1,$DH266+(100000-ROW())/mTieBreak,0)</f>
        <v/>
      </c>
    </row>
    <row r="267">
      <c r="B267" s="68" t="n">
        <v>20</v>
      </c>
      <c r="C267" s="69" t="inlineStr">
        <is>
          <t>GS219G38</t>
        </is>
      </c>
      <c r="D267" s="69" t="inlineStr">
        <is>
          <t>20.000</t>
        </is>
      </c>
      <c r="E267" s="69" t="inlineStr">
        <is>
          <t>Fairbridge Office Portfolio</t>
        </is>
      </c>
      <c r="F267" s="69" t="inlineStr">
        <is>
          <t>SPLIT_LOAN_01469</t>
        </is>
      </c>
      <c r="G267" s="70" t="n">
        <v>1469</v>
      </c>
      <c r="H267" s="71" t="n">
        <v>15000000</v>
      </c>
      <c r="I267" s="71" t="n">
        <v>13592914.360005</v>
      </c>
      <c r="J267" s="72" t="n">
        <v>4.84</v>
      </c>
      <c r="K267" s="69" t="inlineStr">
        <is>
          <t>Fixed rate</t>
        </is>
      </c>
      <c r="L267" s="68" t="n">
        <v>120</v>
      </c>
      <c r="M267" s="68" t="n">
        <v>27</v>
      </c>
      <c r="N267" s="68" t="n">
        <v>384</v>
      </c>
      <c r="O267" s="68" t="n">
        <v>24</v>
      </c>
      <c r="P267" s="68" t="n">
        <v>0</v>
      </c>
      <c r="Q267" s="68" t="n">
        <v>93</v>
      </c>
      <c r="R267" s="69" t="inlineStr">
        <is>
          <t>IO then Amort</t>
        </is>
      </c>
      <c r="S267" s="69" t="inlineStr">
        <is>
          <t>No</t>
        </is>
      </c>
      <c r="T267" s="73" t="n">
        <v>43435</v>
      </c>
      <c r="U267" s="73" t="n">
        <v>47093</v>
      </c>
      <c r="V267" s="73" t="n"/>
      <c r="W267" s="69" t="n"/>
      <c r="X267" s="69" t="inlineStr">
        <is>
          <t>Current</t>
        </is>
      </c>
      <c r="Y267" s="68" t="n"/>
      <c r="Z267" s="69" t="inlineStr">
        <is>
          <t>No Defeasance Occurred</t>
        </is>
      </c>
      <c r="AA267" s="69" t="inlineStr">
        <is>
          <t>Previously</t>
        </is>
      </c>
      <c r="AB267" s="69" t="inlineStr">
        <is>
          <t>Never special serv</t>
        </is>
      </c>
      <c r="AC267" s="73" t="n"/>
      <c r="AD267" s="69" t="n"/>
      <c r="AE267" s="69" t="n"/>
      <c r="AF267" s="69" t="inlineStr">
        <is>
          <t>IL</t>
        </is>
      </c>
      <c r="AG267" s="69" t="n"/>
      <c r="AH267" s="69" t="inlineStr">
        <is>
          <t>Chicago-Naperville-Elgin, IL-IN</t>
        </is>
      </c>
      <c r="AI267" s="69" t="inlineStr">
        <is>
          <t>Midwest / Central East</t>
        </is>
      </c>
      <c r="AJ267" s="69" t="inlineStr">
        <is>
          <t>OF</t>
        </is>
      </c>
      <c r="AK267" s="69" t="inlineStr">
        <is>
          <t>Suburban</t>
        </is>
      </c>
      <c r="AL267" s="68" t="n">
        <v>2</v>
      </c>
      <c r="AM267" s="68" t="n"/>
      <c r="AN267" s="68" t="n">
        <v>385525</v>
      </c>
      <c r="AO267" s="69" t="n"/>
      <c r="AP267" s="70" t="n">
        <v>1998</v>
      </c>
      <c r="AQ267" s="74" t="n">
        <v>1.66</v>
      </c>
      <c r="AR267" s="74" t="n">
        <v>1.44</v>
      </c>
      <c r="AS267" s="74" t="n">
        <v>73.8</v>
      </c>
      <c r="AT267" s="74" t="n">
        <v>66.88</v>
      </c>
      <c r="AU267" s="74" t="n">
        <v>63.6</v>
      </c>
      <c r="AV267" s="74" t="n">
        <v>10.501111225</v>
      </c>
      <c r="AW267" s="74" t="n">
        <v>6.601509802</v>
      </c>
      <c r="AX267" s="75" t="n">
        <v>74</v>
      </c>
      <c r="AY267" s="71" t="n">
        <v>64700000</v>
      </c>
      <c r="AZ267" s="71" t="n">
        <v>64700000</v>
      </c>
      <c r="BA267" s="71" t="n">
        <v>5014280.61</v>
      </c>
      <c r="BB267" s="71" t="n">
        <v>2176828.34</v>
      </c>
      <c r="BC267" s="69" t="inlineStr">
        <is>
          <t>Acquisition</t>
        </is>
      </c>
      <c r="BD267" s="69" t="inlineStr">
        <is>
          <t>N</t>
        </is>
      </c>
      <c r="BE267" s="71" t="n">
        <v>29677863.02</v>
      </c>
      <c r="BF267" s="71" t="n"/>
      <c r="BG267" s="71" t="n"/>
      <c r="BH267" s="71" t="n">
        <v>0</v>
      </c>
      <c r="BI267" s="71" t="n">
        <v>0</v>
      </c>
      <c r="BJ267" s="69" t="inlineStr">
        <is>
          <t>N</t>
        </is>
      </c>
      <c r="BK267" s="69" t="inlineStr">
        <is>
          <t>Sargent &amp; Lundy  LLC</t>
        </is>
      </c>
      <c r="BL267" s="75" t="n">
        <v>14.52</v>
      </c>
      <c r="BM267" s="73" t="n">
        <v>48975</v>
      </c>
      <c r="BN267" s="69" t="inlineStr">
        <is>
          <t>Dmitry Gordeev and Fairbridge Partners, LLC</t>
        </is>
      </c>
      <c r="BO267" s="69" t="inlineStr">
        <is>
          <t>Citigroup Global Markets</t>
        </is>
      </c>
      <c r="BP267" s="69" t="inlineStr">
        <is>
          <t>TriMont Real Estate Advisors</t>
        </is>
      </c>
      <c r="BQ267" s="69" t="inlineStr">
        <is>
          <t>LNR Partners</t>
        </is>
      </c>
      <c r="BR267" s="69" t="n"/>
      <c r="BS267" s="73" t="n">
        <v>46273</v>
      </c>
      <c r="BU267" s="76">
        <f>IF($C267="","",IFERROR(INDEX(dmName,MATCH($C267,dmID,0)),"Unmapped"))</f>
        <v/>
      </c>
      <c r="BV267" s="76">
        <f>IF($C267="","",IFERROR(INDEX(dmEntity,MATCH($C267,dmID,0)),"Unmapped"))</f>
        <v/>
      </c>
      <c r="BW267" s="77">
        <f>IF($C267="","",IFERROR(INDEX(dmVintage,MATCH($C267,dmID,0)),""))</f>
        <v/>
      </c>
      <c r="BX267" s="78">
        <f>IFERROR(INDEX(dmInclude,MATCH($C267,dmID,0)),0)</f>
        <v/>
      </c>
      <c r="BY267" s="78">
        <f>IF(N($I267)&gt;0,1,0)</f>
        <v/>
      </c>
      <c r="BZ267" s="76">
        <f>IF($AJ267="","Other / Leased Fee",IFERROR(INDEX(mapPTGroup,MATCH(LEFT(TRIM($AJ267),2),mapPTCode,0)),"Other / Leased Fee"))</f>
        <v/>
      </c>
      <c r="CA267" s="76">
        <f>IF(TRIM($AF267&amp;"")="","NR",LEFT(TRIM($AF267),2))</f>
        <v/>
      </c>
      <c r="CB267" s="76">
        <f>IFERROR(LOOKUP(2,1/(LEFT(TRIM($AI267&amp;""),LEN(mapRegion))=mapRegion),mapRegion),"Not Reported")</f>
        <v/>
      </c>
      <c r="CC267" s="76">
        <f>IF($BY267=0,"",IF(TRIM($W267&amp;"")="REO","REO",IF(TRIM($W267&amp;"")="FC","Foreclosure",IF(TRIM($W267&amp;"")="90+","90+ Days Delinquent",IF(TRIM($W267&amp;"")="60","60 Days Delinquent",IF(TRIM($W267&amp;"")="30","30 Days Delinquent",IF($X267="Non-Performing Matured Balloon","Non-Performing Matured Balloon",IF(OR($X267="Late Payment But Less Than 30 Days Delinquent",LEFT($X267&amp;"",20)="Payment Not Received"),"Late / In Grace (&lt;30 Days)",IF($X267="Performing Matured Balloon","Performing Matured Balloon","Current")))))))))</f>
        <v/>
      </c>
      <c r="CD267" s="78">
        <f>IF(OR($CC267="REO",$CC267="Foreclosure",$CC267="90+ Days Delinquent",$CC267="60 Days Delinquent",$CC267="30 Days Delinquent",$CC267="Non-Performing Matured Balloon"),1,0)</f>
        <v/>
      </c>
      <c r="CE267" s="76">
        <f>IF($AB267="Currently special serv","Currently Specially Serviced",IF($AB267="Returned to master serv","Previously Specially Serviced","Never Specially Serviced"))</f>
        <v/>
      </c>
      <c r="CF267" s="78">
        <f>IF($CE267="Currently Specially Serviced",1,0)</f>
        <v/>
      </c>
      <c r="CG267" s="76">
        <f>IF($AA267="Yes","Currently on Watchlist",IF($AA267="Previously","Previously on Watchlist","Never on Watchlist"))</f>
        <v/>
      </c>
      <c r="CH267" s="78">
        <f>IF($CG267="Currently on Watchlist",1,0)</f>
        <v/>
      </c>
      <c r="CI267" s="76">
        <f>IF($Z267="Full Defeasance","Fully Defeased",IF($Z267="Portion Of Loan Previously Defeased","Partially Defeased",IF($Z267="Defeasance Not Allowable","Not Defeased (Not Permitted)","Not Defeased")))</f>
        <v/>
      </c>
      <c r="CJ267" s="78">
        <f>IF($CI267="Fully Defeased",1,0)</f>
        <v/>
      </c>
      <c r="CK267" s="76">
        <f>IF($R267="IO","Full IO",IF(LEFT($R267&amp;"",7)="IO then","Partial IO","Amortizing"))</f>
        <v/>
      </c>
      <c r="CL267" s="78">
        <f>IF($CK267="Full IO",1,0)</f>
        <v/>
      </c>
      <c r="CM267" s="78">
        <f>IF($CK267="Partial IO",1,0)</f>
        <v/>
      </c>
      <c r="CN267" s="76">
        <f>IF(LEFT($F267&amp;"",10)="SPLIT_LOAN","Pari Passu Split","Standalone")</f>
        <v/>
      </c>
      <c r="CO267" s="78">
        <f>IF($CN267="Pari Passu Split",1,0)</f>
        <v/>
      </c>
      <c r="CP267" s="77">
        <f>IF(ISNUMBER($T267),YEAR($T267),"")</f>
        <v/>
      </c>
      <c r="CQ267" s="79">
        <f>IF(ISNUMBER($V267),$V267,IF(ISNUMBER($U267),$U267,""))</f>
        <v/>
      </c>
      <c r="CR267" s="77">
        <f>IF(ISNUMBER($CQ267),YEAR($CQ267),"")</f>
        <v/>
      </c>
      <c r="CS267" s="78">
        <f>IF(ISNUMBER($M267),MAX(0,$M267),IF(TRIM($M267&amp;"")="matured",0,""))</f>
        <v/>
      </c>
      <c r="CT267" s="78">
        <f>IF(AND(ISNUMBER($CS267),N($CS267)&lt;=mMatWindow),1,0)</f>
        <v/>
      </c>
      <c r="CU267" s="80">
        <f>IF(ISNUMBER($J267),$J267/100,"")</f>
        <v/>
      </c>
      <c r="CV267" s="81">
        <f>IF(ISNUMBER($AQ267),$AQ267,"")</f>
        <v/>
      </c>
      <c r="CW267" s="81">
        <f>IF(ISNUMBER($AR267),$AR267,"")</f>
        <v/>
      </c>
      <c r="CX267" s="82">
        <f>IF(ISNUMBER($AS267),$AS267/100,"")</f>
        <v/>
      </c>
      <c r="CY267" s="82">
        <f>IF(ISNUMBER($AT267),$AT267/100,"")</f>
        <v/>
      </c>
      <c r="CZ267" s="82">
        <f>IF(ISNUMBER($AU267),$AU267/100,"")</f>
        <v/>
      </c>
      <c r="DA267" s="82">
        <f>IF(ISNUMBER($AV267),$AV267/100,"")</f>
        <v/>
      </c>
      <c r="DB267" s="82">
        <f>IF(ISNUMBER($AW267),$AW267/100,"")</f>
        <v/>
      </c>
      <c r="DC267" s="82">
        <f>IF(ISNUMBER($AX267),$AX267/100,"")</f>
        <v/>
      </c>
      <c r="DD267" s="77">
        <f>IFERROR(VALUE(LEFT(TRIM($AO267&amp;""),4)),"")</f>
        <v/>
      </c>
      <c r="DE267" s="78">
        <f>IF(AND($BY267=1,$BX267=1,OR(fDeal="All Deals",$BU267=fDeal),OR(fEntity="All Entities",$BV267=fEntity),OR(fPType="All Property Types",$BZ267=fPType),OR(fDefeased="Include",$CJ267=0)),1,0)</f>
        <v/>
      </c>
      <c r="DF267" s="83">
        <f>$DE267*N($I267)</f>
        <v/>
      </c>
      <c r="DG267" s="78">
        <f>IF($DE267=1,IF(COUNTIFS($F$8:$F267,$F267,$DE$8:$DE267,1)=1,1,0),0)</f>
        <v/>
      </c>
      <c r="DH267" s="83">
        <f>IF($DG267=1,SUMIFS($DF$8:$DF$1600,$F$8:$F$1600,$F267),0)</f>
        <v/>
      </c>
      <c r="DI267" s="78">
        <f>IF($DG267=1,COUNTIFS($F$8:$F$1600,$F267,$DE$8:$DE$1600,1),0)</f>
        <v/>
      </c>
      <c r="DJ267" s="84">
        <f>IF($DG267=1,$DH267+(100000-ROW())/mTieBreak,0)</f>
        <v/>
      </c>
    </row>
    <row r="268">
      <c r="B268" s="68" t="n">
        <v>21</v>
      </c>
      <c r="C268" s="69" t="inlineStr">
        <is>
          <t>GS219G38</t>
        </is>
      </c>
      <c r="D268" s="69" t="inlineStr">
        <is>
          <t>21.000</t>
        </is>
      </c>
      <c r="E268" s="69" t="inlineStr">
        <is>
          <t>Jefferson Grove</t>
        </is>
      </c>
      <c r="F268" s="69" t="inlineStr">
        <is>
          <t>LNGS219G38-21.000</t>
        </is>
      </c>
      <c r="G268" s="70" t="n"/>
      <c r="H268" s="71" t="n">
        <v>14500000</v>
      </c>
      <c r="I268" s="71" t="n">
        <v>13946695.2199975</v>
      </c>
      <c r="J268" s="72" t="n">
        <v>4.95</v>
      </c>
      <c r="K268" s="69" t="inlineStr">
        <is>
          <t>Fixed rate</t>
        </is>
      </c>
      <c r="L268" s="68" t="n">
        <v>120</v>
      </c>
      <c r="M268" s="68" t="n">
        <v>29</v>
      </c>
      <c r="N268" s="68" t="n">
        <v>420</v>
      </c>
      <c r="O268" s="68" t="n">
        <v>60</v>
      </c>
      <c r="P268" s="68" t="n">
        <v>0</v>
      </c>
      <c r="Q268" s="68" t="n">
        <v>91</v>
      </c>
      <c r="R268" s="69" t="inlineStr">
        <is>
          <t>IO then Amort</t>
        </is>
      </c>
      <c r="S268" s="69" t="inlineStr">
        <is>
          <t>No</t>
        </is>
      </c>
      <c r="T268" s="73" t="n">
        <v>43497</v>
      </c>
      <c r="U268" s="73" t="n">
        <v>47155</v>
      </c>
      <c r="V268" s="73" t="n"/>
      <c r="W268" s="69" t="n"/>
      <c r="X268" s="69" t="inlineStr">
        <is>
          <t>Current</t>
        </is>
      </c>
      <c r="Y268" s="68" t="n"/>
      <c r="Z268" s="69" t="inlineStr">
        <is>
          <t>No Defeasance Occurred</t>
        </is>
      </c>
      <c r="AA268" s="69" t="n"/>
      <c r="AB268" s="69" t="inlineStr">
        <is>
          <t>Never special serv</t>
        </is>
      </c>
      <c r="AC268" s="73" t="n"/>
      <c r="AD268" s="69" t="n"/>
      <c r="AE268" s="69" t="n"/>
      <c r="AF268" s="69" t="inlineStr">
        <is>
          <t>OH</t>
        </is>
      </c>
      <c r="AG268" s="69" t="inlineStr">
        <is>
          <t>Blacklick</t>
        </is>
      </c>
      <c r="AH268" s="69" t="inlineStr">
        <is>
          <t>Columbus, OH</t>
        </is>
      </c>
      <c r="AI268" s="69" t="inlineStr">
        <is>
          <t>Midwest / Central East</t>
        </is>
      </c>
      <c r="AJ268" s="69" t="inlineStr">
        <is>
          <t>MF</t>
        </is>
      </c>
      <c r="AK268" s="69" t="inlineStr">
        <is>
          <t>Garden</t>
        </is>
      </c>
      <c r="AL268" s="68" t="n">
        <v>1</v>
      </c>
      <c r="AM268" s="68" t="n">
        <v>116</v>
      </c>
      <c r="AN268" s="68" t="n"/>
      <c r="AO268" s="69" t="inlineStr">
        <is>
          <t>2018</t>
        </is>
      </c>
      <c r="AP268" s="70" t="n">
        <v>2018</v>
      </c>
      <c r="AQ268" s="74" t="n">
        <v>1.35</v>
      </c>
      <c r="AR268" s="74" t="n">
        <v>1.8</v>
      </c>
      <c r="AS268" s="74" t="n">
        <v>66.8</v>
      </c>
      <c r="AT268" s="74" t="n">
        <v>64.27</v>
      </c>
      <c r="AU268" s="74" t="n">
        <v>61.6</v>
      </c>
      <c r="AV268" s="74" t="n">
        <v>8.663625655000001</v>
      </c>
      <c r="AW268" s="74" t="n">
        <v>10.804046236</v>
      </c>
      <c r="AX268" s="75" t="n">
        <v>97</v>
      </c>
      <c r="AY268" s="71" t="n">
        <v>21700000</v>
      </c>
      <c r="AZ268" s="71" t="n">
        <v>21700000</v>
      </c>
      <c r="BA268" s="71" t="n">
        <v>1256225.72</v>
      </c>
      <c r="BB268" s="71" t="n">
        <v>837520.34</v>
      </c>
      <c r="BC268" s="69" t="inlineStr">
        <is>
          <t>Refinance</t>
        </is>
      </c>
      <c r="BD268" s="69" t="inlineStr">
        <is>
          <t>N</t>
        </is>
      </c>
      <c r="BE268" s="71" t="n"/>
      <c r="BF268" s="71" t="n"/>
      <c r="BG268" s="71" t="n"/>
      <c r="BH268" s="71" t="n">
        <v>0</v>
      </c>
      <c r="BI268" s="71" t="n">
        <v>0</v>
      </c>
      <c r="BJ268" s="69" t="inlineStr">
        <is>
          <t>N</t>
        </is>
      </c>
      <c r="BK268" s="69" t="n"/>
      <c r="BL268" s="75" t="n"/>
      <c r="BM268" s="73" t="n"/>
      <c r="BN268" s="69" t="inlineStr">
        <is>
          <t>David M. Conwill, Steven B. Kimmelman and Leslie S.R. Leohr</t>
        </is>
      </c>
      <c r="BO268" s="69" t="inlineStr">
        <is>
          <t>Goldman Sachs</t>
        </is>
      </c>
      <c r="BP268" s="69" t="inlineStr">
        <is>
          <t>TriMont Real Estate Advisors</t>
        </is>
      </c>
      <c r="BQ268" s="69" t="inlineStr">
        <is>
          <t>K-Star Asset Management LLC</t>
        </is>
      </c>
      <c r="BR268" s="69" t="n"/>
      <c r="BS268" s="73" t="n">
        <v>46273</v>
      </c>
      <c r="BU268" s="76">
        <f>IF($C268="","",IFERROR(INDEX(dmName,MATCH($C268,dmID,0)),"Unmapped"))</f>
        <v/>
      </c>
      <c r="BV268" s="76">
        <f>IF($C268="","",IFERROR(INDEX(dmEntity,MATCH($C268,dmID,0)),"Unmapped"))</f>
        <v/>
      </c>
      <c r="BW268" s="77">
        <f>IF($C268="","",IFERROR(INDEX(dmVintage,MATCH($C268,dmID,0)),""))</f>
        <v/>
      </c>
      <c r="BX268" s="78">
        <f>IFERROR(INDEX(dmInclude,MATCH($C268,dmID,0)),0)</f>
        <v/>
      </c>
      <c r="BY268" s="78">
        <f>IF(N($I268)&gt;0,1,0)</f>
        <v/>
      </c>
      <c r="BZ268" s="76">
        <f>IF($AJ268="","Other / Leased Fee",IFERROR(INDEX(mapPTGroup,MATCH(LEFT(TRIM($AJ268),2),mapPTCode,0)),"Other / Leased Fee"))</f>
        <v/>
      </c>
      <c r="CA268" s="76">
        <f>IF(TRIM($AF268&amp;"")="","NR",LEFT(TRIM($AF268),2))</f>
        <v/>
      </c>
      <c r="CB268" s="76">
        <f>IFERROR(LOOKUP(2,1/(LEFT(TRIM($AI268&amp;""),LEN(mapRegion))=mapRegion),mapRegion),"Not Reported")</f>
        <v/>
      </c>
      <c r="CC268" s="76">
        <f>IF($BY268=0,"",IF(TRIM($W268&amp;"")="REO","REO",IF(TRIM($W268&amp;"")="FC","Foreclosure",IF(TRIM($W268&amp;"")="90+","90+ Days Delinquent",IF(TRIM($W268&amp;"")="60","60 Days Delinquent",IF(TRIM($W268&amp;"")="30","30 Days Delinquent",IF($X268="Non-Performing Matured Balloon","Non-Performing Matured Balloon",IF(OR($X268="Late Payment But Less Than 30 Days Delinquent",LEFT($X268&amp;"",20)="Payment Not Received"),"Late / In Grace (&lt;30 Days)",IF($X268="Performing Matured Balloon","Performing Matured Balloon","Current")))))))))</f>
        <v/>
      </c>
      <c r="CD268" s="78">
        <f>IF(OR($CC268="REO",$CC268="Foreclosure",$CC268="90+ Days Delinquent",$CC268="60 Days Delinquent",$CC268="30 Days Delinquent",$CC268="Non-Performing Matured Balloon"),1,0)</f>
        <v/>
      </c>
      <c r="CE268" s="76">
        <f>IF($AB268="Currently special serv","Currently Specially Serviced",IF($AB268="Returned to master serv","Previously Specially Serviced","Never Specially Serviced"))</f>
        <v/>
      </c>
      <c r="CF268" s="78">
        <f>IF($CE268="Currently Specially Serviced",1,0)</f>
        <v/>
      </c>
      <c r="CG268" s="76">
        <f>IF($AA268="Yes","Currently on Watchlist",IF($AA268="Previously","Previously on Watchlist","Never on Watchlist"))</f>
        <v/>
      </c>
      <c r="CH268" s="78">
        <f>IF($CG268="Currently on Watchlist",1,0)</f>
        <v/>
      </c>
      <c r="CI268" s="76">
        <f>IF($Z268="Full Defeasance","Fully Defeased",IF($Z268="Portion Of Loan Previously Defeased","Partially Defeased",IF($Z268="Defeasance Not Allowable","Not Defeased (Not Permitted)","Not Defeased")))</f>
        <v/>
      </c>
      <c r="CJ268" s="78">
        <f>IF($CI268="Fully Defeased",1,0)</f>
        <v/>
      </c>
      <c r="CK268" s="76">
        <f>IF($R268="IO","Full IO",IF(LEFT($R268&amp;"",7)="IO then","Partial IO","Amortizing"))</f>
        <v/>
      </c>
      <c r="CL268" s="78">
        <f>IF($CK268="Full IO",1,0)</f>
        <v/>
      </c>
      <c r="CM268" s="78">
        <f>IF($CK268="Partial IO",1,0)</f>
        <v/>
      </c>
      <c r="CN268" s="76">
        <f>IF(LEFT($F268&amp;"",10)="SPLIT_LOAN","Pari Passu Split","Standalone")</f>
        <v/>
      </c>
      <c r="CO268" s="78">
        <f>IF($CN268="Pari Passu Split",1,0)</f>
        <v/>
      </c>
      <c r="CP268" s="77">
        <f>IF(ISNUMBER($T268),YEAR($T268),"")</f>
        <v/>
      </c>
      <c r="CQ268" s="79">
        <f>IF(ISNUMBER($V268),$V268,IF(ISNUMBER($U268),$U268,""))</f>
        <v/>
      </c>
      <c r="CR268" s="77">
        <f>IF(ISNUMBER($CQ268),YEAR($CQ268),"")</f>
        <v/>
      </c>
      <c r="CS268" s="78">
        <f>IF(ISNUMBER($M268),MAX(0,$M268),IF(TRIM($M268&amp;"")="matured",0,""))</f>
        <v/>
      </c>
      <c r="CT268" s="78">
        <f>IF(AND(ISNUMBER($CS268),N($CS268)&lt;=mMatWindow),1,0)</f>
        <v/>
      </c>
      <c r="CU268" s="80">
        <f>IF(ISNUMBER($J268),$J268/100,"")</f>
        <v/>
      </c>
      <c r="CV268" s="81">
        <f>IF(ISNUMBER($AQ268),$AQ268,"")</f>
        <v/>
      </c>
      <c r="CW268" s="81">
        <f>IF(ISNUMBER($AR268),$AR268,"")</f>
        <v/>
      </c>
      <c r="CX268" s="82">
        <f>IF(ISNUMBER($AS268),$AS268/100,"")</f>
        <v/>
      </c>
      <c r="CY268" s="82">
        <f>IF(ISNUMBER($AT268),$AT268/100,"")</f>
        <v/>
      </c>
      <c r="CZ268" s="82">
        <f>IF(ISNUMBER($AU268),$AU268/100,"")</f>
        <v/>
      </c>
      <c r="DA268" s="82">
        <f>IF(ISNUMBER($AV268),$AV268/100,"")</f>
        <v/>
      </c>
      <c r="DB268" s="82">
        <f>IF(ISNUMBER($AW268),$AW268/100,"")</f>
        <v/>
      </c>
      <c r="DC268" s="82">
        <f>IF(ISNUMBER($AX268),$AX268/100,"")</f>
        <v/>
      </c>
      <c r="DD268" s="77">
        <f>IFERROR(VALUE(LEFT(TRIM($AO268&amp;""),4)),"")</f>
        <v/>
      </c>
      <c r="DE268" s="78">
        <f>IF(AND($BY268=1,$BX268=1,OR(fDeal="All Deals",$BU268=fDeal),OR(fEntity="All Entities",$BV268=fEntity),OR(fPType="All Property Types",$BZ268=fPType),OR(fDefeased="Include",$CJ268=0)),1,0)</f>
        <v/>
      </c>
      <c r="DF268" s="83">
        <f>$DE268*N($I268)</f>
        <v/>
      </c>
      <c r="DG268" s="78">
        <f>IF($DE268=1,IF(COUNTIFS($F$8:$F268,$F268,$DE$8:$DE268,1)=1,1,0),0)</f>
        <v/>
      </c>
      <c r="DH268" s="83">
        <f>IF($DG268=1,SUMIFS($DF$8:$DF$1600,$F$8:$F$1600,$F268),0)</f>
        <v/>
      </c>
      <c r="DI268" s="78">
        <f>IF($DG268=1,COUNTIFS($F$8:$F$1600,$F268,$DE$8:$DE$1600,1),0)</f>
        <v/>
      </c>
      <c r="DJ268" s="84">
        <f>IF($DG268=1,$DH268+(100000-ROW())/mTieBreak,0)</f>
        <v/>
      </c>
    </row>
    <row r="269">
      <c r="B269" s="68" t="n">
        <v>22</v>
      </c>
      <c r="C269" s="69" t="inlineStr">
        <is>
          <t>GS219G38</t>
        </is>
      </c>
      <c r="D269" s="69" t="inlineStr">
        <is>
          <t>22.000</t>
        </is>
      </c>
      <c r="E269" s="69" t="inlineStr">
        <is>
          <t>WoodSpring Orlando Portfolio</t>
        </is>
      </c>
      <c r="F269" s="69" t="inlineStr">
        <is>
          <t>LNGS219G38-22.000</t>
        </is>
      </c>
      <c r="G269" s="70" t="n"/>
      <c r="H269" s="71" t="n">
        <v>13000000</v>
      </c>
      <c r="I269" s="71" t="n">
        <v>0</v>
      </c>
      <c r="J269" s="72" t="n">
        <v>5.781</v>
      </c>
      <c r="K269" s="69" t="inlineStr">
        <is>
          <t>Fixed rate</t>
        </is>
      </c>
      <c r="L269" s="68" t="n">
        <v>60</v>
      </c>
      <c r="M269" s="68" t="n"/>
      <c r="N269" s="68" t="n">
        <v>360</v>
      </c>
      <c r="O269" s="68" t="n"/>
      <c r="P269" s="68" t="n"/>
      <c r="Q269" s="68" t="n"/>
      <c r="R269" s="69" t="n"/>
      <c r="S269" s="69" t="inlineStr">
        <is>
          <t>No</t>
        </is>
      </c>
      <c r="T269" s="73" t="n">
        <v>43374</v>
      </c>
      <c r="U269" s="73" t="n">
        <v>45205</v>
      </c>
      <c r="V269" s="73" t="n"/>
      <c r="W269" s="69" t="n"/>
      <c r="X269" s="69" t="inlineStr">
        <is>
          <t>Current</t>
        </is>
      </c>
      <c r="Y269" s="68" t="n"/>
      <c r="Z269" s="69" t="inlineStr">
        <is>
          <t>Defeasance Not Allowable</t>
        </is>
      </c>
      <c r="AA269" s="69" t="inlineStr">
        <is>
          <t>Previously</t>
        </is>
      </c>
      <c r="AB269" s="69" t="inlineStr">
        <is>
          <t>Never special serv</t>
        </is>
      </c>
      <c r="AC269" s="73" t="n"/>
      <c r="AD269" s="69" t="n"/>
      <c r="AE269" s="69" t="n"/>
      <c r="AF269" s="69" t="inlineStr">
        <is>
          <t>FL</t>
        </is>
      </c>
      <c r="AG269" s="69" t="n"/>
      <c r="AH269" s="69" t="inlineStr">
        <is>
          <t>Orlando-Kissimmee-Sanford, FL</t>
        </is>
      </c>
      <c r="AI269" s="69" t="inlineStr">
        <is>
          <t>South / Atlantic</t>
        </is>
      </c>
      <c r="AJ269" s="69" t="inlineStr">
        <is>
          <t>HT</t>
        </is>
      </c>
      <c r="AK269" s="69" t="inlineStr">
        <is>
          <t>Extended Stay</t>
        </is>
      </c>
      <c r="AL269" s="68" t="n">
        <v>2</v>
      </c>
      <c r="AM269" s="68" t="n">
        <v>226</v>
      </c>
      <c r="AN269" s="68" t="n"/>
      <c r="AO269" s="69" t="n"/>
      <c r="AP269" s="70" t="n">
        <v>2017</v>
      </c>
      <c r="AQ269" s="74" t="n">
        <v>2.1</v>
      </c>
      <c r="AR269" s="74" t="n">
        <v>1.51</v>
      </c>
      <c r="AS269" s="74" t="n">
        <v>63.8</v>
      </c>
      <c r="AT269" s="74" t="n"/>
      <c r="AU269" s="74" t="n">
        <v>59.7</v>
      </c>
      <c r="AV269" s="74" t="n">
        <v>14.761160462</v>
      </c>
      <c r="AW269" s="74" t="n"/>
      <c r="AX269" s="75" t="n">
        <v>70</v>
      </c>
      <c r="AY269" s="71" t="n">
        <v>20300000</v>
      </c>
      <c r="AZ269" s="71" t="n">
        <v>20300000</v>
      </c>
      <c r="BA269" s="71" t="n">
        <v>1918950.86</v>
      </c>
      <c r="BB269" s="71" t="n">
        <v>1377441.03</v>
      </c>
      <c r="BC269" s="69" t="inlineStr">
        <is>
          <t>Refinance</t>
        </is>
      </c>
      <c r="BD269" s="69" t="inlineStr">
        <is>
          <t>N</t>
        </is>
      </c>
      <c r="BE269" s="71" t="n"/>
      <c r="BF269" s="71" t="n"/>
      <c r="BG269" s="71" t="n"/>
      <c r="BH269" s="71" t="n">
        <v>0</v>
      </c>
      <c r="BI269" s="71" t="n">
        <v>0</v>
      </c>
      <c r="BJ269" s="69" t="inlineStr">
        <is>
          <t>N</t>
        </is>
      </c>
      <c r="BK269" s="69" t="n"/>
      <c r="BL269" s="75" t="n"/>
      <c r="BM269" s="73" t="n"/>
      <c r="BN269" s="69" t="inlineStr">
        <is>
          <t>Philip A. Cox and Tracy Fleenor</t>
        </is>
      </c>
      <c r="BO269" s="69" t="inlineStr">
        <is>
          <t>Goldman Sachs</t>
        </is>
      </c>
      <c r="BP269" s="69" t="inlineStr">
        <is>
          <t>Wells Fargo</t>
        </is>
      </c>
      <c r="BQ269" s="69" t="inlineStr">
        <is>
          <t>K-Star Asset Management LLC</t>
        </is>
      </c>
      <c r="BR269" s="69" t="inlineStr">
        <is>
          <t>Full Payoff At Maturity</t>
        </is>
      </c>
      <c r="BS269" s="73" t="n">
        <v>45205</v>
      </c>
      <c r="BU269" s="76">
        <f>IF($C269="","",IFERROR(INDEX(dmName,MATCH($C269,dmID,0)),"Unmapped"))</f>
        <v/>
      </c>
      <c r="BV269" s="76">
        <f>IF($C269="","",IFERROR(INDEX(dmEntity,MATCH($C269,dmID,0)),"Unmapped"))</f>
        <v/>
      </c>
      <c r="BW269" s="77">
        <f>IF($C269="","",IFERROR(INDEX(dmVintage,MATCH($C269,dmID,0)),""))</f>
        <v/>
      </c>
      <c r="BX269" s="78">
        <f>IFERROR(INDEX(dmInclude,MATCH($C269,dmID,0)),0)</f>
        <v/>
      </c>
      <c r="BY269" s="78">
        <f>IF(N($I269)&gt;0,1,0)</f>
        <v/>
      </c>
      <c r="BZ269" s="76">
        <f>IF($AJ269="","Other / Leased Fee",IFERROR(INDEX(mapPTGroup,MATCH(LEFT(TRIM($AJ269),2),mapPTCode,0)),"Other / Leased Fee"))</f>
        <v/>
      </c>
      <c r="CA269" s="76">
        <f>IF(TRIM($AF269&amp;"")="","NR",LEFT(TRIM($AF269),2))</f>
        <v/>
      </c>
      <c r="CB269" s="76">
        <f>IFERROR(LOOKUP(2,1/(LEFT(TRIM($AI269&amp;""),LEN(mapRegion))=mapRegion),mapRegion),"Not Reported")</f>
        <v/>
      </c>
      <c r="CC269" s="76">
        <f>IF($BY269=0,"",IF(TRIM($W269&amp;"")="REO","REO",IF(TRIM($W269&amp;"")="FC","Foreclosure",IF(TRIM($W269&amp;"")="90+","90+ Days Delinquent",IF(TRIM($W269&amp;"")="60","60 Days Delinquent",IF(TRIM($W269&amp;"")="30","30 Days Delinquent",IF($X269="Non-Performing Matured Balloon","Non-Performing Matured Balloon",IF(OR($X269="Late Payment But Less Than 30 Days Delinquent",LEFT($X269&amp;"",20)="Payment Not Received"),"Late / In Grace (&lt;30 Days)",IF($X269="Performing Matured Balloon","Performing Matured Balloon","Current")))))))))</f>
        <v/>
      </c>
      <c r="CD269" s="78">
        <f>IF(OR($CC269="REO",$CC269="Foreclosure",$CC269="90+ Days Delinquent",$CC269="60 Days Delinquent",$CC269="30 Days Delinquent",$CC269="Non-Performing Matured Balloon"),1,0)</f>
        <v/>
      </c>
      <c r="CE269" s="76">
        <f>IF($AB269="Currently special serv","Currently Specially Serviced",IF($AB269="Returned to master serv","Previously Specially Serviced","Never Specially Serviced"))</f>
        <v/>
      </c>
      <c r="CF269" s="78">
        <f>IF($CE269="Currently Specially Serviced",1,0)</f>
        <v/>
      </c>
      <c r="CG269" s="76">
        <f>IF($AA269="Yes","Currently on Watchlist",IF($AA269="Previously","Previously on Watchlist","Never on Watchlist"))</f>
        <v/>
      </c>
      <c r="CH269" s="78">
        <f>IF($CG269="Currently on Watchlist",1,0)</f>
        <v/>
      </c>
      <c r="CI269" s="76">
        <f>IF($Z269="Full Defeasance","Fully Defeased",IF($Z269="Portion Of Loan Previously Defeased","Partially Defeased",IF($Z269="Defeasance Not Allowable","Not Defeased (Not Permitted)","Not Defeased")))</f>
        <v/>
      </c>
      <c r="CJ269" s="78">
        <f>IF($CI269="Fully Defeased",1,0)</f>
        <v/>
      </c>
      <c r="CK269" s="76">
        <f>IF($R269="IO","Full IO",IF(LEFT($R269&amp;"",7)="IO then","Partial IO","Amortizing"))</f>
        <v/>
      </c>
      <c r="CL269" s="78">
        <f>IF($CK269="Full IO",1,0)</f>
        <v/>
      </c>
      <c r="CM269" s="78">
        <f>IF($CK269="Partial IO",1,0)</f>
        <v/>
      </c>
      <c r="CN269" s="76">
        <f>IF(LEFT($F269&amp;"",10)="SPLIT_LOAN","Pari Passu Split","Standalone")</f>
        <v/>
      </c>
      <c r="CO269" s="78">
        <f>IF($CN269="Pari Passu Split",1,0)</f>
        <v/>
      </c>
      <c r="CP269" s="77">
        <f>IF(ISNUMBER($T269),YEAR($T269),"")</f>
        <v/>
      </c>
      <c r="CQ269" s="79">
        <f>IF(ISNUMBER($V269),$V269,IF(ISNUMBER($U269),$U269,""))</f>
        <v/>
      </c>
      <c r="CR269" s="77">
        <f>IF(ISNUMBER($CQ269),YEAR($CQ269),"")</f>
        <v/>
      </c>
      <c r="CS269" s="78">
        <f>IF(ISNUMBER($M269),MAX(0,$M269),IF(TRIM($M269&amp;"")="matured",0,""))</f>
        <v/>
      </c>
      <c r="CT269" s="78">
        <f>IF(AND(ISNUMBER($CS269),N($CS269)&lt;=mMatWindow),1,0)</f>
        <v/>
      </c>
      <c r="CU269" s="80">
        <f>IF(ISNUMBER($J269),$J269/100,"")</f>
        <v/>
      </c>
      <c r="CV269" s="81">
        <f>IF(ISNUMBER($AQ269),$AQ269,"")</f>
        <v/>
      </c>
      <c r="CW269" s="81">
        <f>IF(ISNUMBER($AR269),$AR269,"")</f>
        <v/>
      </c>
      <c r="CX269" s="82">
        <f>IF(ISNUMBER($AS269),$AS269/100,"")</f>
        <v/>
      </c>
      <c r="CY269" s="82">
        <f>IF(ISNUMBER($AT269),$AT269/100,"")</f>
        <v/>
      </c>
      <c r="CZ269" s="82">
        <f>IF(ISNUMBER($AU269),$AU269/100,"")</f>
        <v/>
      </c>
      <c r="DA269" s="82">
        <f>IF(ISNUMBER($AV269),$AV269/100,"")</f>
        <v/>
      </c>
      <c r="DB269" s="82">
        <f>IF(ISNUMBER($AW269),$AW269/100,"")</f>
        <v/>
      </c>
      <c r="DC269" s="82">
        <f>IF(ISNUMBER($AX269),$AX269/100,"")</f>
        <v/>
      </c>
      <c r="DD269" s="77">
        <f>IFERROR(VALUE(LEFT(TRIM($AO269&amp;""),4)),"")</f>
        <v/>
      </c>
      <c r="DE269" s="78">
        <f>IF(AND($BY269=1,$BX269=1,OR(fDeal="All Deals",$BU269=fDeal),OR(fEntity="All Entities",$BV269=fEntity),OR(fPType="All Property Types",$BZ269=fPType),OR(fDefeased="Include",$CJ269=0)),1,0)</f>
        <v/>
      </c>
      <c r="DF269" s="83">
        <f>$DE269*N($I269)</f>
        <v/>
      </c>
      <c r="DG269" s="78">
        <f>IF($DE269=1,IF(COUNTIFS($F$8:$F269,$F269,$DE$8:$DE269,1)=1,1,0),0)</f>
        <v/>
      </c>
      <c r="DH269" s="83">
        <f>IF($DG269=1,SUMIFS($DF$8:$DF$1600,$F$8:$F$1600,$F269),0)</f>
        <v/>
      </c>
      <c r="DI269" s="78">
        <f>IF($DG269=1,COUNTIFS($F$8:$F$1600,$F269,$DE$8:$DE$1600,1),0)</f>
        <v/>
      </c>
      <c r="DJ269" s="84">
        <f>IF($DG269=1,$DH269+(100000-ROW())/mTieBreak,0)</f>
        <v/>
      </c>
    </row>
    <row r="270">
      <c r="B270" s="68" t="n">
        <v>23</v>
      </c>
      <c r="C270" s="69" t="inlineStr">
        <is>
          <t>GS219G38</t>
        </is>
      </c>
      <c r="D270" s="69" t="inlineStr">
        <is>
          <t>23.000</t>
        </is>
      </c>
      <c r="E270" s="69" t="inlineStr">
        <is>
          <t>Bennington Square Apartments</t>
        </is>
      </c>
      <c r="F270" s="69" t="inlineStr">
        <is>
          <t>LNGS219G38-23.000</t>
        </is>
      </c>
      <c r="G270" s="70" t="n"/>
      <c r="H270" s="71" t="n">
        <v>12400000</v>
      </c>
      <c r="I270" s="71" t="n">
        <v>11940244.8800056</v>
      </c>
      <c r="J270" s="72" t="n">
        <v>5.1</v>
      </c>
      <c r="K270" s="69" t="inlineStr">
        <is>
          <t>Fixed rate</t>
        </is>
      </c>
      <c r="L270" s="68" t="n">
        <v>120</v>
      </c>
      <c r="M270" s="68" t="n">
        <v>29</v>
      </c>
      <c r="N270" s="68" t="n">
        <v>420</v>
      </c>
      <c r="O270" s="68" t="n">
        <v>60</v>
      </c>
      <c r="P270" s="68" t="n">
        <v>0</v>
      </c>
      <c r="Q270" s="68" t="n">
        <v>91</v>
      </c>
      <c r="R270" s="69" t="inlineStr">
        <is>
          <t>IO then Amort</t>
        </is>
      </c>
      <c r="S270" s="69" t="inlineStr">
        <is>
          <t>No</t>
        </is>
      </c>
      <c r="T270" s="73" t="n">
        <v>43497</v>
      </c>
      <c r="U270" s="73" t="n">
        <v>47155</v>
      </c>
      <c r="V270" s="73" t="n"/>
      <c r="W270" s="69" t="n"/>
      <c r="X270" s="69" t="inlineStr">
        <is>
          <t>Current</t>
        </is>
      </c>
      <c r="Y270" s="68" t="n"/>
      <c r="Z270" s="69" t="inlineStr">
        <is>
          <t>Defeasance Not Allowable</t>
        </is>
      </c>
      <c r="AA270" s="69" t="inlineStr">
        <is>
          <t>Previously</t>
        </is>
      </c>
      <c r="AB270" s="69" t="inlineStr">
        <is>
          <t>Never special serv</t>
        </is>
      </c>
      <c r="AC270" s="73" t="n"/>
      <c r="AD270" s="69" t="n"/>
      <c r="AE270" s="69" t="n"/>
      <c r="AF270" s="69" t="inlineStr">
        <is>
          <t>TX</t>
        </is>
      </c>
      <c r="AG270" s="69" t="inlineStr">
        <is>
          <t>Houston</t>
        </is>
      </c>
      <c r="AH270" s="69" t="inlineStr">
        <is>
          <t>Houston-Pasadena-The Woodlands, TX</t>
        </is>
      </c>
      <c r="AI270" s="69" t="inlineStr">
        <is>
          <t>South / Central West</t>
        </is>
      </c>
      <c r="AJ270" s="69" t="inlineStr">
        <is>
          <t>MF</t>
        </is>
      </c>
      <c r="AK270" s="69" t="inlineStr">
        <is>
          <t>Garden</t>
        </is>
      </c>
      <c r="AL270" s="68" t="n">
        <v>1</v>
      </c>
      <c r="AM270" s="68" t="n">
        <v>313</v>
      </c>
      <c r="AN270" s="68" t="n"/>
      <c r="AO270" s="69" t="inlineStr">
        <is>
          <t>1977</t>
        </is>
      </c>
      <c r="AP270" s="70" t="n">
        <v>2012</v>
      </c>
      <c r="AQ270" s="74" t="n">
        <v>1.47</v>
      </c>
      <c r="AR270" s="74" t="n">
        <v>1.69</v>
      </c>
      <c r="AS270" s="74" t="n">
        <v>62.8</v>
      </c>
      <c r="AT270" s="74" t="n">
        <v>60.52</v>
      </c>
      <c r="AU270" s="74" t="n">
        <v>58.1</v>
      </c>
      <c r="AV270" s="74" t="n">
        <v>9.561812660999999</v>
      </c>
      <c r="AW270" s="74" t="n">
        <v>12.746099643</v>
      </c>
      <c r="AX270" s="75" t="n">
        <v>86</v>
      </c>
      <c r="AY270" s="71" t="n">
        <v>19730000</v>
      </c>
      <c r="AZ270" s="71" t="n">
        <v>19730000</v>
      </c>
      <c r="BA270" s="71" t="n">
        <v>1185664.77</v>
      </c>
      <c r="BB270" s="71" t="n">
        <v>340619.88</v>
      </c>
      <c r="BC270" s="69" t="inlineStr">
        <is>
          <t>Refinance</t>
        </is>
      </c>
      <c r="BD270" s="69" t="inlineStr">
        <is>
          <t>N</t>
        </is>
      </c>
      <c r="BE270" s="71" t="n"/>
      <c r="BF270" s="71" t="n"/>
      <c r="BG270" s="71" t="n"/>
      <c r="BH270" s="71" t="n">
        <v>0</v>
      </c>
      <c r="BI270" s="71" t="n">
        <v>0</v>
      </c>
      <c r="BJ270" s="69" t="inlineStr">
        <is>
          <t>N</t>
        </is>
      </c>
      <c r="BK270" s="69" t="n"/>
      <c r="BL270" s="75" t="n"/>
      <c r="BM270" s="73" t="n"/>
      <c r="BN270" s="69" t="inlineStr">
        <is>
          <t>Syed Razzaqi</t>
        </is>
      </c>
      <c r="BO270" s="69" t="inlineStr">
        <is>
          <t>Goldman Sachs</t>
        </is>
      </c>
      <c r="BP270" s="69" t="inlineStr">
        <is>
          <t>TriMont Real Estate Advisors</t>
        </is>
      </c>
      <c r="BQ270" s="69" t="inlineStr">
        <is>
          <t>K-Star Asset Management LLC</t>
        </is>
      </c>
      <c r="BR270" s="69" t="n"/>
      <c r="BS270" s="73" t="n">
        <v>46273</v>
      </c>
      <c r="BU270" s="76">
        <f>IF($C270="","",IFERROR(INDEX(dmName,MATCH($C270,dmID,0)),"Unmapped"))</f>
        <v/>
      </c>
      <c r="BV270" s="76">
        <f>IF($C270="","",IFERROR(INDEX(dmEntity,MATCH($C270,dmID,0)),"Unmapped"))</f>
        <v/>
      </c>
      <c r="BW270" s="77">
        <f>IF($C270="","",IFERROR(INDEX(dmVintage,MATCH($C270,dmID,0)),""))</f>
        <v/>
      </c>
      <c r="BX270" s="78">
        <f>IFERROR(INDEX(dmInclude,MATCH($C270,dmID,0)),0)</f>
        <v/>
      </c>
      <c r="BY270" s="78">
        <f>IF(N($I270)&gt;0,1,0)</f>
        <v/>
      </c>
      <c r="BZ270" s="76">
        <f>IF($AJ270="","Other / Leased Fee",IFERROR(INDEX(mapPTGroup,MATCH(LEFT(TRIM($AJ270),2),mapPTCode,0)),"Other / Leased Fee"))</f>
        <v/>
      </c>
      <c r="CA270" s="76">
        <f>IF(TRIM($AF270&amp;"")="","NR",LEFT(TRIM($AF270),2))</f>
        <v/>
      </c>
      <c r="CB270" s="76">
        <f>IFERROR(LOOKUP(2,1/(LEFT(TRIM($AI270&amp;""),LEN(mapRegion))=mapRegion),mapRegion),"Not Reported")</f>
        <v/>
      </c>
      <c r="CC270" s="76">
        <f>IF($BY270=0,"",IF(TRIM($W270&amp;"")="REO","REO",IF(TRIM($W270&amp;"")="FC","Foreclosure",IF(TRIM($W270&amp;"")="90+","90+ Days Delinquent",IF(TRIM($W270&amp;"")="60","60 Days Delinquent",IF(TRIM($W270&amp;"")="30","30 Days Delinquent",IF($X270="Non-Performing Matured Balloon","Non-Performing Matured Balloon",IF(OR($X270="Late Payment But Less Than 30 Days Delinquent",LEFT($X270&amp;"",20)="Payment Not Received"),"Late / In Grace (&lt;30 Days)",IF($X270="Performing Matured Balloon","Performing Matured Balloon","Current")))))))))</f>
        <v/>
      </c>
      <c r="CD270" s="78">
        <f>IF(OR($CC270="REO",$CC270="Foreclosure",$CC270="90+ Days Delinquent",$CC270="60 Days Delinquent",$CC270="30 Days Delinquent",$CC270="Non-Performing Matured Balloon"),1,0)</f>
        <v/>
      </c>
      <c r="CE270" s="76">
        <f>IF($AB270="Currently special serv","Currently Specially Serviced",IF($AB270="Returned to master serv","Previously Specially Serviced","Never Specially Serviced"))</f>
        <v/>
      </c>
      <c r="CF270" s="78">
        <f>IF($CE270="Currently Specially Serviced",1,0)</f>
        <v/>
      </c>
      <c r="CG270" s="76">
        <f>IF($AA270="Yes","Currently on Watchlist",IF($AA270="Previously","Previously on Watchlist","Never on Watchlist"))</f>
        <v/>
      </c>
      <c r="CH270" s="78">
        <f>IF($CG270="Currently on Watchlist",1,0)</f>
        <v/>
      </c>
      <c r="CI270" s="76">
        <f>IF($Z270="Full Defeasance","Fully Defeased",IF($Z270="Portion Of Loan Previously Defeased","Partially Defeased",IF($Z270="Defeasance Not Allowable","Not Defeased (Not Permitted)","Not Defeased")))</f>
        <v/>
      </c>
      <c r="CJ270" s="78">
        <f>IF($CI270="Fully Defeased",1,0)</f>
        <v/>
      </c>
      <c r="CK270" s="76">
        <f>IF($R270="IO","Full IO",IF(LEFT($R270&amp;"",7)="IO then","Partial IO","Amortizing"))</f>
        <v/>
      </c>
      <c r="CL270" s="78">
        <f>IF($CK270="Full IO",1,0)</f>
        <v/>
      </c>
      <c r="CM270" s="78">
        <f>IF($CK270="Partial IO",1,0)</f>
        <v/>
      </c>
      <c r="CN270" s="76">
        <f>IF(LEFT($F270&amp;"",10)="SPLIT_LOAN","Pari Passu Split","Standalone")</f>
        <v/>
      </c>
      <c r="CO270" s="78">
        <f>IF($CN270="Pari Passu Split",1,0)</f>
        <v/>
      </c>
      <c r="CP270" s="77">
        <f>IF(ISNUMBER($T270),YEAR($T270),"")</f>
        <v/>
      </c>
      <c r="CQ270" s="79">
        <f>IF(ISNUMBER($V270),$V270,IF(ISNUMBER($U270),$U270,""))</f>
        <v/>
      </c>
      <c r="CR270" s="77">
        <f>IF(ISNUMBER($CQ270),YEAR($CQ270),"")</f>
        <v/>
      </c>
      <c r="CS270" s="78">
        <f>IF(ISNUMBER($M270),MAX(0,$M270),IF(TRIM($M270&amp;"")="matured",0,""))</f>
        <v/>
      </c>
      <c r="CT270" s="78">
        <f>IF(AND(ISNUMBER($CS270),N($CS270)&lt;=mMatWindow),1,0)</f>
        <v/>
      </c>
      <c r="CU270" s="80">
        <f>IF(ISNUMBER($J270),$J270/100,"")</f>
        <v/>
      </c>
      <c r="CV270" s="81">
        <f>IF(ISNUMBER($AQ270),$AQ270,"")</f>
        <v/>
      </c>
      <c r="CW270" s="81">
        <f>IF(ISNUMBER($AR270),$AR270,"")</f>
        <v/>
      </c>
      <c r="CX270" s="82">
        <f>IF(ISNUMBER($AS270),$AS270/100,"")</f>
        <v/>
      </c>
      <c r="CY270" s="82">
        <f>IF(ISNUMBER($AT270),$AT270/100,"")</f>
        <v/>
      </c>
      <c r="CZ270" s="82">
        <f>IF(ISNUMBER($AU270),$AU270/100,"")</f>
        <v/>
      </c>
      <c r="DA270" s="82">
        <f>IF(ISNUMBER($AV270),$AV270/100,"")</f>
        <v/>
      </c>
      <c r="DB270" s="82">
        <f>IF(ISNUMBER($AW270),$AW270/100,"")</f>
        <v/>
      </c>
      <c r="DC270" s="82">
        <f>IF(ISNUMBER($AX270),$AX270/100,"")</f>
        <v/>
      </c>
      <c r="DD270" s="77">
        <f>IFERROR(VALUE(LEFT(TRIM($AO270&amp;""),4)),"")</f>
        <v/>
      </c>
      <c r="DE270" s="78">
        <f>IF(AND($BY270=1,$BX270=1,OR(fDeal="All Deals",$BU270=fDeal),OR(fEntity="All Entities",$BV270=fEntity),OR(fPType="All Property Types",$BZ270=fPType),OR(fDefeased="Include",$CJ270=0)),1,0)</f>
        <v/>
      </c>
      <c r="DF270" s="83">
        <f>$DE270*N($I270)</f>
        <v/>
      </c>
      <c r="DG270" s="78">
        <f>IF($DE270=1,IF(COUNTIFS($F$8:$F270,$F270,$DE$8:$DE270,1)=1,1,0),0)</f>
        <v/>
      </c>
      <c r="DH270" s="83">
        <f>IF($DG270=1,SUMIFS($DF$8:$DF$1600,$F$8:$F$1600,$F270),0)</f>
        <v/>
      </c>
      <c r="DI270" s="78">
        <f>IF($DG270=1,COUNTIFS($F$8:$F$1600,$F270,$DE$8:$DE$1600,1),0)</f>
        <v/>
      </c>
      <c r="DJ270" s="84">
        <f>IF($DG270=1,$DH270+(100000-ROW())/mTieBreak,0)</f>
        <v/>
      </c>
    </row>
    <row r="271">
      <c r="B271" s="68" t="n">
        <v>24</v>
      </c>
      <c r="C271" s="69" t="inlineStr">
        <is>
          <t>GS219G38</t>
        </is>
      </c>
      <c r="D271" s="69" t="inlineStr">
        <is>
          <t>24.000</t>
        </is>
      </c>
      <c r="E271" s="69" t="inlineStr">
        <is>
          <t>Mission Point Office</t>
        </is>
      </c>
      <c r="F271" s="69" t="inlineStr">
        <is>
          <t>LNGS219G38-24.000</t>
        </is>
      </c>
      <c r="G271" s="70" t="n"/>
      <c r="H271" s="71" t="n">
        <v>11250000</v>
      </c>
      <c r="I271" s="71" t="n">
        <v>9876187.010002499</v>
      </c>
      <c r="J271" s="72" t="n">
        <v>5.44</v>
      </c>
      <c r="K271" s="69" t="inlineStr">
        <is>
          <t>Fixed rate</t>
        </is>
      </c>
      <c r="L271" s="68" t="n">
        <v>120</v>
      </c>
      <c r="M271" s="68" t="n">
        <v>26</v>
      </c>
      <c r="N271" s="68" t="n">
        <v>360</v>
      </c>
      <c r="O271" s="68" t="n"/>
      <c r="P271" s="68" t="n"/>
      <c r="Q271" s="68" t="n">
        <v>94</v>
      </c>
      <c r="R271" s="69" t="n"/>
      <c r="S271" s="69" t="inlineStr">
        <is>
          <t>No</t>
        </is>
      </c>
      <c r="T271" s="73" t="n">
        <v>43405</v>
      </c>
      <c r="U271" s="73" t="n">
        <v>47063</v>
      </c>
      <c r="V271" s="73" t="n"/>
      <c r="W271" s="69" t="n"/>
      <c r="X271" s="69" t="inlineStr">
        <is>
          <t>Current</t>
        </is>
      </c>
      <c r="Y271" s="68" t="n"/>
      <c r="Z271" s="69" t="inlineStr">
        <is>
          <t>No Defeasance Occurred</t>
        </is>
      </c>
      <c r="AA271" s="69" t="inlineStr">
        <is>
          <t>Yes</t>
        </is>
      </c>
      <c r="AB271" s="69" t="inlineStr">
        <is>
          <t>Never special serv</t>
        </is>
      </c>
      <c r="AC271" s="73" t="n"/>
      <c r="AD271" s="69" t="n"/>
      <c r="AE271" s="69" t="n"/>
      <c r="AF271" s="69" t="inlineStr">
        <is>
          <t>OH</t>
        </is>
      </c>
      <c r="AG271" s="69" t="inlineStr">
        <is>
          <t>Beavercreek</t>
        </is>
      </c>
      <c r="AH271" s="69" t="inlineStr">
        <is>
          <t>Dayton-Kettering-Beavercreek, OH</t>
        </is>
      </c>
      <c r="AI271" s="69" t="inlineStr">
        <is>
          <t>Midwest / Central East</t>
        </is>
      </c>
      <c r="AJ271" s="69" t="inlineStr">
        <is>
          <t>OF</t>
        </is>
      </c>
      <c r="AK271" s="69" t="inlineStr">
        <is>
          <t>Suburban</t>
        </is>
      </c>
      <c r="AL271" s="68" t="n">
        <v>1</v>
      </c>
      <c r="AM271" s="68" t="n"/>
      <c r="AN271" s="68" t="n">
        <v>91232</v>
      </c>
      <c r="AO271" s="69" t="inlineStr">
        <is>
          <t>2008</t>
        </is>
      </c>
      <c r="AP271" s="70" t="n">
        <v>2008</v>
      </c>
      <c r="AQ271" s="74" t="n">
        <v>1.63</v>
      </c>
      <c r="AR271" s="74" t="n">
        <v>1.8</v>
      </c>
      <c r="AS271" s="74" t="n">
        <v>68.90000000000001</v>
      </c>
      <c r="AT271" s="74" t="n">
        <v>60.68</v>
      </c>
      <c r="AU271" s="74" t="n">
        <v>57.6</v>
      </c>
      <c r="AV271" s="74" t="n">
        <v>11.011838044</v>
      </c>
      <c r="AW271" s="74" t="n">
        <v>11.980605458</v>
      </c>
      <c r="AX271" s="75" t="n">
        <v>100</v>
      </c>
      <c r="AY271" s="71" t="n">
        <v>16275000</v>
      </c>
      <c r="AZ271" s="71" t="n">
        <v>16275000</v>
      </c>
      <c r="BA271" s="71" t="n">
        <v>1238831.78</v>
      </c>
      <c r="BB271" s="71" t="n">
        <v>686829</v>
      </c>
      <c r="BC271" s="69" t="inlineStr">
        <is>
          <t>Refinance</t>
        </is>
      </c>
      <c r="BD271" s="69" t="inlineStr">
        <is>
          <t>N</t>
        </is>
      </c>
      <c r="BE271" s="71" t="n"/>
      <c r="BF271" s="71" t="n"/>
      <c r="BG271" s="71" t="n"/>
      <c r="BH271" s="71" t="n">
        <v>0</v>
      </c>
      <c r="BI271" s="71" t="n">
        <v>0</v>
      </c>
      <c r="BJ271" s="69" t="inlineStr">
        <is>
          <t>N</t>
        </is>
      </c>
      <c r="BK271" s="69" t="inlineStr">
        <is>
          <t>DRS Intelligence &amp; Avionic Solutions  Inc</t>
        </is>
      </c>
      <c r="BL271" s="75" t="n">
        <v>52.16</v>
      </c>
      <c r="BM271" s="73" t="n">
        <v>47756</v>
      </c>
      <c r="BN271" s="69" t="inlineStr">
        <is>
          <t>Miller-Valentine Partners Ltd. II</t>
        </is>
      </c>
      <c r="BO271" s="69" t="inlineStr">
        <is>
          <t>Goldman Sachs</t>
        </is>
      </c>
      <c r="BP271" s="69" t="inlineStr">
        <is>
          <t>TriMont Real Estate Advisors</t>
        </is>
      </c>
      <c r="BQ271" s="69" t="inlineStr">
        <is>
          <t>K-Star Asset Management LLC</t>
        </is>
      </c>
      <c r="BR271" s="69" t="n"/>
      <c r="BS271" s="73" t="n">
        <v>46273</v>
      </c>
      <c r="BU271" s="76">
        <f>IF($C271="","",IFERROR(INDEX(dmName,MATCH($C271,dmID,0)),"Unmapped"))</f>
        <v/>
      </c>
      <c r="BV271" s="76">
        <f>IF($C271="","",IFERROR(INDEX(dmEntity,MATCH($C271,dmID,0)),"Unmapped"))</f>
        <v/>
      </c>
      <c r="BW271" s="77">
        <f>IF($C271="","",IFERROR(INDEX(dmVintage,MATCH($C271,dmID,0)),""))</f>
        <v/>
      </c>
      <c r="BX271" s="78">
        <f>IFERROR(INDEX(dmInclude,MATCH($C271,dmID,0)),0)</f>
        <v/>
      </c>
      <c r="BY271" s="78">
        <f>IF(N($I271)&gt;0,1,0)</f>
        <v/>
      </c>
      <c r="BZ271" s="76">
        <f>IF($AJ271="","Other / Leased Fee",IFERROR(INDEX(mapPTGroup,MATCH(LEFT(TRIM($AJ271),2),mapPTCode,0)),"Other / Leased Fee"))</f>
        <v/>
      </c>
      <c r="CA271" s="76">
        <f>IF(TRIM($AF271&amp;"")="","NR",LEFT(TRIM($AF271),2))</f>
        <v/>
      </c>
      <c r="CB271" s="76">
        <f>IFERROR(LOOKUP(2,1/(LEFT(TRIM($AI271&amp;""),LEN(mapRegion))=mapRegion),mapRegion),"Not Reported")</f>
        <v/>
      </c>
      <c r="CC271" s="76">
        <f>IF($BY271=0,"",IF(TRIM($W271&amp;"")="REO","REO",IF(TRIM($W271&amp;"")="FC","Foreclosure",IF(TRIM($W271&amp;"")="90+","90+ Days Delinquent",IF(TRIM($W271&amp;"")="60","60 Days Delinquent",IF(TRIM($W271&amp;"")="30","30 Days Delinquent",IF($X271="Non-Performing Matured Balloon","Non-Performing Matured Balloon",IF(OR($X271="Late Payment But Less Than 30 Days Delinquent",LEFT($X271&amp;"",20)="Payment Not Received"),"Late / In Grace (&lt;30 Days)",IF($X271="Performing Matured Balloon","Performing Matured Balloon","Current")))))))))</f>
        <v/>
      </c>
      <c r="CD271" s="78">
        <f>IF(OR($CC271="REO",$CC271="Foreclosure",$CC271="90+ Days Delinquent",$CC271="60 Days Delinquent",$CC271="30 Days Delinquent",$CC271="Non-Performing Matured Balloon"),1,0)</f>
        <v/>
      </c>
      <c r="CE271" s="76">
        <f>IF($AB271="Currently special serv","Currently Specially Serviced",IF($AB271="Returned to master serv","Previously Specially Serviced","Never Specially Serviced"))</f>
        <v/>
      </c>
      <c r="CF271" s="78">
        <f>IF($CE271="Currently Specially Serviced",1,0)</f>
        <v/>
      </c>
      <c r="CG271" s="76">
        <f>IF($AA271="Yes","Currently on Watchlist",IF($AA271="Previously","Previously on Watchlist","Never on Watchlist"))</f>
        <v/>
      </c>
      <c r="CH271" s="78">
        <f>IF($CG271="Currently on Watchlist",1,0)</f>
        <v/>
      </c>
      <c r="CI271" s="76">
        <f>IF($Z271="Full Defeasance","Fully Defeased",IF($Z271="Portion Of Loan Previously Defeased","Partially Defeased",IF($Z271="Defeasance Not Allowable","Not Defeased (Not Permitted)","Not Defeased")))</f>
        <v/>
      </c>
      <c r="CJ271" s="78">
        <f>IF($CI271="Fully Defeased",1,0)</f>
        <v/>
      </c>
      <c r="CK271" s="76">
        <f>IF($R271="IO","Full IO",IF(LEFT($R271&amp;"",7)="IO then","Partial IO","Amortizing"))</f>
        <v/>
      </c>
      <c r="CL271" s="78">
        <f>IF($CK271="Full IO",1,0)</f>
        <v/>
      </c>
      <c r="CM271" s="78">
        <f>IF($CK271="Partial IO",1,0)</f>
        <v/>
      </c>
      <c r="CN271" s="76">
        <f>IF(LEFT($F271&amp;"",10)="SPLIT_LOAN","Pari Passu Split","Standalone")</f>
        <v/>
      </c>
      <c r="CO271" s="78">
        <f>IF($CN271="Pari Passu Split",1,0)</f>
        <v/>
      </c>
      <c r="CP271" s="77">
        <f>IF(ISNUMBER($T271),YEAR($T271),"")</f>
        <v/>
      </c>
      <c r="CQ271" s="79">
        <f>IF(ISNUMBER($V271),$V271,IF(ISNUMBER($U271),$U271,""))</f>
        <v/>
      </c>
      <c r="CR271" s="77">
        <f>IF(ISNUMBER($CQ271),YEAR($CQ271),"")</f>
        <v/>
      </c>
      <c r="CS271" s="78">
        <f>IF(ISNUMBER($M271),MAX(0,$M271),IF(TRIM($M271&amp;"")="matured",0,""))</f>
        <v/>
      </c>
      <c r="CT271" s="78">
        <f>IF(AND(ISNUMBER($CS271),N($CS271)&lt;=mMatWindow),1,0)</f>
        <v/>
      </c>
      <c r="CU271" s="80">
        <f>IF(ISNUMBER($J271),$J271/100,"")</f>
        <v/>
      </c>
      <c r="CV271" s="81">
        <f>IF(ISNUMBER($AQ271),$AQ271,"")</f>
        <v/>
      </c>
      <c r="CW271" s="81">
        <f>IF(ISNUMBER($AR271),$AR271,"")</f>
        <v/>
      </c>
      <c r="CX271" s="82">
        <f>IF(ISNUMBER($AS271),$AS271/100,"")</f>
        <v/>
      </c>
      <c r="CY271" s="82">
        <f>IF(ISNUMBER($AT271),$AT271/100,"")</f>
        <v/>
      </c>
      <c r="CZ271" s="82">
        <f>IF(ISNUMBER($AU271),$AU271/100,"")</f>
        <v/>
      </c>
      <c r="DA271" s="82">
        <f>IF(ISNUMBER($AV271),$AV271/100,"")</f>
        <v/>
      </c>
      <c r="DB271" s="82">
        <f>IF(ISNUMBER($AW271),$AW271/100,"")</f>
        <v/>
      </c>
      <c r="DC271" s="82">
        <f>IF(ISNUMBER($AX271),$AX271/100,"")</f>
        <v/>
      </c>
      <c r="DD271" s="77">
        <f>IFERROR(VALUE(LEFT(TRIM($AO271&amp;""),4)),"")</f>
        <v/>
      </c>
      <c r="DE271" s="78">
        <f>IF(AND($BY271=1,$BX271=1,OR(fDeal="All Deals",$BU271=fDeal),OR(fEntity="All Entities",$BV271=fEntity),OR(fPType="All Property Types",$BZ271=fPType),OR(fDefeased="Include",$CJ271=0)),1,0)</f>
        <v/>
      </c>
      <c r="DF271" s="83">
        <f>$DE271*N($I271)</f>
        <v/>
      </c>
      <c r="DG271" s="78">
        <f>IF($DE271=1,IF(COUNTIFS($F$8:$F271,$F271,$DE$8:$DE271,1)=1,1,0),0)</f>
        <v/>
      </c>
      <c r="DH271" s="83">
        <f>IF($DG271=1,SUMIFS($DF$8:$DF$1600,$F$8:$F$1600,$F271),0)</f>
        <v/>
      </c>
      <c r="DI271" s="78">
        <f>IF($DG271=1,COUNTIFS($F$8:$F$1600,$F271,$DE$8:$DE$1600,1),0)</f>
        <v/>
      </c>
      <c r="DJ271" s="84">
        <f>IF($DG271=1,$DH271+(100000-ROW())/mTieBreak,0)</f>
        <v/>
      </c>
    </row>
    <row r="272">
      <c r="B272" s="68" t="n">
        <v>25</v>
      </c>
      <c r="C272" s="69" t="inlineStr">
        <is>
          <t>GS219G38</t>
        </is>
      </c>
      <c r="D272" s="69" t="inlineStr">
        <is>
          <t>25.000</t>
        </is>
      </c>
      <c r="E272" s="69" t="inlineStr">
        <is>
          <t>Franklin Commons</t>
        </is>
      </c>
      <c r="F272" s="69" t="inlineStr">
        <is>
          <t>LNGS219G38-25.000</t>
        </is>
      </c>
      <c r="G272" s="70" t="n"/>
      <c r="H272" s="71" t="n">
        <v>10050000</v>
      </c>
      <c r="I272" s="71" t="n">
        <v>9661467.419999549</v>
      </c>
      <c r="J272" s="72" t="n">
        <v>5.2045</v>
      </c>
      <c r="K272" s="69" t="inlineStr">
        <is>
          <t>Fixed rate</t>
        </is>
      </c>
      <c r="L272" s="68" t="n">
        <v>120</v>
      </c>
      <c r="M272" s="68" t="n">
        <v>27</v>
      </c>
      <c r="N272" s="68" t="n">
        <v>420</v>
      </c>
      <c r="O272" s="68" t="n">
        <v>60</v>
      </c>
      <c r="P272" s="68" t="n">
        <v>0</v>
      </c>
      <c r="Q272" s="68" t="n">
        <v>93</v>
      </c>
      <c r="R272" s="69" t="inlineStr">
        <is>
          <t>IO then Amort</t>
        </is>
      </c>
      <c r="S272" s="69" t="inlineStr">
        <is>
          <t>No</t>
        </is>
      </c>
      <c r="T272" s="73" t="n">
        <v>43435</v>
      </c>
      <c r="U272" s="73" t="n">
        <v>47093</v>
      </c>
      <c r="V272" s="73" t="n"/>
      <c r="W272" s="69" t="n"/>
      <c r="X272" s="69" t="inlineStr">
        <is>
          <t>Current</t>
        </is>
      </c>
      <c r="Y272" s="68" t="n"/>
      <c r="Z272" s="69" t="inlineStr">
        <is>
          <t>Full Defeasance</t>
        </is>
      </c>
      <c r="AA272" s="69" t="inlineStr">
        <is>
          <t>Previously</t>
        </is>
      </c>
      <c r="AB272" s="69" t="inlineStr">
        <is>
          <t>Never special serv</t>
        </is>
      </c>
      <c r="AC272" s="73" t="n"/>
      <c r="AD272" s="69" t="n"/>
      <c r="AE272" s="69" t="n"/>
      <c r="AF272" s="69" t="inlineStr">
        <is>
          <t>IN</t>
        </is>
      </c>
      <c r="AG272" s="69" t="inlineStr">
        <is>
          <t>Franklin</t>
        </is>
      </c>
      <c r="AH272" s="69" t="inlineStr">
        <is>
          <t>Indianapolis-Carmel-Greenwood, IN</t>
        </is>
      </c>
      <c r="AI272" s="69" t="inlineStr">
        <is>
          <t>Midwest / Central East</t>
        </is>
      </c>
      <c r="AJ272" s="69" t="inlineStr">
        <is>
          <t>RT</t>
        </is>
      </c>
      <c r="AK272" s="69" t="inlineStr">
        <is>
          <t>Shadow Anchored</t>
        </is>
      </c>
      <c r="AL272" s="68" t="n">
        <v>1</v>
      </c>
      <c r="AM272" s="68" t="n"/>
      <c r="AN272" s="68" t="n">
        <v>85980</v>
      </c>
      <c r="AO272" s="69" t="inlineStr">
        <is>
          <t>2017</t>
        </is>
      </c>
      <c r="AP272" s="70" t="n">
        <v>2017</v>
      </c>
      <c r="AQ272" s="74" t="n">
        <v>1.36</v>
      </c>
      <c r="AR272" s="74" t="n">
        <v>1.18</v>
      </c>
      <c r="AS272" s="74" t="n">
        <v>64.3</v>
      </c>
      <c r="AT272" s="74" t="n">
        <v>61.85</v>
      </c>
      <c r="AU272" s="74" t="n">
        <v>59.5</v>
      </c>
      <c r="AV272" s="74" t="n">
        <v>8.957894826</v>
      </c>
      <c r="AW272" s="74" t="n">
        <v>7.856077519</v>
      </c>
      <c r="AX272" s="75" t="n">
        <v>100</v>
      </c>
      <c r="AY272" s="71" t="n">
        <v>15620000</v>
      </c>
      <c r="AZ272" s="71" t="n">
        <v>15620000</v>
      </c>
      <c r="BA272" s="71" t="n">
        <v>900268.4300000001</v>
      </c>
      <c r="BB272" s="71" t="n">
        <v>588852.72</v>
      </c>
      <c r="BC272" s="69" t="inlineStr">
        <is>
          <t>Acquisition</t>
        </is>
      </c>
      <c r="BD272" s="69" t="inlineStr">
        <is>
          <t>N</t>
        </is>
      </c>
      <c r="BE272" s="71" t="n"/>
      <c r="BF272" s="71" t="n"/>
      <c r="BG272" s="71" t="n"/>
      <c r="BH272" s="71" t="n">
        <v>0</v>
      </c>
      <c r="BI272" s="71" t="n">
        <v>0</v>
      </c>
      <c r="BJ272" s="69" t="inlineStr">
        <is>
          <t>N</t>
        </is>
      </c>
      <c r="BK272" s="69" t="inlineStr">
        <is>
          <t>Ross Dress For Less</t>
        </is>
      </c>
      <c r="BL272" s="75" t="n">
        <v>25.54</v>
      </c>
      <c r="BM272" s="73" t="n">
        <v>46783</v>
      </c>
      <c r="BN272" s="69" t="inlineStr">
        <is>
          <t>Robert Ridino</t>
        </is>
      </c>
      <c r="BO272" s="69" t="inlineStr">
        <is>
          <t>Goldman Sachs</t>
        </is>
      </c>
      <c r="BP272" s="69" t="inlineStr">
        <is>
          <t>TriMont Real Estate Advisors</t>
        </is>
      </c>
      <c r="BQ272" s="69" t="inlineStr">
        <is>
          <t>K-Star Asset Management LLC</t>
        </is>
      </c>
      <c r="BR272" s="69" t="n"/>
      <c r="BS272" s="73" t="n">
        <v>46273</v>
      </c>
      <c r="BU272" s="76">
        <f>IF($C272="","",IFERROR(INDEX(dmName,MATCH($C272,dmID,0)),"Unmapped"))</f>
        <v/>
      </c>
      <c r="BV272" s="76">
        <f>IF($C272="","",IFERROR(INDEX(dmEntity,MATCH($C272,dmID,0)),"Unmapped"))</f>
        <v/>
      </c>
      <c r="BW272" s="77">
        <f>IF($C272="","",IFERROR(INDEX(dmVintage,MATCH($C272,dmID,0)),""))</f>
        <v/>
      </c>
      <c r="BX272" s="78">
        <f>IFERROR(INDEX(dmInclude,MATCH($C272,dmID,0)),0)</f>
        <v/>
      </c>
      <c r="BY272" s="78">
        <f>IF(N($I272)&gt;0,1,0)</f>
        <v/>
      </c>
      <c r="BZ272" s="76">
        <f>IF($AJ272="","Other / Leased Fee",IFERROR(INDEX(mapPTGroup,MATCH(LEFT(TRIM($AJ272),2),mapPTCode,0)),"Other / Leased Fee"))</f>
        <v/>
      </c>
      <c r="CA272" s="76">
        <f>IF(TRIM($AF272&amp;"")="","NR",LEFT(TRIM($AF272),2))</f>
        <v/>
      </c>
      <c r="CB272" s="76">
        <f>IFERROR(LOOKUP(2,1/(LEFT(TRIM($AI272&amp;""),LEN(mapRegion))=mapRegion),mapRegion),"Not Reported")</f>
        <v/>
      </c>
      <c r="CC272" s="76">
        <f>IF($BY272=0,"",IF(TRIM($W272&amp;"")="REO","REO",IF(TRIM($W272&amp;"")="FC","Foreclosure",IF(TRIM($W272&amp;"")="90+","90+ Days Delinquent",IF(TRIM($W272&amp;"")="60","60 Days Delinquent",IF(TRIM($W272&amp;"")="30","30 Days Delinquent",IF($X272="Non-Performing Matured Balloon","Non-Performing Matured Balloon",IF(OR($X272="Late Payment But Less Than 30 Days Delinquent",LEFT($X272&amp;"",20)="Payment Not Received"),"Late / In Grace (&lt;30 Days)",IF($X272="Performing Matured Balloon","Performing Matured Balloon","Current")))))))))</f>
        <v/>
      </c>
      <c r="CD272" s="78">
        <f>IF(OR($CC272="REO",$CC272="Foreclosure",$CC272="90+ Days Delinquent",$CC272="60 Days Delinquent",$CC272="30 Days Delinquent",$CC272="Non-Performing Matured Balloon"),1,0)</f>
        <v/>
      </c>
      <c r="CE272" s="76">
        <f>IF($AB272="Currently special serv","Currently Specially Serviced",IF($AB272="Returned to master serv","Previously Specially Serviced","Never Specially Serviced"))</f>
        <v/>
      </c>
      <c r="CF272" s="78">
        <f>IF($CE272="Currently Specially Serviced",1,0)</f>
        <v/>
      </c>
      <c r="CG272" s="76">
        <f>IF($AA272="Yes","Currently on Watchlist",IF($AA272="Previously","Previously on Watchlist","Never on Watchlist"))</f>
        <v/>
      </c>
      <c r="CH272" s="78">
        <f>IF($CG272="Currently on Watchlist",1,0)</f>
        <v/>
      </c>
      <c r="CI272" s="76">
        <f>IF($Z272="Full Defeasance","Fully Defeased",IF($Z272="Portion Of Loan Previously Defeased","Partially Defeased",IF($Z272="Defeasance Not Allowable","Not Defeased (Not Permitted)","Not Defeased")))</f>
        <v/>
      </c>
      <c r="CJ272" s="78">
        <f>IF($CI272="Fully Defeased",1,0)</f>
        <v/>
      </c>
      <c r="CK272" s="76">
        <f>IF($R272="IO","Full IO",IF(LEFT($R272&amp;"",7)="IO then","Partial IO","Amortizing"))</f>
        <v/>
      </c>
      <c r="CL272" s="78">
        <f>IF($CK272="Full IO",1,0)</f>
        <v/>
      </c>
      <c r="CM272" s="78">
        <f>IF($CK272="Partial IO",1,0)</f>
        <v/>
      </c>
      <c r="CN272" s="76">
        <f>IF(LEFT($F272&amp;"",10)="SPLIT_LOAN","Pari Passu Split","Standalone")</f>
        <v/>
      </c>
      <c r="CO272" s="78">
        <f>IF($CN272="Pari Passu Split",1,0)</f>
        <v/>
      </c>
      <c r="CP272" s="77">
        <f>IF(ISNUMBER($T272),YEAR($T272),"")</f>
        <v/>
      </c>
      <c r="CQ272" s="79">
        <f>IF(ISNUMBER($V272),$V272,IF(ISNUMBER($U272),$U272,""))</f>
        <v/>
      </c>
      <c r="CR272" s="77">
        <f>IF(ISNUMBER($CQ272),YEAR($CQ272),"")</f>
        <v/>
      </c>
      <c r="CS272" s="78">
        <f>IF(ISNUMBER($M272),MAX(0,$M272),IF(TRIM($M272&amp;"")="matured",0,""))</f>
        <v/>
      </c>
      <c r="CT272" s="78">
        <f>IF(AND(ISNUMBER($CS272),N($CS272)&lt;=mMatWindow),1,0)</f>
        <v/>
      </c>
      <c r="CU272" s="80">
        <f>IF(ISNUMBER($J272),$J272/100,"")</f>
        <v/>
      </c>
      <c r="CV272" s="81">
        <f>IF(ISNUMBER($AQ272),$AQ272,"")</f>
        <v/>
      </c>
      <c r="CW272" s="81">
        <f>IF(ISNUMBER($AR272),$AR272,"")</f>
        <v/>
      </c>
      <c r="CX272" s="82">
        <f>IF(ISNUMBER($AS272),$AS272/100,"")</f>
        <v/>
      </c>
      <c r="CY272" s="82">
        <f>IF(ISNUMBER($AT272),$AT272/100,"")</f>
        <v/>
      </c>
      <c r="CZ272" s="82">
        <f>IF(ISNUMBER($AU272),$AU272/100,"")</f>
        <v/>
      </c>
      <c r="DA272" s="82">
        <f>IF(ISNUMBER($AV272),$AV272/100,"")</f>
        <v/>
      </c>
      <c r="DB272" s="82">
        <f>IF(ISNUMBER($AW272),$AW272/100,"")</f>
        <v/>
      </c>
      <c r="DC272" s="82">
        <f>IF(ISNUMBER($AX272),$AX272/100,"")</f>
        <v/>
      </c>
      <c r="DD272" s="77">
        <f>IFERROR(VALUE(LEFT(TRIM($AO272&amp;""),4)),"")</f>
        <v/>
      </c>
      <c r="DE272" s="78">
        <f>IF(AND($BY272=1,$BX272=1,OR(fDeal="All Deals",$BU272=fDeal),OR(fEntity="All Entities",$BV272=fEntity),OR(fPType="All Property Types",$BZ272=fPType),OR(fDefeased="Include",$CJ272=0)),1,0)</f>
        <v/>
      </c>
      <c r="DF272" s="83">
        <f>$DE272*N($I272)</f>
        <v/>
      </c>
      <c r="DG272" s="78">
        <f>IF($DE272=1,IF(COUNTIFS($F$8:$F272,$F272,$DE$8:$DE272,1)=1,1,0),0)</f>
        <v/>
      </c>
      <c r="DH272" s="83">
        <f>IF($DG272=1,SUMIFS($DF$8:$DF$1600,$F$8:$F$1600,$F272),0)</f>
        <v/>
      </c>
      <c r="DI272" s="78">
        <f>IF($DG272=1,COUNTIFS($F$8:$F$1600,$F272,$DE$8:$DE$1600,1),0)</f>
        <v/>
      </c>
      <c r="DJ272" s="84">
        <f>IF($DG272=1,$DH272+(100000-ROW())/mTieBreak,0)</f>
        <v/>
      </c>
    </row>
    <row r="273">
      <c r="B273" s="68" t="n">
        <v>26</v>
      </c>
      <c r="C273" s="69" t="inlineStr">
        <is>
          <t>GS219G38</t>
        </is>
      </c>
      <c r="D273" s="69" t="inlineStr">
        <is>
          <t>26.000</t>
        </is>
      </c>
      <c r="E273" s="69" t="inlineStr">
        <is>
          <t>1933 North Meacham</t>
        </is>
      </c>
      <c r="F273" s="69" t="inlineStr">
        <is>
          <t>LNGS219G38-26.000</t>
        </is>
      </c>
      <c r="G273" s="70" t="n"/>
      <c r="H273" s="71" t="n">
        <v>9700000</v>
      </c>
      <c r="I273" s="71" t="n">
        <v>9321195.510003399</v>
      </c>
      <c r="J273" s="72" t="n">
        <v>4.994</v>
      </c>
      <c r="K273" s="69" t="inlineStr">
        <is>
          <t>Fixed rate</t>
        </is>
      </c>
      <c r="L273" s="68" t="n">
        <v>120</v>
      </c>
      <c r="M273" s="68" t="n">
        <v>28</v>
      </c>
      <c r="N273" s="68" t="n">
        <v>420</v>
      </c>
      <c r="O273" s="68" t="n">
        <v>60</v>
      </c>
      <c r="P273" s="68" t="n">
        <v>0</v>
      </c>
      <c r="Q273" s="68" t="n">
        <v>92</v>
      </c>
      <c r="R273" s="69" t="inlineStr">
        <is>
          <t>IO then Amort</t>
        </is>
      </c>
      <c r="S273" s="69" t="inlineStr">
        <is>
          <t>No</t>
        </is>
      </c>
      <c r="T273" s="73" t="n">
        <v>43466</v>
      </c>
      <c r="U273" s="73" t="n">
        <v>47124</v>
      </c>
      <c r="V273" s="73" t="n"/>
      <c r="W273" s="69" t="n"/>
      <c r="X273" s="69" t="inlineStr">
        <is>
          <t>Current</t>
        </is>
      </c>
      <c r="Y273" s="68" t="n"/>
      <c r="Z273" s="69" t="inlineStr">
        <is>
          <t>No Defeasance Occurred</t>
        </is>
      </c>
      <c r="AA273" s="69" t="inlineStr">
        <is>
          <t>Yes</t>
        </is>
      </c>
      <c r="AB273" s="69" t="inlineStr">
        <is>
          <t>Never special serv</t>
        </is>
      </c>
      <c r="AC273" s="73" t="n"/>
      <c r="AD273" s="69" t="n"/>
      <c r="AE273" s="69" t="n"/>
      <c r="AF273" s="69" t="inlineStr">
        <is>
          <t>IL</t>
        </is>
      </c>
      <c r="AG273" s="69" t="inlineStr">
        <is>
          <t>Schaumburg</t>
        </is>
      </c>
      <c r="AH273" s="69" t="inlineStr">
        <is>
          <t>Chicago-Naperville-Elgin, IL-IN</t>
        </is>
      </c>
      <c r="AI273" s="69" t="inlineStr">
        <is>
          <t>Midwest / Central East</t>
        </is>
      </c>
      <c r="AJ273" s="69" t="inlineStr">
        <is>
          <t>OF</t>
        </is>
      </c>
      <c r="AK273" s="69" t="inlineStr">
        <is>
          <t>Suburban</t>
        </is>
      </c>
      <c r="AL273" s="68" t="n">
        <v>1</v>
      </c>
      <c r="AM273" s="68" t="n"/>
      <c r="AN273" s="68" t="n">
        <v>142164</v>
      </c>
      <c r="AO273" s="69" t="inlineStr">
        <is>
          <t>1985</t>
        </is>
      </c>
      <c r="AP273" s="70" t="n">
        <v>2016</v>
      </c>
      <c r="AQ273" s="74" t="n">
        <v>1.69</v>
      </c>
      <c r="AR273" s="74" t="n">
        <v>1.12</v>
      </c>
      <c r="AS273" s="74" t="n">
        <v>66.90000000000001</v>
      </c>
      <c r="AT273" s="74" t="n">
        <v>64.28</v>
      </c>
      <c r="AU273" s="74" t="n">
        <v>61.7</v>
      </c>
      <c r="AV273" s="74" t="n">
        <v>10.862781134</v>
      </c>
      <c r="AW273" s="74" t="n">
        <v>7.007329042</v>
      </c>
      <c r="AX273" s="75" t="n">
        <v>90</v>
      </c>
      <c r="AY273" s="71" t="n">
        <v>14500000</v>
      </c>
      <c r="AZ273" s="71" t="n">
        <v>14500000</v>
      </c>
      <c r="BA273" s="71" t="n">
        <v>1053689.77</v>
      </c>
      <c r="BB273" s="71" t="n">
        <v>174888.12</v>
      </c>
      <c r="BC273" s="69" t="inlineStr">
        <is>
          <t>Refinance</t>
        </is>
      </c>
      <c r="BD273" s="69" t="inlineStr">
        <is>
          <t>N</t>
        </is>
      </c>
      <c r="BE273" s="71" t="n"/>
      <c r="BF273" s="71" t="n"/>
      <c r="BG273" s="71" t="n"/>
      <c r="BH273" s="71" t="n">
        <v>0</v>
      </c>
      <c r="BI273" s="71" t="n">
        <v>0</v>
      </c>
      <c r="BJ273" s="69" t="inlineStr">
        <is>
          <t>N</t>
        </is>
      </c>
      <c r="BK273" s="69" t="inlineStr">
        <is>
          <t>RTM Engineering Consultants  LLC</t>
        </is>
      </c>
      <c r="BL273" s="75" t="n">
        <v>10.87</v>
      </c>
      <c r="BM273" s="73" t="n">
        <v>48822</v>
      </c>
      <c r="BN273" s="69" t="inlineStr">
        <is>
          <t>Jason Fine, Richard Fine, David Tomlinson, Jason Litwack and Stephen L. Weaver</t>
        </is>
      </c>
      <c r="BO273" s="69" t="inlineStr">
        <is>
          <t>Goldman Sachs</t>
        </is>
      </c>
      <c r="BP273" s="69" t="inlineStr">
        <is>
          <t>TriMont Real Estate Advisors</t>
        </is>
      </c>
      <c r="BQ273" s="69" t="inlineStr">
        <is>
          <t>K-Star Asset Management LLC</t>
        </is>
      </c>
      <c r="BR273" s="69" t="n"/>
      <c r="BS273" s="73" t="n">
        <v>46273</v>
      </c>
      <c r="BU273" s="76">
        <f>IF($C273="","",IFERROR(INDEX(dmName,MATCH($C273,dmID,0)),"Unmapped"))</f>
        <v/>
      </c>
      <c r="BV273" s="76">
        <f>IF($C273="","",IFERROR(INDEX(dmEntity,MATCH($C273,dmID,0)),"Unmapped"))</f>
        <v/>
      </c>
      <c r="BW273" s="77">
        <f>IF($C273="","",IFERROR(INDEX(dmVintage,MATCH($C273,dmID,0)),""))</f>
        <v/>
      </c>
      <c r="BX273" s="78">
        <f>IFERROR(INDEX(dmInclude,MATCH($C273,dmID,0)),0)</f>
        <v/>
      </c>
      <c r="BY273" s="78">
        <f>IF(N($I273)&gt;0,1,0)</f>
        <v/>
      </c>
      <c r="BZ273" s="76">
        <f>IF($AJ273="","Other / Leased Fee",IFERROR(INDEX(mapPTGroup,MATCH(LEFT(TRIM($AJ273),2),mapPTCode,0)),"Other / Leased Fee"))</f>
        <v/>
      </c>
      <c r="CA273" s="76">
        <f>IF(TRIM($AF273&amp;"")="","NR",LEFT(TRIM($AF273),2))</f>
        <v/>
      </c>
      <c r="CB273" s="76">
        <f>IFERROR(LOOKUP(2,1/(LEFT(TRIM($AI273&amp;""),LEN(mapRegion))=mapRegion),mapRegion),"Not Reported")</f>
        <v/>
      </c>
      <c r="CC273" s="76">
        <f>IF($BY273=0,"",IF(TRIM($W273&amp;"")="REO","REO",IF(TRIM($W273&amp;"")="FC","Foreclosure",IF(TRIM($W273&amp;"")="90+","90+ Days Delinquent",IF(TRIM($W273&amp;"")="60","60 Days Delinquent",IF(TRIM($W273&amp;"")="30","30 Days Delinquent",IF($X273="Non-Performing Matured Balloon","Non-Performing Matured Balloon",IF(OR($X273="Late Payment But Less Than 30 Days Delinquent",LEFT($X273&amp;"",20)="Payment Not Received"),"Late / In Grace (&lt;30 Days)",IF($X273="Performing Matured Balloon","Performing Matured Balloon","Current")))))))))</f>
        <v/>
      </c>
      <c r="CD273" s="78">
        <f>IF(OR($CC273="REO",$CC273="Foreclosure",$CC273="90+ Days Delinquent",$CC273="60 Days Delinquent",$CC273="30 Days Delinquent",$CC273="Non-Performing Matured Balloon"),1,0)</f>
        <v/>
      </c>
      <c r="CE273" s="76">
        <f>IF($AB273="Currently special serv","Currently Specially Serviced",IF($AB273="Returned to master serv","Previously Specially Serviced","Never Specially Serviced"))</f>
        <v/>
      </c>
      <c r="CF273" s="78">
        <f>IF($CE273="Currently Specially Serviced",1,0)</f>
        <v/>
      </c>
      <c r="CG273" s="76">
        <f>IF($AA273="Yes","Currently on Watchlist",IF($AA273="Previously","Previously on Watchlist","Never on Watchlist"))</f>
        <v/>
      </c>
      <c r="CH273" s="78">
        <f>IF($CG273="Currently on Watchlist",1,0)</f>
        <v/>
      </c>
      <c r="CI273" s="76">
        <f>IF($Z273="Full Defeasance","Fully Defeased",IF($Z273="Portion Of Loan Previously Defeased","Partially Defeased",IF($Z273="Defeasance Not Allowable","Not Defeased (Not Permitted)","Not Defeased")))</f>
        <v/>
      </c>
      <c r="CJ273" s="78">
        <f>IF($CI273="Fully Defeased",1,0)</f>
        <v/>
      </c>
      <c r="CK273" s="76">
        <f>IF($R273="IO","Full IO",IF(LEFT($R273&amp;"",7)="IO then","Partial IO","Amortizing"))</f>
        <v/>
      </c>
      <c r="CL273" s="78">
        <f>IF($CK273="Full IO",1,0)</f>
        <v/>
      </c>
      <c r="CM273" s="78">
        <f>IF($CK273="Partial IO",1,0)</f>
        <v/>
      </c>
      <c r="CN273" s="76">
        <f>IF(LEFT($F273&amp;"",10)="SPLIT_LOAN","Pari Passu Split","Standalone")</f>
        <v/>
      </c>
      <c r="CO273" s="78">
        <f>IF($CN273="Pari Passu Split",1,0)</f>
        <v/>
      </c>
      <c r="CP273" s="77">
        <f>IF(ISNUMBER($T273),YEAR($T273),"")</f>
        <v/>
      </c>
      <c r="CQ273" s="79">
        <f>IF(ISNUMBER($V273),$V273,IF(ISNUMBER($U273),$U273,""))</f>
        <v/>
      </c>
      <c r="CR273" s="77">
        <f>IF(ISNUMBER($CQ273),YEAR($CQ273),"")</f>
        <v/>
      </c>
      <c r="CS273" s="78">
        <f>IF(ISNUMBER($M273),MAX(0,$M273),IF(TRIM($M273&amp;"")="matured",0,""))</f>
        <v/>
      </c>
      <c r="CT273" s="78">
        <f>IF(AND(ISNUMBER($CS273),N($CS273)&lt;=mMatWindow),1,0)</f>
        <v/>
      </c>
      <c r="CU273" s="80">
        <f>IF(ISNUMBER($J273),$J273/100,"")</f>
        <v/>
      </c>
      <c r="CV273" s="81">
        <f>IF(ISNUMBER($AQ273),$AQ273,"")</f>
        <v/>
      </c>
      <c r="CW273" s="81">
        <f>IF(ISNUMBER($AR273),$AR273,"")</f>
        <v/>
      </c>
      <c r="CX273" s="82">
        <f>IF(ISNUMBER($AS273),$AS273/100,"")</f>
        <v/>
      </c>
      <c r="CY273" s="82">
        <f>IF(ISNUMBER($AT273),$AT273/100,"")</f>
        <v/>
      </c>
      <c r="CZ273" s="82">
        <f>IF(ISNUMBER($AU273),$AU273/100,"")</f>
        <v/>
      </c>
      <c r="DA273" s="82">
        <f>IF(ISNUMBER($AV273),$AV273/100,"")</f>
        <v/>
      </c>
      <c r="DB273" s="82">
        <f>IF(ISNUMBER($AW273),$AW273/100,"")</f>
        <v/>
      </c>
      <c r="DC273" s="82">
        <f>IF(ISNUMBER($AX273),$AX273/100,"")</f>
        <v/>
      </c>
      <c r="DD273" s="77">
        <f>IFERROR(VALUE(LEFT(TRIM($AO273&amp;""),4)),"")</f>
        <v/>
      </c>
      <c r="DE273" s="78">
        <f>IF(AND($BY273=1,$BX273=1,OR(fDeal="All Deals",$BU273=fDeal),OR(fEntity="All Entities",$BV273=fEntity),OR(fPType="All Property Types",$BZ273=fPType),OR(fDefeased="Include",$CJ273=0)),1,0)</f>
        <v/>
      </c>
      <c r="DF273" s="83">
        <f>$DE273*N($I273)</f>
        <v/>
      </c>
      <c r="DG273" s="78">
        <f>IF($DE273=1,IF(COUNTIFS($F$8:$F273,$F273,$DE$8:$DE273,1)=1,1,0),0)</f>
        <v/>
      </c>
      <c r="DH273" s="83">
        <f>IF($DG273=1,SUMIFS($DF$8:$DF$1600,$F$8:$F$1600,$F273),0)</f>
        <v/>
      </c>
      <c r="DI273" s="78">
        <f>IF($DG273=1,COUNTIFS($F$8:$F$1600,$F273,$DE$8:$DE$1600,1),0)</f>
        <v/>
      </c>
      <c r="DJ273" s="84">
        <f>IF($DG273=1,$DH273+(100000-ROW())/mTieBreak,0)</f>
        <v/>
      </c>
    </row>
    <row r="274">
      <c r="B274" s="68" t="n">
        <v>27</v>
      </c>
      <c r="C274" s="69" t="inlineStr">
        <is>
          <t>GS219G38</t>
        </is>
      </c>
      <c r="D274" s="69" t="inlineStr">
        <is>
          <t>27.000</t>
        </is>
      </c>
      <c r="E274" s="69" t="inlineStr">
        <is>
          <t>Craig Promenade</t>
        </is>
      </c>
      <c r="F274" s="69" t="inlineStr">
        <is>
          <t>LNGS219G38-27.000</t>
        </is>
      </c>
      <c r="G274" s="70" t="n"/>
      <c r="H274" s="71" t="n">
        <v>9675000</v>
      </c>
      <c r="I274" s="71" t="n">
        <v>8496470.559997801</v>
      </c>
      <c r="J274" s="72" t="n">
        <v>5.3</v>
      </c>
      <c r="K274" s="69" t="inlineStr">
        <is>
          <t>Fixed rate</t>
        </is>
      </c>
      <c r="L274" s="68" t="n">
        <v>120</v>
      </c>
      <c r="M274" s="68" t="n">
        <v>28</v>
      </c>
      <c r="N274" s="68" t="n">
        <v>360</v>
      </c>
      <c r="O274" s="68" t="n"/>
      <c r="P274" s="68" t="n"/>
      <c r="Q274" s="68" t="n">
        <v>92</v>
      </c>
      <c r="R274" s="69" t="n"/>
      <c r="S274" s="69" t="inlineStr">
        <is>
          <t>No</t>
        </is>
      </c>
      <c r="T274" s="73" t="n">
        <v>43466</v>
      </c>
      <c r="U274" s="73" t="n">
        <v>47124</v>
      </c>
      <c r="V274" s="73" t="n"/>
      <c r="W274" s="69" t="n"/>
      <c r="X274" s="69" t="inlineStr">
        <is>
          <t>Current</t>
        </is>
      </c>
      <c r="Y274" s="68" t="n"/>
      <c r="Z274" s="69" t="inlineStr">
        <is>
          <t>No Defeasance Occurred</t>
        </is>
      </c>
      <c r="AA274" s="69" t="inlineStr">
        <is>
          <t>Previously</t>
        </is>
      </c>
      <c r="AB274" s="69" t="inlineStr">
        <is>
          <t>Never special serv</t>
        </is>
      </c>
      <c r="AC274" s="73" t="n"/>
      <c r="AD274" s="69" t="n"/>
      <c r="AE274" s="69" t="n"/>
      <c r="AF274" s="69" t="inlineStr">
        <is>
          <t>NV</t>
        </is>
      </c>
      <c r="AG274" s="69" t="inlineStr">
        <is>
          <t>North Las Vegas</t>
        </is>
      </c>
      <c r="AH274" s="69" t="inlineStr">
        <is>
          <t>Las Vegas-Henderson-North Las Vegas, NV</t>
        </is>
      </c>
      <c r="AI274" s="69" t="inlineStr">
        <is>
          <t>West / Mountain</t>
        </is>
      </c>
      <c r="AJ274" s="69" t="inlineStr">
        <is>
          <t>RT</t>
        </is>
      </c>
      <c r="AK274" s="69" t="inlineStr">
        <is>
          <t>Anchored</t>
        </is>
      </c>
      <c r="AL274" s="68" t="n">
        <v>1</v>
      </c>
      <c r="AM274" s="68" t="n"/>
      <c r="AN274" s="68" t="n">
        <v>81057</v>
      </c>
      <c r="AO274" s="69" t="inlineStr">
        <is>
          <t>2005</t>
        </is>
      </c>
      <c r="AP274" s="70" t="n">
        <v>2005</v>
      </c>
      <c r="AQ274" s="74" t="n">
        <v>1.47</v>
      </c>
      <c r="AR274" s="74" t="n">
        <v>2.16</v>
      </c>
      <c r="AS274" s="74" t="n">
        <v>74.3</v>
      </c>
      <c r="AT274" s="74" t="n">
        <v>65.36</v>
      </c>
      <c r="AU274" s="74" t="n">
        <v>61.8</v>
      </c>
      <c r="AV274" s="74" t="n">
        <v>9.801377468</v>
      </c>
      <c r="AW274" s="74" t="n">
        <v>15.794357087</v>
      </c>
      <c r="AX274" s="75" t="n">
        <v>100</v>
      </c>
      <c r="AY274" s="71" t="n">
        <v>13000000</v>
      </c>
      <c r="AZ274" s="71" t="n">
        <v>13000000</v>
      </c>
      <c r="BA274" s="71" t="n">
        <v>948283.27</v>
      </c>
      <c r="BB274" s="71" t="n">
        <v>695708.87</v>
      </c>
      <c r="BC274" s="69" t="inlineStr">
        <is>
          <t>Acquisition</t>
        </is>
      </c>
      <c r="BD274" s="69" t="inlineStr">
        <is>
          <t>N</t>
        </is>
      </c>
      <c r="BE274" s="71" t="n"/>
      <c r="BF274" s="71" t="n"/>
      <c r="BG274" s="71" t="n"/>
      <c r="BH274" s="71" t="n">
        <v>0</v>
      </c>
      <c r="BI274" s="71" t="n">
        <v>0</v>
      </c>
      <c r="BJ274" s="69" t="inlineStr">
        <is>
          <t>N</t>
        </is>
      </c>
      <c r="BK274" s="69" t="inlineStr">
        <is>
          <t>Goody's</t>
        </is>
      </c>
      <c r="BL274" s="75" t="n">
        <v>18.7</v>
      </c>
      <c r="BM274" s="73" t="n">
        <v>49217</v>
      </c>
      <c r="BN274" s="69" t="inlineStr">
        <is>
          <t>Leon Victor Whitmore III, Joel Ryan Thompson, Rebecca M. Thompson and Lori M. Whitmore</t>
        </is>
      </c>
      <c r="BO274" s="69" t="inlineStr">
        <is>
          <t>Goldman Sachs</t>
        </is>
      </c>
      <c r="BP274" s="69" t="inlineStr">
        <is>
          <t>TriMont Real Estate Advisors</t>
        </is>
      </c>
      <c r="BQ274" s="69" t="inlineStr">
        <is>
          <t>K-Star Asset Management LLC</t>
        </is>
      </c>
      <c r="BR274" s="69" t="n"/>
      <c r="BS274" s="73" t="n">
        <v>46273</v>
      </c>
      <c r="BU274" s="76">
        <f>IF($C274="","",IFERROR(INDEX(dmName,MATCH($C274,dmID,0)),"Unmapped"))</f>
        <v/>
      </c>
      <c r="BV274" s="76">
        <f>IF($C274="","",IFERROR(INDEX(dmEntity,MATCH($C274,dmID,0)),"Unmapped"))</f>
        <v/>
      </c>
      <c r="BW274" s="77">
        <f>IF($C274="","",IFERROR(INDEX(dmVintage,MATCH($C274,dmID,0)),""))</f>
        <v/>
      </c>
      <c r="BX274" s="78">
        <f>IFERROR(INDEX(dmInclude,MATCH($C274,dmID,0)),0)</f>
        <v/>
      </c>
      <c r="BY274" s="78">
        <f>IF(N($I274)&gt;0,1,0)</f>
        <v/>
      </c>
      <c r="BZ274" s="76">
        <f>IF($AJ274="","Other / Leased Fee",IFERROR(INDEX(mapPTGroup,MATCH(LEFT(TRIM($AJ274),2),mapPTCode,0)),"Other / Leased Fee"))</f>
        <v/>
      </c>
      <c r="CA274" s="76">
        <f>IF(TRIM($AF274&amp;"")="","NR",LEFT(TRIM($AF274),2))</f>
        <v/>
      </c>
      <c r="CB274" s="76">
        <f>IFERROR(LOOKUP(2,1/(LEFT(TRIM($AI274&amp;""),LEN(mapRegion))=mapRegion),mapRegion),"Not Reported")</f>
        <v/>
      </c>
      <c r="CC274" s="76">
        <f>IF($BY274=0,"",IF(TRIM($W274&amp;"")="REO","REO",IF(TRIM($W274&amp;"")="FC","Foreclosure",IF(TRIM($W274&amp;"")="90+","90+ Days Delinquent",IF(TRIM($W274&amp;"")="60","60 Days Delinquent",IF(TRIM($W274&amp;"")="30","30 Days Delinquent",IF($X274="Non-Performing Matured Balloon","Non-Performing Matured Balloon",IF(OR($X274="Late Payment But Less Than 30 Days Delinquent",LEFT($X274&amp;"",20)="Payment Not Received"),"Late / In Grace (&lt;30 Days)",IF($X274="Performing Matured Balloon","Performing Matured Balloon","Current")))))))))</f>
        <v/>
      </c>
      <c r="CD274" s="78">
        <f>IF(OR($CC274="REO",$CC274="Foreclosure",$CC274="90+ Days Delinquent",$CC274="60 Days Delinquent",$CC274="30 Days Delinquent",$CC274="Non-Performing Matured Balloon"),1,0)</f>
        <v/>
      </c>
      <c r="CE274" s="76">
        <f>IF($AB274="Currently special serv","Currently Specially Serviced",IF($AB274="Returned to master serv","Previously Specially Serviced","Never Specially Serviced"))</f>
        <v/>
      </c>
      <c r="CF274" s="78">
        <f>IF($CE274="Currently Specially Serviced",1,0)</f>
        <v/>
      </c>
      <c r="CG274" s="76">
        <f>IF($AA274="Yes","Currently on Watchlist",IF($AA274="Previously","Previously on Watchlist","Never on Watchlist"))</f>
        <v/>
      </c>
      <c r="CH274" s="78">
        <f>IF($CG274="Currently on Watchlist",1,0)</f>
        <v/>
      </c>
      <c r="CI274" s="76">
        <f>IF($Z274="Full Defeasance","Fully Defeased",IF($Z274="Portion Of Loan Previously Defeased","Partially Defeased",IF($Z274="Defeasance Not Allowable","Not Defeased (Not Permitted)","Not Defeased")))</f>
        <v/>
      </c>
      <c r="CJ274" s="78">
        <f>IF($CI274="Fully Defeased",1,0)</f>
        <v/>
      </c>
      <c r="CK274" s="76">
        <f>IF($R274="IO","Full IO",IF(LEFT($R274&amp;"",7)="IO then","Partial IO","Amortizing"))</f>
        <v/>
      </c>
      <c r="CL274" s="78">
        <f>IF($CK274="Full IO",1,0)</f>
        <v/>
      </c>
      <c r="CM274" s="78">
        <f>IF($CK274="Partial IO",1,0)</f>
        <v/>
      </c>
      <c r="CN274" s="76">
        <f>IF(LEFT($F274&amp;"",10)="SPLIT_LOAN","Pari Passu Split","Standalone")</f>
        <v/>
      </c>
      <c r="CO274" s="78">
        <f>IF($CN274="Pari Passu Split",1,0)</f>
        <v/>
      </c>
      <c r="CP274" s="77">
        <f>IF(ISNUMBER($T274),YEAR($T274),"")</f>
        <v/>
      </c>
      <c r="CQ274" s="79">
        <f>IF(ISNUMBER($V274),$V274,IF(ISNUMBER($U274),$U274,""))</f>
        <v/>
      </c>
      <c r="CR274" s="77">
        <f>IF(ISNUMBER($CQ274),YEAR($CQ274),"")</f>
        <v/>
      </c>
      <c r="CS274" s="78">
        <f>IF(ISNUMBER($M274),MAX(0,$M274),IF(TRIM($M274&amp;"")="matured",0,""))</f>
        <v/>
      </c>
      <c r="CT274" s="78">
        <f>IF(AND(ISNUMBER($CS274),N($CS274)&lt;=mMatWindow),1,0)</f>
        <v/>
      </c>
      <c r="CU274" s="80">
        <f>IF(ISNUMBER($J274),$J274/100,"")</f>
        <v/>
      </c>
      <c r="CV274" s="81">
        <f>IF(ISNUMBER($AQ274),$AQ274,"")</f>
        <v/>
      </c>
      <c r="CW274" s="81">
        <f>IF(ISNUMBER($AR274),$AR274,"")</f>
        <v/>
      </c>
      <c r="CX274" s="82">
        <f>IF(ISNUMBER($AS274),$AS274/100,"")</f>
        <v/>
      </c>
      <c r="CY274" s="82">
        <f>IF(ISNUMBER($AT274),$AT274/100,"")</f>
        <v/>
      </c>
      <c r="CZ274" s="82">
        <f>IF(ISNUMBER($AU274),$AU274/100,"")</f>
        <v/>
      </c>
      <c r="DA274" s="82">
        <f>IF(ISNUMBER($AV274),$AV274/100,"")</f>
        <v/>
      </c>
      <c r="DB274" s="82">
        <f>IF(ISNUMBER($AW274),$AW274/100,"")</f>
        <v/>
      </c>
      <c r="DC274" s="82">
        <f>IF(ISNUMBER($AX274),$AX274/100,"")</f>
        <v/>
      </c>
      <c r="DD274" s="77">
        <f>IFERROR(VALUE(LEFT(TRIM($AO274&amp;""),4)),"")</f>
        <v/>
      </c>
      <c r="DE274" s="78">
        <f>IF(AND($BY274=1,$BX274=1,OR(fDeal="All Deals",$BU274=fDeal),OR(fEntity="All Entities",$BV274=fEntity),OR(fPType="All Property Types",$BZ274=fPType),OR(fDefeased="Include",$CJ274=0)),1,0)</f>
        <v/>
      </c>
      <c r="DF274" s="83">
        <f>$DE274*N($I274)</f>
        <v/>
      </c>
      <c r="DG274" s="78">
        <f>IF($DE274=1,IF(COUNTIFS($F$8:$F274,$F274,$DE$8:$DE274,1)=1,1,0),0)</f>
        <v/>
      </c>
      <c r="DH274" s="83">
        <f>IF($DG274=1,SUMIFS($DF$8:$DF$1600,$F$8:$F$1600,$F274),0)</f>
        <v/>
      </c>
      <c r="DI274" s="78">
        <f>IF($DG274=1,COUNTIFS($F$8:$F$1600,$F274,$DE$8:$DE$1600,1),0)</f>
        <v/>
      </c>
      <c r="DJ274" s="84">
        <f>IF($DG274=1,$DH274+(100000-ROW())/mTieBreak,0)</f>
        <v/>
      </c>
    </row>
    <row r="275">
      <c r="B275" s="68" t="n">
        <v>28</v>
      </c>
      <c r="C275" s="69" t="inlineStr">
        <is>
          <t>GS219G38</t>
        </is>
      </c>
      <c r="D275" s="69" t="inlineStr">
        <is>
          <t>28.000</t>
        </is>
      </c>
      <c r="E275" s="69" t="inlineStr">
        <is>
          <t>Essex Crossing Site 6</t>
        </is>
      </c>
      <c r="F275" s="69" t="inlineStr">
        <is>
          <t>LNGS219G38-28.000</t>
        </is>
      </c>
      <c r="G275" s="70" t="n"/>
      <c r="H275" s="71" t="n">
        <v>8750000</v>
      </c>
      <c r="I275" s="71" t="n">
        <v>8750000</v>
      </c>
      <c r="J275" s="72" t="n">
        <v>5.5</v>
      </c>
      <c r="K275" s="69" t="inlineStr">
        <is>
          <t>Fixed rate</t>
        </is>
      </c>
      <c r="L275" s="68" t="n">
        <v>120</v>
      </c>
      <c r="M275" s="68" t="n">
        <v>28</v>
      </c>
      <c r="N275" s="68" t="n">
        <v>120</v>
      </c>
      <c r="O275" s="68" t="n">
        <v>120</v>
      </c>
      <c r="P275" s="68" t="n">
        <v>28</v>
      </c>
      <c r="Q275" s="68" t="n">
        <v>92</v>
      </c>
      <c r="R275" s="69" t="inlineStr">
        <is>
          <t>IO</t>
        </is>
      </c>
      <c r="S275" s="69" t="inlineStr">
        <is>
          <t>Yes</t>
        </is>
      </c>
      <c r="T275" s="73" t="n">
        <v>43466</v>
      </c>
      <c r="U275" s="73" t="n">
        <v>47124</v>
      </c>
      <c r="V275" s="73" t="n"/>
      <c r="W275" s="69" t="n"/>
      <c r="X275" s="69" t="inlineStr">
        <is>
          <t>Current</t>
        </is>
      </c>
      <c r="Y275" s="68" t="n"/>
      <c r="Z275" s="69" t="inlineStr">
        <is>
          <t>No Defeasance Occurred</t>
        </is>
      </c>
      <c r="AA275" s="69" t="inlineStr">
        <is>
          <t>Previously</t>
        </is>
      </c>
      <c r="AB275" s="69" t="inlineStr">
        <is>
          <t>Never special serv</t>
        </is>
      </c>
      <c r="AC275" s="73" t="n"/>
      <c r="AD275" s="69" t="n"/>
      <c r="AE275" s="69" t="n"/>
      <c r="AF275" s="69" t="inlineStr">
        <is>
          <t>NY</t>
        </is>
      </c>
      <c r="AG275" s="69" t="inlineStr">
        <is>
          <t>New York</t>
        </is>
      </c>
      <c r="AH275" s="69" t="inlineStr">
        <is>
          <t>New York-Newark-Jersey City, NY-NJ</t>
        </is>
      </c>
      <c r="AI275" s="69" t="inlineStr">
        <is>
          <t>Northeast / Mid-Atlantic</t>
        </is>
      </c>
      <c r="AJ275" s="69" t="inlineStr">
        <is>
          <t>OF</t>
        </is>
      </c>
      <c r="AK275" s="69" t="inlineStr">
        <is>
          <t>CBD</t>
        </is>
      </c>
      <c r="AL275" s="68" t="n">
        <v>1</v>
      </c>
      <c r="AM275" s="68" t="n"/>
      <c r="AN275" s="68" t="n">
        <v>28630</v>
      </c>
      <c r="AO275" s="69" t="inlineStr">
        <is>
          <t>2017</t>
        </is>
      </c>
      <c r="AP275" s="70" t="n">
        <v>2017</v>
      </c>
      <c r="AQ275" s="74" t="n">
        <v>1.79</v>
      </c>
      <c r="AR275" s="74" t="n">
        <v>2.07</v>
      </c>
      <c r="AS275" s="74" t="n">
        <v>50.6</v>
      </c>
      <c r="AT275" s="74" t="n">
        <v>50.58</v>
      </c>
      <c r="AU275" s="74" t="n">
        <v>50.6</v>
      </c>
      <c r="AV275" s="74" t="n">
        <v>9.993614514000001</v>
      </c>
      <c r="AW275" s="74" t="n">
        <v>11.566559657</v>
      </c>
      <c r="AX275" s="75" t="n">
        <v>100</v>
      </c>
      <c r="AY275" s="71" t="n">
        <v>17300000</v>
      </c>
      <c r="AZ275" s="71" t="n">
        <v>17300000</v>
      </c>
      <c r="BA275" s="71" t="n">
        <v>874441.27</v>
      </c>
      <c r="BB275" s="71" t="n">
        <v>1012073.97</v>
      </c>
      <c r="BC275" s="69" t="inlineStr">
        <is>
          <t>Refinance</t>
        </is>
      </c>
      <c r="BD275" s="69" t="inlineStr">
        <is>
          <t>N</t>
        </is>
      </c>
      <c r="BE275" s="71" t="n"/>
      <c r="BF275" s="71" t="n"/>
      <c r="BG275" s="71" t="n"/>
      <c r="BH275" s="71" t="n">
        <v>0</v>
      </c>
      <c r="BI275" s="71" t="n">
        <v>0</v>
      </c>
      <c r="BJ275" s="69" t="inlineStr">
        <is>
          <t>N</t>
        </is>
      </c>
      <c r="BK275" s="69" t="inlineStr">
        <is>
          <t>Henry Street Settlement</t>
        </is>
      </c>
      <c r="BL275" s="75" t="n">
        <v>31.58</v>
      </c>
      <c r="BM275" s="73" t="n">
        <v>47483</v>
      </c>
      <c r="BN275" s="69" t="inlineStr">
        <is>
          <t>DSA Phase 1 Holdings LLC</t>
        </is>
      </c>
      <c r="BO275" s="69" t="inlineStr">
        <is>
          <t>Goldman Sachs</t>
        </is>
      </c>
      <c r="BP275" s="69" t="inlineStr">
        <is>
          <t>TriMont Real Estate Advisors</t>
        </is>
      </c>
      <c r="BQ275" s="69" t="inlineStr">
        <is>
          <t>K-Star Asset Management LLC</t>
        </is>
      </c>
      <c r="BR275" s="69" t="n"/>
      <c r="BS275" s="73" t="n">
        <v>46273</v>
      </c>
      <c r="BU275" s="76">
        <f>IF($C275="","",IFERROR(INDEX(dmName,MATCH($C275,dmID,0)),"Unmapped"))</f>
        <v/>
      </c>
      <c r="BV275" s="76">
        <f>IF($C275="","",IFERROR(INDEX(dmEntity,MATCH($C275,dmID,0)),"Unmapped"))</f>
        <v/>
      </c>
      <c r="BW275" s="77">
        <f>IF($C275="","",IFERROR(INDEX(dmVintage,MATCH($C275,dmID,0)),""))</f>
        <v/>
      </c>
      <c r="BX275" s="78">
        <f>IFERROR(INDEX(dmInclude,MATCH($C275,dmID,0)),0)</f>
        <v/>
      </c>
      <c r="BY275" s="78">
        <f>IF(N($I275)&gt;0,1,0)</f>
        <v/>
      </c>
      <c r="BZ275" s="76">
        <f>IF($AJ275="","Other / Leased Fee",IFERROR(INDEX(mapPTGroup,MATCH(LEFT(TRIM($AJ275),2),mapPTCode,0)),"Other / Leased Fee"))</f>
        <v/>
      </c>
      <c r="CA275" s="76">
        <f>IF(TRIM($AF275&amp;"")="","NR",LEFT(TRIM($AF275),2))</f>
        <v/>
      </c>
      <c r="CB275" s="76">
        <f>IFERROR(LOOKUP(2,1/(LEFT(TRIM($AI275&amp;""),LEN(mapRegion))=mapRegion),mapRegion),"Not Reported")</f>
        <v/>
      </c>
      <c r="CC275" s="76">
        <f>IF($BY275=0,"",IF(TRIM($W275&amp;"")="REO","REO",IF(TRIM($W275&amp;"")="FC","Foreclosure",IF(TRIM($W275&amp;"")="90+","90+ Days Delinquent",IF(TRIM($W275&amp;"")="60","60 Days Delinquent",IF(TRIM($W275&amp;"")="30","30 Days Delinquent",IF($X275="Non-Performing Matured Balloon","Non-Performing Matured Balloon",IF(OR($X275="Late Payment But Less Than 30 Days Delinquent",LEFT($X275&amp;"",20)="Payment Not Received"),"Late / In Grace (&lt;30 Days)",IF($X275="Performing Matured Balloon","Performing Matured Balloon","Current")))))))))</f>
        <v/>
      </c>
      <c r="CD275" s="78">
        <f>IF(OR($CC275="REO",$CC275="Foreclosure",$CC275="90+ Days Delinquent",$CC275="60 Days Delinquent",$CC275="30 Days Delinquent",$CC275="Non-Performing Matured Balloon"),1,0)</f>
        <v/>
      </c>
      <c r="CE275" s="76">
        <f>IF($AB275="Currently special serv","Currently Specially Serviced",IF($AB275="Returned to master serv","Previously Specially Serviced","Never Specially Serviced"))</f>
        <v/>
      </c>
      <c r="CF275" s="78">
        <f>IF($CE275="Currently Specially Serviced",1,0)</f>
        <v/>
      </c>
      <c r="CG275" s="76">
        <f>IF($AA275="Yes","Currently on Watchlist",IF($AA275="Previously","Previously on Watchlist","Never on Watchlist"))</f>
        <v/>
      </c>
      <c r="CH275" s="78">
        <f>IF($CG275="Currently on Watchlist",1,0)</f>
        <v/>
      </c>
      <c r="CI275" s="76">
        <f>IF($Z275="Full Defeasance","Fully Defeased",IF($Z275="Portion Of Loan Previously Defeased","Partially Defeased",IF($Z275="Defeasance Not Allowable","Not Defeased (Not Permitted)","Not Defeased")))</f>
        <v/>
      </c>
      <c r="CJ275" s="78">
        <f>IF($CI275="Fully Defeased",1,0)</f>
        <v/>
      </c>
      <c r="CK275" s="76">
        <f>IF($R275="IO","Full IO",IF(LEFT($R275&amp;"",7)="IO then","Partial IO","Amortizing"))</f>
        <v/>
      </c>
      <c r="CL275" s="78">
        <f>IF($CK275="Full IO",1,0)</f>
        <v/>
      </c>
      <c r="CM275" s="78">
        <f>IF($CK275="Partial IO",1,0)</f>
        <v/>
      </c>
      <c r="CN275" s="76">
        <f>IF(LEFT($F275&amp;"",10)="SPLIT_LOAN","Pari Passu Split","Standalone")</f>
        <v/>
      </c>
      <c r="CO275" s="78">
        <f>IF($CN275="Pari Passu Split",1,0)</f>
        <v/>
      </c>
      <c r="CP275" s="77">
        <f>IF(ISNUMBER($T275),YEAR($T275),"")</f>
        <v/>
      </c>
      <c r="CQ275" s="79">
        <f>IF(ISNUMBER($V275),$V275,IF(ISNUMBER($U275),$U275,""))</f>
        <v/>
      </c>
      <c r="CR275" s="77">
        <f>IF(ISNUMBER($CQ275),YEAR($CQ275),"")</f>
        <v/>
      </c>
      <c r="CS275" s="78">
        <f>IF(ISNUMBER($M275),MAX(0,$M275),IF(TRIM($M275&amp;"")="matured",0,""))</f>
        <v/>
      </c>
      <c r="CT275" s="78">
        <f>IF(AND(ISNUMBER($CS275),N($CS275)&lt;=mMatWindow),1,0)</f>
        <v/>
      </c>
      <c r="CU275" s="80">
        <f>IF(ISNUMBER($J275),$J275/100,"")</f>
        <v/>
      </c>
      <c r="CV275" s="81">
        <f>IF(ISNUMBER($AQ275),$AQ275,"")</f>
        <v/>
      </c>
      <c r="CW275" s="81">
        <f>IF(ISNUMBER($AR275),$AR275,"")</f>
        <v/>
      </c>
      <c r="CX275" s="82">
        <f>IF(ISNUMBER($AS275),$AS275/100,"")</f>
        <v/>
      </c>
      <c r="CY275" s="82">
        <f>IF(ISNUMBER($AT275),$AT275/100,"")</f>
        <v/>
      </c>
      <c r="CZ275" s="82">
        <f>IF(ISNUMBER($AU275),$AU275/100,"")</f>
        <v/>
      </c>
      <c r="DA275" s="82">
        <f>IF(ISNUMBER($AV275),$AV275/100,"")</f>
        <v/>
      </c>
      <c r="DB275" s="82">
        <f>IF(ISNUMBER($AW275),$AW275/100,"")</f>
        <v/>
      </c>
      <c r="DC275" s="82">
        <f>IF(ISNUMBER($AX275),$AX275/100,"")</f>
        <v/>
      </c>
      <c r="DD275" s="77">
        <f>IFERROR(VALUE(LEFT(TRIM($AO275&amp;""),4)),"")</f>
        <v/>
      </c>
      <c r="DE275" s="78">
        <f>IF(AND($BY275=1,$BX275=1,OR(fDeal="All Deals",$BU275=fDeal),OR(fEntity="All Entities",$BV275=fEntity),OR(fPType="All Property Types",$BZ275=fPType),OR(fDefeased="Include",$CJ275=0)),1,0)</f>
        <v/>
      </c>
      <c r="DF275" s="83">
        <f>$DE275*N($I275)</f>
        <v/>
      </c>
      <c r="DG275" s="78">
        <f>IF($DE275=1,IF(COUNTIFS($F$8:$F275,$F275,$DE$8:$DE275,1)=1,1,0),0)</f>
        <v/>
      </c>
      <c r="DH275" s="83">
        <f>IF($DG275=1,SUMIFS($DF$8:$DF$1600,$F$8:$F$1600,$F275),0)</f>
        <v/>
      </c>
      <c r="DI275" s="78">
        <f>IF($DG275=1,COUNTIFS($F$8:$F$1600,$F275,$DE$8:$DE$1600,1),0)</f>
        <v/>
      </c>
      <c r="DJ275" s="84">
        <f>IF($DG275=1,$DH275+(100000-ROW())/mTieBreak,0)</f>
        <v/>
      </c>
    </row>
    <row r="276">
      <c r="B276" s="68" t="n">
        <v>29</v>
      </c>
      <c r="C276" s="69" t="inlineStr">
        <is>
          <t>GS219G38</t>
        </is>
      </c>
      <c r="D276" s="69" t="inlineStr">
        <is>
          <t>29.000</t>
        </is>
      </c>
      <c r="E276" s="69" t="inlineStr">
        <is>
          <t>Church Ranch II</t>
        </is>
      </c>
      <c r="F276" s="69" t="inlineStr">
        <is>
          <t>LNGS219G38-29.000</t>
        </is>
      </c>
      <c r="G276" s="70" t="n"/>
      <c r="H276" s="71" t="n">
        <v>8125000</v>
      </c>
      <c r="I276" s="71" t="n">
        <v>7141587.599997501</v>
      </c>
      <c r="J276" s="72" t="n">
        <v>5.41</v>
      </c>
      <c r="K276" s="69" t="inlineStr">
        <is>
          <t>Fixed rate</t>
        </is>
      </c>
      <c r="L276" s="68" t="n">
        <v>120</v>
      </c>
      <c r="M276" s="68" t="n">
        <v>27</v>
      </c>
      <c r="N276" s="68" t="n">
        <v>360</v>
      </c>
      <c r="O276" s="68" t="n"/>
      <c r="P276" s="68" t="n"/>
      <c r="Q276" s="68" t="n">
        <v>93</v>
      </c>
      <c r="R276" s="69" t="n"/>
      <c r="S276" s="69" t="inlineStr">
        <is>
          <t>No</t>
        </is>
      </c>
      <c r="T276" s="73" t="n">
        <v>43435</v>
      </c>
      <c r="U276" s="73" t="n">
        <v>47093</v>
      </c>
      <c r="V276" s="73" t="n"/>
      <c r="W276" s="69" t="n"/>
      <c r="X276" s="69" t="inlineStr">
        <is>
          <t>Current</t>
        </is>
      </c>
      <c r="Y276" s="68" t="n"/>
      <c r="Z276" s="69" t="inlineStr">
        <is>
          <t>No Defeasance Occurred</t>
        </is>
      </c>
      <c r="AA276" s="69" t="inlineStr">
        <is>
          <t>Yes</t>
        </is>
      </c>
      <c r="AB276" s="69" t="inlineStr">
        <is>
          <t>Never special serv</t>
        </is>
      </c>
      <c r="AC276" s="73" t="n"/>
      <c r="AD276" s="69" t="n"/>
      <c r="AE276" s="69" t="n"/>
      <c r="AF276" s="69" t="inlineStr">
        <is>
          <t>CO</t>
        </is>
      </c>
      <c r="AG276" s="69" t="inlineStr">
        <is>
          <t>Westminster</t>
        </is>
      </c>
      <c r="AH276" s="69" t="inlineStr">
        <is>
          <t>Denver-Aurora-Centennial, CO</t>
        </is>
      </c>
      <c r="AI276" s="69" t="inlineStr">
        <is>
          <t>West / Mountain</t>
        </is>
      </c>
      <c r="AJ276" s="69" t="inlineStr">
        <is>
          <t>OF</t>
        </is>
      </c>
      <c r="AK276" s="69" t="inlineStr">
        <is>
          <t>Suburban</t>
        </is>
      </c>
      <c r="AL276" s="68" t="n">
        <v>1</v>
      </c>
      <c r="AM276" s="68" t="n"/>
      <c r="AN276" s="68" t="n">
        <v>63057</v>
      </c>
      <c r="AO276" s="69" t="inlineStr">
        <is>
          <t>2000</t>
        </is>
      </c>
      <c r="AP276" s="70" t="n">
        <v>2017</v>
      </c>
      <c r="AQ276" s="74" t="n">
        <v>1.3</v>
      </c>
      <c r="AR276" s="74" t="n">
        <v>1.39</v>
      </c>
      <c r="AS276" s="74" t="n">
        <v>64.09999999999999</v>
      </c>
      <c r="AT276" s="74" t="n">
        <v>56.46</v>
      </c>
      <c r="AU276" s="74" t="n">
        <v>53.5</v>
      </c>
      <c r="AV276" s="74" t="n">
        <v>8.783913723</v>
      </c>
      <c r="AW276" s="74" t="n">
        <v>14.379734136</v>
      </c>
      <c r="AX276" s="75" t="n">
        <v>72</v>
      </c>
      <c r="AY276" s="71" t="n">
        <v>12650000</v>
      </c>
      <c r="AZ276" s="71" t="n">
        <v>12650000</v>
      </c>
      <c r="BA276" s="71" t="n">
        <v>713692.99</v>
      </c>
      <c r="BB276" s="71" t="n">
        <v>190447.27</v>
      </c>
      <c r="BC276" s="69" t="inlineStr">
        <is>
          <t>Acquisition</t>
        </is>
      </c>
      <c r="BD276" s="69" t="inlineStr">
        <is>
          <t>N</t>
        </is>
      </c>
      <c r="BE276" s="71" t="n"/>
      <c r="BF276" s="71" t="n"/>
      <c r="BG276" s="71" t="n"/>
      <c r="BH276" s="71" t="n">
        <v>0</v>
      </c>
      <c r="BI276" s="71" t="n">
        <v>0</v>
      </c>
      <c r="BJ276" s="69" t="inlineStr">
        <is>
          <t>N</t>
        </is>
      </c>
      <c r="BK276" s="69" t="inlineStr">
        <is>
          <t>Xclusive Staffing</t>
        </is>
      </c>
      <c r="BL276" s="75" t="n">
        <v>26.68</v>
      </c>
      <c r="BM276" s="73" t="n">
        <v>46255</v>
      </c>
      <c r="BN276" s="69" t="inlineStr">
        <is>
          <t>Jerry J. Tepper, Nan Thorne Fogel, Jonathan O. Thorne and Betty J. Gale</t>
        </is>
      </c>
      <c r="BO276" s="69" t="inlineStr">
        <is>
          <t>Goldman Sachs</t>
        </is>
      </c>
      <c r="BP276" s="69" t="inlineStr">
        <is>
          <t>TriMont Real Estate Advisors</t>
        </is>
      </c>
      <c r="BQ276" s="69" t="inlineStr">
        <is>
          <t>K-Star Asset Management LLC</t>
        </is>
      </c>
      <c r="BR276" s="69" t="n"/>
      <c r="BS276" s="73" t="n">
        <v>46273</v>
      </c>
      <c r="BU276" s="76">
        <f>IF($C276="","",IFERROR(INDEX(dmName,MATCH($C276,dmID,0)),"Unmapped"))</f>
        <v/>
      </c>
      <c r="BV276" s="76">
        <f>IF($C276="","",IFERROR(INDEX(dmEntity,MATCH($C276,dmID,0)),"Unmapped"))</f>
        <v/>
      </c>
      <c r="BW276" s="77">
        <f>IF($C276="","",IFERROR(INDEX(dmVintage,MATCH($C276,dmID,0)),""))</f>
        <v/>
      </c>
      <c r="BX276" s="78">
        <f>IFERROR(INDEX(dmInclude,MATCH($C276,dmID,0)),0)</f>
        <v/>
      </c>
      <c r="BY276" s="78">
        <f>IF(N($I276)&gt;0,1,0)</f>
        <v/>
      </c>
      <c r="BZ276" s="76">
        <f>IF($AJ276="","Other / Leased Fee",IFERROR(INDEX(mapPTGroup,MATCH(LEFT(TRIM($AJ276),2),mapPTCode,0)),"Other / Leased Fee"))</f>
        <v/>
      </c>
      <c r="CA276" s="76">
        <f>IF(TRIM($AF276&amp;"")="","NR",LEFT(TRIM($AF276),2))</f>
        <v/>
      </c>
      <c r="CB276" s="76">
        <f>IFERROR(LOOKUP(2,1/(LEFT(TRIM($AI276&amp;""),LEN(mapRegion))=mapRegion),mapRegion),"Not Reported")</f>
        <v/>
      </c>
      <c r="CC276" s="76">
        <f>IF($BY276=0,"",IF(TRIM($W276&amp;"")="REO","REO",IF(TRIM($W276&amp;"")="FC","Foreclosure",IF(TRIM($W276&amp;"")="90+","90+ Days Delinquent",IF(TRIM($W276&amp;"")="60","60 Days Delinquent",IF(TRIM($W276&amp;"")="30","30 Days Delinquent",IF($X276="Non-Performing Matured Balloon","Non-Performing Matured Balloon",IF(OR($X276="Late Payment But Less Than 30 Days Delinquent",LEFT($X276&amp;"",20)="Payment Not Received"),"Late / In Grace (&lt;30 Days)",IF($X276="Performing Matured Balloon","Performing Matured Balloon","Current")))))))))</f>
        <v/>
      </c>
      <c r="CD276" s="78">
        <f>IF(OR($CC276="REO",$CC276="Foreclosure",$CC276="90+ Days Delinquent",$CC276="60 Days Delinquent",$CC276="30 Days Delinquent",$CC276="Non-Performing Matured Balloon"),1,0)</f>
        <v/>
      </c>
      <c r="CE276" s="76">
        <f>IF($AB276="Currently special serv","Currently Specially Serviced",IF($AB276="Returned to master serv","Previously Specially Serviced","Never Specially Serviced"))</f>
        <v/>
      </c>
      <c r="CF276" s="78">
        <f>IF($CE276="Currently Specially Serviced",1,0)</f>
        <v/>
      </c>
      <c r="CG276" s="76">
        <f>IF($AA276="Yes","Currently on Watchlist",IF($AA276="Previously","Previously on Watchlist","Never on Watchlist"))</f>
        <v/>
      </c>
      <c r="CH276" s="78">
        <f>IF($CG276="Currently on Watchlist",1,0)</f>
        <v/>
      </c>
      <c r="CI276" s="76">
        <f>IF($Z276="Full Defeasance","Fully Defeased",IF($Z276="Portion Of Loan Previously Defeased","Partially Defeased",IF($Z276="Defeasance Not Allowable","Not Defeased (Not Permitted)","Not Defeased")))</f>
        <v/>
      </c>
      <c r="CJ276" s="78">
        <f>IF($CI276="Fully Defeased",1,0)</f>
        <v/>
      </c>
      <c r="CK276" s="76">
        <f>IF($R276="IO","Full IO",IF(LEFT($R276&amp;"",7)="IO then","Partial IO","Amortizing"))</f>
        <v/>
      </c>
      <c r="CL276" s="78">
        <f>IF($CK276="Full IO",1,0)</f>
        <v/>
      </c>
      <c r="CM276" s="78">
        <f>IF($CK276="Partial IO",1,0)</f>
        <v/>
      </c>
      <c r="CN276" s="76">
        <f>IF(LEFT($F276&amp;"",10)="SPLIT_LOAN","Pari Passu Split","Standalone")</f>
        <v/>
      </c>
      <c r="CO276" s="78">
        <f>IF($CN276="Pari Passu Split",1,0)</f>
        <v/>
      </c>
      <c r="CP276" s="77">
        <f>IF(ISNUMBER($T276),YEAR($T276),"")</f>
        <v/>
      </c>
      <c r="CQ276" s="79">
        <f>IF(ISNUMBER($V276),$V276,IF(ISNUMBER($U276),$U276,""))</f>
        <v/>
      </c>
      <c r="CR276" s="77">
        <f>IF(ISNUMBER($CQ276),YEAR($CQ276),"")</f>
        <v/>
      </c>
      <c r="CS276" s="78">
        <f>IF(ISNUMBER($M276),MAX(0,$M276),IF(TRIM($M276&amp;"")="matured",0,""))</f>
        <v/>
      </c>
      <c r="CT276" s="78">
        <f>IF(AND(ISNUMBER($CS276),N($CS276)&lt;=mMatWindow),1,0)</f>
        <v/>
      </c>
      <c r="CU276" s="80">
        <f>IF(ISNUMBER($J276),$J276/100,"")</f>
        <v/>
      </c>
      <c r="CV276" s="81">
        <f>IF(ISNUMBER($AQ276),$AQ276,"")</f>
        <v/>
      </c>
      <c r="CW276" s="81">
        <f>IF(ISNUMBER($AR276),$AR276,"")</f>
        <v/>
      </c>
      <c r="CX276" s="82">
        <f>IF(ISNUMBER($AS276),$AS276/100,"")</f>
        <v/>
      </c>
      <c r="CY276" s="82">
        <f>IF(ISNUMBER($AT276),$AT276/100,"")</f>
        <v/>
      </c>
      <c r="CZ276" s="82">
        <f>IF(ISNUMBER($AU276),$AU276/100,"")</f>
        <v/>
      </c>
      <c r="DA276" s="82">
        <f>IF(ISNUMBER($AV276),$AV276/100,"")</f>
        <v/>
      </c>
      <c r="DB276" s="82">
        <f>IF(ISNUMBER($AW276),$AW276/100,"")</f>
        <v/>
      </c>
      <c r="DC276" s="82">
        <f>IF(ISNUMBER($AX276),$AX276/100,"")</f>
        <v/>
      </c>
      <c r="DD276" s="77">
        <f>IFERROR(VALUE(LEFT(TRIM($AO276&amp;""),4)),"")</f>
        <v/>
      </c>
      <c r="DE276" s="78">
        <f>IF(AND($BY276=1,$BX276=1,OR(fDeal="All Deals",$BU276=fDeal),OR(fEntity="All Entities",$BV276=fEntity),OR(fPType="All Property Types",$BZ276=fPType),OR(fDefeased="Include",$CJ276=0)),1,0)</f>
        <v/>
      </c>
      <c r="DF276" s="83">
        <f>$DE276*N($I276)</f>
        <v/>
      </c>
      <c r="DG276" s="78">
        <f>IF($DE276=1,IF(COUNTIFS($F$8:$F276,$F276,$DE$8:$DE276,1)=1,1,0),0)</f>
        <v/>
      </c>
      <c r="DH276" s="83">
        <f>IF($DG276=1,SUMIFS($DF$8:$DF$1600,$F$8:$F$1600,$F276),0)</f>
        <v/>
      </c>
      <c r="DI276" s="78">
        <f>IF($DG276=1,COUNTIFS($F$8:$F$1600,$F276,$DE$8:$DE$1600,1),0)</f>
        <v/>
      </c>
      <c r="DJ276" s="84">
        <f>IF($DG276=1,$DH276+(100000-ROW())/mTieBreak,0)</f>
        <v/>
      </c>
    </row>
    <row r="277">
      <c r="B277" s="68" t="n">
        <v>30</v>
      </c>
      <c r="C277" s="69" t="inlineStr">
        <is>
          <t>GS219G38</t>
        </is>
      </c>
      <c r="D277" s="69" t="inlineStr">
        <is>
          <t>30.000</t>
        </is>
      </c>
      <c r="E277" s="69" t="inlineStr">
        <is>
          <t>All Storage Fort Worth</t>
        </is>
      </c>
      <c r="F277" s="69" t="inlineStr">
        <is>
          <t>LNGS219G38-30.000</t>
        </is>
      </c>
      <c r="G277" s="70" t="n"/>
      <c r="H277" s="71" t="n">
        <v>7500000</v>
      </c>
      <c r="I277" s="71" t="n">
        <v>7500000</v>
      </c>
      <c r="J277" s="72" t="n">
        <v>4.717</v>
      </c>
      <c r="K277" s="69" t="inlineStr">
        <is>
          <t>Fixed rate</t>
        </is>
      </c>
      <c r="L277" s="68" t="n">
        <v>116</v>
      </c>
      <c r="M277" s="68" t="n">
        <v>23</v>
      </c>
      <c r="N277" s="68" t="n">
        <v>116</v>
      </c>
      <c r="O277" s="68" t="n">
        <v>116</v>
      </c>
      <c r="P277" s="68" t="n">
        <v>23</v>
      </c>
      <c r="Q277" s="68" t="n">
        <v>93</v>
      </c>
      <c r="R277" s="69" t="inlineStr">
        <is>
          <t>IO</t>
        </is>
      </c>
      <c r="S277" s="69" t="inlineStr">
        <is>
          <t>Yes</t>
        </is>
      </c>
      <c r="T277" s="73" t="n">
        <v>43435</v>
      </c>
      <c r="U277" s="73" t="n">
        <v>46971</v>
      </c>
      <c r="V277" s="73" t="n"/>
      <c r="W277" s="69" t="n"/>
      <c r="X277" s="69" t="inlineStr">
        <is>
          <t>Current</t>
        </is>
      </c>
      <c r="Y277" s="68" t="n"/>
      <c r="Z277" s="69" t="inlineStr">
        <is>
          <t>Full Defeasance</t>
        </is>
      </c>
      <c r="AA277" s="69" t="n"/>
      <c r="AB277" s="69" t="inlineStr">
        <is>
          <t>Never special serv</t>
        </is>
      </c>
      <c r="AC277" s="73" t="n"/>
      <c r="AD277" s="69" t="n"/>
      <c r="AE277" s="69" t="n"/>
      <c r="AF277" s="69" t="inlineStr">
        <is>
          <t>TX</t>
        </is>
      </c>
      <c r="AG277" s="69" t="inlineStr">
        <is>
          <t>White Settlement</t>
        </is>
      </c>
      <c r="AH277" s="69" t="inlineStr">
        <is>
          <t>Dallas-Fort Worth-Arlington, TX</t>
        </is>
      </c>
      <c r="AI277" s="69" t="inlineStr">
        <is>
          <t>South / Central West</t>
        </is>
      </c>
      <c r="AJ277" s="69" t="inlineStr">
        <is>
          <t>SS</t>
        </is>
      </c>
      <c r="AK277" s="69" t="n"/>
      <c r="AL277" s="68" t="n">
        <v>1</v>
      </c>
      <c r="AM277" s="68" t="n"/>
      <c r="AN277" s="68" t="n">
        <v>141404</v>
      </c>
      <c r="AO277" s="69" t="inlineStr">
        <is>
          <t>2002</t>
        </is>
      </c>
      <c r="AP277" s="70" t="n">
        <v>2015</v>
      </c>
      <c r="AQ277" s="74" t="n">
        <v>2.3</v>
      </c>
      <c r="AR277" s="74" t="n">
        <v>2.75</v>
      </c>
      <c r="AS277" s="74" t="n">
        <v>53.6</v>
      </c>
      <c r="AT277" s="74" t="n">
        <v>53.57</v>
      </c>
      <c r="AU277" s="74" t="n">
        <v>53.6</v>
      </c>
      <c r="AV277" s="74" t="n">
        <v>10.995808667</v>
      </c>
      <c r="AW277" s="74" t="n">
        <v>9.709075467</v>
      </c>
      <c r="AX277" s="75" t="n">
        <v>94</v>
      </c>
      <c r="AY277" s="71" t="n">
        <v>14000000</v>
      </c>
      <c r="AZ277" s="71" t="n">
        <v>14000000</v>
      </c>
      <c r="BA277" s="71" t="n">
        <v>824685.65</v>
      </c>
      <c r="BB277" s="71" t="n">
        <v>740085.47</v>
      </c>
      <c r="BC277" s="69" t="inlineStr">
        <is>
          <t>Refinance</t>
        </is>
      </c>
      <c r="BD277" s="69" t="inlineStr">
        <is>
          <t>N</t>
        </is>
      </c>
      <c r="BE277" s="71" t="n"/>
      <c r="BF277" s="71" t="n"/>
      <c r="BG277" s="71" t="n"/>
      <c r="BH277" s="71" t="n">
        <v>0</v>
      </c>
      <c r="BI277" s="71" t="n">
        <v>0</v>
      </c>
      <c r="BJ277" s="69" t="inlineStr">
        <is>
          <t>N</t>
        </is>
      </c>
      <c r="BK277" s="69" t="n"/>
      <c r="BL277" s="75" t="n"/>
      <c r="BM277" s="73" t="n"/>
      <c r="BN277" s="69" t="inlineStr">
        <is>
          <t>Jay Schuminsky</t>
        </is>
      </c>
      <c r="BO277" s="69" t="inlineStr">
        <is>
          <t>Goldman Sachs</t>
        </is>
      </c>
      <c r="BP277" s="69" t="inlineStr">
        <is>
          <t>TriMont Real Estate Advisors</t>
        </is>
      </c>
      <c r="BQ277" s="69" t="inlineStr">
        <is>
          <t>K-Star Asset Management LLC</t>
        </is>
      </c>
      <c r="BR277" s="69" t="n"/>
      <c r="BS277" s="73" t="n">
        <v>46273</v>
      </c>
      <c r="BU277" s="76">
        <f>IF($C277="","",IFERROR(INDEX(dmName,MATCH($C277,dmID,0)),"Unmapped"))</f>
        <v/>
      </c>
      <c r="BV277" s="76">
        <f>IF($C277="","",IFERROR(INDEX(dmEntity,MATCH($C277,dmID,0)),"Unmapped"))</f>
        <v/>
      </c>
      <c r="BW277" s="77">
        <f>IF($C277="","",IFERROR(INDEX(dmVintage,MATCH($C277,dmID,0)),""))</f>
        <v/>
      </c>
      <c r="BX277" s="78">
        <f>IFERROR(INDEX(dmInclude,MATCH($C277,dmID,0)),0)</f>
        <v/>
      </c>
      <c r="BY277" s="78">
        <f>IF(N($I277)&gt;0,1,0)</f>
        <v/>
      </c>
      <c r="BZ277" s="76">
        <f>IF($AJ277="","Other / Leased Fee",IFERROR(INDEX(mapPTGroup,MATCH(LEFT(TRIM($AJ277),2),mapPTCode,0)),"Other / Leased Fee"))</f>
        <v/>
      </c>
      <c r="CA277" s="76">
        <f>IF(TRIM($AF277&amp;"")="","NR",LEFT(TRIM($AF277),2))</f>
        <v/>
      </c>
      <c r="CB277" s="76">
        <f>IFERROR(LOOKUP(2,1/(LEFT(TRIM($AI277&amp;""),LEN(mapRegion))=mapRegion),mapRegion),"Not Reported")</f>
        <v/>
      </c>
      <c r="CC277" s="76">
        <f>IF($BY277=0,"",IF(TRIM($W277&amp;"")="REO","REO",IF(TRIM($W277&amp;"")="FC","Foreclosure",IF(TRIM($W277&amp;"")="90+","90+ Days Delinquent",IF(TRIM($W277&amp;"")="60","60 Days Delinquent",IF(TRIM($W277&amp;"")="30","30 Days Delinquent",IF($X277="Non-Performing Matured Balloon","Non-Performing Matured Balloon",IF(OR($X277="Late Payment But Less Than 30 Days Delinquent",LEFT($X277&amp;"",20)="Payment Not Received"),"Late / In Grace (&lt;30 Days)",IF($X277="Performing Matured Balloon","Performing Matured Balloon","Current")))))))))</f>
        <v/>
      </c>
      <c r="CD277" s="78">
        <f>IF(OR($CC277="REO",$CC277="Foreclosure",$CC277="90+ Days Delinquent",$CC277="60 Days Delinquent",$CC277="30 Days Delinquent",$CC277="Non-Performing Matured Balloon"),1,0)</f>
        <v/>
      </c>
      <c r="CE277" s="76">
        <f>IF($AB277="Currently special serv","Currently Specially Serviced",IF($AB277="Returned to master serv","Previously Specially Serviced","Never Specially Serviced"))</f>
        <v/>
      </c>
      <c r="CF277" s="78">
        <f>IF($CE277="Currently Specially Serviced",1,0)</f>
        <v/>
      </c>
      <c r="CG277" s="76">
        <f>IF($AA277="Yes","Currently on Watchlist",IF($AA277="Previously","Previously on Watchlist","Never on Watchlist"))</f>
        <v/>
      </c>
      <c r="CH277" s="78">
        <f>IF($CG277="Currently on Watchlist",1,0)</f>
        <v/>
      </c>
      <c r="CI277" s="76">
        <f>IF($Z277="Full Defeasance","Fully Defeased",IF($Z277="Portion Of Loan Previously Defeased","Partially Defeased",IF($Z277="Defeasance Not Allowable","Not Defeased (Not Permitted)","Not Defeased")))</f>
        <v/>
      </c>
      <c r="CJ277" s="78">
        <f>IF($CI277="Fully Defeased",1,0)</f>
        <v/>
      </c>
      <c r="CK277" s="76">
        <f>IF($R277="IO","Full IO",IF(LEFT($R277&amp;"",7)="IO then","Partial IO","Amortizing"))</f>
        <v/>
      </c>
      <c r="CL277" s="78">
        <f>IF($CK277="Full IO",1,0)</f>
        <v/>
      </c>
      <c r="CM277" s="78">
        <f>IF($CK277="Partial IO",1,0)</f>
        <v/>
      </c>
      <c r="CN277" s="76">
        <f>IF(LEFT($F277&amp;"",10)="SPLIT_LOAN","Pari Passu Split","Standalone")</f>
        <v/>
      </c>
      <c r="CO277" s="78">
        <f>IF($CN277="Pari Passu Split",1,0)</f>
        <v/>
      </c>
      <c r="CP277" s="77">
        <f>IF(ISNUMBER($T277),YEAR($T277),"")</f>
        <v/>
      </c>
      <c r="CQ277" s="79">
        <f>IF(ISNUMBER($V277),$V277,IF(ISNUMBER($U277),$U277,""))</f>
        <v/>
      </c>
      <c r="CR277" s="77">
        <f>IF(ISNUMBER($CQ277),YEAR($CQ277),"")</f>
        <v/>
      </c>
      <c r="CS277" s="78">
        <f>IF(ISNUMBER($M277),MAX(0,$M277),IF(TRIM($M277&amp;"")="matured",0,""))</f>
        <v/>
      </c>
      <c r="CT277" s="78">
        <f>IF(AND(ISNUMBER($CS277),N($CS277)&lt;=mMatWindow),1,0)</f>
        <v/>
      </c>
      <c r="CU277" s="80">
        <f>IF(ISNUMBER($J277),$J277/100,"")</f>
        <v/>
      </c>
      <c r="CV277" s="81">
        <f>IF(ISNUMBER($AQ277),$AQ277,"")</f>
        <v/>
      </c>
      <c r="CW277" s="81">
        <f>IF(ISNUMBER($AR277),$AR277,"")</f>
        <v/>
      </c>
      <c r="CX277" s="82">
        <f>IF(ISNUMBER($AS277),$AS277/100,"")</f>
        <v/>
      </c>
      <c r="CY277" s="82">
        <f>IF(ISNUMBER($AT277),$AT277/100,"")</f>
        <v/>
      </c>
      <c r="CZ277" s="82">
        <f>IF(ISNUMBER($AU277),$AU277/100,"")</f>
        <v/>
      </c>
      <c r="DA277" s="82">
        <f>IF(ISNUMBER($AV277),$AV277/100,"")</f>
        <v/>
      </c>
      <c r="DB277" s="82">
        <f>IF(ISNUMBER($AW277),$AW277/100,"")</f>
        <v/>
      </c>
      <c r="DC277" s="82">
        <f>IF(ISNUMBER($AX277),$AX277/100,"")</f>
        <v/>
      </c>
      <c r="DD277" s="77">
        <f>IFERROR(VALUE(LEFT(TRIM($AO277&amp;""),4)),"")</f>
        <v/>
      </c>
      <c r="DE277" s="78">
        <f>IF(AND($BY277=1,$BX277=1,OR(fDeal="All Deals",$BU277=fDeal),OR(fEntity="All Entities",$BV277=fEntity),OR(fPType="All Property Types",$BZ277=fPType),OR(fDefeased="Include",$CJ277=0)),1,0)</f>
        <v/>
      </c>
      <c r="DF277" s="83">
        <f>$DE277*N($I277)</f>
        <v/>
      </c>
      <c r="DG277" s="78">
        <f>IF($DE277=1,IF(COUNTIFS($F$8:$F277,$F277,$DE$8:$DE277,1)=1,1,0),0)</f>
        <v/>
      </c>
      <c r="DH277" s="83">
        <f>IF($DG277=1,SUMIFS($DF$8:$DF$1600,$F$8:$F$1600,$F277),0)</f>
        <v/>
      </c>
      <c r="DI277" s="78">
        <f>IF($DG277=1,COUNTIFS($F$8:$F$1600,$F277,$DE$8:$DE$1600,1),0)</f>
        <v/>
      </c>
      <c r="DJ277" s="84">
        <f>IF($DG277=1,$DH277+(100000-ROW())/mTieBreak,0)</f>
        <v/>
      </c>
    </row>
    <row r="278">
      <c r="B278" s="68" t="n">
        <v>31</v>
      </c>
      <c r="C278" s="69" t="inlineStr">
        <is>
          <t>GS219G38</t>
        </is>
      </c>
      <c r="D278" s="69" t="inlineStr">
        <is>
          <t>31.000</t>
        </is>
      </c>
      <c r="E278" s="69" t="inlineStr">
        <is>
          <t>All Storage Mayfield</t>
        </is>
      </c>
      <c r="F278" s="69" t="inlineStr">
        <is>
          <t>LNGS219G38-31.000</t>
        </is>
      </c>
      <c r="G278" s="70" t="n"/>
      <c r="H278" s="71" t="n">
        <v>7000000</v>
      </c>
      <c r="I278" s="71" t="n">
        <v>7000000</v>
      </c>
      <c r="J278" s="72" t="n">
        <v>4.717</v>
      </c>
      <c r="K278" s="69" t="inlineStr">
        <is>
          <t>Fixed rate</t>
        </is>
      </c>
      <c r="L278" s="68" t="n">
        <v>116</v>
      </c>
      <c r="M278" s="68" t="n">
        <v>23</v>
      </c>
      <c r="N278" s="68" t="n">
        <v>116</v>
      </c>
      <c r="O278" s="68" t="n">
        <v>116</v>
      </c>
      <c r="P278" s="68" t="n">
        <v>23</v>
      </c>
      <c r="Q278" s="68" t="n">
        <v>93</v>
      </c>
      <c r="R278" s="69" t="inlineStr">
        <is>
          <t>IO</t>
        </is>
      </c>
      <c r="S278" s="69" t="inlineStr">
        <is>
          <t>Yes</t>
        </is>
      </c>
      <c r="T278" s="73" t="n">
        <v>43435</v>
      </c>
      <c r="U278" s="73" t="n">
        <v>46971</v>
      </c>
      <c r="V278" s="73" t="n"/>
      <c r="W278" s="69" t="n"/>
      <c r="X278" s="69" t="inlineStr">
        <is>
          <t>Current</t>
        </is>
      </c>
      <c r="Y278" s="68" t="n"/>
      <c r="Z278" s="69" t="inlineStr">
        <is>
          <t>Full Defeasance</t>
        </is>
      </c>
      <c r="AA278" s="69" t="n"/>
      <c r="AB278" s="69" t="inlineStr">
        <is>
          <t>Never special serv</t>
        </is>
      </c>
      <c r="AC278" s="73" t="n"/>
      <c r="AD278" s="69" t="n"/>
      <c r="AE278" s="69" t="n"/>
      <c r="AF278" s="69" t="inlineStr">
        <is>
          <t>TX</t>
        </is>
      </c>
      <c r="AG278" s="69" t="inlineStr">
        <is>
          <t>Arlington</t>
        </is>
      </c>
      <c r="AH278" s="69" t="inlineStr">
        <is>
          <t>Dallas-Fort Worth-Arlington, TX</t>
        </is>
      </c>
      <c r="AI278" s="69" t="inlineStr">
        <is>
          <t>South / Central West</t>
        </is>
      </c>
      <c r="AJ278" s="69" t="inlineStr">
        <is>
          <t>SS</t>
        </is>
      </c>
      <c r="AK278" s="69" t="n"/>
      <c r="AL278" s="68" t="n">
        <v>1</v>
      </c>
      <c r="AM278" s="68" t="n"/>
      <c r="AN278" s="68" t="n">
        <v>138970</v>
      </c>
      <c r="AO278" s="69" t="inlineStr">
        <is>
          <t>2016</t>
        </is>
      </c>
      <c r="AP278" s="70" t="n">
        <v>2016</v>
      </c>
      <c r="AQ278" s="74" t="n">
        <v>2.24</v>
      </c>
      <c r="AR278" s="74" t="n">
        <v>2.61</v>
      </c>
      <c r="AS278" s="74" t="n">
        <v>47</v>
      </c>
      <c r="AT278" s="74" t="n">
        <v>46.98</v>
      </c>
      <c r="AU278" s="74" t="n">
        <v>47</v>
      </c>
      <c r="AV278" s="74" t="n">
        <v>10.710212286</v>
      </c>
      <c r="AW278" s="74" t="n">
        <v>10.759092857</v>
      </c>
      <c r="AX278" s="75" t="n">
        <v>98</v>
      </c>
      <c r="AY278" s="71" t="n">
        <v>14900000</v>
      </c>
      <c r="AZ278" s="71" t="n">
        <v>14900000</v>
      </c>
      <c r="BA278" s="71" t="n">
        <v>749714.86</v>
      </c>
      <c r="BB278" s="71" t="n">
        <v>434960.75</v>
      </c>
      <c r="BC278" s="69" t="inlineStr">
        <is>
          <t>Refinance</t>
        </is>
      </c>
      <c r="BD278" s="69" t="inlineStr">
        <is>
          <t>N</t>
        </is>
      </c>
      <c r="BE278" s="71" t="n"/>
      <c r="BF278" s="71" t="n"/>
      <c r="BG278" s="71" t="n"/>
      <c r="BH278" s="71" t="n">
        <v>0</v>
      </c>
      <c r="BI278" s="71" t="n">
        <v>0</v>
      </c>
      <c r="BJ278" s="69" t="inlineStr">
        <is>
          <t>N</t>
        </is>
      </c>
      <c r="BK278" s="69" t="n"/>
      <c r="BL278" s="75" t="n"/>
      <c r="BM278" s="73" t="n"/>
      <c r="BN278" s="69" t="inlineStr">
        <is>
          <t>Jay Schuminsky</t>
        </is>
      </c>
      <c r="BO278" s="69" t="inlineStr">
        <is>
          <t>Goldman Sachs</t>
        </is>
      </c>
      <c r="BP278" s="69" t="inlineStr">
        <is>
          <t>TriMont Real Estate Advisors</t>
        </is>
      </c>
      <c r="BQ278" s="69" t="inlineStr">
        <is>
          <t>K-Star Asset Management LLC</t>
        </is>
      </c>
      <c r="BR278" s="69" t="n"/>
      <c r="BS278" s="73" t="n">
        <v>46273</v>
      </c>
      <c r="BU278" s="76">
        <f>IF($C278="","",IFERROR(INDEX(dmName,MATCH($C278,dmID,0)),"Unmapped"))</f>
        <v/>
      </c>
      <c r="BV278" s="76">
        <f>IF($C278="","",IFERROR(INDEX(dmEntity,MATCH($C278,dmID,0)),"Unmapped"))</f>
        <v/>
      </c>
      <c r="BW278" s="77">
        <f>IF($C278="","",IFERROR(INDEX(dmVintage,MATCH($C278,dmID,0)),""))</f>
        <v/>
      </c>
      <c r="BX278" s="78">
        <f>IFERROR(INDEX(dmInclude,MATCH($C278,dmID,0)),0)</f>
        <v/>
      </c>
      <c r="BY278" s="78">
        <f>IF(N($I278)&gt;0,1,0)</f>
        <v/>
      </c>
      <c r="BZ278" s="76">
        <f>IF($AJ278="","Other / Leased Fee",IFERROR(INDEX(mapPTGroup,MATCH(LEFT(TRIM($AJ278),2),mapPTCode,0)),"Other / Leased Fee"))</f>
        <v/>
      </c>
      <c r="CA278" s="76">
        <f>IF(TRIM($AF278&amp;"")="","NR",LEFT(TRIM($AF278),2))</f>
        <v/>
      </c>
      <c r="CB278" s="76">
        <f>IFERROR(LOOKUP(2,1/(LEFT(TRIM($AI278&amp;""),LEN(mapRegion))=mapRegion),mapRegion),"Not Reported")</f>
        <v/>
      </c>
      <c r="CC278" s="76">
        <f>IF($BY278=0,"",IF(TRIM($W278&amp;"")="REO","REO",IF(TRIM($W278&amp;"")="FC","Foreclosure",IF(TRIM($W278&amp;"")="90+","90+ Days Delinquent",IF(TRIM($W278&amp;"")="60","60 Days Delinquent",IF(TRIM($W278&amp;"")="30","30 Days Delinquent",IF($X278="Non-Performing Matured Balloon","Non-Performing Matured Balloon",IF(OR($X278="Late Payment But Less Than 30 Days Delinquent",LEFT($X278&amp;"",20)="Payment Not Received"),"Late / In Grace (&lt;30 Days)",IF($X278="Performing Matured Balloon","Performing Matured Balloon","Current")))))))))</f>
        <v/>
      </c>
      <c r="CD278" s="78">
        <f>IF(OR($CC278="REO",$CC278="Foreclosure",$CC278="90+ Days Delinquent",$CC278="60 Days Delinquent",$CC278="30 Days Delinquent",$CC278="Non-Performing Matured Balloon"),1,0)</f>
        <v/>
      </c>
      <c r="CE278" s="76">
        <f>IF($AB278="Currently special serv","Currently Specially Serviced",IF($AB278="Returned to master serv","Previously Specially Serviced","Never Specially Serviced"))</f>
        <v/>
      </c>
      <c r="CF278" s="78">
        <f>IF($CE278="Currently Specially Serviced",1,0)</f>
        <v/>
      </c>
      <c r="CG278" s="76">
        <f>IF($AA278="Yes","Currently on Watchlist",IF($AA278="Previously","Previously on Watchlist","Never on Watchlist"))</f>
        <v/>
      </c>
      <c r="CH278" s="78">
        <f>IF($CG278="Currently on Watchlist",1,0)</f>
        <v/>
      </c>
      <c r="CI278" s="76">
        <f>IF($Z278="Full Defeasance","Fully Defeased",IF($Z278="Portion Of Loan Previously Defeased","Partially Defeased",IF($Z278="Defeasance Not Allowable","Not Defeased (Not Permitted)","Not Defeased")))</f>
        <v/>
      </c>
      <c r="CJ278" s="78">
        <f>IF($CI278="Fully Defeased",1,0)</f>
        <v/>
      </c>
      <c r="CK278" s="76">
        <f>IF($R278="IO","Full IO",IF(LEFT($R278&amp;"",7)="IO then","Partial IO","Amortizing"))</f>
        <v/>
      </c>
      <c r="CL278" s="78">
        <f>IF($CK278="Full IO",1,0)</f>
        <v/>
      </c>
      <c r="CM278" s="78">
        <f>IF($CK278="Partial IO",1,0)</f>
        <v/>
      </c>
      <c r="CN278" s="76">
        <f>IF(LEFT($F278&amp;"",10)="SPLIT_LOAN","Pari Passu Split","Standalone")</f>
        <v/>
      </c>
      <c r="CO278" s="78">
        <f>IF($CN278="Pari Passu Split",1,0)</f>
        <v/>
      </c>
      <c r="CP278" s="77">
        <f>IF(ISNUMBER($T278),YEAR($T278),"")</f>
        <v/>
      </c>
      <c r="CQ278" s="79">
        <f>IF(ISNUMBER($V278),$V278,IF(ISNUMBER($U278),$U278,""))</f>
        <v/>
      </c>
      <c r="CR278" s="77">
        <f>IF(ISNUMBER($CQ278),YEAR($CQ278),"")</f>
        <v/>
      </c>
      <c r="CS278" s="78">
        <f>IF(ISNUMBER($M278),MAX(0,$M278),IF(TRIM($M278&amp;"")="matured",0,""))</f>
        <v/>
      </c>
      <c r="CT278" s="78">
        <f>IF(AND(ISNUMBER($CS278),N($CS278)&lt;=mMatWindow),1,0)</f>
        <v/>
      </c>
      <c r="CU278" s="80">
        <f>IF(ISNUMBER($J278),$J278/100,"")</f>
        <v/>
      </c>
      <c r="CV278" s="81">
        <f>IF(ISNUMBER($AQ278),$AQ278,"")</f>
        <v/>
      </c>
      <c r="CW278" s="81">
        <f>IF(ISNUMBER($AR278),$AR278,"")</f>
        <v/>
      </c>
      <c r="CX278" s="82">
        <f>IF(ISNUMBER($AS278),$AS278/100,"")</f>
        <v/>
      </c>
      <c r="CY278" s="82">
        <f>IF(ISNUMBER($AT278),$AT278/100,"")</f>
        <v/>
      </c>
      <c r="CZ278" s="82">
        <f>IF(ISNUMBER($AU278),$AU278/100,"")</f>
        <v/>
      </c>
      <c r="DA278" s="82">
        <f>IF(ISNUMBER($AV278),$AV278/100,"")</f>
        <v/>
      </c>
      <c r="DB278" s="82">
        <f>IF(ISNUMBER($AW278),$AW278/100,"")</f>
        <v/>
      </c>
      <c r="DC278" s="82">
        <f>IF(ISNUMBER($AX278),$AX278/100,"")</f>
        <v/>
      </c>
      <c r="DD278" s="77">
        <f>IFERROR(VALUE(LEFT(TRIM($AO278&amp;""),4)),"")</f>
        <v/>
      </c>
      <c r="DE278" s="78">
        <f>IF(AND($BY278=1,$BX278=1,OR(fDeal="All Deals",$BU278=fDeal),OR(fEntity="All Entities",$BV278=fEntity),OR(fPType="All Property Types",$BZ278=fPType),OR(fDefeased="Include",$CJ278=0)),1,0)</f>
        <v/>
      </c>
      <c r="DF278" s="83">
        <f>$DE278*N($I278)</f>
        <v/>
      </c>
      <c r="DG278" s="78">
        <f>IF($DE278=1,IF(COUNTIFS($F$8:$F278,$F278,$DE$8:$DE278,1)=1,1,0),0)</f>
        <v/>
      </c>
      <c r="DH278" s="83">
        <f>IF($DG278=1,SUMIFS($DF$8:$DF$1600,$F$8:$F$1600,$F278),0)</f>
        <v/>
      </c>
      <c r="DI278" s="78">
        <f>IF($DG278=1,COUNTIFS($F$8:$F$1600,$F278,$DE$8:$DE$1600,1),0)</f>
        <v/>
      </c>
      <c r="DJ278" s="84">
        <f>IF($DG278=1,$DH278+(100000-ROW())/mTieBreak,0)</f>
        <v/>
      </c>
    </row>
    <row r="279">
      <c r="B279" s="68" t="n">
        <v>32</v>
      </c>
      <c r="C279" s="69" t="inlineStr">
        <is>
          <t>GS219G38</t>
        </is>
      </c>
      <c r="D279" s="69" t="inlineStr">
        <is>
          <t>32.000</t>
        </is>
      </c>
      <c r="E279" s="69" t="inlineStr">
        <is>
          <t>New Albany Market</t>
        </is>
      </c>
      <c r="F279" s="69" t="inlineStr">
        <is>
          <t>LNGS219G38-32.000</t>
        </is>
      </c>
      <c r="G279" s="70" t="n"/>
      <c r="H279" s="71" t="n">
        <v>6372000</v>
      </c>
      <c r="I279" s="71" t="n">
        <v>5821547.249997324</v>
      </c>
      <c r="J279" s="72" t="n">
        <v>5.308</v>
      </c>
      <c r="K279" s="69" t="inlineStr">
        <is>
          <t>Fixed rate</t>
        </is>
      </c>
      <c r="L279" s="68" t="n">
        <v>120</v>
      </c>
      <c r="M279" s="68" t="n">
        <v>27</v>
      </c>
      <c r="N279" s="68" t="n">
        <v>384</v>
      </c>
      <c r="O279" s="68" t="n">
        <v>24</v>
      </c>
      <c r="P279" s="68" t="n">
        <v>0</v>
      </c>
      <c r="Q279" s="68" t="n">
        <v>93</v>
      </c>
      <c r="R279" s="69" t="inlineStr">
        <is>
          <t>IO then Amort</t>
        </is>
      </c>
      <c r="S279" s="69" t="inlineStr">
        <is>
          <t>No</t>
        </is>
      </c>
      <c r="T279" s="73" t="n">
        <v>43435</v>
      </c>
      <c r="U279" s="73" t="n">
        <v>47093</v>
      </c>
      <c r="V279" s="73" t="n"/>
      <c r="W279" s="69" t="n"/>
      <c r="X279" s="69" t="inlineStr">
        <is>
          <t>Current</t>
        </is>
      </c>
      <c r="Y279" s="68" t="n"/>
      <c r="Z279" s="69" t="inlineStr">
        <is>
          <t>No Defeasance Occurred</t>
        </is>
      </c>
      <c r="AA279" s="69" t="inlineStr">
        <is>
          <t>Previously</t>
        </is>
      </c>
      <c r="AB279" s="69" t="inlineStr">
        <is>
          <t>Never special serv</t>
        </is>
      </c>
      <c r="AC279" s="73" t="n"/>
      <c r="AD279" s="69" t="n"/>
      <c r="AE279" s="69" t="n"/>
      <c r="AF279" s="69" t="inlineStr">
        <is>
          <t>OH</t>
        </is>
      </c>
      <c r="AG279" s="69" t="inlineStr">
        <is>
          <t>New Albany</t>
        </is>
      </c>
      <c r="AH279" s="69" t="inlineStr">
        <is>
          <t>Columbus, OH</t>
        </is>
      </c>
      <c r="AI279" s="69" t="inlineStr">
        <is>
          <t>Midwest / Central East</t>
        </is>
      </c>
      <c r="AJ279" s="69" t="inlineStr">
        <is>
          <t>RT</t>
        </is>
      </c>
      <c r="AK279" s="69" t="inlineStr">
        <is>
          <t>Shadow Anchored</t>
        </is>
      </c>
      <c r="AL279" s="68" t="n">
        <v>1</v>
      </c>
      <c r="AM279" s="68" t="n"/>
      <c r="AN279" s="68" t="n">
        <v>34708</v>
      </c>
      <c r="AO279" s="69" t="inlineStr">
        <is>
          <t>2007</t>
        </is>
      </c>
      <c r="AP279" s="70" t="n">
        <v>2007</v>
      </c>
      <c r="AQ279" s="74" t="n">
        <v>1.35</v>
      </c>
      <c r="AR279" s="74" t="n">
        <v>1.53</v>
      </c>
      <c r="AS279" s="74" t="n">
        <v>72</v>
      </c>
      <c r="AT279" s="74" t="n">
        <v>65.78</v>
      </c>
      <c r="AU279" s="74" t="n">
        <v>62.8</v>
      </c>
      <c r="AV279" s="74" t="n">
        <v>8.999474733</v>
      </c>
      <c r="AW279" s="74" t="n">
        <v>11.328763328</v>
      </c>
      <c r="AX279" s="75" t="n">
        <v>100</v>
      </c>
      <c r="AY279" s="71" t="n">
        <v>8850000</v>
      </c>
      <c r="AZ279" s="71" t="n">
        <v>8850000</v>
      </c>
      <c r="BA279" s="71" t="n">
        <v>573446.53</v>
      </c>
      <c r="BB279" s="71" t="n">
        <v>324978.42</v>
      </c>
      <c r="BC279" s="69" t="inlineStr">
        <is>
          <t>Refinance</t>
        </is>
      </c>
      <c r="BD279" s="69" t="inlineStr">
        <is>
          <t>N</t>
        </is>
      </c>
      <c r="BE279" s="71" t="n"/>
      <c r="BF279" s="71" t="n"/>
      <c r="BG279" s="71" t="n"/>
      <c r="BH279" s="71" t="n">
        <v>0</v>
      </c>
      <c r="BI279" s="71" t="n">
        <v>0</v>
      </c>
      <c r="BJ279" s="69" t="inlineStr">
        <is>
          <t>N</t>
        </is>
      </c>
      <c r="BK279" s="69" t="inlineStr">
        <is>
          <t>Roosters</t>
        </is>
      </c>
      <c r="BL279" s="75" t="n">
        <v>16.71</v>
      </c>
      <c r="BM279" s="73" t="n">
        <v>47026</v>
      </c>
      <c r="BN279" s="69" t="inlineStr">
        <is>
          <t>Thomas N. Brigdon II, Tyler M. Lucks, Whitney E. Lucks and Karl Schneider</t>
        </is>
      </c>
      <c r="BO279" s="69" t="inlineStr">
        <is>
          <t>Goldman Sachs</t>
        </is>
      </c>
      <c r="BP279" s="69" t="inlineStr">
        <is>
          <t>TriMont Real Estate Advisors</t>
        </is>
      </c>
      <c r="BQ279" s="69" t="inlineStr">
        <is>
          <t>K-Star Asset Management LLC</t>
        </is>
      </c>
      <c r="BR279" s="69" t="n"/>
      <c r="BS279" s="73" t="n">
        <v>46273</v>
      </c>
      <c r="BU279" s="76">
        <f>IF($C279="","",IFERROR(INDEX(dmName,MATCH($C279,dmID,0)),"Unmapped"))</f>
        <v/>
      </c>
      <c r="BV279" s="76">
        <f>IF($C279="","",IFERROR(INDEX(dmEntity,MATCH($C279,dmID,0)),"Unmapped"))</f>
        <v/>
      </c>
      <c r="BW279" s="77">
        <f>IF($C279="","",IFERROR(INDEX(dmVintage,MATCH($C279,dmID,0)),""))</f>
        <v/>
      </c>
      <c r="BX279" s="78">
        <f>IFERROR(INDEX(dmInclude,MATCH($C279,dmID,0)),0)</f>
        <v/>
      </c>
      <c r="BY279" s="78">
        <f>IF(N($I279)&gt;0,1,0)</f>
        <v/>
      </c>
      <c r="BZ279" s="76">
        <f>IF($AJ279="","Other / Leased Fee",IFERROR(INDEX(mapPTGroup,MATCH(LEFT(TRIM($AJ279),2),mapPTCode,0)),"Other / Leased Fee"))</f>
        <v/>
      </c>
      <c r="CA279" s="76">
        <f>IF(TRIM($AF279&amp;"")="","NR",LEFT(TRIM($AF279),2))</f>
        <v/>
      </c>
      <c r="CB279" s="76">
        <f>IFERROR(LOOKUP(2,1/(LEFT(TRIM($AI279&amp;""),LEN(mapRegion))=mapRegion),mapRegion),"Not Reported")</f>
        <v/>
      </c>
      <c r="CC279" s="76">
        <f>IF($BY279=0,"",IF(TRIM($W279&amp;"")="REO","REO",IF(TRIM($W279&amp;"")="FC","Foreclosure",IF(TRIM($W279&amp;"")="90+","90+ Days Delinquent",IF(TRIM($W279&amp;"")="60","60 Days Delinquent",IF(TRIM($W279&amp;"")="30","30 Days Delinquent",IF($X279="Non-Performing Matured Balloon","Non-Performing Matured Balloon",IF(OR($X279="Late Payment But Less Than 30 Days Delinquent",LEFT($X279&amp;"",20)="Payment Not Received"),"Late / In Grace (&lt;30 Days)",IF($X279="Performing Matured Balloon","Performing Matured Balloon","Current")))))))))</f>
        <v/>
      </c>
      <c r="CD279" s="78">
        <f>IF(OR($CC279="REO",$CC279="Foreclosure",$CC279="90+ Days Delinquent",$CC279="60 Days Delinquent",$CC279="30 Days Delinquent",$CC279="Non-Performing Matured Balloon"),1,0)</f>
        <v/>
      </c>
      <c r="CE279" s="76">
        <f>IF($AB279="Currently special serv","Currently Specially Serviced",IF($AB279="Returned to master serv","Previously Specially Serviced","Never Specially Serviced"))</f>
        <v/>
      </c>
      <c r="CF279" s="78">
        <f>IF($CE279="Currently Specially Serviced",1,0)</f>
        <v/>
      </c>
      <c r="CG279" s="76">
        <f>IF($AA279="Yes","Currently on Watchlist",IF($AA279="Previously","Previously on Watchlist","Never on Watchlist"))</f>
        <v/>
      </c>
      <c r="CH279" s="78">
        <f>IF($CG279="Currently on Watchlist",1,0)</f>
        <v/>
      </c>
      <c r="CI279" s="76">
        <f>IF($Z279="Full Defeasance","Fully Defeased",IF($Z279="Portion Of Loan Previously Defeased","Partially Defeased",IF($Z279="Defeasance Not Allowable","Not Defeased (Not Permitted)","Not Defeased")))</f>
        <v/>
      </c>
      <c r="CJ279" s="78">
        <f>IF($CI279="Fully Defeased",1,0)</f>
        <v/>
      </c>
      <c r="CK279" s="76">
        <f>IF($R279="IO","Full IO",IF(LEFT($R279&amp;"",7)="IO then","Partial IO","Amortizing"))</f>
        <v/>
      </c>
      <c r="CL279" s="78">
        <f>IF($CK279="Full IO",1,0)</f>
        <v/>
      </c>
      <c r="CM279" s="78">
        <f>IF($CK279="Partial IO",1,0)</f>
        <v/>
      </c>
      <c r="CN279" s="76">
        <f>IF(LEFT($F279&amp;"",10)="SPLIT_LOAN","Pari Passu Split","Standalone")</f>
        <v/>
      </c>
      <c r="CO279" s="78">
        <f>IF($CN279="Pari Passu Split",1,0)</f>
        <v/>
      </c>
      <c r="CP279" s="77">
        <f>IF(ISNUMBER($T279),YEAR($T279),"")</f>
        <v/>
      </c>
      <c r="CQ279" s="79">
        <f>IF(ISNUMBER($V279),$V279,IF(ISNUMBER($U279),$U279,""))</f>
        <v/>
      </c>
      <c r="CR279" s="77">
        <f>IF(ISNUMBER($CQ279),YEAR($CQ279),"")</f>
        <v/>
      </c>
      <c r="CS279" s="78">
        <f>IF(ISNUMBER($M279),MAX(0,$M279),IF(TRIM($M279&amp;"")="matured",0,""))</f>
        <v/>
      </c>
      <c r="CT279" s="78">
        <f>IF(AND(ISNUMBER($CS279),N($CS279)&lt;=mMatWindow),1,0)</f>
        <v/>
      </c>
      <c r="CU279" s="80">
        <f>IF(ISNUMBER($J279),$J279/100,"")</f>
        <v/>
      </c>
      <c r="CV279" s="81">
        <f>IF(ISNUMBER($AQ279),$AQ279,"")</f>
        <v/>
      </c>
      <c r="CW279" s="81">
        <f>IF(ISNUMBER($AR279),$AR279,"")</f>
        <v/>
      </c>
      <c r="CX279" s="82">
        <f>IF(ISNUMBER($AS279),$AS279/100,"")</f>
        <v/>
      </c>
      <c r="CY279" s="82">
        <f>IF(ISNUMBER($AT279),$AT279/100,"")</f>
        <v/>
      </c>
      <c r="CZ279" s="82">
        <f>IF(ISNUMBER($AU279),$AU279/100,"")</f>
        <v/>
      </c>
      <c r="DA279" s="82">
        <f>IF(ISNUMBER($AV279),$AV279/100,"")</f>
        <v/>
      </c>
      <c r="DB279" s="82">
        <f>IF(ISNUMBER($AW279),$AW279/100,"")</f>
        <v/>
      </c>
      <c r="DC279" s="82">
        <f>IF(ISNUMBER($AX279),$AX279/100,"")</f>
        <v/>
      </c>
      <c r="DD279" s="77">
        <f>IFERROR(VALUE(LEFT(TRIM($AO279&amp;""),4)),"")</f>
        <v/>
      </c>
      <c r="DE279" s="78">
        <f>IF(AND($BY279=1,$BX279=1,OR(fDeal="All Deals",$BU279=fDeal),OR(fEntity="All Entities",$BV279=fEntity),OR(fPType="All Property Types",$BZ279=fPType),OR(fDefeased="Include",$CJ279=0)),1,0)</f>
        <v/>
      </c>
      <c r="DF279" s="83">
        <f>$DE279*N($I279)</f>
        <v/>
      </c>
      <c r="DG279" s="78">
        <f>IF($DE279=1,IF(COUNTIFS($F$8:$F279,$F279,$DE$8:$DE279,1)=1,1,0),0)</f>
        <v/>
      </c>
      <c r="DH279" s="83">
        <f>IF($DG279=1,SUMIFS($DF$8:$DF$1600,$F$8:$F$1600,$F279),0)</f>
        <v/>
      </c>
      <c r="DI279" s="78">
        <f>IF($DG279=1,COUNTIFS($F$8:$F$1600,$F279,$DE$8:$DE$1600,1),0)</f>
        <v/>
      </c>
      <c r="DJ279" s="84">
        <f>IF($DG279=1,$DH279+(100000-ROW())/mTieBreak,0)</f>
        <v/>
      </c>
    </row>
    <row r="280">
      <c r="B280" s="68" t="n">
        <v>33</v>
      </c>
      <c r="C280" s="69" t="inlineStr">
        <is>
          <t>GS219G38</t>
        </is>
      </c>
      <c r="D280" s="69" t="inlineStr">
        <is>
          <t>33.000</t>
        </is>
      </c>
      <c r="E280" s="69" t="inlineStr">
        <is>
          <t>Airport Plaza</t>
        </is>
      </c>
      <c r="F280" s="69" t="inlineStr">
        <is>
          <t>LNGS219G38-33.000</t>
        </is>
      </c>
      <c r="G280" s="70" t="n"/>
      <c r="H280" s="71" t="n">
        <v>6037500</v>
      </c>
      <c r="I280" s="71" t="n">
        <v>5493433.179997351</v>
      </c>
      <c r="J280" s="72" t="n">
        <v>5.07</v>
      </c>
      <c r="K280" s="69" t="inlineStr">
        <is>
          <t>Fixed rate</t>
        </is>
      </c>
      <c r="L280" s="68" t="n">
        <v>120</v>
      </c>
      <c r="M280" s="68" t="n">
        <v>27</v>
      </c>
      <c r="N280" s="68" t="n">
        <v>384</v>
      </c>
      <c r="O280" s="68" t="n">
        <v>24</v>
      </c>
      <c r="P280" s="68" t="n">
        <v>0</v>
      </c>
      <c r="Q280" s="68" t="n">
        <v>93</v>
      </c>
      <c r="R280" s="69" t="inlineStr">
        <is>
          <t>IO then Amort</t>
        </is>
      </c>
      <c r="S280" s="69" t="inlineStr">
        <is>
          <t>No</t>
        </is>
      </c>
      <c r="T280" s="73" t="n">
        <v>43435</v>
      </c>
      <c r="U280" s="73" t="n">
        <v>47093</v>
      </c>
      <c r="V280" s="73" t="n"/>
      <c r="W280" s="69" t="n"/>
      <c r="X280" s="69" t="inlineStr">
        <is>
          <t>Current</t>
        </is>
      </c>
      <c r="Y280" s="68" t="n"/>
      <c r="Z280" s="69" t="inlineStr">
        <is>
          <t>No Defeasance Occurred</t>
        </is>
      </c>
      <c r="AA280" s="69" t="inlineStr">
        <is>
          <t>Previously</t>
        </is>
      </c>
      <c r="AB280" s="69" t="inlineStr">
        <is>
          <t>Never special serv</t>
        </is>
      </c>
      <c r="AC280" s="73" t="n"/>
      <c r="AD280" s="69" t="n"/>
      <c r="AE280" s="69" t="n"/>
      <c r="AF280" s="69" t="inlineStr">
        <is>
          <t>NC</t>
        </is>
      </c>
      <c r="AG280" s="69" t="inlineStr">
        <is>
          <t>Fayetteville</t>
        </is>
      </c>
      <c r="AH280" s="69" t="inlineStr">
        <is>
          <t>Fayetteville, NC</t>
        </is>
      </c>
      <c r="AI280" s="69" t="inlineStr">
        <is>
          <t>South / Atlantic</t>
        </is>
      </c>
      <c r="AJ280" s="69" t="inlineStr">
        <is>
          <t>RT</t>
        </is>
      </c>
      <c r="AK280" s="69" t="inlineStr">
        <is>
          <t>Shadow Anchored</t>
        </is>
      </c>
      <c r="AL280" s="68" t="n">
        <v>1</v>
      </c>
      <c r="AM280" s="68" t="n"/>
      <c r="AN280" s="68" t="n">
        <v>41000</v>
      </c>
      <c r="AO280" s="69" t="inlineStr">
        <is>
          <t>2016</t>
        </is>
      </c>
      <c r="AP280" s="70" t="n">
        <v>2016</v>
      </c>
      <c r="AQ280" s="74" t="n">
        <v>1.5</v>
      </c>
      <c r="AR280" s="74" t="n">
        <v>1.81</v>
      </c>
      <c r="AS280" s="74" t="n">
        <v>74.2</v>
      </c>
      <c r="AT280" s="74" t="n">
        <v>67.48999999999999</v>
      </c>
      <c r="AU280" s="74" t="n">
        <v>64.3</v>
      </c>
      <c r="AV280" s="74" t="n">
        <v>9.763763147000001</v>
      </c>
      <c r="AW280" s="74" t="n">
        <v>13.08986487</v>
      </c>
      <c r="AX280" s="75" t="n">
        <v>100</v>
      </c>
      <c r="AY280" s="71" t="n">
        <v>8140000</v>
      </c>
      <c r="AZ280" s="71" t="n">
        <v>8140000</v>
      </c>
      <c r="BA280" s="71" t="n">
        <v>589487.2</v>
      </c>
      <c r="BB280" s="71" t="n">
        <v>354333.98</v>
      </c>
      <c r="BC280" s="69" t="inlineStr">
        <is>
          <t>Acquisition</t>
        </is>
      </c>
      <c r="BD280" s="69" t="inlineStr">
        <is>
          <t>N</t>
        </is>
      </c>
      <c r="BE280" s="71" t="n"/>
      <c r="BF280" s="71" t="n"/>
      <c r="BG280" s="71" t="n"/>
      <c r="BH280" s="71" t="n">
        <v>0</v>
      </c>
      <c r="BI280" s="71" t="n">
        <v>0</v>
      </c>
      <c r="BJ280" s="69" t="inlineStr">
        <is>
          <t>N</t>
        </is>
      </c>
      <c r="BK280" s="69" t="inlineStr">
        <is>
          <t>Dollar Tree Stores</t>
        </is>
      </c>
      <c r="BL280" s="75" t="n">
        <v>24.39</v>
      </c>
      <c r="BM280" s="73" t="n">
        <v>49918</v>
      </c>
      <c r="BN280" s="69" t="inlineStr">
        <is>
          <t>Munroe L. Spivock, William J. Spivock, Visit Taveethamcharoen, Munroe L. Spivock and William J. Spivock, as Co-Trustees of the Lewis Investment Trust dated December 21, 2016, William J. Spivock, as Trustee of the WJS Revocable Trust dated September 14, 2018, Munroe L. Spivock, as Trustee of the Munroe L. Spivock Revocable Trust dated July 19, 2013 and Visit Taveethamcharoen, as Trustee of the Visit Taveethamcharoen Trust dated April 28, 2017</t>
        </is>
      </c>
      <c r="BO280" s="69" t="inlineStr">
        <is>
          <t>Goldman Sachs</t>
        </is>
      </c>
      <c r="BP280" s="69" t="inlineStr">
        <is>
          <t>TriMont Real Estate Advisors</t>
        </is>
      </c>
      <c r="BQ280" s="69" t="inlineStr">
        <is>
          <t>K-Star Asset Management LLC</t>
        </is>
      </c>
      <c r="BR280" s="69" t="n"/>
      <c r="BS280" s="73" t="n">
        <v>46273</v>
      </c>
      <c r="BU280" s="76">
        <f>IF($C280="","",IFERROR(INDEX(dmName,MATCH($C280,dmID,0)),"Unmapped"))</f>
        <v/>
      </c>
      <c r="BV280" s="76">
        <f>IF($C280="","",IFERROR(INDEX(dmEntity,MATCH($C280,dmID,0)),"Unmapped"))</f>
        <v/>
      </c>
      <c r="BW280" s="77">
        <f>IF($C280="","",IFERROR(INDEX(dmVintage,MATCH($C280,dmID,0)),""))</f>
        <v/>
      </c>
      <c r="BX280" s="78">
        <f>IFERROR(INDEX(dmInclude,MATCH($C280,dmID,0)),0)</f>
        <v/>
      </c>
      <c r="BY280" s="78">
        <f>IF(N($I280)&gt;0,1,0)</f>
        <v/>
      </c>
      <c r="BZ280" s="76">
        <f>IF($AJ280="","Other / Leased Fee",IFERROR(INDEX(mapPTGroup,MATCH(LEFT(TRIM($AJ280),2),mapPTCode,0)),"Other / Leased Fee"))</f>
        <v/>
      </c>
      <c r="CA280" s="76">
        <f>IF(TRIM($AF280&amp;"")="","NR",LEFT(TRIM($AF280),2))</f>
        <v/>
      </c>
      <c r="CB280" s="76">
        <f>IFERROR(LOOKUP(2,1/(LEFT(TRIM($AI280&amp;""),LEN(mapRegion))=mapRegion),mapRegion),"Not Reported")</f>
        <v/>
      </c>
      <c r="CC280" s="76">
        <f>IF($BY280=0,"",IF(TRIM($W280&amp;"")="REO","REO",IF(TRIM($W280&amp;"")="FC","Foreclosure",IF(TRIM($W280&amp;"")="90+","90+ Days Delinquent",IF(TRIM($W280&amp;"")="60","60 Days Delinquent",IF(TRIM($W280&amp;"")="30","30 Days Delinquent",IF($X280="Non-Performing Matured Balloon","Non-Performing Matured Balloon",IF(OR($X280="Late Payment But Less Than 30 Days Delinquent",LEFT($X280&amp;"",20)="Payment Not Received"),"Late / In Grace (&lt;30 Days)",IF($X280="Performing Matured Balloon","Performing Matured Balloon","Current")))))))))</f>
        <v/>
      </c>
      <c r="CD280" s="78">
        <f>IF(OR($CC280="REO",$CC280="Foreclosure",$CC280="90+ Days Delinquent",$CC280="60 Days Delinquent",$CC280="30 Days Delinquent",$CC280="Non-Performing Matured Balloon"),1,0)</f>
        <v/>
      </c>
      <c r="CE280" s="76">
        <f>IF($AB280="Currently special serv","Currently Specially Serviced",IF($AB280="Returned to master serv","Previously Specially Serviced","Never Specially Serviced"))</f>
        <v/>
      </c>
      <c r="CF280" s="78">
        <f>IF($CE280="Currently Specially Serviced",1,0)</f>
        <v/>
      </c>
      <c r="CG280" s="76">
        <f>IF($AA280="Yes","Currently on Watchlist",IF($AA280="Previously","Previously on Watchlist","Never on Watchlist"))</f>
        <v/>
      </c>
      <c r="CH280" s="78">
        <f>IF($CG280="Currently on Watchlist",1,0)</f>
        <v/>
      </c>
      <c r="CI280" s="76">
        <f>IF($Z280="Full Defeasance","Fully Defeased",IF($Z280="Portion Of Loan Previously Defeased","Partially Defeased",IF($Z280="Defeasance Not Allowable","Not Defeased (Not Permitted)","Not Defeased")))</f>
        <v/>
      </c>
      <c r="CJ280" s="78">
        <f>IF($CI280="Fully Defeased",1,0)</f>
        <v/>
      </c>
      <c r="CK280" s="76">
        <f>IF($R280="IO","Full IO",IF(LEFT($R280&amp;"",7)="IO then","Partial IO","Amortizing"))</f>
        <v/>
      </c>
      <c r="CL280" s="78">
        <f>IF($CK280="Full IO",1,0)</f>
        <v/>
      </c>
      <c r="CM280" s="78">
        <f>IF($CK280="Partial IO",1,0)</f>
        <v/>
      </c>
      <c r="CN280" s="76">
        <f>IF(LEFT($F280&amp;"",10)="SPLIT_LOAN","Pari Passu Split","Standalone")</f>
        <v/>
      </c>
      <c r="CO280" s="78">
        <f>IF($CN280="Pari Passu Split",1,0)</f>
        <v/>
      </c>
      <c r="CP280" s="77">
        <f>IF(ISNUMBER($T280),YEAR($T280),"")</f>
        <v/>
      </c>
      <c r="CQ280" s="79">
        <f>IF(ISNUMBER($V280),$V280,IF(ISNUMBER($U280),$U280,""))</f>
        <v/>
      </c>
      <c r="CR280" s="77">
        <f>IF(ISNUMBER($CQ280),YEAR($CQ280),"")</f>
        <v/>
      </c>
      <c r="CS280" s="78">
        <f>IF(ISNUMBER($M280),MAX(0,$M280),IF(TRIM($M280&amp;"")="matured",0,""))</f>
        <v/>
      </c>
      <c r="CT280" s="78">
        <f>IF(AND(ISNUMBER($CS280),N($CS280)&lt;=mMatWindow),1,0)</f>
        <v/>
      </c>
      <c r="CU280" s="80">
        <f>IF(ISNUMBER($J280),$J280/100,"")</f>
        <v/>
      </c>
      <c r="CV280" s="81">
        <f>IF(ISNUMBER($AQ280),$AQ280,"")</f>
        <v/>
      </c>
      <c r="CW280" s="81">
        <f>IF(ISNUMBER($AR280),$AR280,"")</f>
        <v/>
      </c>
      <c r="CX280" s="82">
        <f>IF(ISNUMBER($AS280),$AS280/100,"")</f>
        <v/>
      </c>
      <c r="CY280" s="82">
        <f>IF(ISNUMBER($AT280),$AT280/100,"")</f>
        <v/>
      </c>
      <c r="CZ280" s="82">
        <f>IF(ISNUMBER($AU280),$AU280/100,"")</f>
        <v/>
      </c>
      <c r="DA280" s="82">
        <f>IF(ISNUMBER($AV280),$AV280/100,"")</f>
        <v/>
      </c>
      <c r="DB280" s="82">
        <f>IF(ISNUMBER($AW280),$AW280/100,"")</f>
        <v/>
      </c>
      <c r="DC280" s="82">
        <f>IF(ISNUMBER($AX280),$AX280/100,"")</f>
        <v/>
      </c>
      <c r="DD280" s="77">
        <f>IFERROR(VALUE(LEFT(TRIM($AO280&amp;""),4)),"")</f>
        <v/>
      </c>
      <c r="DE280" s="78">
        <f>IF(AND($BY280=1,$BX280=1,OR(fDeal="All Deals",$BU280=fDeal),OR(fEntity="All Entities",$BV280=fEntity),OR(fPType="All Property Types",$BZ280=fPType),OR(fDefeased="Include",$CJ280=0)),1,0)</f>
        <v/>
      </c>
      <c r="DF280" s="83">
        <f>$DE280*N($I280)</f>
        <v/>
      </c>
      <c r="DG280" s="78">
        <f>IF($DE280=1,IF(COUNTIFS($F$8:$F280,$F280,$DE$8:$DE280,1)=1,1,0),0)</f>
        <v/>
      </c>
      <c r="DH280" s="83">
        <f>IF($DG280=1,SUMIFS($DF$8:$DF$1600,$F$8:$F$1600,$F280),0)</f>
        <v/>
      </c>
      <c r="DI280" s="78">
        <f>IF($DG280=1,COUNTIFS($F$8:$F$1600,$F280,$DE$8:$DE$1600,1),0)</f>
        <v/>
      </c>
      <c r="DJ280" s="84">
        <f>IF($DG280=1,$DH280+(100000-ROW())/mTieBreak,0)</f>
        <v/>
      </c>
    </row>
    <row r="281">
      <c r="B281" s="68" t="n">
        <v>34</v>
      </c>
      <c r="C281" s="69" t="inlineStr">
        <is>
          <t>GS219G38</t>
        </is>
      </c>
      <c r="D281" s="69" t="inlineStr">
        <is>
          <t>34.000</t>
        </is>
      </c>
      <c r="E281" s="69" t="inlineStr">
        <is>
          <t>All Storage McCart</t>
        </is>
      </c>
      <c r="F281" s="69" t="inlineStr">
        <is>
          <t>LNGS219G38-34.000</t>
        </is>
      </c>
      <c r="G281" s="70" t="n"/>
      <c r="H281" s="71" t="n">
        <v>5500000</v>
      </c>
      <c r="I281" s="71" t="n">
        <v>5500000</v>
      </c>
      <c r="J281" s="72" t="n">
        <v>4.837</v>
      </c>
      <c r="K281" s="69" t="inlineStr">
        <is>
          <t>Fixed rate</t>
        </is>
      </c>
      <c r="L281" s="68" t="n">
        <v>116</v>
      </c>
      <c r="M281" s="68" t="n">
        <v>23</v>
      </c>
      <c r="N281" s="68" t="n">
        <v>116</v>
      </c>
      <c r="O281" s="68" t="n">
        <v>116</v>
      </c>
      <c r="P281" s="68" t="n">
        <v>23</v>
      </c>
      <c r="Q281" s="68" t="n">
        <v>93</v>
      </c>
      <c r="R281" s="69" t="inlineStr">
        <is>
          <t>IO</t>
        </is>
      </c>
      <c r="S281" s="69" t="inlineStr">
        <is>
          <t>Yes</t>
        </is>
      </c>
      <c r="T281" s="73" t="n">
        <v>43435</v>
      </c>
      <c r="U281" s="73" t="n">
        <v>46971</v>
      </c>
      <c r="V281" s="73" t="n"/>
      <c r="W281" s="69" t="n"/>
      <c r="X281" s="69" t="inlineStr">
        <is>
          <t>Current</t>
        </is>
      </c>
      <c r="Y281" s="68" t="n"/>
      <c r="Z281" s="69" t="inlineStr">
        <is>
          <t>Full Defeasance</t>
        </is>
      </c>
      <c r="AA281" s="69" t="inlineStr">
        <is>
          <t>Previously</t>
        </is>
      </c>
      <c r="AB281" s="69" t="inlineStr">
        <is>
          <t>Never special serv</t>
        </is>
      </c>
      <c r="AC281" s="73" t="n"/>
      <c r="AD281" s="69" t="n"/>
      <c r="AE281" s="69" t="n"/>
      <c r="AF281" s="69" t="inlineStr">
        <is>
          <t>TX</t>
        </is>
      </c>
      <c r="AG281" s="69" t="inlineStr">
        <is>
          <t>Fort Worth</t>
        </is>
      </c>
      <c r="AH281" s="69" t="inlineStr">
        <is>
          <t>Dallas-Fort Worth-Arlington, TX</t>
        </is>
      </c>
      <c r="AI281" s="69" t="inlineStr">
        <is>
          <t>South / Central West</t>
        </is>
      </c>
      <c r="AJ281" s="69" t="inlineStr">
        <is>
          <t>SS</t>
        </is>
      </c>
      <c r="AK281" s="69" t="n"/>
      <c r="AL281" s="68" t="n">
        <v>1</v>
      </c>
      <c r="AM281" s="68" t="n"/>
      <c r="AN281" s="68" t="n">
        <v>154514</v>
      </c>
      <c r="AO281" s="69" t="inlineStr">
        <is>
          <t>1924</t>
        </is>
      </c>
      <c r="AP281" s="70" t="n">
        <v>2014</v>
      </c>
      <c r="AQ281" s="74" t="n">
        <v>2.11</v>
      </c>
      <c r="AR281" s="74" t="n">
        <v>2.49</v>
      </c>
      <c r="AS281" s="74" t="n">
        <v>54.5</v>
      </c>
      <c r="AT281" s="74" t="n">
        <v>54.46</v>
      </c>
      <c r="AU281" s="74" t="n">
        <v>54.5</v>
      </c>
      <c r="AV281" s="74" t="n">
        <v>10.343203636</v>
      </c>
      <c r="AW281" s="74" t="n">
        <v>6.838344727</v>
      </c>
      <c r="AX281" s="75" t="n">
        <v>82</v>
      </c>
      <c r="AY281" s="71" t="n">
        <v>10100000</v>
      </c>
      <c r="AZ281" s="71" t="n">
        <v>10100000</v>
      </c>
      <c r="BA281" s="71" t="n">
        <v>568876.2</v>
      </c>
      <c r="BB281" s="71" t="n">
        <v>504708.8</v>
      </c>
      <c r="BC281" s="69" t="inlineStr">
        <is>
          <t>Refinance</t>
        </is>
      </c>
      <c r="BD281" s="69" t="inlineStr">
        <is>
          <t>N</t>
        </is>
      </c>
      <c r="BE281" s="71" t="n"/>
      <c r="BF281" s="71" t="n"/>
      <c r="BG281" s="71" t="n"/>
      <c r="BH281" s="71" t="n">
        <v>0</v>
      </c>
      <c r="BI281" s="71" t="n">
        <v>0</v>
      </c>
      <c r="BJ281" s="69" t="inlineStr">
        <is>
          <t>N</t>
        </is>
      </c>
      <c r="BK281" s="69" t="n"/>
      <c r="BL281" s="75" t="n"/>
      <c r="BM281" s="73" t="n"/>
      <c r="BN281" s="69" t="inlineStr">
        <is>
          <t>Jay Schuminsky</t>
        </is>
      </c>
      <c r="BO281" s="69" t="inlineStr">
        <is>
          <t>Goldman Sachs</t>
        </is>
      </c>
      <c r="BP281" s="69" t="inlineStr">
        <is>
          <t>TriMont Real Estate Advisors</t>
        </is>
      </c>
      <c r="BQ281" s="69" t="inlineStr">
        <is>
          <t>K-Star Asset Management LLC</t>
        </is>
      </c>
      <c r="BR281" s="69" t="n"/>
      <c r="BS281" s="73" t="n">
        <v>46273</v>
      </c>
      <c r="BU281" s="76">
        <f>IF($C281="","",IFERROR(INDEX(dmName,MATCH($C281,dmID,0)),"Unmapped"))</f>
        <v/>
      </c>
      <c r="BV281" s="76">
        <f>IF($C281="","",IFERROR(INDEX(dmEntity,MATCH($C281,dmID,0)),"Unmapped"))</f>
        <v/>
      </c>
      <c r="BW281" s="77">
        <f>IF($C281="","",IFERROR(INDEX(dmVintage,MATCH($C281,dmID,0)),""))</f>
        <v/>
      </c>
      <c r="BX281" s="78">
        <f>IFERROR(INDEX(dmInclude,MATCH($C281,dmID,0)),0)</f>
        <v/>
      </c>
      <c r="BY281" s="78">
        <f>IF(N($I281)&gt;0,1,0)</f>
        <v/>
      </c>
      <c r="BZ281" s="76">
        <f>IF($AJ281="","Other / Leased Fee",IFERROR(INDEX(mapPTGroup,MATCH(LEFT(TRIM($AJ281),2),mapPTCode,0)),"Other / Leased Fee"))</f>
        <v/>
      </c>
      <c r="CA281" s="76">
        <f>IF(TRIM($AF281&amp;"")="","NR",LEFT(TRIM($AF281),2))</f>
        <v/>
      </c>
      <c r="CB281" s="76">
        <f>IFERROR(LOOKUP(2,1/(LEFT(TRIM($AI281&amp;""),LEN(mapRegion))=mapRegion),mapRegion),"Not Reported")</f>
        <v/>
      </c>
      <c r="CC281" s="76">
        <f>IF($BY281=0,"",IF(TRIM($W281&amp;"")="REO","REO",IF(TRIM($W281&amp;"")="FC","Foreclosure",IF(TRIM($W281&amp;"")="90+","90+ Days Delinquent",IF(TRIM($W281&amp;"")="60","60 Days Delinquent",IF(TRIM($W281&amp;"")="30","30 Days Delinquent",IF($X281="Non-Performing Matured Balloon","Non-Performing Matured Balloon",IF(OR($X281="Late Payment But Less Than 30 Days Delinquent",LEFT($X281&amp;"",20)="Payment Not Received"),"Late / In Grace (&lt;30 Days)",IF($X281="Performing Matured Balloon","Performing Matured Balloon","Current")))))))))</f>
        <v/>
      </c>
      <c r="CD281" s="78">
        <f>IF(OR($CC281="REO",$CC281="Foreclosure",$CC281="90+ Days Delinquent",$CC281="60 Days Delinquent",$CC281="30 Days Delinquent",$CC281="Non-Performing Matured Balloon"),1,0)</f>
        <v/>
      </c>
      <c r="CE281" s="76">
        <f>IF($AB281="Currently special serv","Currently Specially Serviced",IF($AB281="Returned to master serv","Previously Specially Serviced","Never Specially Serviced"))</f>
        <v/>
      </c>
      <c r="CF281" s="78">
        <f>IF($CE281="Currently Specially Serviced",1,0)</f>
        <v/>
      </c>
      <c r="CG281" s="76">
        <f>IF($AA281="Yes","Currently on Watchlist",IF($AA281="Previously","Previously on Watchlist","Never on Watchlist"))</f>
        <v/>
      </c>
      <c r="CH281" s="78">
        <f>IF($CG281="Currently on Watchlist",1,0)</f>
        <v/>
      </c>
      <c r="CI281" s="76">
        <f>IF($Z281="Full Defeasance","Fully Defeased",IF($Z281="Portion Of Loan Previously Defeased","Partially Defeased",IF($Z281="Defeasance Not Allowable","Not Defeased (Not Permitted)","Not Defeased")))</f>
        <v/>
      </c>
      <c r="CJ281" s="78">
        <f>IF($CI281="Fully Defeased",1,0)</f>
        <v/>
      </c>
      <c r="CK281" s="76">
        <f>IF($R281="IO","Full IO",IF(LEFT($R281&amp;"",7)="IO then","Partial IO","Amortizing"))</f>
        <v/>
      </c>
      <c r="CL281" s="78">
        <f>IF($CK281="Full IO",1,0)</f>
        <v/>
      </c>
      <c r="CM281" s="78">
        <f>IF($CK281="Partial IO",1,0)</f>
        <v/>
      </c>
      <c r="CN281" s="76">
        <f>IF(LEFT($F281&amp;"",10)="SPLIT_LOAN","Pari Passu Split","Standalone")</f>
        <v/>
      </c>
      <c r="CO281" s="78">
        <f>IF($CN281="Pari Passu Split",1,0)</f>
        <v/>
      </c>
      <c r="CP281" s="77">
        <f>IF(ISNUMBER($T281),YEAR($T281),"")</f>
        <v/>
      </c>
      <c r="CQ281" s="79">
        <f>IF(ISNUMBER($V281),$V281,IF(ISNUMBER($U281),$U281,""))</f>
        <v/>
      </c>
      <c r="CR281" s="77">
        <f>IF(ISNUMBER($CQ281),YEAR($CQ281),"")</f>
        <v/>
      </c>
      <c r="CS281" s="78">
        <f>IF(ISNUMBER($M281),MAX(0,$M281),IF(TRIM($M281&amp;"")="matured",0,""))</f>
        <v/>
      </c>
      <c r="CT281" s="78">
        <f>IF(AND(ISNUMBER($CS281),N($CS281)&lt;=mMatWindow),1,0)</f>
        <v/>
      </c>
      <c r="CU281" s="80">
        <f>IF(ISNUMBER($J281),$J281/100,"")</f>
        <v/>
      </c>
      <c r="CV281" s="81">
        <f>IF(ISNUMBER($AQ281),$AQ281,"")</f>
        <v/>
      </c>
      <c r="CW281" s="81">
        <f>IF(ISNUMBER($AR281),$AR281,"")</f>
        <v/>
      </c>
      <c r="CX281" s="82">
        <f>IF(ISNUMBER($AS281),$AS281/100,"")</f>
        <v/>
      </c>
      <c r="CY281" s="82">
        <f>IF(ISNUMBER($AT281),$AT281/100,"")</f>
        <v/>
      </c>
      <c r="CZ281" s="82">
        <f>IF(ISNUMBER($AU281),$AU281/100,"")</f>
        <v/>
      </c>
      <c r="DA281" s="82">
        <f>IF(ISNUMBER($AV281),$AV281/100,"")</f>
        <v/>
      </c>
      <c r="DB281" s="82">
        <f>IF(ISNUMBER($AW281),$AW281/100,"")</f>
        <v/>
      </c>
      <c r="DC281" s="82">
        <f>IF(ISNUMBER($AX281),$AX281/100,"")</f>
        <v/>
      </c>
      <c r="DD281" s="77">
        <f>IFERROR(VALUE(LEFT(TRIM($AO281&amp;""),4)),"")</f>
        <v/>
      </c>
      <c r="DE281" s="78">
        <f>IF(AND($BY281=1,$BX281=1,OR(fDeal="All Deals",$BU281=fDeal),OR(fEntity="All Entities",$BV281=fEntity),OR(fPType="All Property Types",$BZ281=fPType),OR(fDefeased="Include",$CJ281=0)),1,0)</f>
        <v/>
      </c>
      <c r="DF281" s="83">
        <f>$DE281*N($I281)</f>
        <v/>
      </c>
      <c r="DG281" s="78">
        <f>IF($DE281=1,IF(COUNTIFS($F$8:$F281,$F281,$DE$8:$DE281,1)=1,1,0),0)</f>
        <v/>
      </c>
      <c r="DH281" s="83">
        <f>IF($DG281=1,SUMIFS($DF$8:$DF$1600,$F$8:$F$1600,$F281),0)</f>
        <v/>
      </c>
      <c r="DI281" s="78">
        <f>IF($DG281=1,COUNTIFS($F$8:$F$1600,$F281,$DE$8:$DE$1600,1),0)</f>
        <v/>
      </c>
      <c r="DJ281" s="84">
        <f>IF($DG281=1,$DH281+(100000-ROW())/mTieBreak,0)</f>
        <v/>
      </c>
    </row>
    <row r="282">
      <c r="B282" s="68" t="n">
        <v>35</v>
      </c>
      <c r="C282" s="69" t="inlineStr">
        <is>
          <t>GS219G38</t>
        </is>
      </c>
      <c r="D282" s="69" t="inlineStr">
        <is>
          <t>35.000</t>
        </is>
      </c>
      <c r="E282" s="69" t="inlineStr">
        <is>
          <t>Weis Plaza</t>
        </is>
      </c>
      <c r="F282" s="69" t="inlineStr">
        <is>
          <t>LNGS219G38-35.000</t>
        </is>
      </c>
      <c r="G282" s="70" t="n"/>
      <c r="H282" s="71" t="n">
        <v>5500000</v>
      </c>
      <c r="I282" s="71" t="n">
        <v>4853687.319998</v>
      </c>
      <c r="J282" s="72" t="n">
        <v>5.44</v>
      </c>
      <c r="K282" s="69" t="inlineStr">
        <is>
          <t>Fixed rate</t>
        </is>
      </c>
      <c r="L282" s="68" t="n">
        <v>120</v>
      </c>
      <c r="M282" s="68" t="n">
        <v>29</v>
      </c>
      <c r="N282" s="68" t="n">
        <v>360</v>
      </c>
      <c r="O282" s="68" t="n"/>
      <c r="P282" s="68" t="n"/>
      <c r="Q282" s="68" t="n">
        <v>91</v>
      </c>
      <c r="R282" s="69" t="n"/>
      <c r="S282" s="69" t="inlineStr">
        <is>
          <t>No</t>
        </is>
      </c>
      <c r="T282" s="73" t="n">
        <v>43497</v>
      </c>
      <c r="U282" s="73" t="n">
        <v>47155</v>
      </c>
      <c r="V282" s="73" t="n"/>
      <c r="W282" s="69" t="n"/>
      <c r="X282" s="69" t="inlineStr">
        <is>
          <t>Current</t>
        </is>
      </c>
      <c r="Y282" s="68" t="n"/>
      <c r="Z282" s="69" t="inlineStr">
        <is>
          <t>No Defeasance Occurred</t>
        </is>
      </c>
      <c r="AA282" s="69" t="inlineStr">
        <is>
          <t>Previously</t>
        </is>
      </c>
      <c r="AB282" s="69" t="inlineStr">
        <is>
          <t>Never special serv</t>
        </is>
      </c>
      <c r="AC282" s="73" t="n"/>
      <c r="AD282" s="69" t="n"/>
      <c r="AE282" s="69" t="n"/>
      <c r="AF282" s="69" t="inlineStr">
        <is>
          <t>PA</t>
        </is>
      </c>
      <c r="AG282" s="69" t="inlineStr">
        <is>
          <t>Kutztown</t>
        </is>
      </c>
      <c r="AH282" s="69" t="inlineStr">
        <is>
          <t>Reading, PA</t>
        </is>
      </c>
      <c r="AI282" s="69" t="inlineStr">
        <is>
          <t>Northeast / Mid-Atlantic</t>
        </is>
      </c>
      <c r="AJ282" s="69" t="inlineStr">
        <is>
          <t>RT</t>
        </is>
      </c>
      <c r="AK282" s="69" t="inlineStr">
        <is>
          <t>Anchored</t>
        </is>
      </c>
      <c r="AL282" s="68" t="n">
        <v>1</v>
      </c>
      <c r="AM282" s="68" t="n"/>
      <c r="AN282" s="68" t="n">
        <v>115340</v>
      </c>
      <c r="AO282" s="69" t="inlineStr">
        <is>
          <t>1972</t>
        </is>
      </c>
      <c r="AP282" s="70" t="n">
        <v>2006</v>
      </c>
      <c r="AQ282" s="74" t="n">
        <v>1.25</v>
      </c>
      <c r="AR282" s="74" t="n">
        <v>1.38</v>
      </c>
      <c r="AS282" s="74" t="n">
        <v>67.90000000000001</v>
      </c>
      <c r="AT282" s="74" t="n">
        <v>59.92</v>
      </c>
      <c r="AU282" s="74" t="n">
        <v>56.6</v>
      </c>
      <c r="AV282" s="74" t="n">
        <v>8.441888544999999</v>
      </c>
      <c r="AW282" s="74" t="n">
        <v>11.725553841</v>
      </c>
      <c r="AX282" s="75" t="n">
        <v>98</v>
      </c>
      <c r="AY282" s="71" t="n">
        <v>8100000</v>
      </c>
      <c r="AZ282" s="71" t="n">
        <v>8100000</v>
      </c>
      <c r="BA282" s="71" t="n">
        <v>464303.87</v>
      </c>
      <c r="BB282" s="71" t="n">
        <v>257428.4</v>
      </c>
      <c r="BC282" s="69" t="inlineStr">
        <is>
          <t>Refinance</t>
        </is>
      </c>
      <c r="BD282" s="69" t="inlineStr">
        <is>
          <t>N</t>
        </is>
      </c>
      <c r="BE282" s="71" t="n"/>
      <c r="BF282" s="71" t="n"/>
      <c r="BG282" s="71" t="n"/>
      <c r="BH282" s="71" t="n">
        <v>0</v>
      </c>
      <c r="BI282" s="71" t="n">
        <v>0</v>
      </c>
      <c r="BJ282" s="69" t="inlineStr">
        <is>
          <t>N</t>
        </is>
      </c>
      <c r="BK282" s="69" t="inlineStr">
        <is>
          <t>Weis Markets</t>
        </is>
      </c>
      <c r="BL282" s="75" t="n">
        <v>49.08</v>
      </c>
      <c r="BM282" s="73" t="n">
        <v>48244</v>
      </c>
      <c r="BN282" s="69" t="inlineStr">
        <is>
          <t>Mike M. Nassimi</t>
        </is>
      </c>
      <c r="BO282" s="69" t="inlineStr">
        <is>
          <t>Goldman Sachs</t>
        </is>
      </c>
      <c r="BP282" s="69" t="inlineStr">
        <is>
          <t>TriMont Real Estate Advisors</t>
        </is>
      </c>
      <c r="BQ282" s="69" t="inlineStr">
        <is>
          <t>K-Star Asset Management LLC</t>
        </is>
      </c>
      <c r="BR282" s="69" t="n"/>
      <c r="BS282" s="73" t="n">
        <v>46273</v>
      </c>
      <c r="BU282" s="76">
        <f>IF($C282="","",IFERROR(INDEX(dmName,MATCH($C282,dmID,0)),"Unmapped"))</f>
        <v/>
      </c>
      <c r="BV282" s="76">
        <f>IF($C282="","",IFERROR(INDEX(dmEntity,MATCH($C282,dmID,0)),"Unmapped"))</f>
        <v/>
      </c>
      <c r="BW282" s="77">
        <f>IF($C282="","",IFERROR(INDEX(dmVintage,MATCH($C282,dmID,0)),""))</f>
        <v/>
      </c>
      <c r="BX282" s="78">
        <f>IFERROR(INDEX(dmInclude,MATCH($C282,dmID,0)),0)</f>
        <v/>
      </c>
      <c r="BY282" s="78">
        <f>IF(N($I282)&gt;0,1,0)</f>
        <v/>
      </c>
      <c r="BZ282" s="76">
        <f>IF($AJ282="","Other / Leased Fee",IFERROR(INDEX(mapPTGroup,MATCH(LEFT(TRIM($AJ282),2),mapPTCode,0)),"Other / Leased Fee"))</f>
        <v/>
      </c>
      <c r="CA282" s="76">
        <f>IF(TRIM($AF282&amp;"")="","NR",LEFT(TRIM($AF282),2))</f>
        <v/>
      </c>
      <c r="CB282" s="76">
        <f>IFERROR(LOOKUP(2,1/(LEFT(TRIM($AI282&amp;""),LEN(mapRegion))=mapRegion),mapRegion),"Not Reported")</f>
        <v/>
      </c>
      <c r="CC282" s="76">
        <f>IF($BY282=0,"",IF(TRIM($W282&amp;"")="REO","REO",IF(TRIM($W282&amp;"")="FC","Foreclosure",IF(TRIM($W282&amp;"")="90+","90+ Days Delinquent",IF(TRIM($W282&amp;"")="60","60 Days Delinquent",IF(TRIM($W282&amp;"")="30","30 Days Delinquent",IF($X282="Non-Performing Matured Balloon","Non-Performing Matured Balloon",IF(OR($X282="Late Payment But Less Than 30 Days Delinquent",LEFT($X282&amp;"",20)="Payment Not Received"),"Late / In Grace (&lt;30 Days)",IF($X282="Performing Matured Balloon","Performing Matured Balloon","Current")))))))))</f>
        <v/>
      </c>
      <c r="CD282" s="78">
        <f>IF(OR($CC282="REO",$CC282="Foreclosure",$CC282="90+ Days Delinquent",$CC282="60 Days Delinquent",$CC282="30 Days Delinquent",$CC282="Non-Performing Matured Balloon"),1,0)</f>
        <v/>
      </c>
      <c r="CE282" s="76">
        <f>IF($AB282="Currently special serv","Currently Specially Serviced",IF($AB282="Returned to master serv","Previously Specially Serviced","Never Specially Serviced"))</f>
        <v/>
      </c>
      <c r="CF282" s="78">
        <f>IF($CE282="Currently Specially Serviced",1,0)</f>
        <v/>
      </c>
      <c r="CG282" s="76">
        <f>IF($AA282="Yes","Currently on Watchlist",IF($AA282="Previously","Previously on Watchlist","Never on Watchlist"))</f>
        <v/>
      </c>
      <c r="CH282" s="78">
        <f>IF($CG282="Currently on Watchlist",1,0)</f>
        <v/>
      </c>
      <c r="CI282" s="76">
        <f>IF($Z282="Full Defeasance","Fully Defeased",IF($Z282="Portion Of Loan Previously Defeased","Partially Defeased",IF($Z282="Defeasance Not Allowable","Not Defeased (Not Permitted)","Not Defeased")))</f>
        <v/>
      </c>
      <c r="CJ282" s="78">
        <f>IF($CI282="Fully Defeased",1,0)</f>
        <v/>
      </c>
      <c r="CK282" s="76">
        <f>IF($R282="IO","Full IO",IF(LEFT($R282&amp;"",7)="IO then","Partial IO","Amortizing"))</f>
        <v/>
      </c>
      <c r="CL282" s="78">
        <f>IF($CK282="Full IO",1,0)</f>
        <v/>
      </c>
      <c r="CM282" s="78">
        <f>IF($CK282="Partial IO",1,0)</f>
        <v/>
      </c>
      <c r="CN282" s="76">
        <f>IF(LEFT($F282&amp;"",10)="SPLIT_LOAN","Pari Passu Split","Standalone")</f>
        <v/>
      </c>
      <c r="CO282" s="78">
        <f>IF($CN282="Pari Passu Split",1,0)</f>
        <v/>
      </c>
      <c r="CP282" s="77">
        <f>IF(ISNUMBER($T282),YEAR($T282),"")</f>
        <v/>
      </c>
      <c r="CQ282" s="79">
        <f>IF(ISNUMBER($V282),$V282,IF(ISNUMBER($U282),$U282,""))</f>
        <v/>
      </c>
      <c r="CR282" s="77">
        <f>IF(ISNUMBER($CQ282),YEAR($CQ282),"")</f>
        <v/>
      </c>
      <c r="CS282" s="78">
        <f>IF(ISNUMBER($M282),MAX(0,$M282),IF(TRIM($M282&amp;"")="matured",0,""))</f>
        <v/>
      </c>
      <c r="CT282" s="78">
        <f>IF(AND(ISNUMBER($CS282),N($CS282)&lt;=mMatWindow),1,0)</f>
        <v/>
      </c>
      <c r="CU282" s="80">
        <f>IF(ISNUMBER($J282),$J282/100,"")</f>
        <v/>
      </c>
      <c r="CV282" s="81">
        <f>IF(ISNUMBER($AQ282),$AQ282,"")</f>
        <v/>
      </c>
      <c r="CW282" s="81">
        <f>IF(ISNUMBER($AR282),$AR282,"")</f>
        <v/>
      </c>
      <c r="CX282" s="82">
        <f>IF(ISNUMBER($AS282),$AS282/100,"")</f>
        <v/>
      </c>
      <c r="CY282" s="82">
        <f>IF(ISNUMBER($AT282),$AT282/100,"")</f>
        <v/>
      </c>
      <c r="CZ282" s="82">
        <f>IF(ISNUMBER($AU282),$AU282/100,"")</f>
        <v/>
      </c>
      <c r="DA282" s="82">
        <f>IF(ISNUMBER($AV282),$AV282/100,"")</f>
        <v/>
      </c>
      <c r="DB282" s="82">
        <f>IF(ISNUMBER($AW282),$AW282/100,"")</f>
        <v/>
      </c>
      <c r="DC282" s="82">
        <f>IF(ISNUMBER($AX282),$AX282/100,"")</f>
        <v/>
      </c>
      <c r="DD282" s="77">
        <f>IFERROR(VALUE(LEFT(TRIM($AO282&amp;""),4)),"")</f>
        <v/>
      </c>
      <c r="DE282" s="78">
        <f>IF(AND($BY282=1,$BX282=1,OR(fDeal="All Deals",$BU282=fDeal),OR(fEntity="All Entities",$BV282=fEntity),OR(fPType="All Property Types",$BZ282=fPType),OR(fDefeased="Include",$CJ282=0)),1,0)</f>
        <v/>
      </c>
      <c r="DF282" s="83">
        <f>$DE282*N($I282)</f>
        <v/>
      </c>
      <c r="DG282" s="78">
        <f>IF($DE282=1,IF(COUNTIFS($F$8:$F282,$F282,$DE$8:$DE282,1)=1,1,0),0)</f>
        <v/>
      </c>
      <c r="DH282" s="83">
        <f>IF($DG282=1,SUMIFS($DF$8:$DF$1600,$F$8:$F$1600,$F282),0)</f>
        <v/>
      </c>
      <c r="DI282" s="78">
        <f>IF($DG282=1,COUNTIFS($F$8:$F$1600,$F282,$DE$8:$DE$1600,1),0)</f>
        <v/>
      </c>
      <c r="DJ282" s="84">
        <f>IF($DG282=1,$DH282+(100000-ROW())/mTieBreak,0)</f>
        <v/>
      </c>
    </row>
    <row r="283">
      <c r="B283" s="68" t="n">
        <v>36</v>
      </c>
      <c r="C283" s="69" t="inlineStr">
        <is>
          <t>GS219G38</t>
        </is>
      </c>
      <c r="D283" s="69" t="inlineStr">
        <is>
          <t>36.000</t>
        </is>
      </c>
      <c r="E283" s="69" t="inlineStr">
        <is>
          <t>Storage Sense Colorado Springs</t>
        </is>
      </c>
      <c r="F283" s="69" t="inlineStr">
        <is>
          <t>LNGS219G38-36.000</t>
        </is>
      </c>
      <c r="G283" s="70" t="n"/>
      <c r="H283" s="71" t="n">
        <v>2020000</v>
      </c>
      <c r="I283" s="71" t="n">
        <v>1888545.83999936</v>
      </c>
      <c r="J283" s="72" t="n">
        <v>5.45</v>
      </c>
      <c r="K283" s="69" t="inlineStr">
        <is>
          <t>Fixed rate</t>
        </is>
      </c>
      <c r="L283" s="68" t="n">
        <v>120</v>
      </c>
      <c r="M283" s="68" t="n">
        <v>29</v>
      </c>
      <c r="N283" s="68" t="n">
        <v>396</v>
      </c>
      <c r="O283" s="68" t="n">
        <v>36</v>
      </c>
      <c r="P283" s="68" t="n">
        <v>0</v>
      </c>
      <c r="Q283" s="68" t="n">
        <v>91</v>
      </c>
      <c r="R283" s="69" t="inlineStr">
        <is>
          <t>IO then Amort</t>
        </is>
      </c>
      <c r="S283" s="69" t="inlineStr">
        <is>
          <t>No</t>
        </is>
      </c>
      <c r="T283" s="73" t="n">
        <v>43497</v>
      </c>
      <c r="U283" s="73" t="n">
        <v>47155</v>
      </c>
      <c r="V283" s="73" t="n"/>
      <c r="W283" s="69" t="n"/>
      <c r="X283" s="69" t="inlineStr">
        <is>
          <t>Current</t>
        </is>
      </c>
      <c r="Y283" s="68" t="n"/>
      <c r="Z283" s="69" t="inlineStr">
        <is>
          <t>No Defeasance Occurred</t>
        </is>
      </c>
      <c r="AA283" s="69" t="inlineStr">
        <is>
          <t>Previously</t>
        </is>
      </c>
      <c r="AB283" s="69" t="inlineStr">
        <is>
          <t>Never special serv</t>
        </is>
      </c>
      <c r="AC283" s="73" t="n"/>
      <c r="AD283" s="69" t="n"/>
      <c r="AE283" s="69" t="n"/>
      <c r="AF283" s="69" t="inlineStr">
        <is>
          <t>CO</t>
        </is>
      </c>
      <c r="AG283" s="69" t="inlineStr">
        <is>
          <t>Colorado Springs</t>
        </is>
      </c>
      <c r="AH283" s="69" t="inlineStr">
        <is>
          <t>Colorado Springs, CO</t>
        </is>
      </c>
      <c r="AI283" s="69" t="inlineStr">
        <is>
          <t>West / Mountain</t>
        </is>
      </c>
      <c r="AJ283" s="69" t="inlineStr">
        <is>
          <t>SS</t>
        </is>
      </c>
      <c r="AK283" s="69" t="n"/>
      <c r="AL283" s="68" t="n">
        <v>1</v>
      </c>
      <c r="AM283" s="68" t="n"/>
      <c r="AN283" s="68" t="n">
        <v>32945</v>
      </c>
      <c r="AO283" s="69" t="inlineStr">
        <is>
          <t>1996</t>
        </is>
      </c>
      <c r="AP283" s="70" t="n">
        <v>1996</v>
      </c>
      <c r="AQ283" s="74" t="n">
        <v>1.33</v>
      </c>
      <c r="AR283" s="74" t="n">
        <v>1.65</v>
      </c>
      <c r="AS283" s="74" t="n">
        <v>66.2</v>
      </c>
      <c r="AT283" s="74" t="n">
        <v>61.92</v>
      </c>
      <c r="AU283" s="74" t="n">
        <v>59.19</v>
      </c>
      <c r="AV283" s="74" t="n">
        <v>8.997722771999999</v>
      </c>
      <c r="AW283" s="74" t="n">
        <v>12.145638466</v>
      </c>
      <c r="AX283" s="75" t="n">
        <v>94</v>
      </c>
      <c r="AY283" s="71" t="n">
        <v>3050000</v>
      </c>
      <c r="AZ283" s="71" t="n">
        <v>3050000</v>
      </c>
      <c r="BA283" s="71" t="n">
        <v>181754</v>
      </c>
      <c r="BB283" s="71" t="n">
        <v>112662.4</v>
      </c>
      <c r="BC283" s="69" t="inlineStr">
        <is>
          <t>Acquisition</t>
        </is>
      </c>
      <c r="BD283" s="69" t="inlineStr">
        <is>
          <t>N</t>
        </is>
      </c>
      <c r="BE283" s="71" t="n"/>
      <c r="BF283" s="71" t="n"/>
      <c r="BG283" s="71" t="n"/>
      <c r="BH283" s="71" t="n">
        <v>0</v>
      </c>
      <c r="BI283" s="71" t="n">
        <v>0</v>
      </c>
      <c r="BJ283" s="69" t="inlineStr">
        <is>
          <t>N</t>
        </is>
      </c>
      <c r="BK283" s="69" t="n"/>
      <c r="BL283" s="75" t="n"/>
      <c r="BM283" s="73" t="n"/>
      <c r="BN283" s="69" t="inlineStr">
        <is>
          <t>George Thacker, Lawrence Charles Kaplan, and Richard Schontz</t>
        </is>
      </c>
      <c r="BO283" s="69" t="inlineStr">
        <is>
          <t>Citigroup Global Markets</t>
        </is>
      </c>
      <c r="BP283" s="69" t="inlineStr">
        <is>
          <t>TriMont Real Estate Advisors</t>
        </is>
      </c>
      <c r="BQ283" s="69" t="inlineStr">
        <is>
          <t>K-Star Asset Management LLC</t>
        </is>
      </c>
      <c r="BR283" s="69" t="n"/>
      <c r="BS283" s="73" t="n">
        <v>46273</v>
      </c>
      <c r="BU283" s="76">
        <f>IF($C283="","",IFERROR(INDEX(dmName,MATCH($C283,dmID,0)),"Unmapped"))</f>
        <v/>
      </c>
      <c r="BV283" s="76">
        <f>IF($C283="","",IFERROR(INDEX(dmEntity,MATCH($C283,dmID,0)),"Unmapped"))</f>
        <v/>
      </c>
      <c r="BW283" s="77">
        <f>IF($C283="","",IFERROR(INDEX(dmVintage,MATCH($C283,dmID,0)),""))</f>
        <v/>
      </c>
      <c r="BX283" s="78">
        <f>IFERROR(INDEX(dmInclude,MATCH($C283,dmID,0)),0)</f>
        <v/>
      </c>
      <c r="BY283" s="78">
        <f>IF(N($I283)&gt;0,1,0)</f>
        <v/>
      </c>
      <c r="BZ283" s="76">
        <f>IF($AJ283="","Other / Leased Fee",IFERROR(INDEX(mapPTGroup,MATCH(LEFT(TRIM($AJ283),2),mapPTCode,0)),"Other / Leased Fee"))</f>
        <v/>
      </c>
      <c r="CA283" s="76">
        <f>IF(TRIM($AF283&amp;"")="","NR",LEFT(TRIM($AF283),2))</f>
        <v/>
      </c>
      <c r="CB283" s="76">
        <f>IFERROR(LOOKUP(2,1/(LEFT(TRIM($AI283&amp;""),LEN(mapRegion))=mapRegion),mapRegion),"Not Reported")</f>
        <v/>
      </c>
      <c r="CC283" s="76">
        <f>IF($BY283=0,"",IF(TRIM($W283&amp;"")="REO","REO",IF(TRIM($W283&amp;"")="FC","Foreclosure",IF(TRIM($W283&amp;"")="90+","90+ Days Delinquent",IF(TRIM($W283&amp;"")="60","60 Days Delinquent",IF(TRIM($W283&amp;"")="30","30 Days Delinquent",IF($X283="Non-Performing Matured Balloon","Non-Performing Matured Balloon",IF(OR($X283="Late Payment But Less Than 30 Days Delinquent",LEFT($X283&amp;"",20)="Payment Not Received"),"Late / In Grace (&lt;30 Days)",IF($X283="Performing Matured Balloon","Performing Matured Balloon","Current")))))))))</f>
        <v/>
      </c>
      <c r="CD283" s="78">
        <f>IF(OR($CC283="REO",$CC283="Foreclosure",$CC283="90+ Days Delinquent",$CC283="60 Days Delinquent",$CC283="30 Days Delinquent",$CC283="Non-Performing Matured Balloon"),1,0)</f>
        <v/>
      </c>
      <c r="CE283" s="76">
        <f>IF($AB283="Currently special serv","Currently Specially Serviced",IF($AB283="Returned to master serv","Previously Specially Serviced","Never Specially Serviced"))</f>
        <v/>
      </c>
      <c r="CF283" s="78">
        <f>IF($CE283="Currently Specially Serviced",1,0)</f>
        <v/>
      </c>
      <c r="CG283" s="76">
        <f>IF($AA283="Yes","Currently on Watchlist",IF($AA283="Previously","Previously on Watchlist","Never on Watchlist"))</f>
        <v/>
      </c>
      <c r="CH283" s="78">
        <f>IF($CG283="Currently on Watchlist",1,0)</f>
        <v/>
      </c>
      <c r="CI283" s="76">
        <f>IF($Z283="Full Defeasance","Fully Defeased",IF($Z283="Portion Of Loan Previously Defeased","Partially Defeased",IF($Z283="Defeasance Not Allowable","Not Defeased (Not Permitted)","Not Defeased")))</f>
        <v/>
      </c>
      <c r="CJ283" s="78">
        <f>IF($CI283="Fully Defeased",1,0)</f>
        <v/>
      </c>
      <c r="CK283" s="76">
        <f>IF($R283="IO","Full IO",IF(LEFT($R283&amp;"",7)="IO then","Partial IO","Amortizing"))</f>
        <v/>
      </c>
      <c r="CL283" s="78">
        <f>IF($CK283="Full IO",1,0)</f>
        <v/>
      </c>
      <c r="CM283" s="78">
        <f>IF($CK283="Partial IO",1,0)</f>
        <v/>
      </c>
      <c r="CN283" s="76">
        <f>IF(LEFT($F283&amp;"",10)="SPLIT_LOAN","Pari Passu Split","Standalone")</f>
        <v/>
      </c>
      <c r="CO283" s="78">
        <f>IF($CN283="Pari Passu Split",1,0)</f>
        <v/>
      </c>
      <c r="CP283" s="77">
        <f>IF(ISNUMBER($T283),YEAR($T283),"")</f>
        <v/>
      </c>
      <c r="CQ283" s="79">
        <f>IF(ISNUMBER($V283),$V283,IF(ISNUMBER($U283),$U283,""))</f>
        <v/>
      </c>
      <c r="CR283" s="77">
        <f>IF(ISNUMBER($CQ283),YEAR($CQ283),"")</f>
        <v/>
      </c>
      <c r="CS283" s="78">
        <f>IF(ISNUMBER($M283),MAX(0,$M283),IF(TRIM($M283&amp;"")="matured",0,""))</f>
        <v/>
      </c>
      <c r="CT283" s="78">
        <f>IF(AND(ISNUMBER($CS283),N($CS283)&lt;=mMatWindow),1,0)</f>
        <v/>
      </c>
      <c r="CU283" s="80">
        <f>IF(ISNUMBER($J283),$J283/100,"")</f>
        <v/>
      </c>
      <c r="CV283" s="81">
        <f>IF(ISNUMBER($AQ283),$AQ283,"")</f>
        <v/>
      </c>
      <c r="CW283" s="81">
        <f>IF(ISNUMBER($AR283),$AR283,"")</f>
        <v/>
      </c>
      <c r="CX283" s="82">
        <f>IF(ISNUMBER($AS283),$AS283/100,"")</f>
        <v/>
      </c>
      <c r="CY283" s="82">
        <f>IF(ISNUMBER($AT283),$AT283/100,"")</f>
        <v/>
      </c>
      <c r="CZ283" s="82">
        <f>IF(ISNUMBER($AU283),$AU283/100,"")</f>
        <v/>
      </c>
      <c r="DA283" s="82">
        <f>IF(ISNUMBER($AV283),$AV283/100,"")</f>
        <v/>
      </c>
      <c r="DB283" s="82">
        <f>IF(ISNUMBER($AW283),$AW283/100,"")</f>
        <v/>
      </c>
      <c r="DC283" s="82">
        <f>IF(ISNUMBER($AX283),$AX283/100,"")</f>
        <v/>
      </c>
      <c r="DD283" s="77">
        <f>IFERROR(VALUE(LEFT(TRIM($AO283&amp;""),4)),"")</f>
        <v/>
      </c>
      <c r="DE283" s="78">
        <f>IF(AND($BY283=1,$BX283=1,OR(fDeal="All Deals",$BU283=fDeal),OR(fEntity="All Entities",$BV283=fEntity),OR(fPType="All Property Types",$BZ283=fPType),OR(fDefeased="Include",$CJ283=0)),1,0)</f>
        <v/>
      </c>
      <c r="DF283" s="83">
        <f>$DE283*N($I283)</f>
        <v/>
      </c>
      <c r="DG283" s="78">
        <f>IF($DE283=1,IF(COUNTIFS($F$8:$F283,$F283,$DE$8:$DE283,1)=1,1,0),0)</f>
        <v/>
      </c>
      <c r="DH283" s="83">
        <f>IF($DG283=1,SUMIFS($DF$8:$DF$1600,$F$8:$F$1600,$F283),0)</f>
        <v/>
      </c>
      <c r="DI283" s="78">
        <f>IF($DG283=1,COUNTIFS($F$8:$F$1600,$F283,$DE$8:$DE$1600,1),0)</f>
        <v/>
      </c>
      <c r="DJ283" s="84">
        <f>IF($DG283=1,$DH283+(100000-ROW())/mTieBreak,0)</f>
        <v/>
      </c>
    </row>
    <row r="284">
      <c r="B284" s="68" t="n">
        <v>1</v>
      </c>
      <c r="C284" s="69" t="inlineStr">
        <is>
          <t>GS217GS8</t>
        </is>
      </c>
      <c r="D284" s="69" t="inlineStr">
        <is>
          <t>1.TR</t>
        </is>
      </c>
      <c r="E284" s="69" t="inlineStr">
        <is>
          <t>Worldwide Plaza - Trust</t>
        </is>
      </c>
      <c r="F284" s="69" t="inlineStr">
        <is>
          <t>SPLIT_LOAN_01113</t>
        </is>
      </c>
      <c r="G284" s="70" t="n">
        <v>1113</v>
      </c>
      <c r="H284" s="71" t="n">
        <v>100000000</v>
      </c>
      <c r="I284" s="71" t="n">
        <v>100000000</v>
      </c>
      <c r="J284" s="72" t="n">
        <v>3.6045426</v>
      </c>
      <c r="K284" s="69" t="inlineStr">
        <is>
          <t>Fixed rate</t>
        </is>
      </c>
      <c r="L284" s="68" t="n">
        <v>120</v>
      </c>
      <c r="M284" s="68" t="n">
        <v>14</v>
      </c>
      <c r="N284" s="68" t="n">
        <v>120</v>
      </c>
      <c r="O284" s="68" t="n">
        <v>120</v>
      </c>
      <c r="P284" s="68" t="n">
        <v>14</v>
      </c>
      <c r="Q284" s="68" t="n">
        <v>106</v>
      </c>
      <c r="R284" s="69" t="inlineStr">
        <is>
          <t>IO</t>
        </is>
      </c>
      <c r="S284" s="69" t="inlineStr">
        <is>
          <t>Yes</t>
        </is>
      </c>
      <c r="T284" s="73" t="n">
        <v>43040</v>
      </c>
      <c r="U284" s="73" t="n">
        <v>46697</v>
      </c>
      <c r="V284" s="73" t="n"/>
      <c r="W284" s="69" t="inlineStr">
        <is>
          <t>90+</t>
        </is>
      </c>
      <c r="X284" s="69" t="inlineStr">
        <is>
          <t>121+ Days Delinquent</t>
        </is>
      </c>
      <c r="Y284" s="68" t="n">
        <v>9</v>
      </c>
      <c r="Z284" s="69" t="inlineStr">
        <is>
          <t>No Defeasance Occurred</t>
        </is>
      </c>
      <c r="AA284" s="69" t="inlineStr">
        <is>
          <t>Previously</t>
        </is>
      </c>
      <c r="AB284" s="69" t="inlineStr">
        <is>
          <t>Currently special serv</t>
        </is>
      </c>
      <c r="AC284" s="73" t="n">
        <v>45548</v>
      </c>
      <c r="AD284" s="69" t="inlineStr">
        <is>
          <t>Imminent Monetary Default (excluding Balloon/Maturity Default &amp; Single Tenant Bankruptcy/Vacate)</t>
        </is>
      </c>
      <c r="AE284" s="69" t="inlineStr">
        <is>
          <t>Foreclosure</t>
        </is>
      </c>
      <c r="AF284" s="69" t="inlineStr">
        <is>
          <t>NY</t>
        </is>
      </c>
      <c r="AG284" s="69" t="inlineStr">
        <is>
          <t>New York</t>
        </is>
      </c>
      <c r="AH284" s="69" t="inlineStr">
        <is>
          <t>New York-Newark-Jersey City, NY-NJ</t>
        </is>
      </c>
      <c r="AI284" s="69" t="inlineStr">
        <is>
          <t>Northeast / Mid-Atlantic</t>
        </is>
      </c>
      <c r="AJ284" s="69" t="inlineStr">
        <is>
          <t>OF</t>
        </is>
      </c>
      <c r="AK284" s="69" t="inlineStr">
        <is>
          <t>CBD</t>
        </is>
      </c>
      <c r="AL284" s="68" t="n">
        <v>1</v>
      </c>
      <c r="AM284" s="68" t="n"/>
      <c r="AN284" s="68" t="n">
        <v>2049553</v>
      </c>
      <c r="AO284" s="69" t="inlineStr">
        <is>
          <t>1987</t>
        </is>
      </c>
      <c r="AP284" s="70" t="n">
        <v>1996</v>
      </c>
      <c r="AQ284" s="74" t="n">
        <v>3.77</v>
      </c>
      <c r="AR284" s="74" t="n">
        <v>1.49</v>
      </c>
      <c r="AS284" s="74" t="n">
        <v>35.42</v>
      </c>
      <c r="AT284" s="74" t="n">
        <v>134.56</v>
      </c>
      <c r="AU284" s="74" t="n">
        <v>35.42</v>
      </c>
      <c r="AV284" s="74" t="n">
        <v>13.795830994</v>
      </c>
      <c r="AW284" s="74" t="n">
        <v>11.927477843</v>
      </c>
      <c r="AX284" s="75" t="n">
        <v>62</v>
      </c>
      <c r="AY284" s="71" t="n">
        <v>1740000000</v>
      </c>
      <c r="AZ284" s="71" t="n">
        <v>458000000</v>
      </c>
      <c r="BA284" s="71" t="n">
        <v>85021775</v>
      </c>
      <c r="BB284" s="71" t="n">
        <v>25239000</v>
      </c>
      <c r="BC284" s="69" t="inlineStr">
        <is>
          <t>Refinance</t>
        </is>
      </c>
      <c r="BD284" s="69" t="inlineStr">
        <is>
          <t>N</t>
        </is>
      </c>
      <c r="BE284" s="71" t="n">
        <v>516286000</v>
      </c>
      <c r="BF284" s="71" t="n">
        <v>323714000</v>
      </c>
      <c r="BG284" s="71" t="n">
        <v>260000000</v>
      </c>
      <c r="BH284" s="71" t="n">
        <v>34609940</v>
      </c>
      <c r="BI284" s="71" t="n">
        <v>2283001.23</v>
      </c>
      <c r="BJ284" s="69" t="inlineStr">
        <is>
          <t>Y</t>
        </is>
      </c>
      <c r="BK284" s="69" t="inlineStr">
        <is>
          <t>nomura holding</t>
        </is>
      </c>
      <c r="BL284" s="75" t="n">
        <v>34.4</v>
      </c>
      <c r="BM284" s="73" t="n">
        <v>48852</v>
      </c>
      <c r="BN284" s="69" t="inlineStr">
        <is>
          <t>SL Green Operating Partnership, L.P., RXR Real Estate Value Added Fund - Fund III LP, RXR RE VAF - Fund III Parallel A LP, RXR RE VAF - Fund III Parallel B LP, RXR RE VAF - Fund III Parallel B (REIT) LP, RXR RE VAF - Fund III Parallel C LP and RXR RE VAF - Fund III Parallel D LP</t>
        </is>
      </c>
      <c r="BO284" s="69" t="inlineStr">
        <is>
          <t>Goldman Sachs</t>
        </is>
      </c>
      <c r="BP284" s="69" t="inlineStr">
        <is>
          <t>TriMont Real Estate Advisors</t>
        </is>
      </c>
      <c r="BQ284" s="69" t="inlineStr">
        <is>
          <t>Situs</t>
        </is>
      </c>
      <c r="BR284" s="69" t="n"/>
      <c r="BS284" s="73" t="n">
        <v>46273</v>
      </c>
      <c r="BU284" s="76">
        <f>IF($C284="","",IFERROR(INDEX(dmName,MATCH($C284,dmID,0)),"Unmapped"))</f>
        <v/>
      </c>
      <c r="BV284" s="76">
        <f>IF($C284="","",IFERROR(INDEX(dmEntity,MATCH($C284,dmID,0)),"Unmapped"))</f>
        <v/>
      </c>
      <c r="BW284" s="77">
        <f>IF($C284="","",IFERROR(INDEX(dmVintage,MATCH($C284,dmID,0)),""))</f>
        <v/>
      </c>
      <c r="BX284" s="78">
        <f>IFERROR(INDEX(dmInclude,MATCH($C284,dmID,0)),0)</f>
        <v/>
      </c>
      <c r="BY284" s="78">
        <f>IF(N($I284)&gt;0,1,0)</f>
        <v/>
      </c>
      <c r="BZ284" s="76">
        <f>IF($AJ284="","Other / Leased Fee",IFERROR(INDEX(mapPTGroup,MATCH(LEFT(TRIM($AJ284),2),mapPTCode,0)),"Other / Leased Fee"))</f>
        <v/>
      </c>
      <c r="CA284" s="76">
        <f>IF(TRIM($AF284&amp;"")="","NR",LEFT(TRIM($AF284),2))</f>
        <v/>
      </c>
      <c r="CB284" s="76">
        <f>IFERROR(LOOKUP(2,1/(LEFT(TRIM($AI284&amp;""),LEN(mapRegion))=mapRegion),mapRegion),"Not Reported")</f>
        <v/>
      </c>
      <c r="CC284" s="76">
        <f>IF($BY284=0,"",IF(TRIM($W284&amp;"")="REO","REO",IF(TRIM($W284&amp;"")="FC","Foreclosure",IF(TRIM($W284&amp;"")="90+","90+ Days Delinquent",IF(TRIM($W284&amp;"")="60","60 Days Delinquent",IF(TRIM($W284&amp;"")="30","30 Days Delinquent",IF($X284="Non-Performing Matured Balloon","Non-Performing Matured Balloon",IF(OR($X284="Late Payment But Less Than 30 Days Delinquent",LEFT($X284&amp;"",20)="Payment Not Received"),"Late / In Grace (&lt;30 Days)",IF($X284="Performing Matured Balloon","Performing Matured Balloon","Current")))))))))</f>
        <v/>
      </c>
      <c r="CD284" s="78">
        <f>IF(OR($CC284="REO",$CC284="Foreclosure",$CC284="90+ Days Delinquent",$CC284="60 Days Delinquent",$CC284="30 Days Delinquent",$CC284="Non-Performing Matured Balloon"),1,0)</f>
        <v/>
      </c>
      <c r="CE284" s="76">
        <f>IF($AB284="Currently special serv","Currently Specially Serviced",IF($AB284="Returned to master serv","Previously Specially Serviced","Never Specially Serviced"))</f>
        <v/>
      </c>
      <c r="CF284" s="78">
        <f>IF($CE284="Currently Specially Serviced",1,0)</f>
        <v/>
      </c>
      <c r="CG284" s="76">
        <f>IF($AA284="Yes","Currently on Watchlist",IF($AA284="Previously","Previously on Watchlist","Never on Watchlist"))</f>
        <v/>
      </c>
      <c r="CH284" s="78">
        <f>IF($CG284="Currently on Watchlist",1,0)</f>
        <v/>
      </c>
      <c r="CI284" s="76">
        <f>IF($Z284="Full Defeasance","Fully Defeased",IF($Z284="Portion Of Loan Previously Defeased","Partially Defeased",IF($Z284="Defeasance Not Allowable","Not Defeased (Not Permitted)","Not Defeased")))</f>
        <v/>
      </c>
      <c r="CJ284" s="78">
        <f>IF($CI284="Fully Defeased",1,0)</f>
        <v/>
      </c>
      <c r="CK284" s="76">
        <f>IF($R284="IO","Full IO",IF(LEFT($R284&amp;"",7)="IO then","Partial IO","Amortizing"))</f>
        <v/>
      </c>
      <c r="CL284" s="78">
        <f>IF($CK284="Full IO",1,0)</f>
        <v/>
      </c>
      <c r="CM284" s="78">
        <f>IF($CK284="Partial IO",1,0)</f>
        <v/>
      </c>
      <c r="CN284" s="76">
        <f>IF(LEFT($F284&amp;"",10)="SPLIT_LOAN","Pari Passu Split","Standalone")</f>
        <v/>
      </c>
      <c r="CO284" s="78">
        <f>IF($CN284="Pari Passu Split",1,0)</f>
        <v/>
      </c>
      <c r="CP284" s="77">
        <f>IF(ISNUMBER($T284),YEAR($T284),"")</f>
        <v/>
      </c>
      <c r="CQ284" s="79">
        <f>IF(ISNUMBER($V284),$V284,IF(ISNUMBER($U284),$U284,""))</f>
        <v/>
      </c>
      <c r="CR284" s="77">
        <f>IF(ISNUMBER($CQ284),YEAR($CQ284),"")</f>
        <v/>
      </c>
      <c r="CS284" s="78">
        <f>IF(ISNUMBER($M284),MAX(0,$M284),IF(TRIM($M284&amp;"")="matured",0,""))</f>
        <v/>
      </c>
      <c r="CT284" s="78">
        <f>IF(AND(ISNUMBER($CS284),N($CS284)&lt;=mMatWindow),1,0)</f>
        <v/>
      </c>
      <c r="CU284" s="80">
        <f>IF(ISNUMBER($J284),$J284/100,"")</f>
        <v/>
      </c>
      <c r="CV284" s="81">
        <f>IF(ISNUMBER($AQ284),$AQ284,"")</f>
        <v/>
      </c>
      <c r="CW284" s="81">
        <f>IF(ISNUMBER($AR284),$AR284,"")</f>
        <v/>
      </c>
      <c r="CX284" s="82">
        <f>IF(ISNUMBER($AS284),$AS284/100,"")</f>
        <v/>
      </c>
      <c r="CY284" s="82">
        <f>IF(ISNUMBER($AT284),$AT284/100,"")</f>
        <v/>
      </c>
      <c r="CZ284" s="82">
        <f>IF(ISNUMBER($AU284),$AU284/100,"")</f>
        <v/>
      </c>
      <c r="DA284" s="82">
        <f>IF(ISNUMBER($AV284),$AV284/100,"")</f>
        <v/>
      </c>
      <c r="DB284" s="82">
        <f>IF(ISNUMBER($AW284),$AW284/100,"")</f>
        <v/>
      </c>
      <c r="DC284" s="82">
        <f>IF(ISNUMBER($AX284),$AX284/100,"")</f>
        <v/>
      </c>
      <c r="DD284" s="77">
        <f>IFERROR(VALUE(LEFT(TRIM($AO284&amp;""),4)),"")</f>
        <v/>
      </c>
      <c r="DE284" s="78">
        <f>IF(AND($BY284=1,$BX284=1,OR(fDeal="All Deals",$BU284=fDeal),OR(fEntity="All Entities",$BV284=fEntity),OR(fPType="All Property Types",$BZ284=fPType),OR(fDefeased="Include",$CJ284=0)),1,0)</f>
        <v/>
      </c>
      <c r="DF284" s="83">
        <f>$DE284*N($I284)</f>
        <v/>
      </c>
      <c r="DG284" s="78">
        <f>IF($DE284=1,IF(COUNTIFS($F$8:$F284,$F284,$DE$8:$DE284,1)=1,1,0),0)</f>
        <v/>
      </c>
      <c r="DH284" s="83">
        <f>IF($DG284=1,SUMIFS($DF$8:$DF$1600,$F$8:$F$1600,$F284),0)</f>
        <v/>
      </c>
      <c r="DI284" s="78">
        <f>IF($DG284=1,COUNTIFS($F$8:$F$1600,$F284,$DE$8:$DE$1600,1),0)</f>
        <v/>
      </c>
      <c r="DJ284" s="84">
        <f>IF($DG284=1,$DH284+(100000-ROW())/mTieBreak,0)</f>
        <v/>
      </c>
    </row>
    <row r="285">
      <c r="B285" s="68" t="n">
        <v>2</v>
      </c>
      <c r="C285" s="69" t="inlineStr">
        <is>
          <t>GS217GS8</t>
        </is>
      </c>
      <c r="D285" s="69" t="inlineStr">
        <is>
          <t>2.000</t>
        </is>
      </c>
      <c r="E285" s="69" t="inlineStr">
        <is>
          <t>Residence Inn Anaheim</t>
        </is>
      </c>
      <c r="F285" s="69" t="inlineStr">
        <is>
          <t>LNGS217GS8-2.000</t>
        </is>
      </c>
      <c r="G285" s="70" t="n"/>
      <c r="H285" s="71" t="n">
        <v>78500000</v>
      </c>
      <c r="I285" s="71" t="n">
        <v>67081688.60999651</v>
      </c>
      <c r="J285" s="72" t="n">
        <v>4.596</v>
      </c>
      <c r="K285" s="69" t="inlineStr">
        <is>
          <t>Fixed rate</t>
        </is>
      </c>
      <c r="L285" s="68" t="n">
        <v>117</v>
      </c>
      <c r="M285" s="68" t="n">
        <v>8</v>
      </c>
      <c r="N285" s="68" t="n">
        <v>372</v>
      </c>
      <c r="O285" s="68" t="n">
        <v>12</v>
      </c>
      <c r="P285" s="68" t="n">
        <v>0</v>
      </c>
      <c r="Q285" s="68" t="n">
        <v>109</v>
      </c>
      <c r="R285" s="69" t="inlineStr">
        <is>
          <t>IO then Amort</t>
        </is>
      </c>
      <c r="S285" s="69" t="inlineStr">
        <is>
          <t>No</t>
        </is>
      </c>
      <c r="T285" s="73" t="n">
        <v>42948</v>
      </c>
      <c r="U285" s="73" t="n">
        <v>46513</v>
      </c>
      <c r="V285" s="73" t="n"/>
      <c r="W285" s="69" t="n"/>
      <c r="X285" s="69" t="inlineStr">
        <is>
          <t>Current</t>
        </is>
      </c>
      <c r="Y285" s="68" t="n"/>
      <c r="Z285" s="69" t="inlineStr">
        <is>
          <t>Full Defeasance</t>
        </is>
      </c>
      <c r="AA285" s="69" t="inlineStr">
        <is>
          <t>Previously</t>
        </is>
      </c>
      <c r="AB285" s="69" t="inlineStr">
        <is>
          <t>Never special serv</t>
        </is>
      </c>
      <c r="AC285" s="73" t="n"/>
      <c r="AD285" s="69" t="n"/>
      <c r="AE285" s="69" t="n"/>
      <c r="AF285" s="69" t="inlineStr">
        <is>
          <t>CA</t>
        </is>
      </c>
      <c r="AG285" s="69" t="inlineStr">
        <is>
          <t>Anaheim</t>
        </is>
      </c>
      <c r="AH285" s="69" t="inlineStr">
        <is>
          <t>Los Angeles-Long Beach-Anaheim, CA</t>
        </is>
      </c>
      <c r="AI285" s="69" t="inlineStr">
        <is>
          <t>West / Pacific South</t>
        </is>
      </c>
      <c r="AJ285" s="69" t="inlineStr">
        <is>
          <t>HT</t>
        </is>
      </c>
      <c r="AK285" s="69" t="inlineStr">
        <is>
          <t>Extended Stay</t>
        </is>
      </c>
      <c r="AL285" s="68" t="n">
        <v>1</v>
      </c>
      <c r="AM285" s="68" t="n">
        <v>294</v>
      </c>
      <c r="AN285" s="68" t="n"/>
      <c r="AO285" s="69" t="inlineStr">
        <is>
          <t>2016</t>
        </is>
      </c>
      <c r="AP285" s="70" t="n">
        <v>2016</v>
      </c>
      <c r="AQ285" s="74" t="n">
        <v>1.68</v>
      </c>
      <c r="AR285" s="74" t="n">
        <v>2.29</v>
      </c>
      <c r="AS285" s="74" t="n">
        <v>63.82</v>
      </c>
      <c r="AT285" s="74" t="n">
        <v>54.54</v>
      </c>
      <c r="AU285" s="74" t="n">
        <v>53.24</v>
      </c>
      <c r="AV285" s="74" t="n">
        <v>10.316098153</v>
      </c>
      <c r="AW285" s="74" t="n">
        <v>16.988915077</v>
      </c>
      <c r="AX285" s="75" t="n">
        <v>86</v>
      </c>
      <c r="AY285" s="71" t="n">
        <v>123000000</v>
      </c>
      <c r="AZ285" s="71" t="n">
        <v>123000000</v>
      </c>
      <c r="BA285" s="71" t="n">
        <v>8098137.05</v>
      </c>
      <c r="BB285" s="71" t="n">
        <v>11057244.68</v>
      </c>
      <c r="BC285" s="69" t="inlineStr">
        <is>
          <t>Refinance</t>
        </is>
      </c>
      <c r="BD285" s="69" t="inlineStr">
        <is>
          <t>N</t>
        </is>
      </c>
      <c r="BE285" s="71" t="n"/>
      <c r="BF285" s="71" t="n"/>
      <c r="BG285" s="71" t="n"/>
      <c r="BH285" s="71" t="n">
        <v>0</v>
      </c>
      <c r="BI285" s="71" t="n">
        <v>0</v>
      </c>
      <c r="BJ285" s="69" t="inlineStr">
        <is>
          <t>Y</t>
        </is>
      </c>
      <c r="BK285" s="69" t="n"/>
      <c r="BL285" s="75" t="n"/>
      <c r="BM285" s="73" t="n"/>
      <c r="BN285" s="69" t="inlineStr">
        <is>
          <t>Mayur B. Patel</t>
        </is>
      </c>
      <c r="BO285" s="69" t="inlineStr">
        <is>
          <t>Goldman Sachs</t>
        </is>
      </c>
      <c r="BP285" s="69" t="inlineStr">
        <is>
          <t>TriMont Real Estate Advisors</t>
        </is>
      </c>
      <c r="BQ285" s="69" t="inlineStr">
        <is>
          <t>K-Star Asset Management LLC</t>
        </is>
      </c>
      <c r="BR285" s="69" t="n"/>
      <c r="BS285" s="73" t="n">
        <v>46273</v>
      </c>
      <c r="BU285" s="76">
        <f>IF($C285="","",IFERROR(INDEX(dmName,MATCH($C285,dmID,0)),"Unmapped"))</f>
        <v/>
      </c>
      <c r="BV285" s="76">
        <f>IF($C285="","",IFERROR(INDEX(dmEntity,MATCH($C285,dmID,0)),"Unmapped"))</f>
        <v/>
      </c>
      <c r="BW285" s="77">
        <f>IF($C285="","",IFERROR(INDEX(dmVintage,MATCH($C285,dmID,0)),""))</f>
        <v/>
      </c>
      <c r="BX285" s="78">
        <f>IFERROR(INDEX(dmInclude,MATCH($C285,dmID,0)),0)</f>
        <v/>
      </c>
      <c r="BY285" s="78">
        <f>IF(N($I285)&gt;0,1,0)</f>
        <v/>
      </c>
      <c r="BZ285" s="76">
        <f>IF($AJ285="","Other / Leased Fee",IFERROR(INDEX(mapPTGroup,MATCH(LEFT(TRIM($AJ285),2),mapPTCode,0)),"Other / Leased Fee"))</f>
        <v/>
      </c>
      <c r="CA285" s="76">
        <f>IF(TRIM($AF285&amp;"")="","NR",LEFT(TRIM($AF285),2))</f>
        <v/>
      </c>
      <c r="CB285" s="76">
        <f>IFERROR(LOOKUP(2,1/(LEFT(TRIM($AI285&amp;""),LEN(mapRegion))=mapRegion),mapRegion),"Not Reported")</f>
        <v/>
      </c>
      <c r="CC285" s="76">
        <f>IF($BY285=0,"",IF(TRIM($W285&amp;"")="REO","REO",IF(TRIM($W285&amp;"")="FC","Foreclosure",IF(TRIM($W285&amp;"")="90+","90+ Days Delinquent",IF(TRIM($W285&amp;"")="60","60 Days Delinquent",IF(TRIM($W285&amp;"")="30","30 Days Delinquent",IF($X285="Non-Performing Matured Balloon","Non-Performing Matured Balloon",IF(OR($X285="Late Payment But Less Than 30 Days Delinquent",LEFT($X285&amp;"",20)="Payment Not Received"),"Late / In Grace (&lt;30 Days)",IF($X285="Performing Matured Balloon","Performing Matured Balloon","Current")))))))))</f>
        <v/>
      </c>
      <c r="CD285" s="78">
        <f>IF(OR($CC285="REO",$CC285="Foreclosure",$CC285="90+ Days Delinquent",$CC285="60 Days Delinquent",$CC285="30 Days Delinquent",$CC285="Non-Performing Matured Balloon"),1,0)</f>
        <v/>
      </c>
      <c r="CE285" s="76">
        <f>IF($AB285="Currently special serv","Currently Specially Serviced",IF($AB285="Returned to master serv","Previously Specially Serviced","Never Specially Serviced"))</f>
        <v/>
      </c>
      <c r="CF285" s="78">
        <f>IF($CE285="Currently Specially Serviced",1,0)</f>
        <v/>
      </c>
      <c r="CG285" s="76">
        <f>IF($AA285="Yes","Currently on Watchlist",IF($AA285="Previously","Previously on Watchlist","Never on Watchlist"))</f>
        <v/>
      </c>
      <c r="CH285" s="78">
        <f>IF($CG285="Currently on Watchlist",1,0)</f>
        <v/>
      </c>
      <c r="CI285" s="76">
        <f>IF($Z285="Full Defeasance","Fully Defeased",IF($Z285="Portion Of Loan Previously Defeased","Partially Defeased",IF($Z285="Defeasance Not Allowable","Not Defeased (Not Permitted)","Not Defeased")))</f>
        <v/>
      </c>
      <c r="CJ285" s="78">
        <f>IF($CI285="Fully Defeased",1,0)</f>
        <v/>
      </c>
      <c r="CK285" s="76">
        <f>IF($R285="IO","Full IO",IF(LEFT($R285&amp;"",7)="IO then","Partial IO","Amortizing"))</f>
        <v/>
      </c>
      <c r="CL285" s="78">
        <f>IF($CK285="Full IO",1,0)</f>
        <v/>
      </c>
      <c r="CM285" s="78">
        <f>IF($CK285="Partial IO",1,0)</f>
        <v/>
      </c>
      <c r="CN285" s="76">
        <f>IF(LEFT($F285&amp;"",10)="SPLIT_LOAN","Pari Passu Split","Standalone")</f>
        <v/>
      </c>
      <c r="CO285" s="78">
        <f>IF($CN285="Pari Passu Split",1,0)</f>
        <v/>
      </c>
      <c r="CP285" s="77">
        <f>IF(ISNUMBER($T285),YEAR($T285),"")</f>
        <v/>
      </c>
      <c r="CQ285" s="79">
        <f>IF(ISNUMBER($V285),$V285,IF(ISNUMBER($U285),$U285,""))</f>
        <v/>
      </c>
      <c r="CR285" s="77">
        <f>IF(ISNUMBER($CQ285),YEAR($CQ285),"")</f>
        <v/>
      </c>
      <c r="CS285" s="78">
        <f>IF(ISNUMBER($M285),MAX(0,$M285),IF(TRIM($M285&amp;"")="matured",0,""))</f>
        <v/>
      </c>
      <c r="CT285" s="78">
        <f>IF(AND(ISNUMBER($CS285),N($CS285)&lt;=mMatWindow),1,0)</f>
        <v/>
      </c>
      <c r="CU285" s="80">
        <f>IF(ISNUMBER($J285),$J285/100,"")</f>
        <v/>
      </c>
      <c r="CV285" s="81">
        <f>IF(ISNUMBER($AQ285),$AQ285,"")</f>
        <v/>
      </c>
      <c r="CW285" s="81">
        <f>IF(ISNUMBER($AR285),$AR285,"")</f>
        <v/>
      </c>
      <c r="CX285" s="82">
        <f>IF(ISNUMBER($AS285),$AS285/100,"")</f>
        <v/>
      </c>
      <c r="CY285" s="82">
        <f>IF(ISNUMBER($AT285),$AT285/100,"")</f>
        <v/>
      </c>
      <c r="CZ285" s="82">
        <f>IF(ISNUMBER($AU285),$AU285/100,"")</f>
        <v/>
      </c>
      <c r="DA285" s="82">
        <f>IF(ISNUMBER($AV285),$AV285/100,"")</f>
        <v/>
      </c>
      <c r="DB285" s="82">
        <f>IF(ISNUMBER($AW285),$AW285/100,"")</f>
        <v/>
      </c>
      <c r="DC285" s="82">
        <f>IF(ISNUMBER($AX285),$AX285/100,"")</f>
        <v/>
      </c>
      <c r="DD285" s="77">
        <f>IFERROR(VALUE(LEFT(TRIM($AO285&amp;""),4)),"")</f>
        <v/>
      </c>
      <c r="DE285" s="78">
        <f>IF(AND($BY285=1,$BX285=1,OR(fDeal="All Deals",$BU285=fDeal),OR(fEntity="All Entities",$BV285=fEntity),OR(fPType="All Property Types",$BZ285=fPType),OR(fDefeased="Include",$CJ285=0)),1,0)</f>
        <v/>
      </c>
      <c r="DF285" s="83">
        <f>$DE285*N($I285)</f>
        <v/>
      </c>
      <c r="DG285" s="78">
        <f>IF($DE285=1,IF(COUNTIFS($F$8:$F285,$F285,$DE$8:$DE285,1)=1,1,0),0)</f>
        <v/>
      </c>
      <c r="DH285" s="83">
        <f>IF($DG285=1,SUMIFS($DF$8:$DF$1600,$F$8:$F$1600,$F285),0)</f>
        <v/>
      </c>
      <c r="DI285" s="78">
        <f>IF($DG285=1,COUNTIFS($F$8:$F$1600,$F285,$DE$8:$DE$1600,1),0)</f>
        <v/>
      </c>
      <c r="DJ285" s="84">
        <f>IF($DG285=1,$DH285+(100000-ROW())/mTieBreak,0)</f>
        <v/>
      </c>
    </row>
    <row r="286">
      <c r="B286" s="68" t="n">
        <v>3</v>
      </c>
      <c r="C286" s="69" t="inlineStr">
        <is>
          <t>GS217GS8</t>
        </is>
      </c>
      <c r="D286" s="69" t="inlineStr">
        <is>
          <t>3.000</t>
        </is>
      </c>
      <c r="E286" s="69" t="inlineStr">
        <is>
          <t>Spectrum Office Portfolio</t>
        </is>
      </c>
      <c r="F286" s="69" t="inlineStr">
        <is>
          <t>LNGS217GS8-3.000</t>
        </is>
      </c>
      <c r="G286" s="70" t="n"/>
      <c r="H286" s="71" t="n">
        <v>70000000</v>
      </c>
      <c r="I286" s="71" t="n">
        <v>70000000</v>
      </c>
      <c r="J286" s="72" t="n">
        <v>4.3325</v>
      </c>
      <c r="K286" s="69" t="inlineStr">
        <is>
          <t>Fixed rate</t>
        </is>
      </c>
      <c r="L286" s="68" t="n">
        <v>120</v>
      </c>
      <c r="M286" s="68" t="n">
        <v>14</v>
      </c>
      <c r="N286" s="68" t="n">
        <v>120</v>
      </c>
      <c r="O286" s="68" t="n">
        <v>120</v>
      </c>
      <c r="P286" s="68" t="n">
        <v>14</v>
      </c>
      <c r="Q286" s="68" t="n">
        <v>106</v>
      </c>
      <c r="R286" s="69" t="inlineStr">
        <is>
          <t>IO</t>
        </is>
      </c>
      <c r="S286" s="69" t="inlineStr">
        <is>
          <t>Yes</t>
        </is>
      </c>
      <c r="T286" s="73" t="n">
        <v>43040</v>
      </c>
      <c r="U286" s="73" t="n">
        <v>46697</v>
      </c>
      <c r="V286" s="73" t="n"/>
      <c r="W286" s="69" t="n"/>
      <c r="X286" s="69" t="inlineStr">
        <is>
          <t>Current</t>
        </is>
      </c>
      <c r="Y286" s="68" t="n"/>
      <c r="Z286" s="69" t="inlineStr">
        <is>
          <t>No Defeasance Occurred</t>
        </is>
      </c>
      <c r="AA286" s="69" t="inlineStr">
        <is>
          <t>Previously</t>
        </is>
      </c>
      <c r="AB286" s="69" t="inlineStr">
        <is>
          <t>Never special serv</t>
        </is>
      </c>
      <c r="AC286" s="73" t="n"/>
      <c r="AD286" s="69" t="n"/>
      <c r="AE286" s="69" t="n"/>
      <c r="AF286" s="69" t="inlineStr">
        <is>
          <t>CA</t>
        </is>
      </c>
      <c r="AG286" s="69" t="n"/>
      <c r="AH286" s="69" t="inlineStr">
        <is>
          <t>Los Angeles-Long Beach-Anaheim, CA</t>
        </is>
      </c>
      <c r="AI286" s="69" t="inlineStr">
        <is>
          <t>West / Pacific South</t>
        </is>
      </c>
      <c r="AJ286" s="69" t="inlineStr">
        <is>
          <t>OF</t>
        </is>
      </c>
      <c r="AK286" s="69" t="n"/>
      <c r="AL286" s="68" t="n">
        <v>4</v>
      </c>
      <c r="AM286" s="68" t="n"/>
      <c r="AN286" s="68" t="n">
        <v>446313</v>
      </c>
      <c r="AO286" s="69" t="n"/>
      <c r="AP286" s="70" t="n">
        <v>1990</v>
      </c>
      <c r="AQ286" s="74" t="n">
        <v>2.12</v>
      </c>
      <c r="AR286" s="74" t="n">
        <v>2.61</v>
      </c>
      <c r="AS286" s="74" t="n">
        <v>58.82</v>
      </c>
      <c r="AT286" s="74" t="n">
        <v>58.82</v>
      </c>
      <c r="AU286" s="74" t="n">
        <v>58.82</v>
      </c>
      <c r="AV286" s="74" t="n">
        <v>9.316931</v>
      </c>
      <c r="AW286" s="74" t="n">
        <v>11.075957714</v>
      </c>
      <c r="AX286" s="75" t="n">
        <v>89</v>
      </c>
      <c r="AY286" s="71" t="n">
        <v>119000000</v>
      </c>
      <c r="AZ286" s="71" t="n">
        <v>119000000</v>
      </c>
      <c r="BA286" s="71" t="n">
        <v>6521851.7</v>
      </c>
      <c r="BB286" s="71" t="n">
        <v>3994946.19</v>
      </c>
      <c r="BC286" s="69" t="inlineStr">
        <is>
          <t>Recapitalization</t>
        </is>
      </c>
      <c r="BD286" s="69" t="inlineStr">
        <is>
          <t>N</t>
        </is>
      </c>
      <c r="BE286" s="71" t="n"/>
      <c r="BF286" s="71" t="n"/>
      <c r="BG286" s="71" t="n"/>
      <c r="BH286" s="71" t="n">
        <v>0</v>
      </c>
      <c r="BI286" s="71" t="n">
        <v>0</v>
      </c>
      <c r="BJ286" s="69" t="inlineStr">
        <is>
          <t>N</t>
        </is>
      </c>
      <c r="BK286" s="69" t="inlineStr">
        <is>
          <t>Okami Medical Inc</t>
        </is>
      </c>
      <c r="BL286" s="75" t="n">
        <v>3.51</v>
      </c>
      <c r="BM286" s="73" t="n">
        <v>46752</v>
      </c>
      <c r="BN286" s="69" t="inlineStr">
        <is>
          <t>Olen Properties Corp.</t>
        </is>
      </c>
      <c r="BO286" s="69" t="inlineStr">
        <is>
          <t>Goldman Sachs</t>
        </is>
      </c>
      <c r="BP286" s="69" t="inlineStr">
        <is>
          <t>TriMont Real Estate Advisors</t>
        </is>
      </c>
      <c r="BQ286" s="69" t="inlineStr">
        <is>
          <t>K-Star Asset Management LLC</t>
        </is>
      </c>
      <c r="BR286" s="69" t="n"/>
      <c r="BS286" s="73" t="n">
        <v>46273</v>
      </c>
      <c r="BU286" s="76">
        <f>IF($C286="","",IFERROR(INDEX(dmName,MATCH($C286,dmID,0)),"Unmapped"))</f>
        <v/>
      </c>
      <c r="BV286" s="76">
        <f>IF($C286="","",IFERROR(INDEX(dmEntity,MATCH($C286,dmID,0)),"Unmapped"))</f>
        <v/>
      </c>
      <c r="BW286" s="77">
        <f>IF($C286="","",IFERROR(INDEX(dmVintage,MATCH($C286,dmID,0)),""))</f>
        <v/>
      </c>
      <c r="BX286" s="78">
        <f>IFERROR(INDEX(dmInclude,MATCH($C286,dmID,0)),0)</f>
        <v/>
      </c>
      <c r="BY286" s="78">
        <f>IF(N($I286)&gt;0,1,0)</f>
        <v/>
      </c>
      <c r="BZ286" s="76">
        <f>IF($AJ286="","Other / Leased Fee",IFERROR(INDEX(mapPTGroup,MATCH(LEFT(TRIM($AJ286),2),mapPTCode,0)),"Other / Leased Fee"))</f>
        <v/>
      </c>
      <c r="CA286" s="76">
        <f>IF(TRIM($AF286&amp;"")="","NR",LEFT(TRIM($AF286),2))</f>
        <v/>
      </c>
      <c r="CB286" s="76">
        <f>IFERROR(LOOKUP(2,1/(LEFT(TRIM($AI286&amp;""),LEN(mapRegion))=mapRegion),mapRegion),"Not Reported")</f>
        <v/>
      </c>
      <c r="CC286" s="76">
        <f>IF($BY286=0,"",IF(TRIM($W286&amp;"")="REO","REO",IF(TRIM($W286&amp;"")="FC","Foreclosure",IF(TRIM($W286&amp;"")="90+","90+ Days Delinquent",IF(TRIM($W286&amp;"")="60","60 Days Delinquent",IF(TRIM($W286&amp;"")="30","30 Days Delinquent",IF($X286="Non-Performing Matured Balloon","Non-Performing Matured Balloon",IF(OR($X286="Late Payment But Less Than 30 Days Delinquent",LEFT($X286&amp;"",20)="Payment Not Received"),"Late / In Grace (&lt;30 Days)",IF($X286="Performing Matured Balloon","Performing Matured Balloon","Current")))))))))</f>
        <v/>
      </c>
      <c r="CD286" s="78">
        <f>IF(OR($CC286="REO",$CC286="Foreclosure",$CC286="90+ Days Delinquent",$CC286="60 Days Delinquent",$CC286="30 Days Delinquent",$CC286="Non-Performing Matured Balloon"),1,0)</f>
        <v/>
      </c>
      <c r="CE286" s="76">
        <f>IF($AB286="Currently special serv","Currently Specially Serviced",IF($AB286="Returned to master serv","Previously Specially Serviced","Never Specially Serviced"))</f>
        <v/>
      </c>
      <c r="CF286" s="78">
        <f>IF($CE286="Currently Specially Serviced",1,0)</f>
        <v/>
      </c>
      <c r="CG286" s="76">
        <f>IF($AA286="Yes","Currently on Watchlist",IF($AA286="Previously","Previously on Watchlist","Never on Watchlist"))</f>
        <v/>
      </c>
      <c r="CH286" s="78">
        <f>IF($CG286="Currently on Watchlist",1,0)</f>
        <v/>
      </c>
      <c r="CI286" s="76">
        <f>IF($Z286="Full Defeasance","Fully Defeased",IF($Z286="Portion Of Loan Previously Defeased","Partially Defeased",IF($Z286="Defeasance Not Allowable","Not Defeased (Not Permitted)","Not Defeased")))</f>
        <v/>
      </c>
      <c r="CJ286" s="78">
        <f>IF($CI286="Fully Defeased",1,0)</f>
        <v/>
      </c>
      <c r="CK286" s="76">
        <f>IF($R286="IO","Full IO",IF(LEFT($R286&amp;"",7)="IO then","Partial IO","Amortizing"))</f>
        <v/>
      </c>
      <c r="CL286" s="78">
        <f>IF($CK286="Full IO",1,0)</f>
        <v/>
      </c>
      <c r="CM286" s="78">
        <f>IF($CK286="Partial IO",1,0)</f>
        <v/>
      </c>
      <c r="CN286" s="76">
        <f>IF(LEFT($F286&amp;"",10)="SPLIT_LOAN","Pari Passu Split","Standalone")</f>
        <v/>
      </c>
      <c r="CO286" s="78">
        <f>IF($CN286="Pari Passu Split",1,0)</f>
        <v/>
      </c>
      <c r="CP286" s="77">
        <f>IF(ISNUMBER($T286),YEAR($T286),"")</f>
        <v/>
      </c>
      <c r="CQ286" s="79">
        <f>IF(ISNUMBER($V286),$V286,IF(ISNUMBER($U286),$U286,""))</f>
        <v/>
      </c>
      <c r="CR286" s="77">
        <f>IF(ISNUMBER($CQ286),YEAR($CQ286),"")</f>
        <v/>
      </c>
      <c r="CS286" s="78">
        <f>IF(ISNUMBER($M286),MAX(0,$M286),IF(TRIM($M286&amp;"")="matured",0,""))</f>
        <v/>
      </c>
      <c r="CT286" s="78">
        <f>IF(AND(ISNUMBER($CS286),N($CS286)&lt;=mMatWindow),1,0)</f>
        <v/>
      </c>
      <c r="CU286" s="80">
        <f>IF(ISNUMBER($J286),$J286/100,"")</f>
        <v/>
      </c>
      <c r="CV286" s="81">
        <f>IF(ISNUMBER($AQ286),$AQ286,"")</f>
        <v/>
      </c>
      <c r="CW286" s="81">
        <f>IF(ISNUMBER($AR286),$AR286,"")</f>
        <v/>
      </c>
      <c r="CX286" s="82">
        <f>IF(ISNUMBER($AS286),$AS286/100,"")</f>
        <v/>
      </c>
      <c r="CY286" s="82">
        <f>IF(ISNUMBER($AT286),$AT286/100,"")</f>
        <v/>
      </c>
      <c r="CZ286" s="82">
        <f>IF(ISNUMBER($AU286),$AU286/100,"")</f>
        <v/>
      </c>
      <c r="DA286" s="82">
        <f>IF(ISNUMBER($AV286),$AV286/100,"")</f>
        <v/>
      </c>
      <c r="DB286" s="82">
        <f>IF(ISNUMBER($AW286),$AW286/100,"")</f>
        <v/>
      </c>
      <c r="DC286" s="82">
        <f>IF(ISNUMBER($AX286),$AX286/100,"")</f>
        <v/>
      </c>
      <c r="DD286" s="77">
        <f>IFERROR(VALUE(LEFT(TRIM($AO286&amp;""),4)),"")</f>
        <v/>
      </c>
      <c r="DE286" s="78">
        <f>IF(AND($BY286=1,$BX286=1,OR(fDeal="All Deals",$BU286=fDeal),OR(fEntity="All Entities",$BV286=fEntity),OR(fPType="All Property Types",$BZ286=fPType),OR(fDefeased="Include",$CJ286=0)),1,0)</f>
        <v/>
      </c>
      <c r="DF286" s="83">
        <f>$DE286*N($I286)</f>
        <v/>
      </c>
      <c r="DG286" s="78">
        <f>IF($DE286=1,IF(COUNTIFS($F$8:$F286,$F286,$DE$8:$DE286,1)=1,1,0),0)</f>
        <v/>
      </c>
      <c r="DH286" s="83">
        <f>IF($DG286=1,SUMIFS($DF$8:$DF$1600,$F$8:$F$1600,$F286),0)</f>
        <v/>
      </c>
      <c r="DI286" s="78">
        <f>IF($DG286=1,COUNTIFS($F$8:$F$1600,$F286,$DE$8:$DE$1600,1),0)</f>
        <v/>
      </c>
      <c r="DJ286" s="84">
        <f>IF($DG286=1,$DH286+(100000-ROW())/mTieBreak,0)</f>
        <v/>
      </c>
    </row>
    <row r="287">
      <c r="B287" s="68" t="n">
        <v>4</v>
      </c>
      <c r="C287" s="69" t="inlineStr">
        <is>
          <t>GS217GS8</t>
        </is>
      </c>
      <c r="D287" s="69" t="inlineStr">
        <is>
          <t>4.000</t>
        </is>
      </c>
      <c r="E287" s="69" t="inlineStr">
        <is>
          <t>Life Time Fitness Portfolio</t>
        </is>
      </c>
      <c r="F287" s="69" t="inlineStr">
        <is>
          <t>LNGS217GS8-4.000</t>
        </is>
      </c>
      <c r="G287" s="70" t="n"/>
      <c r="H287" s="71" t="n">
        <v>57000000</v>
      </c>
      <c r="I287" s="71" t="n">
        <v>53263683.10998899</v>
      </c>
      <c r="J287" s="72" t="n">
        <v>4.433</v>
      </c>
      <c r="K287" s="69" t="inlineStr">
        <is>
          <t>Fixed rate</t>
        </is>
      </c>
      <c r="L287" s="68" t="n">
        <v>120</v>
      </c>
      <c r="M287" s="68" t="n">
        <v>13</v>
      </c>
      <c r="N287" s="68" t="n">
        <v>420</v>
      </c>
      <c r="O287" s="68" t="n">
        <v>60</v>
      </c>
      <c r="P287" s="68" t="n">
        <v>0</v>
      </c>
      <c r="Q287" s="68" t="n">
        <v>107</v>
      </c>
      <c r="R287" s="69" t="inlineStr">
        <is>
          <t>IO then Amort</t>
        </is>
      </c>
      <c r="S287" s="69" t="inlineStr">
        <is>
          <t>No</t>
        </is>
      </c>
      <c r="T287" s="73" t="n">
        <v>43009</v>
      </c>
      <c r="U287" s="73" t="n">
        <v>46666</v>
      </c>
      <c r="V287" s="73" t="n"/>
      <c r="W287" s="69" t="n"/>
      <c r="X287" s="69" t="inlineStr">
        <is>
          <t>Current</t>
        </is>
      </c>
      <c r="Y287" s="68" t="n"/>
      <c r="Z287" s="69" t="inlineStr">
        <is>
          <t>No Defeasance Occurred</t>
        </is>
      </c>
      <c r="AA287" s="69" t="inlineStr">
        <is>
          <t>Previously</t>
        </is>
      </c>
      <c r="AB287" s="69" t="inlineStr">
        <is>
          <t>Never special serv</t>
        </is>
      </c>
      <c r="AC287" s="73" t="n"/>
      <c r="AD287" s="69" t="n"/>
      <c r="AE287" s="69" t="n"/>
      <c r="AF287" s="69" t="inlineStr">
        <is>
          <t>CA-56.666670004% PA-43.333329996%</t>
        </is>
      </c>
      <c r="AG287" s="69" t="n"/>
      <c r="AH287" s="69" t="inlineStr">
        <is>
          <t>Sacramento-Roseville-Folsom, CA-56.666670004% Philadelphia-Camden-Wilmington, PA-NJ-DE-MD-43.333329996%</t>
        </is>
      </c>
      <c r="AI287" s="69" t="inlineStr">
        <is>
          <t>West / Pacific North-56.666670004% Northeast / Mid-Atlantic-43.333329996%</t>
        </is>
      </c>
      <c r="AJ287" s="69" t="inlineStr">
        <is>
          <t>RT</t>
        </is>
      </c>
      <c r="AK287" s="69" t="inlineStr">
        <is>
          <t>Single Tenant</t>
        </is>
      </c>
      <c r="AL287" s="68" t="n">
        <v>2</v>
      </c>
      <c r="AM287" s="68" t="n"/>
      <c r="AN287" s="68" t="n">
        <v>231666</v>
      </c>
      <c r="AO287" s="69" t="n"/>
      <c r="AP287" s="70" t="n">
        <v>2017</v>
      </c>
      <c r="AQ287" s="74" t="n">
        <v>1.6</v>
      </c>
      <c r="AR287" s="74" t="n">
        <v>1.86</v>
      </c>
      <c r="AS287" s="74" t="n">
        <v>63.88</v>
      </c>
      <c r="AT287" s="74" t="n">
        <v>59.69</v>
      </c>
      <c r="AU287" s="74" t="n">
        <v>58.39</v>
      </c>
      <c r="AV287" s="74" t="n">
        <v>9.646104104999999</v>
      </c>
      <c r="AW287" s="74" t="n">
        <v>12.022024438</v>
      </c>
      <c r="AX287" s="75" t="n">
        <v>100</v>
      </c>
      <c r="AY287" s="71" t="n">
        <v>89230000</v>
      </c>
      <c r="AZ287" s="71" t="n">
        <v>89230000</v>
      </c>
      <c r="BA287" s="71" t="n">
        <v>5498279.34</v>
      </c>
      <c r="BB287" s="71" t="n">
        <v>3201687</v>
      </c>
      <c r="BC287" s="69" t="inlineStr">
        <is>
          <t>Acquisition</t>
        </is>
      </c>
      <c r="BD287" s="69" t="inlineStr">
        <is>
          <t>N</t>
        </is>
      </c>
      <c r="BE287" s="71" t="n"/>
      <c r="BF287" s="71" t="n"/>
      <c r="BG287" s="71" t="n"/>
      <c r="BH287" s="71" t="n">
        <v>0</v>
      </c>
      <c r="BI287" s="71" t="n">
        <v>0</v>
      </c>
      <c r="BJ287" s="69" t="inlineStr">
        <is>
          <t>N</t>
        </is>
      </c>
      <c r="BK287" s="69" t="inlineStr">
        <is>
          <t>Healthy Way of Life III  LLC d/b/a Lifetime Fitness</t>
        </is>
      </c>
      <c r="BL287" s="75" t="n">
        <v>50.07</v>
      </c>
      <c r="BM287" s="73" t="n">
        <v>52231</v>
      </c>
      <c r="BN287" s="69" t="inlineStr">
        <is>
          <t>LCN North American Fund II REIT and LNK Partners III, L.P.</t>
        </is>
      </c>
      <c r="BO287" s="69" t="inlineStr">
        <is>
          <t>Goldman Sachs</t>
        </is>
      </c>
      <c r="BP287" s="69" t="inlineStr">
        <is>
          <t>TriMont Real Estate Advisors</t>
        </is>
      </c>
      <c r="BQ287" s="69" t="inlineStr">
        <is>
          <t>K-Star Asset Management LLC</t>
        </is>
      </c>
      <c r="BR287" s="69" t="n"/>
      <c r="BS287" s="73" t="n">
        <v>46273</v>
      </c>
      <c r="BU287" s="76">
        <f>IF($C287="","",IFERROR(INDEX(dmName,MATCH($C287,dmID,0)),"Unmapped"))</f>
        <v/>
      </c>
      <c r="BV287" s="76">
        <f>IF($C287="","",IFERROR(INDEX(dmEntity,MATCH($C287,dmID,0)),"Unmapped"))</f>
        <v/>
      </c>
      <c r="BW287" s="77">
        <f>IF($C287="","",IFERROR(INDEX(dmVintage,MATCH($C287,dmID,0)),""))</f>
        <v/>
      </c>
      <c r="BX287" s="78">
        <f>IFERROR(INDEX(dmInclude,MATCH($C287,dmID,0)),0)</f>
        <v/>
      </c>
      <c r="BY287" s="78">
        <f>IF(N($I287)&gt;0,1,0)</f>
        <v/>
      </c>
      <c r="BZ287" s="76">
        <f>IF($AJ287="","Other / Leased Fee",IFERROR(INDEX(mapPTGroup,MATCH(LEFT(TRIM($AJ287),2),mapPTCode,0)),"Other / Leased Fee"))</f>
        <v/>
      </c>
      <c r="CA287" s="76">
        <f>IF(TRIM($AF287&amp;"")="","NR",LEFT(TRIM($AF287),2))</f>
        <v/>
      </c>
      <c r="CB287" s="76">
        <f>IFERROR(LOOKUP(2,1/(LEFT(TRIM($AI287&amp;""),LEN(mapRegion))=mapRegion),mapRegion),"Not Reported")</f>
        <v/>
      </c>
      <c r="CC287" s="76">
        <f>IF($BY287=0,"",IF(TRIM($W287&amp;"")="REO","REO",IF(TRIM($W287&amp;"")="FC","Foreclosure",IF(TRIM($W287&amp;"")="90+","90+ Days Delinquent",IF(TRIM($W287&amp;"")="60","60 Days Delinquent",IF(TRIM($W287&amp;"")="30","30 Days Delinquent",IF($X287="Non-Performing Matured Balloon","Non-Performing Matured Balloon",IF(OR($X287="Late Payment But Less Than 30 Days Delinquent",LEFT($X287&amp;"",20)="Payment Not Received"),"Late / In Grace (&lt;30 Days)",IF($X287="Performing Matured Balloon","Performing Matured Balloon","Current")))))))))</f>
        <v/>
      </c>
      <c r="CD287" s="78">
        <f>IF(OR($CC287="REO",$CC287="Foreclosure",$CC287="90+ Days Delinquent",$CC287="60 Days Delinquent",$CC287="30 Days Delinquent",$CC287="Non-Performing Matured Balloon"),1,0)</f>
        <v/>
      </c>
      <c r="CE287" s="76">
        <f>IF($AB287="Currently special serv","Currently Specially Serviced",IF($AB287="Returned to master serv","Previously Specially Serviced","Never Specially Serviced"))</f>
        <v/>
      </c>
      <c r="CF287" s="78">
        <f>IF($CE287="Currently Specially Serviced",1,0)</f>
        <v/>
      </c>
      <c r="CG287" s="76">
        <f>IF($AA287="Yes","Currently on Watchlist",IF($AA287="Previously","Previously on Watchlist","Never on Watchlist"))</f>
        <v/>
      </c>
      <c r="CH287" s="78">
        <f>IF($CG287="Currently on Watchlist",1,0)</f>
        <v/>
      </c>
      <c r="CI287" s="76">
        <f>IF($Z287="Full Defeasance","Fully Defeased",IF($Z287="Portion Of Loan Previously Defeased","Partially Defeased",IF($Z287="Defeasance Not Allowable","Not Defeased (Not Permitted)","Not Defeased")))</f>
        <v/>
      </c>
      <c r="CJ287" s="78">
        <f>IF($CI287="Fully Defeased",1,0)</f>
        <v/>
      </c>
      <c r="CK287" s="76">
        <f>IF($R287="IO","Full IO",IF(LEFT($R287&amp;"",7)="IO then","Partial IO","Amortizing"))</f>
        <v/>
      </c>
      <c r="CL287" s="78">
        <f>IF($CK287="Full IO",1,0)</f>
        <v/>
      </c>
      <c r="CM287" s="78">
        <f>IF($CK287="Partial IO",1,0)</f>
        <v/>
      </c>
      <c r="CN287" s="76">
        <f>IF(LEFT($F287&amp;"",10)="SPLIT_LOAN","Pari Passu Split","Standalone")</f>
        <v/>
      </c>
      <c r="CO287" s="78">
        <f>IF($CN287="Pari Passu Split",1,0)</f>
        <v/>
      </c>
      <c r="CP287" s="77">
        <f>IF(ISNUMBER($T287),YEAR($T287),"")</f>
        <v/>
      </c>
      <c r="CQ287" s="79">
        <f>IF(ISNUMBER($V287),$V287,IF(ISNUMBER($U287),$U287,""))</f>
        <v/>
      </c>
      <c r="CR287" s="77">
        <f>IF(ISNUMBER($CQ287),YEAR($CQ287),"")</f>
        <v/>
      </c>
      <c r="CS287" s="78">
        <f>IF(ISNUMBER($M287),MAX(0,$M287),IF(TRIM($M287&amp;"")="matured",0,""))</f>
        <v/>
      </c>
      <c r="CT287" s="78">
        <f>IF(AND(ISNUMBER($CS287),N($CS287)&lt;=mMatWindow),1,0)</f>
        <v/>
      </c>
      <c r="CU287" s="80">
        <f>IF(ISNUMBER($J287),$J287/100,"")</f>
        <v/>
      </c>
      <c r="CV287" s="81">
        <f>IF(ISNUMBER($AQ287),$AQ287,"")</f>
        <v/>
      </c>
      <c r="CW287" s="81">
        <f>IF(ISNUMBER($AR287),$AR287,"")</f>
        <v/>
      </c>
      <c r="CX287" s="82">
        <f>IF(ISNUMBER($AS287),$AS287/100,"")</f>
        <v/>
      </c>
      <c r="CY287" s="82">
        <f>IF(ISNUMBER($AT287),$AT287/100,"")</f>
        <v/>
      </c>
      <c r="CZ287" s="82">
        <f>IF(ISNUMBER($AU287),$AU287/100,"")</f>
        <v/>
      </c>
      <c r="DA287" s="82">
        <f>IF(ISNUMBER($AV287),$AV287/100,"")</f>
        <v/>
      </c>
      <c r="DB287" s="82">
        <f>IF(ISNUMBER($AW287),$AW287/100,"")</f>
        <v/>
      </c>
      <c r="DC287" s="82">
        <f>IF(ISNUMBER($AX287),$AX287/100,"")</f>
        <v/>
      </c>
      <c r="DD287" s="77">
        <f>IFERROR(VALUE(LEFT(TRIM($AO287&amp;""),4)),"")</f>
        <v/>
      </c>
      <c r="DE287" s="78">
        <f>IF(AND($BY287=1,$BX287=1,OR(fDeal="All Deals",$BU287=fDeal),OR(fEntity="All Entities",$BV287=fEntity),OR(fPType="All Property Types",$BZ287=fPType),OR(fDefeased="Include",$CJ287=0)),1,0)</f>
        <v/>
      </c>
      <c r="DF287" s="83">
        <f>$DE287*N($I287)</f>
        <v/>
      </c>
      <c r="DG287" s="78">
        <f>IF($DE287=1,IF(COUNTIFS($F$8:$F287,$F287,$DE$8:$DE287,1)=1,1,0),0)</f>
        <v/>
      </c>
      <c r="DH287" s="83">
        <f>IF($DG287=1,SUMIFS($DF$8:$DF$1600,$F$8:$F$1600,$F287),0)</f>
        <v/>
      </c>
      <c r="DI287" s="78">
        <f>IF($DG287=1,COUNTIFS($F$8:$F$1600,$F287,$DE$8:$DE$1600,1),0)</f>
        <v/>
      </c>
      <c r="DJ287" s="84">
        <f>IF($DG287=1,$DH287+(100000-ROW())/mTieBreak,0)</f>
        <v/>
      </c>
    </row>
    <row r="288">
      <c r="B288" s="68" t="n">
        <v>5</v>
      </c>
      <c r="C288" s="69" t="inlineStr">
        <is>
          <t>GS217GS8</t>
        </is>
      </c>
      <c r="D288" s="69" t="inlineStr">
        <is>
          <t>5.TR</t>
        </is>
      </c>
      <c r="E288" s="69" t="inlineStr">
        <is>
          <t>Starwood Lodging Hotel Portfolio - Trust</t>
        </is>
      </c>
      <c r="F288" s="69" t="inlineStr">
        <is>
          <t>SPLIT_LOAN_01096</t>
        </is>
      </c>
      <c r="G288" s="70" t="n">
        <v>1096</v>
      </c>
      <c r="H288" s="71" t="n">
        <v>50000000</v>
      </c>
      <c r="I288" s="71" t="n">
        <v>0</v>
      </c>
      <c r="J288" s="72" t="n">
        <v>4.5985</v>
      </c>
      <c r="K288" s="69" t="inlineStr">
        <is>
          <t>Fixed rate</t>
        </is>
      </c>
      <c r="L288" s="68" t="n">
        <v>88</v>
      </c>
      <c r="M288" s="68" t="n"/>
      <c r="N288" s="68" t="n">
        <v>88</v>
      </c>
      <c r="O288" s="68" t="n">
        <v>88</v>
      </c>
      <c r="P288" s="68" t="n"/>
      <c r="Q288" s="68" t="n"/>
      <c r="R288" s="69" t="inlineStr">
        <is>
          <t>IO</t>
        </is>
      </c>
      <c r="S288" s="69" t="inlineStr">
        <is>
          <t>Yes</t>
        </is>
      </c>
      <c r="T288" s="73" t="n">
        <v>43040</v>
      </c>
      <c r="U288" s="73" t="n">
        <v>45694</v>
      </c>
      <c r="V288" s="73" t="n"/>
      <c r="W288" s="69" t="n"/>
      <c r="X288" s="69" t="inlineStr">
        <is>
          <t>Current</t>
        </is>
      </c>
      <c r="Y288" s="68" t="n"/>
      <c r="Z288" s="69" t="inlineStr">
        <is>
          <t>No Defeasance Occurred</t>
        </is>
      </c>
      <c r="AA288" s="69" t="inlineStr">
        <is>
          <t>Previously</t>
        </is>
      </c>
      <c r="AB288" s="69" t="inlineStr">
        <is>
          <t>Returned to master serv</t>
        </is>
      </c>
      <c r="AC288" s="73" t="n"/>
      <c r="AD288" s="69" t="inlineStr">
        <is>
          <t>Balloon Payment/Maturity Default</t>
        </is>
      </c>
      <c r="AE288" s="69" t="inlineStr">
        <is>
          <t>Resolved</t>
        </is>
      </c>
      <c r="AF288" s="69" t="inlineStr">
        <is>
          <t>TX-17.492657872% IL-9.966960358% CT-8.048825260% MN-7.773494830% OH-7.397209966% PA-5.993024989% MI-5.414831127% ND-4.625550641% KY-3.294787072% WI-3.184654927% ID-3.129588832% KS-2.734948589% CO-2.698237895% LA-2.606461086% IN-2.606461085% MO-1.927312767% CA-1.633627024% NV-1.514317187% AZ-1.440895735% TN-1.248164470% VA-1.138032302% OK-0.945301037% NM-0.945301036% IA-0.825991201% AR-0.550660794% NE-0.513950079% MT-0.348751837%</t>
        </is>
      </c>
      <c r="AG288" s="69" t="n"/>
      <c r="AH288" s="69" t="inlineStr">
        <is>
          <t>Minneapolis-St. Paul-Bloomington, MN-WI-7.424742992% Hartford-West Hartford-East Hartford, CT-3.946402344% Dallas-Fort Worth-Arlington, TX-3.872980890% Lexington-Fayette, KY-3.294787072% Philadelphia-Camden-Wilmington, PA-NJ-DE-MD-3.258076379% Houston-Pasadena-The Woodlands, TX-2.964390635% Norwich-New London-Willimantic, CT-2.689060206% Grand Rapids-Wyoming-Kentwood, MI-2.588105729% Bismarck, ND-2.441262845% Chicago-Naperville-Elgin, IL-IN-2.248531579% El Paso, TX-2.019089577% Fargo, ND-MN-2.009911887% Baton Rouge, LA-1.688693096% Boise City, ID-1.642804691% Riverside-San Bernardino-Ontario, CA-1.633627024% Scranton--Wilkes-Barre, PA-1.633627022% Amarillo, TX-1.624449334% Peoria, IL-1.587738619% Reno, NV-1.514317187% Kalamazoo-Portage, MI-1.486784141% Pocatello, ID-1.486784141% Kansas City, MO-KS-1.477606451% Phoenix-Mesa-Chandler, AZ-1.440895735% Bridgeport-Stamford-Danbury, CT-1.413362710% Corpus Christi, TX-1.395007354% Denver-Aurora-Centennial, CO-1.385829662% Rockford, IL-1.367474305% Akron, OH-1.321585900% Appleton, WI-1.294052854% Lubbock, TX-1.266519806% Memphis, TN-MS-AR-1.248164470% Champaign-Urbana, IL-1.165565350% Washington-Arlington-Alexandria, DC-VA-MD-WV-1.138032302% Allentown-Bethlehem-Easton, PA-NJ-1.101321587% Toledo, OH-1.064610872% San Antonio-New Braunfels, TX-1.000367110% Albuquerque, NM-0.945301036% Lafayette-West Lafayette, IN-0.926945657% Monroe, LA-0.917767990% Findlay, OH-0.917767989% Topeka, KS-0.908590300% Abilene, TX-0.899412631% St. Joseph, MO-KS-0.871879585% Madison, WI-0.862701916% South Bend-Mishawaka, IN-MI-0.816813511% Wichita, KS-0.816813511% Springfield, IL-0.789280465% Colorado Springs, CO-0.761747439% Zanesville, OH-0.743392060% Oklahoma City, OK-0.734214392% Battle Creek, MI-0.706681344% Springfield, OH-0.697503676% Wichita Falls, TX-0.679148319% Columbus, OH-0.669970629% Saginaw, MI-0.633259914% Bloomington, IL-0.633259914% Branson, MO-0.587371509% Fort Smith, AR-OK-0.550660794% Greeley, CO-0.550660794% Mansfield, OH-0.541483104% Oshkosh-Neenah, WI-0.532305436% Youngstown-Warren, OH-0.532305436% Lincoln, NE-0.513950079% Quincy, IL-MO-0.495594721% Stevens Point-Plover, WI-0.495594721% Decatur, IL-0.486417031% Muncie, IN-0.486417031% Omaha, NE-IA-0.449706316% Waco, TX-0.440528626% Galesburg, IL-0.422173269% Ottawa, IL-0.412995600% San Angelo, TX-0.403817911% Dubuque, IA-0.376284885% Terre Haute, IN-0.376284885% Kankakee, IL-0.357929506% Lima, OH-0.357929506% Billings, MT-0.348751837% Owatonna, MN-0.348751837% Longview, TX-0.330396480% Tyler, TX-0.312041122% Canton-Massillon, OH-0.302863434% Killeen-Temple, TX-0.284508076% Cincinnati, OH-KY-IN-0.247797360% Stillwater, OK-0.211086645% Grand Forks, ND-MN-0.174375909%</t>
        </is>
      </c>
      <c r="AI288" s="69" t="inlineStr">
        <is>
          <t>Midwest / Central East-28.570117464% South / Central West-21.595080789% Midwest / Central West-18.401248107% West / Mountain-10.077092523% Northeast / New England-8.048825260% Northeast / Mid-Atlantic-5.993024989% South / Central East-4.542951542% West / Pacific South-1.633627024% South / Atlantic-1.138032302%</t>
        </is>
      </c>
      <c r="AJ288" s="69" t="inlineStr">
        <is>
          <t>HT</t>
        </is>
      </c>
      <c r="AK288" s="69" t="n"/>
      <c r="AL288" s="68" t="n">
        <v>1</v>
      </c>
      <c r="AM288" s="68" t="n">
        <v>10576</v>
      </c>
      <c r="AN288" s="68" t="n"/>
      <c r="AO288" s="69" t="n"/>
      <c r="AP288" s="70" t="n">
        <v>2017</v>
      </c>
      <c r="AQ288" s="74" t="n">
        <v>5.63</v>
      </c>
      <c r="AR288" s="74" t="n">
        <v>6.54</v>
      </c>
      <c r="AS288" s="74" t="n">
        <v>28.56</v>
      </c>
      <c r="AT288" s="74" t="n"/>
      <c r="AU288" s="74" t="n">
        <v>28.56</v>
      </c>
      <c r="AV288" s="74" t="n">
        <v>26.229989457</v>
      </c>
      <c r="AW288" s="74" t="n"/>
      <c r="AX288" s="75" t="n">
        <v>68</v>
      </c>
      <c r="AY288" s="71" t="n">
        <v>1165000000</v>
      </c>
      <c r="AZ288" s="71" t="n">
        <v>1089600000</v>
      </c>
      <c r="BA288" s="71" t="n">
        <v>87263309.41</v>
      </c>
      <c r="BB288" s="71" t="n">
        <v>46878071.72</v>
      </c>
      <c r="BC288" s="69" t="inlineStr">
        <is>
          <t>Refinance</t>
        </is>
      </c>
      <c r="BD288" s="69" t="inlineStr">
        <is>
          <t>Y</t>
        </is>
      </c>
      <c r="BE288" s="71" t="n">
        <v>0</v>
      </c>
      <c r="BF288" s="71" t="n">
        <v>0</v>
      </c>
      <c r="BG288" s="71" t="n"/>
      <c r="BH288" s="71" t="n">
        <v>0</v>
      </c>
      <c r="BI288" s="71" t="n">
        <v>0</v>
      </c>
      <c r="BJ288" s="69" t="inlineStr">
        <is>
          <t>Y</t>
        </is>
      </c>
      <c r="BK288" s="69" t="n"/>
      <c r="BL288" s="75" t="n"/>
      <c r="BM288" s="73" t="n"/>
      <c r="BN288" s="69" t="inlineStr">
        <is>
          <t>SCG Hotel Investors Holdings, L.P.</t>
        </is>
      </c>
      <c r="BO288" s="69" t="inlineStr">
        <is>
          <t>Goldman Sachs</t>
        </is>
      </c>
      <c r="BP288" s="69" t="inlineStr">
        <is>
          <t>Wells Fargo</t>
        </is>
      </c>
      <c r="BQ288" s="69" t="inlineStr">
        <is>
          <t>Wells Fargo</t>
        </is>
      </c>
      <c r="BR288" s="69" t="inlineStr">
        <is>
          <t>Payoff Prior To Maturity</t>
        </is>
      </c>
      <c r="BS288" s="73" t="n">
        <v>45510</v>
      </c>
      <c r="BU288" s="76">
        <f>IF($C288="","",IFERROR(INDEX(dmName,MATCH($C288,dmID,0)),"Unmapped"))</f>
        <v/>
      </c>
      <c r="BV288" s="76">
        <f>IF($C288="","",IFERROR(INDEX(dmEntity,MATCH($C288,dmID,0)),"Unmapped"))</f>
        <v/>
      </c>
      <c r="BW288" s="77">
        <f>IF($C288="","",IFERROR(INDEX(dmVintage,MATCH($C288,dmID,0)),""))</f>
        <v/>
      </c>
      <c r="BX288" s="78">
        <f>IFERROR(INDEX(dmInclude,MATCH($C288,dmID,0)),0)</f>
        <v/>
      </c>
      <c r="BY288" s="78">
        <f>IF(N($I288)&gt;0,1,0)</f>
        <v/>
      </c>
      <c r="BZ288" s="76">
        <f>IF($AJ288="","Other / Leased Fee",IFERROR(INDEX(mapPTGroup,MATCH(LEFT(TRIM($AJ288),2),mapPTCode,0)),"Other / Leased Fee"))</f>
        <v/>
      </c>
      <c r="CA288" s="76">
        <f>IF(TRIM($AF288&amp;"")="","NR",LEFT(TRIM($AF288),2))</f>
        <v/>
      </c>
      <c r="CB288" s="76">
        <f>IFERROR(LOOKUP(2,1/(LEFT(TRIM($AI288&amp;""),LEN(mapRegion))=mapRegion),mapRegion),"Not Reported")</f>
        <v/>
      </c>
      <c r="CC288" s="76">
        <f>IF($BY288=0,"",IF(TRIM($W288&amp;"")="REO","REO",IF(TRIM($W288&amp;"")="FC","Foreclosure",IF(TRIM($W288&amp;"")="90+","90+ Days Delinquent",IF(TRIM($W288&amp;"")="60","60 Days Delinquent",IF(TRIM($W288&amp;"")="30","30 Days Delinquent",IF($X288="Non-Performing Matured Balloon","Non-Performing Matured Balloon",IF(OR($X288="Late Payment But Less Than 30 Days Delinquent",LEFT($X288&amp;"",20)="Payment Not Received"),"Late / In Grace (&lt;30 Days)",IF($X288="Performing Matured Balloon","Performing Matured Balloon","Current")))))))))</f>
        <v/>
      </c>
      <c r="CD288" s="78">
        <f>IF(OR($CC288="REO",$CC288="Foreclosure",$CC288="90+ Days Delinquent",$CC288="60 Days Delinquent",$CC288="30 Days Delinquent",$CC288="Non-Performing Matured Balloon"),1,0)</f>
        <v/>
      </c>
      <c r="CE288" s="76">
        <f>IF($AB288="Currently special serv","Currently Specially Serviced",IF($AB288="Returned to master serv","Previously Specially Serviced","Never Specially Serviced"))</f>
        <v/>
      </c>
      <c r="CF288" s="78">
        <f>IF($CE288="Currently Specially Serviced",1,0)</f>
        <v/>
      </c>
      <c r="CG288" s="76">
        <f>IF($AA288="Yes","Currently on Watchlist",IF($AA288="Previously","Previously on Watchlist","Never on Watchlist"))</f>
        <v/>
      </c>
      <c r="CH288" s="78">
        <f>IF($CG288="Currently on Watchlist",1,0)</f>
        <v/>
      </c>
      <c r="CI288" s="76">
        <f>IF($Z288="Full Defeasance","Fully Defeased",IF($Z288="Portion Of Loan Previously Defeased","Partially Defeased",IF($Z288="Defeasance Not Allowable","Not Defeased (Not Permitted)","Not Defeased")))</f>
        <v/>
      </c>
      <c r="CJ288" s="78">
        <f>IF($CI288="Fully Defeased",1,0)</f>
        <v/>
      </c>
      <c r="CK288" s="76">
        <f>IF($R288="IO","Full IO",IF(LEFT($R288&amp;"",7)="IO then","Partial IO","Amortizing"))</f>
        <v/>
      </c>
      <c r="CL288" s="78">
        <f>IF($CK288="Full IO",1,0)</f>
        <v/>
      </c>
      <c r="CM288" s="78">
        <f>IF($CK288="Partial IO",1,0)</f>
        <v/>
      </c>
      <c r="CN288" s="76">
        <f>IF(LEFT($F288&amp;"",10)="SPLIT_LOAN","Pari Passu Split","Standalone")</f>
        <v/>
      </c>
      <c r="CO288" s="78">
        <f>IF($CN288="Pari Passu Split",1,0)</f>
        <v/>
      </c>
      <c r="CP288" s="77">
        <f>IF(ISNUMBER($T288),YEAR($T288),"")</f>
        <v/>
      </c>
      <c r="CQ288" s="79">
        <f>IF(ISNUMBER($V288),$V288,IF(ISNUMBER($U288),$U288,""))</f>
        <v/>
      </c>
      <c r="CR288" s="77">
        <f>IF(ISNUMBER($CQ288),YEAR($CQ288),"")</f>
        <v/>
      </c>
      <c r="CS288" s="78">
        <f>IF(ISNUMBER($M288),MAX(0,$M288),IF(TRIM($M288&amp;"")="matured",0,""))</f>
        <v/>
      </c>
      <c r="CT288" s="78">
        <f>IF(AND(ISNUMBER($CS288),N($CS288)&lt;=mMatWindow),1,0)</f>
        <v/>
      </c>
      <c r="CU288" s="80">
        <f>IF(ISNUMBER($J288),$J288/100,"")</f>
        <v/>
      </c>
      <c r="CV288" s="81">
        <f>IF(ISNUMBER($AQ288),$AQ288,"")</f>
        <v/>
      </c>
      <c r="CW288" s="81">
        <f>IF(ISNUMBER($AR288),$AR288,"")</f>
        <v/>
      </c>
      <c r="CX288" s="82">
        <f>IF(ISNUMBER($AS288),$AS288/100,"")</f>
        <v/>
      </c>
      <c r="CY288" s="82">
        <f>IF(ISNUMBER($AT288),$AT288/100,"")</f>
        <v/>
      </c>
      <c r="CZ288" s="82">
        <f>IF(ISNUMBER($AU288),$AU288/100,"")</f>
        <v/>
      </c>
      <c r="DA288" s="82">
        <f>IF(ISNUMBER($AV288),$AV288/100,"")</f>
        <v/>
      </c>
      <c r="DB288" s="82">
        <f>IF(ISNUMBER($AW288),$AW288/100,"")</f>
        <v/>
      </c>
      <c r="DC288" s="82">
        <f>IF(ISNUMBER($AX288),$AX288/100,"")</f>
        <v/>
      </c>
      <c r="DD288" s="77">
        <f>IFERROR(VALUE(LEFT(TRIM($AO288&amp;""),4)),"")</f>
        <v/>
      </c>
      <c r="DE288" s="78">
        <f>IF(AND($BY288=1,$BX288=1,OR(fDeal="All Deals",$BU288=fDeal),OR(fEntity="All Entities",$BV288=fEntity),OR(fPType="All Property Types",$BZ288=fPType),OR(fDefeased="Include",$CJ288=0)),1,0)</f>
        <v/>
      </c>
      <c r="DF288" s="83">
        <f>$DE288*N($I288)</f>
        <v/>
      </c>
      <c r="DG288" s="78">
        <f>IF($DE288=1,IF(COUNTIFS($F$8:$F288,$F288,$DE$8:$DE288,1)=1,1,0),0)</f>
        <v/>
      </c>
      <c r="DH288" s="83">
        <f>IF($DG288=1,SUMIFS($DF$8:$DF$1600,$F$8:$F$1600,$F288),0)</f>
        <v/>
      </c>
      <c r="DI288" s="78">
        <f>IF($DG288=1,COUNTIFS($F$8:$F$1600,$F288,$DE$8:$DE$1600,1),0)</f>
        <v/>
      </c>
      <c r="DJ288" s="84">
        <f>IF($DG288=1,$DH288+(100000-ROW())/mTieBreak,0)</f>
        <v/>
      </c>
    </row>
    <row r="289">
      <c r="B289" s="68" t="n">
        <v>6</v>
      </c>
      <c r="C289" s="69" t="inlineStr">
        <is>
          <t>GS217GS8</t>
        </is>
      </c>
      <c r="D289" s="69" t="inlineStr">
        <is>
          <t>6.000</t>
        </is>
      </c>
      <c r="E289" s="69" t="inlineStr">
        <is>
          <t>Bass Pro &amp; Cabela's Portfolio</t>
        </is>
      </c>
      <c r="F289" s="69" t="inlineStr">
        <is>
          <t>SPLIT_LOAN_01119</t>
        </is>
      </c>
      <c r="G289" s="70" t="n">
        <v>1119</v>
      </c>
      <c r="H289" s="71" t="n">
        <v>47500000</v>
      </c>
      <c r="I289" s="71" t="n">
        <v>47500000</v>
      </c>
      <c r="J289" s="72" t="n">
        <v>4.379</v>
      </c>
      <c r="K289" s="69" t="inlineStr">
        <is>
          <t>Fixed rate</t>
        </is>
      </c>
      <c r="L289" s="68" t="n">
        <v>120</v>
      </c>
      <c r="M289" s="68" t="n">
        <v>13</v>
      </c>
      <c r="N289" s="68" t="n">
        <v>120</v>
      </c>
      <c r="O289" s="68" t="n">
        <v>120</v>
      </c>
      <c r="P289" s="68" t="n">
        <v>13</v>
      </c>
      <c r="Q289" s="68" t="n">
        <v>107</v>
      </c>
      <c r="R289" s="69" t="inlineStr">
        <is>
          <t>IO</t>
        </is>
      </c>
      <c r="S289" s="69" t="inlineStr">
        <is>
          <t>Yes</t>
        </is>
      </c>
      <c r="T289" s="73" t="n">
        <v>43009</v>
      </c>
      <c r="U289" s="73" t="n">
        <v>46666</v>
      </c>
      <c r="V289" s="73" t="n"/>
      <c r="W289" s="69" t="n"/>
      <c r="X289" s="69" t="inlineStr">
        <is>
          <t>Current</t>
        </is>
      </c>
      <c r="Y289" s="68" t="n"/>
      <c r="Z289" s="69" t="inlineStr">
        <is>
          <t>No Defeasance Occurred</t>
        </is>
      </c>
      <c r="AA289" s="69" t="inlineStr">
        <is>
          <t>Previously</t>
        </is>
      </c>
      <c r="AB289" s="69" t="inlineStr">
        <is>
          <t>Never special serv</t>
        </is>
      </c>
      <c r="AC289" s="73" t="n"/>
      <c r="AD289" s="69" t="n"/>
      <c r="AE289" s="69" t="n"/>
      <c r="AF289" s="69" t="inlineStr">
        <is>
          <t>TX-27.062330000% MN-17.739850000% FL-11.417120000% CO-9.038010000% UT-7.913110000% IN-6.645980000% SC-6.012410000% KS-5.378850000% OH-4.551330000% AL-4.241010000%</t>
        </is>
      </c>
      <c r="AG289" s="69" t="n"/>
      <c r="AH289" s="69" t="inlineStr">
        <is>
          <t>Minneapolis-St. Paul-Bloomington, MN-WI-10.628390000% Denver-Aurora-Centennial, CO-9.038010000% San Antonio-New Braunfels, TX-8.844070000% Dallas-Fort Worth-Arlington, TX-8.688910000% Provo-Orem-Lehi, UT-7.913110000% Tampa-St. Petersburg-Clearwater, FL-7.447630000% Chicago-Naperville-Elgin, IL-IN-6.645980000% Austin-Round Rock-San Marcos, TX-6.464960000% Charlotte-Concord-Gastonia, NC-SC-6.012410000% Wichita, KS-5.378850000% Owatonna, MN-4.913370000% Dayton-Kettering-Beavercreek, OH-4.551330000% Huntsville, AL-4.241010000% Port St. Lucie, FL-3.969490000% Waco, TX-3.064390000% Grand Forks, ND-MN-2.198090000%</t>
        </is>
      </c>
      <c r="AI289" s="69" t="inlineStr">
        <is>
          <t>South / Central West-27.062330000% Midwest / Central West-23.118700000% South / Atlantic-17.429530000% West / Mountain-16.951120000% Midwest / Central East-11.197310000% South / Central East-4.241010000%</t>
        </is>
      </c>
      <c r="AJ289" s="69" t="inlineStr">
        <is>
          <t>RT</t>
        </is>
      </c>
      <c r="AK289" s="69" t="inlineStr">
        <is>
          <t>Single Tenant</t>
        </is>
      </c>
      <c r="AL289" s="68" t="n">
        <v>16</v>
      </c>
      <c r="AM289" s="68" t="n"/>
      <c r="AN289" s="68" t="n">
        <v>1896527</v>
      </c>
      <c r="AO289" s="69" t="n"/>
      <c r="AP289" s="70" t="n">
        <v>2016</v>
      </c>
      <c r="AQ289" s="74" t="n">
        <v>2.72</v>
      </c>
      <c r="AR289" s="74" t="n">
        <v>3.87</v>
      </c>
      <c r="AS289" s="74" t="n">
        <v>50.4</v>
      </c>
      <c r="AT289" s="74" t="n">
        <v>50.4</v>
      </c>
      <c r="AU289" s="74" t="n">
        <v>50.4</v>
      </c>
      <c r="AV289" s="74" t="n">
        <v>12.065347583</v>
      </c>
      <c r="AW289" s="74" t="n">
        <v>17.04985492</v>
      </c>
      <c r="AX289" s="75" t="n">
        <v>100</v>
      </c>
      <c r="AY289" s="71" t="n">
        <v>386700000</v>
      </c>
      <c r="AZ289" s="71" t="n">
        <v>386700000</v>
      </c>
      <c r="BA289" s="71" t="n">
        <v>23515362.44</v>
      </c>
      <c r="BB289" s="71" t="n">
        <v>16687659.02</v>
      </c>
      <c r="BC289" s="69" t="inlineStr">
        <is>
          <t>Acquisition</t>
        </is>
      </c>
      <c r="BD289" s="69" t="inlineStr">
        <is>
          <t>N</t>
        </is>
      </c>
      <c r="BE289" s="71" t="n">
        <v>147400000</v>
      </c>
      <c r="BF289" s="71" t="n"/>
      <c r="BG289" s="71" t="n"/>
      <c r="BH289" s="71" t="n">
        <v>0</v>
      </c>
      <c r="BI289" s="71" t="n">
        <v>0</v>
      </c>
      <c r="BJ289" s="69" t="inlineStr">
        <is>
          <t>N</t>
        </is>
      </c>
      <c r="BK289" s="69" t="inlineStr">
        <is>
          <t>Cabela's</t>
        </is>
      </c>
      <c r="BL289" s="75" t="n">
        <v>98.34</v>
      </c>
      <c r="BM289" s="73" t="n">
        <v>51986</v>
      </c>
      <c r="BN289" s="69" t="inlineStr">
        <is>
          <t>Starwood Property Trust, Inc.</t>
        </is>
      </c>
      <c r="BO289" s="69" t="inlineStr">
        <is>
          <t>Goldman Sachs</t>
        </is>
      </c>
      <c r="BP289" s="69" t="inlineStr">
        <is>
          <t>TriMont Real Estate Advisors</t>
        </is>
      </c>
      <c r="BQ289" s="69" t="inlineStr">
        <is>
          <t>K-Star Asset Management LLC</t>
        </is>
      </c>
      <c r="BR289" s="69" t="n"/>
      <c r="BS289" s="73" t="n">
        <v>46273</v>
      </c>
      <c r="BU289" s="76">
        <f>IF($C289="","",IFERROR(INDEX(dmName,MATCH($C289,dmID,0)),"Unmapped"))</f>
        <v/>
      </c>
      <c r="BV289" s="76">
        <f>IF($C289="","",IFERROR(INDEX(dmEntity,MATCH($C289,dmID,0)),"Unmapped"))</f>
        <v/>
      </c>
      <c r="BW289" s="77">
        <f>IF($C289="","",IFERROR(INDEX(dmVintage,MATCH($C289,dmID,0)),""))</f>
        <v/>
      </c>
      <c r="BX289" s="78">
        <f>IFERROR(INDEX(dmInclude,MATCH($C289,dmID,0)),0)</f>
        <v/>
      </c>
      <c r="BY289" s="78">
        <f>IF(N($I289)&gt;0,1,0)</f>
        <v/>
      </c>
      <c r="BZ289" s="76">
        <f>IF($AJ289="","Other / Leased Fee",IFERROR(INDEX(mapPTGroup,MATCH(LEFT(TRIM($AJ289),2),mapPTCode,0)),"Other / Leased Fee"))</f>
        <v/>
      </c>
      <c r="CA289" s="76">
        <f>IF(TRIM($AF289&amp;"")="","NR",LEFT(TRIM($AF289),2))</f>
        <v/>
      </c>
      <c r="CB289" s="76">
        <f>IFERROR(LOOKUP(2,1/(LEFT(TRIM($AI289&amp;""),LEN(mapRegion))=mapRegion),mapRegion),"Not Reported")</f>
        <v/>
      </c>
      <c r="CC289" s="76">
        <f>IF($BY289=0,"",IF(TRIM($W289&amp;"")="REO","REO",IF(TRIM($W289&amp;"")="FC","Foreclosure",IF(TRIM($W289&amp;"")="90+","90+ Days Delinquent",IF(TRIM($W289&amp;"")="60","60 Days Delinquent",IF(TRIM($W289&amp;"")="30","30 Days Delinquent",IF($X289="Non-Performing Matured Balloon","Non-Performing Matured Balloon",IF(OR($X289="Late Payment But Less Than 30 Days Delinquent",LEFT($X289&amp;"",20)="Payment Not Received"),"Late / In Grace (&lt;30 Days)",IF($X289="Performing Matured Balloon","Performing Matured Balloon","Current")))))))))</f>
        <v/>
      </c>
      <c r="CD289" s="78">
        <f>IF(OR($CC289="REO",$CC289="Foreclosure",$CC289="90+ Days Delinquent",$CC289="60 Days Delinquent",$CC289="30 Days Delinquent",$CC289="Non-Performing Matured Balloon"),1,0)</f>
        <v/>
      </c>
      <c r="CE289" s="76">
        <f>IF($AB289="Currently special serv","Currently Specially Serviced",IF($AB289="Returned to master serv","Previously Specially Serviced","Never Specially Serviced"))</f>
        <v/>
      </c>
      <c r="CF289" s="78">
        <f>IF($CE289="Currently Specially Serviced",1,0)</f>
        <v/>
      </c>
      <c r="CG289" s="76">
        <f>IF($AA289="Yes","Currently on Watchlist",IF($AA289="Previously","Previously on Watchlist","Never on Watchlist"))</f>
        <v/>
      </c>
      <c r="CH289" s="78">
        <f>IF($CG289="Currently on Watchlist",1,0)</f>
        <v/>
      </c>
      <c r="CI289" s="76">
        <f>IF($Z289="Full Defeasance","Fully Defeased",IF($Z289="Portion Of Loan Previously Defeased","Partially Defeased",IF($Z289="Defeasance Not Allowable","Not Defeased (Not Permitted)","Not Defeased")))</f>
        <v/>
      </c>
      <c r="CJ289" s="78">
        <f>IF($CI289="Fully Defeased",1,0)</f>
        <v/>
      </c>
      <c r="CK289" s="76">
        <f>IF($R289="IO","Full IO",IF(LEFT($R289&amp;"",7)="IO then","Partial IO","Amortizing"))</f>
        <v/>
      </c>
      <c r="CL289" s="78">
        <f>IF($CK289="Full IO",1,0)</f>
        <v/>
      </c>
      <c r="CM289" s="78">
        <f>IF($CK289="Partial IO",1,0)</f>
        <v/>
      </c>
      <c r="CN289" s="76">
        <f>IF(LEFT($F289&amp;"",10)="SPLIT_LOAN","Pari Passu Split","Standalone")</f>
        <v/>
      </c>
      <c r="CO289" s="78">
        <f>IF($CN289="Pari Passu Split",1,0)</f>
        <v/>
      </c>
      <c r="CP289" s="77">
        <f>IF(ISNUMBER($T289),YEAR($T289),"")</f>
        <v/>
      </c>
      <c r="CQ289" s="79">
        <f>IF(ISNUMBER($V289),$V289,IF(ISNUMBER($U289),$U289,""))</f>
        <v/>
      </c>
      <c r="CR289" s="77">
        <f>IF(ISNUMBER($CQ289),YEAR($CQ289),"")</f>
        <v/>
      </c>
      <c r="CS289" s="78">
        <f>IF(ISNUMBER($M289),MAX(0,$M289),IF(TRIM($M289&amp;"")="matured",0,""))</f>
        <v/>
      </c>
      <c r="CT289" s="78">
        <f>IF(AND(ISNUMBER($CS289),N($CS289)&lt;=mMatWindow),1,0)</f>
        <v/>
      </c>
      <c r="CU289" s="80">
        <f>IF(ISNUMBER($J289),$J289/100,"")</f>
        <v/>
      </c>
      <c r="CV289" s="81">
        <f>IF(ISNUMBER($AQ289),$AQ289,"")</f>
        <v/>
      </c>
      <c r="CW289" s="81">
        <f>IF(ISNUMBER($AR289),$AR289,"")</f>
        <v/>
      </c>
      <c r="CX289" s="82">
        <f>IF(ISNUMBER($AS289),$AS289/100,"")</f>
        <v/>
      </c>
      <c r="CY289" s="82">
        <f>IF(ISNUMBER($AT289),$AT289/100,"")</f>
        <v/>
      </c>
      <c r="CZ289" s="82">
        <f>IF(ISNUMBER($AU289),$AU289/100,"")</f>
        <v/>
      </c>
      <c r="DA289" s="82">
        <f>IF(ISNUMBER($AV289),$AV289/100,"")</f>
        <v/>
      </c>
      <c r="DB289" s="82">
        <f>IF(ISNUMBER($AW289),$AW289/100,"")</f>
        <v/>
      </c>
      <c r="DC289" s="82">
        <f>IF(ISNUMBER($AX289),$AX289/100,"")</f>
        <v/>
      </c>
      <c r="DD289" s="77">
        <f>IFERROR(VALUE(LEFT(TRIM($AO289&amp;""),4)),"")</f>
        <v/>
      </c>
      <c r="DE289" s="78">
        <f>IF(AND($BY289=1,$BX289=1,OR(fDeal="All Deals",$BU289=fDeal),OR(fEntity="All Entities",$BV289=fEntity),OR(fPType="All Property Types",$BZ289=fPType),OR(fDefeased="Include",$CJ289=0)),1,0)</f>
        <v/>
      </c>
      <c r="DF289" s="83">
        <f>$DE289*N($I289)</f>
        <v/>
      </c>
      <c r="DG289" s="78">
        <f>IF($DE289=1,IF(COUNTIFS($F$8:$F289,$F289,$DE$8:$DE289,1)=1,1,0),0)</f>
        <v/>
      </c>
      <c r="DH289" s="83">
        <f>IF($DG289=1,SUMIFS($DF$8:$DF$1600,$F$8:$F$1600,$F289),0)</f>
        <v/>
      </c>
      <c r="DI289" s="78">
        <f>IF($DG289=1,COUNTIFS($F$8:$F$1600,$F289,$DE$8:$DE$1600,1),0)</f>
        <v/>
      </c>
      <c r="DJ289" s="84">
        <f>IF($DG289=1,$DH289+(100000-ROW())/mTieBreak,0)</f>
        <v/>
      </c>
    </row>
    <row r="290">
      <c r="B290" s="68" t="n">
        <v>7</v>
      </c>
      <c r="C290" s="69" t="inlineStr">
        <is>
          <t>GS217GS8</t>
        </is>
      </c>
      <c r="D290" s="69" t="inlineStr">
        <is>
          <t>7.000</t>
        </is>
      </c>
      <c r="E290" s="69" t="inlineStr">
        <is>
          <t>Loma Linda</t>
        </is>
      </c>
      <c r="F290" s="69" t="inlineStr">
        <is>
          <t>SPLIT_LOAN_01060</t>
        </is>
      </c>
      <c r="G290" s="70" t="n">
        <v>1060</v>
      </c>
      <c r="H290" s="71" t="n">
        <v>47500000</v>
      </c>
      <c r="I290" s="71" t="n">
        <v>47500000</v>
      </c>
      <c r="J290" s="72" t="n">
        <v>3.59</v>
      </c>
      <c r="K290" s="69" t="inlineStr">
        <is>
          <t>Fixed rate</t>
        </is>
      </c>
      <c r="L290" s="68" t="n">
        <v>120</v>
      </c>
      <c r="M290" s="68" t="n">
        <v>10</v>
      </c>
      <c r="N290" s="68" t="n">
        <v>120</v>
      </c>
      <c r="O290" s="68" t="n">
        <v>120</v>
      </c>
      <c r="P290" s="68" t="n">
        <v>10</v>
      </c>
      <c r="Q290" s="68" t="n">
        <v>110</v>
      </c>
      <c r="R290" s="69" t="inlineStr">
        <is>
          <t>IO</t>
        </is>
      </c>
      <c r="S290" s="69" t="inlineStr">
        <is>
          <t>Yes</t>
        </is>
      </c>
      <c r="T290" s="73" t="n">
        <v>42917</v>
      </c>
      <c r="U290" s="73" t="n">
        <v>46574</v>
      </c>
      <c r="V290" s="73" t="n"/>
      <c r="W290" s="69" t="n"/>
      <c r="X290" s="69" t="inlineStr">
        <is>
          <t>Current</t>
        </is>
      </c>
      <c r="Y290" s="68" t="n"/>
      <c r="Z290" s="69" t="inlineStr">
        <is>
          <t>No Defeasance Occurred</t>
        </is>
      </c>
      <c r="AA290" s="69" t="n"/>
      <c r="AB290" s="69" t="inlineStr">
        <is>
          <t>Never special serv</t>
        </is>
      </c>
      <c r="AC290" s="73" t="n"/>
      <c r="AD290" s="69" t="n"/>
      <c r="AE290" s="69" t="n"/>
      <c r="AF290" s="69" t="inlineStr">
        <is>
          <t>CA</t>
        </is>
      </c>
      <c r="AG290" s="69" t="inlineStr">
        <is>
          <t>Loma Linda</t>
        </is>
      </c>
      <c r="AH290" s="69" t="inlineStr">
        <is>
          <t>Riverside-San Bernardino-Ontario, CA</t>
        </is>
      </c>
      <c r="AI290" s="69" t="inlineStr">
        <is>
          <t>West / Pacific South</t>
        </is>
      </c>
      <c r="AJ290" s="69" t="inlineStr">
        <is>
          <t>OF</t>
        </is>
      </c>
      <c r="AK290" s="69" t="inlineStr">
        <is>
          <t>Medical</t>
        </is>
      </c>
      <c r="AL290" s="68" t="n">
        <v>1</v>
      </c>
      <c r="AM290" s="68" t="n"/>
      <c r="AN290" s="68" t="n">
        <v>327614</v>
      </c>
      <c r="AO290" s="69" t="inlineStr">
        <is>
          <t>2016</t>
        </is>
      </c>
      <c r="AP290" s="70" t="n">
        <v>2016</v>
      </c>
      <c r="AQ290" s="74" t="n">
        <v>2.56</v>
      </c>
      <c r="AR290" s="74" t="n">
        <v>2.77</v>
      </c>
      <c r="AS290" s="74" t="n">
        <v>59.3</v>
      </c>
      <c r="AT290" s="74" t="n">
        <v>59.3</v>
      </c>
      <c r="AU290" s="74" t="n">
        <v>59.3</v>
      </c>
      <c r="AV290" s="74" t="n">
        <v>9.301994713999999</v>
      </c>
      <c r="AW290" s="74" t="n">
        <v>10.196805584</v>
      </c>
      <c r="AX290" s="75" t="n">
        <v>100</v>
      </c>
      <c r="AY290" s="71" t="n">
        <v>215000000</v>
      </c>
      <c r="AZ290" s="71" t="n">
        <v>215000000</v>
      </c>
      <c r="BA290" s="71" t="n">
        <v>11860043.26</v>
      </c>
      <c r="BB290" s="71" t="n">
        <v>12841078.12</v>
      </c>
      <c r="BC290" s="69" t="inlineStr">
        <is>
          <t>Acquisition</t>
        </is>
      </c>
      <c r="BD290" s="69" t="inlineStr">
        <is>
          <t>N</t>
        </is>
      </c>
      <c r="BE290" s="71" t="n">
        <v>80000000</v>
      </c>
      <c r="BF290" s="71" t="n"/>
      <c r="BG290" s="71" t="n"/>
      <c r="BH290" s="71" t="n">
        <v>0</v>
      </c>
      <c r="BI290" s="71" t="n">
        <v>0</v>
      </c>
      <c r="BJ290" s="69" t="inlineStr">
        <is>
          <t>N</t>
        </is>
      </c>
      <c r="BK290" s="69" t="inlineStr">
        <is>
          <t>United States Government</t>
        </is>
      </c>
      <c r="BL290" s="75" t="n">
        <v>100</v>
      </c>
      <c r="BM290" s="73" t="n">
        <v>49821</v>
      </c>
      <c r="BN290" s="69" t="inlineStr">
        <is>
          <t>Easterly Government Properties LP</t>
        </is>
      </c>
      <c r="BO290" s="69" t="inlineStr">
        <is>
          <t>Goldman Sachs</t>
        </is>
      </c>
      <c r="BP290" s="69" t="inlineStr">
        <is>
          <t>TriMont Real Estate Advisors</t>
        </is>
      </c>
      <c r="BQ290" s="69" t="inlineStr">
        <is>
          <t>Rialto Capital</t>
        </is>
      </c>
      <c r="BR290" s="69" t="n"/>
      <c r="BS290" s="73" t="n">
        <v>46273</v>
      </c>
      <c r="BU290" s="76">
        <f>IF($C290="","",IFERROR(INDEX(dmName,MATCH($C290,dmID,0)),"Unmapped"))</f>
        <v/>
      </c>
      <c r="BV290" s="76">
        <f>IF($C290="","",IFERROR(INDEX(dmEntity,MATCH($C290,dmID,0)),"Unmapped"))</f>
        <v/>
      </c>
      <c r="BW290" s="77">
        <f>IF($C290="","",IFERROR(INDEX(dmVintage,MATCH($C290,dmID,0)),""))</f>
        <v/>
      </c>
      <c r="BX290" s="78">
        <f>IFERROR(INDEX(dmInclude,MATCH($C290,dmID,0)),0)</f>
        <v/>
      </c>
      <c r="BY290" s="78">
        <f>IF(N($I290)&gt;0,1,0)</f>
        <v/>
      </c>
      <c r="BZ290" s="76">
        <f>IF($AJ290="","Other / Leased Fee",IFERROR(INDEX(mapPTGroup,MATCH(LEFT(TRIM($AJ290),2),mapPTCode,0)),"Other / Leased Fee"))</f>
        <v/>
      </c>
      <c r="CA290" s="76">
        <f>IF(TRIM($AF290&amp;"")="","NR",LEFT(TRIM($AF290),2))</f>
        <v/>
      </c>
      <c r="CB290" s="76">
        <f>IFERROR(LOOKUP(2,1/(LEFT(TRIM($AI290&amp;""),LEN(mapRegion))=mapRegion),mapRegion),"Not Reported")</f>
        <v/>
      </c>
      <c r="CC290" s="76">
        <f>IF($BY290=0,"",IF(TRIM($W290&amp;"")="REO","REO",IF(TRIM($W290&amp;"")="FC","Foreclosure",IF(TRIM($W290&amp;"")="90+","90+ Days Delinquent",IF(TRIM($W290&amp;"")="60","60 Days Delinquent",IF(TRIM($W290&amp;"")="30","30 Days Delinquent",IF($X290="Non-Performing Matured Balloon","Non-Performing Matured Balloon",IF(OR($X290="Late Payment But Less Than 30 Days Delinquent",LEFT($X290&amp;"",20)="Payment Not Received"),"Late / In Grace (&lt;30 Days)",IF($X290="Performing Matured Balloon","Performing Matured Balloon","Current")))))))))</f>
        <v/>
      </c>
      <c r="CD290" s="78">
        <f>IF(OR($CC290="REO",$CC290="Foreclosure",$CC290="90+ Days Delinquent",$CC290="60 Days Delinquent",$CC290="30 Days Delinquent",$CC290="Non-Performing Matured Balloon"),1,0)</f>
        <v/>
      </c>
      <c r="CE290" s="76">
        <f>IF($AB290="Currently special serv","Currently Specially Serviced",IF($AB290="Returned to master serv","Previously Specially Serviced","Never Specially Serviced"))</f>
        <v/>
      </c>
      <c r="CF290" s="78">
        <f>IF($CE290="Currently Specially Serviced",1,0)</f>
        <v/>
      </c>
      <c r="CG290" s="76">
        <f>IF($AA290="Yes","Currently on Watchlist",IF($AA290="Previously","Previously on Watchlist","Never on Watchlist"))</f>
        <v/>
      </c>
      <c r="CH290" s="78">
        <f>IF($CG290="Currently on Watchlist",1,0)</f>
        <v/>
      </c>
      <c r="CI290" s="76">
        <f>IF($Z290="Full Defeasance","Fully Defeased",IF($Z290="Portion Of Loan Previously Defeased","Partially Defeased",IF($Z290="Defeasance Not Allowable","Not Defeased (Not Permitted)","Not Defeased")))</f>
        <v/>
      </c>
      <c r="CJ290" s="78">
        <f>IF($CI290="Fully Defeased",1,0)</f>
        <v/>
      </c>
      <c r="CK290" s="76">
        <f>IF($R290="IO","Full IO",IF(LEFT($R290&amp;"",7)="IO then","Partial IO","Amortizing"))</f>
        <v/>
      </c>
      <c r="CL290" s="78">
        <f>IF($CK290="Full IO",1,0)</f>
        <v/>
      </c>
      <c r="CM290" s="78">
        <f>IF($CK290="Partial IO",1,0)</f>
        <v/>
      </c>
      <c r="CN290" s="76">
        <f>IF(LEFT($F290&amp;"",10)="SPLIT_LOAN","Pari Passu Split","Standalone")</f>
        <v/>
      </c>
      <c r="CO290" s="78">
        <f>IF($CN290="Pari Passu Split",1,0)</f>
        <v/>
      </c>
      <c r="CP290" s="77">
        <f>IF(ISNUMBER($T290),YEAR($T290),"")</f>
        <v/>
      </c>
      <c r="CQ290" s="79">
        <f>IF(ISNUMBER($V290),$V290,IF(ISNUMBER($U290),$U290,""))</f>
        <v/>
      </c>
      <c r="CR290" s="77">
        <f>IF(ISNUMBER($CQ290),YEAR($CQ290),"")</f>
        <v/>
      </c>
      <c r="CS290" s="78">
        <f>IF(ISNUMBER($M290),MAX(0,$M290),IF(TRIM($M290&amp;"")="matured",0,""))</f>
        <v/>
      </c>
      <c r="CT290" s="78">
        <f>IF(AND(ISNUMBER($CS290),N($CS290)&lt;=mMatWindow),1,0)</f>
        <v/>
      </c>
      <c r="CU290" s="80">
        <f>IF(ISNUMBER($J290),$J290/100,"")</f>
        <v/>
      </c>
      <c r="CV290" s="81">
        <f>IF(ISNUMBER($AQ290),$AQ290,"")</f>
        <v/>
      </c>
      <c r="CW290" s="81">
        <f>IF(ISNUMBER($AR290),$AR290,"")</f>
        <v/>
      </c>
      <c r="CX290" s="82">
        <f>IF(ISNUMBER($AS290),$AS290/100,"")</f>
        <v/>
      </c>
      <c r="CY290" s="82">
        <f>IF(ISNUMBER($AT290),$AT290/100,"")</f>
        <v/>
      </c>
      <c r="CZ290" s="82">
        <f>IF(ISNUMBER($AU290),$AU290/100,"")</f>
        <v/>
      </c>
      <c r="DA290" s="82">
        <f>IF(ISNUMBER($AV290),$AV290/100,"")</f>
        <v/>
      </c>
      <c r="DB290" s="82">
        <f>IF(ISNUMBER($AW290),$AW290/100,"")</f>
        <v/>
      </c>
      <c r="DC290" s="82">
        <f>IF(ISNUMBER($AX290),$AX290/100,"")</f>
        <v/>
      </c>
      <c r="DD290" s="77">
        <f>IFERROR(VALUE(LEFT(TRIM($AO290&amp;""),4)),"")</f>
        <v/>
      </c>
      <c r="DE290" s="78">
        <f>IF(AND($BY290=1,$BX290=1,OR(fDeal="All Deals",$BU290=fDeal),OR(fEntity="All Entities",$BV290=fEntity),OR(fPType="All Property Types",$BZ290=fPType),OR(fDefeased="Include",$CJ290=0)),1,0)</f>
        <v/>
      </c>
      <c r="DF290" s="83">
        <f>$DE290*N($I290)</f>
        <v/>
      </c>
      <c r="DG290" s="78">
        <f>IF($DE290=1,IF(COUNTIFS($F$8:$F290,$F290,$DE$8:$DE290,1)=1,1,0),0)</f>
        <v/>
      </c>
      <c r="DH290" s="83">
        <f>IF($DG290=1,SUMIFS($DF$8:$DF$1600,$F$8:$F$1600,$F290),0)</f>
        <v/>
      </c>
      <c r="DI290" s="78">
        <f>IF($DG290=1,COUNTIFS($F$8:$F$1600,$F290,$DE$8:$DE$1600,1),0)</f>
        <v/>
      </c>
      <c r="DJ290" s="84">
        <f>IF($DG290=1,$DH290+(100000-ROW())/mTieBreak,0)</f>
        <v/>
      </c>
    </row>
    <row r="291">
      <c r="B291" s="68" t="n">
        <v>8</v>
      </c>
      <c r="C291" s="69" t="inlineStr">
        <is>
          <t>GS217GS8</t>
        </is>
      </c>
      <c r="D291" s="69" t="inlineStr">
        <is>
          <t>8.TR</t>
        </is>
      </c>
      <c r="E291" s="69" t="inlineStr">
        <is>
          <t>Olympic Tower - Trust</t>
        </is>
      </c>
      <c r="F291" s="69" t="inlineStr">
        <is>
          <t>SPLIT_LOAN_00978</t>
        </is>
      </c>
      <c r="G291" s="70" t="n">
        <v>978</v>
      </c>
      <c r="H291" s="71" t="n">
        <v>44000000</v>
      </c>
      <c r="I291" s="71" t="n">
        <v>44000000</v>
      </c>
      <c r="J291" s="72" t="n">
        <v>3.9539474</v>
      </c>
      <c r="K291" s="69" t="inlineStr">
        <is>
          <t>Fixed rate</t>
        </is>
      </c>
      <c r="L291" s="68" t="n">
        <v>120</v>
      </c>
      <c r="M291" s="68" t="n">
        <v>8</v>
      </c>
      <c r="N291" s="68" t="n">
        <v>120</v>
      </c>
      <c r="O291" s="68" t="n">
        <v>120</v>
      </c>
      <c r="P291" s="68" t="n">
        <v>8</v>
      </c>
      <c r="Q291" s="68" t="n">
        <v>112</v>
      </c>
      <c r="R291" s="69" t="inlineStr">
        <is>
          <t>IO</t>
        </is>
      </c>
      <c r="S291" s="69" t="inlineStr">
        <is>
          <t>Yes</t>
        </is>
      </c>
      <c r="T291" s="73" t="n">
        <v>42856</v>
      </c>
      <c r="U291" s="73" t="n">
        <v>46513</v>
      </c>
      <c r="V291" s="73" t="n"/>
      <c r="W291" s="69" t="n"/>
      <c r="X291" s="69" t="inlineStr">
        <is>
          <t>Current</t>
        </is>
      </c>
      <c r="Y291" s="68" t="n"/>
      <c r="Z291" s="69" t="inlineStr">
        <is>
          <t>No Defeasance Occurred</t>
        </is>
      </c>
      <c r="AA291" s="69" t="inlineStr">
        <is>
          <t>Previously</t>
        </is>
      </c>
      <c r="AB291" s="69" t="inlineStr">
        <is>
          <t>Never special serv</t>
        </is>
      </c>
      <c r="AC291" s="73" t="n"/>
      <c r="AD291" s="69" t="n"/>
      <c r="AE291" s="69" t="n"/>
      <c r="AF291" s="69" t="inlineStr">
        <is>
          <t>NY</t>
        </is>
      </c>
      <c r="AG291" s="69" t="inlineStr">
        <is>
          <t>New York</t>
        </is>
      </c>
      <c r="AH291" s="69" t="inlineStr">
        <is>
          <t>New York-Newark-Jersey City, NY-NJ</t>
        </is>
      </c>
      <c r="AI291" s="69" t="inlineStr">
        <is>
          <t>Northeast / Mid-Atlantic</t>
        </is>
      </c>
      <c r="AJ291" s="69" t="inlineStr">
        <is>
          <t>MX</t>
        </is>
      </c>
      <c r="AK291" s="69" t="inlineStr">
        <is>
          <t>Office/Retail</t>
        </is>
      </c>
      <c r="AL291" s="68" t="n">
        <v>1</v>
      </c>
      <c r="AM291" s="68" t="n"/>
      <c r="AN291" s="68" t="n">
        <v>525372</v>
      </c>
      <c r="AO291" s="69" t="inlineStr">
        <is>
          <t>1905, 1930, 1973</t>
        </is>
      </c>
      <c r="AP291" s="70" t="n">
        <v>1973</v>
      </c>
      <c r="AQ291" s="74" t="n">
        <v>2.7</v>
      </c>
      <c r="AR291" s="74" t="n">
        <v>1.69</v>
      </c>
      <c r="AS291" s="74" t="n">
        <v>32.16</v>
      </c>
      <c r="AT291" s="74" t="n">
        <v>32.16</v>
      </c>
      <c r="AU291" s="74" t="n">
        <v>32.16</v>
      </c>
      <c r="AV291" s="74" t="n">
        <v>10.82433617</v>
      </c>
      <c r="AW291" s="74" t="n">
        <v>10.422899169</v>
      </c>
      <c r="AX291" s="75" t="n">
        <v>98.77</v>
      </c>
      <c r="AY291" s="71" t="n">
        <v>1900000000</v>
      </c>
      <c r="AZ291" s="71" t="n">
        <v>1900000000</v>
      </c>
      <c r="BA291" s="71" t="n">
        <v>66136694</v>
      </c>
      <c r="BB291" s="71" t="n">
        <v>63683913.92</v>
      </c>
      <c r="BC291" s="69" t="inlineStr">
        <is>
          <t>Refinance</t>
        </is>
      </c>
      <c r="BD291" s="69" t="inlineStr">
        <is>
          <t>Y</t>
        </is>
      </c>
      <c r="BE291" s="71" t="n">
        <v>567000000</v>
      </c>
      <c r="BF291" s="71" t="n">
        <v>149000000</v>
      </c>
      <c r="BG291" s="71" t="n">
        <v>240000000</v>
      </c>
      <c r="BH291" s="71" t="n">
        <v>0</v>
      </c>
      <c r="BI291" s="71" t="n">
        <v>0</v>
      </c>
      <c r="BJ291" s="69" t="inlineStr">
        <is>
          <t>N</t>
        </is>
      </c>
      <c r="BK291" s="69" t="inlineStr">
        <is>
          <t>NBA Properties, Inc.</t>
        </is>
      </c>
      <c r="BL291" s="75" t="n">
        <v>36.54</v>
      </c>
      <c r="BM291" s="73" t="n">
        <v>49674</v>
      </c>
      <c r="BN291" s="69" t="inlineStr">
        <is>
          <t>OPG Investment Holdings (US), LLC, Crown Retail Services LLC, Centurian Management Corporation and Crown 600 Broadway LLC</t>
        </is>
      </c>
      <c r="BO291" s="69" t="inlineStr">
        <is>
          <t>Goldman Sachs</t>
        </is>
      </c>
      <c r="BP291" s="69" t="inlineStr">
        <is>
          <t>TriMont Real Estate Advisors</t>
        </is>
      </c>
      <c r="BQ291" s="69" t="inlineStr">
        <is>
          <t>LNR Partners</t>
        </is>
      </c>
      <c r="BR291" s="69" t="n"/>
      <c r="BS291" s="73" t="n">
        <v>46273</v>
      </c>
      <c r="BU291" s="76">
        <f>IF($C291="","",IFERROR(INDEX(dmName,MATCH($C291,dmID,0)),"Unmapped"))</f>
        <v/>
      </c>
      <c r="BV291" s="76">
        <f>IF($C291="","",IFERROR(INDEX(dmEntity,MATCH($C291,dmID,0)),"Unmapped"))</f>
        <v/>
      </c>
      <c r="BW291" s="77">
        <f>IF($C291="","",IFERROR(INDEX(dmVintage,MATCH($C291,dmID,0)),""))</f>
        <v/>
      </c>
      <c r="BX291" s="78">
        <f>IFERROR(INDEX(dmInclude,MATCH($C291,dmID,0)),0)</f>
        <v/>
      </c>
      <c r="BY291" s="78">
        <f>IF(N($I291)&gt;0,1,0)</f>
        <v/>
      </c>
      <c r="BZ291" s="76">
        <f>IF($AJ291="","Other / Leased Fee",IFERROR(INDEX(mapPTGroup,MATCH(LEFT(TRIM($AJ291),2),mapPTCode,0)),"Other / Leased Fee"))</f>
        <v/>
      </c>
      <c r="CA291" s="76">
        <f>IF(TRIM($AF291&amp;"")="","NR",LEFT(TRIM($AF291),2))</f>
        <v/>
      </c>
      <c r="CB291" s="76">
        <f>IFERROR(LOOKUP(2,1/(LEFT(TRIM($AI291&amp;""),LEN(mapRegion))=mapRegion),mapRegion),"Not Reported")</f>
        <v/>
      </c>
      <c r="CC291" s="76">
        <f>IF($BY291=0,"",IF(TRIM($W291&amp;"")="REO","REO",IF(TRIM($W291&amp;"")="FC","Foreclosure",IF(TRIM($W291&amp;"")="90+","90+ Days Delinquent",IF(TRIM($W291&amp;"")="60","60 Days Delinquent",IF(TRIM($W291&amp;"")="30","30 Days Delinquent",IF($X291="Non-Performing Matured Balloon","Non-Performing Matured Balloon",IF(OR($X291="Late Payment But Less Than 30 Days Delinquent",LEFT($X291&amp;"",20)="Payment Not Received"),"Late / In Grace (&lt;30 Days)",IF($X291="Performing Matured Balloon","Performing Matured Balloon","Current")))))))))</f>
        <v/>
      </c>
      <c r="CD291" s="78">
        <f>IF(OR($CC291="REO",$CC291="Foreclosure",$CC291="90+ Days Delinquent",$CC291="60 Days Delinquent",$CC291="30 Days Delinquent",$CC291="Non-Performing Matured Balloon"),1,0)</f>
        <v/>
      </c>
      <c r="CE291" s="76">
        <f>IF($AB291="Currently special serv","Currently Specially Serviced",IF($AB291="Returned to master serv","Previously Specially Serviced","Never Specially Serviced"))</f>
        <v/>
      </c>
      <c r="CF291" s="78">
        <f>IF($CE291="Currently Specially Serviced",1,0)</f>
        <v/>
      </c>
      <c r="CG291" s="76">
        <f>IF($AA291="Yes","Currently on Watchlist",IF($AA291="Previously","Previously on Watchlist","Never on Watchlist"))</f>
        <v/>
      </c>
      <c r="CH291" s="78">
        <f>IF($CG291="Currently on Watchlist",1,0)</f>
        <v/>
      </c>
      <c r="CI291" s="76">
        <f>IF($Z291="Full Defeasance","Fully Defeased",IF($Z291="Portion Of Loan Previously Defeased","Partially Defeased",IF($Z291="Defeasance Not Allowable","Not Defeased (Not Permitted)","Not Defeased")))</f>
        <v/>
      </c>
      <c r="CJ291" s="78">
        <f>IF($CI291="Fully Defeased",1,0)</f>
        <v/>
      </c>
      <c r="CK291" s="76">
        <f>IF($R291="IO","Full IO",IF(LEFT($R291&amp;"",7)="IO then","Partial IO","Amortizing"))</f>
        <v/>
      </c>
      <c r="CL291" s="78">
        <f>IF($CK291="Full IO",1,0)</f>
        <v/>
      </c>
      <c r="CM291" s="78">
        <f>IF($CK291="Partial IO",1,0)</f>
        <v/>
      </c>
      <c r="CN291" s="76">
        <f>IF(LEFT($F291&amp;"",10)="SPLIT_LOAN","Pari Passu Split","Standalone")</f>
        <v/>
      </c>
      <c r="CO291" s="78">
        <f>IF($CN291="Pari Passu Split",1,0)</f>
        <v/>
      </c>
      <c r="CP291" s="77">
        <f>IF(ISNUMBER($T291),YEAR($T291),"")</f>
        <v/>
      </c>
      <c r="CQ291" s="79">
        <f>IF(ISNUMBER($V291),$V291,IF(ISNUMBER($U291),$U291,""))</f>
        <v/>
      </c>
      <c r="CR291" s="77">
        <f>IF(ISNUMBER($CQ291),YEAR($CQ291),"")</f>
        <v/>
      </c>
      <c r="CS291" s="78">
        <f>IF(ISNUMBER($M291),MAX(0,$M291),IF(TRIM($M291&amp;"")="matured",0,""))</f>
        <v/>
      </c>
      <c r="CT291" s="78">
        <f>IF(AND(ISNUMBER($CS291),N($CS291)&lt;=mMatWindow),1,0)</f>
        <v/>
      </c>
      <c r="CU291" s="80">
        <f>IF(ISNUMBER($J291),$J291/100,"")</f>
        <v/>
      </c>
      <c r="CV291" s="81">
        <f>IF(ISNUMBER($AQ291),$AQ291,"")</f>
        <v/>
      </c>
      <c r="CW291" s="81">
        <f>IF(ISNUMBER($AR291),$AR291,"")</f>
        <v/>
      </c>
      <c r="CX291" s="82">
        <f>IF(ISNUMBER($AS291),$AS291/100,"")</f>
        <v/>
      </c>
      <c r="CY291" s="82">
        <f>IF(ISNUMBER($AT291),$AT291/100,"")</f>
        <v/>
      </c>
      <c r="CZ291" s="82">
        <f>IF(ISNUMBER($AU291),$AU291/100,"")</f>
        <v/>
      </c>
      <c r="DA291" s="82">
        <f>IF(ISNUMBER($AV291),$AV291/100,"")</f>
        <v/>
      </c>
      <c r="DB291" s="82">
        <f>IF(ISNUMBER($AW291),$AW291/100,"")</f>
        <v/>
      </c>
      <c r="DC291" s="82">
        <f>IF(ISNUMBER($AX291),$AX291/100,"")</f>
        <v/>
      </c>
      <c r="DD291" s="77">
        <f>IFERROR(VALUE(LEFT(TRIM($AO291&amp;""),4)),"")</f>
        <v/>
      </c>
      <c r="DE291" s="78">
        <f>IF(AND($BY291=1,$BX291=1,OR(fDeal="All Deals",$BU291=fDeal),OR(fEntity="All Entities",$BV291=fEntity),OR(fPType="All Property Types",$BZ291=fPType),OR(fDefeased="Include",$CJ291=0)),1,0)</f>
        <v/>
      </c>
      <c r="DF291" s="83">
        <f>$DE291*N($I291)</f>
        <v/>
      </c>
      <c r="DG291" s="78">
        <f>IF($DE291=1,IF(COUNTIFS($F$8:$F291,$F291,$DE$8:$DE291,1)=1,1,0),0)</f>
        <v/>
      </c>
      <c r="DH291" s="83">
        <f>IF($DG291=1,SUMIFS($DF$8:$DF$1600,$F$8:$F$1600,$F291),0)</f>
        <v/>
      </c>
      <c r="DI291" s="78">
        <f>IF($DG291=1,COUNTIFS($F$8:$F$1600,$F291,$DE$8:$DE$1600,1),0)</f>
        <v/>
      </c>
      <c r="DJ291" s="84">
        <f>IF($DG291=1,$DH291+(100000-ROW())/mTieBreak,0)</f>
        <v/>
      </c>
    </row>
    <row r="292">
      <c r="B292" s="68" t="n">
        <v>9</v>
      </c>
      <c r="C292" s="69" t="inlineStr">
        <is>
          <t>GS217GS8</t>
        </is>
      </c>
      <c r="D292" s="69" t="inlineStr">
        <is>
          <t>9.000</t>
        </is>
      </c>
      <c r="E292" s="69" t="inlineStr">
        <is>
          <t>The Triangle</t>
        </is>
      </c>
      <c r="F292" s="69" t="inlineStr">
        <is>
          <t>LNGS217GS8-9.000</t>
        </is>
      </c>
      <c r="G292" s="70" t="n"/>
      <c r="H292" s="71" t="n">
        <v>41250000</v>
      </c>
      <c r="I292" s="71" t="n">
        <v>37052239.05999</v>
      </c>
      <c r="J292" s="72" t="n">
        <v>4.463</v>
      </c>
      <c r="K292" s="69" t="inlineStr">
        <is>
          <t>Fixed rate</t>
        </is>
      </c>
      <c r="L292" s="68" t="n">
        <v>120</v>
      </c>
      <c r="M292" s="68" t="n">
        <v>14</v>
      </c>
      <c r="N292" s="68" t="n">
        <v>396</v>
      </c>
      <c r="O292" s="68" t="n">
        <v>36</v>
      </c>
      <c r="P292" s="68" t="n">
        <v>0</v>
      </c>
      <c r="Q292" s="68" t="n">
        <v>106</v>
      </c>
      <c r="R292" s="69" t="inlineStr">
        <is>
          <t>IO then Amort</t>
        </is>
      </c>
      <c r="S292" s="69" t="inlineStr">
        <is>
          <t>No</t>
        </is>
      </c>
      <c r="T292" s="73" t="n">
        <v>43040</v>
      </c>
      <c r="U292" s="73" t="n">
        <v>46697</v>
      </c>
      <c r="V292" s="73" t="n"/>
      <c r="W292" s="69" t="n"/>
      <c r="X292" s="69" t="inlineStr">
        <is>
          <t>Current</t>
        </is>
      </c>
      <c r="Y292" s="68" t="n"/>
      <c r="Z292" s="69" t="inlineStr">
        <is>
          <t>No Defeasance Occurred</t>
        </is>
      </c>
      <c r="AA292" s="69" t="inlineStr">
        <is>
          <t>Previously</t>
        </is>
      </c>
      <c r="AB292" s="69" t="inlineStr">
        <is>
          <t>Never special serv</t>
        </is>
      </c>
      <c r="AC292" s="73" t="n"/>
      <c r="AD292" s="69" t="n"/>
      <c r="AE292" s="69" t="n"/>
      <c r="AF292" s="69" t="inlineStr">
        <is>
          <t>CA</t>
        </is>
      </c>
      <c r="AG292" s="69" t="inlineStr">
        <is>
          <t>Costa Mesa</t>
        </is>
      </c>
      <c r="AH292" s="69" t="inlineStr">
        <is>
          <t>Los Angeles-Long Beach-Anaheim, CA</t>
        </is>
      </c>
      <c r="AI292" s="69" t="inlineStr">
        <is>
          <t>West / Pacific South</t>
        </is>
      </c>
      <c r="AJ292" s="69" t="inlineStr">
        <is>
          <t>RT</t>
        </is>
      </c>
      <c r="AK292" s="69" t="inlineStr">
        <is>
          <t>Anchored</t>
        </is>
      </c>
      <c r="AL292" s="68" t="n">
        <v>1</v>
      </c>
      <c r="AM292" s="68" t="n"/>
      <c r="AN292" s="68" t="n">
        <v>204523</v>
      </c>
      <c r="AO292" s="69" t="inlineStr">
        <is>
          <t>1992-1993</t>
        </is>
      </c>
      <c r="AP292" s="70" t="n">
        <v>2012</v>
      </c>
      <c r="AQ292" s="74" t="n">
        <v>1.57</v>
      </c>
      <c r="AR292" s="74" t="n">
        <v>1.95</v>
      </c>
      <c r="AS292" s="74" t="n">
        <v>74.06</v>
      </c>
      <c r="AT292" s="74" t="n">
        <v>66.52</v>
      </c>
      <c r="AU292" s="74" t="n">
        <v>59.23</v>
      </c>
      <c r="AV292" s="74" t="n">
        <v>9.482020339</v>
      </c>
      <c r="AW292" s="74" t="n">
        <v>13.441239521</v>
      </c>
      <c r="AX292" s="75" t="n">
        <v>99</v>
      </c>
      <c r="AY292" s="71" t="n">
        <v>55700000</v>
      </c>
      <c r="AZ292" s="71" t="n">
        <v>55700000</v>
      </c>
      <c r="BA292" s="71" t="n">
        <v>3911333.39</v>
      </c>
      <c r="BB292" s="71" t="n">
        <v>2434301.68</v>
      </c>
      <c r="BC292" s="69" t="inlineStr">
        <is>
          <t>Acquisition</t>
        </is>
      </c>
      <c r="BD292" s="69" t="inlineStr">
        <is>
          <t>N</t>
        </is>
      </c>
      <c r="BE292" s="71" t="n"/>
      <c r="BF292" s="71" t="n"/>
      <c r="BG292" s="71" t="n"/>
      <c r="BH292" s="71" t="n">
        <v>0</v>
      </c>
      <c r="BI292" s="71" t="n">
        <v>0</v>
      </c>
      <c r="BJ292" s="69" t="inlineStr">
        <is>
          <t>Y</t>
        </is>
      </c>
      <c r="BK292" s="69" t="inlineStr">
        <is>
          <t>24 Hour Fitness</t>
        </is>
      </c>
      <c r="BL292" s="75" t="n">
        <v>28.97</v>
      </c>
      <c r="BM292" s="73" t="n">
        <v>48213</v>
      </c>
      <c r="BN292" s="69" t="inlineStr">
        <is>
          <t>Kamyar Mateen and Tyler Mateen</t>
        </is>
      </c>
      <c r="BO292" s="69" t="inlineStr">
        <is>
          <t>Goldman Sachs</t>
        </is>
      </c>
      <c r="BP292" s="69" t="inlineStr">
        <is>
          <t>TriMont Real Estate Advisors</t>
        </is>
      </c>
      <c r="BQ292" s="69" t="inlineStr">
        <is>
          <t>K-Star Asset Management LLC</t>
        </is>
      </c>
      <c r="BR292" s="69" t="n"/>
      <c r="BS292" s="73" t="n">
        <v>46273</v>
      </c>
      <c r="BU292" s="76">
        <f>IF($C292="","",IFERROR(INDEX(dmName,MATCH($C292,dmID,0)),"Unmapped"))</f>
        <v/>
      </c>
      <c r="BV292" s="76">
        <f>IF($C292="","",IFERROR(INDEX(dmEntity,MATCH($C292,dmID,0)),"Unmapped"))</f>
        <v/>
      </c>
      <c r="BW292" s="77">
        <f>IF($C292="","",IFERROR(INDEX(dmVintage,MATCH($C292,dmID,0)),""))</f>
        <v/>
      </c>
      <c r="BX292" s="78">
        <f>IFERROR(INDEX(dmInclude,MATCH($C292,dmID,0)),0)</f>
        <v/>
      </c>
      <c r="BY292" s="78">
        <f>IF(N($I292)&gt;0,1,0)</f>
        <v/>
      </c>
      <c r="BZ292" s="76">
        <f>IF($AJ292="","Other / Leased Fee",IFERROR(INDEX(mapPTGroup,MATCH(LEFT(TRIM($AJ292),2),mapPTCode,0)),"Other / Leased Fee"))</f>
        <v/>
      </c>
      <c r="CA292" s="76">
        <f>IF(TRIM($AF292&amp;"")="","NR",LEFT(TRIM($AF292),2))</f>
        <v/>
      </c>
      <c r="CB292" s="76">
        <f>IFERROR(LOOKUP(2,1/(LEFT(TRIM($AI292&amp;""),LEN(mapRegion))=mapRegion),mapRegion),"Not Reported")</f>
        <v/>
      </c>
      <c r="CC292" s="76">
        <f>IF($BY292=0,"",IF(TRIM($W292&amp;"")="REO","REO",IF(TRIM($W292&amp;"")="FC","Foreclosure",IF(TRIM($W292&amp;"")="90+","90+ Days Delinquent",IF(TRIM($W292&amp;"")="60","60 Days Delinquent",IF(TRIM($W292&amp;"")="30","30 Days Delinquent",IF($X292="Non-Performing Matured Balloon","Non-Performing Matured Balloon",IF(OR($X292="Late Payment But Less Than 30 Days Delinquent",LEFT($X292&amp;"",20)="Payment Not Received"),"Late / In Grace (&lt;30 Days)",IF($X292="Performing Matured Balloon","Performing Matured Balloon","Current")))))))))</f>
        <v/>
      </c>
      <c r="CD292" s="78">
        <f>IF(OR($CC292="REO",$CC292="Foreclosure",$CC292="90+ Days Delinquent",$CC292="60 Days Delinquent",$CC292="30 Days Delinquent",$CC292="Non-Performing Matured Balloon"),1,0)</f>
        <v/>
      </c>
      <c r="CE292" s="76">
        <f>IF($AB292="Currently special serv","Currently Specially Serviced",IF($AB292="Returned to master serv","Previously Specially Serviced","Never Specially Serviced"))</f>
        <v/>
      </c>
      <c r="CF292" s="78">
        <f>IF($CE292="Currently Specially Serviced",1,0)</f>
        <v/>
      </c>
      <c r="CG292" s="76">
        <f>IF($AA292="Yes","Currently on Watchlist",IF($AA292="Previously","Previously on Watchlist","Never on Watchlist"))</f>
        <v/>
      </c>
      <c r="CH292" s="78">
        <f>IF($CG292="Currently on Watchlist",1,0)</f>
        <v/>
      </c>
      <c r="CI292" s="76">
        <f>IF($Z292="Full Defeasance","Fully Defeased",IF($Z292="Portion Of Loan Previously Defeased","Partially Defeased",IF($Z292="Defeasance Not Allowable","Not Defeased (Not Permitted)","Not Defeased")))</f>
        <v/>
      </c>
      <c r="CJ292" s="78">
        <f>IF($CI292="Fully Defeased",1,0)</f>
        <v/>
      </c>
      <c r="CK292" s="76">
        <f>IF($R292="IO","Full IO",IF(LEFT($R292&amp;"",7)="IO then","Partial IO","Amortizing"))</f>
        <v/>
      </c>
      <c r="CL292" s="78">
        <f>IF($CK292="Full IO",1,0)</f>
        <v/>
      </c>
      <c r="CM292" s="78">
        <f>IF($CK292="Partial IO",1,0)</f>
        <v/>
      </c>
      <c r="CN292" s="76">
        <f>IF(LEFT($F292&amp;"",10)="SPLIT_LOAN","Pari Passu Split","Standalone")</f>
        <v/>
      </c>
      <c r="CO292" s="78">
        <f>IF($CN292="Pari Passu Split",1,0)</f>
        <v/>
      </c>
      <c r="CP292" s="77">
        <f>IF(ISNUMBER($T292),YEAR($T292),"")</f>
        <v/>
      </c>
      <c r="CQ292" s="79">
        <f>IF(ISNUMBER($V292),$V292,IF(ISNUMBER($U292),$U292,""))</f>
        <v/>
      </c>
      <c r="CR292" s="77">
        <f>IF(ISNUMBER($CQ292),YEAR($CQ292),"")</f>
        <v/>
      </c>
      <c r="CS292" s="78">
        <f>IF(ISNUMBER($M292),MAX(0,$M292),IF(TRIM($M292&amp;"")="matured",0,""))</f>
        <v/>
      </c>
      <c r="CT292" s="78">
        <f>IF(AND(ISNUMBER($CS292),N($CS292)&lt;=mMatWindow),1,0)</f>
        <v/>
      </c>
      <c r="CU292" s="80">
        <f>IF(ISNUMBER($J292),$J292/100,"")</f>
        <v/>
      </c>
      <c r="CV292" s="81">
        <f>IF(ISNUMBER($AQ292),$AQ292,"")</f>
        <v/>
      </c>
      <c r="CW292" s="81">
        <f>IF(ISNUMBER($AR292),$AR292,"")</f>
        <v/>
      </c>
      <c r="CX292" s="82">
        <f>IF(ISNUMBER($AS292),$AS292/100,"")</f>
        <v/>
      </c>
      <c r="CY292" s="82">
        <f>IF(ISNUMBER($AT292),$AT292/100,"")</f>
        <v/>
      </c>
      <c r="CZ292" s="82">
        <f>IF(ISNUMBER($AU292),$AU292/100,"")</f>
        <v/>
      </c>
      <c r="DA292" s="82">
        <f>IF(ISNUMBER($AV292),$AV292/100,"")</f>
        <v/>
      </c>
      <c r="DB292" s="82">
        <f>IF(ISNUMBER($AW292),$AW292/100,"")</f>
        <v/>
      </c>
      <c r="DC292" s="82">
        <f>IF(ISNUMBER($AX292),$AX292/100,"")</f>
        <v/>
      </c>
      <c r="DD292" s="77">
        <f>IFERROR(VALUE(LEFT(TRIM($AO292&amp;""),4)),"")</f>
        <v/>
      </c>
      <c r="DE292" s="78">
        <f>IF(AND($BY292=1,$BX292=1,OR(fDeal="All Deals",$BU292=fDeal),OR(fEntity="All Entities",$BV292=fEntity),OR(fPType="All Property Types",$BZ292=fPType),OR(fDefeased="Include",$CJ292=0)),1,0)</f>
        <v/>
      </c>
      <c r="DF292" s="83">
        <f>$DE292*N($I292)</f>
        <v/>
      </c>
      <c r="DG292" s="78">
        <f>IF($DE292=1,IF(COUNTIFS($F$8:$F292,$F292,$DE$8:$DE292,1)=1,1,0),0)</f>
        <v/>
      </c>
      <c r="DH292" s="83">
        <f>IF($DG292=1,SUMIFS($DF$8:$DF$1600,$F$8:$F$1600,$F292),0)</f>
        <v/>
      </c>
      <c r="DI292" s="78">
        <f>IF($DG292=1,COUNTIFS($F$8:$F$1600,$F292,$DE$8:$DE$1600,1),0)</f>
        <v/>
      </c>
      <c r="DJ292" s="84">
        <f>IF($DG292=1,$DH292+(100000-ROW())/mTieBreak,0)</f>
        <v/>
      </c>
    </row>
    <row r="293">
      <c r="B293" s="68" t="n">
        <v>10</v>
      </c>
      <c r="C293" s="69" t="inlineStr">
        <is>
          <t>GS217GS8</t>
        </is>
      </c>
      <c r="D293" s="69" t="inlineStr">
        <is>
          <t>10.000</t>
        </is>
      </c>
      <c r="E293" s="69" t="inlineStr">
        <is>
          <t>Westin Palo Alto</t>
        </is>
      </c>
      <c r="F293" s="69" t="inlineStr">
        <is>
          <t>SPLIT_LOAN_00953</t>
        </is>
      </c>
      <c r="G293" s="70" t="n">
        <v>953</v>
      </c>
      <c r="H293" s="71" t="n">
        <v>40000000</v>
      </c>
      <c r="I293" s="71" t="n">
        <v>37036305.82</v>
      </c>
      <c r="J293" s="72" t="n">
        <v>4.736</v>
      </c>
      <c r="K293" s="69" t="inlineStr">
        <is>
          <t>Fixed rate</t>
        </is>
      </c>
      <c r="L293" s="68" t="n">
        <v>120</v>
      </c>
      <c r="M293" s="68" t="n">
        <v>5</v>
      </c>
      <c r="N293" s="68" t="n">
        <v>420</v>
      </c>
      <c r="O293" s="68" t="n">
        <v>60</v>
      </c>
      <c r="P293" s="68" t="n">
        <v>0</v>
      </c>
      <c r="Q293" s="68" t="n">
        <v>115</v>
      </c>
      <c r="R293" s="69" t="inlineStr">
        <is>
          <t>IO then Amort</t>
        </is>
      </c>
      <c r="S293" s="69" t="inlineStr">
        <is>
          <t>No</t>
        </is>
      </c>
      <c r="T293" s="73" t="n">
        <v>42767</v>
      </c>
      <c r="U293" s="73" t="n">
        <v>46424</v>
      </c>
      <c r="V293" s="73" t="n"/>
      <c r="W293" s="69" t="n"/>
      <c r="X293" s="69" t="inlineStr">
        <is>
          <t>Current</t>
        </is>
      </c>
      <c r="Y293" s="68" t="n"/>
      <c r="Z293" s="69" t="inlineStr">
        <is>
          <t>No Defeasance Occurred</t>
        </is>
      </c>
      <c r="AA293" s="69" t="inlineStr">
        <is>
          <t>Yes</t>
        </is>
      </c>
      <c r="AB293" s="69" t="inlineStr">
        <is>
          <t>Never special serv</t>
        </is>
      </c>
      <c r="AC293" s="73" t="n"/>
      <c r="AD293" s="69" t="n"/>
      <c r="AE293" s="69" t="n"/>
      <c r="AF293" s="69" t="inlineStr">
        <is>
          <t>CA</t>
        </is>
      </c>
      <c r="AG293" s="69" t="inlineStr">
        <is>
          <t>Palo Alto</t>
        </is>
      </c>
      <c r="AH293" s="69" t="inlineStr">
        <is>
          <t>San Jose-Sunnyvale-Santa Clara, CA</t>
        </is>
      </c>
      <c r="AI293" s="69" t="inlineStr">
        <is>
          <t>West / Pacific North</t>
        </is>
      </c>
      <c r="AJ293" s="69" t="inlineStr">
        <is>
          <t>HT</t>
        </is>
      </c>
      <c r="AK293" s="69" t="inlineStr">
        <is>
          <t>Full Service</t>
        </is>
      </c>
      <c r="AL293" s="68" t="n">
        <v>1</v>
      </c>
      <c r="AM293" s="68" t="n">
        <v>184</v>
      </c>
      <c r="AN293" s="68" t="n"/>
      <c r="AO293" s="69" t="inlineStr">
        <is>
          <t>2000</t>
        </is>
      </c>
      <c r="AP293" s="70" t="n">
        <v>2000</v>
      </c>
      <c r="AQ293" s="74" t="n">
        <v>1.63</v>
      </c>
      <c r="AR293" s="74" t="n">
        <v>1.86</v>
      </c>
      <c r="AS293" s="74" t="n">
        <v>60.5</v>
      </c>
      <c r="AT293" s="74" t="n">
        <v>56.01</v>
      </c>
      <c r="AU293" s="74" t="n">
        <v>51.93</v>
      </c>
      <c r="AV293" s="74" t="n">
        <v>10.17837341</v>
      </c>
      <c r="AW293" s="74" t="n">
        <v>11.170067986</v>
      </c>
      <c r="AX293" s="75" t="n">
        <v>85.37</v>
      </c>
      <c r="AY293" s="71" t="n">
        <v>137200000</v>
      </c>
      <c r="AZ293" s="71" t="n">
        <v>137200000</v>
      </c>
      <c r="BA293" s="71" t="n">
        <v>8448049.93</v>
      </c>
      <c r="BB293" s="71" t="n">
        <v>9650240.619999999</v>
      </c>
      <c r="BC293" s="69" t="inlineStr">
        <is>
          <t>Refinance</t>
        </is>
      </c>
      <c r="BD293" s="69" t="inlineStr">
        <is>
          <t>Y</t>
        </is>
      </c>
      <c r="BE293" s="71" t="n">
        <v>39814028.76</v>
      </c>
      <c r="BF293" s="71" t="n"/>
      <c r="BG293" s="71" t="n"/>
      <c r="BH293" s="71" t="n">
        <v>0</v>
      </c>
      <c r="BI293" s="71" t="n">
        <v>0</v>
      </c>
      <c r="BJ293" s="69" t="inlineStr">
        <is>
          <t>N</t>
        </is>
      </c>
      <c r="BK293" s="69" t="n"/>
      <c r="BL293" s="75" t="n"/>
      <c r="BM293" s="73" t="n"/>
      <c r="BN293" s="69" t="inlineStr">
        <is>
          <t>Clement Chen, III</t>
        </is>
      </c>
      <c r="BO293" s="69" t="inlineStr">
        <is>
          <t>Goldman Sachs</t>
        </is>
      </c>
      <c r="BP293" s="69" t="inlineStr">
        <is>
          <t>TriMont Real Estate Advisors</t>
        </is>
      </c>
      <c r="BQ293" s="69" t="inlineStr">
        <is>
          <t>Hudson Advisors</t>
        </is>
      </c>
      <c r="BR293" s="69" t="n"/>
      <c r="BS293" s="73" t="n">
        <v>46273</v>
      </c>
      <c r="BU293" s="76">
        <f>IF($C293="","",IFERROR(INDEX(dmName,MATCH($C293,dmID,0)),"Unmapped"))</f>
        <v/>
      </c>
      <c r="BV293" s="76">
        <f>IF($C293="","",IFERROR(INDEX(dmEntity,MATCH($C293,dmID,0)),"Unmapped"))</f>
        <v/>
      </c>
      <c r="BW293" s="77">
        <f>IF($C293="","",IFERROR(INDEX(dmVintage,MATCH($C293,dmID,0)),""))</f>
        <v/>
      </c>
      <c r="BX293" s="78">
        <f>IFERROR(INDEX(dmInclude,MATCH($C293,dmID,0)),0)</f>
        <v/>
      </c>
      <c r="BY293" s="78">
        <f>IF(N($I293)&gt;0,1,0)</f>
        <v/>
      </c>
      <c r="BZ293" s="76">
        <f>IF($AJ293="","Other / Leased Fee",IFERROR(INDEX(mapPTGroup,MATCH(LEFT(TRIM($AJ293),2),mapPTCode,0)),"Other / Leased Fee"))</f>
        <v/>
      </c>
      <c r="CA293" s="76">
        <f>IF(TRIM($AF293&amp;"")="","NR",LEFT(TRIM($AF293),2))</f>
        <v/>
      </c>
      <c r="CB293" s="76">
        <f>IFERROR(LOOKUP(2,1/(LEFT(TRIM($AI293&amp;""),LEN(mapRegion))=mapRegion),mapRegion),"Not Reported")</f>
        <v/>
      </c>
      <c r="CC293" s="76">
        <f>IF($BY293=0,"",IF(TRIM($W293&amp;"")="REO","REO",IF(TRIM($W293&amp;"")="FC","Foreclosure",IF(TRIM($W293&amp;"")="90+","90+ Days Delinquent",IF(TRIM($W293&amp;"")="60","60 Days Delinquent",IF(TRIM($W293&amp;"")="30","30 Days Delinquent",IF($X293="Non-Performing Matured Balloon","Non-Performing Matured Balloon",IF(OR($X293="Late Payment But Less Than 30 Days Delinquent",LEFT($X293&amp;"",20)="Payment Not Received"),"Late / In Grace (&lt;30 Days)",IF($X293="Performing Matured Balloon","Performing Matured Balloon","Current")))))))))</f>
        <v/>
      </c>
      <c r="CD293" s="78">
        <f>IF(OR($CC293="REO",$CC293="Foreclosure",$CC293="90+ Days Delinquent",$CC293="60 Days Delinquent",$CC293="30 Days Delinquent",$CC293="Non-Performing Matured Balloon"),1,0)</f>
        <v/>
      </c>
      <c r="CE293" s="76">
        <f>IF($AB293="Currently special serv","Currently Specially Serviced",IF($AB293="Returned to master serv","Previously Specially Serviced","Never Specially Serviced"))</f>
        <v/>
      </c>
      <c r="CF293" s="78">
        <f>IF($CE293="Currently Specially Serviced",1,0)</f>
        <v/>
      </c>
      <c r="CG293" s="76">
        <f>IF($AA293="Yes","Currently on Watchlist",IF($AA293="Previously","Previously on Watchlist","Never on Watchlist"))</f>
        <v/>
      </c>
      <c r="CH293" s="78">
        <f>IF($CG293="Currently on Watchlist",1,0)</f>
        <v/>
      </c>
      <c r="CI293" s="76">
        <f>IF($Z293="Full Defeasance","Fully Defeased",IF($Z293="Portion Of Loan Previously Defeased","Partially Defeased",IF($Z293="Defeasance Not Allowable","Not Defeased (Not Permitted)","Not Defeased")))</f>
        <v/>
      </c>
      <c r="CJ293" s="78">
        <f>IF($CI293="Fully Defeased",1,0)</f>
        <v/>
      </c>
      <c r="CK293" s="76">
        <f>IF($R293="IO","Full IO",IF(LEFT($R293&amp;"",7)="IO then","Partial IO","Amortizing"))</f>
        <v/>
      </c>
      <c r="CL293" s="78">
        <f>IF($CK293="Full IO",1,0)</f>
        <v/>
      </c>
      <c r="CM293" s="78">
        <f>IF($CK293="Partial IO",1,0)</f>
        <v/>
      </c>
      <c r="CN293" s="76">
        <f>IF(LEFT($F293&amp;"",10)="SPLIT_LOAN","Pari Passu Split","Standalone")</f>
        <v/>
      </c>
      <c r="CO293" s="78">
        <f>IF($CN293="Pari Passu Split",1,0)</f>
        <v/>
      </c>
      <c r="CP293" s="77">
        <f>IF(ISNUMBER($T293),YEAR($T293),"")</f>
        <v/>
      </c>
      <c r="CQ293" s="79">
        <f>IF(ISNUMBER($V293),$V293,IF(ISNUMBER($U293),$U293,""))</f>
        <v/>
      </c>
      <c r="CR293" s="77">
        <f>IF(ISNUMBER($CQ293),YEAR($CQ293),"")</f>
        <v/>
      </c>
      <c r="CS293" s="78">
        <f>IF(ISNUMBER($M293),MAX(0,$M293),IF(TRIM($M293&amp;"")="matured",0,""))</f>
        <v/>
      </c>
      <c r="CT293" s="78">
        <f>IF(AND(ISNUMBER($CS293),N($CS293)&lt;=mMatWindow),1,0)</f>
        <v/>
      </c>
      <c r="CU293" s="80">
        <f>IF(ISNUMBER($J293),$J293/100,"")</f>
        <v/>
      </c>
      <c r="CV293" s="81">
        <f>IF(ISNUMBER($AQ293),$AQ293,"")</f>
        <v/>
      </c>
      <c r="CW293" s="81">
        <f>IF(ISNUMBER($AR293),$AR293,"")</f>
        <v/>
      </c>
      <c r="CX293" s="82">
        <f>IF(ISNUMBER($AS293),$AS293/100,"")</f>
        <v/>
      </c>
      <c r="CY293" s="82">
        <f>IF(ISNUMBER($AT293),$AT293/100,"")</f>
        <v/>
      </c>
      <c r="CZ293" s="82">
        <f>IF(ISNUMBER($AU293),$AU293/100,"")</f>
        <v/>
      </c>
      <c r="DA293" s="82">
        <f>IF(ISNUMBER($AV293),$AV293/100,"")</f>
        <v/>
      </c>
      <c r="DB293" s="82">
        <f>IF(ISNUMBER($AW293),$AW293/100,"")</f>
        <v/>
      </c>
      <c r="DC293" s="82">
        <f>IF(ISNUMBER($AX293),$AX293/100,"")</f>
        <v/>
      </c>
      <c r="DD293" s="77">
        <f>IFERROR(VALUE(LEFT(TRIM($AO293&amp;""),4)),"")</f>
        <v/>
      </c>
      <c r="DE293" s="78">
        <f>IF(AND($BY293=1,$BX293=1,OR(fDeal="All Deals",$BU293=fDeal),OR(fEntity="All Entities",$BV293=fEntity),OR(fPType="All Property Types",$BZ293=fPType),OR(fDefeased="Include",$CJ293=0)),1,0)</f>
        <v/>
      </c>
      <c r="DF293" s="83">
        <f>$DE293*N($I293)</f>
        <v/>
      </c>
      <c r="DG293" s="78">
        <f>IF($DE293=1,IF(COUNTIFS($F$8:$F293,$F293,$DE$8:$DE293,1)=1,1,0),0)</f>
        <v/>
      </c>
      <c r="DH293" s="83">
        <f>IF($DG293=1,SUMIFS($DF$8:$DF$1600,$F$8:$F$1600,$F293),0)</f>
        <v/>
      </c>
      <c r="DI293" s="78">
        <f>IF($DG293=1,COUNTIFS($F$8:$F$1600,$F293,$DE$8:$DE$1600,1),0)</f>
        <v/>
      </c>
      <c r="DJ293" s="84">
        <f>IF($DG293=1,$DH293+(100000-ROW())/mTieBreak,0)</f>
        <v/>
      </c>
    </row>
    <row r="294">
      <c r="B294" s="68" t="n">
        <v>11</v>
      </c>
      <c r="C294" s="69" t="inlineStr">
        <is>
          <t>GS217GS8</t>
        </is>
      </c>
      <c r="D294" s="69" t="inlineStr">
        <is>
          <t>11.000</t>
        </is>
      </c>
      <c r="E294" s="69" t="inlineStr">
        <is>
          <t>Inn at the Market</t>
        </is>
      </c>
      <c r="F294" s="69" t="inlineStr">
        <is>
          <t>LNGS217GS8-11.000</t>
        </is>
      </c>
      <c r="G294" s="70" t="n"/>
      <c r="H294" s="71" t="n">
        <v>35000000</v>
      </c>
      <c r="I294" s="71" t="n">
        <v>32841182.039995</v>
      </c>
      <c r="J294" s="72" t="n">
        <v>4.648</v>
      </c>
      <c r="K294" s="69" t="inlineStr">
        <is>
          <t>Fixed rate</t>
        </is>
      </c>
      <c r="L294" s="68" t="n">
        <v>120</v>
      </c>
      <c r="M294" s="68" t="n">
        <v>14</v>
      </c>
      <c r="N294" s="68" t="n">
        <v>420</v>
      </c>
      <c r="O294" s="68" t="n">
        <v>60</v>
      </c>
      <c r="P294" s="68" t="n">
        <v>0</v>
      </c>
      <c r="Q294" s="68" t="n">
        <v>106</v>
      </c>
      <c r="R294" s="69" t="inlineStr">
        <is>
          <t>IO then Amort</t>
        </is>
      </c>
      <c r="S294" s="69" t="inlineStr">
        <is>
          <t>No</t>
        </is>
      </c>
      <c r="T294" s="73" t="n">
        <v>43040</v>
      </c>
      <c r="U294" s="73" t="n">
        <v>46697</v>
      </c>
      <c r="V294" s="73" t="n"/>
      <c r="W294" s="69" t="n"/>
      <c r="X294" s="69" t="inlineStr">
        <is>
          <t>Current</t>
        </is>
      </c>
      <c r="Y294" s="68" t="n"/>
      <c r="Z294" s="69" t="inlineStr">
        <is>
          <t>Defeasance Not Allowable</t>
        </is>
      </c>
      <c r="AA294" s="69" t="inlineStr">
        <is>
          <t>Previously</t>
        </is>
      </c>
      <c r="AB294" s="69" t="inlineStr">
        <is>
          <t>Returned to master serv</t>
        </is>
      </c>
      <c r="AC294" s="73" t="n"/>
      <c r="AD294" s="69" t="inlineStr">
        <is>
          <t>Imminent Monetary Default (excluding Balloon/Maturity Default &amp; Single Tenant Bankruptcy/Vacate)</t>
        </is>
      </c>
      <c r="AE294" s="69" t="inlineStr">
        <is>
          <t>Resolved</t>
        </is>
      </c>
      <c r="AF294" s="69" t="inlineStr">
        <is>
          <t>WA</t>
        </is>
      </c>
      <c r="AG294" s="69" t="inlineStr">
        <is>
          <t>Seattle</t>
        </is>
      </c>
      <c r="AH294" s="69" t="inlineStr">
        <is>
          <t>Seattle-Tacoma-Bellevue, WA</t>
        </is>
      </c>
      <c r="AI294" s="69" t="inlineStr">
        <is>
          <t>West / Pacific North</t>
        </is>
      </c>
      <c r="AJ294" s="69" t="inlineStr">
        <is>
          <t>HT</t>
        </is>
      </c>
      <c r="AK294" s="69" t="inlineStr">
        <is>
          <t>Full Service</t>
        </is>
      </c>
      <c r="AL294" s="68" t="n">
        <v>1</v>
      </c>
      <c r="AM294" s="68" t="n">
        <v>76</v>
      </c>
      <c r="AN294" s="68" t="n"/>
      <c r="AO294" s="69" t="inlineStr">
        <is>
          <t>1985</t>
        </is>
      </c>
      <c r="AP294" s="70" t="n">
        <v>2016</v>
      </c>
      <c r="AQ294" s="74" t="n">
        <v>1.73</v>
      </c>
      <c r="AR294" s="74" t="n">
        <v>1.76</v>
      </c>
      <c r="AS294" s="74" t="n">
        <v>66.04000000000001</v>
      </c>
      <c r="AT294" s="74" t="n">
        <v>83.14</v>
      </c>
      <c r="AU294" s="74" t="n">
        <v>60.57</v>
      </c>
      <c r="AV294" s="74" t="n">
        <v>10.715440143</v>
      </c>
      <c r="AW294" s="74" t="n">
        <v>7.893253041</v>
      </c>
      <c r="AX294" s="75" t="n">
        <v>80</v>
      </c>
      <c r="AY294" s="71" t="n">
        <v>53000000</v>
      </c>
      <c r="AZ294" s="71" t="n">
        <v>39500000</v>
      </c>
      <c r="BA294" s="71" t="n">
        <v>3750404.05</v>
      </c>
      <c r="BB294" s="71" t="n">
        <v>3811748.85</v>
      </c>
      <c r="BC294" s="69" t="inlineStr">
        <is>
          <t>Refinance</t>
        </is>
      </c>
      <c r="BD294" s="69" t="inlineStr">
        <is>
          <t>N</t>
        </is>
      </c>
      <c r="BE294" s="71" t="n"/>
      <c r="BF294" s="71" t="n"/>
      <c r="BG294" s="71" t="n"/>
      <c r="BH294" s="71" t="n">
        <v>0</v>
      </c>
      <c r="BI294" s="71" t="n">
        <v>0</v>
      </c>
      <c r="BJ294" s="69" t="inlineStr">
        <is>
          <t>Y</t>
        </is>
      </c>
      <c r="BK294" s="69" t="n"/>
      <c r="BL294" s="75" t="n"/>
      <c r="BM294" s="73" t="n"/>
      <c r="BN294" s="69" t="inlineStr">
        <is>
          <t>Craig Schafer</t>
        </is>
      </c>
      <c r="BO294" s="69" t="inlineStr">
        <is>
          <t>Goldman Sachs</t>
        </is>
      </c>
      <c r="BP294" s="69" t="inlineStr">
        <is>
          <t>TriMont Real Estate Advisors</t>
        </is>
      </c>
      <c r="BQ294" s="69" t="inlineStr">
        <is>
          <t>K-Star Asset Management LLC</t>
        </is>
      </c>
      <c r="BR294" s="69" t="n"/>
      <c r="BS294" s="73" t="n">
        <v>46273</v>
      </c>
      <c r="BU294" s="76">
        <f>IF($C294="","",IFERROR(INDEX(dmName,MATCH($C294,dmID,0)),"Unmapped"))</f>
        <v/>
      </c>
      <c r="BV294" s="76">
        <f>IF($C294="","",IFERROR(INDEX(dmEntity,MATCH($C294,dmID,0)),"Unmapped"))</f>
        <v/>
      </c>
      <c r="BW294" s="77">
        <f>IF($C294="","",IFERROR(INDEX(dmVintage,MATCH($C294,dmID,0)),""))</f>
        <v/>
      </c>
      <c r="BX294" s="78">
        <f>IFERROR(INDEX(dmInclude,MATCH($C294,dmID,0)),0)</f>
        <v/>
      </c>
      <c r="BY294" s="78">
        <f>IF(N($I294)&gt;0,1,0)</f>
        <v/>
      </c>
      <c r="BZ294" s="76">
        <f>IF($AJ294="","Other / Leased Fee",IFERROR(INDEX(mapPTGroup,MATCH(LEFT(TRIM($AJ294),2),mapPTCode,0)),"Other / Leased Fee"))</f>
        <v/>
      </c>
      <c r="CA294" s="76">
        <f>IF(TRIM($AF294&amp;"")="","NR",LEFT(TRIM($AF294),2))</f>
        <v/>
      </c>
      <c r="CB294" s="76">
        <f>IFERROR(LOOKUP(2,1/(LEFT(TRIM($AI294&amp;""),LEN(mapRegion))=mapRegion),mapRegion),"Not Reported")</f>
        <v/>
      </c>
      <c r="CC294" s="76">
        <f>IF($BY294=0,"",IF(TRIM($W294&amp;"")="REO","REO",IF(TRIM($W294&amp;"")="FC","Foreclosure",IF(TRIM($W294&amp;"")="90+","90+ Days Delinquent",IF(TRIM($W294&amp;"")="60","60 Days Delinquent",IF(TRIM($W294&amp;"")="30","30 Days Delinquent",IF($X294="Non-Performing Matured Balloon","Non-Performing Matured Balloon",IF(OR($X294="Late Payment But Less Than 30 Days Delinquent",LEFT($X294&amp;"",20)="Payment Not Received"),"Late / In Grace (&lt;30 Days)",IF($X294="Performing Matured Balloon","Performing Matured Balloon","Current")))))))))</f>
        <v/>
      </c>
      <c r="CD294" s="78">
        <f>IF(OR($CC294="REO",$CC294="Foreclosure",$CC294="90+ Days Delinquent",$CC294="60 Days Delinquent",$CC294="30 Days Delinquent",$CC294="Non-Performing Matured Balloon"),1,0)</f>
        <v/>
      </c>
      <c r="CE294" s="76">
        <f>IF($AB294="Currently special serv","Currently Specially Serviced",IF($AB294="Returned to master serv","Previously Specially Serviced","Never Specially Serviced"))</f>
        <v/>
      </c>
      <c r="CF294" s="78">
        <f>IF($CE294="Currently Specially Serviced",1,0)</f>
        <v/>
      </c>
      <c r="CG294" s="76">
        <f>IF($AA294="Yes","Currently on Watchlist",IF($AA294="Previously","Previously on Watchlist","Never on Watchlist"))</f>
        <v/>
      </c>
      <c r="CH294" s="78">
        <f>IF($CG294="Currently on Watchlist",1,0)</f>
        <v/>
      </c>
      <c r="CI294" s="76">
        <f>IF($Z294="Full Defeasance","Fully Defeased",IF($Z294="Portion Of Loan Previously Defeased","Partially Defeased",IF($Z294="Defeasance Not Allowable","Not Defeased (Not Permitted)","Not Defeased")))</f>
        <v/>
      </c>
      <c r="CJ294" s="78">
        <f>IF($CI294="Fully Defeased",1,0)</f>
        <v/>
      </c>
      <c r="CK294" s="76">
        <f>IF($R294="IO","Full IO",IF(LEFT($R294&amp;"",7)="IO then","Partial IO","Amortizing"))</f>
        <v/>
      </c>
      <c r="CL294" s="78">
        <f>IF($CK294="Full IO",1,0)</f>
        <v/>
      </c>
      <c r="CM294" s="78">
        <f>IF($CK294="Partial IO",1,0)</f>
        <v/>
      </c>
      <c r="CN294" s="76">
        <f>IF(LEFT($F294&amp;"",10)="SPLIT_LOAN","Pari Passu Split","Standalone")</f>
        <v/>
      </c>
      <c r="CO294" s="78">
        <f>IF($CN294="Pari Passu Split",1,0)</f>
        <v/>
      </c>
      <c r="CP294" s="77">
        <f>IF(ISNUMBER($T294),YEAR($T294),"")</f>
        <v/>
      </c>
      <c r="CQ294" s="79">
        <f>IF(ISNUMBER($V294),$V294,IF(ISNUMBER($U294),$U294,""))</f>
        <v/>
      </c>
      <c r="CR294" s="77">
        <f>IF(ISNUMBER($CQ294),YEAR($CQ294),"")</f>
        <v/>
      </c>
      <c r="CS294" s="78">
        <f>IF(ISNUMBER($M294),MAX(0,$M294),IF(TRIM($M294&amp;"")="matured",0,""))</f>
        <v/>
      </c>
      <c r="CT294" s="78">
        <f>IF(AND(ISNUMBER($CS294),N($CS294)&lt;=mMatWindow),1,0)</f>
        <v/>
      </c>
      <c r="CU294" s="80">
        <f>IF(ISNUMBER($J294),$J294/100,"")</f>
        <v/>
      </c>
      <c r="CV294" s="81">
        <f>IF(ISNUMBER($AQ294),$AQ294,"")</f>
        <v/>
      </c>
      <c r="CW294" s="81">
        <f>IF(ISNUMBER($AR294),$AR294,"")</f>
        <v/>
      </c>
      <c r="CX294" s="82">
        <f>IF(ISNUMBER($AS294),$AS294/100,"")</f>
        <v/>
      </c>
      <c r="CY294" s="82">
        <f>IF(ISNUMBER($AT294),$AT294/100,"")</f>
        <v/>
      </c>
      <c r="CZ294" s="82">
        <f>IF(ISNUMBER($AU294),$AU294/100,"")</f>
        <v/>
      </c>
      <c r="DA294" s="82">
        <f>IF(ISNUMBER($AV294),$AV294/100,"")</f>
        <v/>
      </c>
      <c r="DB294" s="82">
        <f>IF(ISNUMBER($AW294),$AW294/100,"")</f>
        <v/>
      </c>
      <c r="DC294" s="82">
        <f>IF(ISNUMBER($AX294),$AX294/100,"")</f>
        <v/>
      </c>
      <c r="DD294" s="77">
        <f>IFERROR(VALUE(LEFT(TRIM($AO294&amp;""),4)),"")</f>
        <v/>
      </c>
      <c r="DE294" s="78">
        <f>IF(AND($BY294=1,$BX294=1,OR(fDeal="All Deals",$BU294=fDeal),OR(fEntity="All Entities",$BV294=fEntity),OR(fPType="All Property Types",$BZ294=fPType),OR(fDefeased="Include",$CJ294=0)),1,0)</f>
        <v/>
      </c>
      <c r="DF294" s="83">
        <f>$DE294*N($I294)</f>
        <v/>
      </c>
      <c r="DG294" s="78">
        <f>IF($DE294=1,IF(COUNTIFS($F$8:$F294,$F294,$DE$8:$DE294,1)=1,1,0),0)</f>
        <v/>
      </c>
      <c r="DH294" s="83">
        <f>IF($DG294=1,SUMIFS($DF$8:$DF$1600,$F$8:$F$1600,$F294),0)</f>
        <v/>
      </c>
      <c r="DI294" s="78">
        <f>IF($DG294=1,COUNTIFS($F$8:$F$1600,$F294,$DE$8:$DE$1600,1),0)</f>
        <v/>
      </c>
      <c r="DJ294" s="84">
        <f>IF($DG294=1,$DH294+(100000-ROW())/mTieBreak,0)</f>
        <v/>
      </c>
    </row>
    <row r="295">
      <c r="B295" s="68" t="n">
        <v>12</v>
      </c>
      <c r="C295" s="69" t="inlineStr">
        <is>
          <t>GS217GS8</t>
        </is>
      </c>
      <c r="D295" s="69" t="inlineStr">
        <is>
          <t>12.000</t>
        </is>
      </c>
      <c r="E295" s="69" t="inlineStr">
        <is>
          <t>Long Island Prime Portfolio - Uniondale</t>
        </is>
      </c>
      <c r="F295" s="69" t="inlineStr">
        <is>
          <t>SPLIT_LOAN_01065</t>
        </is>
      </c>
      <c r="G295" s="70" t="n">
        <v>1065</v>
      </c>
      <c r="H295" s="71" t="n">
        <v>33770000</v>
      </c>
      <c r="I295" s="71" t="n">
        <v>33770000</v>
      </c>
      <c r="J295" s="72" t="n">
        <v>4.45</v>
      </c>
      <c r="K295" s="69" t="inlineStr">
        <is>
          <t>Fixed rate</t>
        </is>
      </c>
      <c r="L295" s="68" t="n">
        <v>120</v>
      </c>
      <c r="M295" s="68" t="n">
        <v>9</v>
      </c>
      <c r="N295" s="68" t="n">
        <v>120</v>
      </c>
      <c r="O295" s="68" t="n">
        <v>120</v>
      </c>
      <c r="P295" s="68" t="n">
        <v>9</v>
      </c>
      <c r="Q295" s="68" t="n">
        <v>111</v>
      </c>
      <c r="R295" s="69" t="inlineStr">
        <is>
          <t>IO</t>
        </is>
      </c>
      <c r="S295" s="69" t="inlineStr">
        <is>
          <t>Yes</t>
        </is>
      </c>
      <c r="T295" s="73" t="n">
        <v>42887</v>
      </c>
      <c r="U295" s="73" t="n">
        <v>46544</v>
      </c>
      <c r="V295" s="73" t="n"/>
      <c r="W295" s="69" t="n"/>
      <c r="X295" s="69" t="inlineStr">
        <is>
          <t>Current</t>
        </is>
      </c>
      <c r="Y295" s="68" t="n"/>
      <c r="Z295" s="69" t="inlineStr">
        <is>
          <t>No Defeasance Occurred</t>
        </is>
      </c>
      <c r="AA295" s="69" t="n"/>
      <c r="AB295" s="69" t="inlineStr">
        <is>
          <t>Never special serv</t>
        </is>
      </c>
      <c r="AC295" s="73" t="n"/>
      <c r="AD295" s="69" t="n"/>
      <c r="AE295" s="69" t="n"/>
      <c r="AF295" s="69" t="inlineStr">
        <is>
          <t>NY</t>
        </is>
      </c>
      <c r="AG295" s="69" t="n"/>
      <c r="AH295" s="69" t="inlineStr">
        <is>
          <t>New York-Newark-Jersey City, NY-NJ</t>
        </is>
      </c>
      <c r="AI295" s="69" t="inlineStr">
        <is>
          <t>Northeast / Mid-Atlantic</t>
        </is>
      </c>
      <c r="AJ295" s="69" t="inlineStr">
        <is>
          <t>OF</t>
        </is>
      </c>
      <c r="AK295" s="69" t="inlineStr">
        <is>
          <t>Suburban</t>
        </is>
      </c>
      <c r="AL295" s="68" t="n">
        <v>2</v>
      </c>
      <c r="AM295" s="68" t="n"/>
      <c r="AN295" s="68" t="n">
        <v>1750761</v>
      </c>
      <c r="AO295" s="69" t="n"/>
      <c r="AP295" s="70" t="n">
        <v>1990</v>
      </c>
      <c r="AQ295" s="74" t="n">
        <v>2.49</v>
      </c>
      <c r="AR295" s="74" t="n">
        <v>2.05</v>
      </c>
      <c r="AS295" s="74" t="n">
        <v>61.86</v>
      </c>
      <c r="AT295" s="74" t="n">
        <v>61.86</v>
      </c>
      <c r="AU295" s="74" t="n">
        <v>61.86</v>
      </c>
      <c r="AV295" s="74" t="n">
        <v>11.226075802</v>
      </c>
      <c r="AW295" s="74" t="n">
        <v>9.414673832</v>
      </c>
      <c r="AX295" s="75" t="n">
        <v>86</v>
      </c>
      <c r="AY295" s="71" t="n">
        <v>320000000</v>
      </c>
      <c r="AZ295" s="71" t="n">
        <v>320000000</v>
      </c>
      <c r="BA295" s="71" t="n">
        <v>22222017.05</v>
      </c>
      <c r="BB295" s="71" t="n">
        <v>9126519.779999999</v>
      </c>
      <c r="BC295" s="69" t="inlineStr">
        <is>
          <t>Refinance</t>
        </is>
      </c>
      <c r="BD295" s="69" t="inlineStr">
        <is>
          <t>Y</t>
        </is>
      </c>
      <c r="BE295" s="71" t="n">
        <v>164180000</v>
      </c>
      <c r="BF295" s="71" t="n"/>
      <c r="BG295" s="71" t="n">
        <v>45970000</v>
      </c>
      <c r="BH295" s="71" t="n">
        <v>0</v>
      </c>
      <c r="BI295" s="71" t="n">
        <v>0</v>
      </c>
      <c r="BJ295" s="69" t="inlineStr">
        <is>
          <t>N</t>
        </is>
      </c>
      <c r="BK295" s="69" t="inlineStr">
        <is>
          <t>FLUSHING BANK</t>
        </is>
      </c>
      <c r="BL295" s="75" t="n">
        <v>5.19</v>
      </c>
      <c r="BM295" s="73" t="n">
        <v>47542</v>
      </c>
      <c r="BN295" s="69" t="inlineStr">
        <is>
          <t>RXR Properties Holdings LLC</t>
        </is>
      </c>
      <c r="BO295" s="69" t="inlineStr">
        <is>
          <t>Goldman Sachs</t>
        </is>
      </c>
      <c r="BP295" s="69" t="inlineStr">
        <is>
          <t>TriMont Real Estate Advisors</t>
        </is>
      </c>
      <c r="BQ295" s="69" t="inlineStr">
        <is>
          <t>Rialto Capital</t>
        </is>
      </c>
      <c r="BR295" s="69" t="n"/>
      <c r="BS295" s="73" t="n">
        <v>46273</v>
      </c>
      <c r="BU295" s="76">
        <f>IF($C295="","",IFERROR(INDEX(dmName,MATCH($C295,dmID,0)),"Unmapped"))</f>
        <v/>
      </c>
      <c r="BV295" s="76">
        <f>IF($C295="","",IFERROR(INDEX(dmEntity,MATCH($C295,dmID,0)),"Unmapped"))</f>
        <v/>
      </c>
      <c r="BW295" s="77">
        <f>IF($C295="","",IFERROR(INDEX(dmVintage,MATCH($C295,dmID,0)),""))</f>
        <v/>
      </c>
      <c r="BX295" s="78">
        <f>IFERROR(INDEX(dmInclude,MATCH($C295,dmID,0)),0)</f>
        <v/>
      </c>
      <c r="BY295" s="78">
        <f>IF(N($I295)&gt;0,1,0)</f>
        <v/>
      </c>
      <c r="BZ295" s="76">
        <f>IF($AJ295="","Other / Leased Fee",IFERROR(INDEX(mapPTGroup,MATCH(LEFT(TRIM($AJ295),2),mapPTCode,0)),"Other / Leased Fee"))</f>
        <v/>
      </c>
      <c r="CA295" s="76">
        <f>IF(TRIM($AF295&amp;"")="","NR",LEFT(TRIM($AF295),2))</f>
        <v/>
      </c>
      <c r="CB295" s="76">
        <f>IFERROR(LOOKUP(2,1/(LEFT(TRIM($AI295&amp;""),LEN(mapRegion))=mapRegion),mapRegion),"Not Reported")</f>
        <v/>
      </c>
      <c r="CC295" s="76">
        <f>IF($BY295=0,"",IF(TRIM($W295&amp;"")="REO","REO",IF(TRIM($W295&amp;"")="FC","Foreclosure",IF(TRIM($W295&amp;"")="90+","90+ Days Delinquent",IF(TRIM($W295&amp;"")="60","60 Days Delinquent",IF(TRIM($W295&amp;"")="30","30 Days Delinquent",IF($X295="Non-Performing Matured Balloon","Non-Performing Matured Balloon",IF(OR($X295="Late Payment But Less Than 30 Days Delinquent",LEFT($X295&amp;"",20)="Payment Not Received"),"Late / In Grace (&lt;30 Days)",IF($X295="Performing Matured Balloon","Performing Matured Balloon","Current")))))))))</f>
        <v/>
      </c>
      <c r="CD295" s="78">
        <f>IF(OR($CC295="REO",$CC295="Foreclosure",$CC295="90+ Days Delinquent",$CC295="60 Days Delinquent",$CC295="30 Days Delinquent",$CC295="Non-Performing Matured Balloon"),1,0)</f>
        <v/>
      </c>
      <c r="CE295" s="76">
        <f>IF($AB295="Currently special serv","Currently Specially Serviced",IF($AB295="Returned to master serv","Previously Specially Serviced","Never Specially Serviced"))</f>
        <v/>
      </c>
      <c r="CF295" s="78">
        <f>IF($CE295="Currently Specially Serviced",1,0)</f>
        <v/>
      </c>
      <c r="CG295" s="76">
        <f>IF($AA295="Yes","Currently on Watchlist",IF($AA295="Previously","Previously on Watchlist","Never on Watchlist"))</f>
        <v/>
      </c>
      <c r="CH295" s="78">
        <f>IF($CG295="Currently on Watchlist",1,0)</f>
        <v/>
      </c>
      <c r="CI295" s="76">
        <f>IF($Z295="Full Defeasance","Fully Defeased",IF($Z295="Portion Of Loan Previously Defeased","Partially Defeased",IF($Z295="Defeasance Not Allowable","Not Defeased (Not Permitted)","Not Defeased")))</f>
        <v/>
      </c>
      <c r="CJ295" s="78">
        <f>IF($CI295="Fully Defeased",1,0)</f>
        <v/>
      </c>
      <c r="CK295" s="76">
        <f>IF($R295="IO","Full IO",IF(LEFT($R295&amp;"",7)="IO then","Partial IO","Amortizing"))</f>
        <v/>
      </c>
      <c r="CL295" s="78">
        <f>IF($CK295="Full IO",1,0)</f>
        <v/>
      </c>
      <c r="CM295" s="78">
        <f>IF($CK295="Partial IO",1,0)</f>
        <v/>
      </c>
      <c r="CN295" s="76">
        <f>IF(LEFT($F295&amp;"",10)="SPLIT_LOAN","Pari Passu Split","Standalone")</f>
        <v/>
      </c>
      <c r="CO295" s="78">
        <f>IF($CN295="Pari Passu Split",1,0)</f>
        <v/>
      </c>
      <c r="CP295" s="77">
        <f>IF(ISNUMBER($T295),YEAR($T295),"")</f>
        <v/>
      </c>
      <c r="CQ295" s="79">
        <f>IF(ISNUMBER($V295),$V295,IF(ISNUMBER($U295),$U295,""))</f>
        <v/>
      </c>
      <c r="CR295" s="77">
        <f>IF(ISNUMBER($CQ295),YEAR($CQ295),"")</f>
        <v/>
      </c>
      <c r="CS295" s="78">
        <f>IF(ISNUMBER($M295),MAX(0,$M295),IF(TRIM($M295&amp;"")="matured",0,""))</f>
        <v/>
      </c>
      <c r="CT295" s="78">
        <f>IF(AND(ISNUMBER($CS295),N($CS295)&lt;=mMatWindow),1,0)</f>
        <v/>
      </c>
      <c r="CU295" s="80">
        <f>IF(ISNUMBER($J295),$J295/100,"")</f>
        <v/>
      </c>
      <c r="CV295" s="81">
        <f>IF(ISNUMBER($AQ295),$AQ295,"")</f>
        <v/>
      </c>
      <c r="CW295" s="81">
        <f>IF(ISNUMBER($AR295),$AR295,"")</f>
        <v/>
      </c>
      <c r="CX295" s="82">
        <f>IF(ISNUMBER($AS295),$AS295/100,"")</f>
        <v/>
      </c>
      <c r="CY295" s="82">
        <f>IF(ISNUMBER($AT295),$AT295/100,"")</f>
        <v/>
      </c>
      <c r="CZ295" s="82">
        <f>IF(ISNUMBER($AU295),$AU295/100,"")</f>
        <v/>
      </c>
      <c r="DA295" s="82">
        <f>IF(ISNUMBER($AV295),$AV295/100,"")</f>
        <v/>
      </c>
      <c r="DB295" s="82">
        <f>IF(ISNUMBER($AW295),$AW295/100,"")</f>
        <v/>
      </c>
      <c r="DC295" s="82">
        <f>IF(ISNUMBER($AX295),$AX295/100,"")</f>
        <v/>
      </c>
      <c r="DD295" s="77">
        <f>IFERROR(VALUE(LEFT(TRIM($AO295&amp;""),4)),"")</f>
        <v/>
      </c>
      <c r="DE295" s="78">
        <f>IF(AND($BY295=1,$BX295=1,OR(fDeal="All Deals",$BU295=fDeal),OR(fEntity="All Entities",$BV295=fEntity),OR(fPType="All Property Types",$BZ295=fPType),OR(fDefeased="Include",$CJ295=0)),1,0)</f>
        <v/>
      </c>
      <c r="DF295" s="83">
        <f>$DE295*N($I295)</f>
        <v/>
      </c>
      <c r="DG295" s="78">
        <f>IF($DE295=1,IF(COUNTIFS($F$8:$F295,$F295,$DE$8:$DE295,1)=1,1,0),0)</f>
        <v/>
      </c>
      <c r="DH295" s="83">
        <f>IF($DG295=1,SUMIFS($DF$8:$DF$1600,$F$8:$F$1600,$F295),0)</f>
        <v/>
      </c>
      <c r="DI295" s="78">
        <f>IF($DG295=1,COUNTIFS($F$8:$F$1600,$F295,$DE$8:$DE$1600,1),0)</f>
        <v/>
      </c>
      <c r="DJ295" s="84">
        <f>IF($DG295=1,$DH295+(100000-ROW())/mTieBreak,0)</f>
        <v/>
      </c>
    </row>
    <row r="296">
      <c r="B296" s="68" t="n">
        <v>13</v>
      </c>
      <c r="C296" s="69" t="inlineStr">
        <is>
          <t>GS217GS8</t>
        </is>
      </c>
      <c r="D296" s="69" t="inlineStr">
        <is>
          <t>13.000</t>
        </is>
      </c>
      <c r="E296" s="69" t="inlineStr">
        <is>
          <t>90 Fifth Avenue</t>
        </is>
      </c>
      <c r="F296" s="69" t="inlineStr">
        <is>
          <t>SPLIT_LOAN_01062</t>
        </is>
      </c>
      <c r="G296" s="70" t="n">
        <v>1062</v>
      </c>
      <c r="H296" s="71" t="n">
        <v>33750000</v>
      </c>
      <c r="I296" s="71" t="n">
        <v>33750000</v>
      </c>
      <c r="J296" s="72" t="n">
        <v>4.307</v>
      </c>
      <c r="K296" s="69" t="inlineStr">
        <is>
          <t>Fixed rate</t>
        </is>
      </c>
      <c r="L296" s="68" t="n">
        <v>120</v>
      </c>
      <c r="M296" s="68" t="n">
        <v>10</v>
      </c>
      <c r="N296" s="68" t="n">
        <v>120</v>
      </c>
      <c r="O296" s="68" t="n">
        <v>120</v>
      </c>
      <c r="P296" s="68" t="n">
        <v>10</v>
      </c>
      <c r="Q296" s="68" t="n">
        <v>110</v>
      </c>
      <c r="R296" s="69" t="inlineStr">
        <is>
          <t>IO</t>
        </is>
      </c>
      <c r="S296" s="69" t="inlineStr">
        <is>
          <t>Yes</t>
        </is>
      </c>
      <c r="T296" s="73" t="n">
        <v>42917</v>
      </c>
      <c r="U296" s="73" t="n">
        <v>46574</v>
      </c>
      <c r="V296" s="73" t="n"/>
      <c r="W296" s="69" t="inlineStr">
        <is>
          <t>FC</t>
        </is>
      </c>
      <c r="X296" s="69" t="inlineStr">
        <is>
          <t>121+ Days Delinquent</t>
        </is>
      </c>
      <c r="Y296" s="68" t="n">
        <v>5</v>
      </c>
      <c r="Z296" s="69" t="inlineStr">
        <is>
          <t>No Defeasance Occurred</t>
        </is>
      </c>
      <c r="AA296" s="69" t="n"/>
      <c r="AB296" s="69" t="inlineStr">
        <is>
          <t>Currently special serv</t>
        </is>
      </c>
      <c r="AC296" s="73" t="n">
        <v>45337</v>
      </c>
      <c r="AD296" s="69" t="inlineStr">
        <is>
          <t>Other</t>
        </is>
      </c>
      <c r="AE296" s="69" t="inlineStr">
        <is>
          <t>Foreclosure</t>
        </is>
      </c>
      <c r="AF296" s="69" t="inlineStr">
        <is>
          <t>NY</t>
        </is>
      </c>
      <c r="AG296" s="69" t="inlineStr">
        <is>
          <t>New York</t>
        </is>
      </c>
      <c r="AH296" s="69" t="inlineStr">
        <is>
          <t>New York-Newark-Jersey City, NY-NJ</t>
        </is>
      </c>
      <c r="AI296" s="69" t="inlineStr">
        <is>
          <t>Northeast / Mid-Atlantic</t>
        </is>
      </c>
      <c r="AJ296" s="69" t="inlineStr">
        <is>
          <t>MX</t>
        </is>
      </c>
      <c r="AK296" s="69" t="inlineStr">
        <is>
          <t>Office/Retail</t>
        </is>
      </c>
      <c r="AL296" s="68" t="n">
        <v>1</v>
      </c>
      <c r="AM296" s="68" t="n"/>
      <c r="AN296" s="68" t="n">
        <v>139921</v>
      </c>
      <c r="AO296" s="69" t="inlineStr">
        <is>
          <t>1903</t>
        </is>
      </c>
      <c r="AP296" s="70" t="n">
        <v>2016</v>
      </c>
      <c r="AQ296" s="74" t="n">
        <v>1.45</v>
      </c>
      <c r="AR296" s="74" t="n">
        <v>0.14</v>
      </c>
      <c r="AS296" s="74" t="n">
        <v>58.06</v>
      </c>
      <c r="AT296" s="74" t="n">
        <v>116.11</v>
      </c>
      <c r="AU296" s="74" t="n">
        <v>58.06</v>
      </c>
      <c r="AV296" s="74" t="n">
        <v>6.323637876</v>
      </c>
      <c r="AW296" s="74" t="n">
        <v>0.5986223349999999</v>
      </c>
      <c r="AX296" s="75" t="n">
        <v>3</v>
      </c>
      <c r="AY296" s="71" t="n">
        <v>180000000</v>
      </c>
      <c r="AZ296" s="71" t="n">
        <v>90000000</v>
      </c>
      <c r="BA296" s="71" t="n">
        <v>6608201.58</v>
      </c>
      <c r="BB296" s="71" t="n">
        <v>625560.34</v>
      </c>
      <c r="BC296" s="69" t="inlineStr">
        <is>
          <t>Refinance</t>
        </is>
      </c>
      <c r="BD296" s="69" t="inlineStr">
        <is>
          <t>N</t>
        </is>
      </c>
      <c r="BE296" s="71" t="n">
        <v>70750000</v>
      </c>
      <c r="BF296" s="71" t="n"/>
      <c r="BG296" s="71" t="n"/>
      <c r="BH296" s="71" t="n">
        <v>9113483.66</v>
      </c>
      <c r="BI296" s="71" t="n">
        <v>637433.99</v>
      </c>
      <c r="BJ296" s="69" t="inlineStr">
        <is>
          <t>N</t>
        </is>
      </c>
      <c r="BK296" s="69" t="inlineStr">
        <is>
          <t>Commerce Bank</t>
        </is>
      </c>
      <c r="BL296" s="75" t="n">
        <v>2.8</v>
      </c>
      <c r="BM296" s="73" t="n">
        <v>46721</v>
      </c>
      <c r="BN296" s="69" t="inlineStr">
        <is>
          <t>Aby Rosen and Michael Fuchs</t>
        </is>
      </c>
      <c r="BO296" s="69" t="inlineStr">
        <is>
          <t>Goldman Sachs</t>
        </is>
      </c>
      <c r="BP296" s="69" t="inlineStr">
        <is>
          <t>TriMont Real Estate Advisors</t>
        </is>
      </c>
      <c r="BQ296" s="69" t="inlineStr">
        <is>
          <t>Rialto Capital</t>
        </is>
      </c>
      <c r="BR296" s="69" t="n"/>
      <c r="BS296" s="73" t="n">
        <v>46273</v>
      </c>
      <c r="BU296" s="76">
        <f>IF($C296="","",IFERROR(INDEX(dmName,MATCH($C296,dmID,0)),"Unmapped"))</f>
        <v/>
      </c>
      <c r="BV296" s="76">
        <f>IF($C296="","",IFERROR(INDEX(dmEntity,MATCH($C296,dmID,0)),"Unmapped"))</f>
        <v/>
      </c>
      <c r="BW296" s="77">
        <f>IF($C296="","",IFERROR(INDEX(dmVintage,MATCH($C296,dmID,0)),""))</f>
        <v/>
      </c>
      <c r="BX296" s="78">
        <f>IFERROR(INDEX(dmInclude,MATCH($C296,dmID,0)),0)</f>
        <v/>
      </c>
      <c r="BY296" s="78">
        <f>IF(N($I296)&gt;0,1,0)</f>
        <v/>
      </c>
      <c r="BZ296" s="76">
        <f>IF($AJ296="","Other / Leased Fee",IFERROR(INDEX(mapPTGroup,MATCH(LEFT(TRIM($AJ296),2),mapPTCode,0)),"Other / Leased Fee"))</f>
        <v/>
      </c>
      <c r="CA296" s="76">
        <f>IF(TRIM($AF296&amp;"")="","NR",LEFT(TRIM($AF296),2))</f>
        <v/>
      </c>
      <c r="CB296" s="76">
        <f>IFERROR(LOOKUP(2,1/(LEFT(TRIM($AI296&amp;""),LEN(mapRegion))=mapRegion),mapRegion),"Not Reported")</f>
        <v/>
      </c>
      <c r="CC296" s="76">
        <f>IF($BY296=0,"",IF(TRIM($W296&amp;"")="REO","REO",IF(TRIM($W296&amp;"")="FC","Foreclosure",IF(TRIM($W296&amp;"")="90+","90+ Days Delinquent",IF(TRIM($W296&amp;"")="60","60 Days Delinquent",IF(TRIM($W296&amp;"")="30","30 Days Delinquent",IF($X296="Non-Performing Matured Balloon","Non-Performing Matured Balloon",IF(OR($X296="Late Payment But Less Than 30 Days Delinquent",LEFT($X296&amp;"",20)="Payment Not Received"),"Late / In Grace (&lt;30 Days)",IF($X296="Performing Matured Balloon","Performing Matured Balloon","Current")))))))))</f>
        <v/>
      </c>
      <c r="CD296" s="78">
        <f>IF(OR($CC296="REO",$CC296="Foreclosure",$CC296="90+ Days Delinquent",$CC296="60 Days Delinquent",$CC296="30 Days Delinquent",$CC296="Non-Performing Matured Balloon"),1,0)</f>
        <v/>
      </c>
      <c r="CE296" s="76">
        <f>IF($AB296="Currently special serv","Currently Specially Serviced",IF($AB296="Returned to master serv","Previously Specially Serviced","Never Specially Serviced"))</f>
        <v/>
      </c>
      <c r="CF296" s="78">
        <f>IF($CE296="Currently Specially Serviced",1,0)</f>
        <v/>
      </c>
      <c r="CG296" s="76">
        <f>IF($AA296="Yes","Currently on Watchlist",IF($AA296="Previously","Previously on Watchlist","Never on Watchlist"))</f>
        <v/>
      </c>
      <c r="CH296" s="78">
        <f>IF($CG296="Currently on Watchlist",1,0)</f>
        <v/>
      </c>
      <c r="CI296" s="76">
        <f>IF($Z296="Full Defeasance","Fully Defeased",IF($Z296="Portion Of Loan Previously Defeased","Partially Defeased",IF($Z296="Defeasance Not Allowable","Not Defeased (Not Permitted)","Not Defeased")))</f>
        <v/>
      </c>
      <c r="CJ296" s="78">
        <f>IF($CI296="Fully Defeased",1,0)</f>
        <v/>
      </c>
      <c r="CK296" s="76">
        <f>IF($R296="IO","Full IO",IF(LEFT($R296&amp;"",7)="IO then","Partial IO","Amortizing"))</f>
        <v/>
      </c>
      <c r="CL296" s="78">
        <f>IF($CK296="Full IO",1,0)</f>
        <v/>
      </c>
      <c r="CM296" s="78">
        <f>IF($CK296="Partial IO",1,0)</f>
        <v/>
      </c>
      <c r="CN296" s="76">
        <f>IF(LEFT($F296&amp;"",10)="SPLIT_LOAN","Pari Passu Split","Standalone")</f>
        <v/>
      </c>
      <c r="CO296" s="78">
        <f>IF($CN296="Pari Passu Split",1,0)</f>
        <v/>
      </c>
      <c r="CP296" s="77">
        <f>IF(ISNUMBER($T296),YEAR($T296),"")</f>
        <v/>
      </c>
      <c r="CQ296" s="79">
        <f>IF(ISNUMBER($V296),$V296,IF(ISNUMBER($U296),$U296,""))</f>
        <v/>
      </c>
      <c r="CR296" s="77">
        <f>IF(ISNUMBER($CQ296),YEAR($CQ296),"")</f>
        <v/>
      </c>
      <c r="CS296" s="78">
        <f>IF(ISNUMBER($M296),MAX(0,$M296),IF(TRIM($M296&amp;"")="matured",0,""))</f>
        <v/>
      </c>
      <c r="CT296" s="78">
        <f>IF(AND(ISNUMBER($CS296),N($CS296)&lt;=mMatWindow),1,0)</f>
        <v/>
      </c>
      <c r="CU296" s="80">
        <f>IF(ISNUMBER($J296),$J296/100,"")</f>
        <v/>
      </c>
      <c r="CV296" s="81">
        <f>IF(ISNUMBER($AQ296),$AQ296,"")</f>
        <v/>
      </c>
      <c r="CW296" s="81">
        <f>IF(ISNUMBER($AR296),$AR296,"")</f>
        <v/>
      </c>
      <c r="CX296" s="82">
        <f>IF(ISNUMBER($AS296),$AS296/100,"")</f>
        <v/>
      </c>
      <c r="CY296" s="82">
        <f>IF(ISNUMBER($AT296),$AT296/100,"")</f>
        <v/>
      </c>
      <c r="CZ296" s="82">
        <f>IF(ISNUMBER($AU296),$AU296/100,"")</f>
        <v/>
      </c>
      <c r="DA296" s="82">
        <f>IF(ISNUMBER($AV296),$AV296/100,"")</f>
        <v/>
      </c>
      <c r="DB296" s="82">
        <f>IF(ISNUMBER($AW296),$AW296/100,"")</f>
        <v/>
      </c>
      <c r="DC296" s="82">
        <f>IF(ISNUMBER($AX296),$AX296/100,"")</f>
        <v/>
      </c>
      <c r="DD296" s="77">
        <f>IFERROR(VALUE(LEFT(TRIM($AO296&amp;""),4)),"")</f>
        <v/>
      </c>
      <c r="DE296" s="78">
        <f>IF(AND($BY296=1,$BX296=1,OR(fDeal="All Deals",$BU296=fDeal),OR(fEntity="All Entities",$BV296=fEntity),OR(fPType="All Property Types",$BZ296=fPType),OR(fDefeased="Include",$CJ296=0)),1,0)</f>
        <v/>
      </c>
      <c r="DF296" s="83">
        <f>$DE296*N($I296)</f>
        <v/>
      </c>
      <c r="DG296" s="78">
        <f>IF($DE296=1,IF(COUNTIFS($F$8:$F296,$F296,$DE$8:$DE296,1)=1,1,0),0)</f>
        <v/>
      </c>
      <c r="DH296" s="83">
        <f>IF($DG296=1,SUMIFS($DF$8:$DF$1600,$F$8:$F$1600,$F296),0)</f>
        <v/>
      </c>
      <c r="DI296" s="78">
        <f>IF($DG296=1,COUNTIFS($F$8:$F$1600,$F296,$DE$8:$DE$1600,1),0)</f>
        <v/>
      </c>
      <c r="DJ296" s="84">
        <f>IF($DG296=1,$DH296+(100000-ROW())/mTieBreak,0)</f>
        <v/>
      </c>
    </row>
    <row r="297">
      <c r="B297" s="68" t="n">
        <v>14</v>
      </c>
      <c r="C297" s="69" t="inlineStr">
        <is>
          <t>GS217GS8</t>
        </is>
      </c>
      <c r="D297" s="69" t="inlineStr">
        <is>
          <t>14.000</t>
        </is>
      </c>
      <c r="E297" s="69" t="inlineStr">
        <is>
          <t>Petco Corporate Headquarters</t>
        </is>
      </c>
      <c r="F297" s="69" t="inlineStr">
        <is>
          <t>SPLIT_LOAN_01061</t>
        </is>
      </c>
      <c r="G297" s="70" t="n">
        <v>1061</v>
      </c>
      <c r="H297" s="71" t="n">
        <v>30500000</v>
      </c>
      <c r="I297" s="71" t="n">
        <v>30500000</v>
      </c>
      <c r="J297" s="72" t="n">
        <v>4.1685</v>
      </c>
      <c r="K297" s="69" t="inlineStr">
        <is>
          <t>Fixed rate</t>
        </is>
      </c>
      <c r="L297" s="68" t="n">
        <v>120</v>
      </c>
      <c r="M297" s="68" t="n">
        <v>11</v>
      </c>
      <c r="N297" s="68" t="n">
        <v>120</v>
      </c>
      <c r="O297" s="68" t="n">
        <v>120</v>
      </c>
      <c r="P297" s="68" t="n">
        <v>11</v>
      </c>
      <c r="Q297" s="68" t="n">
        <v>109</v>
      </c>
      <c r="R297" s="69" t="inlineStr">
        <is>
          <t>IO</t>
        </is>
      </c>
      <c r="S297" s="69" t="inlineStr">
        <is>
          <t>Yes</t>
        </is>
      </c>
      <c r="T297" s="73" t="n">
        <v>42948</v>
      </c>
      <c r="U297" s="73" t="n">
        <v>46605</v>
      </c>
      <c r="V297" s="73" t="n"/>
      <c r="W297" s="69" t="n"/>
      <c r="X297" s="69" t="inlineStr">
        <is>
          <t>Current</t>
        </is>
      </c>
      <c r="Y297" s="68" t="n"/>
      <c r="Z297" s="69" t="inlineStr">
        <is>
          <t>Defeasance Not Allowable</t>
        </is>
      </c>
      <c r="AA297" s="69" t="inlineStr">
        <is>
          <t>Previously</t>
        </is>
      </c>
      <c r="AB297" s="69" t="inlineStr">
        <is>
          <t>Never special serv</t>
        </is>
      </c>
      <c r="AC297" s="73" t="n"/>
      <c r="AD297" s="69" t="n"/>
      <c r="AE297" s="69" t="n"/>
      <c r="AF297" s="69" t="inlineStr">
        <is>
          <t>CA</t>
        </is>
      </c>
      <c r="AG297" s="69" t="inlineStr">
        <is>
          <t>San Diego</t>
        </is>
      </c>
      <c r="AH297" s="69" t="inlineStr">
        <is>
          <t>San Diego-Chula Vista-Carlsbad, CA</t>
        </is>
      </c>
      <c r="AI297" s="69" t="inlineStr">
        <is>
          <t>West / Pacific South</t>
        </is>
      </c>
      <c r="AJ297" s="69" t="inlineStr">
        <is>
          <t>OF</t>
        </is>
      </c>
      <c r="AK297" s="69" t="inlineStr">
        <is>
          <t>Suburban</t>
        </is>
      </c>
      <c r="AL297" s="68" t="n">
        <v>1</v>
      </c>
      <c r="AM297" s="68" t="n"/>
      <c r="AN297" s="68" t="n">
        <v>257040</v>
      </c>
      <c r="AO297" s="69" t="inlineStr">
        <is>
          <t>1980</t>
        </is>
      </c>
      <c r="AP297" s="70" t="n">
        <v>2014</v>
      </c>
      <c r="AQ297" s="74" t="n">
        <v>2.26</v>
      </c>
      <c r="AR297" s="74" t="n">
        <v>2.82</v>
      </c>
      <c r="AS297" s="74" t="n">
        <v>65</v>
      </c>
      <c r="AT297" s="74" t="n">
        <v>65</v>
      </c>
      <c r="AU297" s="74" t="n">
        <v>65</v>
      </c>
      <c r="AV297" s="74" t="n">
        <v>9.531516084</v>
      </c>
      <c r="AW297" s="74" t="n">
        <v>11.607917483</v>
      </c>
      <c r="AX297" s="75" t="n">
        <v>100</v>
      </c>
      <c r="AY297" s="71" t="n">
        <v>110000000</v>
      </c>
      <c r="AZ297" s="71" t="n">
        <v>110000000</v>
      </c>
      <c r="BA297" s="71" t="n">
        <v>6815034</v>
      </c>
      <c r="BB297" s="71" t="n">
        <v>2102752.5</v>
      </c>
      <c r="BC297" s="69" t="inlineStr">
        <is>
          <t>Acquisition</t>
        </is>
      </c>
      <c r="BD297" s="69" t="inlineStr">
        <is>
          <t>N</t>
        </is>
      </c>
      <c r="BE297" s="71" t="n">
        <v>41000000</v>
      </c>
      <c r="BF297" s="71" t="n"/>
      <c r="BG297" s="71" t="n"/>
      <c r="BH297" s="71" t="n">
        <v>0</v>
      </c>
      <c r="BI297" s="71" t="n">
        <v>0</v>
      </c>
      <c r="BJ297" s="69" t="inlineStr">
        <is>
          <t>N</t>
        </is>
      </c>
      <c r="BK297" s="69" t="inlineStr">
        <is>
          <t>Petco</t>
        </is>
      </c>
      <c r="BL297" s="75" t="n">
        <v>100</v>
      </c>
      <c r="BM297" s="73" t="n">
        <v>50252</v>
      </c>
      <c r="BN297" s="69" t="inlineStr">
        <is>
          <t>USRA Net Lease II Capital Corp.</t>
        </is>
      </c>
      <c r="BO297" s="69" t="inlineStr">
        <is>
          <t>Goldman Sachs</t>
        </is>
      </c>
      <c r="BP297" s="69" t="inlineStr">
        <is>
          <t>TriMont Real Estate Advisors</t>
        </is>
      </c>
      <c r="BQ297" s="69" t="inlineStr">
        <is>
          <t>Rialto Capital</t>
        </is>
      </c>
      <c r="BR297" s="69" t="n"/>
      <c r="BS297" s="73" t="n">
        <v>46273</v>
      </c>
      <c r="BU297" s="76">
        <f>IF($C297="","",IFERROR(INDEX(dmName,MATCH($C297,dmID,0)),"Unmapped"))</f>
        <v/>
      </c>
      <c r="BV297" s="76">
        <f>IF($C297="","",IFERROR(INDEX(dmEntity,MATCH($C297,dmID,0)),"Unmapped"))</f>
        <v/>
      </c>
      <c r="BW297" s="77">
        <f>IF($C297="","",IFERROR(INDEX(dmVintage,MATCH($C297,dmID,0)),""))</f>
        <v/>
      </c>
      <c r="BX297" s="78">
        <f>IFERROR(INDEX(dmInclude,MATCH($C297,dmID,0)),0)</f>
        <v/>
      </c>
      <c r="BY297" s="78">
        <f>IF(N($I297)&gt;0,1,0)</f>
        <v/>
      </c>
      <c r="BZ297" s="76">
        <f>IF($AJ297="","Other / Leased Fee",IFERROR(INDEX(mapPTGroup,MATCH(LEFT(TRIM($AJ297),2),mapPTCode,0)),"Other / Leased Fee"))</f>
        <v/>
      </c>
      <c r="CA297" s="76">
        <f>IF(TRIM($AF297&amp;"")="","NR",LEFT(TRIM($AF297),2))</f>
        <v/>
      </c>
      <c r="CB297" s="76">
        <f>IFERROR(LOOKUP(2,1/(LEFT(TRIM($AI297&amp;""),LEN(mapRegion))=mapRegion),mapRegion),"Not Reported")</f>
        <v/>
      </c>
      <c r="CC297" s="76">
        <f>IF($BY297=0,"",IF(TRIM($W297&amp;"")="REO","REO",IF(TRIM($W297&amp;"")="FC","Foreclosure",IF(TRIM($W297&amp;"")="90+","90+ Days Delinquent",IF(TRIM($W297&amp;"")="60","60 Days Delinquent",IF(TRIM($W297&amp;"")="30","30 Days Delinquent",IF($X297="Non-Performing Matured Balloon","Non-Performing Matured Balloon",IF(OR($X297="Late Payment But Less Than 30 Days Delinquent",LEFT($X297&amp;"",20)="Payment Not Received"),"Late / In Grace (&lt;30 Days)",IF($X297="Performing Matured Balloon","Performing Matured Balloon","Current")))))))))</f>
        <v/>
      </c>
      <c r="CD297" s="78">
        <f>IF(OR($CC297="REO",$CC297="Foreclosure",$CC297="90+ Days Delinquent",$CC297="60 Days Delinquent",$CC297="30 Days Delinquent",$CC297="Non-Performing Matured Balloon"),1,0)</f>
        <v/>
      </c>
      <c r="CE297" s="76">
        <f>IF($AB297="Currently special serv","Currently Specially Serviced",IF($AB297="Returned to master serv","Previously Specially Serviced","Never Specially Serviced"))</f>
        <v/>
      </c>
      <c r="CF297" s="78">
        <f>IF($CE297="Currently Specially Serviced",1,0)</f>
        <v/>
      </c>
      <c r="CG297" s="76">
        <f>IF($AA297="Yes","Currently on Watchlist",IF($AA297="Previously","Previously on Watchlist","Never on Watchlist"))</f>
        <v/>
      </c>
      <c r="CH297" s="78">
        <f>IF($CG297="Currently on Watchlist",1,0)</f>
        <v/>
      </c>
      <c r="CI297" s="76">
        <f>IF($Z297="Full Defeasance","Fully Defeased",IF($Z297="Portion Of Loan Previously Defeased","Partially Defeased",IF($Z297="Defeasance Not Allowable","Not Defeased (Not Permitted)","Not Defeased")))</f>
        <v/>
      </c>
      <c r="CJ297" s="78">
        <f>IF($CI297="Fully Defeased",1,0)</f>
        <v/>
      </c>
      <c r="CK297" s="76">
        <f>IF($R297="IO","Full IO",IF(LEFT($R297&amp;"",7)="IO then","Partial IO","Amortizing"))</f>
        <v/>
      </c>
      <c r="CL297" s="78">
        <f>IF($CK297="Full IO",1,0)</f>
        <v/>
      </c>
      <c r="CM297" s="78">
        <f>IF($CK297="Partial IO",1,0)</f>
        <v/>
      </c>
      <c r="CN297" s="76">
        <f>IF(LEFT($F297&amp;"",10)="SPLIT_LOAN","Pari Passu Split","Standalone")</f>
        <v/>
      </c>
      <c r="CO297" s="78">
        <f>IF($CN297="Pari Passu Split",1,0)</f>
        <v/>
      </c>
      <c r="CP297" s="77">
        <f>IF(ISNUMBER($T297),YEAR($T297),"")</f>
        <v/>
      </c>
      <c r="CQ297" s="79">
        <f>IF(ISNUMBER($V297),$V297,IF(ISNUMBER($U297),$U297,""))</f>
        <v/>
      </c>
      <c r="CR297" s="77">
        <f>IF(ISNUMBER($CQ297),YEAR($CQ297),"")</f>
        <v/>
      </c>
      <c r="CS297" s="78">
        <f>IF(ISNUMBER($M297),MAX(0,$M297),IF(TRIM($M297&amp;"")="matured",0,""))</f>
        <v/>
      </c>
      <c r="CT297" s="78">
        <f>IF(AND(ISNUMBER($CS297),N($CS297)&lt;=mMatWindow),1,0)</f>
        <v/>
      </c>
      <c r="CU297" s="80">
        <f>IF(ISNUMBER($J297),$J297/100,"")</f>
        <v/>
      </c>
      <c r="CV297" s="81">
        <f>IF(ISNUMBER($AQ297),$AQ297,"")</f>
        <v/>
      </c>
      <c r="CW297" s="81">
        <f>IF(ISNUMBER($AR297),$AR297,"")</f>
        <v/>
      </c>
      <c r="CX297" s="82">
        <f>IF(ISNUMBER($AS297),$AS297/100,"")</f>
        <v/>
      </c>
      <c r="CY297" s="82">
        <f>IF(ISNUMBER($AT297),$AT297/100,"")</f>
        <v/>
      </c>
      <c r="CZ297" s="82">
        <f>IF(ISNUMBER($AU297),$AU297/100,"")</f>
        <v/>
      </c>
      <c r="DA297" s="82">
        <f>IF(ISNUMBER($AV297),$AV297/100,"")</f>
        <v/>
      </c>
      <c r="DB297" s="82">
        <f>IF(ISNUMBER($AW297),$AW297/100,"")</f>
        <v/>
      </c>
      <c r="DC297" s="82">
        <f>IF(ISNUMBER($AX297),$AX297/100,"")</f>
        <v/>
      </c>
      <c r="DD297" s="77">
        <f>IFERROR(VALUE(LEFT(TRIM($AO297&amp;""),4)),"")</f>
        <v/>
      </c>
      <c r="DE297" s="78">
        <f>IF(AND($BY297=1,$BX297=1,OR(fDeal="All Deals",$BU297=fDeal),OR(fEntity="All Entities",$BV297=fEntity),OR(fPType="All Property Types",$BZ297=fPType),OR(fDefeased="Include",$CJ297=0)),1,0)</f>
        <v/>
      </c>
      <c r="DF297" s="83">
        <f>$DE297*N($I297)</f>
        <v/>
      </c>
      <c r="DG297" s="78">
        <f>IF($DE297=1,IF(COUNTIFS($F$8:$F297,$F297,$DE$8:$DE297,1)=1,1,0),0)</f>
        <v/>
      </c>
      <c r="DH297" s="83">
        <f>IF($DG297=1,SUMIFS($DF$8:$DF$1600,$F$8:$F$1600,$F297),0)</f>
        <v/>
      </c>
      <c r="DI297" s="78">
        <f>IF($DG297=1,COUNTIFS($F$8:$F$1600,$F297,$DE$8:$DE$1600,1),0)</f>
        <v/>
      </c>
      <c r="DJ297" s="84">
        <f>IF($DG297=1,$DH297+(100000-ROW())/mTieBreak,0)</f>
        <v/>
      </c>
    </row>
    <row r="298">
      <c r="B298" s="68" t="n">
        <v>15</v>
      </c>
      <c r="C298" s="69" t="inlineStr">
        <is>
          <t>GS217GS8</t>
        </is>
      </c>
      <c r="D298" s="69" t="inlineStr">
        <is>
          <t>15.000</t>
        </is>
      </c>
      <c r="E298" s="69" t="inlineStr">
        <is>
          <t>Cabela's Industrial Portfolio</t>
        </is>
      </c>
      <c r="F298" s="69" t="inlineStr">
        <is>
          <t>SPLIT_LOAN_01111</t>
        </is>
      </c>
      <c r="G298" s="70" t="n">
        <v>1111</v>
      </c>
      <c r="H298" s="71" t="n">
        <v>28400000</v>
      </c>
      <c r="I298" s="71" t="n">
        <v>28400000</v>
      </c>
      <c r="J298" s="72" t="n">
        <v>4.359</v>
      </c>
      <c r="K298" s="69" t="inlineStr">
        <is>
          <t>Fixed rate</t>
        </is>
      </c>
      <c r="L298" s="68" t="n">
        <v>120</v>
      </c>
      <c r="M298" s="68" t="n">
        <v>13</v>
      </c>
      <c r="N298" s="68" t="n">
        <v>120</v>
      </c>
      <c r="O298" s="68" t="n">
        <v>120</v>
      </c>
      <c r="P298" s="68" t="n">
        <v>13</v>
      </c>
      <c r="Q298" s="68" t="n">
        <v>107</v>
      </c>
      <c r="R298" s="69" t="inlineStr">
        <is>
          <t>IO</t>
        </is>
      </c>
      <c r="S298" s="69" t="inlineStr">
        <is>
          <t>Yes</t>
        </is>
      </c>
      <c r="T298" s="73" t="n">
        <v>43009</v>
      </c>
      <c r="U298" s="73" t="n">
        <v>46666</v>
      </c>
      <c r="V298" s="73" t="n"/>
      <c r="W298" s="69" t="n"/>
      <c r="X298" s="69" t="inlineStr">
        <is>
          <t>Current</t>
        </is>
      </c>
      <c r="Y298" s="68" t="n"/>
      <c r="Z298" s="69" t="inlineStr">
        <is>
          <t>No Defeasance Occurred</t>
        </is>
      </c>
      <c r="AA298" s="69" t="inlineStr">
        <is>
          <t>Previously</t>
        </is>
      </c>
      <c r="AB298" s="69" t="inlineStr">
        <is>
          <t>Never special serv</t>
        </is>
      </c>
      <c r="AC298" s="73" t="n"/>
      <c r="AD298" s="69" t="n"/>
      <c r="AE298" s="69" t="n"/>
      <c r="AF298" s="69" t="inlineStr">
        <is>
          <t>WI-37.183100000% WV-35.070420000% UT-27.746480000%</t>
        </is>
      </c>
      <c r="AG298" s="69" t="n"/>
      <c r="AH298" s="69" t="inlineStr">
        <is>
          <t>Wheeling, WV-OH-35.070420000% Salt Lake City-Murray, UT-27.746480000%</t>
        </is>
      </c>
      <c r="AI298" s="69" t="inlineStr">
        <is>
          <t>Midwest / Central East-37.183100000% South / Atlantic-35.070420000% West / Mountain-27.746480000%</t>
        </is>
      </c>
      <c r="AJ298" s="69" t="inlineStr">
        <is>
          <t>IN</t>
        </is>
      </c>
      <c r="AK298" s="69" t="inlineStr">
        <is>
          <t>Warehouse</t>
        </is>
      </c>
      <c r="AL298" s="68" t="n">
        <v>3</v>
      </c>
      <c r="AM298" s="68" t="n"/>
      <c r="AN298" s="68" t="n">
        <v>2894885</v>
      </c>
      <c r="AO298" s="69" t="n"/>
      <c r="AP298" s="70" t="n">
        <v>2015</v>
      </c>
      <c r="AQ298" s="74" t="n">
        <v>2.49</v>
      </c>
      <c r="AR298" s="74" t="n">
        <v>3.22</v>
      </c>
      <c r="AS298" s="74" t="n">
        <v>53.38</v>
      </c>
      <c r="AT298" s="74" t="n">
        <v>53.38</v>
      </c>
      <c r="AU298" s="74" t="n">
        <v>53.38</v>
      </c>
      <c r="AV298" s="74" t="n">
        <v>10.991117493</v>
      </c>
      <c r="AW298" s="74" t="n">
        <v>14.208335211</v>
      </c>
      <c r="AX298" s="75" t="n">
        <v>100</v>
      </c>
      <c r="AY298" s="71" t="n">
        <v>133000000</v>
      </c>
      <c r="AZ298" s="71" t="n">
        <v>133000000</v>
      </c>
      <c r="BA298" s="71" t="n">
        <v>7803693.42</v>
      </c>
      <c r="BB298" s="71" t="n">
        <v>5043958.5</v>
      </c>
      <c r="BC298" s="69" t="inlineStr">
        <is>
          <t>Acquisition</t>
        </is>
      </c>
      <c r="BD298" s="69" t="inlineStr">
        <is>
          <t>N</t>
        </is>
      </c>
      <c r="BE298" s="71" t="n">
        <v>42600000</v>
      </c>
      <c r="BF298" s="71" t="n"/>
      <c r="BG298" s="71" t="n"/>
      <c r="BH298" s="71" t="n">
        <v>0</v>
      </c>
      <c r="BI298" s="71" t="n">
        <v>0</v>
      </c>
      <c r="BJ298" s="69" t="inlineStr">
        <is>
          <t>N</t>
        </is>
      </c>
      <c r="BK298" s="69" t="inlineStr">
        <is>
          <t>Cabela's</t>
        </is>
      </c>
      <c r="BL298" s="75" t="n">
        <v>100.31</v>
      </c>
      <c r="BM298" s="73" t="n">
        <v>51986</v>
      </c>
      <c r="BN298" s="69" t="inlineStr">
        <is>
          <t>Starwood Property Trust, Inc.</t>
        </is>
      </c>
      <c r="BO298" s="69" t="inlineStr">
        <is>
          <t>Goldman Sachs</t>
        </is>
      </c>
      <c r="BP298" s="69" t="inlineStr">
        <is>
          <t>TriMont Real Estate Advisors</t>
        </is>
      </c>
      <c r="BQ298" s="69" t="inlineStr">
        <is>
          <t>K-Star Asset Management LLC</t>
        </is>
      </c>
      <c r="BR298" s="69" t="n"/>
      <c r="BS298" s="73" t="n">
        <v>46273</v>
      </c>
      <c r="BU298" s="76">
        <f>IF($C298="","",IFERROR(INDEX(dmName,MATCH($C298,dmID,0)),"Unmapped"))</f>
        <v/>
      </c>
      <c r="BV298" s="76">
        <f>IF($C298="","",IFERROR(INDEX(dmEntity,MATCH($C298,dmID,0)),"Unmapped"))</f>
        <v/>
      </c>
      <c r="BW298" s="77">
        <f>IF($C298="","",IFERROR(INDEX(dmVintage,MATCH($C298,dmID,0)),""))</f>
        <v/>
      </c>
      <c r="BX298" s="78">
        <f>IFERROR(INDEX(dmInclude,MATCH($C298,dmID,0)),0)</f>
        <v/>
      </c>
      <c r="BY298" s="78">
        <f>IF(N($I298)&gt;0,1,0)</f>
        <v/>
      </c>
      <c r="BZ298" s="76">
        <f>IF($AJ298="","Other / Leased Fee",IFERROR(INDEX(mapPTGroup,MATCH(LEFT(TRIM($AJ298),2),mapPTCode,0)),"Other / Leased Fee"))</f>
        <v/>
      </c>
      <c r="CA298" s="76">
        <f>IF(TRIM($AF298&amp;"")="","NR",LEFT(TRIM($AF298),2))</f>
        <v/>
      </c>
      <c r="CB298" s="76">
        <f>IFERROR(LOOKUP(2,1/(LEFT(TRIM($AI298&amp;""),LEN(mapRegion))=mapRegion),mapRegion),"Not Reported")</f>
        <v/>
      </c>
      <c r="CC298" s="76">
        <f>IF($BY298=0,"",IF(TRIM($W298&amp;"")="REO","REO",IF(TRIM($W298&amp;"")="FC","Foreclosure",IF(TRIM($W298&amp;"")="90+","90+ Days Delinquent",IF(TRIM($W298&amp;"")="60","60 Days Delinquent",IF(TRIM($W298&amp;"")="30","30 Days Delinquent",IF($X298="Non-Performing Matured Balloon","Non-Performing Matured Balloon",IF(OR($X298="Late Payment But Less Than 30 Days Delinquent",LEFT($X298&amp;"",20)="Payment Not Received"),"Late / In Grace (&lt;30 Days)",IF($X298="Performing Matured Balloon","Performing Matured Balloon","Current")))))))))</f>
        <v/>
      </c>
      <c r="CD298" s="78">
        <f>IF(OR($CC298="REO",$CC298="Foreclosure",$CC298="90+ Days Delinquent",$CC298="60 Days Delinquent",$CC298="30 Days Delinquent",$CC298="Non-Performing Matured Balloon"),1,0)</f>
        <v/>
      </c>
      <c r="CE298" s="76">
        <f>IF($AB298="Currently special serv","Currently Specially Serviced",IF($AB298="Returned to master serv","Previously Specially Serviced","Never Specially Serviced"))</f>
        <v/>
      </c>
      <c r="CF298" s="78">
        <f>IF($CE298="Currently Specially Serviced",1,0)</f>
        <v/>
      </c>
      <c r="CG298" s="76">
        <f>IF($AA298="Yes","Currently on Watchlist",IF($AA298="Previously","Previously on Watchlist","Never on Watchlist"))</f>
        <v/>
      </c>
      <c r="CH298" s="78">
        <f>IF($CG298="Currently on Watchlist",1,0)</f>
        <v/>
      </c>
      <c r="CI298" s="76">
        <f>IF($Z298="Full Defeasance","Fully Defeased",IF($Z298="Portion Of Loan Previously Defeased","Partially Defeased",IF($Z298="Defeasance Not Allowable","Not Defeased (Not Permitted)","Not Defeased")))</f>
        <v/>
      </c>
      <c r="CJ298" s="78">
        <f>IF($CI298="Fully Defeased",1,0)</f>
        <v/>
      </c>
      <c r="CK298" s="76">
        <f>IF($R298="IO","Full IO",IF(LEFT($R298&amp;"",7)="IO then","Partial IO","Amortizing"))</f>
        <v/>
      </c>
      <c r="CL298" s="78">
        <f>IF($CK298="Full IO",1,0)</f>
        <v/>
      </c>
      <c r="CM298" s="78">
        <f>IF($CK298="Partial IO",1,0)</f>
        <v/>
      </c>
      <c r="CN298" s="76">
        <f>IF(LEFT($F298&amp;"",10)="SPLIT_LOAN","Pari Passu Split","Standalone")</f>
        <v/>
      </c>
      <c r="CO298" s="78">
        <f>IF($CN298="Pari Passu Split",1,0)</f>
        <v/>
      </c>
      <c r="CP298" s="77">
        <f>IF(ISNUMBER($T298),YEAR($T298),"")</f>
        <v/>
      </c>
      <c r="CQ298" s="79">
        <f>IF(ISNUMBER($V298),$V298,IF(ISNUMBER($U298),$U298,""))</f>
        <v/>
      </c>
      <c r="CR298" s="77">
        <f>IF(ISNUMBER($CQ298),YEAR($CQ298),"")</f>
        <v/>
      </c>
      <c r="CS298" s="78">
        <f>IF(ISNUMBER($M298),MAX(0,$M298),IF(TRIM($M298&amp;"")="matured",0,""))</f>
        <v/>
      </c>
      <c r="CT298" s="78">
        <f>IF(AND(ISNUMBER($CS298),N($CS298)&lt;=mMatWindow),1,0)</f>
        <v/>
      </c>
      <c r="CU298" s="80">
        <f>IF(ISNUMBER($J298),$J298/100,"")</f>
        <v/>
      </c>
      <c r="CV298" s="81">
        <f>IF(ISNUMBER($AQ298),$AQ298,"")</f>
        <v/>
      </c>
      <c r="CW298" s="81">
        <f>IF(ISNUMBER($AR298),$AR298,"")</f>
        <v/>
      </c>
      <c r="CX298" s="82">
        <f>IF(ISNUMBER($AS298),$AS298/100,"")</f>
        <v/>
      </c>
      <c r="CY298" s="82">
        <f>IF(ISNUMBER($AT298),$AT298/100,"")</f>
        <v/>
      </c>
      <c r="CZ298" s="82">
        <f>IF(ISNUMBER($AU298),$AU298/100,"")</f>
        <v/>
      </c>
      <c r="DA298" s="82">
        <f>IF(ISNUMBER($AV298),$AV298/100,"")</f>
        <v/>
      </c>
      <c r="DB298" s="82">
        <f>IF(ISNUMBER($AW298),$AW298/100,"")</f>
        <v/>
      </c>
      <c r="DC298" s="82">
        <f>IF(ISNUMBER($AX298),$AX298/100,"")</f>
        <v/>
      </c>
      <c r="DD298" s="77">
        <f>IFERROR(VALUE(LEFT(TRIM($AO298&amp;""),4)),"")</f>
        <v/>
      </c>
      <c r="DE298" s="78">
        <f>IF(AND($BY298=1,$BX298=1,OR(fDeal="All Deals",$BU298=fDeal),OR(fEntity="All Entities",$BV298=fEntity),OR(fPType="All Property Types",$BZ298=fPType),OR(fDefeased="Include",$CJ298=0)),1,0)</f>
        <v/>
      </c>
      <c r="DF298" s="83">
        <f>$DE298*N($I298)</f>
        <v/>
      </c>
      <c r="DG298" s="78">
        <f>IF($DE298=1,IF(COUNTIFS($F$8:$F298,$F298,$DE$8:$DE298,1)=1,1,0),0)</f>
        <v/>
      </c>
      <c r="DH298" s="83">
        <f>IF($DG298=1,SUMIFS($DF$8:$DF$1600,$F$8:$F$1600,$F298),0)</f>
        <v/>
      </c>
      <c r="DI298" s="78">
        <f>IF($DG298=1,COUNTIFS($F$8:$F$1600,$F298,$DE$8:$DE$1600,1),0)</f>
        <v/>
      </c>
      <c r="DJ298" s="84">
        <f>IF($DG298=1,$DH298+(100000-ROW())/mTieBreak,0)</f>
        <v/>
      </c>
    </row>
    <row r="299">
      <c r="B299" s="68" t="n">
        <v>16</v>
      </c>
      <c r="C299" s="69" t="inlineStr">
        <is>
          <t>GS217GS8</t>
        </is>
      </c>
      <c r="D299" s="69" t="inlineStr">
        <is>
          <t>16.000</t>
        </is>
      </c>
      <c r="E299" s="69" t="inlineStr">
        <is>
          <t>One Allen Center</t>
        </is>
      </c>
      <c r="F299" s="69" t="inlineStr">
        <is>
          <t>LNGS217GS8-16.000</t>
        </is>
      </c>
      <c r="G299" s="70" t="n"/>
      <c r="H299" s="71" t="n">
        <v>22700000</v>
      </c>
      <c r="I299" s="71" t="n">
        <v>0</v>
      </c>
      <c r="J299" s="72" t="n">
        <v>4.321</v>
      </c>
      <c r="K299" s="69" t="inlineStr">
        <is>
          <t>Fixed rate</t>
        </is>
      </c>
      <c r="L299" s="68" t="n">
        <v>60</v>
      </c>
      <c r="M299" s="68" t="n"/>
      <c r="N299" s="68" t="n">
        <v>396</v>
      </c>
      <c r="O299" s="68" t="n">
        <v>36</v>
      </c>
      <c r="P299" s="68" t="n"/>
      <c r="Q299" s="68" t="n"/>
      <c r="R299" s="69" t="inlineStr">
        <is>
          <t>IO then Amort</t>
        </is>
      </c>
      <c r="S299" s="69" t="inlineStr">
        <is>
          <t>No</t>
        </is>
      </c>
      <c r="T299" s="73" t="n">
        <v>43009</v>
      </c>
      <c r="U299" s="73" t="n">
        <v>44840</v>
      </c>
      <c r="V299" s="73" t="n"/>
      <c r="W299" s="69" t="n"/>
      <c r="X299" s="69" t="inlineStr">
        <is>
          <t>Current</t>
        </is>
      </c>
      <c r="Y299" s="68" t="n"/>
      <c r="Z299" s="69" t="inlineStr">
        <is>
          <t>Full Defeasance</t>
        </is>
      </c>
      <c r="AA299" s="69" t="inlineStr">
        <is>
          <t>Previously</t>
        </is>
      </c>
      <c r="AB299" s="69" t="inlineStr">
        <is>
          <t>Never special serv</t>
        </is>
      </c>
      <c r="AC299" s="73" t="n"/>
      <c r="AD299" s="69" t="n"/>
      <c r="AE299" s="69" t="n"/>
      <c r="AF299" s="69" t="inlineStr">
        <is>
          <t>TX</t>
        </is>
      </c>
      <c r="AG299" s="69" t="inlineStr">
        <is>
          <t>Allen</t>
        </is>
      </c>
      <c r="AH299" s="69" t="inlineStr">
        <is>
          <t>Dallas-Fort Worth-Arlington, TX</t>
        </is>
      </c>
      <c r="AI299" s="69" t="inlineStr">
        <is>
          <t>South / Central West</t>
        </is>
      </c>
      <c r="AJ299" s="69" t="inlineStr">
        <is>
          <t>OF</t>
        </is>
      </c>
      <c r="AK299" s="69" t="inlineStr">
        <is>
          <t>Suburban</t>
        </is>
      </c>
      <c r="AL299" s="68" t="n">
        <v>1</v>
      </c>
      <c r="AM299" s="68" t="n"/>
      <c r="AN299" s="68" t="n">
        <v>150509</v>
      </c>
      <c r="AO299" s="69" t="inlineStr">
        <is>
          <t>2007</t>
        </is>
      </c>
      <c r="AP299" s="70" t="n">
        <v>2007</v>
      </c>
      <c r="AQ299" s="74" t="n">
        <v>1.6</v>
      </c>
      <c r="AR299" s="74" t="n">
        <v>2.05</v>
      </c>
      <c r="AS299" s="74" t="n">
        <v>71.84</v>
      </c>
      <c r="AT299" s="74" t="n"/>
      <c r="AU299" s="74" t="n">
        <v>69.48</v>
      </c>
      <c r="AV299" s="74" t="n">
        <v>9.520328767000001</v>
      </c>
      <c r="AW299" s="74" t="n"/>
      <c r="AX299" s="75" t="n">
        <v>93.75</v>
      </c>
      <c r="AY299" s="71" t="n">
        <v>31600000</v>
      </c>
      <c r="AZ299" s="71" t="n">
        <v>31600000</v>
      </c>
      <c r="BA299" s="71" t="n">
        <v>2161114.63</v>
      </c>
      <c r="BB299" s="71" t="n">
        <v>693544</v>
      </c>
      <c r="BC299" s="69" t="inlineStr">
        <is>
          <t>Acquisition</t>
        </is>
      </c>
      <c r="BD299" s="69" t="inlineStr">
        <is>
          <t>N</t>
        </is>
      </c>
      <c r="BE299" s="71" t="n"/>
      <c r="BF299" s="71" t="n"/>
      <c r="BG299" s="71" t="n"/>
      <c r="BH299" s="71" t="n">
        <v>0</v>
      </c>
      <c r="BI299" s="71" t="n">
        <v>0</v>
      </c>
      <c r="BJ299" s="69" t="inlineStr">
        <is>
          <t>N</t>
        </is>
      </c>
      <c r="BK299" s="69" t="inlineStr">
        <is>
          <t>CONCUR TECHNOLOGIES  INC</t>
        </is>
      </c>
      <c r="BL299" s="75" t="n">
        <v>14.49</v>
      </c>
      <c r="BM299" s="73" t="n">
        <v>44804</v>
      </c>
      <c r="BN299" s="69" t="inlineStr">
        <is>
          <t>Accesso Investment Properties VI. LLLP and Accesso Investment Properties VI (US), LLLP</t>
        </is>
      </c>
      <c r="BO299" s="69" t="inlineStr">
        <is>
          <t>Goldman Sachs</t>
        </is>
      </c>
      <c r="BP299" s="69" t="inlineStr">
        <is>
          <t>Wells Fargo</t>
        </is>
      </c>
      <c r="BQ299" s="69" t="inlineStr">
        <is>
          <t>Midland Loan Services</t>
        </is>
      </c>
      <c r="BR299" s="69" t="inlineStr">
        <is>
          <t>Payoff Prior To Maturity</t>
        </is>
      </c>
      <c r="BS299" s="73" t="n">
        <v>44748</v>
      </c>
      <c r="BU299" s="76">
        <f>IF($C299="","",IFERROR(INDEX(dmName,MATCH($C299,dmID,0)),"Unmapped"))</f>
        <v/>
      </c>
      <c r="BV299" s="76">
        <f>IF($C299="","",IFERROR(INDEX(dmEntity,MATCH($C299,dmID,0)),"Unmapped"))</f>
        <v/>
      </c>
      <c r="BW299" s="77">
        <f>IF($C299="","",IFERROR(INDEX(dmVintage,MATCH($C299,dmID,0)),""))</f>
        <v/>
      </c>
      <c r="BX299" s="78">
        <f>IFERROR(INDEX(dmInclude,MATCH($C299,dmID,0)),0)</f>
        <v/>
      </c>
      <c r="BY299" s="78">
        <f>IF(N($I299)&gt;0,1,0)</f>
        <v/>
      </c>
      <c r="BZ299" s="76">
        <f>IF($AJ299="","Other / Leased Fee",IFERROR(INDEX(mapPTGroup,MATCH(LEFT(TRIM($AJ299),2),mapPTCode,0)),"Other / Leased Fee"))</f>
        <v/>
      </c>
      <c r="CA299" s="76">
        <f>IF(TRIM($AF299&amp;"")="","NR",LEFT(TRIM($AF299),2))</f>
        <v/>
      </c>
      <c r="CB299" s="76">
        <f>IFERROR(LOOKUP(2,1/(LEFT(TRIM($AI299&amp;""),LEN(mapRegion))=mapRegion),mapRegion),"Not Reported")</f>
        <v/>
      </c>
      <c r="CC299" s="76">
        <f>IF($BY299=0,"",IF(TRIM($W299&amp;"")="REO","REO",IF(TRIM($W299&amp;"")="FC","Foreclosure",IF(TRIM($W299&amp;"")="90+","90+ Days Delinquent",IF(TRIM($W299&amp;"")="60","60 Days Delinquent",IF(TRIM($W299&amp;"")="30","30 Days Delinquent",IF($X299="Non-Performing Matured Balloon","Non-Performing Matured Balloon",IF(OR($X299="Late Payment But Less Than 30 Days Delinquent",LEFT($X299&amp;"",20)="Payment Not Received"),"Late / In Grace (&lt;30 Days)",IF($X299="Performing Matured Balloon","Performing Matured Balloon","Current")))))))))</f>
        <v/>
      </c>
      <c r="CD299" s="78">
        <f>IF(OR($CC299="REO",$CC299="Foreclosure",$CC299="90+ Days Delinquent",$CC299="60 Days Delinquent",$CC299="30 Days Delinquent",$CC299="Non-Performing Matured Balloon"),1,0)</f>
        <v/>
      </c>
      <c r="CE299" s="76">
        <f>IF($AB299="Currently special serv","Currently Specially Serviced",IF($AB299="Returned to master serv","Previously Specially Serviced","Never Specially Serviced"))</f>
        <v/>
      </c>
      <c r="CF299" s="78">
        <f>IF($CE299="Currently Specially Serviced",1,0)</f>
        <v/>
      </c>
      <c r="CG299" s="76">
        <f>IF($AA299="Yes","Currently on Watchlist",IF($AA299="Previously","Previously on Watchlist","Never on Watchlist"))</f>
        <v/>
      </c>
      <c r="CH299" s="78">
        <f>IF($CG299="Currently on Watchlist",1,0)</f>
        <v/>
      </c>
      <c r="CI299" s="76">
        <f>IF($Z299="Full Defeasance","Fully Defeased",IF($Z299="Portion Of Loan Previously Defeased","Partially Defeased",IF($Z299="Defeasance Not Allowable","Not Defeased (Not Permitted)","Not Defeased")))</f>
        <v/>
      </c>
      <c r="CJ299" s="78">
        <f>IF($CI299="Fully Defeased",1,0)</f>
        <v/>
      </c>
      <c r="CK299" s="76">
        <f>IF($R299="IO","Full IO",IF(LEFT($R299&amp;"",7)="IO then","Partial IO","Amortizing"))</f>
        <v/>
      </c>
      <c r="CL299" s="78">
        <f>IF($CK299="Full IO",1,0)</f>
        <v/>
      </c>
      <c r="CM299" s="78">
        <f>IF($CK299="Partial IO",1,0)</f>
        <v/>
      </c>
      <c r="CN299" s="76">
        <f>IF(LEFT($F299&amp;"",10)="SPLIT_LOAN","Pari Passu Split","Standalone")</f>
        <v/>
      </c>
      <c r="CO299" s="78">
        <f>IF($CN299="Pari Passu Split",1,0)</f>
        <v/>
      </c>
      <c r="CP299" s="77">
        <f>IF(ISNUMBER($T299),YEAR($T299),"")</f>
        <v/>
      </c>
      <c r="CQ299" s="79">
        <f>IF(ISNUMBER($V299),$V299,IF(ISNUMBER($U299),$U299,""))</f>
        <v/>
      </c>
      <c r="CR299" s="77">
        <f>IF(ISNUMBER($CQ299),YEAR($CQ299),"")</f>
        <v/>
      </c>
      <c r="CS299" s="78">
        <f>IF(ISNUMBER($M299),MAX(0,$M299),IF(TRIM($M299&amp;"")="matured",0,""))</f>
        <v/>
      </c>
      <c r="CT299" s="78">
        <f>IF(AND(ISNUMBER($CS299),N($CS299)&lt;=mMatWindow),1,0)</f>
        <v/>
      </c>
      <c r="CU299" s="80">
        <f>IF(ISNUMBER($J299),$J299/100,"")</f>
        <v/>
      </c>
      <c r="CV299" s="81">
        <f>IF(ISNUMBER($AQ299),$AQ299,"")</f>
        <v/>
      </c>
      <c r="CW299" s="81">
        <f>IF(ISNUMBER($AR299),$AR299,"")</f>
        <v/>
      </c>
      <c r="CX299" s="82">
        <f>IF(ISNUMBER($AS299),$AS299/100,"")</f>
        <v/>
      </c>
      <c r="CY299" s="82">
        <f>IF(ISNUMBER($AT299),$AT299/100,"")</f>
        <v/>
      </c>
      <c r="CZ299" s="82">
        <f>IF(ISNUMBER($AU299),$AU299/100,"")</f>
        <v/>
      </c>
      <c r="DA299" s="82">
        <f>IF(ISNUMBER($AV299),$AV299/100,"")</f>
        <v/>
      </c>
      <c r="DB299" s="82">
        <f>IF(ISNUMBER($AW299),$AW299/100,"")</f>
        <v/>
      </c>
      <c r="DC299" s="82">
        <f>IF(ISNUMBER($AX299),$AX299/100,"")</f>
        <v/>
      </c>
      <c r="DD299" s="77">
        <f>IFERROR(VALUE(LEFT(TRIM($AO299&amp;""),4)),"")</f>
        <v/>
      </c>
      <c r="DE299" s="78">
        <f>IF(AND($BY299=1,$BX299=1,OR(fDeal="All Deals",$BU299=fDeal),OR(fEntity="All Entities",$BV299=fEntity),OR(fPType="All Property Types",$BZ299=fPType),OR(fDefeased="Include",$CJ299=0)),1,0)</f>
        <v/>
      </c>
      <c r="DF299" s="83">
        <f>$DE299*N($I299)</f>
        <v/>
      </c>
      <c r="DG299" s="78">
        <f>IF($DE299=1,IF(COUNTIFS($F$8:$F299,$F299,$DE$8:$DE299,1)=1,1,0),0)</f>
        <v/>
      </c>
      <c r="DH299" s="83">
        <f>IF($DG299=1,SUMIFS($DF$8:$DF$1600,$F$8:$F$1600,$F299),0)</f>
        <v/>
      </c>
      <c r="DI299" s="78">
        <f>IF($DG299=1,COUNTIFS($F$8:$F$1600,$F299,$DE$8:$DE$1600,1),0)</f>
        <v/>
      </c>
      <c r="DJ299" s="84">
        <f>IF($DG299=1,$DH299+(100000-ROW())/mTieBreak,0)</f>
        <v/>
      </c>
    </row>
    <row r="300">
      <c r="B300" s="68" t="n">
        <v>17</v>
      </c>
      <c r="C300" s="69" t="inlineStr">
        <is>
          <t>GS217GS8</t>
        </is>
      </c>
      <c r="D300" s="69" t="inlineStr">
        <is>
          <t>17.000</t>
        </is>
      </c>
      <c r="E300" s="69" t="inlineStr">
        <is>
          <t>Waxahachie Marketplace</t>
        </is>
      </c>
      <c r="F300" s="69" t="inlineStr">
        <is>
          <t>LNGS217GS8-17.000</t>
        </is>
      </c>
      <c r="G300" s="70" t="n"/>
      <c r="H300" s="71" t="n">
        <v>21750000</v>
      </c>
      <c r="I300" s="71" t="n">
        <v>20400074.250003</v>
      </c>
      <c r="J300" s="72" t="n">
        <v>4.7355</v>
      </c>
      <c r="K300" s="69" t="inlineStr">
        <is>
          <t>Fixed rate</t>
        </is>
      </c>
      <c r="L300" s="68" t="n">
        <v>120</v>
      </c>
      <c r="M300" s="68" t="n">
        <v>13</v>
      </c>
      <c r="N300" s="68" t="n">
        <v>420</v>
      </c>
      <c r="O300" s="68" t="n">
        <v>60</v>
      </c>
      <c r="P300" s="68" t="n">
        <v>0</v>
      </c>
      <c r="Q300" s="68" t="n">
        <v>107</v>
      </c>
      <c r="R300" s="69" t="inlineStr">
        <is>
          <t>IO then Amort</t>
        </is>
      </c>
      <c r="S300" s="69" t="inlineStr">
        <is>
          <t>No</t>
        </is>
      </c>
      <c r="T300" s="73" t="n">
        <v>43009</v>
      </c>
      <c r="U300" s="73" t="n">
        <v>46666</v>
      </c>
      <c r="V300" s="73" t="n"/>
      <c r="W300" s="69" t="n"/>
      <c r="X300" s="69" t="inlineStr">
        <is>
          <t>Current</t>
        </is>
      </c>
      <c r="Y300" s="68" t="n"/>
      <c r="Z300" s="69" t="inlineStr">
        <is>
          <t>No Defeasance Occurred</t>
        </is>
      </c>
      <c r="AA300" s="69" t="inlineStr">
        <is>
          <t>Previously</t>
        </is>
      </c>
      <c r="AB300" s="69" t="inlineStr">
        <is>
          <t>Never special serv</t>
        </is>
      </c>
      <c r="AC300" s="73" t="n"/>
      <c r="AD300" s="69" t="n"/>
      <c r="AE300" s="69" t="n"/>
      <c r="AF300" s="69" t="inlineStr">
        <is>
          <t>TX</t>
        </is>
      </c>
      <c r="AG300" s="69" t="inlineStr">
        <is>
          <t>Waxahachie</t>
        </is>
      </c>
      <c r="AH300" s="69" t="inlineStr">
        <is>
          <t>Dallas-Fort Worth-Arlington, TX</t>
        </is>
      </c>
      <c r="AI300" s="69" t="inlineStr">
        <is>
          <t>South / Central West</t>
        </is>
      </c>
      <c r="AJ300" s="69" t="inlineStr">
        <is>
          <t>RT</t>
        </is>
      </c>
      <c r="AK300" s="69" t="inlineStr">
        <is>
          <t>Anchored</t>
        </is>
      </c>
      <c r="AL300" s="68" t="n">
        <v>1</v>
      </c>
      <c r="AM300" s="68" t="n"/>
      <c r="AN300" s="68" t="n">
        <v>175983</v>
      </c>
      <c r="AO300" s="69" t="inlineStr">
        <is>
          <t>2016</t>
        </is>
      </c>
      <c r="AP300" s="70" t="n">
        <v>2016</v>
      </c>
      <c r="AQ300" s="74" t="n">
        <v>1.49</v>
      </c>
      <c r="AR300" s="74" t="n">
        <v>1.58</v>
      </c>
      <c r="AS300" s="74" t="n">
        <v>66.41</v>
      </c>
      <c r="AT300" s="74" t="n">
        <v>62.29</v>
      </c>
      <c r="AU300" s="74" t="n">
        <v>61</v>
      </c>
      <c r="AV300" s="74" t="n">
        <v>9.319816092</v>
      </c>
      <c r="AW300" s="74" t="n">
        <v>8.870199920999999</v>
      </c>
      <c r="AX300" s="75" t="n">
        <v>98</v>
      </c>
      <c r="AY300" s="71" t="n">
        <v>32750000</v>
      </c>
      <c r="AZ300" s="71" t="n">
        <v>32750000</v>
      </c>
      <c r="BA300" s="71" t="n">
        <v>2027060</v>
      </c>
      <c r="BB300" s="71" t="n">
        <v>1074852.97</v>
      </c>
      <c r="BC300" s="69" t="inlineStr">
        <is>
          <t>Acquisition</t>
        </is>
      </c>
      <c r="BD300" s="69" t="inlineStr">
        <is>
          <t>N</t>
        </is>
      </c>
      <c r="BE300" s="71" t="n"/>
      <c r="BF300" s="71" t="n"/>
      <c r="BG300" s="71" t="n"/>
      <c r="BH300" s="71" t="n">
        <v>0</v>
      </c>
      <c r="BI300" s="71" t="n">
        <v>0</v>
      </c>
      <c r="BJ300" s="69" t="inlineStr">
        <is>
          <t>N</t>
        </is>
      </c>
      <c r="BK300" s="69" t="inlineStr">
        <is>
          <t>Academy Sports + Outdoors</t>
        </is>
      </c>
      <c r="BL300" s="75" t="n">
        <v>36.53</v>
      </c>
      <c r="BM300" s="73" t="n">
        <v>48244</v>
      </c>
      <c r="BN300" s="69" t="inlineStr">
        <is>
          <t>William L. Hutchinson</t>
        </is>
      </c>
      <c r="BO300" s="69" t="inlineStr">
        <is>
          <t>Goldman Sachs</t>
        </is>
      </c>
      <c r="BP300" s="69" t="inlineStr">
        <is>
          <t>TriMont Real Estate Advisors</t>
        </is>
      </c>
      <c r="BQ300" s="69" t="inlineStr">
        <is>
          <t>K-Star Asset Management LLC</t>
        </is>
      </c>
      <c r="BR300" s="69" t="n"/>
      <c r="BS300" s="73" t="n">
        <v>46273</v>
      </c>
      <c r="BU300" s="76">
        <f>IF($C300="","",IFERROR(INDEX(dmName,MATCH($C300,dmID,0)),"Unmapped"))</f>
        <v/>
      </c>
      <c r="BV300" s="76">
        <f>IF($C300="","",IFERROR(INDEX(dmEntity,MATCH($C300,dmID,0)),"Unmapped"))</f>
        <v/>
      </c>
      <c r="BW300" s="77">
        <f>IF($C300="","",IFERROR(INDEX(dmVintage,MATCH($C300,dmID,0)),""))</f>
        <v/>
      </c>
      <c r="BX300" s="78">
        <f>IFERROR(INDEX(dmInclude,MATCH($C300,dmID,0)),0)</f>
        <v/>
      </c>
      <c r="BY300" s="78">
        <f>IF(N($I300)&gt;0,1,0)</f>
        <v/>
      </c>
      <c r="BZ300" s="76">
        <f>IF($AJ300="","Other / Leased Fee",IFERROR(INDEX(mapPTGroup,MATCH(LEFT(TRIM($AJ300),2),mapPTCode,0)),"Other / Leased Fee"))</f>
        <v/>
      </c>
      <c r="CA300" s="76">
        <f>IF(TRIM($AF300&amp;"")="","NR",LEFT(TRIM($AF300),2))</f>
        <v/>
      </c>
      <c r="CB300" s="76">
        <f>IFERROR(LOOKUP(2,1/(LEFT(TRIM($AI300&amp;""),LEN(mapRegion))=mapRegion),mapRegion),"Not Reported")</f>
        <v/>
      </c>
      <c r="CC300" s="76">
        <f>IF($BY300=0,"",IF(TRIM($W300&amp;"")="REO","REO",IF(TRIM($W300&amp;"")="FC","Foreclosure",IF(TRIM($W300&amp;"")="90+","90+ Days Delinquent",IF(TRIM($W300&amp;"")="60","60 Days Delinquent",IF(TRIM($W300&amp;"")="30","30 Days Delinquent",IF($X300="Non-Performing Matured Balloon","Non-Performing Matured Balloon",IF(OR($X300="Late Payment But Less Than 30 Days Delinquent",LEFT($X300&amp;"",20)="Payment Not Received"),"Late / In Grace (&lt;30 Days)",IF($X300="Performing Matured Balloon","Performing Matured Balloon","Current")))))))))</f>
        <v/>
      </c>
      <c r="CD300" s="78">
        <f>IF(OR($CC300="REO",$CC300="Foreclosure",$CC300="90+ Days Delinquent",$CC300="60 Days Delinquent",$CC300="30 Days Delinquent",$CC300="Non-Performing Matured Balloon"),1,0)</f>
        <v/>
      </c>
      <c r="CE300" s="76">
        <f>IF($AB300="Currently special serv","Currently Specially Serviced",IF($AB300="Returned to master serv","Previously Specially Serviced","Never Specially Serviced"))</f>
        <v/>
      </c>
      <c r="CF300" s="78">
        <f>IF($CE300="Currently Specially Serviced",1,0)</f>
        <v/>
      </c>
      <c r="CG300" s="76">
        <f>IF($AA300="Yes","Currently on Watchlist",IF($AA300="Previously","Previously on Watchlist","Never on Watchlist"))</f>
        <v/>
      </c>
      <c r="CH300" s="78">
        <f>IF($CG300="Currently on Watchlist",1,0)</f>
        <v/>
      </c>
      <c r="CI300" s="76">
        <f>IF($Z300="Full Defeasance","Fully Defeased",IF($Z300="Portion Of Loan Previously Defeased","Partially Defeased",IF($Z300="Defeasance Not Allowable","Not Defeased (Not Permitted)","Not Defeased")))</f>
        <v/>
      </c>
      <c r="CJ300" s="78">
        <f>IF($CI300="Fully Defeased",1,0)</f>
        <v/>
      </c>
      <c r="CK300" s="76">
        <f>IF($R300="IO","Full IO",IF(LEFT($R300&amp;"",7)="IO then","Partial IO","Amortizing"))</f>
        <v/>
      </c>
      <c r="CL300" s="78">
        <f>IF($CK300="Full IO",1,0)</f>
        <v/>
      </c>
      <c r="CM300" s="78">
        <f>IF($CK300="Partial IO",1,0)</f>
        <v/>
      </c>
      <c r="CN300" s="76">
        <f>IF(LEFT($F300&amp;"",10)="SPLIT_LOAN","Pari Passu Split","Standalone")</f>
        <v/>
      </c>
      <c r="CO300" s="78">
        <f>IF($CN300="Pari Passu Split",1,0)</f>
        <v/>
      </c>
      <c r="CP300" s="77">
        <f>IF(ISNUMBER($T300),YEAR($T300),"")</f>
        <v/>
      </c>
      <c r="CQ300" s="79">
        <f>IF(ISNUMBER($V300),$V300,IF(ISNUMBER($U300),$U300,""))</f>
        <v/>
      </c>
      <c r="CR300" s="77">
        <f>IF(ISNUMBER($CQ300),YEAR($CQ300),"")</f>
        <v/>
      </c>
      <c r="CS300" s="78">
        <f>IF(ISNUMBER($M300),MAX(0,$M300),IF(TRIM($M300&amp;"")="matured",0,""))</f>
        <v/>
      </c>
      <c r="CT300" s="78">
        <f>IF(AND(ISNUMBER($CS300),N($CS300)&lt;=mMatWindow),1,0)</f>
        <v/>
      </c>
      <c r="CU300" s="80">
        <f>IF(ISNUMBER($J300),$J300/100,"")</f>
        <v/>
      </c>
      <c r="CV300" s="81">
        <f>IF(ISNUMBER($AQ300),$AQ300,"")</f>
        <v/>
      </c>
      <c r="CW300" s="81">
        <f>IF(ISNUMBER($AR300),$AR300,"")</f>
        <v/>
      </c>
      <c r="CX300" s="82">
        <f>IF(ISNUMBER($AS300),$AS300/100,"")</f>
        <v/>
      </c>
      <c r="CY300" s="82">
        <f>IF(ISNUMBER($AT300),$AT300/100,"")</f>
        <v/>
      </c>
      <c r="CZ300" s="82">
        <f>IF(ISNUMBER($AU300),$AU300/100,"")</f>
        <v/>
      </c>
      <c r="DA300" s="82">
        <f>IF(ISNUMBER($AV300),$AV300/100,"")</f>
        <v/>
      </c>
      <c r="DB300" s="82">
        <f>IF(ISNUMBER($AW300),$AW300/100,"")</f>
        <v/>
      </c>
      <c r="DC300" s="82">
        <f>IF(ISNUMBER($AX300),$AX300/100,"")</f>
        <v/>
      </c>
      <c r="DD300" s="77">
        <f>IFERROR(VALUE(LEFT(TRIM($AO300&amp;""),4)),"")</f>
        <v/>
      </c>
      <c r="DE300" s="78">
        <f>IF(AND($BY300=1,$BX300=1,OR(fDeal="All Deals",$BU300=fDeal),OR(fEntity="All Entities",$BV300=fEntity),OR(fPType="All Property Types",$BZ300=fPType),OR(fDefeased="Include",$CJ300=0)),1,0)</f>
        <v/>
      </c>
      <c r="DF300" s="83">
        <f>$DE300*N($I300)</f>
        <v/>
      </c>
      <c r="DG300" s="78">
        <f>IF($DE300=1,IF(COUNTIFS($F$8:$F300,$F300,$DE$8:$DE300,1)=1,1,0),0)</f>
        <v/>
      </c>
      <c r="DH300" s="83">
        <f>IF($DG300=1,SUMIFS($DF$8:$DF$1600,$F$8:$F$1600,$F300),0)</f>
        <v/>
      </c>
      <c r="DI300" s="78">
        <f>IF($DG300=1,COUNTIFS($F$8:$F$1600,$F300,$DE$8:$DE$1600,1),0)</f>
        <v/>
      </c>
      <c r="DJ300" s="84">
        <f>IF($DG300=1,$DH300+(100000-ROW())/mTieBreak,0)</f>
        <v/>
      </c>
    </row>
    <row r="301">
      <c r="B301" s="68" t="n">
        <v>18</v>
      </c>
      <c r="C301" s="69" t="inlineStr">
        <is>
          <t>GS217GS8</t>
        </is>
      </c>
      <c r="D301" s="69" t="inlineStr">
        <is>
          <t>18.000</t>
        </is>
      </c>
      <c r="E301" s="69" t="inlineStr">
        <is>
          <t>Space Mart Pennsylvania Portfolio</t>
        </is>
      </c>
      <c r="F301" s="69" t="inlineStr">
        <is>
          <t>LNGS217GS8-18.000</t>
        </is>
      </c>
      <c r="G301" s="70" t="n"/>
      <c r="H301" s="71" t="n">
        <v>20650000</v>
      </c>
      <c r="I301" s="71" t="n">
        <v>19370057.58999955</v>
      </c>
      <c r="J301" s="72" t="n">
        <v>4.621</v>
      </c>
      <c r="K301" s="69" t="inlineStr">
        <is>
          <t>Fixed rate</t>
        </is>
      </c>
      <c r="L301" s="68" t="n">
        <v>120</v>
      </c>
      <c r="M301" s="68" t="n">
        <v>14</v>
      </c>
      <c r="N301" s="68" t="n">
        <v>420</v>
      </c>
      <c r="O301" s="68" t="n">
        <v>60</v>
      </c>
      <c r="P301" s="68" t="n">
        <v>0</v>
      </c>
      <c r="Q301" s="68" t="n">
        <v>106</v>
      </c>
      <c r="R301" s="69" t="inlineStr">
        <is>
          <t>IO then Amort</t>
        </is>
      </c>
      <c r="S301" s="69" t="inlineStr">
        <is>
          <t>No</t>
        </is>
      </c>
      <c r="T301" s="73" t="n">
        <v>43040</v>
      </c>
      <c r="U301" s="73" t="n">
        <v>46697</v>
      </c>
      <c r="V301" s="73" t="n"/>
      <c r="W301" s="69" t="n"/>
      <c r="X301" s="69" t="inlineStr">
        <is>
          <t>Current</t>
        </is>
      </c>
      <c r="Y301" s="68" t="n"/>
      <c r="Z301" s="69" t="inlineStr">
        <is>
          <t>No Defeasance Occurred</t>
        </is>
      </c>
      <c r="AA301" s="69" t="inlineStr">
        <is>
          <t>Previously</t>
        </is>
      </c>
      <c r="AB301" s="69" t="inlineStr">
        <is>
          <t>Never special serv</t>
        </is>
      </c>
      <c r="AC301" s="73" t="n"/>
      <c r="AD301" s="69" t="n"/>
      <c r="AE301" s="69" t="n"/>
      <c r="AF301" s="69" t="inlineStr">
        <is>
          <t>PA</t>
        </is>
      </c>
      <c r="AG301" s="69" t="n"/>
      <c r="AH301" s="69" t="inlineStr">
        <is>
          <t>State College, PA-39.486070005% Harrisburg-Carlisle, PA-31.378929989% Philadelphia-Camden-Wilmington, PA-NJ-DE-MD-29.135000006%</t>
        </is>
      </c>
      <c r="AI301" s="69" t="inlineStr">
        <is>
          <t>Northeast / Mid-Atlantic</t>
        </is>
      </c>
      <c r="AJ301" s="69" t="inlineStr">
        <is>
          <t>SS</t>
        </is>
      </c>
      <c r="AK301" s="69" t="n"/>
      <c r="AL301" s="68" t="n">
        <v>3</v>
      </c>
      <c r="AM301" s="68" t="n"/>
      <c r="AN301" s="68" t="n">
        <v>215382</v>
      </c>
      <c r="AO301" s="69" t="n"/>
      <c r="AP301" s="70" t="n">
        <v>2006</v>
      </c>
      <c r="AQ301" s="74" t="n">
        <v>1.38</v>
      </c>
      <c r="AR301" s="74" t="n">
        <v>1.99</v>
      </c>
      <c r="AS301" s="74" t="n">
        <v>74.73999999999999</v>
      </c>
      <c r="AT301" s="74" t="n">
        <v>64.73999999999999</v>
      </c>
      <c r="AU301" s="74" t="n">
        <v>68.52</v>
      </c>
      <c r="AV301" s="74" t="n">
        <v>8.531363099</v>
      </c>
      <c r="AW301" s="74" t="n">
        <v>13.763617055</v>
      </c>
      <c r="AX301" s="75" t="n">
        <v>97</v>
      </c>
      <c r="AY301" s="71" t="n">
        <v>27630000</v>
      </c>
      <c r="AZ301" s="71" t="n">
        <v>29920000</v>
      </c>
      <c r="BA301" s="71" t="n">
        <v>1761726.48</v>
      </c>
      <c r="BB301" s="71" t="n">
        <v>1265286.77</v>
      </c>
      <c r="BC301" s="69" t="inlineStr">
        <is>
          <t>Refinance</t>
        </is>
      </c>
      <c r="BD301" s="69" t="inlineStr">
        <is>
          <t>N</t>
        </is>
      </c>
      <c r="BE301" s="71" t="n"/>
      <c r="BF301" s="71" t="n"/>
      <c r="BG301" s="71" t="n"/>
      <c r="BH301" s="71" t="n">
        <v>0</v>
      </c>
      <c r="BI301" s="71" t="n">
        <v>0</v>
      </c>
      <c r="BJ301" s="69" t="inlineStr">
        <is>
          <t>N</t>
        </is>
      </c>
      <c r="BK301" s="69" t="n"/>
      <c r="BL301" s="75" t="n"/>
      <c r="BM301" s="73" t="n"/>
      <c r="BN301" s="69" t="inlineStr">
        <is>
          <t>Jeffrey A. Grubb, David N. Hill, Robert E. Poole, Jr. and BDR Properties, Inc.</t>
        </is>
      </c>
      <c r="BO301" s="69" t="inlineStr">
        <is>
          <t>Goldman Sachs</t>
        </is>
      </c>
      <c r="BP301" s="69" t="inlineStr">
        <is>
          <t>TriMont Real Estate Advisors</t>
        </is>
      </c>
      <c r="BQ301" s="69" t="inlineStr">
        <is>
          <t>K-Star Asset Management LLC</t>
        </is>
      </c>
      <c r="BR301" s="69" t="n"/>
      <c r="BS301" s="73" t="n">
        <v>46273</v>
      </c>
      <c r="BU301" s="76">
        <f>IF($C301="","",IFERROR(INDEX(dmName,MATCH($C301,dmID,0)),"Unmapped"))</f>
        <v/>
      </c>
      <c r="BV301" s="76">
        <f>IF($C301="","",IFERROR(INDEX(dmEntity,MATCH($C301,dmID,0)),"Unmapped"))</f>
        <v/>
      </c>
      <c r="BW301" s="77">
        <f>IF($C301="","",IFERROR(INDEX(dmVintage,MATCH($C301,dmID,0)),""))</f>
        <v/>
      </c>
      <c r="BX301" s="78">
        <f>IFERROR(INDEX(dmInclude,MATCH($C301,dmID,0)),0)</f>
        <v/>
      </c>
      <c r="BY301" s="78">
        <f>IF(N($I301)&gt;0,1,0)</f>
        <v/>
      </c>
      <c r="BZ301" s="76">
        <f>IF($AJ301="","Other / Leased Fee",IFERROR(INDEX(mapPTGroup,MATCH(LEFT(TRIM($AJ301),2),mapPTCode,0)),"Other / Leased Fee"))</f>
        <v/>
      </c>
      <c r="CA301" s="76">
        <f>IF(TRIM($AF301&amp;"")="","NR",LEFT(TRIM($AF301),2))</f>
        <v/>
      </c>
      <c r="CB301" s="76">
        <f>IFERROR(LOOKUP(2,1/(LEFT(TRIM($AI301&amp;""),LEN(mapRegion))=mapRegion),mapRegion),"Not Reported")</f>
        <v/>
      </c>
      <c r="CC301" s="76">
        <f>IF($BY301=0,"",IF(TRIM($W301&amp;"")="REO","REO",IF(TRIM($W301&amp;"")="FC","Foreclosure",IF(TRIM($W301&amp;"")="90+","90+ Days Delinquent",IF(TRIM($W301&amp;"")="60","60 Days Delinquent",IF(TRIM($W301&amp;"")="30","30 Days Delinquent",IF($X301="Non-Performing Matured Balloon","Non-Performing Matured Balloon",IF(OR($X301="Late Payment But Less Than 30 Days Delinquent",LEFT($X301&amp;"",20)="Payment Not Received"),"Late / In Grace (&lt;30 Days)",IF($X301="Performing Matured Balloon","Performing Matured Balloon","Current")))))))))</f>
        <v/>
      </c>
      <c r="CD301" s="78">
        <f>IF(OR($CC301="REO",$CC301="Foreclosure",$CC301="90+ Days Delinquent",$CC301="60 Days Delinquent",$CC301="30 Days Delinquent",$CC301="Non-Performing Matured Balloon"),1,0)</f>
        <v/>
      </c>
      <c r="CE301" s="76">
        <f>IF($AB301="Currently special serv","Currently Specially Serviced",IF($AB301="Returned to master serv","Previously Specially Serviced","Never Specially Serviced"))</f>
        <v/>
      </c>
      <c r="CF301" s="78">
        <f>IF($CE301="Currently Specially Serviced",1,0)</f>
        <v/>
      </c>
      <c r="CG301" s="76">
        <f>IF($AA301="Yes","Currently on Watchlist",IF($AA301="Previously","Previously on Watchlist","Never on Watchlist"))</f>
        <v/>
      </c>
      <c r="CH301" s="78">
        <f>IF($CG301="Currently on Watchlist",1,0)</f>
        <v/>
      </c>
      <c r="CI301" s="76">
        <f>IF($Z301="Full Defeasance","Fully Defeased",IF($Z301="Portion Of Loan Previously Defeased","Partially Defeased",IF($Z301="Defeasance Not Allowable","Not Defeased (Not Permitted)","Not Defeased")))</f>
        <v/>
      </c>
      <c r="CJ301" s="78">
        <f>IF($CI301="Fully Defeased",1,0)</f>
        <v/>
      </c>
      <c r="CK301" s="76">
        <f>IF($R301="IO","Full IO",IF(LEFT($R301&amp;"",7)="IO then","Partial IO","Amortizing"))</f>
        <v/>
      </c>
      <c r="CL301" s="78">
        <f>IF($CK301="Full IO",1,0)</f>
        <v/>
      </c>
      <c r="CM301" s="78">
        <f>IF($CK301="Partial IO",1,0)</f>
        <v/>
      </c>
      <c r="CN301" s="76">
        <f>IF(LEFT($F301&amp;"",10)="SPLIT_LOAN","Pari Passu Split","Standalone")</f>
        <v/>
      </c>
      <c r="CO301" s="78">
        <f>IF($CN301="Pari Passu Split",1,0)</f>
        <v/>
      </c>
      <c r="CP301" s="77">
        <f>IF(ISNUMBER($T301),YEAR($T301),"")</f>
        <v/>
      </c>
      <c r="CQ301" s="79">
        <f>IF(ISNUMBER($V301),$V301,IF(ISNUMBER($U301),$U301,""))</f>
        <v/>
      </c>
      <c r="CR301" s="77">
        <f>IF(ISNUMBER($CQ301),YEAR($CQ301),"")</f>
        <v/>
      </c>
      <c r="CS301" s="78">
        <f>IF(ISNUMBER($M301),MAX(0,$M301),IF(TRIM($M301&amp;"")="matured",0,""))</f>
        <v/>
      </c>
      <c r="CT301" s="78">
        <f>IF(AND(ISNUMBER($CS301),N($CS301)&lt;=mMatWindow),1,0)</f>
        <v/>
      </c>
      <c r="CU301" s="80">
        <f>IF(ISNUMBER($J301),$J301/100,"")</f>
        <v/>
      </c>
      <c r="CV301" s="81">
        <f>IF(ISNUMBER($AQ301),$AQ301,"")</f>
        <v/>
      </c>
      <c r="CW301" s="81">
        <f>IF(ISNUMBER($AR301),$AR301,"")</f>
        <v/>
      </c>
      <c r="CX301" s="82">
        <f>IF(ISNUMBER($AS301),$AS301/100,"")</f>
        <v/>
      </c>
      <c r="CY301" s="82">
        <f>IF(ISNUMBER($AT301),$AT301/100,"")</f>
        <v/>
      </c>
      <c r="CZ301" s="82">
        <f>IF(ISNUMBER($AU301),$AU301/100,"")</f>
        <v/>
      </c>
      <c r="DA301" s="82">
        <f>IF(ISNUMBER($AV301),$AV301/100,"")</f>
        <v/>
      </c>
      <c r="DB301" s="82">
        <f>IF(ISNUMBER($AW301),$AW301/100,"")</f>
        <v/>
      </c>
      <c r="DC301" s="82">
        <f>IF(ISNUMBER($AX301),$AX301/100,"")</f>
        <v/>
      </c>
      <c r="DD301" s="77">
        <f>IFERROR(VALUE(LEFT(TRIM($AO301&amp;""),4)),"")</f>
        <v/>
      </c>
      <c r="DE301" s="78">
        <f>IF(AND($BY301=1,$BX301=1,OR(fDeal="All Deals",$BU301=fDeal),OR(fEntity="All Entities",$BV301=fEntity),OR(fPType="All Property Types",$BZ301=fPType),OR(fDefeased="Include",$CJ301=0)),1,0)</f>
        <v/>
      </c>
      <c r="DF301" s="83">
        <f>$DE301*N($I301)</f>
        <v/>
      </c>
      <c r="DG301" s="78">
        <f>IF($DE301=1,IF(COUNTIFS($F$8:$F301,$F301,$DE$8:$DE301,1)=1,1,0),0)</f>
        <v/>
      </c>
      <c r="DH301" s="83">
        <f>IF($DG301=1,SUMIFS($DF$8:$DF$1600,$F$8:$F$1600,$F301),0)</f>
        <v/>
      </c>
      <c r="DI301" s="78">
        <f>IF($DG301=1,COUNTIFS($F$8:$F$1600,$F301,$DE$8:$DE$1600,1),0)</f>
        <v/>
      </c>
      <c r="DJ301" s="84">
        <f>IF($DG301=1,$DH301+(100000-ROW())/mTieBreak,0)</f>
        <v/>
      </c>
    </row>
    <row r="302">
      <c r="B302" s="68" t="n">
        <v>19</v>
      </c>
      <c r="C302" s="69" t="inlineStr">
        <is>
          <t>GS217GS8</t>
        </is>
      </c>
      <c r="D302" s="69" t="inlineStr">
        <is>
          <t>19.000</t>
        </is>
      </c>
      <c r="E302" s="69" t="inlineStr">
        <is>
          <t>Shops at Boardman</t>
        </is>
      </c>
      <c r="F302" s="69" t="inlineStr">
        <is>
          <t>SPLIT_LOAN_01064</t>
        </is>
      </c>
      <c r="G302" s="70" t="n">
        <v>1064</v>
      </c>
      <c r="H302" s="71" t="n">
        <v>19600000</v>
      </c>
      <c r="I302" s="71" t="n">
        <v>17130720.0299956</v>
      </c>
      <c r="J302" s="72" t="n">
        <v>4.6805</v>
      </c>
      <c r="K302" s="69" t="inlineStr">
        <is>
          <t>Fixed rate</t>
        </is>
      </c>
      <c r="L302" s="68" t="n">
        <v>120</v>
      </c>
      <c r="M302" s="68" t="n">
        <v>9</v>
      </c>
      <c r="N302" s="68" t="n">
        <v>384</v>
      </c>
      <c r="O302" s="68" t="n">
        <v>24</v>
      </c>
      <c r="P302" s="68" t="n">
        <v>0</v>
      </c>
      <c r="Q302" s="68" t="n">
        <v>111</v>
      </c>
      <c r="R302" s="69" t="inlineStr">
        <is>
          <t>IO then Amort</t>
        </is>
      </c>
      <c r="S302" s="69" t="inlineStr">
        <is>
          <t>No</t>
        </is>
      </c>
      <c r="T302" s="73" t="n">
        <v>42887</v>
      </c>
      <c r="U302" s="73" t="n">
        <v>46544</v>
      </c>
      <c r="V302" s="73" t="n"/>
      <c r="W302" s="69" t="n"/>
      <c r="X302" s="69" t="inlineStr">
        <is>
          <t>Current</t>
        </is>
      </c>
      <c r="Y302" s="68" t="n"/>
      <c r="Z302" s="69" t="inlineStr">
        <is>
          <t>No Defeasance Occurred</t>
        </is>
      </c>
      <c r="AA302" s="69" t="inlineStr">
        <is>
          <t>Previously</t>
        </is>
      </c>
      <c r="AB302" s="69" t="inlineStr">
        <is>
          <t>Never special serv</t>
        </is>
      </c>
      <c r="AC302" s="73" t="n"/>
      <c r="AD302" s="69" t="n"/>
      <c r="AE302" s="69" t="n"/>
      <c r="AF302" s="69" t="inlineStr">
        <is>
          <t>OH</t>
        </is>
      </c>
      <c r="AG302" s="69" t="inlineStr">
        <is>
          <t>Boardman</t>
        </is>
      </c>
      <c r="AH302" s="69" t="inlineStr">
        <is>
          <t>Youngstown-Warren, OH</t>
        </is>
      </c>
      <c r="AI302" s="69" t="inlineStr">
        <is>
          <t>Midwest / Central East</t>
        </is>
      </c>
      <c r="AJ302" s="69" t="inlineStr">
        <is>
          <t>RT</t>
        </is>
      </c>
      <c r="AK302" s="69" t="inlineStr">
        <is>
          <t>Anchored</t>
        </is>
      </c>
      <c r="AL302" s="68" t="n">
        <v>1</v>
      </c>
      <c r="AM302" s="68" t="n"/>
      <c r="AN302" s="68" t="n">
        <v>315724</v>
      </c>
      <c r="AO302" s="69" t="inlineStr">
        <is>
          <t>1992</t>
        </is>
      </c>
      <c r="AP302" s="70" t="n">
        <v>1992</v>
      </c>
      <c r="AQ302" s="74" t="n">
        <v>1.38</v>
      </c>
      <c r="AR302" s="74" t="n">
        <v>1.44</v>
      </c>
      <c r="AS302" s="74" t="n">
        <v>75</v>
      </c>
      <c r="AT302" s="74" t="n">
        <v>65.55</v>
      </c>
      <c r="AU302" s="74" t="n">
        <v>63.05</v>
      </c>
      <c r="AV302" s="74" t="n">
        <v>8.545705211</v>
      </c>
      <c r="AW302" s="74" t="n">
        <v>10.206537331</v>
      </c>
      <c r="AX302" s="75" t="n">
        <v>100</v>
      </c>
      <c r="AY302" s="71" t="n">
        <v>56800000</v>
      </c>
      <c r="AZ302" s="71" t="n">
        <v>56800000</v>
      </c>
      <c r="BA302" s="71" t="n">
        <v>3640470.42</v>
      </c>
      <c r="BB302" s="71" t="n">
        <v>3800209.8</v>
      </c>
      <c r="BC302" s="69" t="inlineStr">
        <is>
          <t>Refinance</t>
        </is>
      </c>
      <c r="BD302" s="69" t="inlineStr">
        <is>
          <t>N</t>
        </is>
      </c>
      <c r="BE302" s="71" t="n">
        <v>20102375.55</v>
      </c>
      <c r="BF302" s="71" t="n"/>
      <c r="BG302" s="71" t="n"/>
      <c r="BH302" s="71" t="n">
        <v>0</v>
      </c>
      <c r="BI302" s="71" t="n">
        <v>0</v>
      </c>
      <c r="BJ302" s="69" t="inlineStr">
        <is>
          <t>N</t>
        </is>
      </c>
      <c r="BK302" s="69" t="inlineStr">
        <is>
          <t>TJ Maxx</t>
        </is>
      </c>
      <c r="BL302" s="75" t="n">
        <v>16.79</v>
      </c>
      <c r="BM302" s="73" t="n">
        <v>47391</v>
      </c>
      <c r="BN302" s="69" t="inlineStr">
        <is>
          <t>David L. Handel</t>
        </is>
      </c>
      <c r="BO302" s="69" t="inlineStr">
        <is>
          <t>Goldman Sachs</t>
        </is>
      </c>
      <c r="BP302" s="69" t="inlineStr">
        <is>
          <t>TriMont Real Estate Advisors</t>
        </is>
      </c>
      <c r="BQ302" s="69" t="inlineStr">
        <is>
          <t>Rialto Capital</t>
        </is>
      </c>
      <c r="BR302" s="69" t="n"/>
      <c r="BS302" s="73" t="n">
        <v>46273</v>
      </c>
      <c r="BU302" s="76">
        <f>IF($C302="","",IFERROR(INDEX(dmName,MATCH($C302,dmID,0)),"Unmapped"))</f>
        <v/>
      </c>
      <c r="BV302" s="76">
        <f>IF($C302="","",IFERROR(INDEX(dmEntity,MATCH($C302,dmID,0)),"Unmapped"))</f>
        <v/>
      </c>
      <c r="BW302" s="77">
        <f>IF($C302="","",IFERROR(INDEX(dmVintage,MATCH($C302,dmID,0)),""))</f>
        <v/>
      </c>
      <c r="BX302" s="78">
        <f>IFERROR(INDEX(dmInclude,MATCH($C302,dmID,0)),0)</f>
        <v/>
      </c>
      <c r="BY302" s="78">
        <f>IF(N($I302)&gt;0,1,0)</f>
        <v/>
      </c>
      <c r="BZ302" s="76">
        <f>IF($AJ302="","Other / Leased Fee",IFERROR(INDEX(mapPTGroup,MATCH(LEFT(TRIM($AJ302),2),mapPTCode,0)),"Other / Leased Fee"))</f>
        <v/>
      </c>
      <c r="CA302" s="76">
        <f>IF(TRIM($AF302&amp;"")="","NR",LEFT(TRIM($AF302),2))</f>
        <v/>
      </c>
      <c r="CB302" s="76">
        <f>IFERROR(LOOKUP(2,1/(LEFT(TRIM($AI302&amp;""),LEN(mapRegion))=mapRegion),mapRegion),"Not Reported")</f>
        <v/>
      </c>
      <c r="CC302" s="76">
        <f>IF($BY302=0,"",IF(TRIM($W302&amp;"")="REO","REO",IF(TRIM($W302&amp;"")="FC","Foreclosure",IF(TRIM($W302&amp;"")="90+","90+ Days Delinquent",IF(TRIM($W302&amp;"")="60","60 Days Delinquent",IF(TRIM($W302&amp;"")="30","30 Days Delinquent",IF($X302="Non-Performing Matured Balloon","Non-Performing Matured Balloon",IF(OR($X302="Late Payment But Less Than 30 Days Delinquent",LEFT($X302&amp;"",20)="Payment Not Received"),"Late / In Grace (&lt;30 Days)",IF($X302="Performing Matured Balloon","Performing Matured Balloon","Current")))))))))</f>
        <v/>
      </c>
      <c r="CD302" s="78">
        <f>IF(OR($CC302="REO",$CC302="Foreclosure",$CC302="90+ Days Delinquent",$CC302="60 Days Delinquent",$CC302="30 Days Delinquent",$CC302="Non-Performing Matured Balloon"),1,0)</f>
        <v/>
      </c>
      <c r="CE302" s="76">
        <f>IF($AB302="Currently special serv","Currently Specially Serviced",IF($AB302="Returned to master serv","Previously Specially Serviced","Never Specially Serviced"))</f>
        <v/>
      </c>
      <c r="CF302" s="78">
        <f>IF($CE302="Currently Specially Serviced",1,0)</f>
        <v/>
      </c>
      <c r="CG302" s="76">
        <f>IF($AA302="Yes","Currently on Watchlist",IF($AA302="Previously","Previously on Watchlist","Never on Watchlist"))</f>
        <v/>
      </c>
      <c r="CH302" s="78">
        <f>IF($CG302="Currently on Watchlist",1,0)</f>
        <v/>
      </c>
      <c r="CI302" s="76">
        <f>IF($Z302="Full Defeasance","Fully Defeased",IF($Z302="Portion Of Loan Previously Defeased","Partially Defeased",IF($Z302="Defeasance Not Allowable","Not Defeased (Not Permitted)","Not Defeased")))</f>
        <v/>
      </c>
      <c r="CJ302" s="78">
        <f>IF($CI302="Fully Defeased",1,0)</f>
        <v/>
      </c>
      <c r="CK302" s="76">
        <f>IF($R302="IO","Full IO",IF(LEFT($R302&amp;"",7)="IO then","Partial IO","Amortizing"))</f>
        <v/>
      </c>
      <c r="CL302" s="78">
        <f>IF($CK302="Full IO",1,0)</f>
        <v/>
      </c>
      <c r="CM302" s="78">
        <f>IF($CK302="Partial IO",1,0)</f>
        <v/>
      </c>
      <c r="CN302" s="76">
        <f>IF(LEFT($F302&amp;"",10)="SPLIT_LOAN","Pari Passu Split","Standalone")</f>
        <v/>
      </c>
      <c r="CO302" s="78">
        <f>IF($CN302="Pari Passu Split",1,0)</f>
        <v/>
      </c>
      <c r="CP302" s="77">
        <f>IF(ISNUMBER($T302),YEAR($T302),"")</f>
        <v/>
      </c>
      <c r="CQ302" s="79">
        <f>IF(ISNUMBER($V302),$V302,IF(ISNUMBER($U302),$U302,""))</f>
        <v/>
      </c>
      <c r="CR302" s="77">
        <f>IF(ISNUMBER($CQ302),YEAR($CQ302),"")</f>
        <v/>
      </c>
      <c r="CS302" s="78">
        <f>IF(ISNUMBER($M302),MAX(0,$M302),IF(TRIM($M302&amp;"")="matured",0,""))</f>
        <v/>
      </c>
      <c r="CT302" s="78">
        <f>IF(AND(ISNUMBER($CS302),N($CS302)&lt;=mMatWindow),1,0)</f>
        <v/>
      </c>
      <c r="CU302" s="80">
        <f>IF(ISNUMBER($J302),$J302/100,"")</f>
        <v/>
      </c>
      <c r="CV302" s="81">
        <f>IF(ISNUMBER($AQ302),$AQ302,"")</f>
        <v/>
      </c>
      <c r="CW302" s="81">
        <f>IF(ISNUMBER($AR302),$AR302,"")</f>
        <v/>
      </c>
      <c r="CX302" s="82">
        <f>IF(ISNUMBER($AS302),$AS302/100,"")</f>
        <v/>
      </c>
      <c r="CY302" s="82">
        <f>IF(ISNUMBER($AT302),$AT302/100,"")</f>
        <v/>
      </c>
      <c r="CZ302" s="82">
        <f>IF(ISNUMBER($AU302),$AU302/100,"")</f>
        <v/>
      </c>
      <c r="DA302" s="82">
        <f>IF(ISNUMBER($AV302),$AV302/100,"")</f>
        <v/>
      </c>
      <c r="DB302" s="82">
        <f>IF(ISNUMBER($AW302),$AW302/100,"")</f>
        <v/>
      </c>
      <c r="DC302" s="82">
        <f>IF(ISNUMBER($AX302),$AX302/100,"")</f>
        <v/>
      </c>
      <c r="DD302" s="77">
        <f>IFERROR(VALUE(LEFT(TRIM($AO302&amp;""),4)),"")</f>
        <v/>
      </c>
      <c r="DE302" s="78">
        <f>IF(AND($BY302=1,$BX302=1,OR(fDeal="All Deals",$BU302=fDeal),OR(fEntity="All Entities",$BV302=fEntity),OR(fPType="All Property Types",$BZ302=fPType),OR(fDefeased="Include",$CJ302=0)),1,0)</f>
        <v/>
      </c>
      <c r="DF302" s="83">
        <f>$DE302*N($I302)</f>
        <v/>
      </c>
      <c r="DG302" s="78">
        <f>IF($DE302=1,IF(COUNTIFS($F$8:$F302,$F302,$DE$8:$DE302,1)=1,1,0),0)</f>
        <v/>
      </c>
      <c r="DH302" s="83">
        <f>IF($DG302=1,SUMIFS($DF$8:$DF$1600,$F$8:$F$1600,$F302),0)</f>
        <v/>
      </c>
      <c r="DI302" s="78">
        <f>IF($DG302=1,COUNTIFS($F$8:$F$1600,$F302,$DE$8:$DE$1600,1),0)</f>
        <v/>
      </c>
      <c r="DJ302" s="84">
        <f>IF($DG302=1,$DH302+(100000-ROW())/mTieBreak,0)</f>
        <v/>
      </c>
    </row>
    <row r="303">
      <c r="B303" s="68" t="n">
        <v>20</v>
      </c>
      <c r="C303" s="69" t="inlineStr">
        <is>
          <t>GS217GS8</t>
        </is>
      </c>
      <c r="D303" s="69" t="inlineStr">
        <is>
          <t>20.000</t>
        </is>
      </c>
      <c r="E303" s="69" t="inlineStr">
        <is>
          <t>Space Mart New Jersey Portfolio</t>
        </is>
      </c>
      <c r="F303" s="69" t="inlineStr">
        <is>
          <t>LNGS217GS8-20.000</t>
        </is>
      </c>
      <c r="G303" s="70" t="n"/>
      <c r="H303" s="71" t="n">
        <v>18700000</v>
      </c>
      <c r="I303" s="71" t="n">
        <v>17553457.1099943</v>
      </c>
      <c r="J303" s="72" t="n">
        <v>4.681</v>
      </c>
      <c r="K303" s="69" t="inlineStr">
        <is>
          <t>Fixed rate</t>
        </is>
      </c>
      <c r="L303" s="68" t="n">
        <v>120</v>
      </c>
      <c r="M303" s="68" t="n">
        <v>14</v>
      </c>
      <c r="N303" s="68" t="n">
        <v>420</v>
      </c>
      <c r="O303" s="68" t="n">
        <v>60</v>
      </c>
      <c r="P303" s="68" t="n">
        <v>0</v>
      </c>
      <c r="Q303" s="68" t="n">
        <v>106</v>
      </c>
      <c r="R303" s="69" t="inlineStr">
        <is>
          <t>IO then Amort</t>
        </is>
      </c>
      <c r="S303" s="69" t="inlineStr">
        <is>
          <t>No</t>
        </is>
      </c>
      <c r="T303" s="73" t="n">
        <v>43040</v>
      </c>
      <c r="U303" s="73" t="n">
        <v>46697</v>
      </c>
      <c r="V303" s="73" t="n"/>
      <c r="W303" s="69" t="n"/>
      <c r="X303" s="69" t="inlineStr">
        <is>
          <t>Current</t>
        </is>
      </c>
      <c r="Y303" s="68" t="n"/>
      <c r="Z303" s="69" t="inlineStr">
        <is>
          <t>No Defeasance Occurred</t>
        </is>
      </c>
      <c r="AA303" s="69" t="inlineStr">
        <is>
          <t>Previously</t>
        </is>
      </c>
      <c r="AB303" s="69" t="inlineStr">
        <is>
          <t>Never special serv</t>
        </is>
      </c>
      <c r="AC303" s="73" t="n"/>
      <c r="AD303" s="69" t="n"/>
      <c r="AE303" s="69" t="n"/>
      <c r="AF303" s="69" t="inlineStr">
        <is>
          <t>NJ-68.038350007% PA-31.961649993%</t>
        </is>
      </c>
      <c r="AG303" s="69" t="n"/>
      <c r="AH303" s="69" t="inlineStr">
        <is>
          <t>Philadelphia-Camden-Wilmington, PA-NJ-DE-MD</t>
        </is>
      </c>
      <c r="AI303" s="69" t="inlineStr">
        <is>
          <t>Northeast / Mid-Atlantic</t>
        </is>
      </c>
      <c r="AJ303" s="69" t="inlineStr">
        <is>
          <t>SS</t>
        </is>
      </c>
      <c r="AK303" s="69" t="n"/>
      <c r="AL303" s="68" t="n">
        <v>3</v>
      </c>
      <c r="AM303" s="68" t="n"/>
      <c r="AN303" s="68" t="n">
        <v>204100</v>
      </c>
      <c r="AO303" s="69" t="n"/>
      <c r="AP303" s="70" t="n">
        <v>2006</v>
      </c>
      <c r="AQ303" s="74" t="n">
        <v>1.26</v>
      </c>
      <c r="AR303" s="74" t="n">
        <v>2.03</v>
      </c>
      <c r="AS303" s="74" t="n">
        <v>74.70999999999999</v>
      </c>
      <c r="AT303" s="74" t="n">
        <v>64.51000000000001</v>
      </c>
      <c r="AU303" s="74" t="n">
        <v>68.56</v>
      </c>
      <c r="AV303" s="74" t="n">
        <v>7.850281711</v>
      </c>
      <c r="AW303" s="74" t="n">
        <v>13.542887735</v>
      </c>
      <c r="AX303" s="75" t="n">
        <v>94</v>
      </c>
      <c r="AY303" s="71" t="n">
        <v>25030000</v>
      </c>
      <c r="AZ303" s="71" t="n">
        <v>27210000</v>
      </c>
      <c r="BA303" s="71" t="n">
        <v>1468002.68</v>
      </c>
      <c r="BB303" s="71" t="n">
        <v>589884.01</v>
      </c>
      <c r="BC303" s="69" t="inlineStr">
        <is>
          <t>Refinance</t>
        </is>
      </c>
      <c r="BD303" s="69" t="inlineStr">
        <is>
          <t>N</t>
        </is>
      </c>
      <c r="BE303" s="71" t="n"/>
      <c r="BF303" s="71" t="n"/>
      <c r="BG303" s="71" t="n"/>
      <c r="BH303" s="71" t="n">
        <v>0</v>
      </c>
      <c r="BI303" s="71" t="n">
        <v>0</v>
      </c>
      <c r="BJ303" s="69" t="inlineStr">
        <is>
          <t>N</t>
        </is>
      </c>
      <c r="BK303" s="69" t="n"/>
      <c r="BL303" s="75" t="n"/>
      <c r="BM303" s="73" t="n"/>
      <c r="BN303" s="69" t="inlineStr">
        <is>
          <t>Jeffrey A. Grubb, David N. Hill, Robert E. Poole, Jr. and BDR Properties, Inc.</t>
        </is>
      </c>
      <c r="BO303" s="69" t="inlineStr">
        <is>
          <t>Goldman Sachs</t>
        </is>
      </c>
      <c r="BP303" s="69" t="inlineStr">
        <is>
          <t>TriMont Real Estate Advisors</t>
        </is>
      </c>
      <c r="BQ303" s="69" t="inlineStr">
        <is>
          <t>K-Star Asset Management LLC</t>
        </is>
      </c>
      <c r="BR303" s="69" t="n"/>
      <c r="BS303" s="73" t="n">
        <v>46273</v>
      </c>
      <c r="BU303" s="76">
        <f>IF($C303="","",IFERROR(INDEX(dmName,MATCH($C303,dmID,0)),"Unmapped"))</f>
        <v/>
      </c>
      <c r="BV303" s="76">
        <f>IF($C303="","",IFERROR(INDEX(dmEntity,MATCH($C303,dmID,0)),"Unmapped"))</f>
        <v/>
      </c>
      <c r="BW303" s="77">
        <f>IF($C303="","",IFERROR(INDEX(dmVintage,MATCH($C303,dmID,0)),""))</f>
        <v/>
      </c>
      <c r="BX303" s="78">
        <f>IFERROR(INDEX(dmInclude,MATCH($C303,dmID,0)),0)</f>
        <v/>
      </c>
      <c r="BY303" s="78">
        <f>IF(N($I303)&gt;0,1,0)</f>
        <v/>
      </c>
      <c r="BZ303" s="76">
        <f>IF($AJ303="","Other / Leased Fee",IFERROR(INDEX(mapPTGroup,MATCH(LEFT(TRIM($AJ303),2),mapPTCode,0)),"Other / Leased Fee"))</f>
        <v/>
      </c>
      <c r="CA303" s="76">
        <f>IF(TRIM($AF303&amp;"")="","NR",LEFT(TRIM($AF303),2))</f>
        <v/>
      </c>
      <c r="CB303" s="76">
        <f>IFERROR(LOOKUP(2,1/(LEFT(TRIM($AI303&amp;""),LEN(mapRegion))=mapRegion),mapRegion),"Not Reported")</f>
        <v/>
      </c>
      <c r="CC303" s="76">
        <f>IF($BY303=0,"",IF(TRIM($W303&amp;"")="REO","REO",IF(TRIM($W303&amp;"")="FC","Foreclosure",IF(TRIM($W303&amp;"")="90+","90+ Days Delinquent",IF(TRIM($W303&amp;"")="60","60 Days Delinquent",IF(TRIM($W303&amp;"")="30","30 Days Delinquent",IF($X303="Non-Performing Matured Balloon","Non-Performing Matured Balloon",IF(OR($X303="Late Payment But Less Than 30 Days Delinquent",LEFT($X303&amp;"",20)="Payment Not Received"),"Late / In Grace (&lt;30 Days)",IF($X303="Performing Matured Balloon","Performing Matured Balloon","Current")))))))))</f>
        <v/>
      </c>
      <c r="CD303" s="78">
        <f>IF(OR($CC303="REO",$CC303="Foreclosure",$CC303="90+ Days Delinquent",$CC303="60 Days Delinquent",$CC303="30 Days Delinquent",$CC303="Non-Performing Matured Balloon"),1,0)</f>
        <v/>
      </c>
      <c r="CE303" s="76">
        <f>IF($AB303="Currently special serv","Currently Specially Serviced",IF($AB303="Returned to master serv","Previously Specially Serviced","Never Specially Serviced"))</f>
        <v/>
      </c>
      <c r="CF303" s="78">
        <f>IF($CE303="Currently Specially Serviced",1,0)</f>
        <v/>
      </c>
      <c r="CG303" s="76">
        <f>IF($AA303="Yes","Currently on Watchlist",IF($AA303="Previously","Previously on Watchlist","Never on Watchlist"))</f>
        <v/>
      </c>
      <c r="CH303" s="78">
        <f>IF($CG303="Currently on Watchlist",1,0)</f>
        <v/>
      </c>
      <c r="CI303" s="76">
        <f>IF($Z303="Full Defeasance","Fully Defeased",IF($Z303="Portion Of Loan Previously Defeased","Partially Defeased",IF($Z303="Defeasance Not Allowable","Not Defeased (Not Permitted)","Not Defeased")))</f>
        <v/>
      </c>
      <c r="CJ303" s="78">
        <f>IF($CI303="Fully Defeased",1,0)</f>
        <v/>
      </c>
      <c r="CK303" s="76">
        <f>IF($R303="IO","Full IO",IF(LEFT($R303&amp;"",7)="IO then","Partial IO","Amortizing"))</f>
        <v/>
      </c>
      <c r="CL303" s="78">
        <f>IF($CK303="Full IO",1,0)</f>
        <v/>
      </c>
      <c r="CM303" s="78">
        <f>IF($CK303="Partial IO",1,0)</f>
        <v/>
      </c>
      <c r="CN303" s="76">
        <f>IF(LEFT($F303&amp;"",10)="SPLIT_LOAN","Pari Passu Split","Standalone")</f>
        <v/>
      </c>
      <c r="CO303" s="78">
        <f>IF($CN303="Pari Passu Split",1,0)</f>
        <v/>
      </c>
      <c r="CP303" s="77">
        <f>IF(ISNUMBER($T303),YEAR($T303),"")</f>
        <v/>
      </c>
      <c r="CQ303" s="79">
        <f>IF(ISNUMBER($V303),$V303,IF(ISNUMBER($U303),$U303,""))</f>
        <v/>
      </c>
      <c r="CR303" s="77">
        <f>IF(ISNUMBER($CQ303),YEAR($CQ303),"")</f>
        <v/>
      </c>
      <c r="CS303" s="78">
        <f>IF(ISNUMBER($M303),MAX(0,$M303),IF(TRIM($M303&amp;"")="matured",0,""))</f>
        <v/>
      </c>
      <c r="CT303" s="78">
        <f>IF(AND(ISNUMBER($CS303),N($CS303)&lt;=mMatWindow),1,0)</f>
        <v/>
      </c>
      <c r="CU303" s="80">
        <f>IF(ISNUMBER($J303),$J303/100,"")</f>
        <v/>
      </c>
      <c r="CV303" s="81">
        <f>IF(ISNUMBER($AQ303),$AQ303,"")</f>
        <v/>
      </c>
      <c r="CW303" s="81">
        <f>IF(ISNUMBER($AR303),$AR303,"")</f>
        <v/>
      </c>
      <c r="CX303" s="82">
        <f>IF(ISNUMBER($AS303),$AS303/100,"")</f>
        <v/>
      </c>
      <c r="CY303" s="82">
        <f>IF(ISNUMBER($AT303),$AT303/100,"")</f>
        <v/>
      </c>
      <c r="CZ303" s="82">
        <f>IF(ISNUMBER($AU303),$AU303/100,"")</f>
        <v/>
      </c>
      <c r="DA303" s="82">
        <f>IF(ISNUMBER($AV303),$AV303/100,"")</f>
        <v/>
      </c>
      <c r="DB303" s="82">
        <f>IF(ISNUMBER($AW303),$AW303/100,"")</f>
        <v/>
      </c>
      <c r="DC303" s="82">
        <f>IF(ISNUMBER($AX303),$AX303/100,"")</f>
        <v/>
      </c>
      <c r="DD303" s="77">
        <f>IFERROR(VALUE(LEFT(TRIM($AO303&amp;""),4)),"")</f>
        <v/>
      </c>
      <c r="DE303" s="78">
        <f>IF(AND($BY303=1,$BX303=1,OR(fDeal="All Deals",$BU303=fDeal),OR(fEntity="All Entities",$BV303=fEntity),OR(fPType="All Property Types",$BZ303=fPType),OR(fDefeased="Include",$CJ303=0)),1,0)</f>
        <v/>
      </c>
      <c r="DF303" s="83">
        <f>$DE303*N($I303)</f>
        <v/>
      </c>
      <c r="DG303" s="78">
        <f>IF($DE303=1,IF(COUNTIFS($F$8:$F303,$F303,$DE$8:$DE303,1)=1,1,0),0)</f>
        <v/>
      </c>
      <c r="DH303" s="83">
        <f>IF($DG303=1,SUMIFS($DF$8:$DF$1600,$F$8:$F$1600,$F303),0)</f>
        <v/>
      </c>
      <c r="DI303" s="78">
        <f>IF($DG303=1,COUNTIFS($F$8:$F$1600,$F303,$DE$8:$DE$1600,1),0)</f>
        <v/>
      </c>
      <c r="DJ303" s="84">
        <f>IF($DG303=1,$DH303+(100000-ROW())/mTieBreak,0)</f>
        <v/>
      </c>
    </row>
    <row r="304">
      <c r="B304" s="68" t="n">
        <v>21</v>
      </c>
      <c r="C304" s="69" t="inlineStr">
        <is>
          <t>GS217GS8</t>
        </is>
      </c>
      <c r="D304" s="69" t="inlineStr">
        <is>
          <t>21.000</t>
        </is>
      </c>
      <c r="E304" s="69" t="inlineStr">
        <is>
          <t>Colonia Verde</t>
        </is>
      </c>
      <c r="F304" s="69" t="inlineStr">
        <is>
          <t>LNGS217GS8-21.000</t>
        </is>
      </c>
      <c r="G304" s="70" t="n"/>
      <c r="H304" s="71" t="n">
        <v>17800000</v>
      </c>
      <c r="I304" s="71" t="n">
        <v>16436076.5400026</v>
      </c>
      <c r="J304" s="72" t="n">
        <v>4.872</v>
      </c>
      <c r="K304" s="69" t="inlineStr">
        <is>
          <t>Fixed rate</t>
        </is>
      </c>
      <c r="L304" s="68" t="n">
        <v>120</v>
      </c>
      <c r="M304" s="68" t="n">
        <v>14</v>
      </c>
      <c r="N304" s="68" t="n">
        <v>408</v>
      </c>
      <c r="O304" s="68" t="n">
        <v>48</v>
      </c>
      <c r="P304" s="68" t="n">
        <v>0</v>
      </c>
      <c r="Q304" s="68" t="n">
        <v>106</v>
      </c>
      <c r="R304" s="69" t="inlineStr">
        <is>
          <t>IO then Amort</t>
        </is>
      </c>
      <c r="S304" s="69" t="inlineStr">
        <is>
          <t>No</t>
        </is>
      </c>
      <c r="T304" s="73" t="n">
        <v>43040</v>
      </c>
      <c r="U304" s="73" t="n">
        <v>46697</v>
      </c>
      <c r="V304" s="73" t="n"/>
      <c r="W304" s="69" t="n"/>
      <c r="X304" s="69" t="inlineStr">
        <is>
          <t>Current</t>
        </is>
      </c>
      <c r="Y304" s="68" t="n"/>
      <c r="Z304" s="69" t="inlineStr">
        <is>
          <t>No Defeasance Occurred</t>
        </is>
      </c>
      <c r="AA304" s="69" t="n"/>
      <c r="AB304" s="69" t="inlineStr">
        <is>
          <t>Never special serv</t>
        </is>
      </c>
      <c r="AC304" s="73" t="n"/>
      <c r="AD304" s="69" t="n"/>
      <c r="AE304" s="69" t="n"/>
      <c r="AF304" s="69" t="inlineStr">
        <is>
          <t>AZ</t>
        </is>
      </c>
      <c r="AG304" s="69" t="inlineStr">
        <is>
          <t>Tucson</t>
        </is>
      </c>
      <c r="AH304" s="69" t="inlineStr">
        <is>
          <t>Tucson, AZ</t>
        </is>
      </c>
      <c r="AI304" s="69" t="inlineStr">
        <is>
          <t>West / Mountain</t>
        </is>
      </c>
      <c r="AJ304" s="69" t="inlineStr">
        <is>
          <t>RT</t>
        </is>
      </c>
      <c r="AK304" s="69" t="inlineStr">
        <is>
          <t>Anchored</t>
        </is>
      </c>
      <c r="AL304" s="68" t="n">
        <v>1</v>
      </c>
      <c r="AM304" s="68" t="n"/>
      <c r="AN304" s="68" t="n">
        <v>98937</v>
      </c>
      <c r="AO304" s="69" t="inlineStr">
        <is>
          <t>1974</t>
        </is>
      </c>
      <c r="AP304" s="70" t="n">
        <v>1993</v>
      </c>
      <c r="AQ304" s="74" t="n">
        <v>1.24</v>
      </c>
      <c r="AR304" s="74" t="n">
        <v>1.21</v>
      </c>
      <c r="AS304" s="74" t="n">
        <v>72.65000000000001</v>
      </c>
      <c r="AT304" s="74" t="n">
        <v>67.09</v>
      </c>
      <c r="AU304" s="74" t="n">
        <v>65.53</v>
      </c>
      <c r="AV304" s="74" t="n">
        <v>7.863658652</v>
      </c>
      <c r="AW304" s="74" t="n">
        <v>8.077992499</v>
      </c>
      <c r="AX304" s="75" t="n">
        <v>98</v>
      </c>
      <c r="AY304" s="71" t="n">
        <v>24500000</v>
      </c>
      <c r="AZ304" s="71" t="n">
        <v>24500000</v>
      </c>
      <c r="BA304" s="71" t="n">
        <v>1399731.24</v>
      </c>
      <c r="BB304" s="71" t="n">
        <v>684812.3100000001</v>
      </c>
      <c r="BC304" s="69" t="inlineStr">
        <is>
          <t>Acquisition</t>
        </is>
      </c>
      <c r="BD304" s="69" t="inlineStr">
        <is>
          <t>N</t>
        </is>
      </c>
      <c r="BE304" s="71" t="n"/>
      <c r="BF304" s="71" t="n"/>
      <c r="BG304" s="71" t="n"/>
      <c r="BH304" s="71" t="n">
        <v>0</v>
      </c>
      <c r="BI304" s="71" t="n">
        <v>0</v>
      </c>
      <c r="BJ304" s="69" t="inlineStr">
        <is>
          <t>N</t>
        </is>
      </c>
      <c r="BK304" s="69" t="inlineStr">
        <is>
          <t>Safeway</t>
        </is>
      </c>
      <c r="BL304" s="75" t="n">
        <v>36.58</v>
      </c>
      <c r="BM304" s="73" t="n">
        <v>48395</v>
      </c>
      <c r="BN304" s="69" t="inlineStr">
        <is>
          <t>Ronald O. Keil</t>
        </is>
      </c>
      <c r="BO304" s="69" t="inlineStr">
        <is>
          <t>Goldman Sachs</t>
        </is>
      </c>
      <c r="BP304" s="69" t="inlineStr">
        <is>
          <t>TriMont Real Estate Advisors</t>
        </is>
      </c>
      <c r="BQ304" s="69" t="inlineStr">
        <is>
          <t>K-Star Asset Management LLC</t>
        </is>
      </c>
      <c r="BR304" s="69" t="n"/>
      <c r="BS304" s="73" t="n">
        <v>46273</v>
      </c>
      <c r="BU304" s="76">
        <f>IF($C304="","",IFERROR(INDEX(dmName,MATCH($C304,dmID,0)),"Unmapped"))</f>
        <v/>
      </c>
      <c r="BV304" s="76">
        <f>IF($C304="","",IFERROR(INDEX(dmEntity,MATCH($C304,dmID,0)),"Unmapped"))</f>
        <v/>
      </c>
      <c r="BW304" s="77">
        <f>IF($C304="","",IFERROR(INDEX(dmVintage,MATCH($C304,dmID,0)),""))</f>
        <v/>
      </c>
      <c r="BX304" s="78">
        <f>IFERROR(INDEX(dmInclude,MATCH($C304,dmID,0)),0)</f>
        <v/>
      </c>
      <c r="BY304" s="78">
        <f>IF(N($I304)&gt;0,1,0)</f>
        <v/>
      </c>
      <c r="BZ304" s="76">
        <f>IF($AJ304="","Other / Leased Fee",IFERROR(INDEX(mapPTGroup,MATCH(LEFT(TRIM($AJ304),2),mapPTCode,0)),"Other / Leased Fee"))</f>
        <v/>
      </c>
      <c r="CA304" s="76">
        <f>IF(TRIM($AF304&amp;"")="","NR",LEFT(TRIM($AF304),2))</f>
        <v/>
      </c>
      <c r="CB304" s="76">
        <f>IFERROR(LOOKUP(2,1/(LEFT(TRIM($AI304&amp;""),LEN(mapRegion))=mapRegion),mapRegion),"Not Reported")</f>
        <v/>
      </c>
      <c r="CC304" s="76">
        <f>IF($BY304=0,"",IF(TRIM($W304&amp;"")="REO","REO",IF(TRIM($W304&amp;"")="FC","Foreclosure",IF(TRIM($W304&amp;"")="90+","90+ Days Delinquent",IF(TRIM($W304&amp;"")="60","60 Days Delinquent",IF(TRIM($W304&amp;"")="30","30 Days Delinquent",IF($X304="Non-Performing Matured Balloon","Non-Performing Matured Balloon",IF(OR($X304="Late Payment But Less Than 30 Days Delinquent",LEFT($X304&amp;"",20)="Payment Not Received"),"Late / In Grace (&lt;30 Days)",IF($X304="Performing Matured Balloon","Performing Matured Balloon","Current")))))))))</f>
        <v/>
      </c>
      <c r="CD304" s="78">
        <f>IF(OR($CC304="REO",$CC304="Foreclosure",$CC304="90+ Days Delinquent",$CC304="60 Days Delinquent",$CC304="30 Days Delinquent",$CC304="Non-Performing Matured Balloon"),1,0)</f>
        <v/>
      </c>
      <c r="CE304" s="76">
        <f>IF($AB304="Currently special serv","Currently Specially Serviced",IF($AB304="Returned to master serv","Previously Specially Serviced","Never Specially Serviced"))</f>
        <v/>
      </c>
      <c r="CF304" s="78">
        <f>IF($CE304="Currently Specially Serviced",1,0)</f>
        <v/>
      </c>
      <c r="CG304" s="76">
        <f>IF($AA304="Yes","Currently on Watchlist",IF($AA304="Previously","Previously on Watchlist","Never on Watchlist"))</f>
        <v/>
      </c>
      <c r="CH304" s="78">
        <f>IF($CG304="Currently on Watchlist",1,0)</f>
        <v/>
      </c>
      <c r="CI304" s="76">
        <f>IF($Z304="Full Defeasance","Fully Defeased",IF($Z304="Portion Of Loan Previously Defeased","Partially Defeased",IF($Z304="Defeasance Not Allowable","Not Defeased (Not Permitted)","Not Defeased")))</f>
        <v/>
      </c>
      <c r="CJ304" s="78">
        <f>IF($CI304="Fully Defeased",1,0)</f>
        <v/>
      </c>
      <c r="CK304" s="76">
        <f>IF($R304="IO","Full IO",IF(LEFT($R304&amp;"",7)="IO then","Partial IO","Amortizing"))</f>
        <v/>
      </c>
      <c r="CL304" s="78">
        <f>IF($CK304="Full IO",1,0)</f>
        <v/>
      </c>
      <c r="CM304" s="78">
        <f>IF($CK304="Partial IO",1,0)</f>
        <v/>
      </c>
      <c r="CN304" s="76">
        <f>IF(LEFT($F304&amp;"",10)="SPLIT_LOAN","Pari Passu Split","Standalone")</f>
        <v/>
      </c>
      <c r="CO304" s="78">
        <f>IF($CN304="Pari Passu Split",1,0)</f>
        <v/>
      </c>
      <c r="CP304" s="77">
        <f>IF(ISNUMBER($T304),YEAR($T304),"")</f>
        <v/>
      </c>
      <c r="CQ304" s="79">
        <f>IF(ISNUMBER($V304),$V304,IF(ISNUMBER($U304),$U304,""))</f>
        <v/>
      </c>
      <c r="CR304" s="77">
        <f>IF(ISNUMBER($CQ304),YEAR($CQ304),"")</f>
        <v/>
      </c>
      <c r="CS304" s="78">
        <f>IF(ISNUMBER($M304),MAX(0,$M304),IF(TRIM($M304&amp;"")="matured",0,""))</f>
        <v/>
      </c>
      <c r="CT304" s="78">
        <f>IF(AND(ISNUMBER($CS304),N($CS304)&lt;=mMatWindow),1,0)</f>
        <v/>
      </c>
      <c r="CU304" s="80">
        <f>IF(ISNUMBER($J304),$J304/100,"")</f>
        <v/>
      </c>
      <c r="CV304" s="81">
        <f>IF(ISNUMBER($AQ304),$AQ304,"")</f>
        <v/>
      </c>
      <c r="CW304" s="81">
        <f>IF(ISNUMBER($AR304),$AR304,"")</f>
        <v/>
      </c>
      <c r="CX304" s="82">
        <f>IF(ISNUMBER($AS304),$AS304/100,"")</f>
        <v/>
      </c>
      <c r="CY304" s="82">
        <f>IF(ISNUMBER($AT304),$AT304/100,"")</f>
        <v/>
      </c>
      <c r="CZ304" s="82">
        <f>IF(ISNUMBER($AU304),$AU304/100,"")</f>
        <v/>
      </c>
      <c r="DA304" s="82">
        <f>IF(ISNUMBER($AV304),$AV304/100,"")</f>
        <v/>
      </c>
      <c r="DB304" s="82">
        <f>IF(ISNUMBER($AW304),$AW304/100,"")</f>
        <v/>
      </c>
      <c r="DC304" s="82">
        <f>IF(ISNUMBER($AX304),$AX304/100,"")</f>
        <v/>
      </c>
      <c r="DD304" s="77">
        <f>IFERROR(VALUE(LEFT(TRIM($AO304&amp;""),4)),"")</f>
        <v/>
      </c>
      <c r="DE304" s="78">
        <f>IF(AND($BY304=1,$BX304=1,OR(fDeal="All Deals",$BU304=fDeal),OR(fEntity="All Entities",$BV304=fEntity),OR(fPType="All Property Types",$BZ304=fPType),OR(fDefeased="Include",$CJ304=0)),1,0)</f>
        <v/>
      </c>
      <c r="DF304" s="83">
        <f>$DE304*N($I304)</f>
        <v/>
      </c>
      <c r="DG304" s="78">
        <f>IF($DE304=1,IF(COUNTIFS($F$8:$F304,$F304,$DE$8:$DE304,1)=1,1,0),0)</f>
        <v/>
      </c>
      <c r="DH304" s="83">
        <f>IF($DG304=1,SUMIFS($DF$8:$DF$1600,$F$8:$F$1600,$F304),0)</f>
        <v/>
      </c>
      <c r="DI304" s="78">
        <f>IF($DG304=1,COUNTIFS($F$8:$F$1600,$F304,$DE$8:$DE$1600,1),0)</f>
        <v/>
      </c>
      <c r="DJ304" s="84">
        <f>IF($DG304=1,$DH304+(100000-ROW())/mTieBreak,0)</f>
        <v/>
      </c>
    </row>
    <row r="305">
      <c r="B305" s="68" t="n">
        <v>22</v>
      </c>
      <c r="C305" s="69" t="inlineStr">
        <is>
          <t>GS217GS8</t>
        </is>
      </c>
      <c r="D305" s="69" t="inlineStr">
        <is>
          <t>22.000</t>
        </is>
      </c>
      <c r="E305" s="69" t="inlineStr">
        <is>
          <t>1301 University Avenue</t>
        </is>
      </c>
      <c r="F305" s="69" t="inlineStr">
        <is>
          <t>LNGS217GS8-22.000</t>
        </is>
      </c>
      <c r="G305" s="70" t="n"/>
      <c r="H305" s="71" t="n">
        <v>16500000</v>
      </c>
      <c r="I305" s="71" t="n">
        <v>13889814.219996</v>
      </c>
      <c r="J305" s="72" t="n">
        <v>4.972</v>
      </c>
      <c r="K305" s="69" t="inlineStr">
        <is>
          <t>Fixed rate</t>
        </is>
      </c>
      <c r="L305" s="68" t="n">
        <v>120</v>
      </c>
      <c r="M305" s="68" t="n">
        <v>11</v>
      </c>
      <c r="N305" s="68" t="n">
        <v>360</v>
      </c>
      <c r="O305" s="68" t="n"/>
      <c r="P305" s="68" t="n"/>
      <c r="Q305" s="68" t="n">
        <v>109</v>
      </c>
      <c r="R305" s="69" t="n"/>
      <c r="S305" s="69" t="inlineStr">
        <is>
          <t>No</t>
        </is>
      </c>
      <c r="T305" s="73" t="n">
        <v>42948</v>
      </c>
      <c r="U305" s="73" t="n">
        <v>46605</v>
      </c>
      <c r="V305" s="73" t="n"/>
      <c r="W305" s="69" t="n"/>
      <c r="X305" s="69" t="inlineStr">
        <is>
          <t>Current</t>
        </is>
      </c>
      <c r="Y305" s="68" t="n"/>
      <c r="Z305" s="69" t="inlineStr">
        <is>
          <t>No Defeasance Occurred</t>
        </is>
      </c>
      <c r="AA305" s="69" t="n"/>
      <c r="AB305" s="69" t="inlineStr">
        <is>
          <t>Never special serv</t>
        </is>
      </c>
      <c r="AC305" s="73" t="n"/>
      <c r="AD305" s="69" t="n"/>
      <c r="AE305" s="69" t="n"/>
      <c r="AF305" s="69" t="inlineStr">
        <is>
          <t>MN</t>
        </is>
      </c>
      <c r="AG305" s="69" t="inlineStr">
        <is>
          <t>Minneapolis</t>
        </is>
      </c>
      <c r="AH305" s="69" t="inlineStr">
        <is>
          <t>Minneapolis-St. Paul-Bloomington, MN-WI</t>
        </is>
      </c>
      <c r="AI305" s="69" t="inlineStr">
        <is>
          <t>Midwest / Central West</t>
        </is>
      </c>
      <c r="AJ305" s="69" t="inlineStr">
        <is>
          <t>MF</t>
        </is>
      </c>
      <c r="AK305" s="69" t="inlineStr">
        <is>
          <t>Student</t>
        </is>
      </c>
      <c r="AL305" s="68" t="n">
        <v>1</v>
      </c>
      <c r="AM305" s="68" t="n">
        <v>92</v>
      </c>
      <c r="AN305" s="68" t="n"/>
      <c r="AO305" s="69" t="inlineStr">
        <is>
          <t>2005</t>
        </is>
      </c>
      <c r="AP305" s="70" t="n">
        <v>2005</v>
      </c>
      <c r="AQ305" s="74" t="n">
        <v>1.31</v>
      </c>
      <c r="AR305" s="74" t="n">
        <v>1.22</v>
      </c>
      <c r="AS305" s="74" t="n">
        <v>66.31</v>
      </c>
      <c r="AT305" s="74" t="n">
        <v>56.01</v>
      </c>
      <c r="AU305" s="74" t="n">
        <v>54.65</v>
      </c>
      <c r="AV305" s="74" t="n">
        <v>8.392828364</v>
      </c>
      <c r="AW305" s="74" t="n">
        <v>9.265955826000001</v>
      </c>
      <c r="AX305" s="75" t="n">
        <v>100</v>
      </c>
      <c r="AY305" s="71" t="n">
        <v>24800000</v>
      </c>
      <c r="AZ305" s="71" t="n">
        <v>24800000</v>
      </c>
      <c r="BA305" s="71" t="n">
        <v>1384816.68</v>
      </c>
      <c r="BB305" s="71" t="n">
        <v>646214.53</v>
      </c>
      <c r="BC305" s="69" t="inlineStr">
        <is>
          <t>Refinance</t>
        </is>
      </c>
      <c r="BD305" s="69" t="inlineStr">
        <is>
          <t>N</t>
        </is>
      </c>
      <c r="BE305" s="71" t="n"/>
      <c r="BF305" s="71" t="n"/>
      <c r="BG305" s="71" t="n"/>
      <c r="BH305" s="71" t="n">
        <v>0</v>
      </c>
      <c r="BI305" s="71" t="n">
        <v>0</v>
      </c>
      <c r="BJ305" s="69" t="inlineStr">
        <is>
          <t>N</t>
        </is>
      </c>
      <c r="BK305" s="69" t="n"/>
      <c r="BL305" s="75" t="n"/>
      <c r="BM305" s="73" t="n"/>
      <c r="BN305" s="69" t="inlineStr">
        <is>
          <t>Brett M. Naylor and Ardath K. Solsrud</t>
        </is>
      </c>
      <c r="BO305" s="69" t="inlineStr">
        <is>
          <t>Goldman Sachs</t>
        </is>
      </c>
      <c r="BP305" s="69" t="inlineStr">
        <is>
          <t>TriMont Real Estate Advisors</t>
        </is>
      </c>
      <c r="BQ305" s="69" t="inlineStr">
        <is>
          <t>K-Star Asset Management LLC</t>
        </is>
      </c>
      <c r="BR305" s="69" t="n"/>
      <c r="BS305" s="73" t="n">
        <v>46273</v>
      </c>
      <c r="BU305" s="76">
        <f>IF($C305="","",IFERROR(INDEX(dmName,MATCH($C305,dmID,0)),"Unmapped"))</f>
        <v/>
      </c>
      <c r="BV305" s="76">
        <f>IF($C305="","",IFERROR(INDEX(dmEntity,MATCH($C305,dmID,0)),"Unmapped"))</f>
        <v/>
      </c>
      <c r="BW305" s="77">
        <f>IF($C305="","",IFERROR(INDEX(dmVintage,MATCH($C305,dmID,0)),""))</f>
        <v/>
      </c>
      <c r="BX305" s="78">
        <f>IFERROR(INDEX(dmInclude,MATCH($C305,dmID,0)),0)</f>
        <v/>
      </c>
      <c r="BY305" s="78">
        <f>IF(N($I305)&gt;0,1,0)</f>
        <v/>
      </c>
      <c r="BZ305" s="76">
        <f>IF($AJ305="","Other / Leased Fee",IFERROR(INDEX(mapPTGroup,MATCH(LEFT(TRIM($AJ305),2),mapPTCode,0)),"Other / Leased Fee"))</f>
        <v/>
      </c>
      <c r="CA305" s="76">
        <f>IF(TRIM($AF305&amp;"")="","NR",LEFT(TRIM($AF305),2))</f>
        <v/>
      </c>
      <c r="CB305" s="76">
        <f>IFERROR(LOOKUP(2,1/(LEFT(TRIM($AI305&amp;""),LEN(mapRegion))=mapRegion),mapRegion),"Not Reported")</f>
        <v/>
      </c>
      <c r="CC305" s="76">
        <f>IF($BY305=0,"",IF(TRIM($W305&amp;"")="REO","REO",IF(TRIM($W305&amp;"")="FC","Foreclosure",IF(TRIM($W305&amp;"")="90+","90+ Days Delinquent",IF(TRIM($W305&amp;"")="60","60 Days Delinquent",IF(TRIM($W305&amp;"")="30","30 Days Delinquent",IF($X305="Non-Performing Matured Balloon","Non-Performing Matured Balloon",IF(OR($X305="Late Payment But Less Than 30 Days Delinquent",LEFT($X305&amp;"",20)="Payment Not Received"),"Late / In Grace (&lt;30 Days)",IF($X305="Performing Matured Balloon","Performing Matured Balloon","Current")))))))))</f>
        <v/>
      </c>
      <c r="CD305" s="78">
        <f>IF(OR($CC305="REO",$CC305="Foreclosure",$CC305="90+ Days Delinquent",$CC305="60 Days Delinquent",$CC305="30 Days Delinquent",$CC305="Non-Performing Matured Balloon"),1,0)</f>
        <v/>
      </c>
      <c r="CE305" s="76">
        <f>IF($AB305="Currently special serv","Currently Specially Serviced",IF($AB305="Returned to master serv","Previously Specially Serviced","Never Specially Serviced"))</f>
        <v/>
      </c>
      <c r="CF305" s="78">
        <f>IF($CE305="Currently Specially Serviced",1,0)</f>
        <v/>
      </c>
      <c r="CG305" s="76">
        <f>IF($AA305="Yes","Currently on Watchlist",IF($AA305="Previously","Previously on Watchlist","Never on Watchlist"))</f>
        <v/>
      </c>
      <c r="CH305" s="78">
        <f>IF($CG305="Currently on Watchlist",1,0)</f>
        <v/>
      </c>
      <c r="CI305" s="76">
        <f>IF($Z305="Full Defeasance","Fully Defeased",IF($Z305="Portion Of Loan Previously Defeased","Partially Defeased",IF($Z305="Defeasance Not Allowable","Not Defeased (Not Permitted)","Not Defeased")))</f>
        <v/>
      </c>
      <c r="CJ305" s="78">
        <f>IF($CI305="Fully Defeased",1,0)</f>
        <v/>
      </c>
      <c r="CK305" s="76">
        <f>IF($R305="IO","Full IO",IF(LEFT($R305&amp;"",7)="IO then","Partial IO","Amortizing"))</f>
        <v/>
      </c>
      <c r="CL305" s="78">
        <f>IF($CK305="Full IO",1,0)</f>
        <v/>
      </c>
      <c r="CM305" s="78">
        <f>IF($CK305="Partial IO",1,0)</f>
        <v/>
      </c>
      <c r="CN305" s="76">
        <f>IF(LEFT($F305&amp;"",10)="SPLIT_LOAN","Pari Passu Split","Standalone")</f>
        <v/>
      </c>
      <c r="CO305" s="78">
        <f>IF($CN305="Pari Passu Split",1,0)</f>
        <v/>
      </c>
      <c r="CP305" s="77">
        <f>IF(ISNUMBER($T305),YEAR($T305),"")</f>
        <v/>
      </c>
      <c r="CQ305" s="79">
        <f>IF(ISNUMBER($V305),$V305,IF(ISNUMBER($U305),$U305,""))</f>
        <v/>
      </c>
      <c r="CR305" s="77">
        <f>IF(ISNUMBER($CQ305),YEAR($CQ305),"")</f>
        <v/>
      </c>
      <c r="CS305" s="78">
        <f>IF(ISNUMBER($M305),MAX(0,$M305),IF(TRIM($M305&amp;"")="matured",0,""))</f>
        <v/>
      </c>
      <c r="CT305" s="78">
        <f>IF(AND(ISNUMBER($CS305),N($CS305)&lt;=mMatWindow),1,0)</f>
        <v/>
      </c>
      <c r="CU305" s="80">
        <f>IF(ISNUMBER($J305),$J305/100,"")</f>
        <v/>
      </c>
      <c r="CV305" s="81">
        <f>IF(ISNUMBER($AQ305),$AQ305,"")</f>
        <v/>
      </c>
      <c r="CW305" s="81">
        <f>IF(ISNUMBER($AR305),$AR305,"")</f>
        <v/>
      </c>
      <c r="CX305" s="82">
        <f>IF(ISNUMBER($AS305),$AS305/100,"")</f>
        <v/>
      </c>
      <c r="CY305" s="82">
        <f>IF(ISNUMBER($AT305),$AT305/100,"")</f>
        <v/>
      </c>
      <c r="CZ305" s="82">
        <f>IF(ISNUMBER($AU305),$AU305/100,"")</f>
        <v/>
      </c>
      <c r="DA305" s="82">
        <f>IF(ISNUMBER($AV305),$AV305/100,"")</f>
        <v/>
      </c>
      <c r="DB305" s="82">
        <f>IF(ISNUMBER($AW305),$AW305/100,"")</f>
        <v/>
      </c>
      <c r="DC305" s="82">
        <f>IF(ISNUMBER($AX305),$AX305/100,"")</f>
        <v/>
      </c>
      <c r="DD305" s="77">
        <f>IFERROR(VALUE(LEFT(TRIM($AO305&amp;""),4)),"")</f>
        <v/>
      </c>
      <c r="DE305" s="78">
        <f>IF(AND($BY305=1,$BX305=1,OR(fDeal="All Deals",$BU305=fDeal),OR(fEntity="All Entities",$BV305=fEntity),OR(fPType="All Property Types",$BZ305=fPType),OR(fDefeased="Include",$CJ305=0)),1,0)</f>
        <v/>
      </c>
      <c r="DF305" s="83">
        <f>$DE305*N($I305)</f>
        <v/>
      </c>
      <c r="DG305" s="78">
        <f>IF($DE305=1,IF(COUNTIFS($F$8:$F305,$F305,$DE$8:$DE305,1)=1,1,0),0)</f>
        <v/>
      </c>
      <c r="DH305" s="83">
        <f>IF($DG305=1,SUMIFS($DF$8:$DF$1600,$F$8:$F$1600,$F305),0)</f>
        <v/>
      </c>
      <c r="DI305" s="78">
        <f>IF($DG305=1,COUNTIFS($F$8:$F$1600,$F305,$DE$8:$DE$1600,1),0)</f>
        <v/>
      </c>
      <c r="DJ305" s="84">
        <f>IF($DG305=1,$DH305+(100000-ROW())/mTieBreak,0)</f>
        <v/>
      </c>
    </row>
    <row r="306">
      <c r="B306" s="68" t="n">
        <v>23</v>
      </c>
      <c r="C306" s="69" t="inlineStr">
        <is>
          <t>GS217GS8</t>
        </is>
      </c>
      <c r="D306" s="69" t="inlineStr">
        <is>
          <t>23.000</t>
        </is>
      </c>
      <c r="E306" s="69" t="inlineStr">
        <is>
          <t>Heritage Marketplace</t>
        </is>
      </c>
      <c r="F306" s="69" t="inlineStr">
        <is>
          <t>LNGS217GS8-23.000</t>
        </is>
      </c>
      <c r="G306" s="70" t="n"/>
      <c r="H306" s="71" t="n">
        <v>15750000</v>
      </c>
      <c r="I306" s="71" t="n">
        <v>14496789.32999325</v>
      </c>
      <c r="J306" s="72" t="n">
        <v>4.659</v>
      </c>
      <c r="K306" s="69" t="inlineStr">
        <is>
          <t>Fixed rate</t>
        </is>
      </c>
      <c r="L306" s="68" t="n">
        <v>120</v>
      </c>
      <c r="M306" s="68" t="n">
        <v>14</v>
      </c>
      <c r="N306" s="68" t="n">
        <v>408</v>
      </c>
      <c r="O306" s="68" t="n">
        <v>48</v>
      </c>
      <c r="P306" s="68" t="n">
        <v>0</v>
      </c>
      <c r="Q306" s="68" t="n">
        <v>106</v>
      </c>
      <c r="R306" s="69" t="inlineStr">
        <is>
          <t>IO then Amort</t>
        </is>
      </c>
      <c r="S306" s="69" t="inlineStr">
        <is>
          <t>No</t>
        </is>
      </c>
      <c r="T306" s="73" t="n">
        <v>43040</v>
      </c>
      <c r="U306" s="73" t="n">
        <v>46697</v>
      </c>
      <c r="V306" s="73" t="n"/>
      <c r="W306" s="69" t="n"/>
      <c r="X306" s="69" t="inlineStr">
        <is>
          <t>Current</t>
        </is>
      </c>
      <c r="Y306" s="68" t="n"/>
      <c r="Z306" s="69" t="inlineStr">
        <is>
          <t>No Defeasance Occurred</t>
        </is>
      </c>
      <c r="AA306" s="69" t="n"/>
      <c r="AB306" s="69" t="inlineStr">
        <is>
          <t>Never special serv</t>
        </is>
      </c>
      <c r="AC306" s="73" t="n"/>
      <c r="AD306" s="69" t="n"/>
      <c r="AE306" s="69" t="n"/>
      <c r="AF306" s="69" t="inlineStr">
        <is>
          <t>AZ</t>
        </is>
      </c>
      <c r="AG306" s="69" t="inlineStr">
        <is>
          <t>Gilbert</t>
        </is>
      </c>
      <c r="AH306" s="69" t="inlineStr">
        <is>
          <t>Phoenix-Mesa-Chandler, AZ</t>
        </is>
      </c>
      <c r="AI306" s="69" t="inlineStr">
        <is>
          <t>West / Mountain</t>
        </is>
      </c>
      <c r="AJ306" s="69" t="inlineStr">
        <is>
          <t>RT</t>
        </is>
      </c>
      <c r="AK306" s="69" t="inlineStr">
        <is>
          <t>Unanchored</t>
        </is>
      </c>
      <c r="AL306" s="68" t="n">
        <v>1</v>
      </c>
      <c r="AM306" s="68" t="n"/>
      <c r="AN306" s="68" t="n">
        <v>54533</v>
      </c>
      <c r="AO306" s="69" t="inlineStr">
        <is>
          <t>2014, 2016</t>
        </is>
      </c>
      <c r="AP306" s="70" t="n">
        <v>2016</v>
      </c>
      <c r="AQ306" s="74" t="n">
        <v>1.46</v>
      </c>
      <c r="AR306" s="74" t="n">
        <v>1.29</v>
      </c>
      <c r="AS306" s="74" t="n">
        <v>59.46</v>
      </c>
      <c r="AT306" s="74" t="n">
        <v>54.73</v>
      </c>
      <c r="AU306" s="74" t="n">
        <v>53.41</v>
      </c>
      <c r="AV306" s="74" t="n">
        <v>9.024992698</v>
      </c>
      <c r="AW306" s="74" t="n">
        <v>9.236013089</v>
      </c>
      <c r="AX306" s="75" t="n">
        <v>83</v>
      </c>
      <c r="AY306" s="71" t="n">
        <v>26490000</v>
      </c>
      <c r="AZ306" s="71" t="n">
        <v>26490000</v>
      </c>
      <c r="BA306" s="71" t="n">
        <v>1421436.35</v>
      </c>
      <c r="BB306" s="71" t="n">
        <v>314822.86</v>
      </c>
      <c r="BC306" s="69" t="inlineStr">
        <is>
          <t>Acquisition</t>
        </is>
      </c>
      <c r="BD306" s="69" t="inlineStr">
        <is>
          <t>N</t>
        </is>
      </c>
      <c r="BE306" s="71" t="n"/>
      <c r="BF306" s="71" t="n"/>
      <c r="BG306" s="71" t="n"/>
      <c r="BH306" s="71" t="n">
        <v>0</v>
      </c>
      <c r="BI306" s="71" t="n">
        <v>0</v>
      </c>
      <c r="BJ306" s="69" t="inlineStr">
        <is>
          <t>N</t>
        </is>
      </c>
      <c r="BK306" s="69" t="inlineStr">
        <is>
          <t>BQ Concepts  LLC</t>
        </is>
      </c>
      <c r="BL306" s="75" t="n">
        <v>8.25</v>
      </c>
      <c r="BM306" s="73" t="n">
        <v>47603</v>
      </c>
      <c r="BN306" s="69" t="inlineStr">
        <is>
          <t>Mathew Rosenblatt, John Berman, Eric J. Wichterman, Corrine R. Wichterman and Eric J. Wichterman and Corrine R. Wichterman, co-trustees of the Eric J. Wichterman and Corrine R. Wichterman Trust u/a/d June 3, 2008, 2007419 Ontario Inc. and 2007414 Ontario Inc.</t>
        </is>
      </c>
      <c r="BO306" s="69" t="inlineStr">
        <is>
          <t>Goldman Sachs</t>
        </is>
      </c>
      <c r="BP306" s="69" t="inlineStr">
        <is>
          <t>TriMont Real Estate Advisors</t>
        </is>
      </c>
      <c r="BQ306" s="69" t="inlineStr">
        <is>
          <t>K-Star Asset Management LLC</t>
        </is>
      </c>
      <c r="BR306" s="69" t="n"/>
      <c r="BS306" s="73" t="n">
        <v>46273</v>
      </c>
      <c r="BU306" s="76">
        <f>IF($C306="","",IFERROR(INDEX(dmName,MATCH($C306,dmID,0)),"Unmapped"))</f>
        <v/>
      </c>
      <c r="BV306" s="76">
        <f>IF($C306="","",IFERROR(INDEX(dmEntity,MATCH($C306,dmID,0)),"Unmapped"))</f>
        <v/>
      </c>
      <c r="BW306" s="77">
        <f>IF($C306="","",IFERROR(INDEX(dmVintage,MATCH($C306,dmID,0)),""))</f>
        <v/>
      </c>
      <c r="BX306" s="78">
        <f>IFERROR(INDEX(dmInclude,MATCH($C306,dmID,0)),0)</f>
        <v/>
      </c>
      <c r="BY306" s="78">
        <f>IF(N($I306)&gt;0,1,0)</f>
        <v/>
      </c>
      <c r="BZ306" s="76">
        <f>IF($AJ306="","Other / Leased Fee",IFERROR(INDEX(mapPTGroup,MATCH(LEFT(TRIM($AJ306),2),mapPTCode,0)),"Other / Leased Fee"))</f>
        <v/>
      </c>
      <c r="CA306" s="76">
        <f>IF(TRIM($AF306&amp;"")="","NR",LEFT(TRIM($AF306),2))</f>
        <v/>
      </c>
      <c r="CB306" s="76">
        <f>IFERROR(LOOKUP(2,1/(LEFT(TRIM($AI306&amp;""),LEN(mapRegion))=mapRegion),mapRegion),"Not Reported")</f>
        <v/>
      </c>
      <c r="CC306" s="76">
        <f>IF($BY306=0,"",IF(TRIM($W306&amp;"")="REO","REO",IF(TRIM($W306&amp;"")="FC","Foreclosure",IF(TRIM($W306&amp;"")="90+","90+ Days Delinquent",IF(TRIM($W306&amp;"")="60","60 Days Delinquent",IF(TRIM($W306&amp;"")="30","30 Days Delinquent",IF($X306="Non-Performing Matured Balloon","Non-Performing Matured Balloon",IF(OR($X306="Late Payment But Less Than 30 Days Delinquent",LEFT($X306&amp;"",20)="Payment Not Received"),"Late / In Grace (&lt;30 Days)",IF($X306="Performing Matured Balloon","Performing Matured Balloon","Current")))))))))</f>
        <v/>
      </c>
      <c r="CD306" s="78">
        <f>IF(OR($CC306="REO",$CC306="Foreclosure",$CC306="90+ Days Delinquent",$CC306="60 Days Delinquent",$CC306="30 Days Delinquent",$CC306="Non-Performing Matured Balloon"),1,0)</f>
        <v/>
      </c>
      <c r="CE306" s="76">
        <f>IF($AB306="Currently special serv","Currently Specially Serviced",IF($AB306="Returned to master serv","Previously Specially Serviced","Never Specially Serviced"))</f>
        <v/>
      </c>
      <c r="CF306" s="78">
        <f>IF($CE306="Currently Specially Serviced",1,0)</f>
        <v/>
      </c>
      <c r="CG306" s="76">
        <f>IF($AA306="Yes","Currently on Watchlist",IF($AA306="Previously","Previously on Watchlist","Never on Watchlist"))</f>
        <v/>
      </c>
      <c r="CH306" s="78">
        <f>IF($CG306="Currently on Watchlist",1,0)</f>
        <v/>
      </c>
      <c r="CI306" s="76">
        <f>IF($Z306="Full Defeasance","Fully Defeased",IF($Z306="Portion Of Loan Previously Defeased","Partially Defeased",IF($Z306="Defeasance Not Allowable","Not Defeased (Not Permitted)","Not Defeased")))</f>
        <v/>
      </c>
      <c r="CJ306" s="78">
        <f>IF($CI306="Fully Defeased",1,0)</f>
        <v/>
      </c>
      <c r="CK306" s="76">
        <f>IF($R306="IO","Full IO",IF(LEFT($R306&amp;"",7)="IO then","Partial IO","Amortizing"))</f>
        <v/>
      </c>
      <c r="CL306" s="78">
        <f>IF($CK306="Full IO",1,0)</f>
        <v/>
      </c>
      <c r="CM306" s="78">
        <f>IF($CK306="Partial IO",1,0)</f>
        <v/>
      </c>
      <c r="CN306" s="76">
        <f>IF(LEFT($F306&amp;"",10)="SPLIT_LOAN","Pari Passu Split","Standalone")</f>
        <v/>
      </c>
      <c r="CO306" s="78">
        <f>IF($CN306="Pari Passu Split",1,0)</f>
        <v/>
      </c>
      <c r="CP306" s="77">
        <f>IF(ISNUMBER($T306),YEAR($T306),"")</f>
        <v/>
      </c>
      <c r="CQ306" s="79">
        <f>IF(ISNUMBER($V306),$V306,IF(ISNUMBER($U306),$U306,""))</f>
        <v/>
      </c>
      <c r="CR306" s="77">
        <f>IF(ISNUMBER($CQ306),YEAR($CQ306),"")</f>
        <v/>
      </c>
      <c r="CS306" s="78">
        <f>IF(ISNUMBER($M306),MAX(0,$M306),IF(TRIM($M306&amp;"")="matured",0,""))</f>
        <v/>
      </c>
      <c r="CT306" s="78">
        <f>IF(AND(ISNUMBER($CS306),N($CS306)&lt;=mMatWindow),1,0)</f>
        <v/>
      </c>
      <c r="CU306" s="80">
        <f>IF(ISNUMBER($J306),$J306/100,"")</f>
        <v/>
      </c>
      <c r="CV306" s="81">
        <f>IF(ISNUMBER($AQ306),$AQ306,"")</f>
        <v/>
      </c>
      <c r="CW306" s="81">
        <f>IF(ISNUMBER($AR306),$AR306,"")</f>
        <v/>
      </c>
      <c r="CX306" s="82">
        <f>IF(ISNUMBER($AS306),$AS306/100,"")</f>
        <v/>
      </c>
      <c r="CY306" s="82">
        <f>IF(ISNUMBER($AT306),$AT306/100,"")</f>
        <v/>
      </c>
      <c r="CZ306" s="82">
        <f>IF(ISNUMBER($AU306),$AU306/100,"")</f>
        <v/>
      </c>
      <c r="DA306" s="82">
        <f>IF(ISNUMBER($AV306),$AV306/100,"")</f>
        <v/>
      </c>
      <c r="DB306" s="82">
        <f>IF(ISNUMBER($AW306),$AW306/100,"")</f>
        <v/>
      </c>
      <c r="DC306" s="82">
        <f>IF(ISNUMBER($AX306),$AX306/100,"")</f>
        <v/>
      </c>
      <c r="DD306" s="77">
        <f>IFERROR(VALUE(LEFT(TRIM($AO306&amp;""),4)),"")</f>
        <v/>
      </c>
      <c r="DE306" s="78">
        <f>IF(AND($BY306=1,$BX306=1,OR(fDeal="All Deals",$BU306=fDeal),OR(fEntity="All Entities",$BV306=fEntity),OR(fPType="All Property Types",$BZ306=fPType),OR(fDefeased="Include",$CJ306=0)),1,0)</f>
        <v/>
      </c>
      <c r="DF306" s="83">
        <f>$DE306*N($I306)</f>
        <v/>
      </c>
      <c r="DG306" s="78">
        <f>IF($DE306=1,IF(COUNTIFS($F$8:$F306,$F306,$DE$8:$DE306,1)=1,1,0),0)</f>
        <v/>
      </c>
      <c r="DH306" s="83">
        <f>IF($DG306=1,SUMIFS($DF$8:$DF$1600,$F$8:$F$1600,$F306),0)</f>
        <v/>
      </c>
      <c r="DI306" s="78">
        <f>IF($DG306=1,COUNTIFS($F$8:$F$1600,$F306,$DE$8:$DE$1600,1),0)</f>
        <v/>
      </c>
      <c r="DJ306" s="84">
        <f>IF($DG306=1,$DH306+(100000-ROW())/mTieBreak,0)</f>
        <v/>
      </c>
    </row>
    <row r="307">
      <c r="B307" s="68" t="n">
        <v>24</v>
      </c>
      <c r="C307" s="69" t="inlineStr">
        <is>
          <t>GS217GS8</t>
        </is>
      </c>
      <c r="D307" s="69" t="inlineStr">
        <is>
          <t>24.000</t>
        </is>
      </c>
      <c r="E307" s="69" t="inlineStr">
        <is>
          <t>Esperanza</t>
        </is>
      </c>
      <c r="F307" s="69" t="inlineStr">
        <is>
          <t>SPLIT_LOAN_01128</t>
        </is>
      </c>
      <c r="G307" s="70" t="n">
        <v>1128</v>
      </c>
      <c r="H307" s="71" t="n">
        <v>15000000</v>
      </c>
      <c r="I307" s="71" t="n">
        <v>15000000</v>
      </c>
      <c r="J307" s="72" t="n">
        <v>4.9435</v>
      </c>
      <c r="K307" s="69" t="inlineStr">
        <is>
          <t>Fixed rate</t>
        </is>
      </c>
      <c r="L307" s="68" t="n">
        <v>120</v>
      </c>
      <c r="M307" s="68" t="n">
        <v>14</v>
      </c>
      <c r="N307" s="68" t="n">
        <v>120</v>
      </c>
      <c r="O307" s="68" t="n">
        <v>120</v>
      </c>
      <c r="P307" s="68" t="n">
        <v>14</v>
      </c>
      <c r="Q307" s="68" t="n">
        <v>106</v>
      </c>
      <c r="R307" s="69" t="inlineStr">
        <is>
          <t>IO</t>
        </is>
      </c>
      <c r="S307" s="69" t="inlineStr">
        <is>
          <t>Yes</t>
        </is>
      </c>
      <c r="T307" s="73" t="n">
        <v>43040</v>
      </c>
      <c r="U307" s="73" t="n">
        <v>46697</v>
      </c>
      <c r="V307" s="73" t="n"/>
      <c r="W307" s="69" t="n"/>
      <c r="X307" s="69" t="inlineStr">
        <is>
          <t>Current</t>
        </is>
      </c>
      <c r="Y307" s="68" t="n"/>
      <c r="Z307" s="69" t="inlineStr">
        <is>
          <t>No Defeasance Occurred</t>
        </is>
      </c>
      <c r="AA307" s="69" t="inlineStr">
        <is>
          <t>Previously</t>
        </is>
      </c>
      <c r="AB307" s="69" t="inlineStr">
        <is>
          <t>Never special serv</t>
        </is>
      </c>
      <c r="AC307" s="73" t="n"/>
      <c r="AD307" s="69" t="n"/>
      <c r="AE307" s="69" t="n"/>
      <c r="AF307" s="69" t="inlineStr">
        <is>
          <t>MX</t>
        </is>
      </c>
      <c r="AG307" s="69" t="inlineStr">
        <is>
          <t>Cabo San Lucas</t>
        </is>
      </c>
      <c r="AH307" s="69" t="n"/>
      <c r="AI307" s="69" t="n"/>
      <c r="AJ307" s="69" t="inlineStr">
        <is>
          <t>HT</t>
        </is>
      </c>
      <c r="AK307" s="69" t="inlineStr">
        <is>
          <t>Full Service</t>
        </is>
      </c>
      <c r="AL307" s="68" t="n">
        <v>1</v>
      </c>
      <c r="AM307" s="68" t="n">
        <v>51</v>
      </c>
      <c r="AN307" s="68" t="n"/>
      <c r="AO307" s="69" t="inlineStr">
        <is>
          <t>2002-2006</t>
        </is>
      </c>
      <c r="AP307" s="70" t="n">
        <v>2007</v>
      </c>
      <c r="AQ307" s="74" t="n">
        <v>4.26</v>
      </c>
      <c r="AR307" s="74" t="n">
        <v>6.99</v>
      </c>
      <c r="AS307" s="74" t="n">
        <v>39.6</v>
      </c>
      <c r="AT307" s="74" t="n">
        <v>39.6</v>
      </c>
      <c r="AU307" s="74" t="n">
        <v>39.6</v>
      </c>
      <c r="AV307" s="74" t="n">
        <v>21.370759825</v>
      </c>
      <c r="AW307" s="74" t="n">
        <v>46.291956325</v>
      </c>
      <c r="AX307" s="75" t="n">
        <v>74</v>
      </c>
      <c r="AY307" s="71" t="n">
        <v>101000000</v>
      </c>
      <c r="AZ307" s="71" t="n">
        <v>101000000</v>
      </c>
      <c r="BA307" s="71" t="n">
        <v>8548303.93</v>
      </c>
      <c r="BB307" s="71" t="n">
        <v>14004753.63</v>
      </c>
      <c r="BC307" s="69" t="inlineStr">
        <is>
          <t>Refinance</t>
        </is>
      </c>
      <c r="BD307" s="69" t="inlineStr">
        <is>
          <t>N</t>
        </is>
      </c>
      <c r="BE307" s="71" t="n">
        <v>25000000</v>
      </c>
      <c r="BF307" s="71" t="n"/>
      <c r="BG307" s="71" t="n"/>
      <c r="BH307" s="71" t="n">
        <v>0</v>
      </c>
      <c r="BI307" s="71" t="n">
        <v>0</v>
      </c>
      <c r="BJ307" s="69" t="inlineStr">
        <is>
          <t>N</t>
        </is>
      </c>
      <c r="BK307" s="69" t="n"/>
      <c r="BL307" s="75" t="n"/>
      <c r="BM307" s="73" t="n"/>
      <c r="BN307" s="69" t="inlineStr">
        <is>
          <t>Flynn Properties Inc., Levy Family Partners, LLC and The Freidkin Group</t>
        </is>
      </c>
      <c r="BO307" s="69" t="inlineStr">
        <is>
          <t>Goldman Sachs</t>
        </is>
      </c>
      <c r="BP307" s="69" t="inlineStr">
        <is>
          <t>TriMont Real Estate Advisors</t>
        </is>
      </c>
      <c r="BQ307" s="69" t="inlineStr">
        <is>
          <t>Rialto Capital</t>
        </is>
      </c>
      <c r="BR307" s="69" t="n"/>
      <c r="BS307" s="73" t="n">
        <v>46273</v>
      </c>
      <c r="BU307" s="76">
        <f>IF($C307="","",IFERROR(INDEX(dmName,MATCH($C307,dmID,0)),"Unmapped"))</f>
        <v/>
      </c>
      <c r="BV307" s="76">
        <f>IF($C307="","",IFERROR(INDEX(dmEntity,MATCH($C307,dmID,0)),"Unmapped"))</f>
        <v/>
      </c>
      <c r="BW307" s="77">
        <f>IF($C307="","",IFERROR(INDEX(dmVintage,MATCH($C307,dmID,0)),""))</f>
        <v/>
      </c>
      <c r="BX307" s="78">
        <f>IFERROR(INDEX(dmInclude,MATCH($C307,dmID,0)),0)</f>
        <v/>
      </c>
      <c r="BY307" s="78">
        <f>IF(N($I307)&gt;0,1,0)</f>
        <v/>
      </c>
      <c r="BZ307" s="76">
        <f>IF($AJ307="","Other / Leased Fee",IFERROR(INDEX(mapPTGroup,MATCH(LEFT(TRIM($AJ307),2),mapPTCode,0)),"Other / Leased Fee"))</f>
        <v/>
      </c>
      <c r="CA307" s="76">
        <f>IF(TRIM($AF307&amp;"")="","NR",LEFT(TRIM($AF307),2))</f>
        <v/>
      </c>
      <c r="CB307" s="76">
        <f>IFERROR(LOOKUP(2,1/(LEFT(TRIM($AI307&amp;""),LEN(mapRegion))=mapRegion),mapRegion),"Not Reported")</f>
        <v/>
      </c>
      <c r="CC307" s="76">
        <f>IF($BY307=0,"",IF(TRIM($W307&amp;"")="REO","REO",IF(TRIM($W307&amp;"")="FC","Foreclosure",IF(TRIM($W307&amp;"")="90+","90+ Days Delinquent",IF(TRIM($W307&amp;"")="60","60 Days Delinquent",IF(TRIM($W307&amp;"")="30","30 Days Delinquent",IF($X307="Non-Performing Matured Balloon","Non-Performing Matured Balloon",IF(OR($X307="Late Payment But Less Than 30 Days Delinquent",LEFT($X307&amp;"",20)="Payment Not Received"),"Late / In Grace (&lt;30 Days)",IF($X307="Performing Matured Balloon","Performing Matured Balloon","Current")))))))))</f>
        <v/>
      </c>
      <c r="CD307" s="78">
        <f>IF(OR($CC307="REO",$CC307="Foreclosure",$CC307="90+ Days Delinquent",$CC307="60 Days Delinquent",$CC307="30 Days Delinquent",$CC307="Non-Performing Matured Balloon"),1,0)</f>
        <v/>
      </c>
      <c r="CE307" s="76">
        <f>IF($AB307="Currently special serv","Currently Specially Serviced",IF($AB307="Returned to master serv","Previously Specially Serviced","Never Specially Serviced"))</f>
        <v/>
      </c>
      <c r="CF307" s="78">
        <f>IF($CE307="Currently Specially Serviced",1,0)</f>
        <v/>
      </c>
      <c r="CG307" s="76">
        <f>IF($AA307="Yes","Currently on Watchlist",IF($AA307="Previously","Previously on Watchlist","Never on Watchlist"))</f>
        <v/>
      </c>
      <c r="CH307" s="78">
        <f>IF($CG307="Currently on Watchlist",1,0)</f>
        <v/>
      </c>
      <c r="CI307" s="76">
        <f>IF($Z307="Full Defeasance","Fully Defeased",IF($Z307="Portion Of Loan Previously Defeased","Partially Defeased",IF($Z307="Defeasance Not Allowable","Not Defeased (Not Permitted)","Not Defeased")))</f>
        <v/>
      </c>
      <c r="CJ307" s="78">
        <f>IF($CI307="Fully Defeased",1,0)</f>
        <v/>
      </c>
      <c r="CK307" s="76">
        <f>IF($R307="IO","Full IO",IF(LEFT($R307&amp;"",7)="IO then","Partial IO","Amortizing"))</f>
        <v/>
      </c>
      <c r="CL307" s="78">
        <f>IF($CK307="Full IO",1,0)</f>
        <v/>
      </c>
      <c r="CM307" s="78">
        <f>IF($CK307="Partial IO",1,0)</f>
        <v/>
      </c>
      <c r="CN307" s="76">
        <f>IF(LEFT($F307&amp;"",10)="SPLIT_LOAN","Pari Passu Split","Standalone")</f>
        <v/>
      </c>
      <c r="CO307" s="78">
        <f>IF($CN307="Pari Passu Split",1,0)</f>
        <v/>
      </c>
      <c r="CP307" s="77">
        <f>IF(ISNUMBER($T307),YEAR($T307),"")</f>
        <v/>
      </c>
      <c r="CQ307" s="79">
        <f>IF(ISNUMBER($V307),$V307,IF(ISNUMBER($U307),$U307,""))</f>
        <v/>
      </c>
      <c r="CR307" s="77">
        <f>IF(ISNUMBER($CQ307),YEAR($CQ307),"")</f>
        <v/>
      </c>
      <c r="CS307" s="78">
        <f>IF(ISNUMBER($M307),MAX(0,$M307),IF(TRIM($M307&amp;"")="matured",0,""))</f>
        <v/>
      </c>
      <c r="CT307" s="78">
        <f>IF(AND(ISNUMBER($CS307),N($CS307)&lt;=mMatWindow),1,0)</f>
        <v/>
      </c>
      <c r="CU307" s="80">
        <f>IF(ISNUMBER($J307),$J307/100,"")</f>
        <v/>
      </c>
      <c r="CV307" s="81">
        <f>IF(ISNUMBER($AQ307),$AQ307,"")</f>
        <v/>
      </c>
      <c r="CW307" s="81">
        <f>IF(ISNUMBER($AR307),$AR307,"")</f>
        <v/>
      </c>
      <c r="CX307" s="82">
        <f>IF(ISNUMBER($AS307),$AS307/100,"")</f>
        <v/>
      </c>
      <c r="CY307" s="82">
        <f>IF(ISNUMBER($AT307),$AT307/100,"")</f>
        <v/>
      </c>
      <c r="CZ307" s="82">
        <f>IF(ISNUMBER($AU307),$AU307/100,"")</f>
        <v/>
      </c>
      <c r="DA307" s="82">
        <f>IF(ISNUMBER($AV307),$AV307/100,"")</f>
        <v/>
      </c>
      <c r="DB307" s="82">
        <f>IF(ISNUMBER($AW307),$AW307/100,"")</f>
        <v/>
      </c>
      <c r="DC307" s="82">
        <f>IF(ISNUMBER($AX307),$AX307/100,"")</f>
        <v/>
      </c>
      <c r="DD307" s="77">
        <f>IFERROR(VALUE(LEFT(TRIM($AO307&amp;""),4)),"")</f>
        <v/>
      </c>
      <c r="DE307" s="78">
        <f>IF(AND($BY307=1,$BX307=1,OR(fDeal="All Deals",$BU307=fDeal),OR(fEntity="All Entities",$BV307=fEntity),OR(fPType="All Property Types",$BZ307=fPType),OR(fDefeased="Include",$CJ307=0)),1,0)</f>
        <v/>
      </c>
      <c r="DF307" s="83">
        <f>$DE307*N($I307)</f>
        <v/>
      </c>
      <c r="DG307" s="78">
        <f>IF($DE307=1,IF(COUNTIFS($F$8:$F307,$F307,$DE$8:$DE307,1)=1,1,0),0)</f>
        <v/>
      </c>
      <c r="DH307" s="83">
        <f>IF($DG307=1,SUMIFS($DF$8:$DF$1600,$F$8:$F$1600,$F307),0)</f>
        <v/>
      </c>
      <c r="DI307" s="78">
        <f>IF($DG307=1,COUNTIFS($F$8:$F$1600,$F307,$DE$8:$DE$1600,1),0)</f>
        <v/>
      </c>
      <c r="DJ307" s="84">
        <f>IF($DG307=1,$DH307+(100000-ROW())/mTieBreak,0)</f>
        <v/>
      </c>
    </row>
    <row r="308">
      <c r="B308" s="68" t="n">
        <v>25</v>
      </c>
      <c r="C308" s="69" t="inlineStr">
        <is>
          <t>GS217GS8</t>
        </is>
      </c>
      <c r="D308" s="69" t="inlineStr">
        <is>
          <t>25.000</t>
        </is>
      </c>
      <c r="E308" s="69" t="inlineStr">
        <is>
          <t>Champions of the West</t>
        </is>
      </c>
      <c r="F308" s="69" t="inlineStr">
        <is>
          <t>LNGS217GS8-25.000</t>
        </is>
      </c>
      <c r="G308" s="70" t="n"/>
      <c r="H308" s="71" t="n">
        <v>14250000</v>
      </c>
      <c r="I308" s="71" t="n">
        <v>14250000</v>
      </c>
      <c r="J308" s="72" t="n">
        <v>4</v>
      </c>
      <c r="K308" s="69" t="inlineStr">
        <is>
          <t>Fixed rate</t>
        </is>
      </c>
      <c r="L308" s="68" t="n">
        <v>117</v>
      </c>
      <c r="M308" s="68" t="n">
        <v>9</v>
      </c>
      <c r="N308" s="68" t="n">
        <v>120</v>
      </c>
      <c r="O308" s="68" t="n">
        <v>117</v>
      </c>
      <c r="P308" s="68" t="n">
        <v>9</v>
      </c>
      <c r="Q308" s="68" t="n">
        <v>108</v>
      </c>
      <c r="R308" s="69" t="inlineStr">
        <is>
          <t>IO</t>
        </is>
      </c>
      <c r="S308" s="69" t="inlineStr">
        <is>
          <t>Yes</t>
        </is>
      </c>
      <c r="T308" s="73" t="n">
        <v>42979</v>
      </c>
      <c r="U308" s="73" t="n">
        <v>46544</v>
      </c>
      <c r="V308" s="73" t="n"/>
      <c r="W308" s="69" t="n"/>
      <c r="X308" s="69" t="inlineStr">
        <is>
          <t>Current</t>
        </is>
      </c>
      <c r="Y308" s="68" t="n"/>
      <c r="Z308" s="69" t="inlineStr">
        <is>
          <t>Full Defeasance</t>
        </is>
      </c>
      <c r="AA308" s="69" t="n"/>
      <c r="AB308" s="69" t="inlineStr">
        <is>
          <t>Never special serv</t>
        </is>
      </c>
      <c r="AC308" s="73" t="n"/>
      <c r="AD308" s="69" t="n"/>
      <c r="AE308" s="69" t="n"/>
      <c r="AF308" s="69" t="inlineStr">
        <is>
          <t>CA</t>
        </is>
      </c>
      <c r="AG308" s="69" t="inlineStr">
        <is>
          <t>San Diego</t>
        </is>
      </c>
      <c r="AH308" s="69" t="inlineStr">
        <is>
          <t>San Diego-Chula Vista-Carlsbad, CA</t>
        </is>
      </c>
      <c r="AI308" s="69" t="inlineStr">
        <is>
          <t>West / Pacific South</t>
        </is>
      </c>
      <c r="AJ308" s="69" t="inlineStr">
        <is>
          <t>OF</t>
        </is>
      </c>
      <c r="AK308" s="69" t="inlineStr">
        <is>
          <t>Suburban</t>
        </is>
      </c>
      <c r="AL308" s="68" t="n">
        <v>1</v>
      </c>
      <c r="AM308" s="68" t="n"/>
      <c r="AN308" s="68" t="n">
        <v>72089</v>
      </c>
      <c r="AO308" s="69" t="inlineStr">
        <is>
          <t>1998</t>
        </is>
      </c>
      <c r="AP308" s="70" t="n">
        <v>1998</v>
      </c>
      <c r="AQ308" s="74" t="n">
        <v>2.87</v>
      </c>
      <c r="AR308" s="74" t="n">
        <v>2.92</v>
      </c>
      <c r="AS308" s="74" t="n">
        <v>44.95</v>
      </c>
      <c r="AT308" s="74" t="n">
        <v>44.95</v>
      </c>
      <c r="AU308" s="74" t="n">
        <v>44.95</v>
      </c>
      <c r="AV308" s="74" t="n">
        <v>11.639519018</v>
      </c>
      <c r="AW308" s="74" t="n">
        <v>10.929790316</v>
      </c>
      <c r="AX308" s="75" t="n">
        <v>76.98999999999999</v>
      </c>
      <c r="AY308" s="71" t="n">
        <v>31700000</v>
      </c>
      <c r="AZ308" s="71" t="n">
        <v>31700000</v>
      </c>
      <c r="BA308" s="71" t="n">
        <v>1658631.46</v>
      </c>
      <c r="BB308" s="71" t="n">
        <v>416669.86</v>
      </c>
      <c r="BC308" s="69" t="inlineStr">
        <is>
          <t>Recapitalization</t>
        </is>
      </c>
      <c r="BD308" s="69" t="inlineStr">
        <is>
          <t>N</t>
        </is>
      </c>
      <c r="BE308" s="71" t="n"/>
      <c r="BF308" s="71" t="n"/>
      <c r="BG308" s="71" t="n"/>
      <c r="BH308" s="71" t="n">
        <v>0</v>
      </c>
      <c r="BI308" s="71" t="n">
        <v>0</v>
      </c>
      <c r="BJ308" s="69" t="inlineStr">
        <is>
          <t>N</t>
        </is>
      </c>
      <c r="BK308" s="69" t="inlineStr">
        <is>
          <t>TDI Construction Services  LLC</t>
        </is>
      </c>
      <c r="BL308" s="75" t="n">
        <v>22.65</v>
      </c>
      <c r="BM308" s="73" t="n">
        <v>45230</v>
      </c>
      <c r="BN308" s="69" t="inlineStr">
        <is>
          <t>John P. Junge and John P. Junge, as Trustee of the Junge Revocable Trust Dated July 12, 2016</t>
        </is>
      </c>
      <c r="BO308" s="69" t="inlineStr">
        <is>
          <t>Goldman Sachs</t>
        </is>
      </c>
      <c r="BP308" s="69" t="inlineStr">
        <is>
          <t>TriMont Real Estate Advisors</t>
        </is>
      </c>
      <c r="BQ308" s="69" t="inlineStr">
        <is>
          <t>K-Star Asset Management LLC</t>
        </is>
      </c>
      <c r="BR308" s="69" t="n"/>
      <c r="BS308" s="73" t="n">
        <v>46273</v>
      </c>
      <c r="BU308" s="76">
        <f>IF($C308="","",IFERROR(INDEX(dmName,MATCH($C308,dmID,0)),"Unmapped"))</f>
        <v/>
      </c>
      <c r="BV308" s="76">
        <f>IF($C308="","",IFERROR(INDEX(dmEntity,MATCH($C308,dmID,0)),"Unmapped"))</f>
        <v/>
      </c>
      <c r="BW308" s="77">
        <f>IF($C308="","",IFERROR(INDEX(dmVintage,MATCH($C308,dmID,0)),""))</f>
        <v/>
      </c>
      <c r="BX308" s="78">
        <f>IFERROR(INDEX(dmInclude,MATCH($C308,dmID,0)),0)</f>
        <v/>
      </c>
      <c r="BY308" s="78">
        <f>IF(N($I308)&gt;0,1,0)</f>
        <v/>
      </c>
      <c r="BZ308" s="76">
        <f>IF($AJ308="","Other / Leased Fee",IFERROR(INDEX(mapPTGroup,MATCH(LEFT(TRIM($AJ308),2),mapPTCode,0)),"Other / Leased Fee"))</f>
        <v/>
      </c>
      <c r="CA308" s="76">
        <f>IF(TRIM($AF308&amp;"")="","NR",LEFT(TRIM($AF308),2))</f>
        <v/>
      </c>
      <c r="CB308" s="76">
        <f>IFERROR(LOOKUP(2,1/(LEFT(TRIM($AI308&amp;""),LEN(mapRegion))=mapRegion),mapRegion),"Not Reported")</f>
        <v/>
      </c>
      <c r="CC308" s="76">
        <f>IF($BY308=0,"",IF(TRIM($W308&amp;"")="REO","REO",IF(TRIM($W308&amp;"")="FC","Foreclosure",IF(TRIM($W308&amp;"")="90+","90+ Days Delinquent",IF(TRIM($W308&amp;"")="60","60 Days Delinquent",IF(TRIM($W308&amp;"")="30","30 Days Delinquent",IF($X308="Non-Performing Matured Balloon","Non-Performing Matured Balloon",IF(OR($X308="Late Payment But Less Than 30 Days Delinquent",LEFT($X308&amp;"",20)="Payment Not Received"),"Late / In Grace (&lt;30 Days)",IF($X308="Performing Matured Balloon","Performing Matured Balloon","Current")))))))))</f>
        <v/>
      </c>
      <c r="CD308" s="78">
        <f>IF(OR($CC308="REO",$CC308="Foreclosure",$CC308="90+ Days Delinquent",$CC308="60 Days Delinquent",$CC308="30 Days Delinquent",$CC308="Non-Performing Matured Balloon"),1,0)</f>
        <v/>
      </c>
      <c r="CE308" s="76">
        <f>IF($AB308="Currently special serv","Currently Specially Serviced",IF($AB308="Returned to master serv","Previously Specially Serviced","Never Specially Serviced"))</f>
        <v/>
      </c>
      <c r="CF308" s="78">
        <f>IF($CE308="Currently Specially Serviced",1,0)</f>
        <v/>
      </c>
      <c r="CG308" s="76">
        <f>IF($AA308="Yes","Currently on Watchlist",IF($AA308="Previously","Previously on Watchlist","Never on Watchlist"))</f>
        <v/>
      </c>
      <c r="CH308" s="78">
        <f>IF($CG308="Currently on Watchlist",1,0)</f>
        <v/>
      </c>
      <c r="CI308" s="76">
        <f>IF($Z308="Full Defeasance","Fully Defeased",IF($Z308="Portion Of Loan Previously Defeased","Partially Defeased",IF($Z308="Defeasance Not Allowable","Not Defeased (Not Permitted)","Not Defeased")))</f>
        <v/>
      </c>
      <c r="CJ308" s="78">
        <f>IF($CI308="Fully Defeased",1,0)</f>
        <v/>
      </c>
      <c r="CK308" s="76">
        <f>IF($R308="IO","Full IO",IF(LEFT($R308&amp;"",7)="IO then","Partial IO","Amortizing"))</f>
        <v/>
      </c>
      <c r="CL308" s="78">
        <f>IF($CK308="Full IO",1,0)</f>
        <v/>
      </c>
      <c r="CM308" s="78">
        <f>IF($CK308="Partial IO",1,0)</f>
        <v/>
      </c>
      <c r="CN308" s="76">
        <f>IF(LEFT($F308&amp;"",10)="SPLIT_LOAN","Pari Passu Split","Standalone")</f>
        <v/>
      </c>
      <c r="CO308" s="78">
        <f>IF($CN308="Pari Passu Split",1,0)</f>
        <v/>
      </c>
      <c r="CP308" s="77">
        <f>IF(ISNUMBER($T308),YEAR($T308),"")</f>
        <v/>
      </c>
      <c r="CQ308" s="79">
        <f>IF(ISNUMBER($V308),$V308,IF(ISNUMBER($U308),$U308,""))</f>
        <v/>
      </c>
      <c r="CR308" s="77">
        <f>IF(ISNUMBER($CQ308),YEAR($CQ308),"")</f>
        <v/>
      </c>
      <c r="CS308" s="78">
        <f>IF(ISNUMBER($M308),MAX(0,$M308),IF(TRIM($M308&amp;"")="matured",0,""))</f>
        <v/>
      </c>
      <c r="CT308" s="78">
        <f>IF(AND(ISNUMBER($CS308),N($CS308)&lt;=mMatWindow),1,0)</f>
        <v/>
      </c>
      <c r="CU308" s="80">
        <f>IF(ISNUMBER($J308),$J308/100,"")</f>
        <v/>
      </c>
      <c r="CV308" s="81">
        <f>IF(ISNUMBER($AQ308),$AQ308,"")</f>
        <v/>
      </c>
      <c r="CW308" s="81">
        <f>IF(ISNUMBER($AR308),$AR308,"")</f>
        <v/>
      </c>
      <c r="CX308" s="82">
        <f>IF(ISNUMBER($AS308),$AS308/100,"")</f>
        <v/>
      </c>
      <c r="CY308" s="82">
        <f>IF(ISNUMBER($AT308),$AT308/100,"")</f>
        <v/>
      </c>
      <c r="CZ308" s="82">
        <f>IF(ISNUMBER($AU308),$AU308/100,"")</f>
        <v/>
      </c>
      <c r="DA308" s="82">
        <f>IF(ISNUMBER($AV308),$AV308/100,"")</f>
        <v/>
      </c>
      <c r="DB308" s="82">
        <f>IF(ISNUMBER($AW308),$AW308/100,"")</f>
        <v/>
      </c>
      <c r="DC308" s="82">
        <f>IF(ISNUMBER($AX308),$AX308/100,"")</f>
        <v/>
      </c>
      <c r="DD308" s="77">
        <f>IFERROR(VALUE(LEFT(TRIM($AO308&amp;""),4)),"")</f>
        <v/>
      </c>
      <c r="DE308" s="78">
        <f>IF(AND($BY308=1,$BX308=1,OR(fDeal="All Deals",$BU308=fDeal),OR(fEntity="All Entities",$BV308=fEntity),OR(fPType="All Property Types",$BZ308=fPType),OR(fDefeased="Include",$CJ308=0)),1,0)</f>
        <v/>
      </c>
      <c r="DF308" s="83">
        <f>$DE308*N($I308)</f>
        <v/>
      </c>
      <c r="DG308" s="78">
        <f>IF($DE308=1,IF(COUNTIFS($F$8:$F308,$F308,$DE$8:$DE308,1)=1,1,0),0)</f>
        <v/>
      </c>
      <c r="DH308" s="83">
        <f>IF($DG308=1,SUMIFS($DF$8:$DF$1600,$F$8:$F$1600,$F308),0)</f>
        <v/>
      </c>
      <c r="DI308" s="78">
        <f>IF($DG308=1,COUNTIFS($F$8:$F$1600,$F308,$DE$8:$DE$1600,1),0)</f>
        <v/>
      </c>
      <c r="DJ308" s="84">
        <f>IF($DG308=1,$DH308+(100000-ROW())/mTieBreak,0)</f>
        <v/>
      </c>
    </row>
    <row r="309">
      <c r="B309" s="68" t="n">
        <v>26</v>
      </c>
      <c r="C309" s="69" t="inlineStr">
        <is>
          <t>GS217GS8</t>
        </is>
      </c>
      <c r="D309" s="69" t="inlineStr">
        <is>
          <t>26.000</t>
        </is>
      </c>
      <c r="E309" s="69" t="inlineStr">
        <is>
          <t>Goodfriend Self Storage</t>
        </is>
      </c>
      <c r="F309" s="69" t="inlineStr">
        <is>
          <t>LNGS217GS8-26.000</t>
        </is>
      </c>
      <c r="G309" s="70" t="n"/>
      <c r="H309" s="71" t="n">
        <v>13400000</v>
      </c>
      <c r="I309" s="71" t="n">
        <v>11834707.8599954</v>
      </c>
      <c r="J309" s="72" t="n">
        <v>4.7235</v>
      </c>
      <c r="K309" s="69" t="inlineStr">
        <is>
          <t>Fixed rate</t>
        </is>
      </c>
      <c r="L309" s="68" t="n">
        <v>120</v>
      </c>
      <c r="M309" s="68" t="n">
        <v>14</v>
      </c>
      <c r="N309" s="68" t="n">
        <v>384</v>
      </c>
      <c r="O309" s="68" t="n">
        <v>24</v>
      </c>
      <c r="P309" s="68" t="n">
        <v>0</v>
      </c>
      <c r="Q309" s="68" t="n">
        <v>106</v>
      </c>
      <c r="R309" s="69" t="inlineStr">
        <is>
          <t>IO then Amort</t>
        </is>
      </c>
      <c r="S309" s="69" t="inlineStr">
        <is>
          <t>No</t>
        </is>
      </c>
      <c r="T309" s="73" t="n">
        <v>43040</v>
      </c>
      <c r="U309" s="73" t="n">
        <v>46697</v>
      </c>
      <c r="V309" s="73" t="n"/>
      <c r="W309" s="69" t="n"/>
      <c r="X309" s="69" t="inlineStr">
        <is>
          <t>Current</t>
        </is>
      </c>
      <c r="Y309" s="68" t="n"/>
      <c r="Z309" s="69" t="inlineStr">
        <is>
          <t>No Defeasance Occurred</t>
        </is>
      </c>
      <c r="AA309" s="69" t="inlineStr">
        <is>
          <t>Previously</t>
        </is>
      </c>
      <c r="AB309" s="69" t="inlineStr">
        <is>
          <t>Never special serv</t>
        </is>
      </c>
      <c r="AC309" s="73" t="n"/>
      <c r="AD309" s="69" t="n"/>
      <c r="AE309" s="69" t="n"/>
      <c r="AF309" s="69" t="inlineStr">
        <is>
          <t>NJ</t>
        </is>
      </c>
      <c r="AG309" s="69" t="inlineStr">
        <is>
          <t>North Bergen</t>
        </is>
      </c>
      <c r="AH309" s="69" t="inlineStr">
        <is>
          <t>New York-Newark-Jersey City, NY-NJ</t>
        </is>
      </c>
      <c r="AI309" s="69" t="inlineStr">
        <is>
          <t>Northeast / Mid-Atlantic</t>
        </is>
      </c>
      <c r="AJ309" s="69" t="inlineStr">
        <is>
          <t>SS</t>
        </is>
      </c>
      <c r="AK309" s="69" t="n"/>
      <c r="AL309" s="68" t="n">
        <v>1</v>
      </c>
      <c r="AM309" s="68" t="n"/>
      <c r="AN309" s="68" t="n">
        <v>89800</v>
      </c>
      <c r="AO309" s="69" t="inlineStr">
        <is>
          <t>1980</t>
        </is>
      </c>
      <c r="AP309" s="70" t="n">
        <v>2014</v>
      </c>
      <c r="AQ309" s="74" t="n">
        <v>1.25</v>
      </c>
      <c r="AR309" s="74" t="n">
        <v>1.84</v>
      </c>
      <c r="AS309" s="74" t="n">
        <v>66.34</v>
      </c>
      <c r="AT309" s="74" t="n">
        <v>58.59</v>
      </c>
      <c r="AU309" s="74" t="n">
        <v>56.99</v>
      </c>
      <c r="AV309" s="74" t="n">
        <v>7.770893955</v>
      </c>
      <c r="AW309" s="74" t="n">
        <v>10.885688141</v>
      </c>
      <c r="AX309" s="75" t="n">
        <v>88</v>
      </c>
      <c r="AY309" s="71" t="n">
        <v>20200000</v>
      </c>
      <c r="AZ309" s="71" t="n">
        <v>20200000</v>
      </c>
      <c r="BA309" s="71" t="n">
        <v>1041299.79</v>
      </c>
      <c r="BB309" s="71" t="n">
        <v>770272.1800000001</v>
      </c>
      <c r="BC309" s="69" t="inlineStr">
        <is>
          <t>Refinance</t>
        </is>
      </c>
      <c r="BD309" s="69" t="inlineStr">
        <is>
          <t>N</t>
        </is>
      </c>
      <c r="BE309" s="71" t="n"/>
      <c r="BF309" s="71" t="n"/>
      <c r="BG309" s="71" t="n"/>
      <c r="BH309" s="71" t="n">
        <v>0</v>
      </c>
      <c r="BI309" s="71" t="n">
        <v>0</v>
      </c>
      <c r="BJ309" s="69" t="inlineStr">
        <is>
          <t>N</t>
        </is>
      </c>
      <c r="BK309" s="69" t="n"/>
      <c r="BL309" s="75" t="n"/>
      <c r="BM309" s="73" t="n"/>
      <c r="BN309" s="69" t="inlineStr">
        <is>
          <t>Stephen L. Clark and Marc Slayton</t>
        </is>
      </c>
      <c r="BO309" s="69" t="inlineStr">
        <is>
          <t>Goldman Sachs</t>
        </is>
      </c>
      <c r="BP309" s="69" t="inlineStr">
        <is>
          <t>TriMont Real Estate Advisors</t>
        </is>
      </c>
      <c r="BQ309" s="69" t="inlineStr">
        <is>
          <t>K-Star Asset Management LLC</t>
        </is>
      </c>
      <c r="BR309" s="69" t="n"/>
      <c r="BS309" s="73" t="n">
        <v>46273</v>
      </c>
      <c r="BU309" s="76">
        <f>IF($C309="","",IFERROR(INDEX(dmName,MATCH($C309,dmID,0)),"Unmapped"))</f>
        <v/>
      </c>
      <c r="BV309" s="76">
        <f>IF($C309="","",IFERROR(INDEX(dmEntity,MATCH($C309,dmID,0)),"Unmapped"))</f>
        <v/>
      </c>
      <c r="BW309" s="77">
        <f>IF($C309="","",IFERROR(INDEX(dmVintage,MATCH($C309,dmID,0)),""))</f>
        <v/>
      </c>
      <c r="BX309" s="78">
        <f>IFERROR(INDEX(dmInclude,MATCH($C309,dmID,0)),0)</f>
        <v/>
      </c>
      <c r="BY309" s="78">
        <f>IF(N($I309)&gt;0,1,0)</f>
        <v/>
      </c>
      <c r="BZ309" s="76">
        <f>IF($AJ309="","Other / Leased Fee",IFERROR(INDEX(mapPTGroup,MATCH(LEFT(TRIM($AJ309),2),mapPTCode,0)),"Other / Leased Fee"))</f>
        <v/>
      </c>
      <c r="CA309" s="76">
        <f>IF(TRIM($AF309&amp;"")="","NR",LEFT(TRIM($AF309),2))</f>
        <v/>
      </c>
      <c r="CB309" s="76">
        <f>IFERROR(LOOKUP(2,1/(LEFT(TRIM($AI309&amp;""),LEN(mapRegion))=mapRegion),mapRegion),"Not Reported")</f>
        <v/>
      </c>
      <c r="CC309" s="76">
        <f>IF($BY309=0,"",IF(TRIM($W309&amp;"")="REO","REO",IF(TRIM($W309&amp;"")="FC","Foreclosure",IF(TRIM($W309&amp;"")="90+","90+ Days Delinquent",IF(TRIM($W309&amp;"")="60","60 Days Delinquent",IF(TRIM($W309&amp;"")="30","30 Days Delinquent",IF($X309="Non-Performing Matured Balloon","Non-Performing Matured Balloon",IF(OR($X309="Late Payment But Less Than 30 Days Delinquent",LEFT($X309&amp;"",20)="Payment Not Received"),"Late / In Grace (&lt;30 Days)",IF($X309="Performing Matured Balloon","Performing Matured Balloon","Current")))))))))</f>
        <v/>
      </c>
      <c r="CD309" s="78">
        <f>IF(OR($CC309="REO",$CC309="Foreclosure",$CC309="90+ Days Delinquent",$CC309="60 Days Delinquent",$CC309="30 Days Delinquent",$CC309="Non-Performing Matured Balloon"),1,0)</f>
        <v/>
      </c>
      <c r="CE309" s="76">
        <f>IF($AB309="Currently special serv","Currently Specially Serviced",IF($AB309="Returned to master serv","Previously Specially Serviced","Never Specially Serviced"))</f>
        <v/>
      </c>
      <c r="CF309" s="78">
        <f>IF($CE309="Currently Specially Serviced",1,0)</f>
        <v/>
      </c>
      <c r="CG309" s="76">
        <f>IF($AA309="Yes","Currently on Watchlist",IF($AA309="Previously","Previously on Watchlist","Never on Watchlist"))</f>
        <v/>
      </c>
      <c r="CH309" s="78">
        <f>IF($CG309="Currently on Watchlist",1,0)</f>
        <v/>
      </c>
      <c r="CI309" s="76">
        <f>IF($Z309="Full Defeasance","Fully Defeased",IF($Z309="Portion Of Loan Previously Defeased","Partially Defeased",IF($Z309="Defeasance Not Allowable","Not Defeased (Not Permitted)","Not Defeased")))</f>
        <v/>
      </c>
      <c r="CJ309" s="78">
        <f>IF($CI309="Fully Defeased",1,0)</f>
        <v/>
      </c>
      <c r="CK309" s="76">
        <f>IF($R309="IO","Full IO",IF(LEFT($R309&amp;"",7)="IO then","Partial IO","Amortizing"))</f>
        <v/>
      </c>
      <c r="CL309" s="78">
        <f>IF($CK309="Full IO",1,0)</f>
        <v/>
      </c>
      <c r="CM309" s="78">
        <f>IF($CK309="Partial IO",1,0)</f>
        <v/>
      </c>
      <c r="CN309" s="76">
        <f>IF(LEFT($F309&amp;"",10)="SPLIT_LOAN","Pari Passu Split","Standalone")</f>
        <v/>
      </c>
      <c r="CO309" s="78">
        <f>IF($CN309="Pari Passu Split",1,0)</f>
        <v/>
      </c>
      <c r="CP309" s="77">
        <f>IF(ISNUMBER($T309),YEAR($T309),"")</f>
        <v/>
      </c>
      <c r="CQ309" s="79">
        <f>IF(ISNUMBER($V309),$V309,IF(ISNUMBER($U309),$U309,""))</f>
        <v/>
      </c>
      <c r="CR309" s="77">
        <f>IF(ISNUMBER($CQ309),YEAR($CQ309),"")</f>
        <v/>
      </c>
      <c r="CS309" s="78">
        <f>IF(ISNUMBER($M309),MAX(0,$M309),IF(TRIM($M309&amp;"")="matured",0,""))</f>
        <v/>
      </c>
      <c r="CT309" s="78">
        <f>IF(AND(ISNUMBER($CS309),N($CS309)&lt;=mMatWindow),1,0)</f>
        <v/>
      </c>
      <c r="CU309" s="80">
        <f>IF(ISNUMBER($J309),$J309/100,"")</f>
        <v/>
      </c>
      <c r="CV309" s="81">
        <f>IF(ISNUMBER($AQ309),$AQ309,"")</f>
        <v/>
      </c>
      <c r="CW309" s="81">
        <f>IF(ISNUMBER($AR309),$AR309,"")</f>
        <v/>
      </c>
      <c r="CX309" s="82">
        <f>IF(ISNUMBER($AS309),$AS309/100,"")</f>
        <v/>
      </c>
      <c r="CY309" s="82">
        <f>IF(ISNUMBER($AT309),$AT309/100,"")</f>
        <v/>
      </c>
      <c r="CZ309" s="82">
        <f>IF(ISNUMBER($AU309),$AU309/100,"")</f>
        <v/>
      </c>
      <c r="DA309" s="82">
        <f>IF(ISNUMBER($AV309),$AV309/100,"")</f>
        <v/>
      </c>
      <c r="DB309" s="82">
        <f>IF(ISNUMBER($AW309),$AW309/100,"")</f>
        <v/>
      </c>
      <c r="DC309" s="82">
        <f>IF(ISNUMBER($AX309),$AX309/100,"")</f>
        <v/>
      </c>
      <c r="DD309" s="77">
        <f>IFERROR(VALUE(LEFT(TRIM($AO309&amp;""),4)),"")</f>
        <v/>
      </c>
      <c r="DE309" s="78">
        <f>IF(AND($BY309=1,$BX309=1,OR(fDeal="All Deals",$BU309=fDeal),OR(fEntity="All Entities",$BV309=fEntity),OR(fPType="All Property Types",$BZ309=fPType),OR(fDefeased="Include",$CJ309=0)),1,0)</f>
        <v/>
      </c>
      <c r="DF309" s="83">
        <f>$DE309*N($I309)</f>
        <v/>
      </c>
      <c r="DG309" s="78">
        <f>IF($DE309=1,IF(COUNTIFS($F$8:$F309,$F309,$DE$8:$DE309,1)=1,1,0),0)</f>
        <v/>
      </c>
      <c r="DH309" s="83">
        <f>IF($DG309=1,SUMIFS($DF$8:$DF$1600,$F$8:$F$1600,$F309),0)</f>
        <v/>
      </c>
      <c r="DI309" s="78">
        <f>IF($DG309=1,COUNTIFS($F$8:$F$1600,$F309,$DE$8:$DE$1600,1),0)</f>
        <v/>
      </c>
      <c r="DJ309" s="84">
        <f>IF($DG309=1,$DH309+(100000-ROW())/mTieBreak,0)</f>
        <v/>
      </c>
    </row>
    <row r="310">
      <c r="B310" s="68" t="n">
        <v>27</v>
      </c>
      <c r="C310" s="69" t="inlineStr">
        <is>
          <t>GS217GS8</t>
        </is>
      </c>
      <c r="D310" s="69" t="inlineStr">
        <is>
          <t>27.000</t>
        </is>
      </c>
      <c r="E310" s="69" t="inlineStr">
        <is>
          <t>Michaels Plaza</t>
        </is>
      </c>
      <c r="F310" s="69" t="inlineStr">
        <is>
          <t>LNGS217GS8-27.000</t>
        </is>
      </c>
      <c r="G310" s="70" t="n"/>
      <c r="H310" s="71" t="n">
        <v>13300000</v>
      </c>
      <c r="I310" s="71" t="n">
        <v>13300000</v>
      </c>
      <c r="J310" s="72" t="n">
        <v>4.309</v>
      </c>
      <c r="K310" s="69" t="inlineStr">
        <is>
          <t>Fixed rate</t>
        </is>
      </c>
      <c r="L310" s="68" t="n">
        <v>120</v>
      </c>
      <c r="M310" s="68" t="n">
        <v>11</v>
      </c>
      <c r="N310" s="68" t="n">
        <v>120</v>
      </c>
      <c r="O310" s="68" t="n">
        <v>120</v>
      </c>
      <c r="P310" s="68" t="n">
        <v>11</v>
      </c>
      <c r="Q310" s="68" t="n">
        <v>109</v>
      </c>
      <c r="R310" s="69" t="inlineStr">
        <is>
          <t>IO</t>
        </is>
      </c>
      <c r="S310" s="69" t="inlineStr">
        <is>
          <t>Yes</t>
        </is>
      </c>
      <c r="T310" s="73" t="n">
        <v>42948</v>
      </c>
      <c r="U310" s="73" t="n">
        <v>46605</v>
      </c>
      <c r="V310" s="73" t="n"/>
      <c r="W310" s="69" t="n"/>
      <c r="X310" s="69" t="inlineStr">
        <is>
          <t>Current</t>
        </is>
      </c>
      <c r="Y310" s="68" t="n"/>
      <c r="Z310" s="69" t="inlineStr">
        <is>
          <t>No Defeasance Occurred</t>
        </is>
      </c>
      <c r="AA310" s="69" t="n"/>
      <c r="AB310" s="69" t="inlineStr">
        <is>
          <t>Never special serv</t>
        </is>
      </c>
      <c r="AC310" s="73" t="n"/>
      <c r="AD310" s="69" t="n"/>
      <c r="AE310" s="69" t="n"/>
      <c r="AF310" s="69" t="inlineStr">
        <is>
          <t>CA</t>
        </is>
      </c>
      <c r="AG310" s="69" t="inlineStr">
        <is>
          <t>Riverside</t>
        </is>
      </c>
      <c r="AH310" s="69" t="inlineStr">
        <is>
          <t>Riverside-San Bernardino-Ontario, CA</t>
        </is>
      </c>
      <c r="AI310" s="69" t="inlineStr">
        <is>
          <t>West / Pacific South</t>
        </is>
      </c>
      <c r="AJ310" s="69" t="inlineStr">
        <is>
          <t>RT</t>
        </is>
      </c>
      <c r="AK310" s="69" t="inlineStr">
        <is>
          <t>Anchored</t>
        </is>
      </c>
      <c r="AL310" s="68" t="n">
        <v>1</v>
      </c>
      <c r="AM310" s="68" t="n"/>
      <c r="AN310" s="68" t="n">
        <v>63182</v>
      </c>
      <c r="AO310" s="69" t="inlineStr">
        <is>
          <t>1986</t>
        </is>
      </c>
      <c r="AP310" s="70" t="n">
        <v>2016</v>
      </c>
      <c r="AQ310" s="74" t="n">
        <v>2.29</v>
      </c>
      <c r="AR310" s="74" t="n"/>
      <c r="AS310" s="74" t="n">
        <v>60.05</v>
      </c>
      <c r="AT310" s="74" t="n">
        <v>60.05</v>
      </c>
      <c r="AU310" s="74" t="n">
        <v>60.05</v>
      </c>
      <c r="AV310" s="74" t="n">
        <v>9.989612405999999</v>
      </c>
      <c r="AW310" s="74" t="n"/>
      <c r="AX310" s="75" t="n">
        <v>98.08</v>
      </c>
      <c r="AY310" s="71" t="n">
        <v>22150000</v>
      </c>
      <c r="AZ310" s="71" t="n">
        <v>22150000</v>
      </c>
      <c r="BA310" s="71" t="n">
        <v>1328618.45</v>
      </c>
      <c r="BB310" s="71" t="n"/>
      <c r="BC310" s="69" t="inlineStr">
        <is>
          <t>Acquisition</t>
        </is>
      </c>
      <c r="BD310" s="69" t="inlineStr">
        <is>
          <t>N</t>
        </is>
      </c>
      <c r="BE310" s="71" t="n"/>
      <c r="BF310" s="71" t="n"/>
      <c r="BG310" s="71" t="n"/>
      <c r="BH310" s="71" t="n">
        <v>0</v>
      </c>
      <c r="BI310" s="71" t="n">
        <v>0</v>
      </c>
      <c r="BJ310" s="69" t="inlineStr">
        <is>
          <t>N</t>
        </is>
      </c>
      <c r="BK310" s="69" t="inlineStr">
        <is>
          <t>Michaels Stores</t>
        </is>
      </c>
      <c r="BL310" s="75" t="n">
        <v>42.73</v>
      </c>
      <c r="BM310" s="73" t="n">
        <v>46783</v>
      </c>
      <c r="BN310" s="69" t="inlineStr">
        <is>
          <t>Kyung (Catherine) Kim</t>
        </is>
      </c>
      <c r="BO310" s="69" t="inlineStr">
        <is>
          <t>Goldman Sachs</t>
        </is>
      </c>
      <c r="BP310" s="69" t="inlineStr">
        <is>
          <t>TriMont Real Estate Advisors</t>
        </is>
      </c>
      <c r="BQ310" s="69" t="inlineStr">
        <is>
          <t>K-Star Asset Management LLC</t>
        </is>
      </c>
      <c r="BR310" s="69" t="n"/>
      <c r="BS310" s="73" t="n">
        <v>46273</v>
      </c>
      <c r="BU310" s="76">
        <f>IF($C310="","",IFERROR(INDEX(dmName,MATCH($C310,dmID,0)),"Unmapped"))</f>
        <v/>
      </c>
      <c r="BV310" s="76">
        <f>IF($C310="","",IFERROR(INDEX(dmEntity,MATCH($C310,dmID,0)),"Unmapped"))</f>
        <v/>
      </c>
      <c r="BW310" s="77">
        <f>IF($C310="","",IFERROR(INDEX(dmVintage,MATCH($C310,dmID,0)),""))</f>
        <v/>
      </c>
      <c r="BX310" s="78">
        <f>IFERROR(INDEX(dmInclude,MATCH($C310,dmID,0)),0)</f>
        <v/>
      </c>
      <c r="BY310" s="78">
        <f>IF(N($I310)&gt;0,1,0)</f>
        <v/>
      </c>
      <c r="BZ310" s="76">
        <f>IF($AJ310="","Other / Leased Fee",IFERROR(INDEX(mapPTGroup,MATCH(LEFT(TRIM($AJ310),2),mapPTCode,0)),"Other / Leased Fee"))</f>
        <v/>
      </c>
      <c r="CA310" s="76">
        <f>IF(TRIM($AF310&amp;"")="","NR",LEFT(TRIM($AF310),2))</f>
        <v/>
      </c>
      <c r="CB310" s="76">
        <f>IFERROR(LOOKUP(2,1/(LEFT(TRIM($AI310&amp;""),LEN(mapRegion))=mapRegion),mapRegion),"Not Reported")</f>
        <v/>
      </c>
      <c r="CC310" s="76">
        <f>IF($BY310=0,"",IF(TRIM($W310&amp;"")="REO","REO",IF(TRIM($W310&amp;"")="FC","Foreclosure",IF(TRIM($W310&amp;"")="90+","90+ Days Delinquent",IF(TRIM($W310&amp;"")="60","60 Days Delinquent",IF(TRIM($W310&amp;"")="30","30 Days Delinquent",IF($X310="Non-Performing Matured Balloon","Non-Performing Matured Balloon",IF(OR($X310="Late Payment But Less Than 30 Days Delinquent",LEFT($X310&amp;"",20)="Payment Not Received"),"Late / In Grace (&lt;30 Days)",IF($X310="Performing Matured Balloon","Performing Matured Balloon","Current")))))))))</f>
        <v/>
      </c>
      <c r="CD310" s="78">
        <f>IF(OR($CC310="REO",$CC310="Foreclosure",$CC310="90+ Days Delinquent",$CC310="60 Days Delinquent",$CC310="30 Days Delinquent",$CC310="Non-Performing Matured Balloon"),1,0)</f>
        <v/>
      </c>
      <c r="CE310" s="76">
        <f>IF($AB310="Currently special serv","Currently Specially Serviced",IF($AB310="Returned to master serv","Previously Specially Serviced","Never Specially Serviced"))</f>
        <v/>
      </c>
      <c r="CF310" s="78">
        <f>IF($CE310="Currently Specially Serviced",1,0)</f>
        <v/>
      </c>
      <c r="CG310" s="76">
        <f>IF($AA310="Yes","Currently on Watchlist",IF($AA310="Previously","Previously on Watchlist","Never on Watchlist"))</f>
        <v/>
      </c>
      <c r="CH310" s="78">
        <f>IF($CG310="Currently on Watchlist",1,0)</f>
        <v/>
      </c>
      <c r="CI310" s="76">
        <f>IF($Z310="Full Defeasance","Fully Defeased",IF($Z310="Portion Of Loan Previously Defeased","Partially Defeased",IF($Z310="Defeasance Not Allowable","Not Defeased (Not Permitted)","Not Defeased")))</f>
        <v/>
      </c>
      <c r="CJ310" s="78">
        <f>IF($CI310="Fully Defeased",1,0)</f>
        <v/>
      </c>
      <c r="CK310" s="76">
        <f>IF($R310="IO","Full IO",IF(LEFT($R310&amp;"",7)="IO then","Partial IO","Amortizing"))</f>
        <v/>
      </c>
      <c r="CL310" s="78">
        <f>IF($CK310="Full IO",1,0)</f>
        <v/>
      </c>
      <c r="CM310" s="78">
        <f>IF($CK310="Partial IO",1,0)</f>
        <v/>
      </c>
      <c r="CN310" s="76">
        <f>IF(LEFT($F310&amp;"",10)="SPLIT_LOAN","Pari Passu Split","Standalone")</f>
        <v/>
      </c>
      <c r="CO310" s="78">
        <f>IF($CN310="Pari Passu Split",1,0)</f>
        <v/>
      </c>
      <c r="CP310" s="77">
        <f>IF(ISNUMBER($T310),YEAR($T310),"")</f>
        <v/>
      </c>
      <c r="CQ310" s="79">
        <f>IF(ISNUMBER($V310),$V310,IF(ISNUMBER($U310),$U310,""))</f>
        <v/>
      </c>
      <c r="CR310" s="77">
        <f>IF(ISNUMBER($CQ310),YEAR($CQ310),"")</f>
        <v/>
      </c>
      <c r="CS310" s="78">
        <f>IF(ISNUMBER($M310),MAX(0,$M310),IF(TRIM($M310&amp;"")="matured",0,""))</f>
        <v/>
      </c>
      <c r="CT310" s="78">
        <f>IF(AND(ISNUMBER($CS310),N($CS310)&lt;=mMatWindow),1,0)</f>
        <v/>
      </c>
      <c r="CU310" s="80">
        <f>IF(ISNUMBER($J310),$J310/100,"")</f>
        <v/>
      </c>
      <c r="CV310" s="81">
        <f>IF(ISNUMBER($AQ310),$AQ310,"")</f>
        <v/>
      </c>
      <c r="CW310" s="81">
        <f>IF(ISNUMBER($AR310),$AR310,"")</f>
        <v/>
      </c>
      <c r="CX310" s="82">
        <f>IF(ISNUMBER($AS310),$AS310/100,"")</f>
        <v/>
      </c>
      <c r="CY310" s="82">
        <f>IF(ISNUMBER($AT310),$AT310/100,"")</f>
        <v/>
      </c>
      <c r="CZ310" s="82">
        <f>IF(ISNUMBER($AU310),$AU310/100,"")</f>
        <v/>
      </c>
      <c r="DA310" s="82">
        <f>IF(ISNUMBER($AV310),$AV310/100,"")</f>
        <v/>
      </c>
      <c r="DB310" s="82">
        <f>IF(ISNUMBER($AW310),$AW310/100,"")</f>
        <v/>
      </c>
      <c r="DC310" s="82">
        <f>IF(ISNUMBER($AX310),$AX310/100,"")</f>
        <v/>
      </c>
      <c r="DD310" s="77">
        <f>IFERROR(VALUE(LEFT(TRIM($AO310&amp;""),4)),"")</f>
        <v/>
      </c>
      <c r="DE310" s="78">
        <f>IF(AND($BY310=1,$BX310=1,OR(fDeal="All Deals",$BU310=fDeal),OR(fEntity="All Entities",$BV310=fEntity),OR(fPType="All Property Types",$BZ310=fPType),OR(fDefeased="Include",$CJ310=0)),1,0)</f>
        <v/>
      </c>
      <c r="DF310" s="83">
        <f>$DE310*N($I310)</f>
        <v/>
      </c>
      <c r="DG310" s="78">
        <f>IF($DE310=1,IF(COUNTIFS($F$8:$F310,$F310,$DE$8:$DE310,1)=1,1,0),0)</f>
        <v/>
      </c>
      <c r="DH310" s="83">
        <f>IF($DG310=1,SUMIFS($DF$8:$DF$1600,$F$8:$F$1600,$F310),0)</f>
        <v/>
      </c>
      <c r="DI310" s="78">
        <f>IF($DG310=1,COUNTIFS($F$8:$F$1600,$F310,$DE$8:$DE$1600,1),0)</f>
        <v/>
      </c>
      <c r="DJ310" s="84">
        <f>IF($DG310=1,$DH310+(100000-ROW())/mTieBreak,0)</f>
        <v/>
      </c>
    </row>
    <row r="311">
      <c r="B311" s="68" t="n">
        <v>28</v>
      </c>
      <c r="C311" s="69" t="inlineStr">
        <is>
          <t>GS217GS8</t>
        </is>
      </c>
      <c r="D311" s="69" t="inlineStr">
        <is>
          <t>28.000</t>
        </is>
      </c>
      <c r="E311" s="69" t="inlineStr">
        <is>
          <t>Space Mart Virginia Portfolio</t>
        </is>
      </c>
      <c r="F311" s="69" t="inlineStr">
        <is>
          <t>LNGS217GS8-28.000</t>
        </is>
      </c>
      <c r="G311" s="70" t="n"/>
      <c r="H311" s="71" t="n">
        <v>12650000</v>
      </c>
      <c r="I311" s="71" t="n">
        <v>11874397.30000205</v>
      </c>
      <c r="J311" s="72" t="n">
        <v>4.681</v>
      </c>
      <c r="K311" s="69" t="inlineStr">
        <is>
          <t>Fixed rate</t>
        </is>
      </c>
      <c r="L311" s="68" t="n">
        <v>120</v>
      </c>
      <c r="M311" s="68" t="n">
        <v>14</v>
      </c>
      <c r="N311" s="68" t="n">
        <v>420</v>
      </c>
      <c r="O311" s="68" t="n">
        <v>60</v>
      </c>
      <c r="P311" s="68" t="n">
        <v>0</v>
      </c>
      <c r="Q311" s="68" t="n">
        <v>106</v>
      </c>
      <c r="R311" s="69" t="inlineStr">
        <is>
          <t>IO then Amort</t>
        </is>
      </c>
      <c r="S311" s="69" t="inlineStr">
        <is>
          <t>No</t>
        </is>
      </c>
      <c r="T311" s="73" t="n">
        <v>43040</v>
      </c>
      <c r="U311" s="73" t="n">
        <v>46697</v>
      </c>
      <c r="V311" s="73" t="n"/>
      <c r="W311" s="69" t="n"/>
      <c r="X311" s="69" t="inlineStr">
        <is>
          <t>Current</t>
        </is>
      </c>
      <c r="Y311" s="68" t="n"/>
      <c r="Z311" s="69" t="inlineStr">
        <is>
          <t>No Defeasance Occurred</t>
        </is>
      </c>
      <c r="AA311" s="69" t="inlineStr">
        <is>
          <t>Previously</t>
        </is>
      </c>
      <c r="AB311" s="69" t="inlineStr">
        <is>
          <t>Never special serv</t>
        </is>
      </c>
      <c r="AC311" s="73" t="n"/>
      <c r="AD311" s="69" t="n"/>
      <c r="AE311" s="69" t="n"/>
      <c r="AF311" s="69" t="inlineStr">
        <is>
          <t>VA</t>
        </is>
      </c>
      <c r="AG311" s="69" t="n"/>
      <c r="AH311" s="69" t="inlineStr">
        <is>
          <t>Richmond, VA</t>
        </is>
      </c>
      <c r="AI311" s="69" t="inlineStr">
        <is>
          <t>South / Atlantic</t>
        </is>
      </c>
      <c r="AJ311" s="69" t="inlineStr">
        <is>
          <t>SS</t>
        </is>
      </c>
      <c r="AK311" s="69" t="n"/>
      <c r="AL311" s="68" t="n">
        <v>2</v>
      </c>
      <c r="AM311" s="68" t="n"/>
      <c r="AN311" s="68" t="n">
        <v>135450</v>
      </c>
      <c r="AO311" s="69" t="n"/>
      <c r="AP311" s="70" t="n">
        <v>2009</v>
      </c>
      <c r="AQ311" s="74" t="n">
        <v>1.37</v>
      </c>
      <c r="AR311" s="74" t="n">
        <v>2.06</v>
      </c>
      <c r="AS311" s="74" t="n">
        <v>74.76000000000001</v>
      </c>
      <c r="AT311" s="74" t="n">
        <v>64.75</v>
      </c>
      <c r="AU311" s="74" t="n">
        <v>68.17</v>
      </c>
      <c r="AV311" s="74" t="n">
        <v>8.517559368000001</v>
      </c>
      <c r="AW311" s="74" t="n">
        <v>14.446652295</v>
      </c>
      <c r="AX311" s="75" t="n">
        <v>94</v>
      </c>
      <c r="AY311" s="71" t="n">
        <v>16920000</v>
      </c>
      <c r="AZ311" s="71" t="n">
        <v>18340000</v>
      </c>
      <c r="BA311" s="71" t="n">
        <v>1077471.26</v>
      </c>
      <c r="BB311" s="71" t="n">
        <v>405507.14</v>
      </c>
      <c r="BC311" s="69" t="inlineStr">
        <is>
          <t>Refinance</t>
        </is>
      </c>
      <c r="BD311" s="69" t="inlineStr">
        <is>
          <t>N</t>
        </is>
      </c>
      <c r="BE311" s="71" t="n"/>
      <c r="BF311" s="71" t="n"/>
      <c r="BG311" s="71" t="n"/>
      <c r="BH311" s="71" t="n">
        <v>0</v>
      </c>
      <c r="BI311" s="71" t="n">
        <v>0</v>
      </c>
      <c r="BJ311" s="69" t="inlineStr">
        <is>
          <t>N</t>
        </is>
      </c>
      <c r="BK311" s="69" t="n"/>
      <c r="BL311" s="75" t="n"/>
      <c r="BM311" s="73" t="n"/>
      <c r="BN311" s="69" t="inlineStr">
        <is>
          <t>Jeffrey A. Grubb, David N. Hill, Robert E. Poole, Jr. and BDR Properties, Inc.</t>
        </is>
      </c>
      <c r="BO311" s="69" t="inlineStr">
        <is>
          <t>Goldman Sachs</t>
        </is>
      </c>
      <c r="BP311" s="69" t="inlineStr">
        <is>
          <t>TriMont Real Estate Advisors</t>
        </is>
      </c>
      <c r="BQ311" s="69" t="inlineStr">
        <is>
          <t>K-Star Asset Management LLC</t>
        </is>
      </c>
      <c r="BR311" s="69" t="n"/>
      <c r="BS311" s="73" t="n">
        <v>46273</v>
      </c>
      <c r="BU311" s="76">
        <f>IF($C311="","",IFERROR(INDEX(dmName,MATCH($C311,dmID,0)),"Unmapped"))</f>
        <v/>
      </c>
      <c r="BV311" s="76">
        <f>IF($C311="","",IFERROR(INDEX(dmEntity,MATCH($C311,dmID,0)),"Unmapped"))</f>
        <v/>
      </c>
      <c r="BW311" s="77">
        <f>IF($C311="","",IFERROR(INDEX(dmVintage,MATCH($C311,dmID,0)),""))</f>
        <v/>
      </c>
      <c r="BX311" s="78">
        <f>IFERROR(INDEX(dmInclude,MATCH($C311,dmID,0)),0)</f>
        <v/>
      </c>
      <c r="BY311" s="78">
        <f>IF(N($I311)&gt;0,1,0)</f>
        <v/>
      </c>
      <c r="BZ311" s="76">
        <f>IF($AJ311="","Other / Leased Fee",IFERROR(INDEX(mapPTGroup,MATCH(LEFT(TRIM($AJ311),2),mapPTCode,0)),"Other / Leased Fee"))</f>
        <v/>
      </c>
      <c r="CA311" s="76">
        <f>IF(TRIM($AF311&amp;"")="","NR",LEFT(TRIM($AF311),2))</f>
        <v/>
      </c>
      <c r="CB311" s="76">
        <f>IFERROR(LOOKUP(2,1/(LEFT(TRIM($AI311&amp;""),LEN(mapRegion))=mapRegion),mapRegion),"Not Reported")</f>
        <v/>
      </c>
      <c r="CC311" s="76">
        <f>IF($BY311=0,"",IF(TRIM($W311&amp;"")="REO","REO",IF(TRIM($W311&amp;"")="FC","Foreclosure",IF(TRIM($W311&amp;"")="90+","90+ Days Delinquent",IF(TRIM($W311&amp;"")="60","60 Days Delinquent",IF(TRIM($W311&amp;"")="30","30 Days Delinquent",IF($X311="Non-Performing Matured Balloon","Non-Performing Matured Balloon",IF(OR($X311="Late Payment But Less Than 30 Days Delinquent",LEFT($X311&amp;"",20)="Payment Not Received"),"Late / In Grace (&lt;30 Days)",IF($X311="Performing Matured Balloon","Performing Matured Balloon","Current")))))))))</f>
        <v/>
      </c>
      <c r="CD311" s="78">
        <f>IF(OR($CC311="REO",$CC311="Foreclosure",$CC311="90+ Days Delinquent",$CC311="60 Days Delinquent",$CC311="30 Days Delinquent",$CC311="Non-Performing Matured Balloon"),1,0)</f>
        <v/>
      </c>
      <c r="CE311" s="76">
        <f>IF($AB311="Currently special serv","Currently Specially Serviced",IF($AB311="Returned to master serv","Previously Specially Serviced","Never Specially Serviced"))</f>
        <v/>
      </c>
      <c r="CF311" s="78">
        <f>IF($CE311="Currently Specially Serviced",1,0)</f>
        <v/>
      </c>
      <c r="CG311" s="76">
        <f>IF($AA311="Yes","Currently on Watchlist",IF($AA311="Previously","Previously on Watchlist","Never on Watchlist"))</f>
        <v/>
      </c>
      <c r="CH311" s="78">
        <f>IF($CG311="Currently on Watchlist",1,0)</f>
        <v/>
      </c>
      <c r="CI311" s="76">
        <f>IF($Z311="Full Defeasance","Fully Defeased",IF($Z311="Portion Of Loan Previously Defeased","Partially Defeased",IF($Z311="Defeasance Not Allowable","Not Defeased (Not Permitted)","Not Defeased")))</f>
        <v/>
      </c>
      <c r="CJ311" s="78">
        <f>IF($CI311="Fully Defeased",1,0)</f>
        <v/>
      </c>
      <c r="CK311" s="76">
        <f>IF($R311="IO","Full IO",IF(LEFT($R311&amp;"",7)="IO then","Partial IO","Amortizing"))</f>
        <v/>
      </c>
      <c r="CL311" s="78">
        <f>IF($CK311="Full IO",1,0)</f>
        <v/>
      </c>
      <c r="CM311" s="78">
        <f>IF($CK311="Partial IO",1,0)</f>
        <v/>
      </c>
      <c r="CN311" s="76">
        <f>IF(LEFT($F311&amp;"",10)="SPLIT_LOAN","Pari Passu Split","Standalone")</f>
        <v/>
      </c>
      <c r="CO311" s="78">
        <f>IF($CN311="Pari Passu Split",1,0)</f>
        <v/>
      </c>
      <c r="CP311" s="77">
        <f>IF(ISNUMBER($T311),YEAR($T311),"")</f>
        <v/>
      </c>
      <c r="CQ311" s="79">
        <f>IF(ISNUMBER($V311),$V311,IF(ISNUMBER($U311),$U311,""))</f>
        <v/>
      </c>
      <c r="CR311" s="77">
        <f>IF(ISNUMBER($CQ311),YEAR($CQ311),"")</f>
        <v/>
      </c>
      <c r="CS311" s="78">
        <f>IF(ISNUMBER($M311),MAX(0,$M311),IF(TRIM($M311&amp;"")="matured",0,""))</f>
        <v/>
      </c>
      <c r="CT311" s="78">
        <f>IF(AND(ISNUMBER($CS311),N($CS311)&lt;=mMatWindow),1,0)</f>
        <v/>
      </c>
      <c r="CU311" s="80">
        <f>IF(ISNUMBER($J311),$J311/100,"")</f>
        <v/>
      </c>
      <c r="CV311" s="81">
        <f>IF(ISNUMBER($AQ311),$AQ311,"")</f>
        <v/>
      </c>
      <c r="CW311" s="81">
        <f>IF(ISNUMBER($AR311),$AR311,"")</f>
        <v/>
      </c>
      <c r="CX311" s="82">
        <f>IF(ISNUMBER($AS311),$AS311/100,"")</f>
        <v/>
      </c>
      <c r="CY311" s="82">
        <f>IF(ISNUMBER($AT311),$AT311/100,"")</f>
        <v/>
      </c>
      <c r="CZ311" s="82">
        <f>IF(ISNUMBER($AU311),$AU311/100,"")</f>
        <v/>
      </c>
      <c r="DA311" s="82">
        <f>IF(ISNUMBER($AV311),$AV311/100,"")</f>
        <v/>
      </c>
      <c r="DB311" s="82">
        <f>IF(ISNUMBER($AW311),$AW311/100,"")</f>
        <v/>
      </c>
      <c r="DC311" s="82">
        <f>IF(ISNUMBER($AX311),$AX311/100,"")</f>
        <v/>
      </c>
      <c r="DD311" s="77">
        <f>IFERROR(VALUE(LEFT(TRIM($AO311&amp;""),4)),"")</f>
        <v/>
      </c>
      <c r="DE311" s="78">
        <f>IF(AND($BY311=1,$BX311=1,OR(fDeal="All Deals",$BU311=fDeal),OR(fEntity="All Entities",$BV311=fEntity),OR(fPType="All Property Types",$BZ311=fPType),OR(fDefeased="Include",$CJ311=0)),1,0)</f>
        <v/>
      </c>
      <c r="DF311" s="83">
        <f>$DE311*N($I311)</f>
        <v/>
      </c>
      <c r="DG311" s="78">
        <f>IF($DE311=1,IF(COUNTIFS($F$8:$F311,$F311,$DE$8:$DE311,1)=1,1,0),0)</f>
        <v/>
      </c>
      <c r="DH311" s="83">
        <f>IF($DG311=1,SUMIFS($DF$8:$DF$1600,$F$8:$F$1600,$F311),0)</f>
        <v/>
      </c>
      <c r="DI311" s="78">
        <f>IF($DG311=1,COUNTIFS($F$8:$F$1600,$F311,$DE$8:$DE$1600,1),0)</f>
        <v/>
      </c>
      <c r="DJ311" s="84">
        <f>IF($DG311=1,$DH311+(100000-ROW())/mTieBreak,0)</f>
        <v/>
      </c>
    </row>
    <row r="312">
      <c r="B312" s="68" t="n">
        <v>29</v>
      </c>
      <c r="C312" s="69" t="inlineStr">
        <is>
          <t>GS217GS8</t>
        </is>
      </c>
      <c r="D312" s="69" t="inlineStr">
        <is>
          <t>29.000</t>
        </is>
      </c>
      <c r="E312" s="69" t="inlineStr">
        <is>
          <t>Shops of Grand Canyon</t>
        </is>
      </c>
      <c r="F312" s="69" t="inlineStr">
        <is>
          <t>LNGS217GS8-29.000</t>
        </is>
      </c>
      <c r="G312" s="70" t="n"/>
      <c r="H312" s="71" t="n">
        <v>12500000</v>
      </c>
      <c r="I312" s="71" t="n">
        <v>10865605.42</v>
      </c>
      <c r="J312" s="72" t="n">
        <v>4.201</v>
      </c>
      <c r="K312" s="69" t="inlineStr">
        <is>
          <t>Fixed rate</t>
        </is>
      </c>
      <c r="L312" s="68" t="n">
        <v>117</v>
      </c>
      <c r="M312" s="68" t="n">
        <v>9</v>
      </c>
      <c r="N312" s="68" t="n">
        <v>384</v>
      </c>
      <c r="O312" s="68" t="n">
        <v>24</v>
      </c>
      <c r="P312" s="68" t="n">
        <v>0</v>
      </c>
      <c r="Q312" s="68" t="n">
        <v>108</v>
      </c>
      <c r="R312" s="69" t="inlineStr">
        <is>
          <t>IO then Amort</t>
        </is>
      </c>
      <c r="S312" s="69" t="inlineStr">
        <is>
          <t>No</t>
        </is>
      </c>
      <c r="T312" s="73" t="n">
        <v>42979</v>
      </c>
      <c r="U312" s="73" t="n">
        <v>46544</v>
      </c>
      <c r="V312" s="73" t="n"/>
      <c r="W312" s="69" t="n"/>
      <c r="X312" s="69" t="inlineStr">
        <is>
          <t>Current</t>
        </is>
      </c>
      <c r="Y312" s="68" t="n"/>
      <c r="Z312" s="69" t="inlineStr">
        <is>
          <t>Full Defeasance</t>
        </is>
      </c>
      <c r="AA312" s="69" t="inlineStr">
        <is>
          <t>Previously</t>
        </is>
      </c>
      <c r="AB312" s="69" t="inlineStr">
        <is>
          <t>Never special serv</t>
        </is>
      </c>
      <c r="AC312" s="73" t="n"/>
      <c r="AD312" s="69" t="n"/>
      <c r="AE312" s="69" t="n"/>
      <c r="AF312" s="69" t="inlineStr">
        <is>
          <t>NV</t>
        </is>
      </c>
      <c r="AG312" s="69" t="inlineStr">
        <is>
          <t>Las Vegas</t>
        </is>
      </c>
      <c r="AH312" s="69" t="inlineStr">
        <is>
          <t>Las Vegas-Henderson-North Las Vegas, NV</t>
        </is>
      </c>
      <c r="AI312" s="69" t="inlineStr">
        <is>
          <t>West / Mountain</t>
        </is>
      </c>
      <c r="AJ312" s="69" t="inlineStr">
        <is>
          <t>RT</t>
        </is>
      </c>
      <c r="AK312" s="69" t="inlineStr">
        <is>
          <t>Shadow Anchored</t>
        </is>
      </c>
      <c r="AL312" s="68" t="n">
        <v>1</v>
      </c>
      <c r="AM312" s="68" t="n"/>
      <c r="AN312" s="68" t="n">
        <v>64770</v>
      </c>
      <c r="AO312" s="69" t="inlineStr">
        <is>
          <t>2004, 2005, 2007</t>
        </is>
      </c>
      <c r="AP312" s="70" t="n">
        <v>2007</v>
      </c>
      <c r="AQ312" s="74" t="n">
        <v>1.64</v>
      </c>
      <c r="AR312" s="74" t="n">
        <v>2.28</v>
      </c>
      <c r="AS312" s="74" t="n">
        <v>72.45999999999999</v>
      </c>
      <c r="AT312" s="74" t="n">
        <v>62.99</v>
      </c>
      <c r="AU312" s="74" t="n">
        <v>61.39</v>
      </c>
      <c r="AV312" s="74" t="n">
        <v>9.636504</v>
      </c>
      <c r="AW312" s="74" t="n">
        <v>13.292014335</v>
      </c>
      <c r="AX312" s="75" t="n">
        <v>97</v>
      </c>
      <c r="AY312" s="71" t="n">
        <v>17250000</v>
      </c>
      <c r="AZ312" s="71" t="n">
        <v>17250000</v>
      </c>
      <c r="BA312" s="71" t="n">
        <v>1204563</v>
      </c>
      <c r="BB312" s="71" t="n">
        <v>1253167.79</v>
      </c>
      <c r="BC312" s="69" t="inlineStr">
        <is>
          <t>Acquisition</t>
        </is>
      </c>
      <c r="BD312" s="69" t="inlineStr">
        <is>
          <t>N</t>
        </is>
      </c>
      <c r="BE312" s="71" t="n"/>
      <c r="BF312" s="71" t="n"/>
      <c r="BG312" s="71" t="n"/>
      <c r="BH312" s="71" t="n">
        <v>0</v>
      </c>
      <c r="BI312" s="71" t="n">
        <v>0</v>
      </c>
      <c r="BJ312" s="69" t="inlineStr">
        <is>
          <t>N</t>
        </is>
      </c>
      <c r="BK312" s="69" t="inlineStr">
        <is>
          <t>Broadway Kids  LLC Hollywood kids academy</t>
        </is>
      </c>
      <c r="BL312" s="75" t="n">
        <v>12.75</v>
      </c>
      <c r="BM312" s="73" t="n">
        <v>46660</v>
      </c>
      <c r="BN312" s="69" t="inlineStr">
        <is>
          <t>Kamyar Mateen</t>
        </is>
      </c>
      <c r="BO312" s="69" t="inlineStr">
        <is>
          <t>Goldman Sachs</t>
        </is>
      </c>
      <c r="BP312" s="69" t="inlineStr">
        <is>
          <t>TriMont Real Estate Advisors</t>
        </is>
      </c>
      <c r="BQ312" s="69" t="inlineStr">
        <is>
          <t>K-Star Asset Management LLC</t>
        </is>
      </c>
      <c r="BR312" s="69" t="n"/>
      <c r="BS312" s="73" t="n">
        <v>46273</v>
      </c>
      <c r="BU312" s="76">
        <f>IF($C312="","",IFERROR(INDEX(dmName,MATCH($C312,dmID,0)),"Unmapped"))</f>
        <v/>
      </c>
      <c r="BV312" s="76">
        <f>IF($C312="","",IFERROR(INDEX(dmEntity,MATCH($C312,dmID,0)),"Unmapped"))</f>
        <v/>
      </c>
      <c r="BW312" s="77">
        <f>IF($C312="","",IFERROR(INDEX(dmVintage,MATCH($C312,dmID,0)),""))</f>
        <v/>
      </c>
      <c r="BX312" s="78">
        <f>IFERROR(INDEX(dmInclude,MATCH($C312,dmID,0)),0)</f>
        <v/>
      </c>
      <c r="BY312" s="78">
        <f>IF(N($I312)&gt;0,1,0)</f>
        <v/>
      </c>
      <c r="BZ312" s="76">
        <f>IF($AJ312="","Other / Leased Fee",IFERROR(INDEX(mapPTGroup,MATCH(LEFT(TRIM($AJ312),2),mapPTCode,0)),"Other / Leased Fee"))</f>
        <v/>
      </c>
      <c r="CA312" s="76">
        <f>IF(TRIM($AF312&amp;"")="","NR",LEFT(TRIM($AF312),2))</f>
        <v/>
      </c>
      <c r="CB312" s="76">
        <f>IFERROR(LOOKUP(2,1/(LEFT(TRIM($AI312&amp;""),LEN(mapRegion))=mapRegion),mapRegion),"Not Reported")</f>
        <v/>
      </c>
      <c r="CC312" s="76">
        <f>IF($BY312=0,"",IF(TRIM($W312&amp;"")="REO","REO",IF(TRIM($W312&amp;"")="FC","Foreclosure",IF(TRIM($W312&amp;"")="90+","90+ Days Delinquent",IF(TRIM($W312&amp;"")="60","60 Days Delinquent",IF(TRIM($W312&amp;"")="30","30 Days Delinquent",IF($X312="Non-Performing Matured Balloon","Non-Performing Matured Balloon",IF(OR($X312="Late Payment But Less Than 30 Days Delinquent",LEFT($X312&amp;"",20)="Payment Not Received"),"Late / In Grace (&lt;30 Days)",IF($X312="Performing Matured Balloon","Performing Matured Balloon","Current")))))))))</f>
        <v/>
      </c>
      <c r="CD312" s="78">
        <f>IF(OR($CC312="REO",$CC312="Foreclosure",$CC312="90+ Days Delinquent",$CC312="60 Days Delinquent",$CC312="30 Days Delinquent",$CC312="Non-Performing Matured Balloon"),1,0)</f>
        <v/>
      </c>
      <c r="CE312" s="76">
        <f>IF($AB312="Currently special serv","Currently Specially Serviced",IF($AB312="Returned to master serv","Previously Specially Serviced","Never Specially Serviced"))</f>
        <v/>
      </c>
      <c r="CF312" s="78">
        <f>IF($CE312="Currently Specially Serviced",1,0)</f>
        <v/>
      </c>
      <c r="CG312" s="76">
        <f>IF($AA312="Yes","Currently on Watchlist",IF($AA312="Previously","Previously on Watchlist","Never on Watchlist"))</f>
        <v/>
      </c>
      <c r="CH312" s="78">
        <f>IF($CG312="Currently on Watchlist",1,0)</f>
        <v/>
      </c>
      <c r="CI312" s="76">
        <f>IF($Z312="Full Defeasance","Fully Defeased",IF($Z312="Portion Of Loan Previously Defeased","Partially Defeased",IF($Z312="Defeasance Not Allowable","Not Defeased (Not Permitted)","Not Defeased")))</f>
        <v/>
      </c>
      <c r="CJ312" s="78">
        <f>IF($CI312="Fully Defeased",1,0)</f>
        <v/>
      </c>
      <c r="CK312" s="76">
        <f>IF($R312="IO","Full IO",IF(LEFT($R312&amp;"",7)="IO then","Partial IO","Amortizing"))</f>
        <v/>
      </c>
      <c r="CL312" s="78">
        <f>IF($CK312="Full IO",1,0)</f>
        <v/>
      </c>
      <c r="CM312" s="78">
        <f>IF($CK312="Partial IO",1,0)</f>
        <v/>
      </c>
      <c r="CN312" s="76">
        <f>IF(LEFT($F312&amp;"",10)="SPLIT_LOAN","Pari Passu Split","Standalone")</f>
        <v/>
      </c>
      <c r="CO312" s="78">
        <f>IF($CN312="Pari Passu Split",1,0)</f>
        <v/>
      </c>
      <c r="CP312" s="77">
        <f>IF(ISNUMBER($T312),YEAR($T312),"")</f>
        <v/>
      </c>
      <c r="CQ312" s="79">
        <f>IF(ISNUMBER($V312),$V312,IF(ISNUMBER($U312),$U312,""))</f>
        <v/>
      </c>
      <c r="CR312" s="77">
        <f>IF(ISNUMBER($CQ312),YEAR($CQ312),"")</f>
        <v/>
      </c>
      <c r="CS312" s="78">
        <f>IF(ISNUMBER($M312),MAX(0,$M312),IF(TRIM($M312&amp;"")="matured",0,""))</f>
        <v/>
      </c>
      <c r="CT312" s="78">
        <f>IF(AND(ISNUMBER($CS312),N($CS312)&lt;=mMatWindow),1,0)</f>
        <v/>
      </c>
      <c r="CU312" s="80">
        <f>IF(ISNUMBER($J312),$J312/100,"")</f>
        <v/>
      </c>
      <c r="CV312" s="81">
        <f>IF(ISNUMBER($AQ312),$AQ312,"")</f>
        <v/>
      </c>
      <c r="CW312" s="81">
        <f>IF(ISNUMBER($AR312),$AR312,"")</f>
        <v/>
      </c>
      <c r="CX312" s="82">
        <f>IF(ISNUMBER($AS312),$AS312/100,"")</f>
        <v/>
      </c>
      <c r="CY312" s="82">
        <f>IF(ISNUMBER($AT312),$AT312/100,"")</f>
        <v/>
      </c>
      <c r="CZ312" s="82">
        <f>IF(ISNUMBER($AU312),$AU312/100,"")</f>
        <v/>
      </c>
      <c r="DA312" s="82">
        <f>IF(ISNUMBER($AV312),$AV312/100,"")</f>
        <v/>
      </c>
      <c r="DB312" s="82">
        <f>IF(ISNUMBER($AW312),$AW312/100,"")</f>
        <v/>
      </c>
      <c r="DC312" s="82">
        <f>IF(ISNUMBER($AX312),$AX312/100,"")</f>
        <v/>
      </c>
      <c r="DD312" s="77">
        <f>IFERROR(VALUE(LEFT(TRIM($AO312&amp;""),4)),"")</f>
        <v/>
      </c>
      <c r="DE312" s="78">
        <f>IF(AND($BY312=1,$BX312=1,OR(fDeal="All Deals",$BU312=fDeal),OR(fEntity="All Entities",$BV312=fEntity),OR(fPType="All Property Types",$BZ312=fPType),OR(fDefeased="Include",$CJ312=0)),1,0)</f>
        <v/>
      </c>
      <c r="DF312" s="83">
        <f>$DE312*N($I312)</f>
        <v/>
      </c>
      <c r="DG312" s="78">
        <f>IF($DE312=1,IF(COUNTIFS($F$8:$F312,$F312,$DE$8:$DE312,1)=1,1,0),0)</f>
        <v/>
      </c>
      <c r="DH312" s="83">
        <f>IF($DG312=1,SUMIFS($DF$8:$DF$1600,$F$8:$F$1600,$F312),0)</f>
        <v/>
      </c>
      <c r="DI312" s="78">
        <f>IF($DG312=1,COUNTIFS($F$8:$F$1600,$F312,$DE$8:$DE$1600,1),0)</f>
        <v/>
      </c>
      <c r="DJ312" s="84">
        <f>IF($DG312=1,$DH312+(100000-ROW())/mTieBreak,0)</f>
        <v/>
      </c>
    </row>
    <row r="313">
      <c r="B313" s="68" t="n">
        <v>30</v>
      </c>
      <c r="C313" s="69" t="inlineStr">
        <is>
          <t>GS217GS8</t>
        </is>
      </c>
      <c r="D313" s="69" t="inlineStr">
        <is>
          <t>30.000</t>
        </is>
      </c>
      <c r="E313" s="69" t="inlineStr">
        <is>
          <t>Darmstadt Crossing</t>
        </is>
      </c>
      <c r="F313" s="69" t="inlineStr">
        <is>
          <t>LNGS217GS8-30.000</t>
        </is>
      </c>
      <c r="G313" s="70" t="n"/>
      <c r="H313" s="71" t="n">
        <v>9700000</v>
      </c>
      <c r="I313" s="71" t="n">
        <v>8031560.6299989</v>
      </c>
      <c r="J313" s="72" t="n">
        <v>4.2751</v>
      </c>
      <c r="K313" s="69" t="inlineStr">
        <is>
          <t>Fixed rate</t>
        </is>
      </c>
      <c r="L313" s="68" t="n">
        <v>120</v>
      </c>
      <c r="M313" s="68" t="n">
        <v>13</v>
      </c>
      <c r="N313" s="68" t="n">
        <v>360</v>
      </c>
      <c r="O313" s="68" t="n"/>
      <c r="P313" s="68" t="n"/>
      <c r="Q313" s="68" t="n">
        <v>107</v>
      </c>
      <c r="R313" s="69" t="n"/>
      <c r="S313" s="69" t="inlineStr">
        <is>
          <t>No</t>
        </is>
      </c>
      <c r="T313" s="73" t="n">
        <v>43009</v>
      </c>
      <c r="U313" s="73" t="n">
        <v>46666</v>
      </c>
      <c r="V313" s="73" t="n"/>
      <c r="W313" s="69" t="n"/>
      <c r="X313" s="69" t="inlineStr">
        <is>
          <t>Current</t>
        </is>
      </c>
      <c r="Y313" s="68" t="n"/>
      <c r="Z313" s="69" t="inlineStr">
        <is>
          <t>Defeasance Not Allowable</t>
        </is>
      </c>
      <c r="AA313" s="69" t="inlineStr">
        <is>
          <t>Yes</t>
        </is>
      </c>
      <c r="AB313" s="69" t="inlineStr">
        <is>
          <t>Never special serv</t>
        </is>
      </c>
      <c r="AC313" s="73" t="n"/>
      <c r="AD313" s="69" t="n"/>
      <c r="AE313" s="69" t="n"/>
      <c r="AF313" s="69" t="inlineStr">
        <is>
          <t>IN</t>
        </is>
      </c>
      <c r="AG313" s="69" t="inlineStr">
        <is>
          <t>Evansville</t>
        </is>
      </c>
      <c r="AH313" s="69" t="inlineStr">
        <is>
          <t>Evansville, IN</t>
        </is>
      </c>
      <c r="AI313" s="69" t="inlineStr">
        <is>
          <t>Midwest / Central East</t>
        </is>
      </c>
      <c r="AJ313" s="69" t="inlineStr">
        <is>
          <t>RT</t>
        </is>
      </c>
      <c r="AK313" s="69" t="inlineStr">
        <is>
          <t>Anchored</t>
        </is>
      </c>
      <c r="AL313" s="68" t="n">
        <v>1</v>
      </c>
      <c r="AM313" s="68" t="n"/>
      <c r="AN313" s="68" t="n">
        <v>73476</v>
      </c>
      <c r="AO313" s="69" t="inlineStr">
        <is>
          <t>2015</t>
        </is>
      </c>
      <c r="AP313" s="70" t="n">
        <v>2015</v>
      </c>
      <c r="AQ313" s="74" t="n">
        <v>1.64</v>
      </c>
      <c r="AR313" s="74" t="n">
        <v>1.45</v>
      </c>
      <c r="AS313" s="74" t="n">
        <v>70.2</v>
      </c>
      <c r="AT313" s="74" t="n">
        <v>58.2</v>
      </c>
      <c r="AU313" s="74" t="n">
        <v>56.38</v>
      </c>
      <c r="AV313" s="74" t="n">
        <v>9.70889433</v>
      </c>
      <c r="AW313" s="74" t="n">
        <v>12.197242045</v>
      </c>
      <c r="AX313" s="75" t="n">
        <v>98</v>
      </c>
      <c r="AY313" s="71" t="n">
        <v>13800000</v>
      </c>
      <c r="AZ313" s="71" t="n">
        <v>13800000</v>
      </c>
      <c r="BA313" s="71" t="n">
        <v>941762.75</v>
      </c>
      <c r="BB313" s="71" t="n">
        <v>416292.17</v>
      </c>
      <c r="BC313" s="69" t="inlineStr">
        <is>
          <t>Acquisition</t>
        </is>
      </c>
      <c r="BD313" s="69" t="inlineStr">
        <is>
          <t>N</t>
        </is>
      </c>
      <c r="BE313" s="71" t="n"/>
      <c r="BF313" s="71" t="n"/>
      <c r="BG313" s="71" t="n"/>
      <c r="BH313" s="71" t="n">
        <v>0</v>
      </c>
      <c r="BI313" s="71" t="n">
        <v>0</v>
      </c>
      <c r="BJ313" s="69" t="inlineStr">
        <is>
          <t>N</t>
        </is>
      </c>
      <c r="BK313" s="69" t="inlineStr">
        <is>
          <t>Schnucks Markets Inc.</t>
        </is>
      </c>
      <c r="BL313" s="75" t="n">
        <v>80.95</v>
      </c>
      <c r="BM313" s="73" t="n">
        <v>49674</v>
      </c>
      <c r="BN313" s="69" t="inlineStr">
        <is>
          <t>James G. Sansone, Timothy G. Sansone, Douglas G. Sansone and Nicholas G. Sansone</t>
        </is>
      </c>
      <c r="BO313" s="69" t="inlineStr">
        <is>
          <t>Goldman Sachs</t>
        </is>
      </c>
      <c r="BP313" s="69" t="inlineStr">
        <is>
          <t>TriMont Real Estate Advisors</t>
        </is>
      </c>
      <c r="BQ313" s="69" t="inlineStr">
        <is>
          <t>K-Star Asset Management LLC</t>
        </is>
      </c>
      <c r="BR313" s="69" t="n"/>
      <c r="BS313" s="73" t="n">
        <v>46273</v>
      </c>
      <c r="BU313" s="76">
        <f>IF($C313="","",IFERROR(INDEX(dmName,MATCH($C313,dmID,0)),"Unmapped"))</f>
        <v/>
      </c>
      <c r="BV313" s="76">
        <f>IF($C313="","",IFERROR(INDEX(dmEntity,MATCH($C313,dmID,0)),"Unmapped"))</f>
        <v/>
      </c>
      <c r="BW313" s="77">
        <f>IF($C313="","",IFERROR(INDEX(dmVintage,MATCH($C313,dmID,0)),""))</f>
        <v/>
      </c>
      <c r="BX313" s="78">
        <f>IFERROR(INDEX(dmInclude,MATCH($C313,dmID,0)),0)</f>
        <v/>
      </c>
      <c r="BY313" s="78">
        <f>IF(N($I313)&gt;0,1,0)</f>
        <v/>
      </c>
      <c r="BZ313" s="76">
        <f>IF($AJ313="","Other / Leased Fee",IFERROR(INDEX(mapPTGroup,MATCH(LEFT(TRIM($AJ313),2),mapPTCode,0)),"Other / Leased Fee"))</f>
        <v/>
      </c>
      <c r="CA313" s="76">
        <f>IF(TRIM($AF313&amp;"")="","NR",LEFT(TRIM($AF313),2))</f>
        <v/>
      </c>
      <c r="CB313" s="76">
        <f>IFERROR(LOOKUP(2,1/(LEFT(TRIM($AI313&amp;""),LEN(mapRegion))=mapRegion),mapRegion),"Not Reported")</f>
        <v/>
      </c>
      <c r="CC313" s="76">
        <f>IF($BY313=0,"",IF(TRIM($W313&amp;"")="REO","REO",IF(TRIM($W313&amp;"")="FC","Foreclosure",IF(TRIM($W313&amp;"")="90+","90+ Days Delinquent",IF(TRIM($W313&amp;"")="60","60 Days Delinquent",IF(TRIM($W313&amp;"")="30","30 Days Delinquent",IF($X313="Non-Performing Matured Balloon","Non-Performing Matured Balloon",IF(OR($X313="Late Payment But Less Than 30 Days Delinquent",LEFT($X313&amp;"",20)="Payment Not Received"),"Late / In Grace (&lt;30 Days)",IF($X313="Performing Matured Balloon","Performing Matured Balloon","Current")))))))))</f>
        <v/>
      </c>
      <c r="CD313" s="78">
        <f>IF(OR($CC313="REO",$CC313="Foreclosure",$CC313="90+ Days Delinquent",$CC313="60 Days Delinquent",$CC313="30 Days Delinquent",$CC313="Non-Performing Matured Balloon"),1,0)</f>
        <v/>
      </c>
      <c r="CE313" s="76">
        <f>IF($AB313="Currently special serv","Currently Specially Serviced",IF($AB313="Returned to master serv","Previously Specially Serviced","Never Specially Serviced"))</f>
        <v/>
      </c>
      <c r="CF313" s="78">
        <f>IF($CE313="Currently Specially Serviced",1,0)</f>
        <v/>
      </c>
      <c r="CG313" s="76">
        <f>IF($AA313="Yes","Currently on Watchlist",IF($AA313="Previously","Previously on Watchlist","Never on Watchlist"))</f>
        <v/>
      </c>
      <c r="CH313" s="78">
        <f>IF($CG313="Currently on Watchlist",1,0)</f>
        <v/>
      </c>
      <c r="CI313" s="76">
        <f>IF($Z313="Full Defeasance","Fully Defeased",IF($Z313="Portion Of Loan Previously Defeased","Partially Defeased",IF($Z313="Defeasance Not Allowable","Not Defeased (Not Permitted)","Not Defeased")))</f>
        <v/>
      </c>
      <c r="CJ313" s="78">
        <f>IF($CI313="Fully Defeased",1,0)</f>
        <v/>
      </c>
      <c r="CK313" s="76">
        <f>IF($R313="IO","Full IO",IF(LEFT($R313&amp;"",7)="IO then","Partial IO","Amortizing"))</f>
        <v/>
      </c>
      <c r="CL313" s="78">
        <f>IF($CK313="Full IO",1,0)</f>
        <v/>
      </c>
      <c r="CM313" s="78">
        <f>IF($CK313="Partial IO",1,0)</f>
        <v/>
      </c>
      <c r="CN313" s="76">
        <f>IF(LEFT($F313&amp;"",10)="SPLIT_LOAN","Pari Passu Split","Standalone")</f>
        <v/>
      </c>
      <c r="CO313" s="78">
        <f>IF($CN313="Pari Passu Split",1,0)</f>
        <v/>
      </c>
      <c r="CP313" s="77">
        <f>IF(ISNUMBER($T313),YEAR($T313),"")</f>
        <v/>
      </c>
      <c r="CQ313" s="79">
        <f>IF(ISNUMBER($V313),$V313,IF(ISNUMBER($U313),$U313,""))</f>
        <v/>
      </c>
      <c r="CR313" s="77">
        <f>IF(ISNUMBER($CQ313),YEAR($CQ313),"")</f>
        <v/>
      </c>
      <c r="CS313" s="78">
        <f>IF(ISNUMBER($M313),MAX(0,$M313),IF(TRIM($M313&amp;"")="matured",0,""))</f>
        <v/>
      </c>
      <c r="CT313" s="78">
        <f>IF(AND(ISNUMBER($CS313),N($CS313)&lt;=mMatWindow),1,0)</f>
        <v/>
      </c>
      <c r="CU313" s="80">
        <f>IF(ISNUMBER($J313),$J313/100,"")</f>
        <v/>
      </c>
      <c r="CV313" s="81">
        <f>IF(ISNUMBER($AQ313),$AQ313,"")</f>
        <v/>
      </c>
      <c r="CW313" s="81">
        <f>IF(ISNUMBER($AR313),$AR313,"")</f>
        <v/>
      </c>
      <c r="CX313" s="82">
        <f>IF(ISNUMBER($AS313),$AS313/100,"")</f>
        <v/>
      </c>
      <c r="CY313" s="82">
        <f>IF(ISNUMBER($AT313),$AT313/100,"")</f>
        <v/>
      </c>
      <c r="CZ313" s="82">
        <f>IF(ISNUMBER($AU313),$AU313/100,"")</f>
        <v/>
      </c>
      <c r="DA313" s="82">
        <f>IF(ISNUMBER($AV313),$AV313/100,"")</f>
        <v/>
      </c>
      <c r="DB313" s="82">
        <f>IF(ISNUMBER($AW313),$AW313/100,"")</f>
        <v/>
      </c>
      <c r="DC313" s="82">
        <f>IF(ISNUMBER($AX313),$AX313/100,"")</f>
        <v/>
      </c>
      <c r="DD313" s="77">
        <f>IFERROR(VALUE(LEFT(TRIM($AO313&amp;""),4)),"")</f>
        <v/>
      </c>
      <c r="DE313" s="78">
        <f>IF(AND($BY313=1,$BX313=1,OR(fDeal="All Deals",$BU313=fDeal),OR(fEntity="All Entities",$BV313=fEntity),OR(fPType="All Property Types",$BZ313=fPType),OR(fDefeased="Include",$CJ313=0)),1,0)</f>
        <v/>
      </c>
      <c r="DF313" s="83">
        <f>$DE313*N($I313)</f>
        <v/>
      </c>
      <c r="DG313" s="78">
        <f>IF($DE313=1,IF(COUNTIFS($F$8:$F313,$F313,$DE$8:$DE313,1)=1,1,0),0)</f>
        <v/>
      </c>
      <c r="DH313" s="83">
        <f>IF($DG313=1,SUMIFS($DF$8:$DF$1600,$F$8:$F$1600,$F313),0)</f>
        <v/>
      </c>
      <c r="DI313" s="78">
        <f>IF($DG313=1,COUNTIFS($F$8:$F$1600,$F313,$DE$8:$DE$1600,1),0)</f>
        <v/>
      </c>
      <c r="DJ313" s="84">
        <f>IF($DG313=1,$DH313+(100000-ROW())/mTieBreak,0)</f>
        <v/>
      </c>
    </row>
    <row r="314">
      <c r="B314" s="68" t="n">
        <v>31</v>
      </c>
      <c r="C314" s="69" t="inlineStr">
        <is>
          <t>GS217GS8</t>
        </is>
      </c>
      <c r="D314" s="69" t="inlineStr">
        <is>
          <t>31.000</t>
        </is>
      </c>
      <c r="E314" s="69" t="inlineStr">
        <is>
          <t>6502-6530 South Academy Boulevard</t>
        </is>
      </c>
      <c r="F314" s="69" t="inlineStr">
        <is>
          <t>LNGS217GS8-31.000</t>
        </is>
      </c>
      <c r="G314" s="70" t="n"/>
      <c r="H314" s="71" t="n">
        <v>7350000</v>
      </c>
      <c r="I314" s="71" t="n">
        <v>6322228.009996501</v>
      </c>
      <c r="J314" s="72" t="n">
        <v>4.688</v>
      </c>
      <c r="K314" s="69" t="inlineStr">
        <is>
          <t>Fixed rate</t>
        </is>
      </c>
      <c r="L314" s="68" t="n">
        <v>120</v>
      </c>
      <c r="M314" s="68" t="n">
        <v>13</v>
      </c>
      <c r="N314" s="68" t="n">
        <v>372</v>
      </c>
      <c r="O314" s="68" t="n">
        <v>12</v>
      </c>
      <c r="P314" s="68" t="n">
        <v>0</v>
      </c>
      <c r="Q314" s="68" t="n">
        <v>107</v>
      </c>
      <c r="R314" s="69" t="inlineStr">
        <is>
          <t>IO then Amort</t>
        </is>
      </c>
      <c r="S314" s="69" t="inlineStr">
        <is>
          <t>No</t>
        </is>
      </c>
      <c r="T314" s="73" t="n">
        <v>43009</v>
      </c>
      <c r="U314" s="73" t="n">
        <v>46666</v>
      </c>
      <c r="V314" s="73" t="n"/>
      <c r="W314" s="69" t="n"/>
      <c r="X314" s="69" t="inlineStr">
        <is>
          <t>Current</t>
        </is>
      </c>
      <c r="Y314" s="68" t="n"/>
      <c r="Z314" s="69" t="inlineStr">
        <is>
          <t>No Defeasance Occurred</t>
        </is>
      </c>
      <c r="AA314" s="69" t="inlineStr">
        <is>
          <t>Previously</t>
        </is>
      </c>
      <c r="AB314" s="69" t="inlineStr">
        <is>
          <t>Never special serv</t>
        </is>
      </c>
      <c r="AC314" s="73" t="n"/>
      <c r="AD314" s="69" t="n"/>
      <c r="AE314" s="69" t="n"/>
      <c r="AF314" s="69" t="inlineStr">
        <is>
          <t>CO</t>
        </is>
      </c>
      <c r="AG314" s="69" t="inlineStr">
        <is>
          <t>Colorado Springs</t>
        </is>
      </c>
      <c r="AH314" s="69" t="inlineStr">
        <is>
          <t>Colorado Springs, CO</t>
        </is>
      </c>
      <c r="AI314" s="69" t="inlineStr">
        <is>
          <t>West / Mountain</t>
        </is>
      </c>
      <c r="AJ314" s="69" t="inlineStr">
        <is>
          <t>RT</t>
        </is>
      </c>
      <c r="AK314" s="69" t="inlineStr">
        <is>
          <t>Shadow Anchored</t>
        </is>
      </c>
      <c r="AL314" s="68" t="n">
        <v>1</v>
      </c>
      <c r="AM314" s="68" t="n"/>
      <c r="AN314" s="68" t="n">
        <v>41667</v>
      </c>
      <c r="AO314" s="69" t="inlineStr">
        <is>
          <t>1998</t>
        </is>
      </c>
      <c r="AP314" s="70" t="n">
        <v>1998</v>
      </c>
      <c r="AQ314" s="74" t="n">
        <v>1.35</v>
      </c>
      <c r="AR314" s="74" t="n">
        <v>1.48</v>
      </c>
      <c r="AS314" s="74" t="n">
        <v>66.04000000000001</v>
      </c>
      <c r="AT314" s="74" t="n">
        <v>56.8</v>
      </c>
      <c r="AU314" s="74" t="n">
        <v>54.9</v>
      </c>
      <c r="AV314" s="74" t="n">
        <v>8.403561361</v>
      </c>
      <c r="AW314" s="74" t="n">
        <v>14.977277923</v>
      </c>
      <c r="AX314" s="75" t="n">
        <v>84</v>
      </c>
      <c r="AY314" s="71" t="n">
        <v>11130000</v>
      </c>
      <c r="AZ314" s="71" t="n">
        <v>11130000</v>
      </c>
      <c r="BA314" s="71" t="n">
        <v>617661.76</v>
      </c>
      <c r="BB314" s="71" t="n">
        <v>337838.02</v>
      </c>
      <c r="BC314" s="69" t="inlineStr">
        <is>
          <t>Refinance</t>
        </is>
      </c>
      <c r="BD314" s="69" t="inlineStr">
        <is>
          <t>N</t>
        </is>
      </c>
      <c r="BE314" s="71" t="n"/>
      <c r="BF314" s="71" t="n"/>
      <c r="BG314" s="71" t="n"/>
      <c r="BH314" s="71" t="n">
        <v>0</v>
      </c>
      <c r="BI314" s="71" t="n">
        <v>0</v>
      </c>
      <c r="BJ314" s="69" t="inlineStr">
        <is>
          <t>N</t>
        </is>
      </c>
      <c r="BK314" s="69" t="inlineStr">
        <is>
          <t>Montana Liquor</t>
        </is>
      </c>
      <c r="BL314" s="75" t="n">
        <v>9.66</v>
      </c>
      <c r="BM314" s="73" t="n">
        <v>49034</v>
      </c>
      <c r="BN314" s="69" t="inlineStr">
        <is>
          <t>Aric Lasky, Timothy Siegel and Randy Banchik</t>
        </is>
      </c>
      <c r="BO314" s="69" t="inlineStr">
        <is>
          <t>Goldman Sachs</t>
        </is>
      </c>
      <c r="BP314" s="69" t="inlineStr">
        <is>
          <t>TriMont Real Estate Advisors</t>
        </is>
      </c>
      <c r="BQ314" s="69" t="inlineStr">
        <is>
          <t>K-Star Asset Management LLC</t>
        </is>
      </c>
      <c r="BR314" s="69" t="n"/>
      <c r="BS314" s="73" t="n">
        <v>46273</v>
      </c>
      <c r="BU314" s="76">
        <f>IF($C314="","",IFERROR(INDEX(dmName,MATCH($C314,dmID,0)),"Unmapped"))</f>
        <v/>
      </c>
      <c r="BV314" s="76">
        <f>IF($C314="","",IFERROR(INDEX(dmEntity,MATCH($C314,dmID,0)),"Unmapped"))</f>
        <v/>
      </c>
      <c r="BW314" s="77">
        <f>IF($C314="","",IFERROR(INDEX(dmVintage,MATCH($C314,dmID,0)),""))</f>
        <v/>
      </c>
      <c r="BX314" s="78">
        <f>IFERROR(INDEX(dmInclude,MATCH($C314,dmID,0)),0)</f>
        <v/>
      </c>
      <c r="BY314" s="78">
        <f>IF(N($I314)&gt;0,1,0)</f>
        <v/>
      </c>
      <c r="BZ314" s="76">
        <f>IF($AJ314="","Other / Leased Fee",IFERROR(INDEX(mapPTGroup,MATCH(LEFT(TRIM($AJ314),2),mapPTCode,0)),"Other / Leased Fee"))</f>
        <v/>
      </c>
      <c r="CA314" s="76">
        <f>IF(TRIM($AF314&amp;"")="","NR",LEFT(TRIM($AF314),2))</f>
        <v/>
      </c>
      <c r="CB314" s="76">
        <f>IFERROR(LOOKUP(2,1/(LEFT(TRIM($AI314&amp;""),LEN(mapRegion))=mapRegion),mapRegion),"Not Reported")</f>
        <v/>
      </c>
      <c r="CC314" s="76">
        <f>IF($BY314=0,"",IF(TRIM($W314&amp;"")="REO","REO",IF(TRIM($W314&amp;"")="FC","Foreclosure",IF(TRIM($W314&amp;"")="90+","90+ Days Delinquent",IF(TRIM($W314&amp;"")="60","60 Days Delinquent",IF(TRIM($W314&amp;"")="30","30 Days Delinquent",IF($X314="Non-Performing Matured Balloon","Non-Performing Matured Balloon",IF(OR($X314="Late Payment But Less Than 30 Days Delinquent",LEFT($X314&amp;"",20)="Payment Not Received"),"Late / In Grace (&lt;30 Days)",IF($X314="Performing Matured Balloon","Performing Matured Balloon","Current")))))))))</f>
        <v/>
      </c>
      <c r="CD314" s="78">
        <f>IF(OR($CC314="REO",$CC314="Foreclosure",$CC314="90+ Days Delinquent",$CC314="60 Days Delinquent",$CC314="30 Days Delinquent",$CC314="Non-Performing Matured Balloon"),1,0)</f>
        <v/>
      </c>
      <c r="CE314" s="76">
        <f>IF($AB314="Currently special serv","Currently Specially Serviced",IF($AB314="Returned to master serv","Previously Specially Serviced","Never Specially Serviced"))</f>
        <v/>
      </c>
      <c r="CF314" s="78">
        <f>IF($CE314="Currently Specially Serviced",1,0)</f>
        <v/>
      </c>
      <c r="CG314" s="76">
        <f>IF($AA314="Yes","Currently on Watchlist",IF($AA314="Previously","Previously on Watchlist","Never on Watchlist"))</f>
        <v/>
      </c>
      <c r="CH314" s="78">
        <f>IF($CG314="Currently on Watchlist",1,0)</f>
        <v/>
      </c>
      <c r="CI314" s="76">
        <f>IF($Z314="Full Defeasance","Fully Defeased",IF($Z314="Portion Of Loan Previously Defeased","Partially Defeased",IF($Z314="Defeasance Not Allowable","Not Defeased (Not Permitted)","Not Defeased")))</f>
        <v/>
      </c>
      <c r="CJ314" s="78">
        <f>IF($CI314="Fully Defeased",1,0)</f>
        <v/>
      </c>
      <c r="CK314" s="76">
        <f>IF($R314="IO","Full IO",IF(LEFT($R314&amp;"",7)="IO then","Partial IO","Amortizing"))</f>
        <v/>
      </c>
      <c r="CL314" s="78">
        <f>IF($CK314="Full IO",1,0)</f>
        <v/>
      </c>
      <c r="CM314" s="78">
        <f>IF($CK314="Partial IO",1,0)</f>
        <v/>
      </c>
      <c r="CN314" s="76">
        <f>IF(LEFT($F314&amp;"",10)="SPLIT_LOAN","Pari Passu Split","Standalone")</f>
        <v/>
      </c>
      <c r="CO314" s="78">
        <f>IF($CN314="Pari Passu Split",1,0)</f>
        <v/>
      </c>
      <c r="CP314" s="77">
        <f>IF(ISNUMBER($T314),YEAR($T314),"")</f>
        <v/>
      </c>
      <c r="CQ314" s="79">
        <f>IF(ISNUMBER($V314),$V314,IF(ISNUMBER($U314),$U314,""))</f>
        <v/>
      </c>
      <c r="CR314" s="77">
        <f>IF(ISNUMBER($CQ314),YEAR($CQ314),"")</f>
        <v/>
      </c>
      <c r="CS314" s="78">
        <f>IF(ISNUMBER($M314),MAX(0,$M314),IF(TRIM($M314&amp;"")="matured",0,""))</f>
        <v/>
      </c>
      <c r="CT314" s="78">
        <f>IF(AND(ISNUMBER($CS314),N($CS314)&lt;=mMatWindow),1,0)</f>
        <v/>
      </c>
      <c r="CU314" s="80">
        <f>IF(ISNUMBER($J314),$J314/100,"")</f>
        <v/>
      </c>
      <c r="CV314" s="81">
        <f>IF(ISNUMBER($AQ314),$AQ314,"")</f>
        <v/>
      </c>
      <c r="CW314" s="81">
        <f>IF(ISNUMBER($AR314),$AR314,"")</f>
        <v/>
      </c>
      <c r="CX314" s="82">
        <f>IF(ISNUMBER($AS314),$AS314/100,"")</f>
        <v/>
      </c>
      <c r="CY314" s="82">
        <f>IF(ISNUMBER($AT314),$AT314/100,"")</f>
        <v/>
      </c>
      <c r="CZ314" s="82">
        <f>IF(ISNUMBER($AU314),$AU314/100,"")</f>
        <v/>
      </c>
      <c r="DA314" s="82">
        <f>IF(ISNUMBER($AV314),$AV314/100,"")</f>
        <v/>
      </c>
      <c r="DB314" s="82">
        <f>IF(ISNUMBER($AW314),$AW314/100,"")</f>
        <v/>
      </c>
      <c r="DC314" s="82">
        <f>IF(ISNUMBER($AX314),$AX314/100,"")</f>
        <v/>
      </c>
      <c r="DD314" s="77">
        <f>IFERROR(VALUE(LEFT(TRIM($AO314&amp;""),4)),"")</f>
        <v/>
      </c>
      <c r="DE314" s="78">
        <f>IF(AND($BY314=1,$BX314=1,OR(fDeal="All Deals",$BU314=fDeal),OR(fEntity="All Entities",$BV314=fEntity),OR(fPType="All Property Types",$BZ314=fPType),OR(fDefeased="Include",$CJ314=0)),1,0)</f>
        <v/>
      </c>
      <c r="DF314" s="83">
        <f>$DE314*N($I314)</f>
        <v/>
      </c>
      <c r="DG314" s="78">
        <f>IF($DE314=1,IF(COUNTIFS($F$8:$F314,$F314,$DE$8:$DE314,1)=1,1,0),0)</f>
        <v/>
      </c>
      <c r="DH314" s="83">
        <f>IF($DG314=1,SUMIFS($DF$8:$DF$1600,$F$8:$F$1600,$F314),0)</f>
        <v/>
      </c>
      <c r="DI314" s="78">
        <f>IF($DG314=1,COUNTIFS($F$8:$F$1600,$F314,$DE$8:$DE$1600,1),0)</f>
        <v/>
      </c>
      <c r="DJ314" s="84">
        <f>IF($DG314=1,$DH314+(100000-ROW())/mTieBreak,0)</f>
        <v/>
      </c>
    </row>
    <row r="315">
      <c r="B315" s="68" t="n">
        <v>32</v>
      </c>
      <c r="C315" s="69" t="inlineStr">
        <is>
          <t>GS217GS8</t>
        </is>
      </c>
      <c r="D315" s="69" t="inlineStr">
        <is>
          <t>32.000</t>
        </is>
      </c>
      <c r="E315" s="69" t="inlineStr">
        <is>
          <t>Eliot Street Center</t>
        </is>
      </c>
      <c r="F315" s="69" t="inlineStr">
        <is>
          <t>LNGS217GS8-32.000</t>
        </is>
      </c>
      <c r="G315" s="70" t="n"/>
      <c r="H315" s="71" t="n">
        <v>7200000</v>
      </c>
      <c r="I315" s="71" t="n">
        <v>6381311.8199976</v>
      </c>
      <c r="J315" s="72" t="n">
        <v>4.885</v>
      </c>
      <c r="K315" s="69" t="inlineStr">
        <is>
          <t>Fixed rate</t>
        </is>
      </c>
      <c r="L315" s="68" t="n">
        <v>120</v>
      </c>
      <c r="M315" s="68" t="n">
        <v>14</v>
      </c>
      <c r="N315" s="68" t="n">
        <v>384</v>
      </c>
      <c r="O315" s="68" t="n">
        <v>24</v>
      </c>
      <c r="P315" s="68" t="n">
        <v>0</v>
      </c>
      <c r="Q315" s="68" t="n">
        <v>106</v>
      </c>
      <c r="R315" s="69" t="inlineStr">
        <is>
          <t>IO then Amort</t>
        </is>
      </c>
      <c r="S315" s="69" t="inlineStr">
        <is>
          <t>No</t>
        </is>
      </c>
      <c r="T315" s="73" t="n">
        <v>43040</v>
      </c>
      <c r="U315" s="73" t="n">
        <v>46697</v>
      </c>
      <c r="V315" s="73" t="n"/>
      <c r="W315" s="69" t="n"/>
      <c r="X315" s="69" t="inlineStr">
        <is>
          <t>Current</t>
        </is>
      </c>
      <c r="Y315" s="68" t="n"/>
      <c r="Z315" s="69" t="inlineStr">
        <is>
          <t>No Defeasance Occurred</t>
        </is>
      </c>
      <c r="AA315" s="69" t="inlineStr">
        <is>
          <t>Previously</t>
        </is>
      </c>
      <c r="AB315" s="69" t="inlineStr">
        <is>
          <t>Never special serv</t>
        </is>
      </c>
      <c r="AC315" s="73" t="n"/>
      <c r="AD315" s="69" t="n"/>
      <c r="AE315" s="69" t="n"/>
      <c r="AF315" s="69" t="inlineStr">
        <is>
          <t>CO</t>
        </is>
      </c>
      <c r="AG315" s="69" t="inlineStr">
        <is>
          <t>Denver</t>
        </is>
      </c>
      <c r="AH315" s="69" t="inlineStr">
        <is>
          <t>Denver-Aurora-Centennial, CO</t>
        </is>
      </c>
      <c r="AI315" s="69" t="inlineStr">
        <is>
          <t>West / Mountain</t>
        </is>
      </c>
      <c r="AJ315" s="69" t="inlineStr">
        <is>
          <t>MX</t>
        </is>
      </c>
      <c r="AK315" s="69" t="inlineStr">
        <is>
          <t>Multifamily/Retail</t>
        </is>
      </c>
      <c r="AL315" s="68" t="n">
        <v>1</v>
      </c>
      <c r="AM315" s="68" t="n"/>
      <c r="AN315" s="68" t="n">
        <v>7224</v>
      </c>
      <c r="AO315" s="69" t="inlineStr">
        <is>
          <t>2017</t>
        </is>
      </c>
      <c r="AP315" s="70" t="n">
        <v>2017</v>
      </c>
      <c r="AQ315" s="74" t="n">
        <v>1.2</v>
      </c>
      <c r="AR315" s="74" t="n">
        <v>1.07</v>
      </c>
      <c r="AS315" s="74" t="n">
        <v>67.73</v>
      </c>
      <c r="AT315" s="74" t="n">
        <v>60.03</v>
      </c>
      <c r="AU315" s="74" t="n">
        <v>58.43</v>
      </c>
      <c r="AV315" s="74" t="n">
        <v>7.632222361</v>
      </c>
      <c r="AW315" s="74" t="n">
        <v>7.682699323</v>
      </c>
      <c r="AX315" s="75" t="n">
        <v>94</v>
      </c>
      <c r="AY315" s="71" t="n">
        <v>10630000</v>
      </c>
      <c r="AZ315" s="71" t="n">
        <v>10630000</v>
      </c>
      <c r="BA315" s="71" t="n">
        <v>549520.01</v>
      </c>
      <c r="BB315" s="71" t="n">
        <v>490257</v>
      </c>
      <c r="BC315" s="69" t="inlineStr">
        <is>
          <t>Refinance</t>
        </is>
      </c>
      <c r="BD315" s="69" t="inlineStr">
        <is>
          <t>N</t>
        </is>
      </c>
      <c r="BE315" s="71" t="n"/>
      <c r="BF315" s="71" t="n"/>
      <c r="BG315" s="71" t="n"/>
      <c r="BH315" s="71" t="n">
        <v>0</v>
      </c>
      <c r="BI315" s="71" t="n">
        <v>0</v>
      </c>
      <c r="BJ315" s="69" t="inlineStr">
        <is>
          <t>N</t>
        </is>
      </c>
      <c r="BK315" s="69" t="inlineStr">
        <is>
          <t>2901 RES INC</t>
        </is>
      </c>
      <c r="BL315" s="75" t="n">
        <v>52.15</v>
      </c>
      <c r="BM315" s="73" t="n">
        <v>46721</v>
      </c>
      <c r="BN315" s="69" t="inlineStr">
        <is>
          <t>Nathan Adams</t>
        </is>
      </c>
      <c r="BO315" s="69" t="inlineStr">
        <is>
          <t>Goldman Sachs</t>
        </is>
      </c>
      <c r="BP315" s="69" t="inlineStr">
        <is>
          <t>TriMont Real Estate Advisors</t>
        </is>
      </c>
      <c r="BQ315" s="69" t="inlineStr">
        <is>
          <t>K-Star Asset Management LLC</t>
        </is>
      </c>
      <c r="BR315" s="69" t="n"/>
      <c r="BS315" s="73" t="n">
        <v>46273</v>
      </c>
      <c r="BU315" s="76">
        <f>IF($C315="","",IFERROR(INDEX(dmName,MATCH($C315,dmID,0)),"Unmapped"))</f>
        <v/>
      </c>
      <c r="BV315" s="76">
        <f>IF($C315="","",IFERROR(INDEX(dmEntity,MATCH($C315,dmID,0)),"Unmapped"))</f>
        <v/>
      </c>
      <c r="BW315" s="77">
        <f>IF($C315="","",IFERROR(INDEX(dmVintage,MATCH($C315,dmID,0)),""))</f>
        <v/>
      </c>
      <c r="BX315" s="78">
        <f>IFERROR(INDEX(dmInclude,MATCH($C315,dmID,0)),0)</f>
        <v/>
      </c>
      <c r="BY315" s="78">
        <f>IF(N($I315)&gt;0,1,0)</f>
        <v/>
      </c>
      <c r="BZ315" s="76">
        <f>IF($AJ315="","Other / Leased Fee",IFERROR(INDEX(mapPTGroup,MATCH(LEFT(TRIM($AJ315),2),mapPTCode,0)),"Other / Leased Fee"))</f>
        <v/>
      </c>
      <c r="CA315" s="76">
        <f>IF(TRIM($AF315&amp;"")="","NR",LEFT(TRIM($AF315),2))</f>
        <v/>
      </c>
      <c r="CB315" s="76">
        <f>IFERROR(LOOKUP(2,1/(LEFT(TRIM($AI315&amp;""),LEN(mapRegion))=mapRegion),mapRegion),"Not Reported")</f>
        <v/>
      </c>
      <c r="CC315" s="76">
        <f>IF($BY315=0,"",IF(TRIM($W315&amp;"")="REO","REO",IF(TRIM($W315&amp;"")="FC","Foreclosure",IF(TRIM($W315&amp;"")="90+","90+ Days Delinquent",IF(TRIM($W315&amp;"")="60","60 Days Delinquent",IF(TRIM($W315&amp;"")="30","30 Days Delinquent",IF($X315="Non-Performing Matured Balloon","Non-Performing Matured Balloon",IF(OR($X315="Late Payment But Less Than 30 Days Delinquent",LEFT($X315&amp;"",20)="Payment Not Received"),"Late / In Grace (&lt;30 Days)",IF($X315="Performing Matured Balloon","Performing Matured Balloon","Current")))))))))</f>
        <v/>
      </c>
      <c r="CD315" s="78">
        <f>IF(OR($CC315="REO",$CC315="Foreclosure",$CC315="90+ Days Delinquent",$CC315="60 Days Delinquent",$CC315="30 Days Delinquent",$CC315="Non-Performing Matured Balloon"),1,0)</f>
        <v/>
      </c>
      <c r="CE315" s="76">
        <f>IF($AB315="Currently special serv","Currently Specially Serviced",IF($AB315="Returned to master serv","Previously Specially Serviced","Never Specially Serviced"))</f>
        <v/>
      </c>
      <c r="CF315" s="78">
        <f>IF($CE315="Currently Specially Serviced",1,0)</f>
        <v/>
      </c>
      <c r="CG315" s="76">
        <f>IF($AA315="Yes","Currently on Watchlist",IF($AA315="Previously","Previously on Watchlist","Never on Watchlist"))</f>
        <v/>
      </c>
      <c r="CH315" s="78">
        <f>IF($CG315="Currently on Watchlist",1,0)</f>
        <v/>
      </c>
      <c r="CI315" s="76">
        <f>IF($Z315="Full Defeasance","Fully Defeased",IF($Z315="Portion Of Loan Previously Defeased","Partially Defeased",IF($Z315="Defeasance Not Allowable","Not Defeased (Not Permitted)","Not Defeased")))</f>
        <v/>
      </c>
      <c r="CJ315" s="78">
        <f>IF($CI315="Fully Defeased",1,0)</f>
        <v/>
      </c>
      <c r="CK315" s="76">
        <f>IF($R315="IO","Full IO",IF(LEFT($R315&amp;"",7)="IO then","Partial IO","Amortizing"))</f>
        <v/>
      </c>
      <c r="CL315" s="78">
        <f>IF($CK315="Full IO",1,0)</f>
        <v/>
      </c>
      <c r="CM315" s="78">
        <f>IF($CK315="Partial IO",1,0)</f>
        <v/>
      </c>
      <c r="CN315" s="76">
        <f>IF(LEFT($F315&amp;"",10)="SPLIT_LOAN","Pari Passu Split","Standalone")</f>
        <v/>
      </c>
      <c r="CO315" s="78">
        <f>IF($CN315="Pari Passu Split",1,0)</f>
        <v/>
      </c>
      <c r="CP315" s="77">
        <f>IF(ISNUMBER($T315),YEAR($T315),"")</f>
        <v/>
      </c>
      <c r="CQ315" s="79">
        <f>IF(ISNUMBER($V315),$V315,IF(ISNUMBER($U315),$U315,""))</f>
        <v/>
      </c>
      <c r="CR315" s="77">
        <f>IF(ISNUMBER($CQ315),YEAR($CQ315),"")</f>
        <v/>
      </c>
      <c r="CS315" s="78">
        <f>IF(ISNUMBER($M315),MAX(0,$M315),IF(TRIM($M315&amp;"")="matured",0,""))</f>
        <v/>
      </c>
      <c r="CT315" s="78">
        <f>IF(AND(ISNUMBER($CS315),N($CS315)&lt;=mMatWindow),1,0)</f>
        <v/>
      </c>
      <c r="CU315" s="80">
        <f>IF(ISNUMBER($J315),$J315/100,"")</f>
        <v/>
      </c>
      <c r="CV315" s="81">
        <f>IF(ISNUMBER($AQ315),$AQ315,"")</f>
        <v/>
      </c>
      <c r="CW315" s="81">
        <f>IF(ISNUMBER($AR315),$AR315,"")</f>
        <v/>
      </c>
      <c r="CX315" s="82">
        <f>IF(ISNUMBER($AS315),$AS315/100,"")</f>
        <v/>
      </c>
      <c r="CY315" s="82">
        <f>IF(ISNUMBER($AT315),$AT315/100,"")</f>
        <v/>
      </c>
      <c r="CZ315" s="82">
        <f>IF(ISNUMBER($AU315),$AU315/100,"")</f>
        <v/>
      </c>
      <c r="DA315" s="82">
        <f>IF(ISNUMBER($AV315),$AV315/100,"")</f>
        <v/>
      </c>
      <c r="DB315" s="82">
        <f>IF(ISNUMBER($AW315),$AW315/100,"")</f>
        <v/>
      </c>
      <c r="DC315" s="82">
        <f>IF(ISNUMBER($AX315),$AX315/100,"")</f>
        <v/>
      </c>
      <c r="DD315" s="77">
        <f>IFERROR(VALUE(LEFT(TRIM($AO315&amp;""),4)),"")</f>
        <v/>
      </c>
      <c r="DE315" s="78">
        <f>IF(AND($BY315=1,$BX315=1,OR(fDeal="All Deals",$BU315=fDeal),OR(fEntity="All Entities",$BV315=fEntity),OR(fPType="All Property Types",$BZ315=fPType),OR(fDefeased="Include",$CJ315=0)),1,0)</f>
        <v/>
      </c>
      <c r="DF315" s="83">
        <f>$DE315*N($I315)</f>
        <v/>
      </c>
      <c r="DG315" s="78">
        <f>IF($DE315=1,IF(COUNTIFS($F$8:$F315,$F315,$DE$8:$DE315,1)=1,1,0),0)</f>
        <v/>
      </c>
      <c r="DH315" s="83">
        <f>IF($DG315=1,SUMIFS($DF$8:$DF$1600,$F$8:$F$1600,$F315),0)</f>
        <v/>
      </c>
      <c r="DI315" s="78">
        <f>IF($DG315=1,COUNTIFS($F$8:$F$1600,$F315,$DE$8:$DE$1600,1),0)</f>
        <v/>
      </c>
      <c r="DJ315" s="84">
        <f>IF($DG315=1,$DH315+(100000-ROW())/mTieBreak,0)</f>
        <v/>
      </c>
    </row>
    <row r="316">
      <c r="B316" s="68" t="n">
        <v>33</v>
      </c>
      <c r="C316" s="69" t="inlineStr">
        <is>
          <t>GS217GS8</t>
        </is>
      </c>
      <c r="D316" s="69" t="inlineStr">
        <is>
          <t>33.000</t>
        </is>
      </c>
      <c r="E316" s="69" t="inlineStr">
        <is>
          <t>Cash Wise Center</t>
        </is>
      </c>
      <c r="F316" s="69" t="inlineStr">
        <is>
          <t>LNGS217GS8-33.000</t>
        </is>
      </c>
      <c r="G316" s="70" t="n"/>
      <c r="H316" s="71" t="n">
        <v>6570000</v>
      </c>
      <c r="I316" s="71" t="n">
        <v>6155312.619998971</v>
      </c>
      <c r="J316" s="72" t="n">
        <v>4.643</v>
      </c>
      <c r="K316" s="69" t="inlineStr">
        <is>
          <t>Fixed rate</t>
        </is>
      </c>
      <c r="L316" s="68" t="n">
        <v>120</v>
      </c>
      <c r="M316" s="68" t="n">
        <v>13</v>
      </c>
      <c r="N316" s="68" t="n">
        <v>420</v>
      </c>
      <c r="O316" s="68" t="n">
        <v>60</v>
      </c>
      <c r="P316" s="68" t="n">
        <v>0</v>
      </c>
      <c r="Q316" s="68" t="n">
        <v>107</v>
      </c>
      <c r="R316" s="69" t="inlineStr">
        <is>
          <t>IO then Amort</t>
        </is>
      </c>
      <c r="S316" s="69" t="inlineStr">
        <is>
          <t>No</t>
        </is>
      </c>
      <c r="T316" s="73" t="n">
        <v>43009</v>
      </c>
      <c r="U316" s="73" t="n">
        <v>46666</v>
      </c>
      <c r="V316" s="73" t="n"/>
      <c r="W316" s="69" t="n"/>
      <c r="X316" s="69" t="inlineStr">
        <is>
          <t>Current</t>
        </is>
      </c>
      <c r="Y316" s="68" t="n"/>
      <c r="Z316" s="69" t="inlineStr">
        <is>
          <t>No Defeasance Occurred</t>
        </is>
      </c>
      <c r="AA316" s="69" t="n"/>
      <c r="AB316" s="69" t="inlineStr">
        <is>
          <t>Never special serv</t>
        </is>
      </c>
      <c r="AC316" s="73" t="n"/>
      <c r="AD316" s="69" t="n"/>
      <c r="AE316" s="69" t="n"/>
      <c r="AF316" s="69" t="inlineStr">
        <is>
          <t>MN</t>
        </is>
      </c>
      <c r="AG316" s="69" t="inlineStr">
        <is>
          <t>St. Cloud</t>
        </is>
      </c>
      <c r="AH316" s="69" t="inlineStr">
        <is>
          <t>Minneapolis-St. Paul-Bloomington, MN-WI</t>
        </is>
      </c>
      <c r="AI316" s="69" t="inlineStr">
        <is>
          <t>Midwest / Central West</t>
        </is>
      </c>
      <c r="AJ316" s="69" t="inlineStr">
        <is>
          <t>RT</t>
        </is>
      </c>
      <c r="AK316" s="69" t="inlineStr">
        <is>
          <t>Anchored</t>
        </is>
      </c>
      <c r="AL316" s="68" t="n">
        <v>1</v>
      </c>
      <c r="AM316" s="68" t="n"/>
      <c r="AN316" s="68" t="n">
        <v>70900</v>
      </c>
      <c r="AO316" s="69" t="inlineStr">
        <is>
          <t>1993</t>
        </is>
      </c>
      <c r="AP316" s="70" t="n">
        <v>1993</v>
      </c>
      <c r="AQ316" s="74" t="n">
        <v>1.53</v>
      </c>
      <c r="AR316" s="74" t="n">
        <v>1.64</v>
      </c>
      <c r="AS316" s="74" t="n">
        <v>71.03</v>
      </c>
      <c r="AT316" s="74" t="n">
        <v>66.54000000000001</v>
      </c>
      <c r="AU316" s="74" t="n">
        <v>65.14</v>
      </c>
      <c r="AV316" s="74" t="n">
        <v>9.432990563000001</v>
      </c>
      <c r="AW316" s="74" t="n">
        <v>11.128398544</v>
      </c>
      <c r="AX316" s="75" t="n">
        <v>100</v>
      </c>
      <c r="AY316" s="71" t="n">
        <v>9250000</v>
      </c>
      <c r="AZ316" s="71" t="n">
        <v>9250000</v>
      </c>
      <c r="BA316" s="71" t="n">
        <v>619747.48</v>
      </c>
      <c r="BB316" s="71" t="n">
        <v>332248.12</v>
      </c>
      <c r="BC316" s="69" t="inlineStr">
        <is>
          <t>Acquisition</t>
        </is>
      </c>
      <c r="BD316" s="69" t="inlineStr">
        <is>
          <t>N</t>
        </is>
      </c>
      <c r="BE316" s="71" t="n"/>
      <c r="BF316" s="71" t="n"/>
      <c r="BG316" s="71" t="n"/>
      <c r="BH316" s="71" t="n">
        <v>0</v>
      </c>
      <c r="BI316" s="71" t="n">
        <v>0</v>
      </c>
      <c r="BJ316" s="69" t="inlineStr">
        <is>
          <t>N</t>
        </is>
      </c>
      <c r="BK316" s="69" t="inlineStr">
        <is>
          <t>Coborn's Super Store</t>
        </is>
      </c>
      <c r="BL316" s="75" t="n">
        <v>88.25</v>
      </c>
      <c r="BM316" s="73" t="n">
        <v>47483</v>
      </c>
      <c r="BN316" s="69" t="inlineStr">
        <is>
          <t>John I. Silverman</t>
        </is>
      </c>
      <c r="BO316" s="69" t="inlineStr">
        <is>
          <t>Goldman Sachs</t>
        </is>
      </c>
      <c r="BP316" s="69" t="inlineStr">
        <is>
          <t>TriMont Real Estate Advisors</t>
        </is>
      </c>
      <c r="BQ316" s="69" t="inlineStr">
        <is>
          <t>K-Star Asset Management LLC</t>
        </is>
      </c>
      <c r="BR316" s="69" t="n"/>
      <c r="BS316" s="73" t="n">
        <v>46273</v>
      </c>
      <c r="BU316" s="76">
        <f>IF($C316="","",IFERROR(INDEX(dmName,MATCH($C316,dmID,0)),"Unmapped"))</f>
        <v/>
      </c>
      <c r="BV316" s="76">
        <f>IF($C316="","",IFERROR(INDEX(dmEntity,MATCH($C316,dmID,0)),"Unmapped"))</f>
        <v/>
      </c>
      <c r="BW316" s="77">
        <f>IF($C316="","",IFERROR(INDEX(dmVintage,MATCH($C316,dmID,0)),""))</f>
        <v/>
      </c>
      <c r="BX316" s="78">
        <f>IFERROR(INDEX(dmInclude,MATCH($C316,dmID,0)),0)</f>
        <v/>
      </c>
      <c r="BY316" s="78">
        <f>IF(N($I316)&gt;0,1,0)</f>
        <v/>
      </c>
      <c r="BZ316" s="76">
        <f>IF($AJ316="","Other / Leased Fee",IFERROR(INDEX(mapPTGroup,MATCH(LEFT(TRIM($AJ316),2),mapPTCode,0)),"Other / Leased Fee"))</f>
        <v/>
      </c>
      <c r="CA316" s="76">
        <f>IF(TRIM($AF316&amp;"")="","NR",LEFT(TRIM($AF316),2))</f>
        <v/>
      </c>
      <c r="CB316" s="76">
        <f>IFERROR(LOOKUP(2,1/(LEFT(TRIM($AI316&amp;""),LEN(mapRegion))=mapRegion),mapRegion),"Not Reported")</f>
        <v/>
      </c>
      <c r="CC316" s="76">
        <f>IF($BY316=0,"",IF(TRIM($W316&amp;"")="REO","REO",IF(TRIM($W316&amp;"")="FC","Foreclosure",IF(TRIM($W316&amp;"")="90+","90+ Days Delinquent",IF(TRIM($W316&amp;"")="60","60 Days Delinquent",IF(TRIM($W316&amp;"")="30","30 Days Delinquent",IF($X316="Non-Performing Matured Balloon","Non-Performing Matured Balloon",IF(OR($X316="Late Payment But Less Than 30 Days Delinquent",LEFT($X316&amp;"",20)="Payment Not Received"),"Late / In Grace (&lt;30 Days)",IF($X316="Performing Matured Balloon","Performing Matured Balloon","Current")))))))))</f>
        <v/>
      </c>
      <c r="CD316" s="78">
        <f>IF(OR($CC316="REO",$CC316="Foreclosure",$CC316="90+ Days Delinquent",$CC316="60 Days Delinquent",$CC316="30 Days Delinquent",$CC316="Non-Performing Matured Balloon"),1,0)</f>
        <v/>
      </c>
      <c r="CE316" s="76">
        <f>IF($AB316="Currently special serv","Currently Specially Serviced",IF($AB316="Returned to master serv","Previously Specially Serviced","Never Specially Serviced"))</f>
        <v/>
      </c>
      <c r="CF316" s="78">
        <f>IF($CE316="Currently Specially Serviced",1,0)</f>
        <v/>
      </c>
      <c r="CG316" s="76">
        <f>IF($AA316="Yes","Currently on Watchlist",IF($AA316="Previously","Previously on Watchlist","Never on Watchlist"))</f>
        <v/>
      </c>
      <c r="CH316" s="78">
        <f>IF($CG316="Currently on Watchlist",1,0)</f>
        <v/>
      </c>
      <c r="CI316" s="76">
        <f>IF($Z316="Full Defeasance","Fully Defeased",IF($Z316="Portion Of Loan Previously Defeased","Partially Defeased",IF($Z316="Defeasance Not Allowable","Not Defeased (Not Permitted)","Not Defeased")))</f>
        <v/>
      </c>
      <c r="CJ316" s="78">
        <f>IF($CI316="Fully Defeased",1,0)</f>
        <v/>
      </c>
      <c r="CK316" s="76">
        <f>IF($R316="IO","Full IO",IF(LEFT($R316&amp;"",7)="IO then","Partial IO","Amortizing"))</f>
        <v/>
      </c>
      <c r="CL316" s="78">
        <f>IF($CK316="Full IO",1,0)</f>
        <v/>
      </c>
      <c r="CM316" s="78">
        <f>IF($CK316="Partial IO",1,0)</f>
        <v/>
      </c>
      <c r="CN316" s="76">
        <f>IF(LEFT($F316&amp;"",10)="SPLIT_LOAN","Pari Passu Split","Standalone")</f>
        <v/>
      </c>
      <c r="CO316" s="78">
        <f>IF($CN316="Pari Passu Split",1,0)</f>
        <v/>
      </c>
      <c r="CP316" s="77">
        <f>IF(ISNUMBER($T316),YEAR($T316),"")</f>
        <v/>
      </c>
      <c r="CQ316" s="79">
        <f>IF(ISNUMBER($V316),$V316,IF(ISNUMBER($U316),$U316,""))</f>
        <v/>
      </c>
      <c r="CR316" s="77">
        <f>IF(ISNUMBER($CQ316),YEAR($CQ316),"")</f>
        <v/>
      </c>
      <c r="CS316" s="78">
        <f>IF(ISNUMBER($M316),MAX(0,$M316),IF(TRIM($M316&amp;"")="matured",0,""))</f>
        <v/>
      </c>
      <c r="CT316" s="78">
        <f>IF(AND(ISNUMBER($CS316),N($CS316)&lt;=mMatWindow),1,0)</f>
        <v/>
      </c>
      <c r="CU316" s="80">
        <f>IF(ISNUMBER($J316),$J316/100,"")</f>
        <v/>
      </c>
      <c r="CV316" s="81">
        <f>IF(ISNUMBER($AQ316),$AQ316,"")</f>
        <v/>
      </c>
      <c r="CW316" s="81">
        <f>IF(ISNUMBER($AR316),$AR316,"")</f>
        <v/>
      </c>
      <c r="CX316" s="82">
        <f>IF(ISNUMBER($AS316),$AS316/100,"")</f>
        <v/>
      </c>
      <c r="CY316" s="82">
        <f>IF(ISNUMBER($AT316),$AT316/100,"")</f>
        <v/>
      </c>
      <c r="CZ316" s="82">
        <f>IF(ISNUMBER($AU316),$AU316/100,"")</f>
        <v/>
      </c>
      <c r="DA316" s="82">
        <f>IF(ISNUMBER($AV316),$AV316/100,"")</f>
        <v/>
      </c>
      <c r="DB316" s="82">
        <f>IF(ISNUMBER($AW316),$AW316/100,"")</f>
        <v/>
      </c>
      <c r="DC316" s="82">
        <f>IF(ISNUMBER($AX316),$AX316/100,"")</f>
        <v/>
      </c>
      <c r="DD316" s="77">
        <f>IFERROR(VALUE(LEFT(TRIM($AO316&amp;""),4)),"")</f>
        <v/>
      </c>
      <c r="DE316" s="78">
        <f>IF(AND($BY316=1,$BX316=1,OR(fDeal="All Deals",$BU316=fDeal),OR(fEntity="All Entities",$BV316=fEntity),OR(fPType="All Property Types",$BZ316=fPType),OR(fDefeased="Include",$CJ316=0)),1,0)</f>
        <v/>
      </c>
      <c r="DF316" s="83">
        <f>$DE316*N($I316)</f>
        <v/>
      </c>
      <c r="DG316" s="78">
        <f>IF($DE316=1,IF(COUNTIFS($F$8:$F316,$F316,$DE$8:$DE316,1)=1,1,0),0)</f>
        <v/>
      </c>
      <c r="DH316" s="83">
        <f>IF($DG316=1,SUMIFS($DF$8:$DF$1600,$F$8:$F$1600,$F316),0)</f>
        <v/>
      </c>
      <c r="DI316" s="78">
        <f>IF($DG316=1,COUNTIFS($F$8:$F$1600,$F316,$DE$8:$DE$1600,1),0)</f>
        <v/>
      </c>
      <c r="DJ316" s="84">
        <f>IF($DG316=1,$DH316+(100000-ROW())/mTieBreak,0)</f>
        <v/>
      </c>
    </row>
    <row r="317">
      <c r="B317" s="68" t="n">
        <v>34</v>
      </c>
      <c r="C317" s="69" t="inlineStr">
        <is>
          <t>GS217GS8</t>
        </is>
      </c>
      <c r="D317" s="69" t="inlineStr">
        <is>
          <t>34.000</t>
        </is>
      </c>
      <c r="E317" s="69" t="inlineStr">
        <is>
          <t>Ocoee Crossing</t>
        </is>
      </c>
      <c r="F317" s="69" t="inlineStr">
        <is>
          <t>LNGS217GS8-34.000</t>
        </is>
      </c>
      <c r="G317" s="70" t="n"/>
      <c r="H317" s="71" t="n">
        <v>6500000</v>
      </c>
      <c r="I317" s="71" t="n">
        <v>5691963.42</v>
      </c>
      <c r="J317" s="72" t="n">
        <v>4.4255</v>
      </c>
      <c r="K317" s="69" t="inlineStr">
        <is>
          <t>Fixed rate</t>
        </is>
      </c>
      <c r="L317" s="68" t="n">
        <v>117</v>
      </c>
      <c r="M317" s="68" t="n">
        <v>10</v>
      </c>
      <c r="N317" s="68" t="n">
        <v>384</v>
      </c>
      <c r="O317" s="68" t="n">
        <v>24</v>
      </c>
      <c r="P317" s="68" t="n">
        <v>0</v>
      </c>
      <c r="Q317" s="68" t="n">
        <v>107</v>
      </c>
      <c r="R317" s="69" t="inlineStr">
        <is>
          <t>IO then Amort</t>
        </is>
      </c>
      <c r="S317" s="69" t="inlineStr">
        <is>
          <t>No</t>
        </is>
      </c>
      <c r="T317" s="73" t="n">
        <v>43009</v>
      </c>
      <c r="U317" s="73" t="n">
        <v>46574</v>
      </c>
      <c r="V317" s="73" t="n"/>
      <c r="W317" s="69" t="n"/>
      <c r="X317" s="69" t="inlineStr">
        <is>
          <t>Current</t>
        </is>
      </c>
      <c r="Y317" s="68" t="n"/>
      <c r="Z317" s="69" t="inlineStr">
        <is>
          <t>Full Defeasance</t>
        </is>
      </c>
      <c r="AA317" s="69" t="n"/>
      <c r="AB317" s="69" t="inlineStr">
        <is>
          <t>Never special serv</t>
        </is>
      </c>
      <c r="AC317" s="73" t="n"/>
      <c r="AD317" s="69" t="n"/>
      <c r="AE317" s="69" t="n"/>
      <c r="AF317" s="69" t="inlineStr">
        <is>
          <t>TN</t>
        </is>
      </c>
      <c r="AG317" s="69" t="inlineStr">
        <is>
          <t>Cleveland</t>
        </is>
      </c>
      <c r="AH317" s="69" t="inlineStr">
        <is>
          <t>Cleveland, TN</t>
        </is>
      </c>
      <c r="AI317" s="69" t="inlineStr">
        <is>
          <t>South / Central East</t>
        </is>
      </c>
      <c r="AJ317" s="69" t="inlineStr">
        <is>
          <t>RT</t>
        </is>
      </c>
      <c r="AK317" s="69" t="inlineStr">
        <is>
          <t>Anchored</t>
        </is>
      </c>
      <c r="AL317" s="68" t="n">
        <v>1</v>
      </c>
      <c r="AM317" s="68" t="n"/>
      <c r="AN317" s="68" t="n">
        <v>62904</v>
      </c>
      <c r="AO317" s="69" t="inlineStr">
        <is>
          <t>2001</t>
        </is>
      </c>
      <c r="AP317" s="70" t="n">
        <v>2001</v>
      </c>
      <c r="AQ317" s="74" t="n">
        <v>1.49</v>
      </c>
      <c r="AR317" s="74" t="n">
        <v>1.66</v>
      </c>
      <c r="AS317" s="74" t="n">
        <v>71.81999999999999</v>
      </c>
      <c r="AT317" s="74" t="n">
        <v>62.89</v>
      </c>
      <c r="AU317" s="74" t="n">
        <v>61.22</v>
      </c>
      <c r="AV317" s="74" t="n">
        <v>8.999271538</v>
      </c>
      <c r="AW317" s="74" t="n">
        <v>11.422970283</v>
      </c>
      <c r="AX317" s="75" t="n">
        <v>100</v>
      </c>
      <c r="AY317" s="71" t="n">
        <v>9050000</v>
      </c>
      <c r="AZ317" s="71" t="n">
        <v>9050000</v>
      </c>
      <c r="BA317" s="71" t="n">
        <v>584952.65</v>
      </c>
      <c r="BB317" s="71" t="n">
        <v>650191.29</v>
      </c>
      <c r="BC317" s="69" t="inlineStr">
        <is>
          <t>Refinance</t>
        </is>
      </c>
      <c r="BD317" s="69" t="inlineStr">
        <is>
          <t>N</t>
        </is>
      </c>
      <c r="BE317" s="71" t="n"/>
      <c r="BF317" s="71" t="n"/>
      <c r="BG317" s="71" t="n"/>
      <c r="BH317" s="71" t="n">
        <v>0</v>
      </c>
      <c r="BI317" s="71" t="n">
        <v>0</v>
      </c>
      <c r="BJ317" s="69" t="inlineStr">
        <is>
          <t>N</t>
        </is>
      </c>
      <c r="BK317" s="69" t="inlineStr">
        <is>
          <t>KVAT FOOD STORES  INC.</t>
        </is>
      </c>
      <c r="BL317" s="75" t="n">
        <v>74.56</v>
      </c>
      <c r="BM317" s="73" t="n">
        <v>48944</v>
      </c>
      <c r="BN317" s="69" t="inlineStr">
        <is>
          <t>Todd A. Sachse</t>
        </is>
      </c>
      <c r="BO317" s="69" t="inlineStr">
        <is>
          <t>Goldman Sachs</t>
        </is>
      </c>
      <c r="BP317" s="69" t="inlineStr">
        <is>
          <t>TriMont Real Estate Advisors</t>
        </is>
      </c>
      <c r="BQ317" s="69" t="inlineStr">
        <is>
          <t>K-Star Asset Management LLC</t>
        </is>
      </c>
      <c r="BR317" s="69" t="n"/>
      <c r="BS317" s="73" t="n">
        <v>46273</v>
      </c>
      <c r="BU317" s="76">
        <f>IF($C317="","",IFERROR(INDEX(dmName,MATCH($C317,dmID,0)),"Unmapped"))</f>
        <v/>
      </c>
      <c r="BV317" s="76">
        <f>IF($C317="","",IFERROR(INDEX(dmEntity,MATCH($C317,dmID,0)),"Unmapped"))</f>
        <v/>
      </c>
      <c r="BW317" s="77">
        <f>IF($C317="","",IFERROR(INDEX(dmVintage,MATCH($C317,dmID,0)),""))</f>
        <v/>
      </c>
      <c r="BX317" s="78">
        <f>IFERROR(INDEX(dmInclude,MATCH($C317,dmID,0)),0)</f>
        <v/>
      </c>
      <c r="BY317" s="78">
        <f>IF(N($I317)&gt;0,1,0)</f>
        <v/>
      </c>
      <c r="BZ317" s="76">
        <f>IF($AJ317="","Other / Leased Fee",IFERROR(INDEX(mapPTGroup,MATCH(LEFT(TRIM($AJ317),2),mapPTCode,0)),"Other / Leased Fee"))</f>
        <v/>
      </c>
      <c r="CA317" s="76">
        <f>IF(TRIM($AF317&amp;"")="","NR",LEFT(TRIM($AF317),2))</f>
        <v/>
      </c>
      <c r="CB317" s="76">
        <f>IFERROR(LOOKUP(2,1/(LEFT(TRIM($AI317&amp;""),LEN(mapRegion))=mapRegion),mapRegion),"Not Reported")</f>
        <v/>
      </c>
      <c r="CC317" s="76">
        <f>IF($BY317=0,"",IF(TRIM($W317&amp;"")="REO","REO",IF(TRIM($W317&amp;"")="FC","Foreclosure",IF(TRIM($W317&amp;"")="90+","90+ Days Delinquent",IF(TRIM($W317&amp;"")="60","60 Days Delinquent",IF(TRIM($W317&amp;"")="30","30 Days Delinquent",IF($X317="Non-Performing Matured Balloon","Non-Performing Matured Balloon",IF(OR($X317="Late Payment But Less Than 30 Days Delinquent",LEFT($X317&amp;"",20)="Payment Not Received"),"Late / In Grace (&lt;30 Days)",IF($X317="Performing Matured Balloon","Performing Matured Balloon","Current")))))))))</f>
        <v/>
      </c>
      <c r="CD317" s="78">
        <f>IF(OR($CC317="REO",$CC317="Foreclosure",$CC317="90+ Days Delinquent",$CC317="60 Days Delinquent",$CC317="30 Days Delinquent",$CC317="Non-Performing Matured Balloon"),1,0)</f>
        <v/>
      </c>
      <c r="CE317" s="76">
        <f>IF($AB317="Currently special serv","Currently Specially Serviced",IF($AB317="Returned to master serv","Previously Specially Serviced","Never Specially Serviced"))</f>
        <v/>
      </c>
      <c r="CF317" s="78">
        <f>IF($CE317="Currently Specially Serviced",1,0)</f>
        <v/>
      </c>
      <c r="CG317" s="76">
        <f>IF($AA317="Yes","Currently on Watchlist",IF($AA317="Previously","Previously on Watchlist","Never on Watchlist"))</f>
        <v/>
      </c>
      <c r="CH317" s="78">
        <f>IF($CG317="Currently on Watchlist",1,0)</f>
        <v/>
      </c>
      <c r="CI317" s="76">
        <f>IF($Z317="Full Defeasance","Fully Defeased",IF($Z317="Portion Of Loan Previously Defeased","Partially Defeased",IF($Z317="Defeasance Not Allowable","Not Defeased (Not Permitted)","Not Defeased")))</f>
        <v/>
      </c>
      <c r="CJ317" s="78">
        <f>IF($CI317="Fully Defeased",1,0)</f>
        <v/>
      </c>
      <c r="CK317" s="76">
        <f>IF($R317="IO","Full IO",IF(LEFT($R317&amp;"",7)="IO then","Partial IO","Amortizing"))</f>
        <v/>
      </c>
      <c r="CL317" s="78">
        <f>IF($CK317="Full IO",1,0)</f>
        <v/>
      </c>
      <c r="CM317" s="78">
        <f>IF($CK317="Partial IO",1,0)</f>
        <v/>
      </c>
      <c r="CN317" s="76">
        <f>IF(LEFT($F317&amp;"",10)="SPLIT_LOAN","Pari Passu Split","Standalone")</f>
        <v/>
      </c>
      <c r="CO317" s="78">
        <f>IF($CN317="Pari Passu Split",1,0)</f>
        <v/>
      </c>
      <c r="CP317" s="77">
        <f>IF(ISNUMBER($T317),YEAR($T317),"")</f>
        <v/>
      </c>
      <c r="CQ317" s="79">
        <f>IF(ISNUMBER($V317),$V317,IF(ISNUMBER($U317),$U317,""))</f>
        <v/>
      </c>
      <c r="CR317" s="77">
        <f>IF(ISNUMBER($CQ317),YEAR($CQ317),"")</f>
        <v/>
      </c>
      <c r="CS317" s="78">
        <f>IF(ISNUMBER($M317),MAX(0,$M317),IF(TRIM($M317&amp;"")="matured",0,""))</f>
        <v/>
      </c>
      <c r="CT317" s="78">
        <f>IF(AND(ISNUMBER($CS317),N($CS317)&lt;=mMatWindow),1,0)</f>
        <v/>
      </c>
      <c r="CU317" s="80">
        <f>IF(ISNUMBER($J317),$J317/100,"")</f>
        <v/>
      </c>
      <c r="CV317" s="81">
        <f>IF(ISNUMBER($AQ317),$AQ317,"")</f>
        <v/>
      </c>
      <c r="CW317" s="81">
        <f>IF(ISNUMBER($AR317),$AR317,"")</f>
        <v/>
      </c>
      <c r="CX317" s="82">
        <f>IF(ISNUMBER($AS317),$AS317/100,"")</f>
        <v/>
      </c>
      <c r="CY317" s="82">
        <f>IF(ISNUMBER($AT317),$AT317/100,"")</f>
        <v/>
      </c>
      <c r="CZ317" s="82">
        <f>IF(ISNUMBER($AU317),$AU317/100,"")</f>
        <v/>
      </c>
      <c r="DA317" s="82">
        <f>IF(ISNUMBER($AV317),$AV317/100,"")</f>
        <v/>
      </c>
      <c r="DB317" s="82">
        <f>IF(ISNUMBER($AW317),$AW317/100,"")</f>
        <v/>
      </c>
      <c r="DC317" s="82">
        <f>IF(ISNUMBER($AX317),$AX317/100,"")</f>
        <v/>
      </c>
      <c r="DD317" s="77">
        <f>IFERROR(VALUE(LEFT(TRIM($AO317&amp;""),4)),"")</f>
        <v/>
      </c>
      <c r="DE317" s="78">
        <f>IF(AND($BY317=1,$BX317=1,OR(fDeal="All Deals",$BU317=fDeal),OR(fEntity="All Entities",$BV317=fEntity),OR(fPType="All Property Types",$BZ317=fPType),OR(fDefeased="Include",$CJ317=0)),1,0)</f>
        <v/>
      </c>
      <c r="DF317" s="83">
        <f>$DE317*N($I317)</f>
        <v/>
      </c>
      <c r="DG317" s="78">
        <f>IF($DE317=1,IF(COUNTIFS($F$8:$F317,$F317,$DE$8:$DE317,1)=1,1,0),0)</f>
        <v/>
      </c>
      <c r="DH317" s="83">
        <f>IF($DG317=1,SUMIFS($DF$8:$DF$1600,$F$8:$F$1600,$F317),0)</f>
        <v/>
      </c>
      <c r="DI317" s="78">
        <f>IF($DG317=1,COUNTIFS($F$8:$F$1600,$F317,$DE$8:$DE$1600,1),0)</f>
        <v/>
      </c>
      <c r="DJ317" s="84">
        <f>IF($DG317=1,$DH317+(100000-ROW())/mTieBreak,0)</f>
        <v/>
      </c>
    </row>
    <row r="318">
      <c r="B318" s="68" t="n">
        <v>35</v>
      </c>
      <c r="C318" s="69" t="inlineStr">
        <is>
          <t>GS217GS8</t>
        </is>
      </c>
      <c r="D318" s="69" t="inlineStr">
        <is>
          <t>35.000</t>
        </is>
      </c>
      <c r="E318" s="69" t="inlineStr">
        <is>
          <t>WoodSpring Suites Nashville Southeast</t>
        </is>
      </c>
      <c r="F318" s="69" t="inlineStr">
        <is>
          <t>LNGS217GS8-35.000</t>
        </is>
      </c>
      <c r="G318" s="70" t="n"/>
      <c r="H318" s="71" t="n">
        <v>6250000</v>
      </c>
      <c r="I318" s="71" t="n">
        <v>4254128.88</v>
      </c>
      <c r="J318" s="72" t="n">
        <v>4.883</v>
      </c>
      <c r="K318" s="69" t="inlineStr">
        <is>
          <t>Fixed rate</t>
        </is>
      </c>
      <c r="L318" s="68" t="n">
        <v>120</v>
      </c>
      <c r="M318" s="68" t="n">
        <v>14</v>
      </c>
      <c r="N318" s="68" t="n">
        <v>240</v>
      </c>
      <c r="O318" s="68" t="n"/>
      <c r="P318" s="68" t="n"/>
      <c r="Q318" s="68" t="n">
        <v>106</v>
      </c>
      <c r="R318" s="69" t="n"/>
      <c r="S318" s="69" t="inlineStr">
        <is>
          <t>No</t>
        </is>
      </c>
      <c r="T318" s="73" t="n">
        <v>43040</v>
      </c>
      <c r="U318" s="73" t="n">
        <v>46697</v>
      </c>
      <c r="V318" s="73" t="n"/>
      <c r="W318" s="69" t="n"/>
      <c r="X318" s="69" t="inlineStr">
        <is>
          <t>Current</t>
        </is>
      </c>
      <c r="Y318" s="68" t="n"/>
      <c r="Z318" s="69" t="inlineStr">
        <is>
          <t>Defeasance Not Allowable</t>
        </is>
      </c>
      <c r="AA318" s="69" t="inlineStr">
        <is>
          <t>Previously</t>
        </is>
      </c>
      <c r="AB318" s="69" t="inlineStr">
        <is>
          <t>Never special serv</t>
        </is>
      </c>
      <c r="AC318" s="73" t="n"/>
      <c r="AD318" s="69" t="n"/>
      <c r="AE318" s="69" t="n"/>
      <c r="AF318" s="69" t="inlineStr">
        <is>
          <t>TN</t>
        </is>
      </c>
      <c r="AG318" s="69" t="inlineStr">
        <is>
          <t>Nashville</t>
        </is>
      </c>
      <c r="AH318" s="69" t="inlineStr">
        <is>
          <t>Nashville-Davidson--Murfreesboro--Franklin, TN</t>
        </is>
      </c>
      <c r="AI318" s="69" t="inlineStr">
        <is>
          <t>South / Central East</t>
        </is>
      </c>
      <c r="AJ318" s="69" t="inlineStr">
        <is>
          <t>HT</t>
        </is>
      </c>
      <c r="AK318" s="69" t="inlineStr">
        <is>
          <t>Extended Stay</t>
        </is>
      </c>
      <c r="AL318" s="68" t="n">
        <v>1</v>
      </c>
      <c r="AM318" s="68" t="n">
        <v>123</v>
      </c>
      <c r="AN318" s="68" t="n"/>
      <c r="AO318" s="69" t="inlineStr">
        <is>
          <t>2016</t>
        </is>
      </c>
      <c r="AP318" s="70" t="n">
        <v>2016</v>
      </c>
      <c r="AQ318" s="74" t="n">
        <v>1.99</v>
      </c>
      <c r="AR318" s="74" t="n">
        <v>1.62</v>
      </c>
      <c r="AS318" s="74" t="n">
        <v>61.88</v>
      </c>
      <c r="AT318" s="74" t="n">
        <v>42.12</v>
      </c>
      <c r="AU318" s="74" t="n">
        <v>36.29</v>
      </c>
      <c r="AV318" s="74" t="n">
        <v>15.60076176</v>
      </c>
      <c r="AW318" s="74" t="n">
        <v>16.308648599</v>
      </c>
      <c r="AX318" s="75" t="n">
        <v>80</v>
      </c>
      <c r="AY318" s="71" t="n">
        <v>10100000</v>
      </c>
      <c r="AZ318" s="71" t="n">
        <v>10100000</v>
      </c>
      <c r="BA318" s="71" t="n">
        <v>975047.61</v>
      </c>
      <c r="BB318" s="71" t="n">
        <v>791758.8100000001</v>
      </c>
      <c r="BC318" s="69" t="inlineStr">
        <is>
          <t>Refinance</t>
        </is>
      </c>
      <c r="BD318" s="69" t="inlineStr">
        <is>
          <t>N</t>
        </is>
      </c>
      <c r="BE318" s="71" t="n"/>
      <c r="BF318" s="71" t="n"/>
      <c r="BG318" s="71" t="n"/>
      <c r="BH318" s="71" t="n">
        <v>0</v>
      </c>
      <c r="BI318" s="71" t="n">
        <v>0</v>
      </c>
      <c r="BJ318" s="69" t="inlineStr">
        <is>
          <t>N</t>
        </is>
      </c>
      <c r="BK318" s="69" t="n"/>
      <c r="BL318" s="75" t="n"/>
      <c r="BM318" s="73" t="n"/>
      <c r="BN318" s="69" t="inlineStr">
        <is>
          <t>Donald L. Howard, Jr., Timothy G. Howard and Jeffrey A. Yeary</t>
        </is>
      </c>
      <c r="BO318" s="69" t="inlineStr">
        <is>
          <t>Goldman Sachs</t>
        </is>
      </c>
      <c r="BP318" s="69" t="inlineStr">
        <is>
          <t>TriMont Real Estate Advisors</t>
        </is>
      </c>
      <c r="BQ318" s="69" t="inlineStr">
        <is>
          <t>K-Star Asset Management LLC</t>
        </is>
      </c>
      <c r="BR318" s="69" t="n"/>
      <c r="BS318" s="73" t="n">
        <v>46273</v>
      </c>
      <c r="BU318" s="76">
        <f>IF($C318="","",IFERROR(INDEX(dmName,MATCH($C318,dmID,0)),"Unmapped"))</f>
        <v/>
      </c>
      <c r="BV318" s="76">
        <f>IF($C318="","",IFERROR(INDEX(dmEntity,MATCH($C318,dmID,0)),"Unmapped"))</f>
        <v/>
      </c>
      <c r="BW318" s="77">
        <f>IF($C318="","",IFERROR(INDEX(dmVintage,MATCH($C318,dmID,0)),""))</f>
        <v/>
      </c>
      <c r="BX318" s="78">
        <f>IFERROR(INDEX(dmInclude,MATCH($C318,dmID,0)),0)</f>
        <v/>
      </c>
      <c r="BY318" s="78">
        <f>IF(N($I318)&gt;0,1,0)</f>
        <v/>
      </c>
      <c r="BZ318" s="76">
        <f>IF($AJ318="","Other / Leased Fee",IFERROR(INDEX(mapPTGroup,MATCH(LEFT(TRIM($AJ318),2),mapPTCode,0)),"Other / Leased Fee"))</f>
        <v/>
      </c>
      <c r="CA318" s="76">
        <f>IF(TRIM($AF318&amp;"")="","NR",LEFT(TRIM($AF318),2))</f>
        <v/>
      </c>
      <c r="CB318" s="76">
        <f>IFERROR(LOOKUP(2,1/(LEFT(TRIM($AI318&amp;""),LEN(mapRegion))=mapRegion),mapRegion),"Not Reported")</f>
        <v/>
      </c>
      <c r="CC318" s="76">
        <f>IF($BY318=0,"",IF(TRIM($W318&amp;"")="REO","REO",IF(TRIM($W318&amp;"")="FC","Foreclosure",IF(TRIM($W318&amp;"")="90+","90+ Days Delinquent",IF(TRIM($W318&amp;"")="60","60 Days Delinquent",IF(TRIM($W318&amp;"")="30","30 Days Delinquent",IF($X318="Non-Performing Matured Balloon","Non-Performing Matured Balloon",IF(OR($X318="Late Payment But Less Than 30 Days Delinquent",LEFT($X318&amp;"",20)="Payment Not Received"),"Late / In Grace (&lt;30 Days)",IF($X318="Performing Matured Balloon","Performing Matured Balloon","Current")))))))))</f>
        <v/>
      </c>
      <c r="CD318" s="78">
        <f>IF(OR($CC318="REO",$CC318="Foreclosure",$CC318="90+ Days Delinquent",$CC318="60 Days Delinquent",$CC318="30 Days Delinquent",$CC318="Non-Performing Matured Balloon"),1,0)</f>
        <v/>
      </c>
      <c r="CE318" s="76">
        <f>IF($AB318="Currently special serv","Currently Specially Serviced",IF($AB318="Returned to master serv","Previously Specially Serviced","Never Specially Serviced"))</f>
        <v/>
      </c>
      <c r="CF318" s="78">
        <f>IF($CE318="Currently Specially Serviced",1,0)</f>
        <v/>
      </c>
      <c r="CG318" s="76">
        <f>IF($AA318="Yes","Currently on Watchlist",IF($AA318="Previously","Previously on Watchlist","Never on Watchlist"))</f>
        <v/>
      </c>
      <c r="CH318" s="78">
        <f>IF($CG318="Currently on Watchlist",1,0)</f>
        <v/>
      </c>
      <c r="CI318" s="76">
        <f>IF($Z318="Full Defeasance","Fully Defeased",IF($Z318="Portion Of Loan Previously Defeased","Partially Defeased",IF($Z318="Defeasance Not Allowable","Not Defeased (Not Permitted)","Not Defeased")))</f>
        <v/>
      </c>
      <c r="CJ318" s="78">
        <f>IF($CI318="Fully Defeased",1,0)</f>
        <v/>
      </c>
      <c r="CK318" s="76">
        <f>IF($R318="IO","Full IO",IF(LEFT($R318&amp;"",7)="IO then","Partial IO","Amortizing"))</f>
        <v/>
      </c>
      <c r="CL318" s="78">
        <f>IF($CK318="Full IO",1,0)</f>
        <v/>
      </c>
      <c r="CM318" s="78">
        <f>IF($CK318="Partial IO",1,0)</f>
        <v/>
      </c>
      <c r="CN318" s="76">
        <f>IF(LEFT($F318&amp;"",10)="SPLIT_LOAN","Pari Passu Split","Standalone")</f>
        <v/>
      </c>
      <c r="CO318" s="78">
        <f>IF($CN318="Pari Passu Split",1,0)</f>
        <v/>
      </c>
      <c r="CP318" s="77">
        <f>IF(ISNUMBER($T318),YEAR($T318),"")</f>
        <v/>
      </c>
      <c r="CQ318" s="79">
        <f>IF(ISNUMBER($V318),$V318,IF(ISNUMBER($U318),$U318,""))</f>
        <v/>
      </c>
      <c r="CR318" s="77">
        <f>IF(ISNUMBER($CQ318),YEAR($CQ318),"")</f>
        <v/>
      </c>
      <c r="CS318" s="78">
        <f>IF(ISNUMBER($M318),MAX(0,$M318),IF(TRIM($M318&amp;"")="matured",0,""))</f>
        <v/>
      </c>
      <c r="CT318" s="78">
        <f>IF(AND(ISNUMBER($CS318),N($CS318)&lt;=mMatWindow),1,0)</f>
        <v/>
      </c>
      <c r="CU318" s="80">
        <f>IF(ISNUMBER($J318),$J318/100,"")</f>
        <v/>
      </c>
      <c r="CV318" s="81">
        <f>IF(ISNUMBER($AQ318),$AQ318,"")</f>
        <v/>
      </c>
      <c r="CW318" s="81">
        <f>IF(ISNUMBER($AR318),$AR318,"")</f>
        <v/>
      </c>
      <c r="CX318" s="82">
        <f>IF(ISNUMBER($AS318),$AS318/100,"")</f>
        <v/>
      </c>
      <c r="CY318" s="82">
        <f>IF(ISNUMBER($AT318),$AT318/100,"")</f>
        <v/>
      </c>
      <c r="CZ318" s="82">
        <f>IF(ISNUMBER($AU318),$AU318/100,"")</f>
        <v/>
      </c>
      <c r="DA318" s="82">
        <f>IF(ISNUMBER($AV318),$AV318/100,"")</f>
        <v/>
      </c>
      <c r="DB318" s="82">
        <f>IF(ISNUMBER($AW318),$AW318/100,"")</f>
        <v/>
      </c>
      <c r="DC318" s="82">
        <f>IF(ISNUMBER($AX318),$AX318/100,"")</f>
        <v/>
      </c>
      <c r="DD318" s="77">
        <f>IFERROR(VALUE(LEFT(TRIM($AO318&amp;""),4)),"")</f>
        <v/>
      </c>
      <c r="DE318" s="78">
        <f>IF(AND($BY318=1,$BX318=1,OR(fDeal="All Deals",$BU318=fDeal),OR(fEntity="All Entities",$BV318=fEntity),OR(fPType="All Property Types",$BZ318=fPType),OR(fDefeased="Include",$CJ318=0)),1,0)</f>
        <v/>
      </c>
      <c r="DF318" s="83">
        <f>$DE318*N($I318)</f>
        <v/>
      </c>
      <c r="DG318" s="78">
        <f>IF($DE318=1,IF(COUNTIFS($F$8:$F318,$F318,$DE$8:$DE318,1)=1,1,0),0)</f>
        <v/>
      </c>
      <c r="DH318" s="83">
        <f>IF($DG318=1,SUMIFS($DF$8:$DF$1600,$F$8:$F$1600,$F318),0)</f>
        <v/>
      </c>
      <c r="DI318" s="78">
        <f>IF($DG318=1,COUNTIFS($F$8:$F$1600,$F318,$DE$8:$DE$1600,1),0)</f>
        <v/>
      </c>
      <c r="DJ318" s="84">
        <f>IF($DG318=1,$DH318+(100000-ROW())/mTieBreak,0)</f>
        <v/>
      </c>
    </row>
    <row r="319">
      <c r="B319" s="68" t="n">
        <v>36</v>
      </c>
      <c r="C319" s="69" t="inlineStr">
        <is>
          <t>GS217GS8</t>
        </is>
      </c>
      <c r="D319" s="69" t="inlineStr">
        <is>
          <t>36.000</t>
        </is>
      </c>
      <c r="E319" s="69" t="inlineStr">
        <is>
          <t>Albertsons Henderson</t>
        </is>
      </c>
      <c r="F319" s="69" t="inlineStr">
        <is>
          <t>LNGS217GS8-36.000</t>
        </is>
      </c>
      <c r="G319" s="70" t="n"/>
      <c r="H319" s="71" t="n">
        <v>5170000</v>
      </c>
      <c r="I319" s="71" t="n">
        <v>5170000</v>
      </c>
      <c r="J319" s="72" t="n">
        <v>4.38975</v>
      </c>
      <c r="K319" s="69" t="inlineStr">
        <is>
          <t>Fixed rate</t>
        </is>
      </c>
      <c r="L319" s="68" t="n">
        <v>120</v>
      </c>
      <c r="M319" s="68" t="n">
        <v>13</v>
      </c>
      <c r="N319" s="68" t="n">
        <v>120</v>
      </c>
      <c r="O319" s="68" t="n">
        <v>120</v>
      </c>
      <c r="P319" s="68" t="n">
        <v>13</v>
      </c>
      <c r="Q319" s="68" t="n">
        <v>107</v>
      </c>
      <c r="R319" s="69" t="inlineStr">
        <is>
          <t>IO</t>
        </is>
      </c>
      <c r="S319" s="69" t="inlineStr">
        <is>
          <t>Yes</t>
        </is>
      </c>
      <c r="T319" s="73" t="n">
        <v>43009</v>
      </c>
      <c r="U319" s="73" t="n">
        <v>46666</v>
      </c>
      <c r="V319" s="73" t="n"/>
      <c r="W319" s="69" t="n"/>
      <c r="X319" s="69" t="inlineStr">
        <is>
          <t>Current</t>
        </is>
      </c>
      <c r="Y319" s="68" t="n"/>
      <c r="Z319" s="69" t="inlineStr">
        <is>
          <t>No Defeasance Occurred</t>
        </is>
      </c>
      <c r="AA319" s="69" t="n"/>
      <c r="AB319" s="69" t="inlineStr">
        <is>
          <t>Never special serv</t>
        </is>
      </c>
      <c r="AC319" s="73" t="n"/>
      <c r="AD319" s="69" t="n"/>
      <c r="AE319" s="69" t="n"/>
      <c r="AF319" s="69" t="inlineStr">
        <is>
          <t>NV</t>
        </is>
      </c>
      <c r="AG319" s="69" t="inlineStr">
        <is>
          <t>Henderson</t>
        </is>
      </c>
      <c r="AH319" s="69" t="inlineStr">
        <is>
          <t>Las Vegas-Henderson-North Las Vegas, NV</t>
        </is>
      </c>
      <c r="AI319" s="69" t="inlineStr">
        <is>
          <t>West / Mountain</t>
        </is>
      </c>
      <c r="AJ319" s="69" t="inlineStr">
        <is>
          <t>RT</t>
        </is>
      </c>
      <c r="AK319" s="69" t="inlineStr">
        <is>
          <t>Single Tenant</t>
        </is>
      </c>
      <c r="AL319" s="68" t="n">
        <v>1</v>
      </c>
      <c r="AM319" s="68" t="n"/>
      <c r="AN319" s="68" t="n">
        <v>58254</v>
      </c>
      <c r="AO319" s="69" t="inlineStr">
        <is>
          <t>2005</t>
        </is>
      </c>
      <c r="AP319" s="70" t="n">
        <v>2005</v>
      </c>
      <c r="AQ319" s="74" t="n">
        <v>1.97</v>
      </c>
      <c r="AR319" s="74" t="n">
        <v>2.42</v>
      </c>
      <c r="AS319" s="74" t="n">
        <v>52.76</v>
      </c>
      <c r="AT319" s="74" t="n">
        <v>52.76</v>
      </c>
      <c r="AU319" s="74" t="n">
        <v>52.76</v>
      </c>
      <c r="AV319" s="74" t="n">
        <v>8.745981818000001</v>
      </c>
      <c r="AW319" s="74" t="n">
        <v>10.606488395</v>
      </c>
      <c r="AX319" s="75" t="n">
        <v>100</v>
      </c>
      <c r="AY319" s="71" t="n">
        <v>9800000</v>
      </c>
      <c r="AZ319" s="71" t="n">
        <v>9800000</v>
      </c>
      <c r="BA319" s="71" t="n">
        <v>452167.26</v>
      </c>
      <c r="BB319" s="71" t="n">
        <v>277614.51</v>
      </c>
      <c r="BC319" s="69" t="inlineStr">
        <is>
          <t>Acquisition</t>
        </is>
      </c>
      <c r="BD319" s="69" t="inlineStr">
        <is>
          <t>N</t>
        </is>
      </c>
      <c r="BE319" s="71" t="n"/>
      <c r="BF319" s="71" t="n"/>
      <c r="BG319" s="71" t="n"/>
      <c r="BH319" s="71" t="n">
        <v>0</v>
      </c>
      <c r="BI319" s="71" t="n">
        <v>0</v>
      </c>
      <c r="BJ319" s="69" t="inlineStr">
        <is>
          <t>N</t>
        </is>
      </c>
      <c r="BK319" s="69" t="inlineStr">
        <is>
          <t>ALV 1 LLC and ALV 2 LLC</t>
        </is>
      </c>
      <c r="BL319" s="75" t="n">
        <v>100</v>
      </c>
      <c r="BM319" s="73" t="n">
        <v>49368</v>
      </c>
      <c r="BN319" s="69" t="inlineStr">
        <is>
          <t>Mark Kooklani, Mina Kooklani and Mark Kooklani, as Trustee of the Kooklani Family Revocable Living Trust Dated August 22, 1996</t>
        </is>
      </c>
      <c r="BO319" s="69" t="inlineStr">
        <is>
          <t>Goldman Sachs</t>
        </is>
      </c>
      <c r="BP319" s="69" t="inlineStr">
        <is>
          <t>TriMont Real Estate Advisors</t>
        </is>
      </c>
      <c r="BQ319" s="69" t="inlineStr">
        <is>
          <t>K-Star Asset Management LLC</t>
        </is>
      </c>
      <c r="BR319" s="69" t="n"/>
      <c r="BS319" s="73" t="n">
        <v>46273</v>
      </c>
      <c r="BU319" s="76">
        <f>IF($C319="","",IFERROR(INDEX(dmName,MATCH($C319,dmID,0)),"Unmapped"))</f>
        <v/>
      </c>
      <c r="BV319" s="76">
        <f>IF($C319="","",IFERROR(INDEX(dmEntity,MATCH($C319,dmID,0)),"Unmapped"))</f>
        <v/>
      </c>
      <c r="BW319" s="77">
        <f>IF($C319="","",IFERROR(INDEX(dmVintage,MATCH($C319,dmID,0)),""))</f>
        <v/>
      </c>
      <c r="BX319" s="78">
        <f>IFERROR(INDEX(dmInclude,MATCH($C319,dmID,0)),0)</f>
        <v/>
      </c>
      <c r="BY319" s="78">
        <f>IF(N($I319)&gt;0,1,0)</f>
        <v/>
      </c>
      <c r="BZ319" s="76">
        <f>IF($AJ319="","Other / Leased Fee",IFERROR(INDEX(mapPTGroup,MATCH(LEFT(TRIM($AJ319),2),mapPTCode,0)),"Other / Leased Fee"))</f>
        <v/>
      </c>
      <c r="CA319" s="76">
        <f>IF(TRIM($AF319&amp;"")="","NR",LEFT(TRIM($AF319),2))</f>
        <v/>
      </c>
      <c r="CB319" s="76">
        <f>IFERROR(LOOKUP(2,1/(LEFT(TRIM($AI319&amp;""),LEN(mapRegion))=mapRegion),mapRegion),"Not Reported")</f>
        <v/>
      </c>
      <c r="CC319" s="76">
        <f>IF($BY319=0,"",IF(TRIM($W319&amp;"")="REO","REO",IF(TRIM($W319&amp;"")="FC","Foreclosure",IF(TRIM($W319&amp;"")="90+","90+ Days Delinquent",IF(TRIM($W319&amp;"")="60","60 Days Delinquent",IF(TRIM($W319&amp;"")="30","30 Days Delinquent",IF($X319="Non-Performing Matured Balloon","Non-Performing Matured Balloon",IF(OR($X319="Late Payment But Less Than 30 Days Delinquent",LEFT($X319&amp;"",20)="Payment Not Received"),"Late / In Grace (&lt;30 Days)",IF($X319="Performing Matured Balloon","Performing Matured Balloon","Current")))))))))</f>
        <v/>
      </c>
      <c r="CD319" s="78">
        <f>IF(OR($CC319="REO",$CC319="Foreclosure",$CC319="90+ Days Delinquent",$CC319="60 Days Delinquent",$CC319="30 Days Delinquent",$CC319="Non-Performing Matured Balloon"),1,0)</f>
        <v/>
      </c>
      <c r="CE319" s="76">
        <f>IF($AB319="Currently special serv","Currently Specially Serviced",IF($AB319="Returned to master serv","Previously Specially Serviced","Never Specially Serviced"))</f>
        <v/>
      </c>
      <c r="CF319" s="78">
        <f>IF($CE319="Currently Specially Serviced",1,0)</f>
        <v/>
      </c>
      <c r="CG319" s="76">
        <f>IF($AA319="Yes","Currently on Watchlist",IF($AA319="Previously","Previously on Watchlist","Never on Watchlist"))</f>
        <v/>
      </c>
      <c r="CH319" s="78">
        <f>IF($CG319="Currently on Watchlist",1,0)</f>
        <v/>
      </c>
      <c r="CI319" s="76">
        <f>IF($Z319="Full Defeasance","Fully Defeased",IF($Z319="Portion Of Loan Previously Defeased","Partially Defeased",IF($Z319="Defeasance Not Allowable","Not Defeased (Not Permitted)","Not Defeased")))</f>
        <v/>
      </c>
      <c r="CJ319" s="78">
        <f>IF($CI319="Fully Defeased",1,0)</f>
        <v/>
      </c>
      <c r="CK319" s="76">
        <f>IF($R319="IO","Full IO",IF(LEFT($R319&amp;"",7)="IO then","Partial IO","Amortizing"))</f>
        <v/>
      </c>
      <c r="CL319" s="78">
        <f>IF($CK319="Full IO",1,0)</f>
        <v/>
      </c>
      <c r="CM319" s="78">
        <f>IF($CK319="Partial IO",1,0)</f>
        <v/>
      </c>
      <c r="CN319" s="76">
        <f>IF(LEFT($F319&amp;"",10)="SPLIT_LOAN","Pari Passu Split","Standalone")</f>
        <v/>
      </c>
      <c r="CO319" s="78">
        <f>IF($CN319="Pari Passu Split",1,0)</f>
        <v/>
      </c>
      <c r="CP319" s="77">
        <f>IF(ISNUMBER($T319),YEAR($T319),"")</f>
        <v/>
      </c>
      <c r="CQ319" s="79">
        <f>IF(ISNUMBER($V319),$V319,IF(ISNUMBER($U319),$U319,""))</f>
        <v/>
      </c>
      <c r="CR319" s="77">
        <f>IF(ISNUMBER($CQ319),YEAR($CQ319),"")</f>
        <v/>
      </c>
      <c r="CS319" s="78">
        <f>IF(ISNUMBER($M319),MAX(0,$M319),IF(TRIM($M319&amp;"")="matured",0,""))</f>
        <v/>
      </c>
      <c r="CT319" s="78">
        <f>IF(AND(ISNUMBER($CS319),N($CS319)&lt;=mMatWindow),1,0)</f>
        <v/>
      </c>
      <c r="CU319" s="80">
        <f>IF(ISNUMBER($J319),$J319/100,"")</f>
        <v/>
      </c>
      <c r="CV319" s="81">
        <f>IF(ISNUMBER($AQ319),$AQ319,"")</f>
        <v/>
      </c>
      <c r="CW319" s="81">
        <f>IF(ISNUMBER($AR319),$AR319,"")</f>
        <v/>
      </c>
      <c r="CX319" s="82">
        <f>IF(ISNUMBER($AS319),$AS319/100,"")</f>
        <v/>
      </c>
      <c r="CY319" s="82">
        <f>IF(ISNUMBER($AT319),$AT319/100,"")</f>
        <v/>
      </c>
      <c r="CZ319" s="82">
        <f>IF(ISNUMBER($AU319),$AU319/100,"")</f>
        <v/>
      </c>
      <c r="DA319" s="82">
        <f>IF(ISNUMBER($AV319),$AV319/100,"")</f>
        <v/>
      </c>
      <c r="DB319" s="82">
        <f>IF(ISNUMBER($AW319),$AW319/100,"")</f>
        <v/>
      </c>
      <c r="DC319" s="82">
        <f>IF(ISNUMBER($AX319),$AX319/100,"")</f>
        <v/>
      </c>
      <c r="DD319" s="77">
        <f>IFERROR(VALUE(LEFT(TRIM($AO319&amp;""),4)),"")</f>
        <v/>
      </c>
      <c r="DE319" s="78">
        <f>IF(AND($BY319=1,$BX319=1,OR(fDeal="All Deals",$BU319=fDeal),OR(fEntity="All Entities",$BV319=fEntity),OR(fPType="All Property Types",$BZ319=fPType),OR(fDefeased="Include",$CJ319=0)),1,0)</f>
        <v/>
      </c>
      <c r="DF319" s="83">
        <f>$DE319*N($I319)</f>
        <v/>
      </c>
      <c r="DG319" s="78">
        <f>IF($DE319=1,IF(COUNTIFS($F$8:$F319,$F319,$DE$8:$DE319,1)=1,1,0),0)</f>
        <v/>
      </c>
      <c r="DH319" s="83">
        <f>IF($DG319=1,SUMIFS($DF$8:$DF$1600,$F$8:$F$1600,$F319),0)</f>
        <v/>
      </c>
      <c r="DI319" s="78">
        <f>IF($DG319=1,COUNTIFS($F$8:$F$1600,$F319,$DE$8:$DE$1600,1),0)</f>
        <v/>
      </c>
      <c r="DJ319" s="84">
        <f>IF($DG319=1,$DH319+(100000-ROW())/mTieBreak,0)</f>
        <v/>
      </c>
    </row>
    <row r="320">
      <c r="B320" s="68" t="n">
        <v>1</v>
      </c>
      <c r="C320" s="69" t="inlineStr">
        <is>
          <t>UBS18C08</t>
        </is>
      </c>
      <c r="D320" s="69" t="inlineStr">
        <is>
          <t>1.000</t>
        </is>
      </c>
      <c r="E320" s="69" t="inlineStr">
        <is>
          <t>AFIN Portfolio</t>
        </is>
      </c>
      <c r="F320" s="69" t="inlineStr">
        <is>
          <t>SPLIT_LOAN_01165</t>
        </is>
      </c>
      <c r="G320" s="70" t="n">
        <v>1165</v>
      </c>
      <c r="H320" s="71" t="n">
        <v>60000000</v>
      </c>
      <c r="I320" s="71" t="n">
        <v>60000000</v>
      </c>
      <c r="J320" s="72" t="n">
        <v>4.191</v>
      </c>
      <c r="K320" s="69" t="inlineStr">
        <is>
          <t>Fixed rate</t>
        </is>
      </c>
      <c r="L320" s="68" t="n">
        <v>120</v>
      </c>
      <c r="M320" s="68" t="n">
        <v>16</v>
      </c>
      <c r="N320" s="68" t="n">
        <v>120</v>
      </c>
      <c r="O320" s="68" t="n">
        <v>120</v>
      </c>
      <c r="P320" s="68" t="n">
        <v>16</v>
      </c>
      <c r="Q320" s="68" t="n">
        <v>104</v>
      </c>
      <c r="R320" s="69" t="inlineStr">
        <is>
          <t>IO</t>
        </is>
      </c>
      <c r="S320" s="69" t="inlineStr">
        <is>
          <t>Yes</t>
        </is>
      </c>
      <c r="T320" s="73" t="n">
        <v>43101</v>
      </c>
      <c r="U320" s="73" t="n">
        <v>46753</v>
      </c>
      <c r="V320" s="73" t="n"/>
      <c r="W320" s="69" t="n"/>
      <c r="X320" s="69" t="inlineStr">
        <is>
          <t>Current</t>
        </is>
      </c>
      <c r="Y320" s="68" t="n"/>
      <c r="Z320" s="69" t="inlineStr">
        <is>
          <t>Defeasance Not Allowable</t>
        </is>
      </c>
      <c r="AA320" s="69" t="inlineStr">
        <is>
          <t>Previously</t>
        </is>
      </c>
      <c r="AB320" s="69" t="inlineStr">
        <is>
          <t>Never special serv</t>
        </is>
      </c>
      <c r="AC320" s="73" t="n"/>
      <c r="AD320" s="69" t="n"/>
      <c r="AE320" s="69" t="n"/>
      <c r="AF320" s="69" t="inlineStr">
        <is>
          <t>NV-27.328571230% NC-20.923809660% KY-11.638094789% OH-9.690476522% FL-9.042856505% SC-7.552381554% TX-7.461904870% OK-6.361904870%</t>
        </is>
      </c>
      <c r="AG320" s="69" t="n"/>
      <c r="AH320" s="69" t="inlineStr">
        <is>
          <t>Las Vegas-Henderson-North Las Vegas, NV-27.328571230% Louisville/Jefferson County, KY-IN-11.638094789% Dayton-Kettering-Beavercreek, OH-9.690476522% Greenville-Anderson-Greer, SC-7.552381554% Fayetteville, NC-7.490476554% San Antonio-New Braunfels, TX-7.461904870% Asheville, NC-6.723809870% Charlotte-Concord-Gastonia, NC-SC-6.709523237% Oklahoma City, OK-6.361904870% Palm Bay-Melbourne-Titusville, FL-5.942856553% Lakeland-Winter Haven, FL-3.099999952%</t>
        </is>
      </c>
      <c r="AI320" s="69" t="inlineStr">
        <is>
          <t>South / Atlantic-37.519047719% West / Mountain-27.328571230% South / Central West-13.823809740% South / Central East-11.638094789% Midwest / Central East-9.690476522%</t>
        </is>
      </c>
      <c r="AJ320" s="69" t="inlineStr">
        <is>
          <t>RT</t>
        </is>
      </c>
      <c r="AK320" s="69" t="inlineStr">
        <is>
          <t>Anchored</t>
        </is>
      </c>
      <c r="AL320" s="68" t="n">
        <v>12</v>
      </c>
      <c r="AM320" s="68" t="n"/>
      <c r="AN320" s="68" t="n">
        <v>2418910</v>
      </c>
      <c r="AO320" s="69" t="n"/>
      <c r="AP320" s="70" t="n">
        <v>2017</v>
      </c>
      <c r="AQ320" s="74" t="n">
        <v>2.34</v>
      </c>
      <c r="AR320" s="74" t="n">
        <v>2.38</v>
      </c>
      <c r="AS320" s="74" t="n">
        <v>56.5</v>
      </c>
      <c r="AT320" s="74" t="n">
        <v>56.49</v>
      </c>
      <c r="AU320" s="74" t="n">
        <v>56.5</v>
      </c>
      <c r="AV320" s="74" t="n">
        <v>9.923103595000001</v>
      </c>
      <c r="AW320" s="74" t="n">
        <v>10.123047143</v>
      </c>
      <c r="AX320" s="75" t="n">
        <v>91</v>
      </c>
      <c r="AY320" s="71" t="n">
        <v>371735000</v>
      </c>
      <c r="AZ320" s="71" t="n">
        <v>371735000</v>
      </c>
      <c r="BA320" s="71" t="n">
        <v>20838517.55</v>
      </c>
      <c r="BB320" s="71" t="n">
        <v>21258399</v>
      </c>
      <c r="BC320" s="69" t="inlineStr">
        <is>
          <t>Recapitalization</t>
        </is>
      </c>
      <c r="BD320" s="69" t="inlineStr">
        <is>
          <t>N</t>
        </is>
      </c>
      <c r="BE320" s="71" t="n">
        <v>150000000</v>
      </c>
      <c r="BF320" s="71" t="n"/>
      <c r="BG320" s="71" t="n"/>
      <c r="BH320" s="71" t="n">
        <v>0</v>
      </c>
      <c r="BI320" s="71" t="n">
        <v>0</v>
      </c>
      <c r="BJ320" s="69" t="inlineStr">
        <is>
          <t>N</t>
        </is>
      </c>
      <c r="BK320" s="69" t="inlineStr">
        <is>
          <t>Kohl's Department Store</t>
        </is>
      </c>
      <c r="BL320" s="75" t="n">
        <v>8.880000000000001</v>
      </c>
      <c r="BM320" s="73" t="n">
        <v>47149</v>
      </c>
      <c r="BN320" s="69" t="inlineStr">
        <is>
          <t>American Finance Operating Partnership, L.P.</t>
        </is>
      </c>
      <c r="BO320" s="69" t="inlineStr">
        <is>
          <t>Societe Generale / UBS</t>
        </is>
      </c>
      <c r="BP320" s="69" t="inlineStr">
        <is>
          <t>Midland Loan Services</t>
        </is>
      </c>
      <c r="BQ320" s="69" t="inlineStr">
        <is>
          <t>Argentic Services Company LP</t>
        </is>
      </c>
      <c r="BR320" s="69" t="n"/>
      <c r="BS320" s="73" t="n">
        <v>46276</v>
      </c>
      <c r="BU320" s="76">
        <f>IF($C320="","",IFERROR(INDEX(dmName,MATCH($C320,dmID,0)),"Unmapped"))</f>
        <v/>
      </c>
      <c r="BV320" s="76">
        <f>IF($C320="","",IFERROR(INDEX(dmEntity,MATCH($C320,dmID,0)),"Unmapped"))</f>
        <v/>
      </c>
      <c r="BW320" s="77">
        <f>IF($C320="","",IFERROR(INDEX(dmVintage,MATCH($C320,dmID,0)),""))</f>
        <v/>
      </c>
      <c r="BX320" s="78">
        <f>IFERROR(INDEX(dmInclude,MATCH($C320,dmID,0)),0)</f>
        <v/>
      </c>
      <c r="BY320" s="78">
        <f>IF(N($I320)&gt;0,1,0)</f>
        <v/>
      </c>
      <c r="BZ320" s="76">
        <f>IF($AJ320="","Other / Leased Fee",IFERROR(INDEX(mapPTGroup,MATCH(LEFT(TRIM($AJ320),2),mapPTCode,0)),"Other / Leased Fee"))</f>
        <v/>
      </c>
      <c r="CA320" s="76">
        <f>IF(TRIM($AF320&amp;"")="","NR",LEFT(TRIM($AF320),2))</f>
        <v/>
      </c>
      <c r="CB320" s="76">
        <f>IFERROR(LOOKUP(2,1/(LEFT(TRIM($AI320&amp;""),LEN(mapRegion))=mapRegion),mapRegion),"Not Reported")</f>
        <v/>
      </c>
      <c r="CC320" s="76">
        <f>IF($BY320=0,"",IF(TRIM($W320&amp;"")="REO","REO",IF(TRIM($W320&amp;"")="FC","Foreclosure",IF(TRIM($W320&amp;"")="90+","90+ Days Delinquent",IF(TRIM($W320&amp;"")="60","60 Days Delinquent",IF(TRIM($W320&amp;"")="30","30 Days Delinquent",IF($X320="Non-Performing Matured Balloon","Non-Performing Matured Balloon",IF(OR($X320="Late Payment But Less Than 30 Days Delinquent",LEFT($X320&amp;"",20)="Payment Not Received"),"Late / In Grace (&lt;30 Days)",IF($X320="Performing Matured Balloon","Performing Matured Balloon","Current")))))))))</f>
        <v/>
      </c>
      <c r="CD320" s="78">
        <f>IF(OR($CC320="REO",$CC320="Foreclosure",$CC320="90+ Days Delinquent",$CC320="60 Days Delinquent",$CC320="30 Days Delinquent",$CC320="Non-Performing Matured Balloon"),1,0)</f>
        <v/>
      </c>
      <c r="CE320" s="76">
        <f>IF($AB320="Currently special serv","Currently Specially Serviced",IF($AB320="Returned to master serv","Previously Specially Serviced","Never Specially Serviced"))</f>
        <v/>
      </c>
      <c r="CF320" s="78">
        <f>IF($CE320="Currently Specially Serviced",1,0)</f>
        <v/>
      </c>
      <c r="CG320" s="76">
        <f>IF($AA320="Yes","Currently on Watchlist",IF($AA320="Previously","Previously on Watchlist","Never on Watchlist"))</f>
        <v/>
      </c>
      <c r="CH320" s="78">
        <f>IF($CG320="Currently on Watchlist",1,0)</f>
        <v/>
      </c>
      <c r="CI320" s="76">
        <f>IF($Z320="Full Defeasance","Fully Defeased",IF($Z320="Portion Of Loan Previously Defeased","Partially Defeased",IF($Z320="Defeasance Not Allowable","Not Defeased (Not Permitted)","Not Defeased")))</f>
        <v/>
      </c>
      <c r="CJ320" s="78">
        <f>IF($CI320="Fully Defeased",1,0)</f>
        <v/>
      </c>
      <c r="CK320" s="76">
        <f>IF($R320="IO","Full IO",IF(LEFT($R320&amp;"",7)="IO then","Partial IO","Amortizing"))</f>
        <v/>
      </c>
      <c r="CL320" s="78">
        <f>IF($CK320="Full IO",1,0)</f>
        <v/>
      </c>
      <c r="CM320" s="78">
        <f>IF($CK320="Partial IO",1,0)</f>
        <v/>
      </c>
      <c r="CN320" s="76">
        <f>IF(LEFT($F320&amp;"",10)="SPLIT_LOAN","Pari Passu Split","Standalone")</f>
        <v/>
      </c>
      <c r="CO320" s="78">
        <f>IF($CN320="Pari Passu Split",1,0)</f>
        <v/>
      </c>
      <c r="CP320" s="77">
        <f>IF(ISNUMBER($T320),YEAR($T320),"")</f>
        <v/>
      </c>
      <c r="CQ320" s="79">
        <f>IF(ISNUMBER($V320),$V320,IF(ISNUMBER($U320),$U320,""))</f>
        <v/>
      </c>
      <c r="CR320" s="77">
        <f>IF(ISNUMBER($CQ320),YEAR($CQ320),"")</f>
        <v/>
      </c>
      <c r="CS320" s="78">
        <f>IF(ISNUMBER($M320),MAX(0,$M320),IF(TRIM($M320&amp;"")="matured",0,""))</f>
        <v/>
      </c>
      <c r="CT320" s="78">
        <f>IF(AND(ISNUMBER($CS320),N($CS320)&lt;=mMatWindow),1,0)</f>
        <v/>
      </c>
      <c r="CU320" s="80">
        <f>IF(ISNUMBER($J320),$J320/100,"")</f>
        <v/>
      </c>
      <c r="CV320" s="81">
        <f>IF(ISNUMBER($AQ320),$AQ320,"")</f>
        <v/>
      </c>
      <c r="CW320" s="81">
        <f>IF(ISNUMBER($AR320),$AR320,"")</f>
        <v/>
      </c>
      <c r="CX320" s="82">
        <f>IF(ISNUMBER($AS320),$AS320/100,"")</f>
        <v/>
      </c>
      <c r="CY320" s="82">
        <f>IF(ISNUMBER($AT320),$AT320/100,"")</f>
        <v/>
      </c>
      <c r="CZ320" s="82">
        <f>IF(ISNUMBER($AU320),$AU320/100,"")</f>
        <v/>
      </c>
      <c r="DA320" s="82">
        <f>IF(ISNUMBER($AV320),$AV320/100,"")</f>
        <v/>
      </c>
      <c r="DB320" s="82">
        <f>IF(ISNUMBER($AW320),$AW320/100,"")</f>
        <v/>
      </c>
      <c r="DC320" s="82">
        <f>IF(ISNUMBER($AX320),$AX320/100,"")</f>
        <v/>
      </c>
      <c r="DD320" s="77">
        <f>IFERROR(VALUE(LEFT(TRIM($AO320&amp;""),4)),"")</f>
        <v/>
      </c>
      <c r="DE320" s="78">
        <f>IF(AND($BY320=1,$BX320=1,OR(fDeal="All Deals",$BU320=fDeal),OR(fEntity="All Entities",$BV320=fEntity),OR(fPType="All Property Types",$BZ320=fPType),OR(fDefeased="Include",$CJ320=0)),1,0)</f>
        <v/>
      </c>
      <c r="DF320" s="83">
        <f>$DE320*N($I320)</f>
        <v/>
      </c>
      <c r="DG320" s="78">
        <f>IF($DE320=1,IF(COUNTIFS($F$8:$F320,$F320,$DE$8:$DE320,1)=1,1,0),0)</f>
        <v/>
      </c>
      <c r="DH320" s="83">
        <f>IF($DG320=1,SUMIFS($DF$8:$DF$1600,$F$8:$F$1600,$F320),0)</f>
        <v/>
      </c>
      <c r="DI320" s="78">
        <f>IF($DG320=1,COUNTIFS($F$8:$F$1600,$F320,$DE$8:$DE$1600,1),0)</f>
        <v/>
      </c>
      <c r="DJ320" s="84">
        <f>IF($DG320=1,$DH320+(100000-ROW())/mTieBreak,0)</f>
        <v/>
      </c>
    </row>
    <row r="321">
      <c r="B321" s="68" t="n">
        <v>2</v>
      </c>
      <c r="C321" s="69" t="inlineStr">
        <is>
          <t>UBS18C08</t>
        </is>
      </c>
      <c r="D321" s="69" t="inlineStr">
        <is>
          <t>2.000</t>
        </is>
      </c>
      <c r="E321" s="69" t="inlineStr">
        <is>
          <t>Tryad Industrial &amp; Business Center</t>
        </is>
      </c>
      <c r="F321" s="69" t="inlineStr">
        <is>
          <t>SPLIT_LOAN_01166</t>
        </is>
      </c>
      <c r="G321" s="70" t="n">
        <v>1166</v>
      </c>
      <c r="H321" s="71" t="n">
        <v>56500000</v>
      </c>
      <c r="I321" s="71" t="n">
        <v>48123090.759999</v>
      </c>
      <c r="J321" s="72" t="n">
        <v>5.021</v>
      </c>
      <c r="K321" s="69" t="inlineStr">
        <is>
          <t>Fixed rate</t>
        </is>
      </c>
      <c r="L321" s="68" t="n">
        <v>120</v>
      </c>
      <c r="M321" s="68" t="n">
        <v>16</v>
      </c>
      <c r="N321" s="68" t="n">
        <v>360</v>
      </c>
      <c r="O321" s="68" t="n"/>
      <c r="P321" s="68" t="n"/>
      <c r="Q321" s="68" t="n">
        <v>104</v>
      </c>
      <c r="R321" s="69" t="n"/>
      <c r="S321" s="69" t="inlineStr">
        <is>
          <t>No</t>
        </is>
      </c>
      <c r="T321" s="73" t="n">
        <v>43101</v>
      </c>
      <c r="U321" s="73" t="n">
        <v>46758</v>
      </c>
      <c r="V321" s="73" t="n"/>
      <c r="W321" s="69" t="inlineStr">
        <is>
          <t>90+</t>
        </is>
      </c>
      <c r="X321" s="69" t="inlineStr">
        <is>
          <t>121+ Days Delinquent</t>
        </is>
      </c>
      <c r="Y321" s="68" t="n">
        <v>14</v>
      </c>
      <c r="Z321" s="69" t="inlineStr">
        <is>
          <t>No Defeasance Occurred</t>
        </is>
      </c>
      <c r="AA321" s="69" t="inlineStr">
        <is>
          <t>Previously</t>
        </is>
      </c>
      <c r="AB321" s="69" t="inlineStr">
        <is>
          <t>Currently special serv</t>
        </is>
      </c>
      <c r="AC321" s="73" t="n">
        <v>45523</v>
      </c>
      <c r="AD321" s="69" t="inlineStr">
        <is>
          <t>Imminent Non Monetary Default</t>
        </is>
      </c>
      <c r="AE321" s="69" t="inlineStr">
        <is>
          <t>Modification</t>
        </is>
      </c>
      <c r="AF321" s="69" t="inlineStr">
        <is>
          <t>NY</t>
        </is>
      </c>
      <c r="AG321" s="69" t="inlineStr">
        <is>
          <t>Rochester</t>
        </is>
      </c>
      <c r="AH321" s="69" t="inlineStr">
        <is>
          <t>Rochester, NY</t>
        </is>
      </c>
      <c r="AI321" s="69" t="inlineStr">
        <is>
          <t>Northeast / Mid-Atlantic</t>
        </is>
      </c>
      <c r="AJ321" s="69" t="inlineStr">
        <is>
          <t>IN</t>
        </is>
      </c>
      <c r="AK321" s="69" t="inlineStr">
        <is>
          <t>Flex</t>
        </is>
      </c>
      <c r="AL321" s="68" t="n">
        <v>1</v>
      </c>
      <c r="AM321" s="68" t="n"/>
      <c r="AN321" s="68" t="n">
        <v>3353230</v>
      </c>
      <c r="AO321" s="69" t="inlineStr">
        <is>
          <t>1966-1983</t>
        </is>
      </c>
      <c r="AP321" s="70" t="n">
        <v>2004</v>
      </c>
      <c r="AQ321" s="74" t="n">
        <v>1.42</v>
      </c>
      <c r="AR321" s="74" t="n">
        <v>-0.24</v>
      </c>
      <c r="AS321" s="74" t="n">
        <v>52.6</v>
      </c>
      <c r="AT321" s="74" t="n">
        <v>58.1</v>
      </c>
      <c r="AU321" s="74" t="n">
        <v>43.3</v>
      </c>
      <c r="AV321" s="74" t="n">
        <v>9.172052108999999</v>
      </c>
      <c r="AW321" s="74" t="n">
        <v>1.402987662</v>
      </c>
      <c r="AX321" s="75" t="n">
        <v>53</v>
      </c>
      <c r="AY321" s="71" t="n">
        <v>210000000</v>
      </c>
      <c r="AZ321" s="71" t="n">
        <v>162000000</v>
      </c>
      <c r="BA321" s="71" t="n">
        <v>10135117.58</v>
      </c>
      <c r="BB321" s="71" t="n">
        <v>-1678668.14</v>
      </c>
      <c r="BC321" s="69" t="inlineStr">
        <is>
          <t>Refinance</t>
        </is>
      </c>
      <c r="BD321" s="69" t="inlineStr">
        <is>
          <t>Y</t>
        </is>
      </c>
      <c r="BE321" s="71" t="n">
        <v>45993750.46</v>
      </c>
      <c r="BF321" s="71" t="n"/>
      <c r="BG321" s="71" t="n">
        <v>19500000</v>
      </c>
      <c r="BH321" s="71" t="n">
        <v>0</v>
      </c>
      <c r="BI321" s="71" t="n">
        <v>4558894.56</v>
      </c>
      <c r="BJ321" s="69" t="inlineStr">
        <is>
          <t>N</t>
        </is>
      </c>
      <c r="BK321" s="69" t="inlineStr">
        <is>
          <t>Hammer Packaging Corporation</t>
        </is>
      </c>
      <c r="BL321" s="75" t="n">
        <v>7.86</v>
      </c>
      <c r="BM321" s="73" t="n">
        <v>47118</v>
      </c>
      <c r="BN321" s="69" t="inlineStr">
        <is>
          <t>Leslie Westreich; Morty Yashar</t>
        </is>
      </c>
      <c r="BO321" s="69" t="inlineStr">
        <is>
          <t>Cantor Commercial Real Estate Lending</t>
        </is>
      </c>
      <c r="BP321" s="69" t="inlineStr">
        <is>
          <t>Midland Loan Services</t>
        </is>
      </c>
      <c r="BQ321" s="69" t="inlineStr">
        <is>
          <t>Midland Loan Services</t>
        </is>
      </c>
      <c r="BR321" s="69" t="n"/>
      <c r="BS321" s="73" t="n">
        <v>46276</v>
      </c>
      <c r="BU321" s="76">
        <f>IF($C321="","",IFERROR(INDEX(dmName,MATCH($C321,dmID,0)),"Unmapped"))</f>
        <v/>
      </c>
      <c r="BV321" s="76">
        <f>IF($C321="","",IFERROR(INDEX(dmEntity,MATCH($C321,dmID,0)),"Unmapped"))</f>
        <v/>
      </c>
      <c r="BW321" s="77">
        <f>IF($C321="","",IFERROR(INDEX(dmVintage,MATCH($C321,dmID,0)),""))</f>
        <v/>
      </c>
      <c r="BX321" s="78">
        <f>IFERROR(INDEX(dmInclude,MATCH($C321,dmID,0)),0)</f>
        <v/>
      </c>
      <c r="BY321" s="78">
        <f>IF(N($I321)&gt;0,1,0)</f>
        <v/>
      </c>
      <c r="BZ321" s="76">
        <f>IF($AJ321="","Other / Leased Fee",IFERROR(INDEX(mapPTGroup,MATCH(LEFT(TRIM($AJ321),2),mapPTCode,0)),"Other / Leased Fee"))</f>
        <v/>
      </c>
      <c r="CA321" s="76">
        <f>IF(TRIM($AF321&amp;"")="","NR",LEFT(TRIM($AF321),2))</f>
        <v/>
      </c>
      <c r="CB321" s="76">
        <f>IFERROR(LOOKUP(2,1/(LEFT(TRIM($AI321&amp;""),LEN(mapRegion))=mapRegion),mapRegion),"Not Reported")</f>
        <v/>
      </c>
      <c r="CC321" s="76">
        <f>IF($BY321=0,"",IF(TRIM($W321&amp;"")="REO","REO",IF(TRIM($W321&amp;"")="FC","Foreclosure",IF(TRIM($W321&amp;"")="90+","90+ Days Delinquent",IF(TRIM($W321&amp;"")="60","60 Days Delinquent",IF(TRIM($W321&amp;"")="30","30 Days Delinquent",IF($X321="Non-Performing Matured Balloon","Non-Performing Matured Balloon",IF(OR($X321="Late Payment But Less Than 30 Days Delinquent",LEFT($X321&amp;"",20)="Payment Not Received"),"Late / In Grace (&lt;30 Days)",IF($X321="Performing Matured Balloon","Performing Matured Balloon","Current")))))))))</f>
        <v/>
      </c>
      <c r="CD321" s="78">
        <f>IF(OR($CC321="REO",$CC321="Foreclosure",$CC321="90+ Days Delinquent",$CC321="60 Days Delinquent",$CC321="30 Days Delinquent",$CC321="Non-Performing Matured Balloon"),1,0)</f>
        <v/>
      </c>
      <c r="CE321" s="76">
        <f>IF($AB321="Currently special serv","Currently Specially Serviced",IF($AB321="Returned to master serv","Previously Specially Serviced","Never Specially Serviced"))</f>
        <v/>
      </c>
      <c r="CF321" s="78">
        <f>IF($CE321="Currently Specially Serviced",1,0)</f>
        <v/>
      </c>
      <c r="CG321" s="76">
        <f>IF($AA321="Yes","Currently on Watchlist",IF($AA321="Previously","Previously on Watchlist","Never on Watchlist"))</f>
        <v/>
      </c>
      <c r="CH321" s="78">
        <f>IF($CG321="Currently on Watchlist",1,0)</f>
        <v/>
      </c>
      <c r="CI321" s="76">
        <f>IF($Z321="Full Defeasance","Fully Defeased",IF($Z321="Portion Of Loan Previously Defeased","Partially Defeased",IF($Z321="Defeasance Not Allowable","Not Defeased (Not Permitted)","Not Defeased")))</f>
        <v/>
      </c>
      <c r="CJ321" s="78">
        <f>IF($CI321="Fully Defeased",1,0)</f>
        <v/>
      </c>
      <c r="CK321" s="76">
        <f>IF($R321="IO","Full IO",IF(LEFT($R321&amp;"",7)="IO then","Partial IO","Amortizing"))</f>
        <v/>
      </c>
      <c r="CL321" s="78">
        <f>IF($CK321="Full IO",1,0)</f>
        <v/>
      </c>
      <c r="CM321" s="78">
        <f>IF($CK321="Partial IO",1,0)</f>
        <v/>
      </c>
      <c r="CN321" s="76">
        <f>IF(LEFT($F321&amp;"",10)="SPLIT_LOAN","Pari Passu Split","Standalone")</f>
        <v/>
      </c>
      <c r="CO321" s="78">
        <f>IF($CN321="Pari Passu Split",1,0)</f>
        <v/>
      </c>
      <c r="CP321" s="77">
        <f>IF(ISNUMBER($T321),YEAR($T321),"")</f>
        <v/>
      </c>
      <c r="CQ321" s="79">
        <f>IF(ISNUMBER($V321),$V321,IF(ISNUMBER($U321),$U321,""))</f>
        <v/>
      </c>
      <c r="CR321" s="77">
        <f>IF(ISNUMBER($CQ321),YEAR($CQ321),"")</f>
        <v/>
      </c>
      <c r="CS321" s="78">
        <f>IF(ISNUMBER($M321),MAX(0,$M321),IF(TRIM($M321&amp;"")="matured",0,""))</f>
        <v/>
      </c>
      <c r="CT321" s="78">
        <f>IF(AND(ISNUMBER($CS321),N($CS321)&lt;=mMatWindow),1,0)</f>
        <v/>
      </c>
      <c r="CU321" s="80">
        <f>IF(ISNUMBER($J321),$J321/100,"")</f>
        <v/>
      </c>
      <c r="CV321" s="81">
        <f>IF(ISNUMBER($AQ321),$AQ321,"")</f>
        <v/>
      </c>
      <c r="CW321" s="81">
        <f>IF(ISNUMBER($AR321),$AR321,"")</f>
        <v/>
      </c>
      <c r="CX321" s="82">
        <f>IF(ISNUMBER($AS321),$AS321/100,"")</f>
        <v/>
      </c>
      <c r="CY321" s="82">
        <f>IF(ISNUMBER($AT321),$AT321/100,"")</f>
        <v/>
      </c>
      <c r="CZ321" s="82">
        <f>IF(ISNUMBER($AU321),$AU321/100,"")</f>
        <v/>
      </c>
      <c r="DA321" s="82">
        <f>IF(ISNUMBER($AV321),$AV321/100,"")</f>
        <v/>
      </c>
      <c r="DB321" s="82">
        <f>IF(ISNUMBER($AW321),$AW321/100,"")</f>
        <v/>
      </c>
      <c r="DC321" s="82">
        <f>IF(ISNUMBER($AX321),$AX321/100,"")</f>
        <v/>
      </c>
      <c r="DD321" s="77">
        <f>IFERROR(VALUE(LEFT(TRIM($AO321&amp;""),4)),"")</f>
        <v/>
      </c>
      <c r="DE321" s="78">
        <f>IF(AND($BY321=1,$BX321=1,OR(fDeal="All Deals",$BU321=fDeal),OR(fEntity="All Entities",$BV321=fEntity),OR(fPType="All Property Types",$BZ321=fPType),OR(fDefeased="Include",$CJ321=0)),1,0)</f>
        <v/>
      </c>
      <c r="DF321" s="83">
        <f>$DE321*N($I321)</f>
        <v/>
      </c>
      <c r="DG321" s="78">
        <f>IF($DE321=1,IF(COUNTIFS($F$8:$F321,$F321,$DE$8:$DE321,1)=1,1,0),0)</f>
        <v/>
      </c>
      <c r="DH321" s="83">
        <f>IF($DG321=1,SUMIFS($DF$8:$DF$1600,$F$8:$F$1600,$F321),0)</f>
        <v/>
      </c>
      <c r="DI321" s="78">
        <f>IF($DG321=1,COUNTIFS($F$8:$F$1600,$F321,$DE$8:$DE$1600,1),0)</f>
        <v/>
      </c>
      <c r="DJ321" s="84">
        <f>IF($DG321=1,$DH321+(100000-ROW())/mTieBreak,0)</f>
        <v/>
      </c>
    </row>
    <row r="322">
      <c r="B322" s="68" t="n">
        <v>3</v>
      </c>
      <c r="C322" s="69" t="inlineStr">
        <is>
          <t>UBS18C08</t>
        </is>
      </c>
      <c r="D322" s="69" t="inlineStr">
        <is>
          <t>3.000</t>
        </is>
      </c>
      <c r="E322" s="69" t="inlineStr">
        <is>
          <t>CrossPoint</t>
        </is>
      </c>
      <c r="F322" s="69" t="inlineStr">
        <is>
          <t>SPLIT_LOAN_01237</t>
        </is>
      </c>
      <c r="G322" s="70" t="n">
        <v>1237</v>
      </c>
      <c r="H322" s="71" t="n">
        <v>50000000</v>
      </c>
      <c r="I322" s="71" t="n">
        <v>50000000</v>
      </c>
      <c r="J322" s="72" t="n">
        <v>4.734</v>
      </c>
      <c r="K322" s="69" t="inlineStr">
        <is>
          <t>Fixed rate</t>
        </is>
      </c>
      <c r="L322" s="68" t="n">
        <v>120</v>
      </c>
      <c r="M322" s="68" t="n">
        <v>17</v>
      </c>
      <c r="N322" s="68" t="n">
        <v>120</v>
      </c>
      <c r="O322" s="68" t="n">
        <v>120</v>
      </c>
      <c r="P322" s="68" t="n">
        <v>17</v>
      </c>
      <c r="Q322" s="68" t="n">
        <v>103</v>
      </c>
      <c r="R322" s="69" t="inlineStr">
        <is>
          <t>IO</t>
        </is>
      </c>
      <c r="S322" s="69" t="inlineStr">
        <is>
          <t>Yes</t>
        </is>
      </c>
      <c r="T322" s="73" t="n">
        <v>43132</v>
      </c>
      <c r="U322" s="73" t="n">
        <v>46789</v>
      </c>
      <c r="V322" s="73" t="n"/>
      <c r="W322" s="69" t="n"/>
      <c r="X322" s="69" t="inlineStr">
        <is>
          <t>Current</t>
        </is>
      </c>
      <c r="Y322" s="68" t="n"/>
      <c r="Z322" s="69" t="inlineStr">
        <is>
          <t>No Defeasance Occurred</t>
        </is>
      </c>
      <c r="AA322" s="69" t="inlineStr">
        <is>
          <t>Yes</t>
        </is>
      </c>
      <c r="AB322" s="69" t="inlineStr">
        <is>
          <t>Never special serv</t>
        </is>
      </c>
      <c r="AC322" s="73" t="n"/>
      <c r="AD322" s="69" t="n"/>
      <c r="AE322" s="69" t="n"/>
      <c r="AF322" s="69" t="inlineStr">
        <is>
          <t>MA</t>
        </is>
      </c>
      <c r="AG322" s="69" t="inlineStr">
        <is>
          <t>Lowell</t>
        </is>
      </c>
      <c r="AH322" s="69" t="inlineStr">
        <is>
          <t>Boston-Cambridge-Newton, MA-NH</t>
        </is>
      </c>
      <c r="AI322" s="69" t="inlineStr">
        <is>
          <t>Northeast / New England</t>
        </is>
      </c>
      <c r="AJ322" s="69" t="inlineStr">
        <is>
          <t>OF</t>
        </is>
      </c>
      <c r="AK322" s="69" t="inlineStr">
        <is>
          <t>Suburban</t>
        </is>
      </c>
      <c r="AL322" s="68" t="n">
        <v>1</v>
      </c>
      <c r="AM322" s="68" t="n"/>
      <c r="AN322" s="68" t="n">
        <v>1320254</v>
      </c>
      <c r="AO322" s="69" t="inlineStr">
        <is>
          <t>1979</t>
        </is>
      </c>
      <c r="AP322" s="70" t="n">
        <v>2017</v>
      </c>
      <c r="AQ322" s="74" t="n">
        <v>2.24</v>
      </c>
      <c r="AR322" s="74" t="n">
        <v>2.07</v>
      </c>
      <c r="AS322" s="74" t="n">
        <v>60</v>
      </c>
      <c r="AT322" s="74" t="n">
        <v>60</v>
      </c>
      <c r="AU322" s="74" t="n">
        <v>60</v>
      </c>
      <c r="AV322" s="74" t="n">
        <v>10.744682</v>
      </c>
      <c r="AW322" s="74" t="n">
        <v>9.670507333</v>
      </c>
      <c r="AX322" s="75" t="n">
        <v>74</v>
      </c>
      <c r="AY322" s="71" t="n">
        <v>250000000</v>
      </c>
      <c r="AZ322" s="71" t="n">
        <v>250000000</v>
      </c>
      <c r="BA322" s="71" t="n">
        <v>16117023</v>
      </c>
      <c r="BB322" s="71" t="n">
        <v>14690709</v>
      </c>
      <c r="BC322" s="69" t="inlineStr">
        <is>
          <t>Acquisition</t>
        </is>
      </c>
      <c r="BD322" s="69" t="inlineStr">
        <is>
          <t>N</t>
        </is>
      </c>
      <c r="BE322" s="71" t="n">
        <v>100000000</v>
      </c>
      <c r="BF322" s="71" t="n"/>
      <c r="BG322" s="71" t="n"/>
      <c r="BH322" s="71" t="n">
        <v>0</v>
      </c>
      <c r="BI322" s="71" t="n">
        <v>0</v>
      </c>
      <c r="BJ322" s="69" t="inlineStr">
        <is>
          <t>N</t>
        </is>
      </c>
      <c r="BK322" s="69" t="inlineStr">
        <is>
          <t>International Business</t>
        </is>
      </c>
      <c r="BL322" s="75" t="n">
        <v>11.41</v>
      </c>
      <c r="BM322" s="73" t="n">
        <v>46477</v>
      </c>
      <c r="BN322" s="69" t="inlineStr">
        <is>
          <t>Samuel T. Byrne; William H. Kremer</t>
        </is>
      </c>
      <c r="BO322" s="69" t="inlineStr">
        <is>
          <t>Cantor Commercial Real Estate Lending</t>
        </is>
      </c>
      <c r="BP322" s="69" t="inlineStr">
        <is>
          <t>Midland Loan Services</t>
        </is>
      </c>
      <c r="BQ322" s="69" t="inlineStr">
        <is>
          <t>K-Star Asset Management LLC</t>
        </is>
      </c>
      <c r="BR322" s="69" t="n"/>
      <c r="BS322" s="73" t="n">
        <v>46276</v>
      </c>
      <c r="BU322" s="76">
        <f>IF($C322="","",IFERROR(INDEX(dmName,MATCH($C322,dmID,0)),"Unmapped"))</f>
        <v/>
      </c>
      <c r="BV322" s="76">
        <f>IF($C322="","",IFERROR(INDEX(dmEntity,MATCH($C322,dmID,0)),"Unmapped"))</f>
        <v/>
      </c>
      <c r="BW322" s="77">
        <f>IF($C322="","",IFERROR(INDEX(dmVintage,MATCH($C322,dmID,0)),""))</f>
        <v/>
      </c>
      <c r="BX322" s="78">
        <f>IFERROR(INDEX(dmInclude,MATCH($C322,dmID,0)),0)</f>
        <v/>
      </c>
      <c r="BY322" s="78">
        <f>IF(N($I322)&gt;0,1,0)</f>
        <v/>
      </c>
      <c r="BZ322" s="76">
        <f>IF($AJ322="","Other / Leased Fee",IFERROR(INDEX(mapPTGroup,MATCH(LEFT(TRIM($AJ322),2),mapPTCode,0)),"Other / Leased Fee"))</f>
        <v/>
      </c>
      <c r="CA322" s="76">
        <f>IF(TRIM($AF322&amp;"")="","NR",LEFT(TRIM($AF322),2))</f>
        <v/>
      </c>
      <c r="CB322" s="76">
        <f>IFERROR(LOOKUP(2,1/(LEFT(TRIM($AI322&amp;""),LEN(mapRegion))=mapRegion),mapRegion),"Not Reported")</f>
        <v/>
      </c>
      <c r="CC322" s="76">
        <f>IF($BY322=0,"",IF(TRIM($W322&amp;"")="REO","REO",IF(TRIM($W322&amp;"")="FC","Foreclosure",IF(TRIM($W322&amp;"")="90+","90+ Days Delinquent",IF(TRIM($W322&amp;"")="60","60 Days Delinquent",IF(TRIM($W322&amp;"")="30","30 Days Delinquent",IF($X322="Non-Performing Matured Balloon","Non-Performing Matured Balloon",IF(OR($X322="Late Payment But Less Than 30 Days Delinquent",LEFT($X322&amp;"",20)="Payment Not Received"),"Late / In Grace (&lt;30 Days)",IF($X322="Performing Matured Balloon","Performing Matured Balloon","Current")))))))))</f>
        <v/>
      </c>
      <c r="CD322" s="78">
        <f>IF(OR($CC322="REO",$CC322="Foreclosure",$CC322="90+ Days Delinquent",$CC322="60 Days Delinquent",$CC322="30 Days Delinquent",$CC322="Non-Performing Matured Balloon"),1,0)</f>
        <v/>
      </c>
      <c r="CE322" s="76">
        <f>IF($AB322="Currently special serv","Currently Specially Serviced",IF($AB322="Returned to master serv","Previously Specially Serviced","Never Specially Serviced"))</f>
        <v/>
      </c>
      <c r="CF322" s="78">
        <f>IF($CE322="Currently Specially Serviced",1,0)</f>
        <v/>
      </c>
      <c r="CG322" s="76">
        <f>IF($AA322="Yes","Currently on Watchlist",IF($AA322="Previously","Previously on Watchlist","Never on Watchlist"))</f>
        <v/>
      </c>
      <c r="CH322" s="78">
        <f>IF($CG322="Currently on Watchlist",1,0)</f>
        <v/>
      </c>
      <c r="CI322" s="76">
        <f>IF($Z322="Full Defeasance","Fully Defeased",IF($Z322="Portion Of Loan Previously Defeased","Partially Defeased",IF($Z322="Defeasance Not Allowable","Not Defeased (Not Permitted)","Not Defeased")))</f>
        <v/>
      </c>
      <c r="CJ322" s="78">
        <f>IF($CI322="Fully Defeased",1,0)</f>
        <v/>
      </c>
      <c r="CK322" s="76">
        <f>IF($R322="IO","Full IO",IF(LEFT($R322&amp;"",7)="IO then","Partial IO","Amortizing"))</f>
        <v/>
      </c>
      <c r="CL322" s="78">
        <f>IF($CK322="Full IO",1,0)</f>
        <v/>
      </c>
      <c r="CM322" s="78">
        <f>IF($CK322="Partial IO",1,0)</f>
        <v/>
      </c>
      <c r="CN322" s="76">
        <f>IF(LEFT($F322&amp;"",10)="SPLIT_LOAN","Pari Passu Split","Standalone")</f>
        <v/>
      </c>
      <c r="CO322" s="78">
        <f>IF($CN322="Pari Passu Split",1,0)</f>
        <v/>
      </c>
      <c r="CP322" s="77">
        <f>IF(ISNUMBER($T322),YEAR($T322),"")</f>
        <v/>
      </c>
      <c r="CQ322" s="79">
        <f>IF(ISNUMBER($V322),$V322,IF(ISNUMBER($U322),$U322,""))</f>
        <v/>
      </c>
      <c r="CR322" s="77">
        <f>IF(ISNUMBER($CQ322),YEAR($CQ322),"")</f>
        <v/>
      </c>
      <c r="CS322" s="78">
        <f>IF(ISNUMBER($M322),MAX(0,$M322),IF(TRIM($M322&amp;"")="matured",0,""))</f>
        <v/>
      </c>
      <c r="CT322" s="78">
        <f>IF(AND(ISNUMBER($CS322),N($CS322)&lt;=mMatWindow),1,0)</f>
        <v/>
      </c>
      <c r="CU322" s="80">
        <f>IF(ISNUMBER($J322),$J322/100,"")</f>
        <v/>
      </c>
      <c r="CV322" s="81">
        <f>IF(ISNUMBER($AQ322),$AQ322,"")</f>
        <v/>
      </c>
      <c r="CW322" s="81">
        <f>IF(ISNUMBER($AR322),$AR322,"")</f>
        <v/>
      </c>
      <c r="CX322" s="82">
        <f>IF(ISNUMBER($AS322),$AS322/100,"")</f>
        <v/>
      </c>
      <c r="CY322" s="82">
        <f>IF(ISNUMBER($AT322),$AT322/100,"")</f>
        <v/>
      </c>
      <c r="CZ322" s="82">
        <f>IF(ISNUMBER($AU322),$AU322/100,"")</f>
        <v/>
      </c>
      <c r="DA322" s="82">
        <f>IF(ISNUMBER($AV322),$AV322/100,"")</f>
        <v/>
      </c>
      <c r="DB322" s="82">
        <f>IF(ISNUMBER($AW322),$AW322/100,"")</f>
        <v/>
      </c>
      <c r="DC322" s="82">
        <f>IF(ISNUMBER($AX322),$AX322/100,"")</f>
        <v/>
      </c>
      <c r="DD322" s="77">
        <f>IFERROR(VALUE(LEFT(TRIM($AO322&amp;""),4)),"")</f>
        <v/>
      </c>
      <c r="DE322" s="78">
        <f>IF(AND($BY322=1,$BX322=1,OR(fDeal="All Deals",$BU322=fDeal),OR(fEntity="All Entities",$BV322=fEntity),OR(fPType="All Property Types",$BZ322=fPType),OR(fDefeased="Include",$CJ322=0)),1,0)</f>
        <v/>
      </c>
      <c r="DF322" s="83">
        <f>$DE322*N($I322)</f>
        <v/>
      </c>
      <c r="DG322" s="78">
        <f>IF($DE322=1,IF(COUNTIFS($F$8:$F322,$F322,$DE$8:$DE322,1)=1,1,0),0)</f>
        <v/>
      </c>
      <c r="DH322" s="83">
        <f>IF($DG322=1,SUMIFS($DF$8:$DF$1600,$F$8:$F$1600,$F322),0)</f>
        <v/>
      </c>
      <c r="DI322" s="78">
        <f>IF($DG322=1,COUNTIFS($F$8:$F$1600,$F322,$DE$8:$DE$1600,1),0)</f>
        <v/>
      </c>
      <c r="DJ322" s="84">
        <f>IF($DG322=1,$DH322+(100000-ROW())/mTieBreak,0)</f>
        <v/>
      </c>
    </row>
    <row r="323">
      <c r="B323" s="68" t="n">
        <v>4</v>
      </c>
      <c r="C323" s="69" t="inlineStr">
        <is>
          <t>UBS18C08</t>
        </is>
      </c>
      <c r="D323" s="69" t="inlineStr">
        <is>
          <t>4.000</t>
        </is>
      </c>
      <c r="E323" s="69" t="inlineStr">
        <is>
          <t>Houston Distribution Center</t>
        </is>
      </c>
      <c r="F323" s="69" t="inlineStr">
        <is>
          <t>SPLIT_LOAN_01238</t>
        </is>
      </c>
      <c r="G323" s="70" t="n">
        <v>1238</v>
      </c>
      <c r="H323" s="71" t="n">
        <v>49000000</v>
      </c>
      <c r="I323" s="71" t="n">
        <v>0</v>
      </c>
      <c r="J323" s="72" t="n">
        <v>5.141</v>
      </c>
      <c r="K323" s="69" t="inlineStr">
        <is>
          <t>Fixed rate</t>
        </is>
      </c>
      <c r="L323" s="68" t="n">
        <v>120</v>
      </c>
      <c r="M323" s="68" t="n"/>
      <c r="N323" s="68" t="n">
        <v>360</v>
      </c>
      <c r="O323" s="68" t="n"/>
      <c r="P323" s="68" t="n"/>
      <c r="Q323" s="68" t="n"/>
      <c r="R323" s="69" t="n"/>
      <c r="S323" s="69" t="inlineStr">
        <is>
          <t>No</t>
        </is>
      </c>
      <c r="T323" s="73" t="n">
        <v>43132</v>
      </c>
      <c r="U323" s="73" t="n">
        <v>46784</v>
      </c>
      <c r="V323" s="73" t="n"/>
      <c r="W323" s="69" t="n"/>
      <c r="X323" s="69" t="inlineStr">
        <is>
          <t>Current</t>
        </is>
      </c>
      <c r="Y323" s="68" t="n"/>
      <c r="Z323" s="69" t="inlineStr">
        <is>
          <t>Defeasance Not Allowable</t>
        </is>
      </c>
      <c r="AA323" s="69" t="inlineStr">
        <is>
          <t>Previously</t>
        </is>
      </c>
      <c r="AB323" s="69" t="inlineStr">
        <is>
          <t>Never special serv</t>
        </is>
      </c>
      <c r="AC323" s="73" t="n"/>
      <c r="AD323" s="69" t="n"/>
      <c r="AE323" s="69" t="n"/>
      <c r="AF323" s="69" t="inlineStr">
        <is>
          <t>TX</t>
        </is>
      </c>
      <c r="AG323" s="69" t="inlineStr">
        <is>
          <t>Katy</t>
        </is>
      </c>
      <c r="AH323" s="69" t="inlineStr">
        <is>
          <t>Houston-Pasadena-The Woodlands, TX</t>
        </is>
      </c>
      <c r="AI323" s="69" t="inlineStr">
        <is>
          <t>South / Central West</t>
        </is>
      </c>
      <c r="AJ323" s="69" t="inlineStr">
        <is>
          <t>IN</t>
        </is>
      </c>
      <c r="AK323" s="69" t="inlineStr">
        <is>
          <t>Warehouse/Distribution</t>
        </is>
      </c>
      <c r="AL323" s="68" t="n">
        <v>1</v>
      </c>
      <c r="AM323" s="68" t="n"/>
      <c r="AN323" s="68" t="n">
        <v>1500596</v>
      </c>
      <c r="AO323" s="69" t="inlineStr">
        <is>
          <t>1973, 2000-2005</t>
        </is>
      </c>
      <c r="AP323" s="70" t="n">
        <v>2005</v>
      </c>
      <c r="AQ323" s="74" t="n">
        <v>1.44</v>
      </c>
      <c r="AR323" s="74" t="n">
        <v>1.44</v>
      </c>
      <c r="AS323" s="74" t="n">
        <v>58.3</v>
      </c>
      <c r="AT323" s="74" t="n"/>
      <c r="AU323" s="74" t="n">
        <v>48.2</v>
      </c>
      <c r="AV323" s="74" t="n">
        <v>9.395449631</v>
      </c>
      <c r="AW323" s="74" t="n"/>
      <c r="AX323" s="75" t="n">
        <v>100</v>
      </c>
      <c r="AY323" s="71" t="n">
        <v>144000000</v>
      </c>
      <c r="AZ323" s="71" t="n">
        <v>144000000</v>
      </c>
      <c r="BA323" s="71" t="n">
        <v>7892177.69</v>
      </c>
      <c r="BB323" s="71" t="n">
        <v>7926900.1</v>
      </c>
      <c r="BC323" s="69" t="inlineStr">
        <is>
          <t>Recapitalization</t>
        </is>
      </c>
      <c r="BD323" s="69" t="inlineStr">
        <is>
          <t>N</t>
        </is>
      </c>
      <c r="BE323" s="71" t="n">
        <v>0</v>
      </c>
      <c r="BF323" s="71" t="n"/>
      <c r="BG323" s="71" t="n"/>
      <c r="BH323" s="71" t="n">
        <v>0</v>
      </c>
      <c r="BI323" s="71" t="n">
        <v>0</v>
      </c>
      <c r="BJ323" s="69" t="inlineStr">
        <is>
          <t>N</t>
        </is>
      </c>
      <c r="BK323" s="69" t="inlineStr">
        <is>
          <t>Academy Sports + Outdoors</t>
        </is>
      </c>
      <c r="BL323" s="75" t="n">
        <v>100</v>
      </c>
      <c r="BM323" s="73" t="n">
        <v>48244</v>
      </c>
      <c r="BN323" s="69" t="inlineStr">
        <is>
          <t>Spirit Realty, L.P.</t>
        </is>
      </c>
      <c r="BO323" s="69" t="inlineStr">
        <is>
          <t>Societe Generale / Barclays</t>
        </is>
      </c>
      <c r="BP323" s="69" t="inlineStr">
        <is>
          <t>Midland Loan Services</t>
        </is>
      </c>
      <c r="BQ323" s="69" t="inlineStr">
        <is>
          <t>Midland Loan Services</t>
        </is>
      </c>
      <c r="BR323" s="69" t="inlineStr">
        <is>
          <t>Payoff With Yield Maintenance</t>
        </is>
      </c>
      <c r="BS323" s="73" t="n">
        <v>44692</v>
      </c>
      <c r="BU323" s="76">
        <f>IF($C323="","",IFERROR(INDEX(dmName,MATCH($C323,dmID,0)),"Unmapped"))</f>
        <v/>
      </c>
      <c r="BV323" s="76">
        <f>IF($C323="","",IFERROR(INDEX(dmEntity,MATCH($C323,dmID,0)),"Unmapped"))</f>
        <v/>
      </c>
      <c r="BW323" s="77">
        <f>IF($C323="","",IFERROR(INDEX(dmVintage,MATCH($C323,dmID,0)),""))</f>
        <v/>
      </c>
      <c r="BX323" s="78">
        <f>IFERROR(INDEX(dmInclude,MATCH($C323,dmID,0)),0)</f>
        <v/>
      </c>
      <c r="BY323" s="78">
        <f>IF(N($I323)&gt;0,1,0)</f>
        <v/>
      </c>
      <c r="BZ323" s="76">
        <f>IF($AJ323="","Other / Leased Fee",IFERROR(INDEX(mapPTGroup,MATCH(LEFT(TRIM($AJ323),2),mapPTCode,0)),"Other / Leased Fee"))</f>
        <v/>
      </c>
      <c r="CA323" s="76">
        <f>IF(TRIM($AF323&amp;"")="","NR",LEFT(TRIM($AF323),2))</f>
        <v/>
      </c>
      <c r="CB323" s="76">
        <f>IFERROR(LOOKUP(2,1/(LEFT(TRIM($AI323&amp;""),LEN(mapRegion))=mapRegion),mapRegion),"Not Reported")</f>
        <v/>
      </c>
      <c r="CC323" s="76">
        <f>IF($BY323=0,"",IF(TRIM($W323&amp;"")="REO","REO",IF(TRIM($W323&amp;"")="FC","Foreclosure",IF(TRIM($W323&amp;"")="90+","90+ Days Delinquent",IF(TRIM($W323&amp;"")="60","60 Days Delinquent",IF(TRIM($W323&amp;"")="30","30 Days Delinquent",IF($X323="Non-Performing Matured Balloon","Non-Performing Matured Balloon",IF(OR($X323="Late Payment But Less Than 30 Days Delinquent",LEFT($X323&amp;"",20)="Payment Not Received"),"Late / In Grace (&lt;30 Days)",IF($X323="Performing Matured Balloon","Performing Matured Balloon","Current")))))))))</f>
        <v/>
      </c>
      <c r="CD323" s="78">
        <f>IF(OR($CC323="REO",$CC323="Foreclosure",$CC323="90+ Days Delinquent",$CC323="60 Days Delinquent",$CC323="30 Days Delinquent",$CC323="Non-Performing Matured Balloon"),1,0)</f>
        <v/>
      </c>
      <c r="CE323" s="76">
        <f>IF($AB323="Currently special serv","Currently Specially Serviced",IF($AB323="Returned to master serv","Previously Specially Serviced","Never Specially Serviced"))</f>
        <v/>
      </c>
      <c r="CF323" s="78">
        <f>IF($CE323="Currently Specially Serviced",1,0)</f>
        <v/>
      </c>
      <c r="CG323" s="76">
        <f>IF($AA323="Yes","Currently on Watchlist",IF($AA323="Previously","Previously on Watchlist","Never on Watchlist"))</f>
        <v/>
      </c>
      <c r="CH323" s="78">
        <f>IF($CG323="Currently on Watchlist",1,0)</f>
        <v/>
      </c>
      <c r="CI323" s="76">
        <f>IF($Z323="Full Defeasance","Fully Defeased",IF($Z323="Portion Of Loan Previously Defeased","Partially Defeased",IF($Z323="Defeasance Not Allowable","Not Defeased (Not Permitted)","Not Defeased")))</f>
        <v/>
      </c>
      <c r="CJ323" s="78">
        <f>IF($CI323="Fully Defeased",1,0)</f>
        <v/>
      </c>
      <c r="CK323" s="76">
        <f>IF($R323="IO","Full IO",IF(LEFT($R323&amp;"",7)="IO then","Partial IO","Amortizing"))</f>
        <v/>
      </c>
      <c r="CL323" s="78">
        <f>IF($CK323="Full IO",1,0)</f>
        <v/>
      </c>
      <c r="CM323" s="78">
        <f>IF($CK323="Partial IO",1,0)</f>
        <v/>
      </c>
      <c r="CN323" s="76">
        <f>IF(LEFT($F323&amp;"",10)="SPLIT_LOAN","Pari Passu Split","Standalone")</f>
        <v/>
      </c>
      <c r="CO323" s="78">
        <f>IF($CN323="Pari Passu Split",1,0)</f>
        <v/>
      </c>
      <c r="CP323" s="77">
        <f>IF(ISNUMBER($T323),YEAR($T323),"")</f>
        <v/>
      </c>
      <c r="CQ323" s="79">
        <f>IF(ISNUMBER($V323),$V323,IF(ISNUMBER($U323),$U323,""))</f>
        <v/>
      </c>
      <c r="CR323" s="77">
        <f>IF(ISNUMBER($CQ323),YEAR($CQ323),"")</f>
        <v/>
      </c>
      <c r="CS323" s="78">
        <f>IF(ISNUMBER($M323),MAX(0,$M323),IF(TRIM($M323&amp;"")="matured",0,""))</f>
        <v/>
      </c>
      <c r="CT323" s="78">
        <f>IF(AND(ISNUMBER($CS323),N($CS323)&lt;=mMatWindow),1,0)</f>
        <v/>
      </c>
      <c r="CU323" s="80">
        <f>IF(ISNUMBER($J323),$J323/100,"")</f>
        <v/>
      </c>
      <c r="CV323" s="81">
        <f>IF(ISNUMBER($AQ323),$AQ323,"")</f>
        <v/>
      </c>
      <c r="CW323" s="81">
        <f>IF(ISNUMBER($AR323),$AR323,"")</f>
        <v/>
      </c>
      <c r="CX323" s="82">
        <f>IF(ISNUMBER($AS323),$AS323/100,"")</f>
        <v/>
      </c>
      <c r="CY323" s="82">
        <f>IF(ISNUMBER($AT323),$AT323/100,"")</f>
        <v/>
      </c>
      <c r="CZ323" s="82">
        <f>IF(ISNUMBER($AU323),$AU323/100,"")</f>
        <v/>
      </c>
      <c r="DA323" s="82">
        <f>IF(ISNUMBER($AV323),$AV323/100,"")</f>
        <v/>
      </c>
      <c r="DB323" s="82">
        <f>IF(ISNUMBER($AW323),$AW323/100,"")</f>
        <v/>
      </c>
      <c r="DC323" s="82">
        <f>IF(ISNUMBER($AX323),$AX323/100,"")</f>
        <v/>
      </c>
      <c r="DD323" s="77">
        <f>IFERROR(VALUE(LEFT(TRIM($AO323&amp;""),4)),"")</f>
        <v/>
      </c>
      <c r="DE323" s="78">
        <f>IF(AND($BY323=1,$BX323=1,OR(fDeal="All Deals",$BU323=fDeal),OR(fEntity="All Entities",$BV323=fEntity),OR(fPType="All Property Types",$BZ323=fPType),OR(fDefeased="Include",$CJ323=0)),1,0)</f>
        <v/>
      </c>
      <c r="DF323" s="83">
        <f>$DE323*N($I323)</f>
        <v/>
      </c>
      <c r="DG323" s="78">
        <f>IF($DE323=1,IF(COUNTIFS($F$8:$F323,$F323,$DE$8:$DE323,1)=1,1,0),0)</f>
        <v/>
      </c>
      <c r="DH323" s="83">
        <f>IF($DG323=1,SUMIFS($DF$8:$DF$1600,$F$8:$F$1600,$F323),0)</f>
        <v/>
      </c>
      <c r="DI323" s="78">
        <f>IF($DG323=1,COUNTIFS($F$8:$F$1600,$F323,$DE$8:$DE$1600,1),0)</f>
        <v/>
      </c>
      <c r="DJ323" s="84">
        <f>IF($DG323=1,$DH323+(100000-ROW())/mTieBreak,0)</f>
        <v/>
      </c>
    </row>
    <row r="324">
      <c r="B324" s="68" t="n">
        <v>5</v>
      </c>
      <c r="C324" s="69" t="inlineStr">
        <is>
          <t>UBS18C08</t>
        </is>
      </c>
      <c r="D324" s="69" t="inlineStr">
        <is>
          <t>5.000</t>
        </is>
      </c>
      <c r="E324" s="69" t="inlineStr">
        <is>
          <t>Moore Plaza</t>
        </is>
      </c>
      <c r="F324" s="69" t="inlineStr">
        <is>
          <t>LNUBS18C08-5.000</t>
        </is>
      </c>
      <c r="G324" s="70" t="n"/>
      <c r="H324" s="71" t="n">
        <v>47500000</v>
      </c>
      <c r="I324" s="71" t="n">
        <v>47500000</v>
      </c>
      <c r="J324" s="72" t="n">
        <v>4.53</v>
      </c>
      <c r="K324" s="69" t="inlineStr">
        <is>
          <t>Fixed rate</t>
        </is>
      </c>
      <c r="L324" s="68" t="n">
        <v>120</v>
      </c>
      <c r="M324" s="68" t="n">
        <v>17</v>
      </c>
      <c r="N324" s="68" t="n">
        <v>120</v>
      </c>
      <c r="O324" s="68" t="n">
        <v>120</v>
      </c>
      <c r="P324" s="68" t="n">
        <v>17</v>
      </c>
      <c r="Q324" s="68" t="n">
        <v>103</v>
      </c>
      <c r="R324" s="69" t="inlineStr">
        <is>
          <t>IO</t>
        </is>
      </c>
      <c r="S324" s="69" t="inlineStr">
        <is>
          <t>Yes</t>
        </is>
      </c>
      <c r="T324" s="73" t="n">
        <v>43132</v>
      </c>
      <c r="U324" s="73" t="n">
        <v>46789</v>
      </c>
      <c r="V324" s="73" t="n"/>
      <c r="W324" s="69" t="n"/>
      <c r="X324" s="69" t="inlineStr">
        <is>
          <t>Current</t>
        </is>
      </c>
      <c r="Y324" s="68" t="n"/>
      <c r="Z324" s="69" t="inlineStr">
        <is>
          <t>No Defeasance Occurred</t>
        </is>
      </c>
      <c r="AA324" s="69" t="inlineStr">
        <is>
          <t>Previously</t>
        </is>
      </c>
      <c r="AB324" s="69" t="inlineStr">
        <is>
          <t>Never special serv</t>
        </is>
      </c>
      <c r="AC324" s="73" t="n"/>
      <c r="AD324" s="69" t="n"/>
      <c r="AE324" s="69" t="n"/>
      <c r="AF324" s="69" t="inlineStr">
        <is>
          <t>TX</t>
        </is>
      </c>
      <c r="AG324" s="69" t="inlineStr">
        <is>
          <t>Corpus Christi</t>
        </is>
      </c>
      <c r="AH324" s="69" t="inlineStr">
        <is>
          <t>Corpus Christi, TX</t>
        </is>
      </c>
      <c r="AI324" s="69" t="inlineStr">
        <is>
          <t>South / Central West</t>
        </is>
      </c>
      <c r="AJ324" s="69" t="inlineStr">
        <is>
          <t>RT</t>
        </is>
      </c>
      <c r="AK324" s="69" t="inlineStr">
        <is>
          <t>Anchored</t>
        </is>
      </c>
      <c r="AL324" s="68" t="n">
        <v>1</v>
      </c>
      <c r="AM324" s="68" t="n"/>
      <c r="AN324" s="68" t="n">
        <v>377261</v>
      </c>
      <c r="AO324" s="69" t="inlineStr">
        <is>
          <t>1989</t>
        </is>
      </c>
      <c r="AP324" s="70" t="n">
        <v>2017</v>
      </c>
      <c r="AQ324" s="74" t="n">
        <v>2.27</v>
      </c>
      <c r="AR324" s="74" t="n">
        <v>2.36</v>
      </c>
      <c r="AS324" s="74" t="n">
        <v>60.2</v>
      </c>
      <c r="AT324" s="74" t="n">
        <v>60.2</v>
      </c>
      <c r="AU324" s="74" t="n">
        <v>60.2</v>
      </c>
      <c r="AV324" s="74" t="n">
        <v>10.440917895</v>
      </c>
      <c r="AW324" s="74" t="n">
        <v>9.559702526000001</v>
      </c>
      <c r="AX324" s="75" t="n">
        <v>96</v>
      </c>
      <c r="AY324" s="71" t="n">
        <v>78900000</v>
      </c>
      <c r="AZ324" s="71" t="n">
        <v>78900000</v>
      </c>
      <c r="BA324" s="71" t="n">
        <v>4959436</v>
      </c>
      <c r="BB324" s="71" t="n">
        <v>5148417.44</v>
      </c>
      <c r="BC324" s="69" t="inlineStr">
        <is>
          <t>Acquisition</t>
        </is>
      </c>
      <c r="BD324" s="69" t="inlineStr">
        <is>
          <t>N</t>
        </is>
      </c>
      <c r="BE324" s="71" t="n"/>
      <c r="BF324" s="71" t="n"/>
      <c r="BG324" s="71" t="n"/>
      <c r="BH324" s="71" t="n">
        <v>0</v>
      </c>
      <c r="BI324" s="71" t="n">
        <v>0</v>
      </c>
      <c r="BJ324" s="69" t="inlineStr">
        <is>
          <t>N</t>
        </is>
      </c>
      <c r="BK324" s="69" t="inlineStr">
        <is>
          <t>Hobby Lobby and Mardel #66</t>
        </is>
      </c>
      <c r="BL324" s="75" t="n">
        <v>27.17</v>
      </c>
      <c r="BM324" s="73" t="n">
        <v>47756</v>
      </c>
      <c r="BN324" s="69" t="inlineStr">
        <is>
          <t>J. Kenneth Dunn</t>
        </is>
      </c>
      <c r="BO324" s="69" t="inlineStr">
        <is>
          <t>RMF</t>
        </is>
      </c>
      <c r="BP324" s="69" t="inlineStr">
        <is>
          <t>Midland Loan Services</t>
        </is>
      </c>
      <c r="BQ324" s="69" t="inlineStr">
        <is>
          <t>Midland Loan Services</t>
        </is>
      </c>
      <c r="BR324" s="69" t="n"/>
      <c r="BS324" s="73" t="n">
        <v>46276</v>
      </c>
      <c r="BU324" s="76">
        <f>IF($C324="","",IFERROR(INDEX(dmName,MATCH($C324,dmID,0)),"Unmapped"))</f>
        <v/>
      </c>
      <c r="BV324" s="76">
        <f>IF($C324="","",IFERROR(INDEX(dmEntity,MATCH($C324,dmID,0)),"Unmapped"))</f>
        <v/>
      </c>
      <c r="BW324" s="77">
        <f>IF($C324="","",IFERROR(INDEX(dmVintage,MATCH($C324,dmID,0)),""))</f>
        <v/>
      </c>
      <c r="BX324" s="78">
        <f>IFERROR(INDEX(dmInclude,MATCH($C324,dmID,0)),0)</f>
        <v/>
      </c>
      <c r="BY324" s="78">
        <f>IF(N($I324)&gt;0,1,0)</f>
        <v/>
      </c>
      <c r="BZ324" s="76">
        <f>IF($AJ324="","Other / Leased Fee",IFERROR(INDEX(mapPTGroup,MATCH(LEFT(TRIM($AJ324),2),mapPTCode,0)),"Other / Leased Fee"))</f>
        <v/>
      </c>
      <c r="CA324" s="76">
        <f>IF(TRIM($AF324&amp;"")="","NR",LEFT(TRIM($AF324),2))</f>
        <v/>
      </c>
      <c r="CB324" s="76">
        <f>IFERROR(LOOKUP(2,1/(LEFT(TRIM($AI324&amp;""),LEN(mapRegion))=mapRegion),mapRegion),"Not Reported")</f>
        <v/>
      </c>
      <c r="CC324" s="76">
        <f>IF($BY324=0,"",IF(TRIM($W324&amp;"")="REO","REO",IF(TRIM($W324&amp;"")="FC","Foreclosure",IF(TRIM($W324&amp;"")="90+","90+ Days Delinquent",IF(TRIM($W324&amp;"")="60","60 Days Delinquent",IF(TRIM($W324&amp;"")="30","30 Days Delinquent",IF($X324="Non-Performing Matured Balloon","Non-Performing Matured Balloon",IF(OR($X324="Late Payment But Less Than 30 Days Delinquent",LEFT($X324&amp;"",20)="Payment Not Received"),"Late / In Grace (&lt;30 Days)",IF($X324="Performing Matured Balloon","Performing Matured Balloon","Current")))))))))</f>
        <v/>
      </c>
      <c r="CD324" s="78">
        <f>IF(OR($CC324="REO",$CC324="Foreclosure",$CC324="90+ Days Delinquent",$CC324="60 Days Delinquent",$CC324="30 Days Delinquent",$CC324="Non-Performing Matured Balloon"),1,0)</f>
        <v/>
      </c>
      <c r="CE324" s="76">
        <f>IF($AB324="Currently special serv","Currently Specially Serviced",IF($AB324="Returned to master serv","Previously Specially Serviced","Never Specially Serviced"))</f>
        <v/>
      </c>
      <c r="CF324" s="78">
        <f>IF($CE324="Currently Specially Serviced",1,0)</f>
        <v/>
      </c>
      <c r="CG324" s="76">
        <f>IF($AA324="Yes","Currently on Watchlist",IF($AA324="Previously","Previously on Watchlist","Never on Watchlist"))</f>
        <v/>
      </c>
      <c r="CH324" s="78">
        <f>IF($CG324="Currently on Watchlist",1,0)</f>
        <v/>
      </c>
      <c r="CI324" s="76">
        <f>IF($Z324="Full Defeasance","Fully Defeased",IF($Z324="Portion Of Loan Previously Defeased","Partially Defeased",IF($Z324="Defeasance Not Allowable","Not Defeased (Not Permitted)","Not Defeased")))</f>
        <v/>
      </c>
      <c r="CJ324" s="78">
        <f>IF($CI324="Fully Defeased",1,0)</f>
        <v/>
      </c>
      <c r="CK324" s="76">
        <f>IF($R324="IO","Full IO",IF(LEFT($R324&amp;"",7)="IO then","Partial IO","Amortizing"))</f>
        <v/>
      </c>
      <c r="CL324" s="78">
        <f>IF($CK324="Full IO",1,0)</f>
        <v/>
      </c>
      <c r="CM324" s="78">
        <f>IF($CK324="Partial IO",1,0)</f>
        <v/>
      </c>
      <c r="CN324" s="76">
        <f>IF(LEFT($F324&amp;"",10)="SPLIT_LOAN","Pari Passu Split","Standalone")</f>
        <v/>
      </c>
      <c r="CO324" s="78">
        <f>IF($CN324="Pari Passu Split",1,0)</f>
        <v/>
      </c>
      <c r="CP324" s="77">
        <f>IF(ISNUMBER($T324),YEAR($T324),"")</f>
        <v/>
      </c>
      <c r="CQ324" s="79">
        <f>IF(ISNUMBER($V324),$V324,IF(ISNUMBER($U324),$U324,""))</f>
        <v/>
      </c>
      <c r="CR324" s="77">
        <f>IF(ISNUMBER($CQ324),YEAR($CQ324),"")</f>
        <v/>
      </c>
      <c r="CS324" s="78">
        <f>IF(ISNUMBER($M324),MAX(0,$M324),IF(TRIM($M324&amp;"")="matured",0,""))</f>
        <v/>
      </c>
      <c r="CT324" s="78">
        <f>IF(AND(ISNUMBER($CS324),N($CS324)&lt;=mMatWindow),1,0)</f>
        <v/>
      </c>
      <c r="CU324" s="80">
        <f>IF(ISNUMBER($J324),$J324/100,"")</f>
        <v/>
      </c>
      <c r="CV324" s="81">
        <f>IF(ISNUMBER($AQ324),$AQ324,"")</f>
        <v/>
      </c>
      <c r="CW324" s="81">
        <f>IF(ISNUMBER($AR324),$AR324,"")</f>
        <v/>
      </c>
      <c r="CX324" s="82">
        <f>IF(ISNUMBER($AS324),$AS324/100,"")</f>
        <v/>
      </c>
      <c r="CY324" s="82">
        <f>IF(ISNUMBER($AT324),$AT324/100,"")</f>
        <v/>
      </c>
      <c r="CZ324" s="82">
        <f>IF(ISNUMBER($AU324),$AU324/100,"")</f>
        <v/>
      </c>
      <c r="DA324" s="82">
        <f>IF(ISNUMBER($AV324),$AV324/100,"")</f>
        <v/>
      </c>
      <c r="DB324" s="82">
        <f>IF(ISNUMBER($AW324),$AW324/100,"")</f>
        <v/>
      </c>
      <c r="DC324" s="82">
        <f>IF(ISNUMBER($AX324),$AX324/100,"")</f>
        <v/>
      </c>
      <c r="DD324" s="77">
        <f>IFERROR(VALUE(LEFT(TRIM($AO324&amp;""),4)),"")</f>
        <v/>
      </c>
      <c r="DE324" s="78">
        <f>IF(AND($BY324=1,$BX324=1,OR(fDeal="All Deals",$BU324=fDeal),OR(fEntity="All Entities",$BV324=fEntity),OR(fPType="All Property Types",$BZ324=fPType),OR(fDefeased="Include",$CJ324=0)),1,0)</f>
        <v/>
      </c>
      <c r="DF324" s="83">
        <f>$DE324*N($I324)</f>
        <v/>
      </c>
      <c r="DG324" s="78">
        <f>IF($DE324=1,IF(COUNTIFS($F$8:$F324,$F324,$DE$8:$DE324,1)=1,1,0),0)</f>
        <v/>
      </c>
      <c r="DH324" s="83">
        <f>IF($DG324=1,SUMIFS($DF$8:$DF$1600,$F$8:$F$1600,$F324),0)</f>
        <v/>
      </c>
      <c r="DI324" s="78">
        <f>IF($DG324=1,COUNTIFS($F$8:$F$1600,$F324,$DE$8:$DE$1600,1),0)</f>
        <v/>
      </c>
      <c r="DJ324" s="84">
        <f>IF($DG324=1,$DH324+(100000-ROW())/mTieBreak,0)</f>
        <v/>
      </c>
    </row>
    <row r="325">
      <c r="B325" s="68" t="n">
        <v>6</v>
      </c>
      <c r="C325" s="69" t="inlineStr">
        <is>
          <t>UBS18C08</t>
        </is>
      </c>
      <c r="D325" s="69" t="inlineStr">
        <is>
          <t>6.000</t>
        </is>
      </c>
      <c r="E325" s="69" t="inlineStr">
        <is>
          <t>Park Place at Florham Park</t>
        </is>
      </c>
      <c r="F325" s="69" t="inlineStr">
        <is>
          <t>SPLIT_LOAN_01239</t>
        </is>
      </c>
      <c r="G325" s="70" t="n">
        <v>1239</v>
      </c>
      <c r="H325" s="71" t="n">
        <v>45000000</v>
      </c>
      <c r="I325" s="71" t="n">
        <v>45000000</v>
      </c>
      <c r="J325" s="72" t="n">
        <v>5.0815</v>
      </c>
      <c r="K325" s="69" t="inlineStr">
        <is>
          <t>Fixed rate</t>
        </is>
      </c>
      <c r="L325" s="68" t="n">
        <v>120</v>
      </c>
      <c r="M325" s="68" t="n">
        <v>17</v>
      </c>
      <c r="N325" s="68" t="n">
        <v>120</v>
      </c>
      <c r="O325" s="68" t="n">
        <v>120</v>
      </c>
      <c r="P325" s="68" t="n">
        <v>17</v>
      </c>
      <c r="Q325" s="68" t="n">
        <v>103</v>
      </c>
      <c r="R325" s="69" t="inlineStr">
        <is>
          <t>IO</t>
        </is>
      </c>
      <c r="S325" s="69" t="inlineStr">
        <is>
          <t>Yes</t>
        </is>
      </c>
      <c r="T325" s="73" t="n">
        <v>43132</v>
      </c>
      <c r="U325" s="73" t="n">
        <v>46789</v>
      </c>
      <c r="V325" s="73" t="n"/>
      <c r="W325" s="69" t="n"/>
      <c r="X325" s="69" t="inlineStr">
        <is>
          <t>Current</t>
        </is>
      </c>
      <c r="Y325" s="68" t="n"/>
      <c r="Z325" s="69" t="inlineStr">
        <is>
          <t>Defeasance Not Allowable</t>
        </is>
      </c>
      <c r="AA325" s="69" t="inlineStr">
        <is>
          <t>Previously</t>
        </is>
      </c>
      <c r="AB325" s="69" t="inlineStr">
        <is>
          <t>Currently special serv</t>
        </is>
      </c>
      <c r="AC325" s="73" t="n">
        <v>46010</v>
      </c>
      <c r="AD325" s="69" t="inlineStr">
        <is>
          <t>Imminent Monetary Default (excluding Balloon/Maturity Default &amp; Single Tenant Bankruptcy/Vacate)</t>
        </is>
      </c>
      <c r="AE325" s="69" t="inlineStr">
        <is>
          <t>Foreclosure</t>
        </is>
      </c>
      <c r="AF325" s="69" t="inlineStr">
        <is>
          <t>NJ</t>
        </is>
      </c>
      <c r="AG325" s="69" t="inlineStr">
        <is>
          <t>Florham Park</t>
        </is>
      </c>
      <c r="AH325" s="69" t="inlineStr">
        <is>
          <t>New York-Newark-Jersey City, NY-NJ</t>
        </is>
      </c>
      <c r="AI325" s="69" t="inlineStr">
        <is>
          <t>Northeast / Mid-Atlantic</t>
        </is>
      </c>
      <c r="AJ325" s="69" t="inlineStr">
        <is>
          <t>OF</t>
        </is>
      </c>
      <c r="AK325" s="69" t="inlineStr">
        <is>
          <t>Suburban</t>
        </is>
      </c>
      <c r="AL325" s="68" t="n">
        <v>4</v>
      </c>
      <c r="AM325" s="68" t="n"/>
      <c r="AN325" s="68" t="n">
        <v>354381</v>
      </c>
      <c r="AO325" s="69" t="n"/>
      <c r="AP325" s="70" t="n">
        <v>2016</v>
      </c>
      <c r="AQ325" s="74" t="n">
        <v>1.8</v>
      </c>
      <c r="AR325" s="74" t="n"/>
      <c r="AS325" s="74" t="n">
        <v>65.09999999999999</v>
      </c>
      <c r="AT325" s="74" t="n">
        <v>65.23999999999999</v>
      </c>
      <c r="AU325" s="74" t="n">
        <v>65.09999999999999</v>
      </c>
      <c r="AV325" s="74" t="n">
        <v>9.27967928</v>
      </c>
      <c r="AW325" s="74" t="n">
        <v>4.681456496</v>
      </c>
      <c r="AX325" s="75" t="n">
        <v>94.3</v>
      </c>
      <c r="AY325" s="71" t="n">
        <v>96000000</v>
      </c>
      <c r="AZ325" s="71" t="n">
        <v>95800000</v>
      </c>
      <c r="BA325" s="71" t="n">
        <v>5799799.55</v>
      </c>
      <c r="BB325" s="71" t="n">
        <v>288459.48</v>
      </c>
      <c r="BC325" s="69" t="inlineStr">
        <is>
          <t>Refinance</t>
        </is>
      </c>
      <c r="BD325" s="69" t="inlineStr">
        <is>
          <t>N</t>
        </is>
      </c>
      <c r="BE325" s="71" t="n">
        <v>17500000</v>
      </c>
      <c r="BF325" s="71" t="n"/>
      <c r="BG325" s="71" t="n">
        <v>12500000</v>
      </c>
      <c r="BH325" s="71" t="n">
        <v>0</v>
      </c>
      <c r="BI325" s="71" t="n">
        <v>0</v>
      </c>
      <c r="BJ325" s="69" t="inlineStr">
        <is>
          <t>N</t>
        </is>
      </c>
      <c r="BK325" s="69" t="inlineStr">
        <is>
          <t>Fairleigh Dickinson University</t>
        </is>
      </c>
      <c r="BL325" s="75" t="n">
        <v>40.97</v>
      </c>
      <c r="BM325" s="73" t="n">
        <v>46934</v>
      </c>
      <c r="BN325" s="69" t="inlineStr">
        <is>
          <t>Normandy Real Estate Fund, L.P.; Normandy Real Estate Management, LLC</t>
        </is>
      </c>
      <c r="BO325" s="69" t="inlineStr">
        <is>
          <t>UBS</t>
        </is>
      </c>
      <c r="BP325" s="69" t="inlineStr">
        <is>
          <t>Midland Loan Services</t>
        </is>
      </c>
      <c r="BQ325" s="69" t="inlineStr">
        <is>
          <t>Midland Loan Services</t>
        </is>
      </c>
      <c r="BR325" s="69" t="n"/>
      <c r="BS325" s="73" t="n">
        <v>46276</v>
      </c>
      <c r="BU325" s="76">
        <f>IF($C325="","",IFERROR(INDEX(dmName,MATCH($C325,dmID,0)),"Unmapped"))</f>
        <v/>
      </c>
      <c r="BV325" s="76">
        <f>IF($C325="","",IFERROR(INDEX(dmEntity,MATCH($C325,dmID,0)),"Unmapped"))</f>
        <v/>
      </c>
      <c r="BW325" s="77">
        <f>IF($C325="","",IFERROR(INDEX(dmVintage,MATCH($C325,dmID,0)),""))</f>
        <v/>
      </c>
      <c r="BX325" s="78">
        <f>IFERROR(INDEX(dmInclude,MATCH($C325,dmID,0)),0)</f>
        <v/>
      </c>
      <c r="BY325" s="78">
        <f>IF(N($I325)&gt;0,1,0)</f>
        <v/>
      </c>
      <c r="BZ325" s="76">
        <f>IF($AJ325="","Other / Leased Fee",IFERROR(INDEX(mapPTGroup,MATCH(LEFT(TRIM($AJ325),2),mapPTCode,0)),"Other / Leased Fee"))</f>
        <v/>
      </c>
      <c r="CA325" s="76">
        <f>IF(TRIM($AF325&amp;"")="","NR",LEFT(TRIM($AF325),2))</f>
        <v/>
      </c>
      <c r="CB325" s="76">
        <f>IFERROR(LOOKUP(2,1/(LEFT(TRIM($AI325&amp;""),LEN(mapRegion))=mapRegion),mapRegion),"Not Reported")</f>
        <v/>
      </c>
      <c r="CC325" s="76">
        <f>IF($BY325=0,"",IF(TRIM($W325&amp;"")="REO","REO",IF(TRIM($W325&amp;"")="FC","Foreclosure",IF(TRIM($W325&amp;"")="90+","90+ Days Delinquent",IF(TRIM($W325&amp;"")="60","60 Days Delinquent",IF(TRIM($W325&amp;"")="30","30 Days Delinquent",IF($X325="Non-Performing Matured Balloon","Non-Performing Matured Balloon",IF(OR($X325="Late Payment But Less Than 30 Days Delinquent",LEFT($X325&amp;"",20)="Payment Not Received"),"Late / In Grace (&lt;30 Days)",IF($X325="Performing Matured Balloon","Performing Matured Balloon","Current")))))))))</f>
        <v/>
      </c>
      <c r="CD325" s="78">
        <f>IF(OR($CC325="REO",$CC325="Foreclosure",$CC325="90+ Days Delinquent",$CC325="60 Days Delinquent",$CC325="30 Days Delinquent",$CC325="Non-Performing Matured Balloon"),1,0)</f>
        <v/>
      </c>
      <c r="CE325" s="76">
        <f>IF($AB325="Currently special serv","Currently Specially Serviced",IF($AB325="Returned to master serv","Previously Specially Serviced","Never Specially Serviced"))</f>
        <v/>
      </c>
      <c r="CF325" s="78">
        <f>IF($CE325="Currently Specially Serviced",1,0)</f>
        <v/>
      </c>
      <c r="CG325" s="76">
        <f>IF($AA325="Yes","Currently on Watchlist",IF($AA325="Previously","Previously on Watchlist","Never on Watchlist"))</f>
        <v/>
      </c>
      <c r="CH325" s="78">
        <f>IF($CG325="Currently on Watchlist",1,0)</f>
        <v/>
      </c>
      <c r="CI325" s="76">
        <f>IF($Z325="Full Defeasance","Fully Defeased",IF($Z325="Portion Of Loan Previously Defeased","Partially Defeased",IF($Z325="Defeasance Not Allowable","Not Defeased (Not Permitted)","Not Defeased")))</f>
        <v/>
      </c>
      <c r="CJ325" s="78">
        <f>IF($CI325="Fully Defeased",1,0)</f>
        <v/>
      </c>
      <c r="CK325" s="76">
        <f>IF($R325="IO","Full IO",IF(LEFT($R325&amp;"",7)="IO then","Partial IO","Amortizing"))</f>
        <v/>
      </c>
      <c r="CL325" s="78">
        <f>IF($CK325="Full IO",1,0)</f>
        <v/>
      </c>
      <c r="CM325" s="78">
        <f>IF($CK325="Partial IO",1,0)</f>
        <v/>
      </c>
      <c r="CN325" s="76">
        <f>IF(LEFT($F325&amp;"",10)="SPLIT_LOAN","Pari Passu Split","Standalone")</f>
        <v/>
      </c>
      <c r="CO325" s="78">
        <f>IF($CN325="Pari Passu Split",1,0)</f>
        <v/>
      </c>
      <c r="CP325" s="77">
        <f>IF(ISNUMBER($T325),YEAR($T325),"")</f>
        <v/>
      </c>
      <c r="CQ325" s="79">
        <f>IF(ISNUMBER($V325),$V325,IF(ISNUMBER($U325),$U325,""))</f>
        <v/>
      </c>
      <c r="CR325" s="77">
        <f>IF(ISNUMBER($CQ325),YEAR($CQ325),"")</f>
        <v/>
      </c>
      <c r="CS325" s="78">
        <f>IF(ISNUMBER($M325),MAX(0,$M325),IF(TRIM($M325&amp;"")="matured",0,""))</f>
        <v/>
      </c>
      <c r="CT325" s="78">
        <f>IF(AND(ISNUMBER($CS325),N($CS325)&lt;=mMatWindow),1,0)</f>
        <v/>
      </c>
      <c r="CU325" s="80">
        <f>IF(ISNUMBER($J325),$J325/100,"")</f>
        <v/>
      </c>
      <c r="CV325" s="81">
        <f>IF(ISNUMBER($AQ325),$AQ325,"")</f>
        <v/>
      </c>
      <c r="CW325" s="81">
        <f>IF(ISNUMBER($AR325),$AR325,"")</f>
        <v/>
      </c>
      <c r="CX325" s="82">
        <f>IF(ISNUMBER($AS325),$AS325/100,"")</f>
        <v/>
      </c>
      <c r="CY325" s="82">
        <f>IF(ISNUMBER($AT325),$AT325/100,"")</f>
        <v/>
      </c>
      <c r="CZ325" s="82">
        <f>IF(ISNUMBER($AU325),$AU325/100,"")</f>
        <v/>
      </c>
      <c r="DA325" s="82">
        <f>IF(ISNUMBER($AV325),$AV325/100,"")</f>
        <v/>
      </c>
      <c r="DB325" s="82">
        <f>IF(ISNUMBER($AW325),$AW325/100,"")</f>
        <v/>
      </c>
      <c r="DC325" s="82">
        <f>IF(ISNUMBER($AX325),$AX325/100,"")</f>
        <v/>
      </c>
      <c r="DD325" s="77">
        <f>IFERROR(VALUE(LEFT(TRIM($AO325&amp;""),4)),"")</f>
        <v/>
      </c>
      <c r="DE325" s="78">
        <f>IF(AND($BY325=1,$BX325=1,OR(fDeal="All Deals",$BU325=fDeal),OR(fEntity="All Entities",$BV325=fEntity),OR(fPType="All Property Types",$BZ325=fPType),OR(fDefeased="Include",$CJ325=0)),1,0)</f>
        <v/>
      </c>
      <c r="DF325" s="83">
        <f>$DE325*N($I325)</f>
        <v/>
      </c>
      <c r="DG325" s="78">
        <f>IF($DE325=1,IF(COUNTIFS($F$8:$F325,$F325,$DE$8:$DE325,1)=1,1,0),0)</f>
        <v/>
      </c>
      <c r="DH325" s="83">
        <f>IF($DG325=1,SUMIFS($DF$8:$DF$1600,$F$8:$F$1600,$F325),0)</f>
        <v/>
      </c>
      <c r="DI325" s="78">
        <f>IF($DG325=1,COUNTIFS($F$8:$F$1600,$F325,$DE$8:$DE$1600,1),0)</f>
        <v/>
      </c>
      <c r="DJ325" s="84">
        <f>IF($DG325=1,$DH325+(100000-ROW())/mTieBreak,0)</f>
        <v/>
      </c>
    </row>
    <row r="326">
      <c r="B326" s="68" t="n">
        <v>7</v>
      </c>
      <c r="C326" s="69" t="inlineStr">
        <is>
          <t>UBS18C08</t>
        </is>
      </c>
      <c r="D326" s="69" t="inlineStr">
        <is>
          <t>7.000</t>
        </is>
      </c>
      <c r="E326" s="69" t="inlineStr">
        <is>
          <t>City Square and Clay Street</t>
        </is>
      </c>
      <c r="F326" s="69" t="inlineStr">
        <is>
          <t>SPLIT_LOAN_01240</t>
        </is>
      </c>
      <c r="G326" s="70" t="n">
        <v>1240</v>
      </c>
      <c r="H326" s="71" t="n">
        <v>45000000</v>
      </c>
      <c r="I326" s="71" t="n">
        <v>45000000</v>
      </c>
      <c r="J326" s="72" t="n">
        <v>4.728</v>
      </c>
      <c r="K326" s="69" t="inlineStr">
        <is>
          <t>Fixed rate</t>
        </is>
      </c>
      <c r="L326" s="68" t="n">
        <v>120</v>
      </c>
      <c r="M326" s="68" t="n">
        <v>17</v>
      </c>
      <c r="N326" s="68" t="n">
        <v>120</v>
      </c>
      <c r="O326" s="68" t="n">
        <v>120</v>
      </c>
      <c r="P326" s="68" t="n">
        <v>17</v>
      </c>
      <c r="Q326" s="68" t="n">
        <v>103</v>
      </c>
      <c r="R326" s="69" t="inlineStr">
        <is>
          <t>IO</t>
        </is>
      </c>
      <c r="S326" s="69" t="inlineStr">
        <is>
          <t>Yes</t>
        </is>
      </c>
      <c r="T326" s="73" t="n">
        <v>43132</v>
      </c>
      <c r="U326" s="73" t="n">
        <v>46789</v>
      </c>
      <c r="V326" s="73" t="n"/>
      <c r="W326" s="69" t="n"/>
      <c r="X326" s="69" t="inlineStr">
        <is>
          <t>Current</t>
        </is>
      </c>
      <c r="Y326" s="68" t="n"/>
      <c r="Z326" s="69" t="inlineStr">
        <is>
          <t>No Defeasance Occurred</t>
        </is>
      </c>
      <c r="AA326" s="69" t="inlineStr">
        <is>
          <t>Yes</t>
        </is>
      </c>
      <c r="AB326" s="69" t="inlineStr">
        <is>
          <t>Returned to master serv</t>
        </is>
      </c>
      <c r="AC326" s="73" t="n"/>
      <c r="AD326" s="69" t="inlineStr">
        <is>
          <t>Imminent Monetary Default (excluding Balloon/Maturity Default &amp; Single Tenant Bankruptcy/Vacate)</t>
        </is>
      </c>
      <c r="AE326" s="69" t="inlineStr">
        <is>
          <t>Resolved</t>
        </is>
      </c>
      <c r="AF326" s="69" t="inlineStr">
        <is>
          <t>CA</t>
        </is>
      </c>
      <c r="AG326" s="69" t="inlineStr">
        <is>
          <t>Oakland</t>
        </is>
      </c>
      <c r="AH326" s="69" t="inlineStr">
        <is>
          <t>San Francisco-Oakland-Fremont, CA</t>
        </is>
      </c>
      <c r="AI326" s="69" t="inlineStr">
        <is>
          <t>West / Pacific North</t>
        </is>
      </c>
      <c r="AJ326" s="69" t="inlineStr">
        <is>
          <t>MX</t>
        </is>
      </c>
      <c r="AK326" s="69" t="inlineStr">
        <is>
          <t>Office/Garage/Retail</t>
        </is>
      </c>
      <c r="AL326" s="68" t="n">
        <v>1</v>
      </c>
      <c r="AM326" s="68" t="n"/>
      <c r="AN326" s="68" t="n">
        <v>246136</v>
      </c>
      <c r="AO326" s="69" t="inlineStr">
        <is>
          <t>1986, 1992</t>
        </is>
      </c>
      <c r="AP326" s="70" t="n">
        <v>1992</v>
      </c>
      <c r="AQ326" s="74" t="n">
        <v>1.76</v>
      </c>
      <c r="AR326" s="74" t="n">
        <v>0.71</v>
      </c>
      <c r="AS326" s="74" t="n">
        <v>49.7</v>
      </c>
      <c r="AT326" s="74" t="n">
        <v>49.72</v>
      </c>
      <c r="AU326" s="74" t="n">
        <v>49.7</v>
      </c>
      <c r="AV326" s="74" t="n">
        <v>8.427459344000001</v>
      </c>
      <c r="AW326" s="74" t="n">
        <v>3.761913278</v>
      </c>
      <c r="AX326" s="75" t="n">
        <v>54</v>
      </c>
      <c r="AY326" s="71" t="n">
        <v>181000000</v>
      </c>
      <c r="AZ326" s="71" t="n">
        <v>181000000</v>
      </c>
      <c r="BA326" s="71" t="n">
        <v>7584713.41</v>
      </c>
      <c r="BB326" s="71" t="n">
        <v>3045843.63</v>
      </c>
      <c r="BC326" s="69" t="inlineStr">
        <is>
          <t>Refinance</t>
        </is>
      </c>
      <c r="BD326" s="69" t="inlineStr">
        <is>
          <t>N</t>
        </is>
      </c>
      <c r="BE326" s="71" t="n">
        <v>45000000</v>
      </c>
      <c r="BF326" s="71" t="n"/>
      <c r="BG326" s="71" t="n"/>
      <c r="BH326" s="71" t="n">
        <v>0</v>
      </c>
      <c r="BI326" s="71" t="n">
        <v>0</v>
      </c>
      <c r="BJ326" s="69" t="inlineStr">
        <is>
          <t>Y</t>
        </is>
      </c>
      <c r="BK326" s="69" t="inlineStr">
        <is>
          <t>The Club at City Center</t>
        </is>
      </c>
      <c r="BL326" s="75" t="n">
        <v>23.08</v>
      </c>
      <c r="BM326" s="73" t="n">
        <v>49979</v>
      </c>
      <c r="BN326" s="69" t="inlineStr">
        <is>
          <t>John Ziegler</t>
        </is>
      </c>
      <c r="BO326" s="69" t="inlineStr">
        <is>
          <t>Ladder Capital Finance</t>
        </is>
      </c>
      <c r="BP326" s="69" t="inlineStr">
        <is>
          <t>Midland Loan Services</t>
        </is>
      </c>
      <c r="BQ326" s="69" t="inlineStr">
        <is>
          <t>Rialto Capital</t>
        </is>
      </c>
      <c r="BR326" s="69" t="n"/>
      <c r="BS326" s="73" t="n">
        <v>46276</v>
      </c>
      <c r="BU326" s="76">
        <f>IF($C326="","",IFERROR(INDEX(dmName,MATCH($C326,dmID,0)),"Unmapped"))</f>
        <v/>
      </c>
      <c r="BV326" s="76">
        <f>IF($C326="","",IFERROR(INDEX(dmEntity,MATCH($C326,dmID,0)),"Unmapped"))</f>
        <v/>
      </c>
      <c r="BW326" s="77">
        <f>IF($C326="","",IFERROR(INDEX(dmVintage,MATCH($C326,dmID,0)),""))</f>
        <v/>
      </c>
      <c r="BX326" s="78">
        <f>IFERROR(INDEX(dmInclude,MATCH($C326,dmID,0)),0)</f>
        <v/>
      </c>
      <c r="BY326" s="78">
        <f>IF(N($I326)&gt;0,1,0)</f>
        <v/>
      </c>
      <c r="BZ326" s="76">
        <f>IF($AJ326="","Other / Leased Fee",IFERROR(INDEX(mapPTGroup,MATCH(LEFT(TRIM($AJ326),2),mapPTCode,0)),"Other / Leased Fee"))</f>
        <v/>
      </c>
      <c r="CA326" s="76">
        <f>IF(TRIM($AF326&amp;"")="","NR",LEFT(TRIM($AF326),2))</f>
        <v/>
      </c>
      <c r="CB326" s="76">
        <f>IFERROR(LOOKUP(2,1/(LEFT(TRIM($AI326&amp;""),LEN(mapRegion))=mapRegion),mapRegion),"Not Reported")</f>
        <v/>
      </c>
      <c r="CC326" s="76">
        <f>IF($BY326=0,"",IF(TRIM($W326&amp;"")="REO","REO",IF(TRIM($W326&amp;"")="FC","Foreclosure",IF(TRIM($W326&amp;"")="90+","90+ Days Delinquent",IF(TRIM($W326&amp;"")="60","60 Days Delinquent",IF(TRIM($W326&amp;"")="30","30 Days Delinquent",IF($X326="Non-Performing Matured Balloon","Non-Performing Matured Balloon",IF(OR($X326="Late Payment But Less Than 30 Days Delinquent",LEFT($X326&amp;"",20)="Payment Not Received"),"Late / In Grace (&lt;30 Days)",IF($X326="Performing Matured Balloon","Performing Matured Balloon","Current")))))))))</f>
        <v/>
      </c>
      <c r="CD326" s="78">
        <f>IF(OR($CC326="REO",$CC326="Foreclosure",$CC326="90+ Days Delinquent",$CC326="60 Days Delinquent",$CC326="30 Days Delinquent",$CC326="Non-Performing Matured Balloon"),1,0)</f>
        <v/>
      </c>
      <c r="CE326" s="76">
        <f>IF($AB326="Currently special serv","Currently Specially Serviced",IF($AB326="Returned to master serv","Previously Specially Serviced","Never Specially Serviced"))</f>
        <v/>
      </c>
      <c r="CF326" s="78">
        <f>IF($CE326="Currently Specially Serviced",1,0)</f>
        <v/>
      </c>
      <c r="CG326" s="76">
        <f>IF($AA326="Yes","Currently on Watchlist",IF($AA326="Previously","Previously on Watchlist","Never on Watchlist"))</f>
        <v/>
      </c>
      <c r="CH326" s="78">
        <f>IF($CG326="Currently on Watchlist",1,0)</f>
        <v/>
      </c>
      <c r="CI326" s="76">
        <f>IF($Z326="Full Defeasance","Fully Defeased",IF($Z326="Portion Of Loan Previously Defeased","Partially Defeased",IF($Z326="Defeasance Not Allowable","Not Defeased (Not Permitted)","Not Defeased")))</f>
        <v/>
      </c>
      <c r="CJ326" s="78">
        <f>IF($CI326="Fully Defeased",1,0)</f>
        <v/>
      </c>
      <c r="CK326" s="76">
        <f>IF($R326="IO","Full IO",IF(LEFT($R326&amp;"",7)="IO then","Partial IO","Amortizing"))</f>
        <v/>
      </c>
      <c r="CL326" s="78">
        <f>IF($CK326="Full IO",1,0)</f>
        <v/>
      </c>
      <c r="CM326" s="78">
        <f>IF($CK326="Partial IO",1,0)</f>
        <v/>
      </c>
      <c r="CN326" s="76">
        <f>IF(LEFT($F326&amp;"",10)="SPLIT_LOAN","Pari Passu Split","Standalone")</f>
        <v/>
      </c>
      <c r="CO326" s="78">
        <f>IF($CN326="Pari Passu Split",1,0)</f>
        <v/>
      </c>
      <c r="CP326" s="77">
        <f>IF(ISNUMBER($T326),YEAR($T326),"")</f>
        <v/>
      </c>
      <c r="CQ326" s="79">
        <f>IF(ISNUMBER($V326),$V326,IF(ISNUMBER($U326),$U326,""))</f>
        <v/>
      </c>
      <c r="CR326" s="77">
        <f>IF(ISNUMBER($CQ326),YEAR($CQ326),"")</f>
        <v/>
      </c>
      <c r="CS326" s="78">
        <f>IF(ISNUMBER($M326),MAX(0,$M326),IF(TRIM($M326&amp;"")="matured",0,""))</f>
        <v/>
      </c>
      <c r="CT326" s="78">
        <f>IF(AND(ISNUMBER($CS326),N($CS326)&lt;=mMatWindow),1,0)</f>
        <v/>
      </c>
      <c r="CU326" s="80">
        <f>IF(ISNUMBER($J326),$J326/100,"")</f>
        <v/>
      </c>
      <c r="CV326" s="81">
        <f>IF(ISNUMBER($AQ326),$AQ326,"")</f>
        <v/>
      </c>
      <c r="CW326" s="81">
        <f>IF(ISNUMBER($AR326),$AR326,"")</f>
        <v/>
      </c>
      <c r="CX326" s="82">
        <f>IF(ISNUMBER($AS326),$AS326/100,"")</f>
        <v/>
      </c>
      <c r="CY326" s="82">
        <f>IF(ISNUMBER($AT326),$AT326/100,"")</f>
        <v/>
      </c>
      <c r="CZ326" s="82">
        <f>IF(ISNUMBER($AU326),$AU326/100,"")</f>
        <v/>
      </c>
      <c r="DA326" s="82">
        <f>IF(ISNUMBER($AV326),$AV326/100,"")</f>
        <v/>
      </c>
      <c r="DB326" s="82">
        <f>IF(ISNUMBER($AW326),$AW326/100,"")</f>
        <v/>
      </c>
      <c r="DC326" s="82">
        <f>IF(ISNUMBER($AX326),$AX326/100,"")</f>
        <v/>
      </c>
      <c r="DD326" s="77">
        <f>IFERROR(VALUE(LEFT(TRIM($AO326&amp;""),4)),"")</f>
        <v/>
      </c>
      <c r="DE326" s="78">
        <f>IF(AND($BY326=1,$BX326=1,OR(fDeal="All Deals",$BU326=fDeal),OR(fEntity="All Entities",$BV326=fEntity),OR(fPType="All Property Types",$BZ326=fPType),OR(fDefeased="Include",$CJ326=0)),1,0)</f>
        <v/>
      </c>
      <c r="DF326" s="83">
        <f>$DE326*N($I326)</f>
        <v/>
      </c>
      <c r="DG326" s="78">
        <f>IF($DE326=1,IF(COUNTIFS($F$8:$F326,$F326,$DE$8:$DE326,1)=1,1,0),0)</f>
        <v/>
      </c>
      <c r="DH326" s="83">
        <f>IF($DG326=1,SUMIFS($DF$8:$DF$1600,$F$8:$F$1600,$F326),0)</f>
        <v/>
      </c>
      <c r="DI326" s="78">
        <f>IF($DG326=1,COUNTIFS($F$8:$F$1600,$F326,$DE$8:$DE$1600,1),0)</f>
        <v/>
      </c>
      <c r="DJ326" s="84">
        <f>IF($DG326=1,$DH326+(100000-ROW())/mTieBreak,0)</f>
        <v/>
      </c>
    </row>
    <row r="327">
      <c r="B327" s="68" t="n">
        <v>8</v>
      </c>
      <c r="C327" s="69" t="inlineStr">
        <is>
          <t>UBS18C08</t>
        </is>
      </c>
      <c r="D327" s="69" t="inlineStr">
        <is>
          <t>8.000</t>
        </is>
      </c>
      <c r="E327" s="69" t="inlineStr">
        <is>
          <t>University Properties Portfolio</t>
        </is>
      </c>
      <c r="F327" s="69" t="inlineStr">
        <is>
          <t>LNUBS18C08-8.000</t>
        </is>
      </c>
      <c r="G327" s="70" t="n"/>
      <c r="H327" s="71" t="n">
        <v>34500000</v>
      </c>
      <c r="I327" s="71" t="n">
        <v>34500000</v>
      </c>
      <c r="J327" s="72" t="n">
        <v>4.69</v>
      </c>
      <c r="K327" s="69" t="inlineStr">
        <is>
          <t>Fixed rate</t>
        </is>
      </c>
      <c r="L327" s="68" t="n">
        <v>120</v>
      </c>
      <c r="M327" s="68" t="n">
        <v>12</v>
      </c>
      <c r="N327" s="68" t="n">
        <v>120</v>
      </c>
      <c r="O327" s="68" t="n">
        <v>120</v>
      </c>
      <c r="P327" s="68" t="n">
        <v>12</v>
      </c>
      <c r="Q327" s="68" t="n">
        <v>108</v>
      </c>
      <c r="R327" s="69" t="inlineStr">
        <is>
          <t>IO</t>
        </is>
      </c>
      <c r="S327" s="69" t="inlineStr">
        <is>
          <t>Yes</t>
        </is>
      </c>
      <c r="T327" s="73" t="n">
        <v>42979</v>
      </c>
      <c r="U327" s="73" t="n">
        <v>46631</v>
      </c>
      <c r="V327" s="73" t="n"/>
      <c r="W327" s="69" t="n"/>
      <c r="X327" s="69" t="inlineStr">
        <is>
          <t>Current</t>
        </is>
      </c>
      <c r="Y327" s="68" t="n"/>
      <c r="Z327" s="69" t="inlineStr">
        <is>
          <t>Full Defeasance</t>
        </is>
      </c>
      <c r="AA327" s="69" t="inlineStr">
        <is>
          <t>Previously</t>
        </is>
      </c>
      <c r="AB327" s="69" t="inlineStr">
        <is>
          <t>Never special serv</t>
        </is>
      </c>
      <c r="AC327" s="73" t="n"/>
      <c r="AD327" s="69" t="n"/>
      <c r="AE327" s="69" t="n"/>
      <c r="AF327" s="69" t="inlineStr">
        <is>
          <t>IN</t>
        </is>
      </c>
      <c r="AG327" s="69" t="inlineStr">
        <is>
          <t>Bloomington</t>
        </is>
      </c>
      <c r="AH327" s="69" t="inlineStr">
        <is>
          <t>Bloomington, IN</t>
        </is>
      </c>
      <c r="AI327" s="69" t="inlineStr">
        <is>
          <t>Midwest / Central East</t>
        </is>
      </c>
      <c r="AJ327" s="69" t="inlineStr">
        <is>
          <t>MF</t>
        </is>
      </c>
      <c r="AK327" s="69" t="inlineStr">
        <is>
          <t>Student</t>
        </is>
      </c>
      <c r="AL327" s="68" t="n">
        <v>1</v>
      </c>
      <c r="AM327" s="68" t="n">
        <v>342</v>
      </c>
      <c r="AN327" s="68" t="n"/>
      <c r="AO327" s="69" t="inlineStr">
        <is>
          <t>1930-2002</t>
        </is>
      </c>
      <c r="AP327" s="70" t="n">
        <v>2016</v>
      </c>
      <c r="AQ327" s="74" t="n">
        <v>1.95</v>
      </c>
      <c r="AR327" s="74" t="n">
        <v>2.02</v>
      </c>
      <c r="AS327" s="74" t="n">
        <v>58.8</v>
      </c>
      <c r="AT327" s="74" t="n">
        <v>58.77</v>
      </c>
      <c r="AU327" s="74" t="n">
        <v>58.8</v>
      </c>
      <c r="AV327" s="74" t="n">
        <v>9.263752058</v>
      </c>
      <c r="AW327" s="74" t="n">
        <v>9.317538203</v>
      </c>
      <c r="AX327" s="75" t="n">
        <v>97</v>
      </c>
      <c r="AY327" s="71" t="n">
        <v>58700000</v>
      </c>
      <c r="AZ327" s="71" t="n">
        <v>58700000</v>
      </c>
      <c r="BA327" s="71" t="n">
        <v>3195994.46</v>
      </c>
      <c r="BB327" s="71" t="n">
        <v>829352.02</v>
      </c>
      <c r="BC327" s="69" t="inlineStr">
        <is>
          <t>Refinance</t>
        </is>
      </c>
      <c r="BD327" s="69" t="inlineStr">
        <is>
          <t>N</t>
        </is>
      </c>
      <c r="BE327" s="71" t="n"/>
      <c r="BF327" s="71" t="n"/>
      <c r="BG327" s="71" t="n">
        <v>5000000</v>
      </c>
      <c r="BH327" s="71" t="n">
        <v>0</v>
      </c>
      <c r="BI327" s="71" t="n">
        <v>0</v>
      </c>
      <c r="BJ327" s="69" t="inlineStr">
        <is>
          <t>N</t>
        </is>
      </c>
      <c r="BK327" s="69" t="n"/>
      <c r="BL327" s="75" t="n"/>
      <c r="BM327" s="73" t="n"/>
      <c r="BN327" s="69" t="inlineStr">
        <is>
          <t>Thomas C. Guthrie; Kimberly D. Hendren</t>
        </is>
      </c>
      <c r="BO327" s="69" t="inlineStr">
        <is>
          <t>CIBC</t>
        </is>
      </c>
      <c r="BP327" s="69" t="inlineStr">
        <is>
          <t>Midland Loan Services</t>
        </is>
      </c>
      <c r="BQ327" s="69" t="inlineStr">
        <is>
          <t>Midland Loan Services</t>
        </is>
      </c>
      <c r="BR327" s="69" t="n"/>
      <c r="BS327" s="73" t="n">
        <v>46276</v>
      </c>
      <c r="BU327" s="76">
        <f>IF($C327="","",IFERROR(INDEX(dmName,MATCH($C327,dmID,0)),"Unmapped"))</f>
        <v/>
      </c>
      <c r="BV327" s="76">
        <f>IF($C327="","",IFERROR(INDEX(dmEntity,MATCH($C327,dmID,0)),"Unmapped"))</f>
        <v/>
      </c>
      <c r="BW327" s="77">
        <f>IF($C327="","",IFERROR(INDEX(dmVintage,MATCH($C327,dmID,0)),""))</f>
        <v/>
      </c>
      <c r="BX327" s="78">
        <f>IFERROR(INDEX(dmInclude,MATCH($C327,dmID,0)),0)</f>
        <v/>
      </c>
      <c r="BY327" s="78">
        <f>IF(N($I327)&gt;0,1,0)</f>
        <v/>
      </c>
      <c r="BZ327" s="76">
        <f>IF($AJ327="","Other / Leased Fee",IFERROR(INDEX(mapPTGroup,MATCH(LEFT(TRIM($AJ327),2),mapPTCode,0)),"Other / Leased Fee"))</f>
        <v/>
      </c>
      <c r="CA327" s="76">
        <f>IF(TRIM($AF327&amp;"")="","NR",LEFT(TRIM($AF327),2))</f>
        <v/>
      </c>
      <c r="CB327" s="76">
        <f>IFERROR(LOOKUP(2,1/(LEFT(TRIM($AI327&amp;""),LEN(mapRegion))=mapRegion),mapRegion),"Not Reported")</f>
        <v/>
      </c>
      <c r="CC327" s="76">
        <f>IF($BY327=0,"",IF(TRIM($W327&amp;"")="REO","REO",IF(TRIM($W327&amp;"")="FC","Foreclosure",IF(TRIM($W327&amp;"")="90+","90+ Days Delinquent",IF(TRIM($W327&amp;"")="60","60 Days Delinquent",IF(TRIM($W327&amp;"")="30","30 Days Delinquent",IF($X327="Non-Performing Matured Balloon","Non-Performing Matured Balloon",IF(OR($X327="Late Payment But Less Than 30 Days Delinquent",LEFT($X327&amp;"",20)="Payment Not Received"),"Late / In Grace (&lt;30 Days)",IF($X327="Performing Matured Balloon","Performing Matured Balloon","Current")))))))))</f>
        <v/>
      </c>
      <c r="CD327" s="78">
        <f>IF(OR($CC327="REO",$CC327="Foreclosure",$CC327="90+ Days Delinquent",$CC327="60 Days Delinquent",$CC327="30 Days Delinquent",$CC327="Non-Performing Matured Balloon"),1,0)</f>
        <v/>
      </c>
      <c r="CE327" s="76">
        <f>IF($AB327="Currently special serv","Currently Specially Serviced",IF($AB327="Returned to master serv","Previously Specially Serviced","Never Specially Serviced"))</f>
        <v/>
      </c>
      <c r="CF327" s="78">
        <f>IF($CE327="Currently Specially Serviced",1,0)</f>
        <v/>
      </c>
      <c r="CG327" s="76">
        <f>IF($AA327="Yes","Currently on Watchlist",IF($AA327="Previously","Previously on Watchlist","Never on Watchlist"))</f>
        <v/>
      </c>
      <c r="CH327" s="78">
        <f>IF($CG327="Currently on Watchlist",1,0)</f>
        <v/>
      </c>
      <c r="CI327" s="76">
        <f>IF($Z327="Full Defeasance","Fully Defeased",IF($Z327="Portion Of Loan Previously Defeased","Partially Defeased",IF($Z327="Defeasance Not Allowable","Not Defeased (Not Permitted)","Not Defeased")))</f>
        <v/>
      </c>
      <c r="CJ327" s="78">
        <f>IF($CI327="Fully Defeased",1,0)</f>
        <v/>
      </c>
      <c r="CK327" s="76">
        <f>IF($R327="IO","Full IO",IF(LEFT($R327&amp;"",7)="IO then","Partial IO","Amortizing"))</f>
        <v/>
      </c>
      <c r="CL327" s="78">
        <f>IF($CK327="Full IO",1,0)</f>
        <v/>
      </c>
      <c r="CM327" s="78">
        <f>IF($CK327="Partial IO",1,0)</f>
        <v/>
      </c>
      <c r="CN327" s="76">
        <f>IF(LEFT($F327&amp;"",10)="SPLIT_LOAN","Pari Passu Split","Standalone")</f>
        <v/>
      </c>
      <c r="CO327" s="78">
        <f>IF($CN327="Pari Passu Split",1,0)</f>
        <v/>
      </c>
      <c r="CP327" s="77">
        <f>IF(ISNUMBER($T327),YEAR($T327),"")</f>
        <v/>
      </c>
      <c r="CQ327" s="79">
        <f>IF(ISNUMBER($V327),$V327,IF(ISNUMBER($U327),$U327,""))</f>
        <v/>
      </c>
      <c r="CR327" s="77">
        <f>IF(ISNUMBER($CQ327),YEAR($CQ327),"")</f>
        <v/>
      </c>
      <c r="CS327" s="78">
        <f>IF(ISNUMBER($M327),MAX(0,$M327),IF(TRIM($M327&amp;"")="matured",0,""))</f>
        <v/>
      </c>
      <c r="CT327" s="78">
        <f>IF(AND(ISNUMBER($CS327),N($CS327)&lt;=mMatWindow),1,0)</f>
        <v/>
      </c>
      <c r="CU327" s="80">
        <f>IF(ISNUMBER($J327),$J327/100,"")</f>
        <v/>
      </c>
      <c r="CV327" s="81">
        <f>IF(ISNUMBER($AQ327),$AQ327,"")</f>
        <v/>
      </c>
      <c r="CW327" s="81">
        <f>IF(ISNUMBER($AR327),$AR327,"")</f>
        <v/>
      </c>
      <c r="CX327" s="82">
        <f>IF(ISNUMBER($AS327),$AS327/100,"")</f>
        <v/>
      </c>
      <c r="CY327" s="82">
        <f>IF(ISNUMBER($AT327),$AT327/100,"")</f>
        <v/>
      </c>
      <c r="CZ327" s="82">
        <f>IF(ISNUMBER($AU327),$AU327/100,"")</f>
        <v/>
      </c>
      <c r="DA327" s="82">
        <f>IF(ISNUMBER($AV327),$AV327/100,"")</f>
        <v/>
      </c>
      <c r="DB327" s="82">
        <f>IF(ISNUMBER($AW327),$AW327/100,"")</f>
        <v/>
      </c>
      <c r="DC327" s="82">
        <f>IF(ISNUMBER($AX327),$AX327/100,"")</f>
        <v/>
      </c>
      <c r="DD327" s="77">
        <f>IFERROR(VALUE(LEFT(TRIM($AO327&amp;""),4)),"")</f>
        <v/>
      </c>
      <c r="DE327" s="78">
        <f>IF(AND($BY327=1,$BX327=1,OR(fDeal="All Deals",$BU327=fDeal),OR(fEntity="All Entities",$BV327=fEntity),OR(fPType="All Property Types",$BZ327=fPType),OR(fDefeased="Include",$CJ327=0)),1,0)</f>
        <v/>
      </c>
      <c r="DF327" s="83">
        <f>$DE327*N($I327)</f>
        <v/>
      </c>
      <c r="DG327" s="78">
        <f>IF($DE327=1,IF(COUNTIFS($F$8:$F327,$F327,$DE$8:$DE327,1)=1,1,0),0)</f>
        <v/>
      </c>
      <c r="DH327" s="83">
        <f>IF($DG327=1,SUMIFS($DF$8:$DF$1600,$F$8:$F$1600,$F327),0)</f>
        <v/>
      </c>
      <c r="DI327" s="78">
        <f>IF($DG327=1,COUNTIFS($F$8:$F$1600,$F327,$DE$8:$DE$1600,1),0)</f>
        <v/>
      </c>
      <c r="DJ327" s="84">
        <f>IF($DG327=1,$DH327+(100000-ROW())/mTieBreak,0)</f>
        <v/>
      </c>
    </row>
    <row r="328">
      <c r="B328" s="68" t="n">
        <v>9</v>
      </c>
      <c r="C328" s="69" t="inlineStr">
        <is>
          <t>UBS18C08</t>
        </is>
      </c>
      <c r="D328" s="69" t="inlineStr">
        <is>
          <t>9.000</t>
        </is>
      </c>
      <c r="E328" s="69" t="inlineStr">
        <is>
          <t>AFIN Industrial and Retail Net-Leased Portfolio</t>
        </is>
      </c>
      <c r="F328" s="69" t="inlineStr">
        <is>
          <t>LNUBS18C08-9.000</t>
        </is>
      </c>
      <c r="G328" s="70" t="n"/>
      <c r="H328" s="71" t="n">
        <v>33400000</v>
      </c>
      <c r="I328" s="71" t="n">
        <v>33400000</v>
      </c>
      <c r="J328" s="72" t="n">
        <v>4.066</v>
      </c>
      <c r="K328" s="69" t="inlineStr">
        <is>
          <t>Fixed rate</t>
        </is>
      </c>
      <c r="L328" s="68" t="n">
        <v>120</v>
      </c>
      <c r="M328" s="68" t="n">
        <v>16</v>
      </c>
      <c r="N328" s="68" t="n">
        <v>120</v>
      </c>
      <c r="O328" s="68" t="n">
        <v>120</v>
      </c>
      <c r="P328" s="68" t="n">
        <v>16</v>
      </c>
      <c r="Q328" s="68" t="n">
        <v>104</v>
      </c>
      <c r="R328" s="69" t="inlineStr">
        <is>
          <t>IO</t>
        </is>
      </c>
      <c r="S328" s="69" t="inlineStr">
        <is>
          <t>Yes</t>
        </is>
      </c>
      <c r="T328" s="73" t="n">
        <v>43101</v>
      </c>
      <c r="U328" s="73" t="n">
        <v>46758</v>
      </c>
      <c r="V328" s="73" t="n"/>
      <c r="W328" s="69" t="n"/>
      <c r="X328" s="69" t="inlineStr">
        <is>
          <t>Current</t>
        </is>
      </c>
      <c r="Y328" s="68" t="n"/>
      <c r="Z328" s="69" t="inlineStr">
        <is>
          <t>Defeasance Not Allowable</t>
        </is>
      </c>
      <c r="AA328" s="69" t="inlineStr">
        <is>
          <t>Yes</t>
        </is>
      </c>
      <c r="AB328" s="69" t="inlineStr">
        <is>
          <t>Never special serv</t>
        </is>
      </c>
      <c r="AC328" s="73" t="n"/>
      <c r="AD328" s="69" t="n"/>
      <c r="AE328" s="69" t="n"/>
      <c r="AF328" s="69" t="inlineStr">
        <is>
          <t>MO-19.172958084% NY-18.859476048% IL-17.595778443% MN-7.518194611% AL-7.380667665% WY-7.198272455% LA-5.198751497% SC-4.119011976% FL-3.679116766% NV-3.567143713% ND-3.167239521% SD-2.543389222%</t>
        </is>
      </c>
      <c r="AG328" s="69" t="n"/>
      <c r="AH328" s="69" t="inlineStr">
        <is>
          <t>Rolla, MO-19.172958084% Rockford, IL-7.614173653% Brainerd, MN-7.518194611% Casper, WY-7.198272455% Syracuse, NY-6.654404192% Chicago-Naperville-Elgin, IL-IN-6.462449102% Lake Charles, LA-5.198751497% Kingston, NY-5.038790419% Tuscaloosa, AL-4.813479042% Columbia, SC-4.119011976% Jacksonville, FL-3.679116766% Elko, NV-3.567143713% Freeport, IL-3.519155689% Daphne-Fairhope-Foley, AL-2.567188623% Rochester, NY-2.511398204% Oneonta, NY-2.415419162% Utica-Rome, NY-2.239464072%</t>
        </is>
      </c>
      <c r="AI328" s="69" t="inlineStr">
        <is>
          <t>Midwest / Central West-32.401781437% Northeast / Mid-Atlantic-18.859476048% Midwest / Central East-17.595778443% West / Mountain-10.765416168% South / Atlantic-7.798128743% South / Central East-7.380667665% South / Central West-5.198751497%</t>
        </is>
      </c>
      <c r="AJ328" s="69" t="inlineStr">
        <is>
          <t>IN-50.453449102% RT-49.546550898%</t>
        </is>
      </c>
      <c r="AK328" s="69" t="n"/>
      <c r="AL328" s="68" t="n">
        <v>22</v>
      </c>
      <c r="AM328" s="68" t="n"/>
      <c r="AN328" s="68" t="n">
        <v>459230</v>
      </c>
      <c r="AO328" s="69" t="n"/>
      <c r="AP328" s="70" t="n">
        <v>2017</v>
      </c>
      <c r="AQ328" s="74" t="n">
        <v>2.81</v>
      </c>
      <c r="AR328" s="74" t="n"/>
      <c r="AS328" s="74" t="n">
        <v>53.4</v>
      </c>
      <c r="AT328" s="74" t="n">
        <v>53.43</v>
      </c>
      <c r="AU328" s="74" t="n">
        <v>53.4</v>
      </c>
      <c r="AV328" s="74" t="n">
        <v>11.570412545</v>
      </c>
      <c r="AW328" s="74" t="n">
        <v>11.661787455</v>
      </c>
      <c r="AX328" s="75" t="n">
        <v>100</v>
      </c>
      <c r="AY328" s="71" t="n">
        <v>62515000</v>
      </c>
      <c r="AZ328" s="71" t="n">
        <v>62515000</v>
      </c>
      <c r="BA328" s="71" t="n">
        <v>3864517.79</v>
      </c>
      <c r="BB328" s="71" t="n">
        <v>3895037.01</v>
      </c>
      <c r="BC328" s="69" t="inlineStr">
        <is>
          <t>Acquisition</t>
        </is>
      </c>
      <c r="BD328" s="69" t="inlineStr">
        <is>
          <t>N</t>
        </is>
      </c>
      <c r="BE328" s="71" t="n"/>
      <c r="BF328" s="71" t="n"/>
      <c r="BG328" s="71" t="n"/>
      <c r="BH328" s="71" t="n">
        <v>0</v>
      </c>
      <c r="BI328" s="71" t="n">
        <v>0</v>
      </c>
      <c r="BJ328" s="69" t="inlineStr">
        <is>
          <t>N</t>
        </is>
      </c>
      <c r="BK328" s="69" t="inlineStr">
        <is>
          <t>FedEx</t>
        </is>
      </c>
      <c r="BL328" s="75" t="n">
        <v>48.94</v>
      </c>
      <c r="BM328" s="73" t="n">
        <v>46568</v>
      </c>
      <c r="BN328" s="69" t="inlineStr">
        <is>
          <t>American Finance Trust, Inc.</t>
        </is>
      </c>
      <c r="BO328" s="69" t="inlineStr">
        <is>
          <t>Barclays</t>
        </is>
      </c>
      <c r="BP328" s="69" t="inlineStr">
        <is>
          <t>Midland Loan Services</t>
        </is>
      </c>
      <c r="BQ328" s="69" t="inlineStr">
        <is>
          <t>Midland Loan Services</t>
        </is>
      </c>
      <c r="BR328" s="69" t="n"/>
      <c r="BS328" s="73" t="n">
        <v>46276</v>
      </c>
      <c r="BU328" s="76">
        <f>IF($C328="","",IFERROR(INDEX(dmName,MATCH($C328,dmID,0)),"Unmapped"))</f>
        <v/>
      </c>
      <c r="BV328" s="76">
        <f>IF($C328="","",IFERROR(INDEX(dmEntity,MATCH($C328,dmID,0)),"Unmapped"))</f>
        <v/>
      </c>
      <c r="BW328" s="77">
        <f>IF($C328="","",IFERROR(INDEX(dmVintage,MATCH($C328,dmID,0)),""))</f>
        <v/>
      </c>
      <c r="BX328" s="78">
        <f>IFERROR(INDEX(dmInclude,MATCH($C328,dmID,0)),0)</f>
        <v/>
      </c>
      <c r="BY328" s="78">
        <f>IF(N($I328)&gt;0,1,0)</f>
        <v/>
      </c>
      <c r="BZ328" s="76">
        <f>IF($AJ328="","Other / Leased Fee",IFERROR(INDEX(mapPTGroup,MATCH(LEFT(TRIM($AJ328),2),mapPTCode,0)),"Other / Leased Fee"))</f>
        <v/>
      </c>
      <c r="CA328" s="76">
        <f>IF(TRIM($AF328&amp;"")="","NR",LEFT(TRIM($AF328),2))</f>
        <v/>
      </c>
      <c r="CB328" s="76">
        <f>IFERROR(LOOKUP(2,1/(LEFT(TRIM($AI328&amp;""),LEN(mapRegion))=mapRegion),mapRegion),"Not Reported")</f>
        <v/>
      </c>
      <c r="CC328" s="76">
        <f>IF($BY328=0,"",IF(TRIM($W328&amp;"")="REO","REO",IF(TRIM($W328&amp;"")="FC","Foreclosure",IF(TRIM($W328&amp;"")="90+","90+ Days Delinquent",IF(TRIM($W328&amp;"")="60","60 Days Delinquent",IF(TRIM($W328&amp;"")="30","30 Days Delinquent",IF($X328="Non-Performing Matured Balloon","Non-Performing Matured Balloon",IF(OR($X328="Late Payment But Less Than 30 Days Delinquent",LEFT($X328&amp;"",20)="Payment Not Received"),"Late / In Grace (&lt;30 Days)",IF($X328="Performing Matured Balloon","Performing Matured Balloon","Current")))))))))</f>
        <v/>
      </c>
      <c r="CD328" s="78">
        <f>IF(OR($CC328="REO",$CC328="Foreclosure",$CC328="90+ Days Delinquent",$CC328="60 Days Delinquent",$CC328="30 Days Delinquent",$CC328="Non-Performing Matured Balloon"),1,0)</f>
        <v/>
      </c>
      <c r="CE328" s="76">
        <f>IF($AB328="Currently special serv","Currently Specially Serviced",IF($AB328="Returned to master serv","Previously Specially Serviced","Never Specially Serviced"))</f>
        <v/>
      </c>
      <c r="CF328" s="78">
        <f>IF($CE328="Currently Specially Serviced",1,0)</f>
        <v/>
      </c>
      <c r="CG328" s="76">
        <f>IF($AA328="Yes","Currently on Watchlist",IF($AA328="Previously","Previously on Watchlist","Never on Watchlist"))</f>
        <v/>
      </c>
      <c r="CH328" s="78">
        <f>IF($CG328="Currently on Watchlist",1,0)</f>
        <v/>
      </c>
      <c r="CI328" s="76">
        <f>IF($Z328="Full Defeasance","Fully Defeased",IF($Z328="Portion Of Loan Previously Defeased","Partially Defeased",IF($Z328="Defeasance Not Allowable","Not Defeased (Not Permitted)","Not Defeased")))</f>
        <v/>
      </c>
      <c r="CJ328" s="78">
        <f>IF($CI328="Fully Defeased",1,0)</f>
        <v/>
      </c>
      <c r="CK328" s="76">
        <f>IF($R328="IO","Full IO",IF(LEFT($R328&amp;"",7)="IO then","Partial IO","Amortizing"))</f>
        <v/>
      </c>
      <c r="CL328" s="78">
        <f>IF($CK328="Full IO",1,0)</f>
        <v/>
      </c>
      <c r="CM328" s="78">
        <f>IF($CK328="Partial IO",1,0)</f>
        <v/>
      </c>
      <c r="CN328" s="76">
        <f>IF(LEFT($F328&amp;"",10)="SPLIT_LOAN","Pari Passu Split","Standalone")</f>
        <v/>
      </c>
      <c r="CO328" s="78">
        <f>IF($CN328="Pari Passu Split",1,0)</f>
        <v/>
      </c>
      <c r="CP328" s="77">
        <f>IF(ISNUMBER($T328),YEAR($T328),"")</f>
        <v/>
      </c>
      <c r="CQ328" s="79">
        <f>IF(ISNUMBER($V328),$V328,IF(ISNUMBER($U328),$U328,""))</f>
        <v/>
      </c>
      <c r="CR328" s="77">
        <f>IF(ISNUMBER($CQ328),YEAR($CQ328),"")</f>
        <v/>
      </c>
      <c r="CS328" s="78">
        <f>IF(ISNUMBER($M328),MAX(0,$M328),IF(TRIM($M328&amp;"")="matured",0,""))</f>
        <v/>
      </c>
      <c r="CT328" s="78">
        <f>IF(AND(ISNUMBER($CS328),N($CS328)&lt;=mMatWindow),1,0)</f>
        <v/>
      </c>
      <c r="CU328" s="80">
        <f>IF(ISNUMBER($J328),$J328/100,"")</f>
        <v/>
      </c>
      <c r="CV328" s="81">
        <f>IF(ISNUMBER($AQ328),$AQ328,"")</f>
        <v/>
      </c>
      <c r="CW328" s="81">
        <f>IF(ISNUMBER($AR328),$AR328,"")</f>
        <v/>
      </c>
      <c r="CX328" s="82">
        <f>IF(ISNUMBER($AS328),$AS328/100,"")</f>
        <v/>
      </c>
      <c r="CY328" s="82">
        <f>IF(ISNUMBER($AT328),$AT328/100,"")</f>
        <v/>
      </c>
      <c r="CZ328" s="82">
        <f>IF(ISNUMBER($AU328),$AU328/100,"")</f>
        <v/>
      </c>
      <c r="DA328" s="82">
        <f>IF(ISNUMBER($AV328),$AV328/100,"")</f>
        <v/>
      </c>
      <c r="DB328" s="82">
        <f>IF(ISNUMBER($AW328),$AW328/100,"")</f>
        <v/>
      </c>
      <c r="DC328" s="82">
        <f>IF(ISNUMBER($AX328),$AX328/100,"")</f>
        <v/>
      </c>
      <c r="DD328" s="77">
        <f>IFERROR(VALUE(LEFT(TRIM($AO328&amp;""),4)),"")</f>
        <v/>
      </c>
      <c r="DE328" s="78">
        <f>IF(AND($BY328=1,$BX328=1,OR(fDeal="All Deals",$BU328=fDeal),OR(fEntity="All Entities",$BV328=fEntity),OR(fPType="All Property Types",$BZ328=fPType),OR(fDefeased="Include",$CJ328=0)),1,0)</f>
        <v/>
      </c>
      <c r="DF328" s="83">
        <f>$DE328*N($I328)</f>
        <v/>
      </c>
      <c r="DG328" s="78">
        <f>IF($DE328=1,IF(COUNTIFS($F$8:$F328,$F328,$DE$8:$DE328,1)=1,1,0),0)</f>
        <v/>
      </c>
      <c r="DH328" s="83">
        <f>IF($DG328=1,SUMIFS($DF$8:$DF$1600,$F$8:$F$1600,$F328),0)</f>
        <v/>
      </c>
      <c r="DI328" s="78">
        <f>IF($DG328=1,COUNTIFS($F$8:$F$1600,$F328,$DE$8:$DE$1600,1),0)</f>
        <v/>
      </c>
      <c r="DJ328" s="84">
        <f>IF($DG328=1,$DH328+(100000-ROW())/mTieBreak,0)</f>
        <v/>
      </c>
    </row>
    <row r="329">
      <c r="B329" s="68" t="n">
        <v>10</v>
      </c>
      <c r="C329" s="69" t="inlineStr">
        <is>
          <t>UBS18C08</t>
        </is>
      </c>
      <c r="D329" s="69" t="inlineStr">
        <is>
          <t>10.000</t>
        </is>
      </c>
      <c r="E329" s="69" t="inlineStr">
        <is>
          <t>Residence Inn Irvine</t>
        </is>
      </c>
      <c r="F329" s="69" t="inlineStr">
        <is>
          <t>LNUBS18C08-10.000</t>
        </is>
      </c>
      <c r="G329" s="70" t="n"/>
      <c r="H329" s="71" t="n">
        <v>33000000</v>
      </c>
      <c r="I329" s="71" t="n">
        <v>33000000</v>
      </c>
      <c r="J329" s="72" t="n">
        <v>4.635</v>
      </c>
      <c r="K329" s="69" t="inlineStr">
        <is>
          <t>Fixed rate</t>
        </is>
      </c>
      <c r="L329" s="68" t="n">
        <v>120</v>
      </c>
      <c r="M329" s="68" t="n">
        <v>17</v>
      </c>
      <c r="N329" s="68" t="n">
        <v>120</v>
      </c>
      <c r="O329" s="68" t="n">
        <v>120</v>
      </c>
      <c r="P329" s="68" t="n">
        <v>17</v>
      </c>
      <c r="Q329" s="68" t="n">
        <v>103</v>
      </c>
      <c r="R329" s="69" t="inlineStr">
        <is>
          <t>IO</t>
        </is>
      </c>
      <c r="S329" s="69" t="inlineStr">
        <is>
          <t>Yes</t>
        </is>
      </c>
      <c r="T329" s="73" t="n">
        <v>43132</v>
      </c>
      <c r="U329" s="73" t="n">
        <v>46784</v>
      </c>
      <c r="V329" s="73" t="n"/>
      <c r="W329" s="69" t="n"/>
      <c r="X329" s="69" t="inlineStr">
        <is>
          <t>Current</t>
        </is>
      </c>
      <c r="Y329" s="68" t="n"/>
      <c r="Z329" s="69" t="inlineStr">
        <is>
          <t>Defeasance Not Allowable</t>
        </is>
      </c>
      <c r="AA329" s="69" t="inlineStr">
        <is>
          <t>Previously</t>
        </is>
      </c>
      <c r="AB329" s="69" t="inlineStr">
        <is>
          <t>Never special serv</t>
        </is>
      </c>
      <c r="AC329" s="73" t="n"/>
      <c r="AD329" s="69" t="n"/>
      <c r="AE329" s="69" t="n"/>
      <c r="AF329" s="69" t="inlineStr">
        <is>
          <t>CA</t>
        </is>
      </c>
      <c r="AG329" s="69" t="inlineStr">
        <is>
          <t>Irvine</t>
        </is>
      </c>
      <c r="AH329" s="69" t="inlineStr">
        <is>
          <t>Los Angeles-Long Beach-Anaheim, CA</t>
        </is>
      </c>
      <c r="AI329" s="69" t="inlineStr">
        <is>
          <t>West / Pacific South</t>
        </is>
      </c>
      <c r="AJ329" s="69" t="inlineStr">
        <is>
          <t>HT</t>
        </is>
      </c>
      <c r="AK329" s="69" t="inlineStr">
        <is>
          <t>Extended Stay</t>
        </is>
      </c>
      <c r="AL329" s="68" t="n">
        <v>1</v>
      </c>
      <c r="AM329" s="68" t="n">
        <v>174</v>
      </c>
      <c r="AN329" s="68" t="n"/>
      <c r="AO329" s="69" t="inlineStr">
        <is>
          <t>2000</t>
        </is>
      </c>
      <c r="AP329" s="70" t="n">
        <v>2017</v>
      </c>
      <c r="AQ329" s="74" t="n">
        <v>2.65</v>
      </c>
      <c r="AR329" s="74" t="n">
        <v>1.73</v>
      </c>
      <c r="AS329" s="74" t="n">
        <v>60</v>
      </c>
      <c r="AT329" s="74" t="n">
        <v>60</v>
      </c>
      <c r="AU329" s="74" t="n">
        <v>60</v>
      </c>
      <c r="AV329" s="74" t="n">
        <v>12.445060636</v>
      </c>
      <c r="AW329" s="74" t="n">
        <v>8.117843121</v>
      </c>
      <c r="AX329" s="75" t="n">
        <v>75</v>
      </c>
      <c r="AY329" s="71" t="n">
        <v>55000000</v>
      </c>
      <c r="AZ329" s="71" t="n">
        <v>55000000</v>
      </c>
      <c r="BA329" s="71" t="n">
        <v>4106870.01</v>
      </c>
      <c r="BB329" s="71" t="n">
        <v>2678888.23</v>
      </c>
      <c r="BC329" s="69" t="inlineStr">
        <is>
          <t>Refinance</t>
        </is>
      </c>
      <c r="BD329" s="69" t="inlineStr">
        <is>
          <t>Y</t>
        </is>
      </c>
      <c r="BE329" s="71" t="n"/>
      <c r="BF329" s="71" t="n"/>
      <c r="BG329" s="71" t="n"/>
      <c r="BH329" s="71" t="n">
        <v>0</v>
      </c>
      <c r="BI329" s="71" t="n">
        <v>0</v>
      </c>
      <c r="BJ329" s="69" t="inlineStr">
        <is>
          <t>N</t>
        </is>
      </c>
      <c r="BK329" s="69" t="n"/>
      <c r="BL329" s="75" t="n"/>
      <c r="BM329" s="73" t="n"/>
      <c r="BN329" s="69" t="inlineStr">
        <is>
          <t>Robert D. Olson; Robert D. Olson, Trustee of the Robert D. Olson Separate Property Trust, Established July 1, 2003</t>
        </is>
      </c>
      <c r="BO329" s="69" t="inlineStr">
        <is>
          <t>Societe Generale</t>
        </is>
      </c>
      <c r="BP329" s="69" t="inlineStr">
        <is>
          <t>Midland Loan Services</t>
        </is>
      </c>
      <c r="BQ329" s="69" t="inlineStr">
        <is>
          <t>Midland Loan Services</t>
        </is>
      </c>
      <c r="BR329" s="69" t="n"/>
      <c r="BS329" s="73" t="n">
        <v>46276</v>
      </c>
      <c r="BU329" s="76">
        <f>IF($C329="","",IFERROR(INDEX(dmName,MATCH($C329,dmID,0)),"Unmapped"))</f>
        <v/>
      </c>
      <c r="BV329" s="76">
        <f>IF($C329="","",IFERROR(INDEX(dmEntity,MATCH($C329,dmID,0)),"Unmapped"))</f>
        <v/>
      </c>
      <c r="BW329" s="77">
        <f>IF($C329="","",IFERROR(INDEX(dmVintage,MATCH($C329,dmID,0)),""))</f>
        <v/>
      </c>
      <c r="BX329" s="78">
        <f>IFERROR(INDEX(dmInclude,MATCH($C329,dmID,0)),0)</f>
        <v/>
      </c>
      <c r="BY329" s="78">
        <f>IF(N($I329)&gt;0,1,0)</f>
        <v/>
      </c>
      <c r="BZ329" s="76">
        <f>IF($AJ329="","Other / Leased Fee",IFERROR(INDEX(mapPTGroup,MATCH(LEFT(TRIM($AJ329),2),mapPTCode,0)),"Other / Leased Fee"))</f>
        <v/>
      </c>
      <c r="CA329" s="76">
        <f>IF(TRIM($AF329&amp;"")="","NR",LEFT(TRIM($AF329),2))</f>
        <v/>
      </c>
      <c r="CB329" s="76">
        <f>IFERROR(LOOKUP(2,1/(LEFT(TRIM($AI329&amp;""),LEN(mapRegion))=mapRegion),mapRegion),"Not Reported")</f>
        <v/>
      </c>
      <c r="CC329" s="76">
        <f>IF($BY329=0,"",IF(TRIM($W329&amp;"")="REO","REO",IF(TRIM($W329&amp;"")="FC","Foreclosure",IF(TRIM($W329&amp;"")="90+","90+ Days Delinquent",IF(TRIM($W329&amp;"")="60","60 Days Delinquent",IF(TRIM($W329&amp;"")="30","30 Days Delinquent",IF($X329="Non-Performing Matured Balloon","Non-Performing Matured Balloon",IF(OR($X329="Late Payment But Less Than 30 Days Delinquent",LEFT($X329&amp;"",20)="Payment Not Received"),"Late / In Grace (&lt;30 Days)",IF($X329="Performing Matured Balloon","Performing Matured Balloon","Current")))))))))</f>
        <v/>
      </c>
      <c r="CD329" s="78">
        <f>IF(OR($CC329="REO",$CC329="Foreclosure",$CC329="90+ Days Delinquent",$CC329="60 Days Delinquent",$CC329="30 Days Delinquent",$CC329="Non-Performing Matured Balloon"),1,0)</f>
        <v/>
      </c>
      <c r="CE329" s="76">
        <f>IF($AB329="Currently special serv","Currently Specially Serviced",IF($AB329="Returned to master serv","Previously Specially Serviced","Never Specially Serviced"))</f>
        <v/>
      </c>
      <c r="CF329" s="78">
        <f>IF($CE329="Currently Specially Serviced",1,0)</f>
        <v/>
      </c>
      <c r="CG329" s="76">
        <f>IF($AA329="Yes","Currently on Watchlist",IF($AA329="Previously","Previously on Watchlist","Never on Watchlist"))</f>
        <v/>
      </c>
      <c r="CH329" s="78">
        <f>IF($CG329="Currently on Watchlist",1,0)</f>
        <v/>
      </c>
      <c r="CI329" s="76">
        <f>IF($Z329="Full Defeasance","Fully Defeased",IF($Z329="Portion Of Loan Previously Defeased","Partially Defeased",IF($Z329="Defeasance Not Allowable","Not Defeased (Not Permitted)","Not Defeased")))</f>
        <v/>
      </c>
      <c r="CJ329" s="78">
        <f>IF($CI329="Fully Defeased",1,0)</f>
        <v/>
      </c>
      <c r="CK329" s="76">
        <f>IF($R329="IO","Full IO",IF(LEFT($R329&amp;"",7)="IO then","Partial IO","Amortizing"))</f>
        <v/>
      </c>
      <c r="CL329" s="78">
        <f>IF($CK329="Full IO",1,0)</f>
        <v/>
      </c>
      <c r="CM329" s="78">
        <f>IF($CK329="Partial IO",1,0)</f>
        <v/>
      </c>
      <c r="CN329" s="76">
        <f>IF(LEFT($F329&amp;"",10)="SPLIT_LOAN","Pari Passu Split","Standalone")</f>
        <v/>
      </c>
      <c r="CO329" s="78">
        <f>IF($CN329="Pari Passu Split",1,0)</f>
        <v/>
      </c>
      <c r="CP329" s="77">
        <f>IF(ISNUMBER($T329),YEAR($T329),"")</f>
        <v/>
      </c>
      <c r="CQ329" s="79">
        <f>IF(ISNUMBER($V329),$V329,IF(ISNUMBER($U329),$U329,""))</f>
        <v/>
      </c>
      <c r="CR329" s="77">
        <f>IF(ISNUMBER($CQ329),YEAR($CQ329),"")</f>
        <v/>
      </c>
      <c r="CS329" s="78">
        <f>IF(ISNUMBER($M329),MAX(0,$M329),IF(TRIM($M329&amp;"")="matured",0,""))</f>
        <v/>
      </c>
      <c r="CT329" s="78">
        <f>IF(AND(ISNUMBER($CS329),N($CS329)&lt;=mMatWindow),1,0)</f>
        <v/>
      </c>
      <c r="CU329" s="80">
        <f>IF(ISNUMBER($J329),$J329/100,"")</f>
        <v/>
      </c>
      <c r="CV329" s="81">
        <f>IF(ISNUMBER($AQ329),$AQ329,"")</f>
        <v/>
      </c>
      <c r="CW329" s="81">
        <f>IF(ISNUMBER($AR329),$AR329,"")</f>
        <v/>
      </c>
      <c r="CX329" s="82">
        <f>IF(ISNUMBER($AS329),$AS329/100,"")</f>
        <v/>
      </c>
      <c r="CY329" s="82">
        <f>IF(ISNUMBER($AT329),$AT329/100,"")</f>
        <v/>
      </c>
      <c r="CZ329" s="82">
        <f>IF(ISNUMBER($AU329),$AU329/100,"")</f>
        <v/>
      </c>
      <c r="DA329" s="82">
        <f>IF(ISNUMBER($AV329),$AV329/100,"")</f>
        <v/>
      </c>
      <c r="DB329" s="82">
        <f>IF(ISNUMBER($AW329),$AW329/100,"")</f>
        <v/>
      </c>
      <c r="DC329" s="82">
        <f>IF(ISNUMBER($AX329),$AX329/100,"")</f>
        <v/>
      </c>
      <c r="DD329" s="77">
        <f>IFERROR(VALUE(LEFT(TRIM($AO329&amp;""),4)),"")</f>
        <v/>
      </c>
      <c r="DE329" s="78">
        <f>IF(AND($BY329=1,$BX329=1,OR(fDeal="All Deals",$BU329=fDeal),OR(fEntity="All Entities",$BV329=fEntity),OR(fPType="All Property Types",$BZ329=fPType),OR(fDefeased="Include",$CJ329=0)),1,0)</f>
        <v/>
      </c>
      <c r="DF329" s="83">
        <f>$DE329*N($I329)</f>
        <v/>
      </c>
      <c r="DG329" s="78">
        <f>IF($DE329=1,IF(COUNTIFS($F$8:$F329,$F329,$DE$8:$DE329,1)=1,1,0),0)</f>
        <v/>
      </c>
      <c r="DH329" s="83">
        <f>IF($DG329=1,SUMIFS($DF$8:$DF$1600,$F$8:$F$1600,$F329),0)</f>
        <v/>
      </c>
      <c r="DI329" s="78">
        <f>IF($DG329=1,COUNTIFS($F$8:$F$1600,$F329,$DE$8:$DE$1600,1),0)</f>
        <v/>
      </c>
      <c r="DJ329" s="84">
        <f>IF($DG329=1,$DH329+(100000-ROW())/mTieBreak,0)</f>
        <v/>
      </c>
    </row>
    <row r="330">
      <c r="B330" s="68" t="n">
        <v>11</v>
      </c>
      <c r="C330" s="69" t="inlineStr">
        <is>
          <t>UBS18C08</t>
        </is>
      </c>
      <c r="D330" s="69" t="inlineStr">
        <is>
          <t>11.000</t>
        </is>
      </c>
      <c r="E330" s="69" t="inlineStr">
        <is>
          <t>GNL Industrial Portfolio</t>
        </is>
      </c>
      <c r="F330" s="69" t="inlineStr">
        <is>
          <t>LNUBS18C08-11.000</t>
        </is>
      </c>
      <c r="G330" s="70" t="n"/>
      <c r="H330" s="71" t="n">
        <v>32750000</v>
      </c>
      <c r="I330" s="71" t="n">
        <v>32750000</v>
      </c>
      <c r="J330" s="72" t="n">
        <v>4.32</v>
      </c>
      <c r="K330" s="69" t="inlineStr">
        <is>
          <t>Fixed rate</t>
        </is>
      </c>
      <c r="L330" s="68" t="n">
        <v>120</v>
      </c>
      <c r="M330" s="68" t="n">
        <v>17</v>
      </c>
      <c r="N330" s="68" t="n">
        <v>120</v>
      </c>
      <c r="O330" s="68" t="n">
        <v>120</v>
      </c>
      <c r="P330" s="68" t="n">
        <v>17</v>
      </c>
      <c r="Q330" s="68" t="n">
        <v>103</v>
      </c>
      <c r="R330" s="69" t="inlineStr">
        <is>
          <t>IO</t>
        </is>
      </c>
      <c r="S330" s="69" t="inlineStr">
        <is>
          <t>Yes</t>
        </is>
      </c>
      <c r="T330" s="73" t="n">
        <v>43132</v>
      </c>
      <c r="U330" s="73" t="n">
        <v>46789</v>
      </c>
      <c r="V330" s="73" t="n"/>
      <c r="W330" s="69" t="n"/>
      <c r="X330" s="69" t="inlineStr">
        <is>
          <t>Current</t>
        </is>
      </c>
      <c r="Y330" s="68" t="n"/>
      <c r="Z330" s="69" t="inlineStr">
        <is>
          <t>Defeasance Not Allowable</t>
        </is>
      </c>
      <c r="AA330" s="69" t="inlineStr">
        <is>
          <t>Yes</t>
        </is>
      </c>
      <c r="AB330" s="69" t="inlineStr">
        <is>
          <t>Never special serv</t>
        </is>
      </c>
      <c r="AC330" s="73" t="n"/>
      <c r="AD330" s="69" t="n"/>
      <c r="AE330" s="69" t="n"/>
      <c r="AF330" s="69" t="inlineStr">
        <is>
          <t>MI-40.735877863% VT-20.458015267% NE-12.513893130% NJ-11.734961832% OH-8.145038168% NH-6.412213740%</t>
        </is>
      </c>
      <c r="AG330" s="69" t="n"/>
      <c r="AH330" s="69" t="inlineStr">
        <is>
          <t>Detroit-Warren-Dearborn, MI-40.735877863% Omaha, NE-IA-12.513893130% New York-Newark-Jersey City, NY-NJ-11.734961832% Cincinnati, OH-KY-IN-8.145038168%</t>
        </is>
      </c>
      <c r="AI330" s="69" t="inlineStr">
        <is>
          <t>Midwest / Central East-48.880916031% Northeast / New England-26.870229008% Midwest / Central West-12.513893130% Northeast / Mid-Atlantic-11.734961832%</t>
        </is>
      </c>
      <c r="AJ330" s="69" t="inlineStr">
        <is>
          <t>IN</t>
        </is>
      </c>
      <c r="AK330" s="69" t="n"/>
      <c r="AL330" s="68" t="n">
        <v>8</v>
      </c>
      <c r="AM330" s="68" t="n"/>
      <c r="AN330" s="68" t="n">
        <v>627526</v>
      </c>
      <c r="AO330" s="69" t="n"/>
      <c r="AP330" s="70" t="n">
        <v>2017</v>
      </c>
      <c r="AQ330" s="74" t="n">
        <v>2.76</v>
      </c>
      <c r="AR330" s="74" t="n"/>
      <c r="AS330" s="74" t="n">
        <v>52.3</v>
      </c>
      <c r="AT330" s="74" t="n">
        <v>52.3</v>
      </c>
      <c r="AU330" s="74" t="n">
        <v>52.3</v>
      </c>
      <c r="AV330" s="74" t="n">
        <v>12.078174382</v>
      </c>
      <c r="AW330" s="74" t="n">
        <v>14.389703206</v>
      </c>
      <c r="AX330" s="75" t="n">
        <v>100</v>
      </c>
      <c r="AY330" s="71" t="n">
        <v>62625000</v>
      </c>
      <c r="AZ330" s="71" t="n">
        <v>62625000</v>
      </c>
      <c r="BA330" s="71" t="n">
        <v>3955602.11</v>
      </c>
      <c r="BB330" s="71" t="n">
        <v>4665296.18</v>
      </c>
      <c r="BC330" s="69" t="inlineStr">
        <is>
          <t>Acquisition</t>
        </is>
      </c>
      <c r="BD330" s="69" t="inlineStr">
        <is>
          <t>Y</t>
        </is>
      </c>
      <c r="BE330" s="71" t="n"/>
      <c r="BF330" s="71" t="n"/>
      <c r="BG330" s="71" t="n"/>
      <c r="BH330" s="71" t="n">
        <v>0</v>
      </c>
      <c r="BI330" s="71" t="n">
        <v>0</v>
      </c>
      <c r="BJ330" s="69" t="inlineStr">
        <is>
          <t>N</t>
        </is>
      </c>
      <c r="BK330" s="69" t="inlineStr">
        <is>
          <t>NSA Industries L.L.C.</t>
        </is>
      </c>
      <c r="BL330" s="75" t="n">
        <v>47.12</v>
      </c>
      <c r="BM330" s="73" t="n">
        <v>48518</v>
      </c>
      <c r="BN330" s="69" t="inlineStr">
        <is>
          <t>Global Net Lease Operating Partnership, L.P.</t>
        </is>
      </c>
      <c r="BO330" s="69" t="inlineStr">
        <is>
          <t>Ladder Capital Finance</t>
        </is>
      </c>
      <c r="BP330" s="69" t="inlineStr">
        <is>
          <t>Midland Loan Services</t>
        </is>
      </c>
      <c r="BQ330" s="69" t="inlineStr">
        <is>
          <t>Midland Loan Services</t>
        </is>
      </c>
      <c r="BR330" s="69" t="n"/>
      <c r="BS330" s="73" t="n">
        <v>46276</v>
      </c>
      <c r="BU330" s="76">
        <f>IF($C330="","",IFERROR(INDEX(dmName,MATCH($C330,dmID,0)),"Unmapped"))</f>
        <v/>
      </c>
      <c r="BV330" s="76">
        <f>IF($C330="","",IFERROR(INDEX(dmEntity,MATCH($C330,dmID,0)),"Unmapped"))</f>
        <v/>
      </c>
      <c r="BW330" s="77">
        <f>IF($C330="","",IFERROR(INDEX(dmVintage,MATCH($C330,dmID,0)),""))</f>
        <v/>
      </c>
      <c r="BX330" s="78">
        <f>IFERROR(INDEX(dmInclude,MATCH($C330,dmID,0)),0)</f>
        <v/>
      </c>
      <c r="BY330" s="78">
        <f>IF(N($I330)&gt;0,1,0)</f>
        <v/>
      </c>
      <c r="BZ330" s="76">
        <f>IF($AJ330="","Other / Leased Fee",IFERROR(INDEX(mapPTGroup,MATCH(LEFT(TRIM($AJ330),2),mapPTCode,0)),"Other / Leased Fee"))</f>
        <v/>
      </c>
      <c r="CA330" s="76">
        <f>IF(TRIM($AF330&amp;"")="","NR",LEFT(TRIM($AF330),2))</f>
        <v/>
      </c>
      <c r="CB330" s="76">
        <f>IFERROR(LOOKUP(2,1/(LEFT(TRIM($AI330&amp;""),LEN(mapRegion))=mapRegion),mapRegion),"Not Reported")</f>
        <v/>
      </c>
      <c r="CC330" s="76">
        <f>IF($BY330=0,"",IF(TRIM($W330&amp;"")="REO","REO",IF(TRIM($W330&amp;"")="FC","Foreclosure",IF(TRIM($W330&amp;"")="90+","90+ Days Delinquent",IF(TRIM($W330&amp;"")="60","60 Days Delinquent",IF(TRIM($W330&amp;"")="30","30 Days Delinquent",IF($X330="Non-Performing Matured Balloon","Non-Performing Matured Balloon",IF(OR($X330="Late Payment But Less Than 30 Days Delinquent",LEFT($X330&amp;"",20)="Payment Not Received"),"Late / In Grace (&lt;30 Days)",IF($X330="Performing Matured Balloon","Performing Matured Balloon","Current")))))))))</f>
        <v/>
      </c>
      <c r="CD330" s="78">
        <f>IF(OR($CC330="REO",$CC330="Foreclosure",$CC330="90+ Days Delinquent",$CC330="60 Days Delinquent",$CC330="30 Days Delinquent",$CC330="Non-Performing Matured Balloon"),1,0)</f>
        <v/>
      </c>
      <c r="CE330" s="76">
        <f>IF($AB330="Currently special serv","Currently Specially Serviced",IF($AB330="Returned to master serv","Previously Specially Serviced","Never Specially Serviced"))</f>
        <v/>
      </c>
      <c r="CF330" s="78">
        <f>IF($CE330="Currently Specially Serviced",1,0)</f>
        <v/>
      </c>
      <c r="CG330" s="76">
        <f>IF($AA330="Yes","Currently on Watchlist",IF($AA330="Previously","Previously on Watchlist","Never on Watchlist"))</f>
        <v/>
      </c>
      <c r="CH330" s="78">
        <f>IF($CG330="Currently on Watchlist",1,0)</f>
        <v/>
      </c>
      <c r="CI330" s="76">
        <f>IF($Z330="Full Defeasance","Fully Defeased",IF($Z330="Portion Of Loan Previously Defeased","Partially Defeased",IF($Z330="Defeasance Not Allowable","Not Defeased (Not Permitted)","Not Defeased")))</f>
        <v/>
      </c>
      <c r="CJ330" s="78">
        <f>IF($CI330="Fully Defeased",1,0)</f>
        <v/>
      </c>
      <c r="CK330" s="76">
        <f>IF($R330="IO","Full IO",IF(LEFT($R330&amp;"",7)="IO then","Partial IO","Amortizing"))</f>
        <v/>
      </c>
      <c r="CL330" s="78">
        <f>IF($CK330="Full IO",1,0)</f>
        <v/>
      </c>
      <c r="CM330" s="78">
        <f>IF($CK330="Partial IO",1,0)</f>
        <v/>
      </c>
      <c r="CN330" s="76">
        <f>IF(LEFT($F330&amp;"",10)="SPLIT_LOAN","Pari Passu Split","Standalone")</f>
        <v/>
      </c>
      <c r="CO330" s="78">
        <f>IF($CN330="Pari Passu Split",1,0)</f>
        <v/>
      </c>
      <c r="CP330" s="77">
        <f>IF(ISNUMBER($T330),YEAR($T330),"")</f>
        <v/>
      </c>
      <c r="CQ330" s="79">
        <f>IF(ISNUMBER($V330),$V330,IF(ISNUMBER($U330),$U330,""))</f>
        <v/>
      </c>
      <c r="CR330" s="77">
        <f>IF(ISNUMBER($CQ330),YEAR($CQ330),"")</f>
        <v/>
      </c>
      <c r="CS330" s="78">
        <f>IF(ISNUMBER($M330),MAX(0,$M330),IF(TRIM($M330&amp;"")="matured",0,""))</f>
        <v/>
      </c>
      <c r="CT330" s="78">
        <f>IF(AND(ISNUMBER($CS330),N($CS330)&lt;=mMatWindow),1,0)</f>
        <v/>
      </c>
      <c r="CU330" s="80">
        <f>IF(ISNUMBER($J330),$J330/100,"")</f>
        <v/>
      </c>
      <c r="CV330" s="81">
        <f>IF(ISNUMBER($AQ330),$AQ330,"")</f>
        <v/>
      </c>
      <c r="CW330" s="81">
        <f>IF(ISNUMBER($AR330),$AR330,"")</f>
        <v/>
      </c>
      <c r="CX330" s="82">
        <f>IF(ISNUMBER($AS330),$AS330/100,"")</f>
        <v/>
      </c>
      <c r="CY330" s="82">
        <f>IF(ISNUMBER($AT330),$AT330/100,"")</f>
        <v/>
      </c>
      <c r="CZ330" s="82">
        <f>IF(ISNUMBER($AU330),$AU330/100,"")</f>
        <v/>
      </c>
      <c r="DA330" s="82">
        <f>IF(ISNUMBER($AV330),$AV330/100,"")</f>
        <v/>
      </c>
      <c r="DB330" s="82">
        <f>IF(ISNUMBER($AW330),$AW330/100,"")</f>
        <v/>
      </c>
      <c r="DC330" s="82">
        <f>IF(ISNUMBER($AX330),$AX330/100,"")</f>
        <v/>
      </c>
      <c r="DD330" s="77">
        <f>IFERROR(VALUE(LEFT(TRIM($AO330&amp;""),4)),"")</f>
        <v/>
      </c>
      <c r="DE330" s="78">
        <f>IF(AND($BY330=1,$BX330=1,OR(fDeal="All Deals",$BU330=fDeal),OR(fEntity="All Entities",$BV330=fEntity),OR(fPType="All Property Types",$BZ330=fPType),OR(fDefeased="Include",$CJ330=0)),1,0)</f>
        <v/>
      </c>
      <c r="DF330" s="83">
        <f>$DE330*N($I330)</f>
        <v/>
      </c>
      <c r="DG330" s="78">
        <f>IF($DE330=1,IF(COUNTIFS($F$8:$F330,$F330,$DE$8:$DE330,1)=1,1,0),0)</f>
        <v/>
      </c>
      <c r="DH330" s="83">
        <f>IF($DG330=1,SUMIFS($DF$8:$DF$1600,$F$8:$F$1600,$F330),0)</f>
        <v/>
      </c>
      <c r="DI330" s="78">
        <f>IF($DG330=1,COUNTIFS($F$8:$F$1600,$F330,$DE$8:$DE$1600,1),0)</f>
        <v/>
      </c>
      <c r="DJ330" s="84">
        <f>IF($DG330=1,$DH330+(100000-ROW())/mTieBreak,0)</f>
        <v/>
      </c>
    </row>
    <row r="331">
      <c r="B331" s="68" t="n">
        <v>12</v>
      </c>
      <c r="C331" s="69" t="inlineStr">
        <is>
          <t>UBS18C08</t>
        </is>
      </c>
      <c r="D331" s="69" t="inlineStr">
        <is>
          <t>12.000</t>
        </is>
      </c>
      <c r="E331" s="69" t="inlineStr">
        <is>
          <t>BlueLinx Portfolio</t>
        </is>
      </c>
      <c r="F331" s="69" t="inlineStr">
        <is>
          <t>SPLIT_LOAN_01241</t>
        </is>
      </c>
      <c r="G331" s="70" t="n">
        <v>1241</v>
      </c>
      <c r="H331" s="71" t="n">
        <v>28600000</v>
      </c>
      <c r="I331" s="71" t="n">
        <v>0</v>
      </c>
      <c r="J331" s="72" t="n">
        <v>4.47</v>
      </c>
      <c r="K331" s="69" t="inlineStr">
        <is>
          <t>Fixed rate</t>
        </is>
      </c>
      <c r="L331" s="68" t="n">
        <v>60</v>
      </c>
      <c r="M331" s="68" t="n"/>
      <c r="N331" s="68" t="n">
        <v>60</v>
      </c>
      <c r="O331" s="68" t="n">
        <v>60</v>
      </c>
      <c r="P331" s="68" t="n"/>
      <c r="Q331" s="68" t="n"/>
      <c r="R331" s="69" t="inlineStr">
        <is>
          <t>IO</t>
        </is>
      </c>
      <c r="S331" s="69" t="inlineStr">
        <is>
          <t>Yes</t>
        </is>
      </c>
      <c r="T331" s="73" t="n">
        <v>43160</v>
      </c>
      <c r="U331" s="73" t="n">
        <v>44963</v>
      </c>
      <c r="V331" s="73" t="n"/>
      <c r="W331" s="69" t="n"/>
      <c r="X331" s="69" t="inlineStr">
        <is>
          <t>Current</t>
        </is>
      </c>
      <c r="Y331" s="68" t="n"/>
      <c r="Z331" s="69" t="inlineStr">
        <is>
          <t>Full Defeasance</t>
        </is>
      </c>
      <c r="AA331" s="69" t="n"/>
      <c r="AB331" s="69" t="inlineStr">
        <is>
          <t>Never special serv</t>
        </is>
      </c>
      <c r="AC331" s="73" t="n"/>
      <c r="AD331" s="69" t="n"/>
      <c r="AE331" s="69" t="n"/>
      <c r="AF331" s="69" t="inlineStr">
        <is>
          <t>MD-34.545454545% MA-32.613636364% GA-20.000000000% NC-12.840909091%</t>
        </is>
      </c>
      <c r="AG331" s="69" t="n"/>
      <c r="AH331" s="69" t="inlineStr">
        <is>
          <t>Washington-Arlington-Alexandria, DC-VA-MD-WV-34.545454545% Boston-Cambridge-Newton, MA-NH-32.613636364% Atlanta-Sandy Springs-Roswell, GA-20.000000000%</t>
        </is>
      </c>
      <c r="AI331" s="69" t="inlineStr">
        <is>
          <t>South / Atlantic-67.386363636% Northeast / New England-32.613636364%</t>
        </is>
      </c>
      <c r="AJ331" s="69" t="inlineStr">
        <is>
          <t>IN</t>
        </is>
      </c>
      <c r="AK331" s="69" t="inlineStr">
        <is>
          <t>Warehouse/Distribution</t>
        </is>
      </c>
      <c r="AL331" s="68" t="n">
        <v>4</v>
      </c>
      <c r="AM331" s="68" t="n"/>
      <c r="AN331" s="68" t="n">
        <v>2307835</v>
      </c>
      <c r="AO331" s="69" t="n"/>
      <c r="AP331" s="70" t="n">
        <v>2006</v>
      </c>
      <c r="AQ331" s="74" t="n">
        <v>2.46</v>
      </c>
      <c r="AR331" s="74" t="n"/>
      <c r="AS331" s="74" t="n">
        <v>64.2</v>
      </c>
      <c r="AT331" s="74" t="n"/>
      <c r="AU331" s="74" t="n">
        <v>64.2</v>
      </c>
      <c r="AV331" s="74" t="n">
        <v>11.132837902</v>
      </c>
      <c r="AW331" s="74" t="n"/>
      <c r="AX331" s="75" t="n">
        <v>100</v>
      </c>
      <c r="AY331" s="71" t="n">
        <v>111450000</v>
      </c>
      <c r="AZ331" s="71" t="n">
        <v>111450000</v>
      </c>
      <c r="BA331" s="71" t="n">
        <v>7959979.1</v>
      </c>
      <c r="BB331" s="71" t="n">
        <v>8944697.16</v>
      </c>
      <c r="BC331" s="69" t="inlineStr">
        <is>
          <t>Acquisition</t>
        </is>
      </c>
      <c r="BD331" s="69" t="inlineStr">
        <is>
          <t>N</t>
        </is>
      </c>
      <c r="BE331" s="71" t="n">
        <v>0</v>
      </c>
      <c r="BF331" s="71" t="n"/>
      <c r="BG331" s="71" t="n"/>
      <c r="BH331" s="71" t="n">
        <v>0</v>
      </c>
      <c r="BI331" s="71" t="n">
        <v>0</v>
      </c>
      <c r="BJ331" s="69" t="inlineStr">
        <is>
          <t>N</t>
        </is>
      </c>
      <c r="BK331" s="69" t="inlineStr">
        <is>
          <t>Bluelinx - Frederick</t>
        </is>
      </c>
      <c r="BL331" s="75" t="n">
        <v>29.48</v>
      </c>
      <c r="BM331" s="73" t="n">
        <v>48610</v>
      </c>
      <c r="BN331" s="69" t="inlineStr">
        <is>
          <t>Michael W. Brennan; Scott D. McKibben; Samuel A. Mandarino; Robert G. Vanecko; Eduardo E. Paneque; Allen Crosswell; Greenwood Holding Company, LLC; William T. MacMane; Brad O'Halloran</t>
        </is>
      </c>
      <c r="BO331" s="69" t="inlineStr">
        <is>
          <t>Societe Generale / Citigroup Global Markets</t>
        </is>
      </c>
      <c r="BP331" s="69" t="inlineStr">
        <is>
          <t>Midland Loan Services</t>
        </is>
      </c>
      <c r="BQ331" s="69" t="inlineStr">
        <is>
          <t>CWCapital</t>
        </is>
      </c>
      <c r="BR331" s="69" t="inlineStr">
        <is>
          <t>Payoff Prior To Maturity</t>
        </is>
      </c>
      <c r="BS331" s="73" t="n">
        <v>44879</v>
      </c>
      <c r="BU331" s="76">
        <f>IF($C331="","",IFERROR(INDEX(dmName,MATCH($C331,dmID,0)),"Unmapped"))</f>
        <v/>
      </c>
      <c r="BV331" s="76">
        <f>IF($C331="","",IFERROR(INDEX(dmEntity,MATCH($C331,dmID,0)),"Unmapped"))</f>
        <v/>
      </c>
      <c r="BW331" s="77">
        <f>IF($C331="","",IFERROR(INDEX(dmVintage,MATCH($C331,dmID,0)),""))</f>
        <v/>
      </c>
      <c r="BX331" s="78">
        <f>IFERROR(INDEX(dmInclude,MATCH($C331,dmID,0)),0)</f>
        <v/>
      </c>
      <c r="BY331" s="78">
        <f>IF(N($I331)&gt;0,1,0)</f>
        <v/>
      </c>
      <c r="BZ331" s="76">
        <f>IF($AJ331="","Other / Leased Fee",IFERROR(INDEX(mapPTGroup,MATCH(LEFT(TRIM($AJ331),2),mapPTCode,0)),"Other / Leased Fee"))</f>
        <v/>
      </c>
      <c r="CA331" s="76">
        <f>IF(TRIM($AF331&amp;"")="","NR",LEFT(TRIM($AF331),2))</f>
        <v/>
      </c>
      <c r="CB331" s="76">
        <f>IFERROR(LOOKUP(2,1/(LEFT(TRIM($AI331&amp;""),LEN(mapRegion))=mapRegion),mapRegion),"Not Reported")</f>
        <v/>
      </c>
      <c r="CC331" s="76">
        <f>IF($BY331=0,"",IF(TRIM($W331&amp;"")="REO","REO",IF(TRIM($W331&amp;"")="FC","Foreclosure",IF(TRIM($W331&amp;"")="90+","90+ Days Delinquent",IF(TRIM($W331&amp;"")="60","60 Days Delinquent",IF(TRIM($W331&amp;"")="30","30 Days Delinquent",IF($X331="Non-Performing Matured Balloon","Non-Performing Matured Balloon",IF(OR($X331="Late Payment But Less Than 30 Days Delinquent",LEFT($X331&amp;"",20)="Payment Not Received"),"Late / In Grace (&lt;30 Days)",IF($X331="Performing Matured Balloon","Performing Matured Balloon","Current")))))))))</f>
        <v/>
      </c>
      <c r="CD331" s="78">
        <f>IF(OR($CC331="REO",$CC331="Foreclosure",$CC331="90+ Days Delinquent",$CC331="60 Days Delinquent",$CC331="30 Days Delinquent",$CC331="Non-Performing Matured Balloon"),1,0)</f>
        <v/>
      </c>
      <c r="CE331" s="76">
        <f>IF($AB331="Currently special serv","Currently Specially Serviced",IF($AB331="Returned to master serv","Previously Specially Serviced","Never Specially Serviced"))</f>
        <v/>
      </c>
      <c r="CF331" s="78">
        <f>IF($CE331="Currently Specially Serviced",1,0)</f>
        <v/>
      </c>
      <c r="CG331" s="76">
        <f>IF($AA331="Yes","Currently on Watchlist",IF($AA331="Previously","Previously on Watchlist","Never on Watchlist"))</f>
        <v/>
      </c>
      <c r="CH331" s="78">
        <f>IF($CG331="Currently on Watchlist",1,0)</f>
        <v/>
      </c>
      <c r="CI331" s="76">
        <f>IF($Z331="Full Defeasance","Fully Defeased",IF($Z331="Portion Of Loan Previously Defeased","Partially Defeased",IF($Z331="Defeasance Not Allowable","Not Defeased (Not Permitted)","Not Defeased")))</f>
        <v/>
      </c>
      <c r="CJ331" s="78">
        <f>IF($CI331="Fully Defeased",1,0)</f>
        <v/>
      </c>
      <c r="CK331" s="76">
        <f>IF($R331="IO","Full IO",IF(LEFT($R331&amp;"",7)="IO then","Partial IO","Amortizing"))</f>
        <v/>
      </c>
      <c r="CL331" s="78">
        <f>IF($CK331="Full IO",1,0)</f>
        <v/>
      </c>
      <c r="CM331" s="78">
        <f>IF($CK331="Partial IO",1,0)</f>
        <v/>
      </c>
      <c r="CN331" s="76">
        <f>IF(LEFT($F331&amp;"",10)="SPLIT_LOAN","Pari Passu Split","Standalone")</f>
        <v/>
      </c>
      <c r="CO331" s="78">
        <f>IF($CN331="Pari Passu Split",1,0)</f>
        <v/>
      </c>
      <c r="CP331" s="77">
        <f>IF(ISNUMBER($T331),YEAR($T331),"")</f>
        <v/>
      </c>
      <c r="CQ331" s="79">
        <f>IF(ISNUMBER($V331),$V331,IF(ISNUMBER($U331),$U331,""))</f>
        <v/>
      </c>
      <c r="CR331" s="77">
        <f>IF(ISNUMBER($CQ331),YEAR($CQ331),"")</f>
        <v/>
      </c>
      <c r="CS331" s="78">
        <f>IF(ISNUMBER($M331),MAX(0,$M331),IF(TRIM($M331&amp;"")="matured",0,""))</f>
        <v/>
      </c>
      <c r="CT331" s="78">
        <f>IF(AND(ISNUMBER($CS331),N($CS331)&lt;=mMatWindow),1,0)</f>
        <v/>
      </c>
      <c r="CU331" s="80">
        <f>IF(ISNUMBER($J331),$J331/100,"")</f>
        <v/>
      </c>
      <c r="CV331" s="81">
        <f>IF(ISNUMBER($AQ331),$AQ331,"")</f>
        <v/>
      </c>
      <c r="CW331" s="81">
        <f>IF(ISNUMBER($AR331),$AR331,"")</f>
        <v/>
      </c>
      <c r="CX331" s="82">
        <f>IF(ISNUMBER($AS331),$AS331/100,"")</f>
        <v/>
      </c>
      <c r="CY331" s="82">
        <f>IF(ISNUMBER($AT331),$AT331/100,"")</f>
        <v/>
      </c>
      <c r="CZ331" s="82">
        <f>IF(ISNUMBER($AU331),$AU331/100,"")</f>
        <v/>
      </c>
      <c r="DA331" s="82">
        <f>IF(ISNUMBER($AV331),$AV331/100,"")</f>
        <v/>
      </c>
      <c r="DB331" s="82">
        <f>IF(ISNUMBER($AW331),$AW331/100,"")</f>
        <v/>
      </c>
      <c r="DC331" s="82">
        <f>IF(ISNUMBER($AX331),$AX331/100,"")</f>
        <v/>
      </c>
      <c r="DD331" s="77">
        <f>IFERROR(VALUE(LEFT(TRIM($AO331&amp;""),4)),"")</f>
        <v/>
      </c>
      <c r="DE331" s="78">
        <f>IF(AND($BY331=1,$BX331=1,OR(fDeal="All Deals",$BU331=fDeal),OR(fEntity="All Entities",$BV331=fEntity),OR(fPType="All Property Types",$BZ331=fPType),OR(fDefeased="Include",$CJ331=0)),1,0)</f>
        <v/>
      </c>
      <c r="DF331" s="83">
        <f>$DE331*N($I331)</f>
        <v/>
      </c>
      <c r="DG331" s="78">
        <f>IF($DE331=1,IF(COUNTIFS($F$8:$F331,$F331,$DE$8:$DE331,1)=1,1,0),0)</f>
        <v/>
      </c>
      <c r="DH331" s="83">
        <f>IF($DG331=1,SUMIFS($DF$8:$DF$1600,$F$8:$F$1600,$F331),0)</f>
        <v/>
      </c>
      <c r="DI331" s="78">
        <f>IF($DG331=1,COUNTIFS($F$8:$F$1600,$F331,$DE$8:$DE$1600,1),0)</f>
        <v/>
      </c>
      <c r="DJ331" s="84">
        <f>IF($DG331=1,$DH331+(100000-ROW())/mTieBreak,0)</f>
        <v/>
      </c>
    </row>
    <row r="332">
      <c r="B332" s="68" t="n">
        <v>13</v>
      </c>
      <c r="C332" s="69" t="inlineStr">
        <is>
          <t>UBS18C08</t>
        </is>
      </c>
      <c r="D332" s="69" t="inlineStr">
        <is>
          <t>13.000</t>
        </is>
      </c>
      <c r="E332" s="69" t="inlineStr">
        <is>
          <t>El Dorado Tech Center</t>
        </is>
      </c>
      <c r="F332" s="69" t="inlineStr">
        <is>
          <t>LNUBS18C08-13.000</t>
        </is>
      </c>
      <c r="G332" s="70" t="n"/>
      <c r="H332" s="71" t="n">
        <v>25350000</v>
      </c>
      <c r="I332" s="71" t="n">
        <v>25350000</v>
      </c>
      <c r="J332" s="72" t="n">
        <v>4.541</v>
      </c>
      <c r="K332" s="69" t="inlineStr">
        <is>
          <t>Fixed rate</t>
        </is>
      </c>
      <c r="L332" s="68" t="n">
        <v>120</v>
      </c>
      <c r="M332" s="68" t="n">
        <v>17</v>
      </c>
      <c r="N332" s="68" t="n">
        <v>120</v>
      </c>
      <c r="O332" s="68" t="n">
        <v>120</v>
      </c>
      <c r="P332" s="68" t="n">
        <v>17</v>
      </c>
      <c r="Q332" s="68" t="n">
        <v>103</v>
      </c>
      <c r="R332" s="69" t="inlineStr">
        <is>
          <t>IO</t>
        </is>
      </c>
      <c r="S332" s="69" t="inlineStr">
        <is>
          <t>Yes</t>
        </is>
      </c>
      <c r="T332" s="73" t="n">
        <v>43132</v>
      </c>
      <c r="U332" s="73" t="n">
        <v>46789</v>
      </c>
      <c r="V332" s="73" t="n"/>
      <c r="W332" s="69" t="n"/>
      <c r="X332" s="69" t="inlineStr">
        <is>
          <t>Current</t>
        </is>
      </c>
      <c r="Y332" s="68" t="n"/>
      <c r="Z332" s="69" t="inlineStr">
        <is>
          <t>No Defeasance Occurred</t>
        </is>
      </c>
      <c r="AA332" s="69" t="inlineStr">
        <is>
          <t>Yes</t>
        </is>
      </c>
      <c r="AB332" s="69" t="inlineStr">
        <is>
          <t>Never special serv</t>
        </is>
      </c>
      <c r="AC332" s="73" t="n"/>
      <c r="AD332" s="69" t="n"/>
      <c r="AE332" s="69" t="n"/>
      <c r="AF332" s="69" t="inlineStr">
        <is>
          <t>AZ</t>
        </is>
      </c>
      <c r="AG332" s="69" t="inlineStr">
        <is>
          <t>Gilbert</t>
        </is>
      </c>
      <c r="AH332" s="69" t="inlineStr">
        <is>
          <t>Phoenix-Mesa-Chandler, AZ</t>
        </is>
      </c>
      <c r="AI332" s="69" t="inlineStr">
        <is>
          <t>West / Mountain</t>
        </is>
      </c>
      <c r="AJ332" s="69" t="inlineStr">
        <is>
          <t>OF</t>
        </is>
      </c>
      <c r="AK332" s="69" t="inlineStr">
        <is>
          <t>Suburban</t>
        </is>
      </c>
      <c r="AL332" s="68" t="n">
        <v>1</v>
      </c>
      <c r="AM332" s="68" t="n"/>
      <c r="AN332" s="68" t="n">
        <v>180480</v>
      </c>
      <c r="AO332" s="69" t="inlineStr">
        <is>
          <t>1998</t>
        </is>
      </c>
      <c r="AP332" s="70" t="n">
        <v>2017</v>
      </c>
      <c r="AQ332" s="74" t="n">
        <v>1.88</v>
      </c>
      <c r="AR332" s="74" t="n">
        <v>2.66</v>
      </c>
      <c r="AS332" s="74" t="n">
        <v>60.6</v>
      </c>
      <c r="AT332" s="74" t="n">
        <v>60.57</v>
      </c>
      <c r="AU332" s="74" t="n">
        <v>60.6</v>
      </c>
      <c r="AV332" s="74" t="n">
        <v>8.667582485000001</v>
      </c>
      <c r="AW332" s="74" t="n">
        <v>10.519058501</v>
      </c>
      <c r="AX332" s="75" t="n">
        <v>100</v>
      </c>
      <c r="AY332" s="71" t="n">
        <v>41850000</v>
      </c>
      <c r="AZ332" s="71" t="n">
        <v>41850000</v>
      </c>
      <c r="BA332" s="71" t="n">
        <v>2197232.16</v>
      </c>
      <c r="BB332" s="71" t="n">
        <v>776028.34</v>
      </c>
      <c r="BC332" s="69" t="inlineStr">
        <is>
          <t>Acquisition</t>
        </is>
      </c>
      <c r="BD332" s="69" t="inlineStr">
        <is>
          <t>N</t>
        </is>
      </c>
      <c r="BE332" s="71" t="n"/>
      <c r="BF332" s="71" t="n"/>
      <c r="BG332" s="71" t="n"/>
      <c r="BH332" s="71" t="n">
        <v>0</v>
      </c>
      <c r="BI332" s="71" t="n">
        <v>0</v>
      </c>
      <c r="BJ332" s="69" t="inlineStr">
        <is>
          <t>N</t>
        </is>
      </c>
      <c r="BK332" s="69" t="inlineStr">
        <is>
          <t>GoDaddy.com LLC</t>
        </is>
      </c>
      <c r="BL332" s="75" t="n">
        <v>100</v>
      </c>
      <c r="BM332" s="73" t="n">
        <v>46752</v>
      </c>
      <c r="BN332" s="69" t="inlineStr">
        <is>
          <t>Mazher Papar</t>
        </is>
      </c>
      <c r="BO332" s="69" t="inlineStr">
        <is>
          <t>Ladder Capital Finance</t>
        </is>
      </c>
      <c r="BP332" s="69" t="inlineStr">
        <is>
          <t>Midland Loan Services</t>
        </is>
      </c>
      <c r="BQ332" s="69" t="inlineStr">
        <is>
          <t>Midland Loan Services</t>
        </is>
      </c>
      <c r="BR332" s="69" t="n"/>
      <c r="BS332" s="73" t="n">
        <v>46276</v>
      </c>
      <c r="BU332" s="76">
        <f>IF($C332="","",IFERROR(INDEX(dmName,MATCH($C332,dmID,0)),"Unmapped"))</f>
        <v/>
      </c>
      <c r="BV332" s="76">
        <f>IF($C332="","",IFERROR(INDEX(dmEntity,MATCH($C332,dmID,0)),"Unmapped"))</f>
        <v/>
      </c>
      <c r="BW332" s="77">
        <f>IF($C332="","",IFERROR(INDEX(dmVintage,MATCH($C332,dmID,0)),""))</f>
        <v/>
      </c>
      <c r="BX332" s="78">
        <f>IFERROR(INDEX(dmInclude,MATCH($C332,dmID,0)),0)</f>
        <v/>
      </c>
      <c r="BY332" s="78">
        <f>IF(N($I332)&gt;0,1,0)</f>
        <v/>
      </c>
      <c r="BZ332" s="76">
        <f>IF($AJ332="","Other / Leased Fee",IFERROR(INDEX(mapPTGroup,MATCH(LEFT(TRIM($AJ332),2),mapPTCode,0)),"Other / Leased Fee"))</f>
        <v/>
      </c>
      <c r="CA332" s="76">
        <f>IF(TRIM($AF332&amp;"")="","NR",LEFT(TRIM($AF332),2))</f>
        <v/>
      </c>
      <c r="CB332" s="76">
        <f>IFERROR(LOOKUP(2,1/(LEFT(TRIM($AI332&amp;""),LEN(mapRegion))=mapRegion),mapRegion),"Not Reported")</f>
        <v/>
      </c>
      <c r="CC332" s="76">
        <f>IF($BY332=0,"",IF(TRIM($W332&amp;"")="REO","REO",IF(TRIM($W332&amp;"")="FC","Foreclosure",IF(TRIM($W332&amp;"")="90+","90+ Days Delinquent",IF(TRIM($W332&amp;"")="60","60 Days Delinquent",IF(TRIM($W332&amp;"")="30","30 Days Delinquent",IF($X332="Non-Performing Matured Balloon","Non-Performing Matured Balloon",IF(OR($X332="Late Payment But Less Than 30 Days Delinquent",LEFT($X332&amp;"",20)="Payment Not Received"),"Late / In Grace (&lt;30 Days)",IF($X332="Performing Matured Balloon","Performing Matured Balloon","Current")))))))))</f>
        <v/>
      </c>
      <c r="CD332" s="78">
        <f>IF(OR($CC332="REO",$CC332="Foreclosure",$CC332="90+ Days Delinquent",$CC332="60 Days Delinquent",$CC332="30 Days Delinquent",$CC332="Non-Performing Matured Balloon"),1,0)</f>
        <v/>
      </c>
      <c r="CE332" s="76">
        <f>IF($AB332="Currently special serv","Currently Specially Serviced",IF($AB332="Returned to master serv","Previously Specially Serviced","Never Specially Serviced"))</f>
        <v/>
      </c>
      <c r="CF332" s="78">
        <f>IF($CE332="Currently Specially Serviced",1,0)</f>
        <v/>
      </c>
      <c r="CG332" s="76">
        <f>IF($AA332="Yes","Currently on Watchlist",IF($AA332="Previously","Previously on Watchlist","Never on Watchlist"))</f>
        <v/>
      </c>
      <c r="CH332" s="78">
        <f>IF($CG332="Currently on Watchlist",1,0)</f>
        <v/>
      </c>
      <c r="CI332" s="76">
        <f>IF($Z332="Full Defeasance","Fully Defeased",IF($Z332="Portion Of Loan Previously Defeased","Partially Defeased",IF($Z332="Defeasance Not Allowable","Not Defeased (Not Permitted)","Not Defeased")))</f>
        <v/>
      </c>
      <c r="CJ332" s="78">
        <f>IF($CI332="Fully Defeased",1,0)</f>
        <v/>
      </c>
      <c r="CK332" s="76">
        <f>IF($R332="IO","Full IO",IF(LEFT($R332&amp;"",7)="IO then","Partial IO","Amortizing"))</f>
        <v/>
      </c>
      <c r="CL332" s="78">
        <f>IF($CK332="Full IO",1,0)</f>
        <v/>
      </c>
      <c r="CM332" s="78">
        <f>IF($CK332="Partial IO",1,0)</f>
        <v/>
      </c>
      <c r="CN332" s="76">
        <f>IF(LEFT($F332&amp;"",10)="SPLIT_LOAN","Pari Passu Split","Standalone")</f>
        <v/>
      </c>
      <c r="CO332" s="78">
        <f>IF($CN332="Pari Passu Split",1,0)</f>
        <v/>
      </c>
      <c r="CP332" s="77">
        <f>IF(ISNUMBER($T332),YEAR($T332),"")</f>
        <v/>
      </c>
      <c r="CQ332" s="79">
        <f>IF(ISNUMBER($V332),$V332,IF(ISNUMBER($U332),$U332,""))</f>
        <v/>
      </c>
      <c r="CR332" s="77">
        <f>IF(ISNUMBER($CQ332),YEAR($CQ332),"")</f>
        <v/>
      </c>
      <c r="CS332" s="78">
        <f>IF(ISNUMBER($M332),MAX(0,$M332),IF(TRIM($M332&amp;"")="matured",0,""))</f>
        <v/>
      </c>
      <c r="CT332" s="78">
        <f>IF(AND(ISNUMBER($CS332),N($CS332)&lt;=mMatWindow),1,0)</f>
        <v/>
      </c>
      <c r="CU332" s="80">
        <f>IF(ISNUMBER($J332),$J332/100,"")</f>
        <v/>
      </c>
      <c r="CV332" s="81">
        <f>IF(ISNUMBER($AQ332),$AQ332,"")</f>
        <v/>
      </c>
      <c r="CW332" s="81">
        <f>IF(ISNUMBER($AR332),$AR332,"")</f>
        <v/>
      </c>
      <c r="CX332" s="82">
        <f>IF(ISNUMBER($AS332),$AS332/100,"")</f>
        <v/>
      </c>
      <c r="CY332" s="82">
        <f>IF(ISNUMBER($AT332),$AT332/100,"")</f>
        <v/>
      </c>
      <c r="CZ332" s="82">
        <f>IF(ISNUMBER($AU332),$AU332/100,"")</f>
        <v/>
      </c>
      <c r="DA332" s="82">
        <f>IF(ISNUMBER($AV332),$AV332/100,"")</f>
        <v/>
      </c>
      <c r="DB332" s="82">
        <f>IF(ISNUMBER($AW332),$AW332/100,"")</f>
        <v/>
      </c>
      <c r="DC332" s="82">
        <f>IF(ISNUMBER($AX332),$AX332/100,"")</f>
        <v/>
      </c>
      <c r="DD332" s="77">
        <f>IFERROR(VALUE(LEFT(TRIM($AO332&amp;""),4)),"")</f>
        <v/>
      </c>
      <c r="DE332" s="78">
        <f>IF(AND($BY332=1,$BX332=1,OR(fDeal="All Deals",$BU332=fDeal),OR(fEntity="All Entities",$BV332=fEntity),OR(fPType="All Property Types",$BZ332=fPType),OR(fDefeased="Include",$CJ332=0)),1,0)</f>
        <v/>
      </c>
      <c r="DF332" s="83">
        <f>$DE332*N($I332)</f>
        <v/>
      </c>
      <c r="DG332" s="78">
        <f>IF($DE332=1,IF(COUNTIFS($F$8:$F332,$F332,$DE$8:$DE332,1)=1,1,0),0)</f>
        <v/>
      </c>
      <c r="DH332" s="83">
        <f>IF($DG332=1,SUMIFS($DF$8:$DF$1600,$F$8:$F$1600,$F332),0)</f>
        <v/>
      </c>
      <c r="DI332" s="78">
        <f>IF($DG332=1,COUNTIFS($F$8:$F$1600,$F332,$DE$8:$DE$1600,1),0)</f>
        <v/>
      </c>
      <c r="DJ332" s="84">
        <f>IF($DG332=1,$DH332+(100000-ROW())/mTieBreak,0)</f>
        <v/>
      </c>
    </row>
    <row r="333">
      <c r="B333" s="68" t="n">
        <v>14</v>
      </c>
      <c r="C333" s="69" t="inlineStr">
        <is>
          <t>UBS18C08</t>
        </is>
      </c>
      <c r="D333" s="69" t="inlineStr">
        <is>
          <t>14.000</t>
        </is>
      </c>
      <c r="E333" s="69" t="inlineStr">
        <is>
          <t>Harford Village MHC</t>
        </is>
      </c>
      <c r="F333" s="69" t="inlineStr">
        <is>
          <t>LNUBS18C08-14.000</t>
        </is>
      </c>
      <c r="G333" s="70" t="n"/>
      <c r="H333" s="71" t="n">
        <v>23500000</v>
      </c>
      <c r="I333" s="71" t="n">
        <v>21671431.1000045</v>
      </c>
      <c r="J333" s="72" t="n">
        <v>4.565</v>
      </c>
      <c r="K333" s="69" t="inlineStr">
        <is>
          <t>Fixed rate</t>
        </is>
      </c>
      <c r="L333" s="68" t="n">
        <v>120</v>
      </c>
      <c r="M333" s="68" t="n">
        <v>16</v>
      </c>
      <c r="N333" s="68" t="n">
        <v>408</v>
      </c>
      <c r="O333" s="68" t="n">
        <v>48</v>
      </c>
      <c r="P333" s="68" t="n">
        <v>0</v>
      </c>
      <c r="Q333" s="68" t="n">
        <v>104</v>
      </c>
      <c r="R333" s="69" t="inlineStr">
        <is>
          <t>IO then Amort</t>
        </is>
      </c>
      <c r="S333" s="69" t="inlineStr">
        <is>
          <t>No</t>
        </is>
      </c>
      <c r="T333" s="73" t="n">
        <v>43101</v>
      </c>
      <c r="U333" s="73" t="n">
        <v>46758</v>
      </c>
      <c r="V333" s="73" t="n"/>
      <c r="W333" s="69" t="n"/>
      <c r="X333" s="69" t="inlineStr">
        <is>
          <t>Current</t>
        </is>
      </c>
      <c r="Y333" s="68" t="n"/>
      <c r="Z333" s="69" t="inlineStr">
        <is>
          <t>No Defeasance Occurred</t>
        </is>
      </c>
      <c r="AA333" s="69" t="n"/>
      <c r="AB333" s="69" t="inlineStr">
        <is>
          <t>Never special serv</t>
        </is>
      </c>
      <c r="AC333" s="73" t="n"/>
      <c r="AD333" s="69" t="n"/>
      <c r="AE333" s="69" t="n"/>
      <c r="AF333" s="69" t="inlineStr">
        <is>
          <t>MD</t>
        </is>
      </c>
      <c r="AG333" s="69" t="inlineStr">
        <is>
          <t>Edgewood</t>
        </is>
      </c>
      <c r="AH333" s="69" t="inlineStr">
        <is>
          <t>Baltimore-Columbia-Towson, MD</t>
        </is>
      </c>
      <c r="AI333" s="69" t="inlineStr">
        <is>
          <t>South / Atlantic</t>
        </is>
      </c>
      <c r="AJ333" s="69" t="inlineStr">
        <is>
          <t>MH</t>
        </is>
      </c>
      <c r="AK333" s="69" t="n"/>
      <c r="AL333" s="68" t="n">
        <v>1</v>
      </c>
      <c r="AM333" s="68" t="n">
        <v>482</v>
      </c>
      <c r="AN333" s="68" t="n"/>
      <c r="AO333" s="69" t="inlineStr">
        <is>
          <t>1974</t>
        </is>
      </c>
      <c r="AP333" s="70" t="n">
        <v>1974</v>
      </c>
      <c r="AQ333" s="74" t="n">
        <v>1.25</v>
      </c>
      <c r="AR333" s="74" t="n">
        <v>2.03</v>
      </c>
      <c r="AS333" s="74" t="n">
        <v>65.5</v>
      </c>
      <c r="AT333" s="74" t="n">
        <v>60.43</v>
      </c>
      <c r="AU333" s="74" t="n">
        <v>58.8</v>
      </c>
      <c r="AV333" s="74" t="n">
        <v>7.658902511</v>
      </c>
      <c r="AW333" s="74" t="n">
        <v>12.539177027</v>
      </c>
      <c r="AX333" s="75" t="n">
        <v>99</v>
      </c>
      <c r="AY333" s="71" t="n">
        <v>35860000</v>
      </c>
      <c r="AZ333" s="71" t="n">
        <v>35860000</v>
      </c>
      <c r="BA333" s="71" t="n">
        <v>1799842.09</v>
      </c>
      <c r="BB333" s="71" t="n">
        <v>2918556.83</v>
      </c>
      <c r="BC333" s="69" t="inlineStr">
        <is>
          <t>Acquisition</t>
        </is>
      </c>
      <c r="BD333" s="69" t="inlineStr">
        <is>
          <t>N</t>
        </is>
      </c>
      <c r="BE333" s="71" t="n"/>
      <c r="BF333" s="71" t="n"/>
      <c r="BG333" s="71" t="n"/>
      <c r="BH333" s="71" t="n">
        <v>0</v>
      </c>
      <c r="BI333" s="71" t="n">
        <v>0</v>
      </c>
      <c r="BJ333" s="69" t="inlineStr">
        <is>
          <t>N</t>
        </is>
      </c>
      <c r="BK333" s="69" t="n"/>
      <c r="BL333" s="75" t="n"/>
      <c r="BM333" s="73" t="n"/>
      <c r="BN333" s="69" t="inlineStr">
        <is>
          <t>Ross H. Partrich</t>
        </is>
      </c>
      <c r="BO333" s="69" t="inlineStr">
        <is>
          <t>Ladder Capital Finance</t>
        </is>
      </c>
      <c r="BP333" s="69" t="inlineStr">
        <is>
          <t>Midland Loan Services</t>
        </is>
      </c>
      <c r="BQ333" s="69" t="inlineStr">
        <is>
          <t>Midland Loan Services</t>
        </is>
      </c>
      <c r="BR333" s="69" t="n"/>
      <c r="BS333" s="73" t="n">
        <v>46276</v>
      </c>
      <c r="BU333" s="76">
        <f>IF($C333="","",IFERROR(INDEX(dmName,MATCH($C333,dmID,0)),"Unmapped"))</f>
        <v/>
      </c>
      <c r="BV333" s="76">
        <f>IF($C333="","",IFERROR(INDEX(dmEntity,MATCH($C333,dmID,0)),"Unmapped"))</f>
        <v/>
      </c>
      <c r="BW333" s="77">
        <f>IF($C333="","",IFERROR(INDEX(dmVintage,MATCH($C333,dmID,0)),""))</f>
        <v/>
      </c>
      <c r="BX333" s="78">
        <f>IFERROR(INDEX(dmInclude,MATCH($C333,dmID,0)),0)</f>
        <v/>
      </c>
      <c r="BY333" s="78">
        <f>IF(N($I333)&gt;0,1,0)</f>
        <v/>
      </c>
      <c r="BZ333" s="76">
        <f>IF($AJ333="","Other / Leased Fee",IFERROR(INDEX(mapPTGroup,MATCH(LEFT(TRIM($AJ333),2),mapPTCode,0)),"Other / Leased Fee"))</f>
        <v/>
      </c>
      <c r="CA333" s="76">
        <f>IF(TRIM($AF333&amp;"")="","NR",LEFT(TRIM($AF333),2))</f>
        <v/>
      </c>
      <c r="CB333" s="76">
        <f>IFERROR(LOOKUP(2,1/(LEFT(TRIM($AI333&amp;""),LEN(mapRegion))=mapRegion),mapRegion),"Not Reported")</f>
        <v/>
      </c>
      <c r="CC333" s="76">
        <f>IF($BY333=0,"",IF(TRIM($W333&amp;"")="REO","REO",IF(TRIM($W333&amp;"")="FC","Foreclosure",IF(TRIM($W333&amp;"")="90+","90+ Days Delinquent",IF(TRIM($W333&amp;"")="60","60 Days Delinquent",IF(TRIM($W333&amp;"")="30","30 Days Delinquent",IF($X333="Non-Performing Matured Balloon","Non-Performing Matured Balloon",IF(OR($X333="Late Payment But Less Than 30 Days Delinquent",LEFT($X333&amp;"",20)="Payment Not Received"),"Late / In Grace (&lt;30 Days)",IF($X333="Performing Matured Balloon","Performing Matured Balloon","Current")))))))))</f>
        <v/>
      </c>
      <c r="CD333" s="78">
        <f>IF(OR($CC333="REO",$CC333="Foreclosure",$CC333="90+ Days Delinquent",$CC333="60 Days Delinquent",$CC333="30 Days Delinquent",$CC333="Non-Performing Matured Balloon"),1,0)</f>
        <v/>
      </c>
      <c r="CE333" s="76">
        <f>IF($AB333="Currently special serv","Currently Specially Serviced",IF($AB333="Returned to master serv","Previously Specially Serviced","Never Specially Serviced"))</f>
        <v/>
      </c>
      <c r="CF333" s="78">
        <f>IF($CE333="Currently Specially Serviced",1,0)</f>
        <v/>
      </c>
      <c r="CG333" s="76">
        <f>IF($AA333="Yes","Currently on Watchlist",IF($AA333="Previously","Previously on Watchlist","Never on Watchlist"))</f>
        <v/>
      </c>
      <c r="CH333" s="78">
        <f>IF($CG333="Currently on Watchlist",1,0)</f>
        <v/>
      </c>
      <c r="CI333" s="76">
        <f>IF($Z333="Full Defeasance","Fully Defeased",IF($Z333="Portion Of Loan Previously Defeased","Partially Defeased",IF($Z333="Defeasance Not Allowable","Not Defeased (Not Permitted)","Not Defeased")))</f>
        <v/>
      </c>
      <c r="CJ333" s="78">
        <f>IF($CI333="Fully Defeased",1,0)</f>
        <v/>
      </c>
      <c r="CK333" s="76">
        <f>IF($R333="IO","Full IO",IF(LEFT($R333&amp;"",7)="IO then","Partial IO","Amortizing"))</f>
        <v/>
      </c>
      <c r="CL333" s="78">
        <f>IF($CK333="Full IO",1,0)</f>
        <v/>
      </c>
      <c r="CM333" s="78">
        <f>IF($CK333="Partial IO",1,0)</f>
        <v/>
      </c>
      <c r="CN333" s="76">
        <f>IF(LEFT($F333&amp;"",10)="SPLIT_LOAN","Pari Passu Split","Standalone")</f>
        <v/>
      </c>
      <c r="CO333" s="78">
        <f>IF($CN333="Pari Passu Split",1,0)</f>
        <v/>
      </c>
      <c r="CP333" s="77">
        <f>IF(ISNUMBER($T333),YEAR($T333),"")</f>
        <v/>
      </c>
      <c r="CQ333" s="79">
        <f>IF(ISNUMBER($V333),$V333,IF(ISNUMBER($U333),$U333,""))</f>
        <v/>
      </c>
      <c r="CR333" s="77">
        <f>IF(ISNUMBER($CQ333),YEAR($CQ333),"")</f>
        <v/>
      </c>
      <c r="CS333" s="78">
        <f>IF(ISNUMBER($M333),MAX(0,$M333),IF(TRIM($M333&amp;"")="matured",0,""))</f>
        <v/>
      </c>
      <c r="CT333" s="78">
        <f>IF(AND(ISNUMBER($CS333),N($CS333)&lt;=mMatWindow),1,0)</f>
        <v/>
      </c>
      <c r="CU333" s="80">
        <f>IF(ISNUMBER($J333),$J333/100,"")</f>
        <v/>
      </c>
      <c r="CV333" s="81">
        <f>IF(ISNUMBER($AQ333),$AQ333,"")</f>
        <v/>
      </c>
      <c r="CW333" s="81">
        <f>IF(ISNUMBER($AR333),$AR333,"")</f>
        <v/>
      </c>
      <c r="CX333" s="82">
        <f>IF(ISNUMBER($AS333),$AS333/100,"")</f>
        <v/>
      </c>
      <c r="CY333" s="82">
        <f>IF(ISNUMBER($AT333),$AT333/100,"")</f>
        <v/>
      </c>
      <c r="CZ333" s="82">
        <f>IF(ISNUMBER($AU333),$AU333/100,"")</f>
        <v/>
      </c>
      <c r="DA333" s="82">
        <f>IF(ISNUMBER($AV333),$AV333/100,"")</f>
        <v/>
      </c>
      <c r="DB333" s="82">
        <f>IF(ISNUMBER($AW333),$AW333/100,"")</f>
        <v/>
      </c>
      <c r="DC333" s="82">
        <f>IF(ISNUMBER($AX333),$AX333/100,"")</f>
        <v/>
      </c>
      <c r="DD333" s="77">
        <f>IFERROR(VALUE(LEFT(TRIM($AO333&amp;""),4)),"")</f>
        <v/>
      </c>
      <c r="DE333" s="78">
        <f>IF(AND($BY333=1,$BX333=1,OR(fDeal="All Deals",$BU333=fDeal),OR(fEntity="All Entities",$BV333=fEntity),OR(fPType="All Property Types",$BZ333=fPType),OR(fDefeased="Include",$CJ333=0)),1,0)</f>
        <v/>
      </c>
      <c r="DF333" s="83">
        <f>$DE333*N($I333)</f>
        <v/>
      </c>
      <c r="DG333" s="78">
        <f>IF($DE333=1,IF(COUNTIFS($F$8:$F333,$F333,$DE$8:$DE333,1)=1,1,0),0)</f>
        <v/>
      </c>
      <c r="DH333" s="83">
        <f>IF($DG333=1,SUMIFS($DF$8:$DF$1600,$F$8:$F$1600,$F333),0)</f>
        <v/>
      </c>
      <c r="DI333" s="78">
        <f>IF($DG333=1,COUNTIFS($F$8:$F$1600,$F333,$DE$8:$DE$1600,1),0)</f>
        <v/>
      </c>
      <c r="DJ333" s="84">
        <f>IF($DG333=1,$DH333+(100000-ROW())/mTieBreak,0)</f>
        <v/>
      </c>
    </row>
    <row r="334">
      <c r="B334" s="68" t="n">
        <v>15</v>
      </c>
      <c r="C334" s="69" t="inlineStr">
        <is>
          <t>UBS18C08</t>
        </is>
      </c>
      <c r="D334" s="69" t="inlineStr">
        <is>
          <t>15.000</t>
        </is>
      </c>
      <c r="E334" s="69" t="inlineStr">
        <is>
          <t>The Offices at Sam Houston</t>
        </is>
      </c>
      <c r="F334" s="69" t="inlineStr">
        <is>
          <t>LNUBS18C08-15.000</t>
        </is>
      </c>
      <c r="G334" s="70" t="n"/>
      <c r="H334" s="71" t="n">
        <v>22000000</v>
      </c>
      <c r="I334" s="71" t="n">
        <v>19835724.059998</v>
      </c>
      <c r="J334" s="72" t="n">
        <v>4.47</v>
      </c>
      <c r="K334" s="69" t="inlineStr">
        <is>
          <t>Fixed rate</t>
        </is>
      </c>
      <c r="L334" s="68" t="n">
        <v>120</v>
      </c>
      <c r="M334" s="68" t="n">
        <v>16</v>
      </c>
      <c r="N334" s="68" t="n">
        <v>396</v>
      </c>
      <c r="O334" s="68" t="n">
        <v>36</v>
      </c>
      <c r="P334" s="68" t="n">
        <v>0</v>
      </c>
      <c r="Q334" s="68" t="n">
        <v>104</v>
      </c>
      <c r="R334" s="69" t="inlineStr">
        <is>
          <t>IO then Amort</t>
        </is>
      </c>
      <c r="S334" s="69" t="inlineStr">
        <is>
          <t>No</t>
        </is>
      </c>
      <c r="T334" s="73" t="n">
        <v>43101</v>
      </c>
      <c r="U334" s="73" t="n">
        <v>46753</v>
      </c>
      <c r="V334" s="73" t="n"/>
      <c r="W334" s="69" t="n"/>
      <c r="X334" s="69" t="inlineStr">
        <is>
          <t>Current</t>
        </is>
      </c>
      <c r="Y334" s="68" t="n"/>
      <c r="Z334" s="69" t="inlineStr">
        <is>
          <t>Full Defeasance</t>
        </is>
      </c>
      <c r="AA334" s="69" t="inlineStr">
        <is>
          <t>Previously</t>
        </is>
      </c>
      <c r="AB334" s="69" t="inlineStr">
        <is>
          <t>Never special serv</t>
        </is>
      </c>
      <c r="AC334" s="73" t="n"/>
      <c r="AD334" s="69" t="n"/>
      <c r="AE334" s="69" t="n"/>
      <c r="AF334" s="69" t="inlineStr">
        <is>
          <t>TX</t>
        </is>
      </c>
      <c r="AG334" s="69" t="inlineStr">
        <is>
          <t>Houston</t>
        </is>
      </c>
      <c r="AH334" s="69" t="inlineStr">
        <is>
          <t>Houston-Pasadena-The Woodlands, TX</t>
        </is>
      </c>
      <c r="AI334" s="69" t="inlineStr">
        <is>
          <t>South / Central West</t>
        </is>
      </c>
      <c r="AJ334" s="69" t="inlineStr">
        <is>
          <t>OF</t>
        </is>
      </c>
      <c r="AK334" s="69" t="inlineStr">
        <is>
          <t>Suburban</t>
        </is>
      </c>
      <c r="AL334" s="68" t="n">
        <v>1</v>
      </c>
      <c r="AM334" s="68" t="n"/>
      <c r="AN334" s="68" t="n">
        <v>108498</v>
      </c>
      <c r="AO334" s="69" t="inlineStr">
        <is>
          <t>2014-2015</t>
        </is>
      </c>
      <c r="AP334" s="70" t="n">
        <v>2015</v>
      </c>
      <c r="AQ334" s="74" t="n">
        <v>1.61</v>
      </c>
      <c r="AR334" s="74" t="n">
        <v>1.79</v>
      </c>
      <c r="AS334" s="74" t="n">
        <v>63.8</v>
      </c>
      <c r="AT334" s="74" t="n">
        <v>57.49</v>
      </c>
      <c r="AU334" s="74" t="n">
        <v>55.8</v>
      </c>
      <c r="AV334" s="74" t="n">
        <v>9.733305955000001</v>
      </c>
      <c r="AW334" s="74" t="n">
        <v>12.07184816</v>
      </c>
      <c r="AX334" s="75" t="n">
        <v>100</v>
      </c>
      <c r="AY334" s="71" t="n">
        <v>34500000</v>
      </c>
      <c r="AZ334" s="71" t="n">
        <v>34500000</v>
      </c>
      <c r="BA334" s="71" t="n">
        <v>2141327.31</v>
      </c>
      <c r="BB334" s="71" t="n">
        <v>2288175.58</v>
      </c>
      <c r="BC334" s="69" t="inlineStr">
        <is>
          <t>Refinance</t>
        </is>
      </c>
      <c r="BD334" s="69" t="inlineStr">
        <is>
          <t>N</t>
        </is>
      </c>
      <c r="BE334" s="71" t="n"/>
      <c r="BF334" s="71" t="n"/>
      <c r="BG334" s="71" t="n"/>
      <c r="BH334" s="71" t="n">
        <v>0</v>
      </c>
      <c r="BI334" s="71" t="n">
        <v>0</v>
      </c>
      <c r="BJ334" s="69" t="inlineStr">
        <is>
          <t>N</t>
        </is>
      </c>
      <c r="BK334" s="69" t="inlineStr">
        <is>
          <t>Catepillar Inc.</t>
        </is>
      </c>
      <c r="BL334" s="75" t="n">
        <v>88.93000000000001</v>
      </c>
      <c r="BM334" s="73" t="n">
        <v>47542</v>
      </c>
      <c r="BN334" s="69" t="inlineStr">
        <is>
          <t>Chris P. D'Agostino</t>
        </is>
      </c>
      <c r="BO334" s="69" t="inlineStr">
        <is>
          <t>CIBC</t>
        </is>
      </c>
      <c r="BP334" s="69" t="inlineStr">
        <is>
          <t>Midland Loan Services</t>
        </is>
      </c>
      <c r="BQ334" s="69" t="inlineStr">
        <is>
          <t>Midland Loan Services</t>
        </is>
      </c>
      <c r="BR334" s="69" t="n"/>
      <c r="BS334" s="73" t="n">
        <v>46276</v>
      </c>
      <c r="BU334" s="76">
        <f>IF($C334="","",IFERROR(INDEX(dmName,MATCH($C334,dmID,0)),"Unmapped"))</f>
        <v/>
      </c>
      <c r="BV334" s="76">
        <f>IF($C334="","",IFERROR(INDEX(dmEntity,MATCH($C334,dmID,0)),"Unmapped"))</f>
        <v/>
      </c>
      <c r="BW334" s="77">
        <f>IF($C334="","",IFERROR(INDEX(dmVintage,MATCH($C334,dmID,0)),""))</f>
        <v/>
      </c>
      <c r="BX334" s="78">
        <f>IFERROR(INDEX(dmInclude,MATCH($C334,dmID,0)),0)</f>
        <v/>
      </c>
      <c r="BY334" s="78">
        <f>IF(N($I334)&gt;0,1,0)</f>
        <v/>
      </c>
      <c r="BZ334" s="76">
        <f>IF($AJ334="","Other / Leased Fee",IFERROR(INDEX(mapPTGroup,MATCH(LEFT(TRIM($AJ334),2),mapPTCode,0)),"Other / Leased Fee"))</f>
        <v/>
      </c>
      <c r="CA334" s="76">
        <f>IF(TRIM($AF334&amp;"")="","NR",LEFT(TRIM($AF334),2))</f>
        <v/>
      </c>
      <c r="CB334" s="76">
        <f>IFERROR(LOOKUP(2,1/(LEFT(TRIM($AI334&amp;""),LEN(mapRegion))=mapRegion),mapRegion),"Not Reported")</f>
        <v/>
      </c>
      <c r="CC334" s="76">
        <f>IF($BY334=0,"",IF(TRIM($W334&amp;"")="REO","REO",IF(TRIM($W334&amp;"")="FC","Foreclosure",IF(TRIM($W334&amp;"")="90+","90+ Days Delinquent",IF(TRIM($W334&amp;"")="60","60 Days Delinquent",IF(TRIM($W334&amp;"")="30","30 Days Delinquent",IF($X334="Non-Performing Matured Balloon","Non-Performing Matured Balloon",IF(OR($X334="Late Payment But Less Than 30 Days Delinquent",LEFT($X334&amp;"",20)="Payment Not Received"),"Late / In Grace (&lt;30 Days)",IF($X334="Performing Matured Balloon","Performing Matured Balloon","Current")))))))))</f>
        <v/>
      </c>
      <c r="CD334" s="78">
        <f>IF(OR($CC334="REO",$CC334="Foreclosure",$CC334="90+ Days Delinquent",$CC334="60 Days Delinquent",$CC334="30 Days Delinquent",$CC334="Non-Performing Matured Balloon"),1,0)</f>
        <v/>
      </c>
      <c r="CE334" s="76">
        <f>IF($AB334="Currently special serv","Currently Specially Serviced",IF($AB334="Returned to master serv","Previously Specially Serviced","Never Specially Serviced"))</f>
        <v/>
      </c>
      <c r="CF334" s="78">
        <f>IF($CE334="Currently Specially Serviced",1,0)</f>
        <v/>
      </c>
      <c r="CG334" s="76">
        <f>IF($AA334="Yes","Currently on Watchlist",IF($AA334="Previously","Previously on Watchlist","Never on Watchlist"))</f>
        <v/>
      </c>
      <c r="CH334" s="78">
        <f>IF($CG334="Currently on Watchlist",1,0)</f>
        <v/>
      </c>
      <c r="CI334" s="76">
        <f>IF($Z334="Full Defeasance","Fully Defeased",IF($Z334="Portion Of Loan Previously Defeased","Partially Defeased",IF($Z334="Defeasance Not Allowable","Not Defeased (Not Permitted)","Not Defeased")))</f>
        <v/>
      </c>
      <c r="CJ334" s="78">
        <f>IF($CI334="Fully Defeased",1,0)</f>
        <v/>
      </c>
      <c r="CK334" s="76">
        <f>IF($R334="IO","Full IO",IF(LEFT($R334&amp;"",7)="IO then","Partial IO","Amortizing"))</f>
        <v/>
      </c>
      <c r="CL334" s="78">
        <f>IF($CK334="Full IO",1,0)</f>
        <v/>
      </c>
      <c r="CM334" s="78">
        <f>IF($CK334="Partial IO",1,0)</f>
        <v/>
      </c>
      <c r="CN334" s="76">
        <f>IF(LEFT($F334&amp;"",10)="SPLIT_LOAN","Pari Passu Split","Standalone")</f>
        <v/>
      </c>
      <c r="CO334" s="78">
        <f>IF($CN334="Pari Passu Split",1,0)</f>
        <v/>
      </c>
      <c r="CP334" s="77">
        <f>IF(ISNUMBER($T334),YEAR($T334),"")</f>
        <v/>
      </c>
      <c r="CQ334" s="79">
        <f>IF(ISNUMBER($V334),$V334,IF(ISNUMBER($U334),$U334,""))</f>
        <v/>
      </c>
      <c r="CR334" s="77">
        <f>IF(ISNUMBER($CQ334),YEAR($CQ334),"")</f>
        <v/>
      </c>
      <c r="CS334" s="78">
        <f>IF(ISNUMBER($M334),MAX(0,$M334),IF(TRIM($M334&amp;"")="matured",0,""))</f>
        <v/>
      </c>
      <c r="CT334" s="78">
        <f>IF(AND(ISNUMBER($CS334),N($CS334)&lt;=mMatWindow),1,0)</f>
        <v/>
      </c>
      <c r="CU334" s="80">
        <f>IF(ISNUMBER($J334),$J334/100,"")</f>
        <v/>
      </c>
      <c r="CV334" s="81">
        <f>IF(ISNUMBER($AQ334),$AQ334,"")</f>
        <v/>
      </c>
      <c r="CW334" s="81">
        <f>IF(ISNUMBER($AR334),$AR334,"")</f>
        <v/>
      </c>
      <c r="CX334" s="82">
        <f>IF(ISNUMBER($AS334),$AS334/100,"")</f>
        <v/>
      </c>
      <c r="CY334" s="82">
        <f>IF(ISNUMBER($AT334),$AT334/100,"")</f>
        <v/>
      </c>
      <c r="CZ334" s="82">
        <f>IF(ISNUMBER($AU334),$AU334/100,"")</f>
        <v/>
      </c>
      <c r="DA334" s="82">
        <f>IF(ISNUMBER($AV334),$AV334/100,"")</f>
        <v/>
      </c>
      <c r="DB334" s="82">
        <f>IF(ISNUMBER($AW334),$AW334/100,"")</f>
        <v/>
      </c>
      <c r="DC334" s="82">
        <f>IF(ISNUMBER($AX334),$AX334/100,"")</f>
        <v/>
      </c>
      <c r="DD334" s="77">
        <f>IFERROR(VALUE(LEFT(TRIM($AO334&amp;""),4)),"")</f>
        <v/>
      </c>
      <c r="DE334" s="78">
        <f>IF(AND($BY334=1,$BX334=1,OR(fDeal="All Deals",$BU334=fDeal),OR(fEntity="All Entities",$BV334=fEntity),OR(fPType="All Property Types",$BZ334=fPType),OR(fDefeased="Include",$CJ334=0)),1,0)</f>
        <v/>
      </c>
      <c r="DF334" s="83">
        <f>$DE334*N($I334)</f>
        <v/>
      </c>
      <c r="DG334" s="78">
        <f>IF($DE334=1,IF(COUNTIFS($F$8:$F334,$F334,$DE$8:$DE334,1)=1,1,0),0)</f>
        <v/>
      </c>
      <c r="DH334" s="83">
        <f>IF($DG334=1,SUMIFS($DF$8:$DF$1600,$F$8:$F$1600,$F334),0)</f>
        <v/>
      </c>
      <c r="DI334" s="78">
        <f>IF($DG334=1,COUNTIFS($F$8:$F$1600,$F334,$DE$8:$DE$1600,1),0)</f>
        <v/>
      </c>
      <c r="DJ334" s="84">
        <f>IF($DG334=1,$DH334+(100000-ROW())/mTieBreak,0)</f>
        <v/>
      </c>
    </row>
    <row r="335">
      <c r="B335" s="68" t="n">
        <v>16</v>
      </c>
      <c r="C335" s="69" t="inlineStr">
        <is>
          <t>UBS18C08</t>
        </is>
      </c>
      <c r="D335" s="69" t="inlineStr">
        <is>
          <t>16.000</t>
        </is>
      </c>
      <c r="E335" s="69" t="inlineStr">
        <is>
          <t>Braemar Office Park</t>
        </is>
      </c>
      <c r="F335" s="69" t="inlineStr">
        <is>
          <t>LNUBS18C08-16.000</t>
        </is>
      </c>
      <c r="G335" s="70" t="n"/>
      <c r="H335" s="71" t="n">
        <v>21800000</v>
      </c>
      <c r="I335" s="71" t="n">
        <v>19147368.92999841</v>
      </c>
      <c r="J335" s="72" t="n">
        <v>4.384</v>
      </c>
      <c r="K335" s="69" t="inlineStr">
        <is>
          <t>Fixed rate</t>
        </is>
      </c>
      <c r="L335" s="68" t="n">
        <v>120</v>
      </c>
      <c r="M335" s="68" t="n">
        <v>16</v>
      </c>
      <c r="N335" s="68" t="n">
        <v>384</v>
      </c>
      <c r="O335" s="68" t="n">
        <v>24</v>
      </c>
      <c r="P335" s="68" t="n">
        <v>0</v>
      </c>
      <c r="Q335" s="68" t="n">
        <v>104</v>
      </c>
      <c r="R335" s="69" t="inlineStr">
        <is>
          <t>IO then Amort</t>
        </is>
      </c>
      <c r="S335" s="69" t="inlineStr">
        <is>
          <t>No</t>
        </is>
      </c>
      <c r="T335" s="73" t="n">
        <v>43101</v>
      </c>
      <c r="U335" s="73" t="n">
        <v>46758</v>
      </c>
      <c r="V335" s="73" t="n"/>
      <c r="W335" s="69" t="n"/>
      <c r="X335" s="69" t="inlineStr">
        <is>
          <t>Current</t>
        </is>
      </c>
      <c r="Y335" s="68" t="n"/>
      <c r="Z335" s="69" t="inlineStr">
        <is>
          <t>No Defeasance Occurred</t>
        </is>
      </c>
      <c r="AA335" s="69" t="inlineStr">
        <is>
          <t>Previously</t>
        </is>
      </c>
      <c r="AB335" s="69" t="inlineStr">
        <is>
          <t>Never special serv</t>
        </is>
      </c>
      <c r="AC335" s="73" t="n"/>
      <c r="AD335" s="69" t="n"/>
      <c r="AE335" s="69" t="n"/>
      <c r="AF335" s="69" t="inlineStr">
        <is>
          <t>MN</t>
        </is>
      </c>
      <c r="AG335" s="69" t="inlineStr">
        <is>
          <t>Edina</t>
        </is>
      </c>
      <c r="AH335" s="69" t="inlineStr">
        <is>
          <t>Minneapolis-St. Paul-Bloomington, MN-WI</t>
        </is>
      </c>
      <c r="AI335" s="69" t="inlineStr">
        <is>
          <t>Midwest / Central West</t>
        </is>
      </c>
      <c r="AJ335" s="69" t="inlineStr">
        <is>
          <t>OF</t>
        </is>
      </c>
      <c r="AK335" s="69" t="inlineStr">
        <is>
          <t>Suburban</t>
        </is>
      </c>
      <c r="AL335" s="68" t="n">
        <v>1</v>
      </c>
      <c r="AM335" s="68" t="n"/>
      <c r="AN335" s="68" t="n">
        <v>216924</v>
      </c>
      <c r="AO335" s="69" t="inlineStr">
        <is>
          <t>1981; 1983</t>
        </is>
      </c>
      <c r="AP335" s="70" t="n">
        <v>2017</v>
      </c>
      <c r="AQ335" s="74" t="n">
        <v>1.69</v>
      </c>
      <c r="AR335" s="74" t="n">
        <v>1.73</v>
      </c>
      <c r="AS335" s="74" t="n">
        <v>73.2</v>
      </c>
      <c r="AT335" s="74" t="n">
        <v>64.25</v>
      </c>
      <c r="AU335" s="74" t="n">
        <v>62.3</v>
      </c>
      <c r="AV335" s="74" t="n">
        <v>10.113898073</v>
      </c>
      <c r="AW335" s="74" t="n">
        <v>10.156934026</v>
      </c>
      <c r="AX335" s="75" t="n">
        <v>88</v>
      </c>
      <c r="AY335" s="71" t="n">
        <v>29800000</v>
      </c>
      <c r="AZ335" s="71" t="n">
        <v>29800000</v>
      </c>
      <c r="BA335" s="71" t="n">
        <v>2204829.78</v>
      </c>
      <c r="BB335" s="71" t="n">
        <v>2260099.28</v>
      </c>
      <c r="BC335" s="69" t="inlineStr">
        <is>
          <t>Refinance</t>
        </is>
      </c>
      <c r="BD335" s="69" t="inlineStr">
        <is>
          <t>N</t>
        </is>
      </c>
      <c r="BE335" s="71" t="n"/>
      <c r="BF335" s="71" t="n"/>
      <c r="BG335" s="71" t="n"/>
      <c r="BH335" s="71" t="n">
        <v>0</v>
      </c>
      <c r="BI335" s="71" t="n">
        <v>0</v>
      </c>
      <c r="BJ335" s="69" t="inlineStr">
        <is>
          <t>N</t>
        </is>
      </c>
      <c r="BK335" s="69" t="inlineStr">
        <is>
          <t>Federal Air Marshal Servic</t>
        </is>
      </c>
      <c r="BL335" s="75" t="n">
        <v>9.16</v>
      </c>
      <c r="BM335" s="73" t="n">
        <v>47149</v>
      </c>
      <c r="BN335" s="69" t="inlineStr">
        <is>
          <t>Felton Properties, Inc.</t>
        </is>
      </c>
      <c r="BO335" s="69" t="inlineStr">
        <is>
          <t>Barclays</t>
        </is>
      </c>
      <c r="BP335" s="69" t="inlineStr">
        <is>
          <t>Midland Loan Services</t>
        </is>
      </c>
      <c r="BQ335" s="69" t="inlineStr">
        <is>
          <t>Midland Loan Services</t>
        </is>
      </c>
      <c r="BR335" s="69" t="n"/>
      <c r="BS335" s="73" t="n">
        <v>46276</v>
      </c>
      <c r="BU335" s="76">
        <f>IF($C335="","",IFERROR(INDEX(dmName,MATCH($C335,dmID,0)),"Unmapped"))</f>
        <v/>
      </c>
      <c r="BV335" s="76">
        <f>IF($C335="","",IFERROR(INDEX(dmEntity,MATCH($C335,dmID,0)),"Unmapped"))</f>
        <v/>
      </c>
      <c r="BW335" s="77">
        <f>IF($C335="","",IFERROR(INDEX(dmVintage,MATCH($C335,dmID,0)),""))</f>
        <v/>
      </c>
      <c r="BX335" s="78">
        <f>IFERROR(INDEX(dmInclude,MATCH($C335,dmID,0)),0)</f>
        <v/>
      </c>
      <c r="BY335" s="78">
        <f>IF(N($I335)&gt;0,1,0)</f>
        <v/>
      </c>
      <c r="BZ335" s="76">
        <f>IF($AJ335="","Other / Leased Fee",IFERROR(INDEX(mapPTGroup,MATCH(LEFT(TRIM($AJ335),2),mapPTCode,0)),"Other / Leased Fee"))</f>
        <v/>
      </c>
      <c r="CA335" s="76">
        <f>IF(TRIM($AF335&amp;"")="","NR",LEFT(TRIM($AF335),2))</f>
        <v/>
      </c>
      <c r="CB335" s="76">
        <f>IFERROR(LOOKUP(2,1/(LEFT(TRIM($AI335&amp;""),LEN(mapRegion))=mapRegion),mapRegion),"Not Reported")</f>
        <v/>
      </c>
      <c r="CC335" s="76">
        <f>IF($BY335=0,"",IF(TRIM($W335&amp;"")="REO","REO",IF(TRIM($W335&amp;"")="FC","Foreclosure",IF(TRIM($W335&amp;"")="90+","90+ Days Delinquent",IF(TRIM($W335&amp;"")="60","60 Days Delinquent",IF(TRIM($W335&amp;"")="30","30 Days Delinquent",IF($X335="Non-Performing Matured Balloon","Non-Performing Matured Balloon",IF(OR($X335="Late Payment But Less Than 30 Days Delinquent",LEFT($X335&amp;"",20)="Payment Not Received"),"Late / In Grace (&lt;30 Days)",IF($X335="Performing Matured Balloon","Performing Matured Balloon","Current")))))))))</f>
        <v/>
      </c>
      <c r="CD335" s="78">
        <f>IF(OR($CC335="REO",$CC335="Foreclosure",$CC335="90+ Days Delinquent",$CC335="60 Days Delinquent",$CC335="30 Days Delinquent",$CC335="Non-Performing Matured Balloon"),1,0)</f>
        <v/>
      </c>
      <c r="CE335" s="76">
        <f>IF($AB335="Currently special serv","Currently Specially Serviced",IF($AB335="Returned to master serv","Previously Specially Serviced","Never Specially Serviced"))</f>
        <v/>
      </c>
      <c r="CF335" s="78">
        <f>IF($CE335="Currently Specially Serviced",1,0)</f>
        <v/>
      </c>
      <c r="CG335" s="76">
        <f>IF($AA335="Yes","Currently on Watchlist",IF($AA335="Previously","Previously on Watchlist","Never on Watchlist"))</f>
        <v/>
      </c>
      <c r="CH335" s="78">
        <f>IF($CG335="Currently on Watchlist",1,0)</f>
        <v/>
      </c>
      <c r="CI335" s="76">
        <f>IF($Z335="Full Defeasance","Fully Defeased",IF($Z335="Portion Of Loan Previously Defeased","Partially Defeased",IF($Z335="Defeasance Not Allowable","Not Defeased (Not Permitted)","Not Defeased")))</f>
        <v/>
      </c>
      <c r="CJ335" s="78">
        <f>IF($CI335="Fully Defeased",1,0)</f>
        <v/>
      </c>
      <c r="CK335" s="76">
        <f>IF($R335="IO","Full IO",IF(LEFT($R335&amp;"",7)="IO then","Partial IO","Amortizing"))</f>
        <v/>
      </c>
      <c r="CL335" s="78">
        <f>IF($CK335="Full IO",1,0)</f>
        <v/>
      </c>
      <c r="CM335" s="78">
        <f>IF($CK335="Partial IO",1,0)</f>
        <v/>
      </c>
      <c r="CN335" s="76">
        <f>IF(LEFT($F335&amp;"",10)="SPLIT_LOAN","Pari Passu Split","Standalone")</f>
        <v/>
      </c>
      <c r="CO335" s="78">
        <f>IF($CN335="Pari Passu Split",1,0)</f>
        <v/>
      </c>
      <c r="CP335" s="77">
        <f>IF(ISNUMBER($T335),YEAR($T335),"")</f>
        <v/>
      </c>
      <c r="CQ335" s="79">
        <f>IF(ISNUMBER($V335),$V335,IF(ISNUMBER($U335),$U335,""))</f>
        <v/>
      </c>
      <c r="CR335" s="77">
        <f>IF(ISNUMBER($CQ335),YEAR($CQ335),"")</f>
        <v/>
      </c>
      <c r="CS335" s="78">
        <f>IF(ISNUMBER($M335),MAX(0,$M335),IF(TRIM($M335&amp;"")="matured",0,""))</f>
        <v/>
      </c>
      <c r="CT335" s="78">
        <f>IF(AND(ISNUMBER($CS335),N($CS335)&lt;=mMatWindow),1,0)</f>
        <v/>
      </c>
      <c r="CU335" s="80">
        <f>IF(ISNUMBER($J335),$J335/100,"")</f>
        <v/>
      </c>
      <c r="CV335" s="81">
        <f>IF(ISNUMBER($AQ335),$AQ335,"")</f>
        <v/>
      </c>
      <c r="CW335" s="81">
        <f>IF(ISNUMBER($AR335),$AR335,"")</f>
        <v/>
      </c>
      <c r="CX335" s="82">
        <f>IF(ISNUMBER($AS335),$AS335/100,"")</f>
        <v/>
      </c>
      <c r="CY335" s="82">
        <f>IF(ISNUMBER($AT335),$AT335/100,"")</f>
        <v/>
      </c>
      <c r="CZ335" s="82">
        <f>IF(ISNUMBER($AU335),$AU335/100,"")</f>
        <v/>
      </c>
      <c r="DA335" s="82">
        <f>IF(ISNUMBER($AV335),$AV335/100,"")</f>
        <v/>
      </c>
      <c r="DB335" s="82">
        <f>IF(ISNUMBER($AW335),$AW335/100,"")</f>
        <v/>
      </c>
      <c r="DC335" s="82">
        <f>IF(ISNUMBER($AX335),$AX335/100,"")</f>
        <v/>
      </c>
      <c r="DD335" s="77">
        <f>IFERROR(VALUE(LEFT(TRIM($AO335&amp;""),4)),"")</f>
        <v/>
      </c>
      <c r="DE335" s="78">
        <f>IF(AND($BY335=1,$BX335=1,OR(fDeal="All Deals",$BU335=fDeal),OR(fEntity="All Entities",$BV335=fEntity),OR(fPType="All Property Types",$BZ335=fPType),OR(fDefeased="Include",$CJ335=0)),1,0)</f>
        <v/>
      </c>
      <c r="DF335" s="83">
        <f>$DE335*N($I335)</f>
        <v/>
      </c>
      <c r="DG335" s="78">
        <f>IF($DE335=1,IF(COUNTIFS($F$8:$F335,$F335,$DE$8:$DE335,1)=1,1,0),0)</f>
        <v/>
      </c>
      <c r="DH335" s="83">
        <f>IF($DG335=1,SUMIFS($DF$8:$DF$1600,$F$8:$F$1600,$F335),0)</f>
        <v/>
      </c>
      <c r="DI335" s="78">
        <f>IF($DG335=1,COUNTIFS($F$8:$F$1600,$F335,$DE$8:$DE$1600,1),0)</f>
        <v/>
      </c>
      <c r="DJ335" s="84">
        <f>IF($DG335=1,$DH335+(100000-ROW())/mTieBreak,0)</f>
        <v/>
      </c>
    </row>
    <row r="336">
      <c r="B336" s="68" t="n">
        <v>17</v>
      </c>
      <c r="C336" s="69" t="inlineStr">
        <is>
          <t>UBS18C08</t>
        </is>
      </c>
      <c r="D336" s="69" t="inlineStr">
        <is>
          <t>17.000</t>
        </is>
      </c>
      <c r="E336" s="69" t="inlineStr">
        <is>
          <t>4851 South Alameda Street</t>
        </is>
      </c>
      <c r="F336" s="69" t="inlineStr">
        <is>
          <t>LNUBS18C08-17.000</t>
        </is>
      </c>
      <c r="G336" s="70" t="n"/>
      <c r="H336" s="71" t="n">
        <v>17750000</v>
      </c>
      <c r="I336" s="71" t="n">
        <v>16238406.5399925</v>
      </c>
      <c r="J336" s="72" t="n">
        <v>5.212</v>
      </c>
      <c r="K336" s="69" t="inlineStr">
        <is>
          <t>Fixed rate</t>
        </is>
      </c>
      <c r="L336" s="68" t="n">
        <v>120</v>
      </c>
      <c r="M336" s="68" t="n">
        <v>17</v>
      </c>
      <c r="N336" s="68" t="n">
        <v>396</v>
      </c>
      <c r="O336" s="68" t="n">
        <v>36</v>
      </c>
      <c r="P336" s="68" t="n">
        <v>0</v>
      </c>
      <c r="Q336" s="68" t="n">
        <v>103</v>
      </c>
      <c r="R336" s="69" t="inlineStr">
        <is>
          <t>IO then Amort</t>
        </is>
      </c>
      <c r="S336" s="69" t="inlineStr">
        <is>
          <t>No</t>
        </is>
      </c>
      <c r="T336" s="73" t="n">
        <v>43132</v>
      </c>
      <c r="U336" s="73" t="n">
        <v>46789</v>
      </c>
      <c r="V336" s="73" t="n"/>
      <c r="W336" s="69" t="n"/>
      <c r="X336" s="69" t="inlineStr">
        <is>
          <t>Late Payment But Less Than 30 Days Delinquent</t>
        </is>
      </c>
      <c r="Y336" s="68" t="n"/>
      <c r="Z336" s="69" t="inlineStr">
        <is>
          <t>No Defeasance Occurred</t>
        </is>
      </c>
      <c r="AA336" s="69" t="inlineStr">
        <is>
          <t>Previously</t>
        </is>
      </c>
      <c r="AB336" s="69" t="inlineStr">
        <is>
          <t>Currently special serv</t>
        </is>
      </c>
      <c r="AC336" s="73" t="n">
        <v>45889</v>
      </c>
      <c r="AD336" s="69" t="inlineStr">
        <is>
          <t>Other</t>
        </is>
      </c>
      <c r="AE336" s="69" t="inlineStr">
        <is>
          <t>Modification</t>
        </is>
      </c>
      <c r="AF336" s="69" t="inlineStr">
        <is>
          <t>CA</t>
        </is>
      </c>
      <c r="AG336" s="69" t="inlineStr">
        <is>
          <t>Los Angeles</t>
        </is>
      </c>
      <c r="AH336" s="69" t="inlineStr">
        <is>
          <t>Los Angeles-Long Beach-Anaheim, CA</t>
        </is>
      </c>
      <c r="AI336" s="69" t="inlineStr">
        <is>
          <t>West / Pacific South</t>
        </is>
      </c>
      <c r="AJ336" s="69" t="inlineStr">
        <is>
          <t>IN</t>
        </is>
      </c>
      <c r="AK336" s="69" t="inlineStr">
        <is>
          <t>Warehouse/Distribution</t>
        </is>
      </c>
      <c r="AL336" s="68" t="n">
        <v>1</v>
      </c>
      <c r="AM336" s="68" t="n"/>
      <c r="AN336" s="68" t="n">
        <v>255993</v>
      </c>
      <c r="AO336" s="69" t="inlineStr">
        <is>
          <t>1925-1927</t>
        </is>
      </c>
      <c r="AP336" s="70" t="n">
        <v>1995</v>
      </c>
      <c r="AQ336" s="74" t="n">
        <v>1.25</v>
      </c>
      <c r="AR336" s="74" t="n">
        <v>1.26</v>
      </c>
      <c r="AS336" s="74" t="n">
        <v>62.5</v>
      </c>
      <c r="AT336" s="74" t="n">
        <v>57.18</v>
      </c>
      <c r="AU336" s="74" t="n">
        <v>55.6</v>
      </c>
      <c r="AV336" s="74" t="n">
        <v>8.248465239</v>
      </c>
      <c r="AW336" s="74" t="n">
        <v>6.507327412</v>
      </c>
      <c r="AX336" s="75" t="n">
        <v>37</v>
      </c>
      <c r="AY336" s="71" t="n">
        <v>28400000</v>
      </c>
      <c r="AZ336" s="71" t="n">
        <v>28400000</v>
      </c>
      <c r="BA336" s="71" t="n">
        <v>1464102.58</v>
      </c>
      <c r="BB336" s="71" t="n">
        <v>368867.29</v>
      </c>
      <c r="BC336" s="69" t="inlineStr">
        <is>
          <t>Refinance</t>
        </is>
      </c>
      <c r="BD336" s="69" t="inlineStr">
        <is>
          <t>N</t>
        </is>
      </c>
      <c r="BE336" s="71" t="n"/>
      <c r="BF336" s="71" t="n"/>
      <c r="BG336" s="71" t="n"/>
      <c r="BH336" s="71" t="n">
        <v>0</v>
      </c>
      <c r="BI336" s="71" t="n">
        <v>96881.08</v>
      </c>
      <c r="BJ336" s="69" t="inlineStr">
        <is>
          <t>N</t>
        </is>
      </c>
      <c r="BK336" s="69" t="inlineStr">
        <is>
          <t>ETO Doors</t>
        </is>
      </c>
      <c r="BL336" s="75" t="n">
        <v>17.29</v>
      </c>
      <c r="BM336" s="73" t="n">
        <v>48364</v>
      </c>
      <c r="BN336" s="69" t="inlineStr">
        <is>
          <t>Tal Hassid</t>
        </is>
      </c>
      <c r="BO336" s="69" t="inlineStr">
        <is>
          <t>Cantor Commercial Real Estate Lending</t>
        </is>
      </c>
      <c r="BP336" s="69" t="inlineStr">
        <is>
          <t>Midland Loan Services</t>
        </is>
      </c>
      <c r="BQ336" s="69" t="inlineStr">
        <is>
          <t>Midland Loan Services</t>
        </is>
      </c>
      <c r="BR336" s="69" t="n"/>
      <c r="BS336" s="73" t="n">
        <v>46276</v>
      </c>
      <c r="BU336" s="76">
        <f>IF($C336="","",IFERROR(INDEX(dmName,MATCH($C336,dmID,0)),"Unmapped"))</f>
        <v/>
      </c>
      <c r="BV336" s="76">
        <f>IF($C336="","",IFERROR(INDEX(dmEntity,MATCH($C336,dmID,0)),"Unmapped"))</f>
        <v/>
      </c>
      <c r="BW336" s="77">
        <f>IF($C336="","",IFERROR(INDEX(dmVintage,MATCH($C336,dmID,0)),""))</f>
        <v/>
      </c>
      <c r="BX336" s="78">
        <f>IFERROR(INDEX(dmInclude,MATCH($C336,dmID,0)),0)</f>
        <v/>
      </c>
      <c r="BY336" s="78">
        <f>IF(N($I336)&gt;0,1,0)</f>
        <v/>
      </c>
      <c r="BZ336" s="76">
        <f>IF($AJ336="","Other / Leased Fee",IFERROR(INDEX(mapPTGroup,MATCH(LEFT(TRIM($AJ336),2),mapPTCode,0)),"Other / Leased Fee"))</f>
        <v/>
      </c>
      <c r="CA336" s="76">
        <f>IF(TRIM($AF336&amp;"")="","NR",LEFT(TRIM($AF336),2))</f>
        <v/>
      </c>
      <c r="CB336" s="76">
        <f>IFERROR(LOOKUP(2,1/(LEFT(TRIM($AI336&amp;""),LEN(mapRegion))=mapRegion),mapRegion),"Not Reported")</f>
        <v/>
      </c>
      <c r="CC336" s="76">
        <f>IF($BY336=0,"",IF(TRIM($W336&amp;"")="REO","REO",IF(TRIM($W336&amp;"")="FC","Foreclosure",IF(TRIM($W336&amp;"")="90+","90+ Days Delinquent",IF(TRIM($W336&amp;"")="60","60 Days Delinquent",IF(TRIM($W336&amp;"")="30","30 Days Delinquent",IF($X336="Non-Performing Matured Balloon","Non-Performing Matured Balloon",IF(OR($X336="Late Payment But Less Than 30 Days Delinquent",LEFT($X336&amp;"",20)="Payment Not Received"),"Late / In Grace (&lt;30 Days)",IF($X336="Performing Matured Balloon","Performing Matured Balloon","Current")))))))))</f>
        <v/>
      </c>
      <c r="CD336" s="78">
        <f>IF(OR($CC336="REO",$CC336="Foreclosure",$CC336="90+ Days Delinquent",$CC336="60 Days Delinquent",$CC336="30 Days Delinquent",$CC336="Non-Performing Matured Balloon"),1,0)</f>
        <v/>
      </c>
      <c r="CE336" s="76">
        <f>IF($AB336="Currently special serv","Currently Specially Serviced",IF($AB336="Returned to master serv","Previously Specially Serviced","Never Specially Serviced"))</f>
        <v/>
      </c>
      <c r="CF336" s="78">
        <f>IF($CE336="Currently Specially Serviced",1,0)</f>
        <v/>
      </c>
      <c r="CG336" s="76">
        <f>IF($AA336="Yes","Currently on Watchlist",IF($AA336="Previously","Previously on Watchlist","Never on Watchlist"))</f>
        <v/>
      </c>
      <c r="CH336" s="78">
        <f>IF($CG336="Currently on Watchlist",1,0)</f>
        <v/>
      </c>
      <c r="CI336" s="76">
        <f>IF($Z336="Full Defeasance","Fully Defeased",IF($Z336="Portion Of Loan Previously Defeased","Partially Defeased",IF($Z336="Defeasance Not Allowable","Not Defeased (Not Permitted)","Not Defeased")))</f>
        <v/>
      </c>
      <c r="CJ336" s="78">
        <f>IF($CI336="Fully Defeased",1,0)</f>
        <v/>
      </c>
      <c r="CK336" s="76">
        <f>IF($R336="IO","Full IO",IF(LEFT($R336&amp;"",7)="IO then","Partial IO","Amortizing"))</f>
        <v/>
      </c>
      <c r="CL336" s="78">
        <f>IF($CK336="Full IO",1,0)</f>
        <v/>
      </c>
      <c r="CM336" s="78">
        <f>IF($CK336="Partial IO",1,0)</f>
        <v/>
      </c>
      <c r="CN336" s="76">
        <f>IF(LEFT($F336&amp;"",10)="SPLIT_LOAN","Pari Passu Split","Standalone")</f>
        <v/>
      </c>
      <c r="CO336" s="78">
        <f>IF($CN336="Pari Passu Split",1,0)</f>
        <v/>
      </c>
      <c r="CP336" s="77">
        <f>IF(ISNUMBER($T336),YEAR($T336),"")</f>
        <v/>
      </c>
      <c r="CQ336" s="79">
        <f>IF(ISNUMBER($V336),$V336,IF(ISNUMBER($U336),$U336,""))</f>
        <v/>
      </c>
      <c r="CR336" s="77">
        <f>IF(ISNUMBER($CQ336),YEAR($CQ336),"")</f>
        <v/>
      </c>
      <c r="CS336" s="78">
        <f>IF(ISNUMBER($M336),MAX(0,$M336),IF(TRIM($M336&amp;"")="matured",0,""))</f>
        <v/>
      </c>
      <c r="CT336" s="78">
        <f>IF(AND(ISNUMBER($CS336),N($CS336)&lt;=mMatWindow),1,0)</f>
        <v/>
      </c>
      <c r="CU336" s="80">
        <f>IF(ISNUMBER($J336),$J336/100,"")</f>
        <v/>
      </c>
      <c r="CV336" s="81">
        <f>IF(ISNUMBER($AQ336),$AQ336,"")</f>
        <v/>
      </c>
      <c r="CW336" s="81">
        <f>IF(ISNUMBER($AR336),$AR336,"")</f>
        <v/>
      </c>
      <c r="CX336" s="82">
        <f>IF(ISNUMBER($AS336),$AS336/100,"")</f>
        <v/>
      </c>
      <c r="CY336" s="82">
        <f>IF(ISNUMBER($AT336),$AT336/100,"")</f>
        <v/>
      </c>
      <c r="CZ336" s="82">
        <f>IF(ISNUMBER($AU336),$AU336/100,"")</f>
        <v/>
      </c>
      <c r="DA336" s="82">
        <f>IF(ISNUMBER($AV336),$AV336/100,"")</f>
        <v/>
      </c>
      <c r="DB336" s="82">
        <f>IF(ISNUMBER($AW336),$AW336/100,"")</f>
        <v/>
      </c>
      <c r="DC336" s="82">
        <f>IF(ISNUMBER($AX336),$AX336/100,"")</f>
        <v/>
      </c>
      <c r="DD336" s="77">
        <f>IFERROR(VALUE(LEFT(TRIM($AO336&amp;""),4)),"")</f>
        <v/>
      </c>
      <c r="DE336" s="78">
        <f>IF(AND($BY336=1,$BX336=1,OR(fDeal="All Deals",$BU336=fDeal),OR(fEntity="All Entities",$BV336=fEntity),OR(fPType="All Property Types",$BZ336=fPType),OR(fDefeased="Include",$CJ336=0)),1,0)</f>
        <v/>
      </c>
      <c r="DF336" s="83">
        <f>$DE336*N($I336)</f>
        <v/>
      </c>
      <c r="DG336" s="78">
        <f>IF($DE336=1,IF(COUNTIFS($F$8:$F336,$F336,$DE$8:$DE336,1)=1,1,0),0)</f>
        <v/>
      </c>
      <c r="DH336" s="83">
        <f>IF($DG336=1,SUMIFS($DF$8:$DF$1600,$F$8:$F$1600,$F336),0)</f>
        <v/>
      </c>
      <c r="DI336" s="78">
        <f>IF($DG336=1,COUNTIFS($F$8:$F$1600,$F336,$DE$8:$DE$1600,1),0)</f>
        <v/>
      </c>
      <c r="DJ336" s="84">
        <f>IF($DG336=1,$DH336+(100000-ROW())/mTieBreak,0)</f>
        <v/>
      </c>
    </row>
    <row r="337">
      <c r="B337" s="68" t="n">
        <v>18</v>
      </c>
      <c r="C337" s="69" t="inlineStr">
        <is>
          <t>UBS18C08</t>
        </is>
      </c>
      <c r="D337" s="69" t="inlineStr">
        <is>
          <t>18.000</t>
        </is>
      </c>
      <c r="E337" s="69" t="inlineStr">
        <is>
          <t>1990 NASA Boulevard</t>
        </is>
      </c>
      <c r="F337" s="69" t="inlineStr">
        <is>
          <t>LNUBS18C08-18.000</t>
        </is>
      </c>
      <c r="G337" s="70" t="n"/>
      <c r="H337" s="71" t="n">
        <v>16300000</v>
      </c>
      <c r="I337" s="71" t="n">
        <v>16300000</v>
      </c>
      <c r="J337" s="72" t="n">
        <v>4.92</v>
      </c>
      <c r="K337" s="69" t="inlineStr">
        <is>
          <t>Fixed rate</t>
        </is>
      </c>
      <c r="L337" s="68" t="n">
        <v>120</v>
      </c>
      <c r="M337" s="68" t="n">
        <v>17</v>
      </c>
      <c r="N337" s="68" t="n">
        <v>120</v>
      </c>
      <c r="O337" s="68" t="n">
        <v>120</v>
      </c>
      <c r="P337" s="68" t="n">
        <v>17</v>
      </c>
      <c r="Q337" s="68" t="n">
        <v>103</v>
      </c>
      <c r="R337" s="69" t="inlineStr">
        <is>
          <t>IO</t>
        </is>
      </c>
      <c r="S337" s="69" t="inlineStr">
        <is>
          <t>Yes</t>
        </is>
      </c>
      <c r="T337" s="73" t="n">
        <v>43132</v>
      </c>
      <c r="U337" s="73" t="n">
        <v>46789</v>
      </c>
      <c r="V337" s="73" t="n"/>
      <c r="W337" s="69" t="n"/>
      <c r="X337" s="69" t="inlineStr">
        <is>
          <t>Current</t>
        </is>
      </c>
      <c r="Y337" s="68" t="n"/>
      <c r="Z337" s="69" t="inlineStr">
        <is>
          <t>No Defeasance Occurred</t>
        </is>
      </c>
      <c r="AA337" s="69" t="n"/>
      <c r="AB337" s="69" t="inlineStr">
        <is>
          <t>Never special serv</t>
        </is>
      </c>
      <c r="AC337" s="73" t="n"/>
      <c r="AD337" s="69" t="n"/>
      <c r="AE337" s="69" t="n"/>
      <c r="AF337" s="69" t="inlineStr">
        <is>
          <t>FL</t>
        </is>
      </c>
      <c r="AG337" s="69" t="inlineStr">
        <is>
          <t>Melbourne</t>
        </is>
      </c>
      <c r="AH337" s="69" t="inlineStr">
        <is>
          <t>Palm Bay-Melbourne-Titusville, FL</t>
        </is>
      </c>
      <c r="AI337" s="69" t="inlineStr">
        <is>
          <t>South / Atlantic</t>
        </is>
      </c>
      <c r="AJ337" s="69" t="inlineStr">
        <is>
          <t>OF</t>
        </is>
      </c>
      <c r="AK337" s="69" t="inlineStr">
        <is>
          <t>Suburban</t>
        </is>
      </c>
      <c r="AL337" s="68" t="n">
        <v>1</v>
      </c>
      <c r="AM337" s="68" t="n"/>
      <c r="AN337" s="68" t="n">
        <v>191500</v>
      </c>
      <c r="AO337" s="69" t="inlineStr">
        <is>
          <t>2000</t>
        </is>
      </c>
      <c r="AP337" s="70" t="n">
        <v>2000</v>
      </c>
      <c r="AQ337" s="74" t="n">
        <v>2.55</v>
      </c>
      <c r="AR337" s="74" t="n">
        <v>2.97</v>
      </c>
      <c r="AS337" s="74" t="n">
        <v>60.4</v>
      </c>
      <c r="AT337" s="74" t="n">
        <v>60.37</v>
      </c>
      <c r="AU337" s="74" t="n">
        <v>60.4</v>
      </c>
      <c r="AV337" s="74" t="n">
        <v>12.730171779</v>
      </c>
      <c r="AW337" s="74" t="n">
        <v>15.840699387</v>
      </c>
      <c r="AX337" s="75" t="n">
        <v>94</v>
      </c>
      <c r="AY337" s="71" t="n">
        <v>27000000</v>
      </c>
      <c r="AZ337" s="71" t="n">
        <v>27000000</v>
      </c>
      <c r="BA337" s="71" t="n">
        <v>2075018</v>
      </c>
      <c r="BB337" s="71" t="n">
        <v>2406134</v>
      </c>
      <c r="BC337" s="69" t="inlineStr">
        <is>
          <t>Acquisition</t>
        </is>
      </c>
      <c r="BD337" s="69" t="inlineStr">
        <is>
          <t>N</t>
        </is>
      </c>
      <c r="BE337" s="71" t="n"/>
      <c r="BF337" s="71" t="n"/>
      <c r="BG337" s="71" t="n"/>
      <c r="BH337" s="71" t="n">
        <v>0</v>
      </c>
      <c r="BI337" s="71" t="n">
        <v>0</v>
      </c>
      <c r="BJ337" s="69" t="inlineStr">
        <is>
          <t>N</t>
        </is>
      </c>
      <c r="BK337" s="69" t="inlineStr">
        <is>
          <t>Westinghouse-Wabtec</t>
        </is>
      </c>
      <c r="BL337" s="75" t="n">
        <v>59.55</v>
      </c>
      <c r="BM337" s="73" t="n">
        <v>49187</v>
      </c>
      <c r="BN337" s="69" t="inlineStr">
        <is>
          <t>Greg W. Seitz; Brant P. Landry; Clint Riley</t>
        </is>
      </c>
      <c r="BO337" s="69" t="inlineStr">
        <is>
          <t>RMF</t>
        </is>
      </c>
      <c r="BP337" s="69" t="inlineStr">
        <is>
          <t>Midland Loan Services</t>
        </is>
      </c>
      <c r="BQ337" s="69" t="inlineStr">
        <is>
          <t>Midland Loan Services</t>
        </is>
      </c>
      <c r="BR337" s="69" t="n"/>
      <c r="BS337" s="73" t="n">
        <v>46276</v>
      </c>
      <c r="BU337" s="76">
        <f>IF($C337="","",IFERROR(INDEX(dmName,MATCH($C337,dmID,0)),"Unmapped"))</f>
        <v/>
      </c>
      <c r="BV337" s="76">
        <f>IF($C337="","",IFERROR(INDEX(dmEntity,MATCH($C337,dmID,0)),"Unmapped"))</f>
        <v/>
      </c>
      <c r="BW337" s="77">
        <f>IF($C337="","",IFERROR(INDEX(dmVintage,MATCH($C337,dmID,0)),""))</f>
        <v/>
      </c>
      <c r="BX337" s="78">
        <f>IFERROR(INDEX(dmInclude,MATCH($C337,dmID,0)),0)</f>
        <v/>
      </c>
      <c r="BY337" s="78">
        <f>IF(N($I337)&gt;0,1,0)</f>
        <v/>
      </c>
      <c r="BZ337" s="76">
        <f>IF($AJ337="","Other / Leased Fee",IFERROR(INDEX(mapPTGroup,MATCH(LEFT(TRIM($AJ337),2),mapPTCode,0)),"Other / Leased Fee"))</f>
        <v/>
      </c>
      <c r="CA337" s="76">
        <f>IF(TRIM($AF337&amp;"")="","NR",LEFT(TRIM($AF337),2))</f>
        <v/>
      </c>
      <c r="CB337" s="76">
        <f>IFERROR(LOOKUP(2,1/(LEFT(TRIM($AI337&amp;""),LEN(mapRegion))=mapRegion),mapRegion),"Not Reported")</f>
        <v/>
      </c>
      <c r="CC337" s="76">
        <f>IF($BY337=0,"",IF(TRIM($W337&amp;"")="REO","REO",IF(TRIM($W337&amp;"")="FC","Foreclosure",IF(TRIM($W337&amp;"")="90+","90+ Days Delinquent",IF(TRIM($W337&amp;"")="60","60 Days Delinquent",IF(TRIM($W337&amp;"")="30","30 Days Delinquent",IF($X337="Non-Performing Matured Balloon","Non-Performing Matured Balloon",IF(OR($X337="Late Payment But Less Than 30 Days Delinquent",LEFT($X337&amp;"",20)="Payment Not Received"),"Late / In Grace (&lt;30 Days)",IF($X337="Performing Matured Balloon","Performing Matured Balloon","Current")))))))))</f>
        <v/>
      </c>
      <c r="CD337" s="78">
        <f>IF(OR($CC337="REO",$CC337="Foreclosure",$CC337="90+ Days Delinquent",$CC337="60 Days Delinquent",$CC337="30 Days Delinquent",$CC337="Non-Performing Matured Balloon"),1,0)</f>
        <v/>
      </c>
      <c r="CE337" s="76">
        <f>IF($AB337="Currently special serv","Currently Specially Serviced",IF($AB337="Returned to master serv","Previously Specially Serviced","Never Specially Serviced"))</f>
        <v/>
      </c>
      <c r="CF337" s="78">
        <f>IF($CE337="Currently Specially Serviced",1,0)</f>
        <v/>
      </c>
      <c r="CG337" s="76">
        <f>IF($AA337="Yes","Currently on Watchlist",IF($AA337="Previously","Previously on Watchlist","Never on Watchlist"))</f>
        <v/>
      </c>
      <c r="CH337" s="78">
        <f>IF($CG337="Currently on Watchlist",1,0)</f>
        <v/>
      </c>
      <c r="CI337" s="76">
        <f>IF($Z337="Full Defeasance","Fully Defeased",IF($Z337="Portion Of Loan Previously Defeased","Partially Defeased",IF($Z337="Defeasance Not Allowable","Not Defeased (Not Permitted)","Not Defeased")))</f>
        <v/>
      </c>
      <c r="CJ337" s="78">
        <f>IF($CI337="Fully Defeased",1,0)</f>
        <v/>
      </c>
      <c r="CK337" s="76">
        <f>IF($R337="IO","Full IO",IF(LEFT($R337&amp;"",7)="IO then","Partial IO","Amortizing"))</f>
        <v/>
      </c>
      <c r="CL337" s="78">
        <f>IF($CK337="Full IO",1,0)</f>
        <v/>
      </c>
      <c r="CM337" s="78">
        <f>IF($CK337="Partial IO",1,0)</f>
        <v/>
      </c>
      <c r="CN337" s="76">
        <f>IF(LEFT($F337&amp;"",10)="SPLIT_LOAN","Pari Passu Split","Standalone")</f>
        <v/>
      </c>
      <c r="CO337" s="78">
        <f>IF($CN337="Pari Passu Split",1,0)</f>
        <v/>
      </c>
      <c r="CP337" s="77">
        <f>IF(ISNUMBER($T337),YEAR($T337),"")</f>
        <v/>
      </c>
      <c r="CQ337" s="79">
        <f>IF(ISNUMBER($V337),$V337,IF(ISNUMBER($U337),$U337,""))</f>
        <v/>
      </c>
      <c r="CR337" s="77">
        <f>IF(ISNUMBER($CQ337),YEAR($CQ337),"")</f>
        <v/>
      </c>
      <c r="CS337" s="78">
        <f>IF(ISNUMBER($M337),MAX(0,$M337),IF(TRIM($M337&amp;"")="matured",0,""))</f>
        <v/>
      </c>
      <c r="CT337" s="78">
        <f>IF(AND(ISNUMBER($CS337),N($CS337)&lt;=mMatWindow),1,0)</f>
        <v/>
      </c>
      <c r="CU337" s="80">
        <f>IF(ISNUMBER($J337),$J337/100,"")</f>
        <v/>
      </c>
      <c r="CV337" s="81">
        <f>IF(ISNUMBER($AQ337),$AQ337,"")</f>
        <v/>
      </c>
      <c r="CW337" s="81">
        <f>IF(ISNUMBER($AR337),$AR337,"")</f>
        <v/>
      </c>
      <c r="CX337" s="82">
        <f>IF(ISNUMBER($AS337),$AS337/100,"")</f>
        <v/>
      </c>
      <c r="CY337" s="82">
        <f>IF(ISNUMBER($AT337),$AT337/100,"")</f>
        <v/>
      </c>
      <c r="CZ337" s="82">
        <f>IF(ISNUMBER($AU337),$AU337/100,"")</f>
        <v/>
      </c>
      <c r="DA337" s="82">
        <f>IF(ISNUMBER($AV337),$AV337/100,"")</f>
        <v/>
      </c>
      <c r="DB337" s="82">
        <f>IF(ISNUMBER($AW337),$AW337/100,"")</f>
        <v/>
      </c>
      <c r="DC337" s="82">
        <f>IF(ISNUMBER($AX337),$AX337/100,"")</f>
        <v/>
      </c>
      <c r="DD337" s="77">
        <f>IFERROR(VALUE(LEFT(TRIM($AO337&amp;""),4)),"")</f>
        <v/>
      </c>
      <c r="DE337" s="78">
        <f>IF(AND($BY337=1,$BX337=1,OR(fDeal="All Deals",$BU337=fDeal),OR(fEntity="All Entities",$BV337=fEntity),OR(fPType="All Property Types",$BZ337=fPType),OR(fDefeased="Include",$CJ337=0)),1,0)</f>
        <v/>
      </c>
      <c r="DF337" s="83">
        <f>$DE337*N($I337)</f>
        <v/>
      </c>
      <c r="DG337" s="78">
        <f>IF($DE337=1,IF(COUNTIFS($F$8:$F337,$F337,$DE$8:$DE337,1)=1,1,0),0)</f>
        <v/>
      </c>
      <c r="DH337" s="83">
        <f>IF($DG337=1,SUMIFS($DF$8:$DF$1600,$F$8:$F$1600,$F337),0)</f>
        <v/>
      </c>
      <c r="DI337" s="78">
        <f>IF($DG337=1,COUNTIFS($F$8:$F$1600,$F337,$DE$8:$DE$1600,1),0)</f>
        <v/>
      </c>
      <c r="DJ337" s="84">
        <f>IF($DG337=1,$DH337+(100000-ROW())/mTieBreak,0)</f>
        <v/>
      </c>
    </row>
    <row r="338">
      <c r="B338" s="68" t="n">
        <v>19</v>
      </c>
      <c r="C338" s="69" t="inlineStr">
        <is>
          <t>UBS18C08</t>
        </is>
      </c>
      <c r="D338" s="69" t="inlineStr">
        <is>
          <t>19.000</t>
        </is>
      </c>
      <c r="E338" s="69" t="inlineStr">
        <is>
          <t>Beach Boulevard Medical Pavilion</t>
        </is>
      </c>
      <c r="F338" s="69" t="inlineStr">
        <is>
          <t>LNUBS18C08-19.000</t>
        </is>
      </c>
      <c r="G338" s="70" t="n"/>
      <c r="H338" s="71" t="n">
        <v>16000000</v>
      </c>
      <c r="I338" s="71" t="n">
        <v>16000000</v>
      </c>
      <c r="J338" s="72" t="n">
        <v>4.68</v>
      </c>
      <c r="K338" s="69" t="inlineStr">
        <is>
          <t>Fixed rate</t>
        </is>
      </c>
      <c r="L338" s="68" t="n">
        <v>120</v>
      </c>
      <c r="M338" s="68" t="n">
        <v>16</v>
      </c>
      <c r="N338" s="68" t="n">
        <v>120</v>
      </c>
      <c r="O338" s="68" t="n">
        <v>120</v>
      </c>
      <c r="P338" s="68" t="n">
        <v>16</v>
      </c>
      <c r="Q338" s="68" t="n">
        <v>104</v>
      </c>
      <c r="R338" s="69" t="inlineStr">
        <is>
          <t>IO</t>
        </is>
      </c>
      <c r="S338" s="69" t="inlineStr">
        <is>
          <t>Yes</t>
        </is>
      </c>
      <c r="T338" s="73" t="n">
        <v>43101</v>
      </c>
      <c r="U338" s="73" t="n">
        <v>46758</v>
      </c>
      <c r="V338" s="73" t="n"/>
      <c r="W338" s="69" t="n"/>
      <c r="X338" s="69" t="inlineStr">
        <is>
          <t>Current</t>
        </is>
      </c>
      <c r="Y338" s="68" t="n"/>
      <c r="Z338" s="69" t="inlineStr">
        <is>
          <t>No Defeasance Occurred</t>
        </is>
      </c>
      <c r="AA338" s="69" t="n"/>
      <c r="AB338" s="69" t="inlineStr">
        <is>
          <t>Never special serv</t>
        </is>
      </c>
      <c r="AC338" s="73" t="n"/>
      <c r="AD338" s="69" t="n"/>
      <c r="AE338" s="69" t="n"/>
      <c r="AF338" s="69" t="inlineStr">
        <is>
          <t>CA</t>
        </is>
      </c>
      <c r="AG338" s="69" t="inlineStr">
        <is>
          <t>Huntington Beach</t>
        </is>
      </c>
      <c r="AH338" s="69" t="inlineStr">
        <is>
          <t>Los Angeles-Long Beach-Anaheim, CA</t>
        </is>
      </c>
      <c r="AI338" s="69" t="inlineStr">
        <is>
          <t>West / Pacific South</t>
        </is>
      </c>
      <c r="AJ338" s="69" t="inlineStr">
        <is>
          <t>OF</t>
        </is>
      </c>
      <c r="AK338" s="69" t="inlineStr">
        <is>
          <t>Medical</t>
        </is>
      </c>
      <c r="AL338" s="68" t="n">
        <v>1</v>
      </c>
      <c r="AM338" s="68" t="n"/>
      <c r="AN338" s="68" t="n">
        <v>44487</v>
      </c>
      <c r="AO338" s="69" t="inlineStr">
        <is>
          <t>2017</t>
        </is>
      </c>
      <c r="AP338" s="70" t="n">
        <v>2017</v>
      </c>
      <c r="AQ338" s="74" t="n">
        <v>1.66</v>
      </c>
      <c r="AR338" s="74" t="n">
        <v>2.54</v>
      </c>
      <c r="AS338" s="74" t="n">
        <v>53</v>
      </c>
      <c r="AT338" s="74" t="n">
        <v>52.98</v>
      </c>
      <c r="AU338" s="74" t="n">
        <v>53</v>
      </c>
      <c r="AV338" s="74" t="n">
        <v>7.891075</v>
      </c>
      <c r="AW338" s="74" t="n">
        <v>10.175097875</v>
      </c>
      <c r="AX338" s="75" t="n">
        <v>100</v>
      </c>
      <c r="AY338" s="71" t="n">
        <v>30200000</v>
      </c>
      <c r="AZ338" s="71" t="n">
        <v>30200000</v>
      </c>
      <c r="BA338" s="71" t="n">
        <v>1262572</v>
      </c>
      <c r="BB338" s="71" t="n">
        <v>1931186.16</v>
      </c>
      <c r="BC338" s="69" t="inlineStr">
        <is>
          <t>Refinance</t>
        </is>
      </c>
      <c r="BD338" s="69" t="inlineStr">
        <is>
          <t>N</t>
        </is>
      </c>
      <c r="BE338" s="71" t="n"/>
      <c r="BF338" s="71" t="n"/>
      <c r="BG338" s="71" t="n"/>
      <c r="BH338" s="71" t="n">
        <v>0</v>
      </c>
      <c r="BI338" s="71" t="n">
        <v>0</v>
      </c>
      <c r="BJ338" s="69" t="inlineStr">
        <is>
          <t>N</t>
        </is>
      </c>
      <c r="BK338" s="69" t="inlineStr">
        <is>
          <t>Memorial Care Multi Specialty</t>
        </is>
      </c>
      <c r="BL338" s="75" t="n">
        <v>36.16</v>
      </c>
      <c r="BM338" s="73" t="n">
        <v>48334</v>
      </c>
      <c r="BN338" s="69" t="inlineStr">
        <is>
          <t>Thomas G. Lebeau; Robert E. Romney</t>
        </is>
      </c>
      <c r="BO338" s="69" t="inlineStr">
        <is>
          <t>RMF</t>
        </is>
      </c>
      <c r="BP338" s="69" t="inlineStr">
        <is>
          <t>Midland Loan Services</t>
        </is>
      </c>
      <c r="BQ338" s="69" t="inlineStr">
        <is>
          <t>Midland Loan Services</t>
        </is>
      </c>
      <c r="BR338" s="69" t="n"/>
      <c r="BS338" s="73" t="n">
        <v>46276</v>
      </c>
      <c r="BU338" s="76">
        <f>IF($C338="","",IFERROR(INDEX(dmName,MATCH($C338,dmID,0)),"Unmapped"))</f>
        <v/>
      </c>
      <c r="BV338" s="76">
        <f>IF($C338="","",IFERROR(INDEX(dmEntity,MATCH($C338,dmID,0)),"Unmapped"))</f>
        <v/>
      </c>
      <c r="BW338" s="77">
        <f>IF($C338="","",IFERROR(INDEX(dmVintage,MATCH($C338,dmID,0)),""))</f>
        <v/>
      </c>
      <c r="BX338" s="78">
        <f>IFERROR(INDEX(dmInclude,MATCH($C338,dmID,0)),0)</f>
        <v/>
      </c>
      <c r="BY338" s="78">
        <f>IF(N($I338)&gt;0,1,0)</f>
        <v/>
      </c>
      <c r="BZ338" s="76">
        <f>IF($AJ338="","Other / Leased Fee",IFERROR(INDEX(mapPTGroup,MATCH(LEFT(TRIM($AJ338),2),mapPTCode,0)),"Other / Leased Fee"))</f>
        <v/>
      </c>
      <c r="CA338" s="76">
        <f>IF(TRIM($AF338&amp;"")="","NR",LEFT(TRIM($AF338),2))</f>
        <v/>
      </c>
      <c r="CB338" s="76">
        <f>IFERROR(LOOKUP(2,1/(LEFT(TRIM($AI338&amp;""),LEN(mapRegion))=mapRegion),mapRegion),"Not Reported")</f>
        <v/>
      </c>
      <c r="CC338" s="76">
        <f>IF($BY338=0,"",IF(TRIM($W338&amp;"")="REO","REO",IF(TRIM($W338&amp;"")="FC","Foreclosure",IF(TRIM($W338&amp;"")="90+","90+ Days Delinquent",IF(TRIM($W338&amp;"")="60","60 Days Delinquent",IF(TRIM($W338&amp;"")="30","30 Days Delinquent",IF($X338="Non-Performing Matured Balloon","Non-Performing Matured Balloon",IF(OR($X338="Late Payment But Less Than 30 Days Delinquent",LEFT($X338&amp;"",20)="Payment Not Received"),"Late / In Grace (&lt;30 Days)",IF($X338="Performing Matured Balloon","Performing Matured Balloon","Current")))))))))</f>
        <v/>
      </c>
      <c r="CD338" s="78">
        <f>IF(OR($CC338="REO",$CC338="Foreclosure",$CC338="90+ Days Delinquent",$CC338="60 Days Delinquent",$CC338="30 Days Delinquent",$CC338="Non-Performing Matured Balloon"),1,0)</f>
        <v/>
      </c>
      <c r="CE338" s="76">
        <f>IF($AB338="Currently special serv","Currently Specially Serviced",IF($AB338="Returned to master serv","Previously Specially Serviced","Never Specially Serviced"))</f>
        <v/>
      </c>
      <c r="CF338" s="78">
        <f>IF($CE338="Currently Specially Serviced",1,0)</f>
        <v/>
      </c>
      <c r="CG338" s="76">
        <f>IF($AA338="Yes","Currently on Watchlist",IF($AA338="Previously","Previously on Watchlist","Never on Watchlist"))</f>
        <v/>
      </c>
      <c r="CH338" s="78">
        <f>IF($CG338="Currently on Watchlist",1,0)</f>
        <v/>
      </c>
      <c r="CI338" s="76">
        <f>IF($Z338="Full Defeasance","Fully Defeased",IF($Z338="Portion Of Loan Previously Defeased","Partially Defeased",IF($Z338="Defeasance Not Allowable","Not Defeased (Not Permitted)","Not Defeased")))</f>
        <v/>
      </c>
      <c r="CJ338" s="78">
        <f>IF($CI338="Fully Defeased",1,0)</f>
        <v/>
      </c>
      <c r="CK338" s="76">
        <f>IF($R338="IO","Full IO",IF(LEFT($R338&amp;"",7)="IO then","Partial IO","Amortizing"))</f>
        <v/>
      </c>
      <c r="CL338" s="78">
        <f>IF($CK338="Full IO",1,0)</f>
        <v/>
      </c>
      <c r="CM338" s="78">
        <f>IF($CK338="Partial IO",1,0)</f>
        <v/>
      </c>
      <c r="CN338" s="76">
        <f>IF(LEFT($F338&amp;"",10)="SPLIT_LOAN","Pari Passu Split","Standalone")</f>
        <v/>
      </c>
      <c r="CO338" s="78">
        <f>IF($CN338="Pari Passu Split",1,0)</f>
        <v/>
      </c>
      <c r="CP338" s="77">
        <f>IF(ISNUMBER($T338),YEAR($T338),"")</f>
        <v/>
      </c>
      <c r="CQ338" s="79">
        <f>IF(ISNUMBER($V338),$V338,IF(ISNUMBER($U338),$U338,""))</f>
        <v/>
      </c>
      <c r="CR338" s="77">
        <f>IF(ISNUMBER($CQ338),YEAR($CQ338),"")</f>
        <v/>
      </c>
      <c r="CS338" s="78">
        <f>IF(ISNUMBER($M338),MAX(0,$M338),IF(TRIM($M338&amp;"")="matured",0,""))</f>
        <v/>
      </c>
      <c r="CT338" s="78">
        <f>IF(AND(ISNUMBER($CS338),N($CS338)&lt;=mMatWindow),1,0)</f>
        <v/>
      </c>
      <c r="CU338" s="80">
        <f>IF(ISNUMBER($J338),$J338/100,"")</f>
        <v/>
      </c>
      <c r="CV338" s="81">
        <f>IF(ISNUMBER($AQ338),$AQ338,"")</f>
        <v/>
      </c>
      <c r="CW338" s="81">
        <f>IF(ISNUMBER($AR338),$AR338,"")</f>
        <v/>
      </c>
      <c r="CX338" s="82">
        <f>IF(ISNUMBER($AS338),$AS338/100,"")</f>
        <v/>
      </c>
      <c r="CY338" s="82">
        <f>IF(ISNUMBER($AT338),$AT338/100,"")</f>
        <v/>
      </c>
      <c r="CZ338" s="82">
        <f>IF(ISNUMBER($AU338),$AU338/100,"")</f>
        <v/>
      </c>
      <c r="DA338" s="82">
        <f>IF(ISNUMBER($AV338),$AV338/100,"")</f>
        <v/>
      </c>
      <c r="DB338" s="82">
        <f>IF(ISNUMBER($AW338),$AW338/100,"")</f>
        <v/>
      </c>
      <c r="DC338" s="82">
        <f>IF(ISNUMBER($AX338),$AX338/100,"")</f>
        <v/>
      </c>
      <c r="DD338" s="77">
        <f>IFERROR(VALUE(LEFT(TRIM($AO338&amp;""),4)),"")</f>
        <v/>
      </c>
      <c r="DE338" s="78">
        <f>IF(AND($BY338=1,$BX338=1,OR(fDeal="All Deals",$BU338=fDeal),OR(fEntity="All Entities",$BV338=fEntity),OR(fPType="All Property Types",$BZ338=fPType),OR(fDefeased="Include",$CJ338=0)),1,0)</f>
        <v/>
      </c>
      <c r="DF338" s="83">
        <f>$DE338*N($I338)</f>
        <v/>
      </c>
      <c r="DG338" s="78">
        <f>IF($DE338=1,IF(COUNTIFS($F$8:$F338,$F338,$DE$8:$DE338,1)=1,1,0),0)</f>
        <v/>
      </c>
      <c r="DH338" s="83">
        <f>IF($DG338=1,SUMIFS($DF$8:$DF$1600,$F$8:$F$1600,$F338),0)</f>
        <v/>
      </c>
      <c r="DI338" s="78">
        <f>IF($DG338=1,COUNTIFS($F$8:$F$1600,$F338,$DE$8:$DE$1600,1),0)</f>
        <v/>
      </c>
      <c r="DJ338" s="84">
        <f>IF($DG338=1,$DH338+(100000-ROW())/mTieBreak,0)</f>
        <v/>
      </c>
    </row>
    <row r="339">
      <c r="B339" s="68" t="n">
        <v>20</v>
      </c>
      <c r="C339" s="69" t="inlineStr">
        <is>
          <t>UBS18C08</t>
        </is>
      </c>
      <c r="D339" s="69" t="inlineStr">
        <is>
          <t>20.000</t>
        </is>
      </c>
      <c r="E339" s="69" t="inlineStr">
        <is>
          <t>The Village at La Orilla</t>
        </is>
      </c>
      <c r="F339" s="69" t="inlineStr">
        <is>
          <t>LNUBS18C08-20.000</t>
        </is>
      </c>
      <c r="G339" s="70" t="n"/>
      <c r="H339" s="71" t="n">
        <v>15400000</v>
      </c>
      <c r="I339" s="71" t="n">
        <v>13059127.1699966</v>
      </c>
      <c r="J339" s="72" t="n">
        <v>4.863</v>
      </c>
      <c r="K339" s="69" t="inlineStr">
        <is>
          <t>Fixed rate</t>
        </is>
      </c>
      <c r="L339" s="68" t="n">
        <v>120</v>
      </c>
      <c r="M339" s="68" t="n">
        <v>16</v>
      </c>
      <c r="N339" s="68" t="n">
        <v>360</v>
      </c>
      <c r="O339" s="68" t="n"/>
      <c r="P339" s="68" t="n"/>
      <c r="Q339" s="68" t="n">
        <v>104</v>
      </c>
      <c r="R339" s="69" t="n"/>
      <c r="S339" s="69" t="inlineStr">
        <is>
          <t>No</t>
        </is>
      </c>
      <c r="T339" s="73" t="n">
        <v>43101</v>
      </c>
      <c r="U339" s="73" t="n">
        <v>46758</v>
      </c>
      <c r="V339" s="73" t="n"/>
      <c r="W339" s="69" t="n"/>
      <c r="X339" s="69" t="inlineStr">
        <is>
          <t>Current</t>
        </is>
      </c>
      <c r="Y339" s="68" t="n"/>
      <c r="Z339" s="69" t="inlineStr">
        <is>
          <t>No Defeasance Occurred</t>
        </is>
      </c>
      <c r="AA339" s="69" t="inlineStr">
        <is>
          <t>Previously</t>
        </is>
      </c>
      <c r="AB339" s="69" t="inlineStr">
        <is>
          <t>Returned to master serv</t>
        </is>
      </c>
      <c r="AC339" s="73" t="n"/>
      <c r="AD339" s="69" t="inlineStr">
        <is>
          <t>Payment Default (all payments excluding Balloon/Maturity Payment)</t>
        </is>
      </c>
      <c r="AE339" s="69" t="inlineStr">
        <is>
          <t>Resolved</t>
        </is>
      </c>
      <c r="AF339" s="69" t="inlineStr">
        <is>
          <t>NM</t>
        </is>
      </c>
      <c r="AG339" s="69" t="inlineStr">
        <is>
          <t>Albuquerque</t>
        </is>
      </c>
      <c r="AH339" s="69" t="inlineStr">
        <is>
          <t>Albuquerque, NM</t>
        </is>
      </c>
      <c r="AI339" s="69" t="inlineStr">
        <is>
          <t>West / Mountain</t>
        </is>
      </c>
      <c r="AJ339" s="69" t="inlineStr">
        <is>
          <t>RT</t>
        </is>
      </c>
      <c r="AK339" s="69" t="inlineStr">
        <is>
          <t>Anchored</t>
        </is>
      </c>
      <c r="AL339" s="68" t="n">
        <v>1</v>
      </c>
      <c r="AM339" s="68" t="n"/>
      <c r="AN339" s="68" t="n">
        <v>59189</v>
      </c>
      <c r="AO339" s="69" t="inlineStr">
        <is>
          <t>2016</t>
        </is>
      </c>
      <c r="AP339" s="70" t="n">
        <v>2016</v>
      </c>
      <c r="AQ339" s="74" t="n">
        <v>1.36</v>
      </c>
      <c r="AR339" s="74" t="n">
        <v>1.32</v>
      </c>
      <c r="AS339" s="74" t="n">
        <v>69.8</v>
      </c>
      <c r="AT339" s="74" t="n">
        <v>80.12</v>
      </c>
      <c r="AU339" s="74" t="n">
        <v>57.2</v>
      </c>
      <c r="AV339" s="74" t="n">
        <v>8.648302078</v>
      </c>
      <c r="AW339" s="74" t="n">
        <v>9.823337527</v>
      </c>
      <c r="AX339" s="75" t="n">
        <v>100</v>
      </c>
      <c r="AY339" s="71" t="n">
        <v>22050000</v>
      </c>
      <c r="AZ339" s="71" t="n">
        <v>16300000</v>
      </c>
      <c r="BA339" s="71" t="n">
        <v>1331838.52</v>
      </c>
      <c r="BB339" s="71" t="n">
        <v>1287521.08</v>
      </c>
      <c r="BC339" s="69" t="inlineStr">
        <is>
          <t>Refinance</t>
        </is>
      </c>
      <c r="BD339" s="69" t="inlineStr">
        <is>
          <t>N</t>
        </is>
      </c>
      <c r="BE339" s="71" t="n"/>
      <c r="BF339" s="71" t="n"/>
      <c r="BG339" s="71" t="n"/>
      <c r="BH339" s="71" t="n">
        <v>0</v>
      </c>
      <c r="BI339" s="71" t="n">
        <v>0</v>
      </c>
      <c r="BJ339" s="69" t="inlineStr">
        <is>
          <t>N</t>
        </is>
      </c>
      <c r="BK339" s="69" t="inlineStr">
        <is>
          <t>FLIX</t>
        </is>
      </c>
      <c r="BL339" s="75" t="n">
        <v>63.45</v>
      </c>
      <c r="BM339" s="73" t="n">
        <v>48182</v>
      </c>
      <c r="BN339" s="69" t="inlineStr">
        <is>
          <t>Philip L. Lindborg; Jude L. Baca; William E. Schmidt</t>
        </is>
      </c>
      <c r="BO339" s="69" t="inlineStr">
        <is>
          <t>Ladder Capital Finance</t>
        </is>
      </c>
      <c r="BP339" s="69" t="inlineStr">
        <is>
          <t>Midland Loan Services</t>
        </is>
      </c>
      <c r="BQ339" s="69" t="inlineStr">
        <is>
          <t>Midland Loan Services</t>
        </is>
      </c>
      <c r="BR339" s="69" t="n"/>
      <c r="BS339" s="73" t="n">
        <v>46276</v>
      </c>
      <c r="BU339" s="76">
        <f>IF($C339="","",IFERROR(INDEX(dmName,MATCH($C339,dmID,0)),"Unmapped"))</f>
        <v/>
      </c>
      <c r="BV339" s="76">
        <f>IF($C339="","",IFERROR(INDEX(dmEntity,MATCH($C339,dmID,0)),"Unmapped"))</f>
        <v/>
      </c>
      <c r="BW339" s="77">
        <f>IF($C339="","",IFERROR(INDEX(dmVintage,MATCH($C339,dmID,0)),""))</f>
        <v/>
      </c>
      <c r="BX339" s="78">
        <f>IFERROR(INDEX(dmInclude,MATCH($C339,dmID,0)),0)</f>
        <v/>
      </c>
      <c r="BY339" s="78">
        <f>IF(N($I339)&gt;0,1,0)</f>
        <v/>
      </c>
      <c r="BZ339" s="76">
        <f>IF($AJ339="","Other / Leased Fee",IFERROR(INDEX(mapPTGroup,MATCH(LEFT(TRIM($AJ339),2),mapPTCode,0)),"Other / Leased Fee"))</f>
        <v/>
      </c>
      <c r="CA339" s="76">
        <f>IF(TRIM($AF339&amp;"")="","NR",LEFT(TRIM($AF339),2))</f>
        <v/>
      </c>
      <c r="CB339" s="76">
        <f>IFERROR(LOOKUP(2,1/(LEFT(TRIM($AI339&amp;""),LEN(mapRegion))=mapRegion),mapRegion),"Not Reported")</f>
        <v/>
      </c>
      <c r="CC339" s="76">
        <f>IF($BY339=0,"",IF(TRIM($W339&amp;"")="REO","REO",IF(TRIM($W339&amp;"")="FC","Foreclosure",IF(TRIM($W339&amp;"")="90+","90+ Days Delinquent",IF(TRIM($W339&amp;"")="60","60 Days Delinquent",IF(TRIM($W339&amp;"")="30","30 Days Delinquent",IF($X339="Non-Performing Matured Balloon","Non-Performing Matured Balloon",IF(OR($X339="Late Payment But Less Than 30 Days Delinquent",LEFT($X339&amp;"",20)="Payment Not Received"),"Late / In Grace (&lt;30 Days)",IF($X339="Performing Matured Balloon","Performing Matured Balloon","Current")))))))))</f>
        <v/>
      </c>
      <c r="CD339" s="78">
        <f>IF(OR($CC339="REO",$CC339="Foreclosure",$CC339="90+ Days Delinquent",$CC339="60 Days Delinquent",$CC339="30 Days Delinquent",$CC339="Non-Performing Matured Balloon"),1,0)</f>
        <v/>
      </c>
      <c r="CE339" s="76">
        <f>IF($AB339="Currently special serv","Currently Specially Serviced",IF($AB339="Returned to master serv","Previously Specially Serviced","Never Specially Serviced"))</f>
        <v/>
      </c>
      <c r="CF339" s="78">
        <f>IF($CE339="Currently Specially Serviced",1,0)</f>
        <v/>
      </c>
      <c r="CG339" s="76">
        <f>IF($AA339="Yes","Currently on Watchlist",IF($AA339="Previously","Previously on Watchlist","Never on Watchlist"))</f>
        <v/>
      </c>
      <c r="CH339" s="78">
        <f>IF($CG339="Currently on Watchlist",1,0)</f>
        <v/>
      </c>
      <c r="CI339" s="76">
        <f>IF($Z339="Full Defeasance","Fully Defeased",IF($Z339="Portion Of Loan Previously Defeased","Partially Defeased",IF($Z339="Defeasance Not Allowable","Not Defeased (Not Permitted)","Not Defeased")))</f>
        <v/>
      </c>
      <c r="CJ339" s="78">
        <f>IF($CI339="Fully Defeased",1,0)</f>
        <v/>
      </c>
      <c r="CK339" s="76">
        <f>IF($R339="IO","Full IO",IF(LEFT($R339&amp;"",7)="IO then","Partial IO","Amortizing"))</f>
        <v/>
      </c>
      <c r="CL339" s="78">
        <f>IF($CK339="Full IO",1,0)</f>
        <v/>
      </c>
      <c r="CM339" s="78">
        <f>IF($CK339="Partial IO",1,0)</f>
        <v/>
      </c>
      <c r="CN339" s="76">
        <f>IF(LEFT($F339&amp;"",10)="SPLIT_LOAN","Pari Passu Split","Standalone")</f>
        <v/>
      </c>
      <c r="CO339" s="78">
        <f>IF($CN339="Pari Passu Split",1,0)</f>
        <v/>
      </c>
      <c r="CP339" s="77">
        <f>IF(ISNUMBER($T339),YEAR($T339),"")</f>
        <v/>
      </c>
      <c r="CQ339" s="79">
        <f>IF(ISNUMBER($V339),$V339,IF(ISNUMBER($U339),$U339,""))</f>
        <v/>
      </c>
      <c r="CR339" s="77">
        <f>IF(ISNUMBER($CQ339),YEAR($CQ339),"")</f>
        <v/>
      </c>
      <c r="CS339" s="78">
        <f>IF(ISNUMBER($M339),MAX(0,$M339),IF(TRIM($M339&amp;"")="matured",0,""))</f>
        <v/>
      </c>
      <c r="CT339" s="78">
        <f>IF(AND(ISNUMBER($CS339),N($CS339)&lt;=mMatWindow),1,0)</f>
        <v/>
      </c>
      <c r="CU339" s="80">
        <f>IF(ISNUMBER($J339),$J339/100,"")</f>
        <v/>
      </c>
      <c r="CV339" s="81">
        <f>IF(ISNUMBER($AQ339),$AQ339,"")</f>
        <v/>
      </c>
      <c r="CW339" s="81">
        <f>IF(ISNUMBER($AR339),$AR339,"")</f>
        <v/>
      </c>
      <c r="CX339" s="82">
        <f>IF(ISNUMBER($AS339),$AS339/100,"")</f>
        <v/>
      </c>
      <c r="CY339" s="82">
        <f>IF(ISNUMBER($AT339),$AT339/100,"")</f>
        <v/>
      </c>
      <c r="CZ339" s="82">
        <f>IF(ISNUMBER($AU339),$AU339/100,"")</f>
        <v/>
      </c>
      <c r="DA339" s="82">
        <f>IF(ISNUMBER($AV339),$AV339/100,"")</f>
        <v/>
      </c>
      <c r="DB339" s="82">
        <f>IF(ISNUMBER($AW339),$AW339/100,"")</f>
        <v/>
      </c>
      <c r="DC339" s="82">
        <f>IF(ISNUMBER($AX339),$AX339/100,"")</f>
        <v/>
      </c>
      <c r="DD339" s="77">
        <f>IFERROR(VALUE(LEFT(TRIM($AO339&amp;""),4)),"")</f>
        <v/>
      </c>
      <c r="DE339" s="78">
        <f>IF(AND($BY339=1,$BX339=1,OR(fDeal="All Deals",$BU339=fDeal),OR(fEntity="All Entities",$BV339=fEntity),OR(fPType="All Property Types",$BZ339=fPType),OR(fDefeased="Include",$CJ339=0)),1,0)</f>
        <v/>
      </c>
      <c r="DF339" s="83">
        <f>$DE339*N($I339)</f>
        <v/>
      </c>
      <c r="DG339" s="78">
        <f>IF($DE339=1,IF(COUNTIFS($F$8:$F339,$F339,$DE$8:$DE339,1)=1,1,0),0)</f>
        <v/>
      </c>
      <c r="DH339" s="83">
        <f>IF($DG339=1,SUMIFS($DF$8:$DF$1600,$F$8:$F$1600,$F339),0)</f>
        <v/>
      </c>
      <c r="DI339" s="78">
        <f>IF($DG339=1,COUNTIFS($F$8:$F$1600,$F339,$DE$8:$DE$1600,1),0)</f>
        <v/>
      </c>
      <c r="DJ339" s="84">
        <f>IF($DG339=1,$DH339+(100000-ROW())/mTieBreak,0)</f>
        <v/>
      </c>
    </row>
    <row r="340">
      <c r="B340" s="68" t="n">
        <v>21</v>
      </c>
      <c r="C340" s="69" t="inlineStr">
        <is>
          <t>UBS18C08</t>
        </is>
      </c>
      <c r="D340" s="69" t="inlineStr">
        <is>
          <t>21.000</t>
        </is>
      </c>
      <c r="E340" s="69" t="inlineStr">
        <is>
          <t>South Bend Medical Office</t>
        </is>
      </c>
      <c r="F340" s="69" t="inlineStr">
        <is>
          <t>LNUBS18C08-21.000</t>
        </is>
      </c>
      <c r="G340" s="70" t="n"/>
      <c r="H340" s="71" t="n">
        <v>15200000</v>
      </c>
      <c r="I340" s="71" t="n">
        <v>13004386.8200048</v>
      </c>
      <c r="J340" s="72" t="n">
        <v>5.115</v>
      </c>
      <c r="K340" s="69" t="inlineStr">
        <is>
          <t>Fixed rate</t>
        </is>
      </c>
      <c r="L340" s="68" t="n">
        <v>120</v>
      </c>
      <c r="M340" s="68" t="n">
        <v>17</v>
      </c>
      <c r="N340" s="68" t="n">
        <v>360</v>
      </c>
      <c r="O340" s="68" t="n"/>
      <c r="P340" s="68" t="n"/>
      <c r="Q340" s="68" t="n">
        <v>103</v>
      </c>
      <c r="R340" s="69" t="n"/>
      <c r="S340" s="69" t="inlineStr">
        <is>
          <t>No</t>
        </is>
      </c>
      <c r="T340" s="73" t="n">
        <v>43132</v>
      </c>
      <c r="U340" s="73" t="n">
        <v>46789</v>
      </c>
      <c r="V340" s="73" t="n"/>
      <c r="W340" s="69" t="n"/>
      <c r="X340" s="69" t="inlineStr">
        <is>
          <t>Current</t>
        </is>
      </c>
      <c r="Y340" s="68" t="n"/>
      <c r="Z340" s="69" t="inlineStr">
        <is>
          <t>Full Defeasance</t>
        </is>
      </c>
      <c r="AA340" s="69" t="n"/>
      <c r="AB340" s="69" t="inlineStr">
        <is>
          <t>Never special serv</t>
        </is>
      </c>
      <c r="AC340" s="73" t="n"/>
      <c r="AD340" s="69" t="n"/>
      <c r="AE340" s="69" t="n"/>
      <c r="AF340" s="69" t="inlineStr">
        <is>
          <t>IN</t>
        </is>
      </c>
      <c r="AG340" s="69" t="inlineStr">
        <is>
          <t>South Bend</t>
        </is>
      </c>
      <c r="AH340" s="69" t="inlineStr">
        <is>
          <t>South Bend-Mishawaka, IN-MI</t>
        </is>
      </c>
      <c r="AI340" s="69" t="inlineStr">
        <is>
          <t>Midwest / Central East</t>
        </is>
      </c>
      <c r="AJ340" s="69" t="inlineStr">
        <is>
          <t>OF</t>
        </is>
      </c>
      <c r="AK340" s="69" t="inlineStr">
        <is>
          <t>Medical</t>
        </is>
      </c>
      <c r="AL340" s="68" t="n">
        <v>2</v>
      </c>
      <c r="AM340" s="68" t="n"/>
      <c r="AN340" s="68" t="n">
        <v>77393</v>
      </c>
      <c r="AO340" s="69" t="inlineStr">
        <is>
          <t>2000</t>
        </is>
      </c>
      <c r="AP340" s="70" t="n">
        <v>2000</v>
      </c>
      <c r="AQ340" s="74" t="n">
        <v>1.4</v>
      </c>
      <c r="AR340" s="74" t="n"/>
      <c r="AS340" s="74" t="n">
        <v>69.7</v>
      </c>
      <c r="AT340" s="74" t="n">
        <v>60.77</v>
      </c>
      <c r="AU340" s="74" t="n">
        <v>57.5</v>
      </c>
      <c r="AV340" s="74" t="n">
        <v>9.167907895000001</v>
      </c>
      <c r="AW340" s="74" t="n">
        <v>18.388644717</v>
      </c>
      <c r="AX340" s="75" t="n">
        <v>100</v>
      </c>
      <c r="AY340" s="71" t="n">
        <v>21400000</v>
      </c>
      <c r="AZ340" s="71" t="n">
        <v>21400000</v>
      </c>
      <c r="BA340" s="71" t="n">
        <v>1393522</v>
      </c>
      <c r="BB340" s="71" t="n">
        <v>2391330.49</v>
      </c>
      <c r="BC340" s="69" t="inlineStr">
        <is>
          <t>Acquisition</t>
        </is>
      </c>
      <c r="BD340" s="69" t="inlineStr">
        <is>
          <t>N</t>
        </is>
      </c>
      <c r="BE340" s="71" t="n"/>
      <c r="BF340" s="71" t="n"/>
      <c r="BG340" s="71" t="n"/>
      <c r="BH340" s="71" t="n">
        <v>0</v>
      </c>
      <c r="BI340" s="71" t="n">
        <v>0</v>
      </c>
      <c r="BJ340" s="69" t="inlineStr">
        <is>
          <t>N</t>
        </is>
      </c>
      <c r="BK340" s="69" t="inlineStr">
        <is>
          <t>Allied Physicians Surgery Center</t>
        </is>
      </c>
      <c r="BL340" s="75" t="n">
        <v>53.14</v>
      </c>
      <c r="BM340" s="73" t="n">
        <v>48627</v>
      </c>
      <c r="BN340" s="69" t="inlineStr">
        <is>
          <t>Ryan C. Rans</t>
        </is>
      </c>
      <c r="BO340" s="69" t="inlineStr">
        <is>
          <t>Cantor Commercial Real Estate Lending</t>
        </is>
      </c>
      <c r="BP340" s="69" t="inlineStr">
        <is>
          <t>Midland Loan Services</t>
        </is>
      </c>
      <c r="BQ340" s="69" t="inlineStr">
        <is>
          <t>Midland Loan Services</t>
        </is>
      </c>
      <c r="BR340" s="69" t="n"/>
      <c r="BS340" s="73" t="n">
        <v>46276</v>
      </c>
      <c r="BU340" s="76">
        <f>IF($C340="","",IFERROR(INDEX(dmName,MATCH($C340,dmID,0)),"Unmapped"))</f>
        <v/>
      </c>
      <c r="BV340" s="76">
        <f>IF($C340="","",IFERROR(INDEX(dmEntity,MATCH($C340,dmID,0)),"Unmapped"))</f>
        <v/>
      </c>
      <c r="BW340" s="77">
        <f>IF($C340="","",IFERROR(INDEX(dmVintage,MATCH($C340,dmID,0)),""))</f>
        <v/>
      </c>
      <c r="BX340" s="78">
        <f>IFERROR(INDEX(dmInclude,MATCH($C340,dmID,0)),0)</f>
        <v/>
      </c>
      <c r="BY340" s="78">
        <f>IF(N($I340)&gt;0,1,0)</f>
        <v/>
      </c>
      <c r="BZ340" s="76">
        <f>IF($AJ340="","Other / Leased Fee",IFERROR(INDEX(mapPTGroup,MATCH(LEFT(TRIM($AJ340),2),mapPTCode,0)),"Other / Leased Fee"))</f>
        <v/>
      </c>
      <c r="CA340" s="76">
        <f>IF(TRIM($AF340&amp;"")="","NR",LEFT(TRIM($AF340),2))</f>
        <v/>
      </c>
      <c r="CB340" s="76">
        <f>IFERROR(LOOKUP(2,1/(LEFT(TRIM($AI340&amp;""),LEN(mapRegion))=mapRegion),mapRegion),"Not Reported")</f>
        <v/>
      </c>
      <c r="CC340" s="76">
        <f>IF($BY340=0,"",IF(TRIM($W340&amp;"")="REO","REO",IF(TRIM($W340&amp;"")="FC","Foreclosure",IF(TRIM($W340&amp;"")="90+","90+ Days Delinquent",IF(TRIM($W340&amp;"")="60","60 Days Delinquent",IF(TRIM($W340&amp;"")="30","30 Days Delinquent",IF($X340="Non-Performing Matured Balloon","Non-Performing Matured Balloon",IF(OR($X340="Late Payment But Less Than 30 Days Delinquent",LEFT($X340&amp;"",20)="Payment Not Received"),"Late / In Grace (&lt;30 Days)",IF($X340="Performing Matured Balloon","Performing Matured Balloon","Current")))))))))</f>
        <v/>
      </c>
      <c r="CD340" s="78">
        <f>IF(OR($CC340="REO",$CC340="Foreclosure",$CC340="90+ Days Delinquent",$CC340="60 Days Delinquent",$CC340="30 Days Delinquent",$CC340="Non-Performing Matured Balloon"),1,0)</f>
        <v/>
      </c>
      <c r="CE340" s="76">
        <f>IF($AB340="Currently special serv","Currently Specially Serviced",IF($AB340="Returned to master serv","Previously Specially Serviced","Never Specially Serviced"))</f>
        <v/>
      </c>
      <c r="CF340" s="78">
        <f>IF($CE340="Currently Specially Serviced",1,0)</f>
        <v/>
      </c>
      <c r="CG340" s="76">
        <f>IF($AA340="Yes","Currently on Watchlist",IF($AA340="Previously","Previously on Watchlist","Never on Watchlist"))</f>
        <v/>
      </c>
      <c r="CH340" s="78">
        <f>IF($CG340="Currently on Watchlist",1,0)</f>
        <v/>
      </c>
      <c r="CI340" s="76">
        <f>IF($Z340="Full Defeasance","Fully Defeased",IF($Z340="Portion Of Loan Previously Defeased","Partially Defeased",IF($Z340="Defeasance Not Allowable","Not Defeased (Not Permitted)","Not Defeased")))</f>
        <v/>
      </c>
      <c r="CJ340" s="78">
        <f>IF($CI340="Fully Defeased",1,0)</f>
        <v/>
      </c>
      <c r="CK340" s="76">
        <f>IF($R340="IO","Full IO",IF(LEFT($R340&amp;"",7)="IO then","Partial IO","Amortizing"))</f>
        <v/>
      </c>
      <c r="CL340" s="78">
        <f>IF($CK340="Full IO",1,0)</f>
        <v/>
      </c>
      <c r="CM340" s="78">
        <f>IF($CK340="Partial IO",1,0)</f>
        <v/>
      </c>
      <c r="CN340" s="76">
        <f>IF(LEFT($F340&amp;"",10)="SPLIT_LOAN","Pari Passu Split","Standalone")</f>
        <v/>
      </c>
      <c r="CO340" s="78">
        <f>IF($CN340="Pari Passu Split",1,0)</f>
        <v/>
      </c>
      <c r="CP340" s="77">
        <f>IF(ISNUMBER($T340),YEAR($T340),"")</f>
        <v/>
      </c>
      <c r="CQ340" s="79">
        <f>IF(ISNUMBER($V340),$V340,IF(ISNUMBER($U340),$U340,""))</f>
        <v/>
      </c>
      <c r="CR340" s="77">
        <f>IF(ISNUMBER($CQ340),YEAR($CQ340),"")</f>
        <v/>
      </c>
      <c r="CS340" s="78">
        <f>IF(ISNUMBER($M340),MAX(0,$M340),IF(TRIM($M340&amp;"")="matured",0,""))</f>
        <v/>
      </c>
      <c r="CT340" s="78">
        <f>IF(AND(ISNUMBER($CS340),N($CS340)&lt;=mMatWindow),1,0)</f>
        <v/>
      </c>
      <c r="CU340" s="80">
        <f>IF(ISNUMBER($J340),$J340/100,"")</f>
        <v/>
      </c>
      <c r="CV340" s="81">
        <f>IF(ISNUMBER($AQ340),$AQ340,"")</f>
        <v/>
      </c>
      <c r="CW340" s="81">
        <f>IF(ISNUMBER($AR340),$AR340,"")</f>
        <v/>
      </c>
      <c r="CX340" s="82">
        <f>IF(ISNUMBER($AS340),$AS340/100,"")</f>
        <v/>
      </c>
      <c r="CY340" s="82">
        <f>IF(ISNUMBER($AT340),$AT340/100,"")</f>
        <v/>
      </c>
      <c r="CZ340" s="82">
        <f>IF(ISNUMBER($AU340),$AU340/100,"")</f>
        <v/>
      </c>
      <c r="DA340" s="82">
        <f>IF(ISNUMBER($AV340),$AV340/100,"")</f>
        <v/>
      </c>
      <c r="DB340" s="82">
        <f>IF(ISNUMBER($AW340),$AW340/100,"")</f>
        <v/>
      </c>
      <c r="DC340" s="82">
        <f>IF(ISNUMBER($AX340),$AX340/100,"")</f>
        <v/>
      </c>
      <c r="DD340" s="77">
        <f>IFERROR(VALUE(LEFT(TRIM($AO340&amp;""),4)),"")</f>
        <v/>
      </c>
      <c r="DE340" s="78">
        <f>IF(AND($BY340=1,$BX340=1,OR(fDeal="All Deals",$BU340=fDeal),OR(fEntity="All Entities",$BV340=fEntity),OR(fPType="All Property Types",$BZ340=fPType),OR(fDefeased="Include",$CJ340=0)),1,0)</f>
        <v/>
      </c>
      <c r="DF340" s="83">
        <f>$DE340*N($I340)</f>
        <v/>
      </c>
      <c r="DG340" s="78">
        <f>IF($DE340=1,IF(COUNTIFS($F$8:$F340,$F340,$DE$8:$DE340,1)=1,1,0),0)</f>
        <v/>
      </c>
      <c r="DH340" s="83">
        <f>IF($DG340=1,SUMIFS($DF$8:$DF$1600,$F$8:$F$1600,$F340),0)</f>
        <v/>
      </c>
      <c r="DI340" s="78">
        <f>IF($DG340=1,COUNTIFS($F$8:$F$1600,$F340,$DE$8:$DE$1600,1),0)</f>
        <v/>
      </c>
      <c r="DJ340" s="84">
        <f>IF($DG340=1,$DH340+(100000-ROW())/mTieBreak,0)</f>
        <v/>
      </c>
    </row>
    <row r="341">
      <c r="B341" s="68" t="n">
        <v>22</v>
      </c>
      <c r="C341" s="69" t="inlineStr">
        <is>
          <t>UBS18C08</t>
        </is>
      </c>
      <c r="D341" s="69" t="inlineStr">
        <is>
          <t>22.TR</t>
        </is>
      </c>
      <c r="E341" s="69" t="inlineStr">
        <is>
          <t>Yorkshire &amp; Lexington Towers - Trust</t>
        </is>
      </c>
      <c r="F341" s="69" t="inlineStr">
        <is>
          <t>SPLIT_LOAN_01115</t>
        </is>
      </c>
      <c r="G341" s="70" t="n">
        <v>1115</v>
      </c>
      <c r="H341" s="71" t="n">
        <v>15000000</v>
      </c>
      <c r="I341" s="71" t="n">
        <v>0</v>
      </c>
      <c r="J341" s="72" t="n">
        <v>2.74</v>
      </c>
      <c r="K341" s="69" t="inlineStr">
        <is>
          <t>Fixed rate</t>
        </is>
      </c>
      <c r="L341" s="68" t="n">
        <v>60</v>
      </c>
      <c r="M341" s="68" t="n"/>
      <c r="N341" s="68" t="n">
        <v>60</v>
      </c>
      <c r="O341" s="68" t="n">
        <v>60</v>
      </c>
      <c r="P341" s="68" t="n"/>
      <c r="Q341" s="68" t="n"/>
      <c r="R341" s="69" t="inlineStr">
        <is>
          <t>IO</t>
        </is>
      </c>
      <c r="S341" s="69" t="inlineStr">
        <is>
          <t>Yes</t>
        </is>
      </c>
      <c r="T341" s="73" t="n">
        <v>43040</v>
      </c>
      <c r="U341" s="73" t="n">
        <v>44840</v>
      </c>
      <c r="V341" s="73" t="n"/>
      <c r="W341" s="69" t="n"/>
      <c r="X341" s="69" t="inlineStr">
        <is>
          <t>Current</t>
        </is>
      </c>
      <c r="Y341" s="68" t="n"/>
      <c r="Z341" s="69" t="inlineStr">
        <is>
          <t>No Defeasance Occurred</t>
        </is>
      </c>
      <c r="AA341" s="69" t="inlineStr">
        <is>
          <t>Previously</t>
        </is>
      </c>
      <c r="AB341" s="69" t="inlineStr">
        <is>
          <t>Never special serv</t>
        </is>
      </c>
      <c r="AC341" s="73" t="n"/>
      <c r="AD341" s="69" t="n"/>
      <c r="AE341" s="69" t="n"/>
      <c r="AF341" s="69" t="inlineStr">
        <is>
          <t>NY</t>
        </is>
      </c>
      <c r="AG341" s="69" t="inlineStr">
        <is>
          <t>New York</t>
        </is>
      </c>
      <c r="AH341" s="69" t="inlineStr">
        <is>
          <t>New York-Newark-Jersey City, NY-NJ</t>
        </is>
      </c>
      <c r="AI341" s="69" t="inlineStr">
        <is>
          <t>Northeast / Mid-Atlantic</t>
        </is>
      </c>
      <c r="AJ341" s="69" t="inlineStr">
        <is>
          <t>MF</t>
        </is>
      </c>
      <c r="AK341" s="69" t="inlineStr">
        <is>
          <t>High Rise</t>
        </is>
      </c>
      <c r="AL341" s="68" t="n">
        <v>1</v>
      </c>
      <c r="AM341" s="68" t="n">
        <v>827</v>
      </c>
      <c r="AN341" s="68" t="n"/>
      <c r="AO341" s="69" t="n"/>
      <c r="AP341" s="70" t="n">
        <v>2017</v>
      </c>
      <c r="AQ341" s="74" t="n">
        <v>4.28</v>
      </c>
      <c r="AR341" s="74" t="n">
        <v>3.92</v>
      </c>
      <c r="AS341" s="74" t="n">
        <v>22.5</v>
      </c>
      <c r="AT341" s="74" t="n"/>
      <c r="AU341" s="74" t="n">
        <v>22.5</v>
      </c>
      <c r="AV341" s="74" t="n">
        <v>11.8824925</v>
      </c>
      <c r="AW341" s="74" t="n"/>
      <c r="AX341" s="75" t="n">
        <v>81</v>
      </c>
      <c r="AY341" s="71" t="n">
        <v>890000000</v>
      </c>
      <c r="AZ341" s="71" t="n">
        <v>890000000</v>
      </c>
      <c r="BA341" s="71" t="n">
        <v>23764985</v>
      </c>
      <c r="BB341" s="71" t="n">
        <v>18318008.68</v>
      </c>
      <c r="BC341" s="69" t="inlineStr">
        <is>
          <t>Refinance</t>
        </is>
      </c>
      <c r="BD341" s="69" t="inlineStr">
        <is>
          <t>N</t>
        </is>
      </c>
      <c r="BE341" s="71" t="n">
        <v>0</v>
      </c>
      <c r="BF341" s="71" t="n">
        <v>0</v>
      </c>
      <c r="BG341" s="71" t="n">
        <v>150000000</v>
      </c>
      <c r="BH341" s="71" t="n">
        <v>0</v>
      </c>
      <c r="BI341" s="71" t="n">
        <v>0</v>
      </c>
      <c r="BJ341" s="69" t="inlineStr">
        <is>
          <t>N</t>
        </is>
      </c>
      <c r="BK341" s="69" t="n"/>
      <c r="BL341" s="75" t="n"/>
      <c r="BM341" s="73" t="n"/>
      <c r="BN341" s="69" t="inlineStr">
        <is>
          <t>The Chetrit Group LLC; Stellar Management LLC</t>
        </is>
      </c>
      <c r="BO341" s="69" t="inlineStr">
        <is>
          <t>Natixis / UBS</t>
        </is>
      </c>
      <c r="BP341" s="69" t="inlineStr">
        <is>
          <t>Midland Loan Services</t>
        </is>
      </c>
      <c r="BQ341" s="69" t="inlineStr">
        <is>
          <t>CWCapital</t>
        </is>
      </c>
      <c r="BR341" s="69" t="inlineStr">
        <is>
          <t>Payoff Prior To Maturity</t>
        </is>
      </c>
      <c r="BS341" s="73" t="n">
        <v>44725</v>
      </c>
      <c r="BU341" s="76">
        <f>IF($C341="","",IFERROR(INDEX(dmName,MATCH($C341,dmID,0)),"Unmapped"))</f>
        <v/>
      </c>
      <c r="BV341" s="76">
        <f>IF($C341="","",IFERROR(INDEX(dmEntity,MATCH($C341,dmID,0)),"Unmapped"))</f>
        <v/>
      </c>
      <c r="BW341" s="77">
        <f>IF($C341="","",IFERROR(INDEX(dmVintage,MATCH($C341,dmID,0)),""))</f>
        <v/>
      </c>
      <c r="BX341" s="78">
        <f>IFERROR(INDEX(dmInclude,MATCH($C341,dmID,0)),0)</f>
        <v/>
      </c>
      <c r="BY341" s="78">
        <f>IF(N($I341)&gt;0,1,0)</f>
        <v/>
      </c>
      <c r="BZ341" s="76">
        <f>IF($AJ341="","Other / Leased Fee",IFERROR(INDEX(mapPTGroup,MATCH(LEFT(TRIM($AJ341),2),mapPTCode,0)),"Other / Leased Fee"))</f>
        <v/>
      </c>
      <c r="CA341" s="76">
        <f>IF(TRIM($AF341&amp;"")="","NR",LEFT(TRIM($AF341),2))</f>
        <v/>
      </c>
      <c r="CB341" s="76">
        <f>IFERROR(LOOKUP(2,1/(LEFT(TRIM($AI341&amp;""),LEN(mapRegion))=mapRegion),mapRegion),"Not Reported")</f>
        <v/>
      </c>
      <c r="CC341" s="76">
        <f>IF($BY341=0,"",IF(TRIM($W341&amp;"")="REO","REO",IF(TRIM($W341&amp;"")="FC","Foreclosure",IF(TRIM($W341&amp;"")="90+","90+ Days Delinquent",IF(TRIM($W341&amp;"")="60","60 Days Delinquent",IF(TRIM($W341&amp;"")="30","30 Days Delinquent",IF($X341="Non-Performing Matured Balloon","Non-Performing Matured Balloon",IF(OR($X341="Late Payment But Less Than 30 Days Delinquent",LEFT($X341&amp;"",20)="Payment Not Received"),"Late / In Grace (&lt;30 Days)",IF($X341="Performing Matured Balloon","Performing Matured Balloon","Current")))))))))</f>
        <v/>
      </c>
      <c r="CD341" s="78">
        <f>IF(OR($CC341="REO",$CC341="Foreclosure",$CC341="90+ Days Delinquent",$CC341="60 Days Delinquent",$CC341="30 Days Delinquent",$CC341="Non-Performing Matured Balloon"),1,0)</f>
        <v/>
      </c>
      <c r="CE341" s="76">
        <f>IF($AB341="Currently special serv","Currently Specially Serviced",IF($AB341="Returned to master serv","Previously Specially Serviced","Never Specially Serviced"))</f>
        <v/>
      </c>
      <c r="CF341" s="78">
        <f>IF($CE341="Currently Specially Serviced",1,0)</f>
        <v/>
      </c>
      <c r="CG341" s="76">
        <f>IF($AA341="Yes","Currently on Watchlist",IF($AA341="Previously","Previously on Watchlist","Never on Watchlist"))</f>
        <v/>
      </c>
      <c r="CH341" s="78">
        <f>IF($CG341="Currently on Watchlist",1,0)</f>
        <v/>
      </c>
      <c r="CI341" s="76">
        <f>IF($Z341="Full Defeasance","Fully Defeased",IF($Z341="Portion Of Loan Previously Defeased","Partially Defeased",IF($Z341="Defeasance Not Allowable","Not Defeased (Not Permitted)","Not Defeased")))</f>
        <v/>
      </c>
      <c r="CJ341" s="78">
        <f>IF($CI341="Fully Defeased",1,0)</f>
        <v/>
      </c>
      <c r="CK341" s="76">
        <f>IF($R341="IO","Full IO",IF(LEFT($R341&amp;"",7)="IO then","Partial IO","Amortizing"))</f>
        <v/>
      </c>
      <c r="CL341" s="78">
        <f>IF($CK341="Full IO",1,0)</f>
        <v/>
      </c>
      <c r="CM341" s="78">
        <f>IF($CK341="Partial IO",1,0)</f>
        <v/>
      </c>
      <c r="CN341" s="76">
        <f>IF(LEFT($F341&amp;"",10)="SPLIT_LOAN","Pari Passu Split","Standalone")</f>
        <v/>
      </c>
      <c r="CO341" s="78">
        <f>IF($CN341="Pari Passu Split",1,0)</f>
        <v/>
      </c>
      <c r="CP341" s="77">
        <f>IF(ISNUMBER($T341),YEAR($T341),"")</f>
        <v/>
      </c>
      <c r="CQ341" s="79">
        <f>IF(ISNUMBER($V341),$V341,IF(ISNUMBER($U341),$U341,""))</f>
        <v/>
      </c>
      <c r="CR341" s="77">
        <f>IF(ISNUMBER($CQ341),YEAR($CQ341),"")</f>
        <v/>
      </c>
      <c r="CS341" s="78">
        <f>IF(ISNUMBER($M341),MAX(0,$M341),IF(TRIM($M341&amp;"")="matured",0,""))</f>
        <v/>
      </c>
      <c r="CT341" s="78">
        <f>IF(AND(ISNUMBER($CS341),N($CS341)&lt;=mMatWindow),1,0)</f>
        <v/>
      </c>
      <c r="CU341" s="80">
        <f>IF(ISNUMBER($J341),$J341/100,"")</f>
        <v/>
      </c>
      <c r="CV341" s="81">
        <f>IF(ISNUMBER($AQ341),$AQ341,"")</f>
        <v/>
      </c>
      <c r="CW341" s="81">
        <f>IF(ISNUMBER($AR341),$AR341,"")</f>
        <v/>
      </c>
      <c r="CX341" s="82">
        <f>IF(ISNUMBER($AS341),$AS341/100,"")</f>
        <v/>
      </c>
      <c r="CY341" s="82">
        <f>IF(ISNUMBER($AT341),$AT341/100,"")</f>
        <v/>
      </c>
      <c r="CZ341" s="82">
        <f>IF(ISNUMBER($AU341),$AU341/100,"")</f>
        <v/>
      </c>
      <c r="DA341" s="82">
        <f>IF(ISNUMBER($AV341),$AV341/100,"")</f>
        <v/>
      </c>
      <c r="DB341" s="82">
        <f>IF(ISNUMBER($AW341),$AW341/100,"")</f>
        <v/>
      </c>
      <c r="DC341" s="82">
        <f>IF(ISNUMBER($AX341),$AX341/100,"")</f>
        <v/>
      </c>
      <c r="DD341" s="77">
        <f>IFERROR(VALUE(LEFT(TRIM($AO341&amp;""),4)),"")</f>
        <v/>
      </c>
      <c r="DE341" s="78">
        <f>IF(AND($BY341=1,$BX341=1,OR(fDeal="All Deals",$BU341=fDeal),OR(fEntity="All Entities",$BV341=fEntity),OR(fPType="All Property Types",$BZ341=fPType),OR(fDefeased="Include",$CJ341=0)),1,0)</f>
        <v/>
      </c>
      <c r="DF341" s="83">
        <f>$DE341*N($I341)</f>
        <v/>
      </c>
      <c r="DG341" s="78">
        <f>IF($DE341=1,IF(COUNTIFS($F$8:$F341,$F341,$DE$8:$DE341,1)=1,1,0),0)</f>
        <v/>
      </c>
      <c r="DH341" s="83">
        <f>IF($DG341=1,SUMIFS($DF$8:$DF$1600,$F$8:$F$1600,$F341),0)</f>
        <v/>
      </c>
      <c r="DI341" s="78">
        <f>IF($DG341=1,COUNTIFS($F$8:$F$1600,$F341,$DE$8:$DE$1600,1),0)</f>
        <v/>
      </c>
      <c r="DJ341" s="84">
        <f>IF($DG341=1,$DH341+(100000-ROW())/mTieBreak,0)</f>
        <v/>
      </c>
    </row>
    <row r="342">
      <c r="B342" s="68" t="n">
        <v>23</v>
      </c>
      <c r="C342" s="69" t="inlineStr">
        <is>
          <t>UBS18C08</t>
        </is>
      </c>
      <c r="D342" s="69" t="inlineStr">
        <is>
          <t>23.000</t>
        </is>
      </c>
      <c r="E342" s="69" t="inlineStr">
        <is>
          <t>Chicago Industrial Portfolio</t>
        </is>
      </c>
      <c r="F342" s="69" t="inlineStr">
        <is>
          <t>LNUBS18C08-23.000</t>
        </is>
      </c>
      <c r="G342" s="70" t="n"/>
      <c r="H342" s="71" t="n">
        <v>14400000</v>
      </c>
      <c r="I342" s="71" t="n">
        <v>12029024.88</v>
      </c>
      <c r="J342" s="72" t="n">
        <v>4.27</v>
      </c>
      <c r="K342" s="69" t="inlineStr">
        <is>
          <t>Fixed rate</t>
        </is>
      </c>
      <c r="L342" s="68" t="n">
        <v>120</v>
      </c>
      <c r="M342" s="68" t="n">
        <v>17</v>
      </c>
      <c r="N342" s="68" t="n">
        <v>360</v>
      </c>
      <c r="O342" s="68" t="n"/>
      <c r="P342" s="68" t="n"/>
      <c r="Q342" s="68" t="n">
        <v>103</v>
      </c>
      <c r="R342" s="69" t="n"/>
      <c r="S342" s="69" t="inlineStr">
        <is>
          <t>No</t>
        </is>
      </c>
      <c r="T342" s="73" t="n">
        <v>43132</v>
      </c>
      <c r="U342" s="73" t="n">
        <v>46784</v>
      </c>
      <c r="V342" s="73" t="n"/>
      <c r="W342" s="69" t="n"/>
      <c r="X342" s="69" t="inlineStr">
        <is>
          <t>Current</t>
        </is>
      </c>
      <c r="Y342" s="68" t="n"/>
      <c r="Z342" s="69" t="inlineStr">
        <is>
          <t>No Defeasance Occurred</t>
        </is>
      </c>
      <c r="AA342" s="69" t="inlineStr">
        <is>
          <t>Yes</t>
        </is>
      </c>
      <c r="AB342" s="69" t="inlineStr">
        <is>
          <t>Never special serv</t>
        </is>
      </c>
      <c r="AC342" s="73" t="n"/>
      <c r="AD342" s="69" t="n"/>
      <c r="AE342" s="69" t="n"/>
      <c r="AF342" s="69" t="inlineStr">
        <is>
          <t>IL</t>
        </is>
      </c>
      <c r="AG342" s="69" t="n"/>
      <c r="AH342" s="69" t="inlineStr">
        <is>
          <t>Chicago-Naperville-Elgin, IL-IN</t>
        </is>
      </c>
      <c r="AI342" s="69" t="inlineStr">
        <is>
          <t>Midwest / Central East</t>
        </is>
      </c>
      <c r="AJ342" s="69" t="inlineStr">
        <is>
          <t>IN</t>
        </is>
      </c>
      <c r="AK342" s="69" t="inlineStr">
        <is>
          <t>Warehouse/Distribution</t>
        </is>
      </c>
      <c r="AL342" s="68" t="n">
        <v>3</v>
      </c>
      <c r="AM342" s="68" t="n"/>
      <c r="AN342" s="68" t="n">
        <v>637746</v>
      </c>
      <c r="AO342" s="69" t="n"/>
      <c r="AP342" s="70" t="n">
        <v>1980</v>
      </c>
      <c r="AQ342" s="74" t="n">
        <v>1.75</v>
      </c>
      <c r="AR342" s="74" t="n"/>
      <c r="AS342" s="74" t="n">
        <v>57.1</v>
      </c>
      <c r="AT342" s="74" t="n">
        <v>47.73</v>
      </c>
      <c r="AU342" s="74" t="n">
        <v>45.8</v>
      </c>
      <c r="AV342" s="74" t="n">
        <v>10.339035347</v>
      </c>
      <c r="AW342" s="74" t="n">
        <v>17.022724788</v>
      </c>
      <c r="AX342" s="75" t="n">
        <v>88</v>
      </c>
      <c r="AY342" s="71" t="n">
        <v>25200000</v>
      </c>
      <c r="AZ342" s="71" t="n">
        <v>25200000</v>
      </c>
      <c r="BA342" s="71" t="n">
        <v>1488821.09</v>
      </c>
      <c r="BB342" s="71" t="n">
        <v>260566.5</v>
      </c>
      <c r="BC342" s="69" t="inlineStr">
        <is>
          <t>Acquisition</t>
        </is>
      </c>
      <c r="BD342" s="69" t="inlineStr">
        <is>
          <t>N</t>
        </is>
      </c>
      <c r="BE342" s="71" t="n"/>
      <c r="BF342" s="71" t="n"/>
      <c r="BG342" s="71" t="n"/>
      <c r="BH342" s="71" t="n">
        <v>0</v>
      </c>
      <c r="BI342" s="71" t="n">
        <v>0</v>
      </c>
      <c r="BJ342" s="69" t="inlineStr">
        <is>
          <t>N</t>
        </is>
      </c>
      <c r="BK342" s="69" t="inlineStr">
        <is>
          <t>Sheet Metal Werks Inc.</t>
        </is>
      </c>
      <c r="BL342" s="75" t="n">
        <v>20.86</v>
      </c>
      <c r="BM342" s="73" t="n">
        <v>46996</v>
      </c>
      <c r="BN342" s="69" t="inlineStr">
        <is>
          <t>Benjamin B. Rubin; Samuel I. Kirschenbaum</t>
        </is>
      </c>
      <c r="BO342" s="69" t="inlineStr">
        <is>
          <t>Societe Generale</t>
        </is>
      </c>
      <c r="BP342" s="69" t="inlineStr">
        <is>
          <t>Midland Loan Services</t>
        </is>
      </c>
      <c r="BQ342" s="69" t="inlineStr">
        <is>
          <t>Midland Loan Services</t>
        </is>
      </c>
      <c r="BR342" s="69" t="n"/>
      <c r="BS342" s="73" t="n">
        <v>46276</v>
      </c>
      <c r="BU342" s="76">
        <f>IF($C342="","",IFERROR(INDEX(dmName,MATCH($C342,dmID,0)),"Unmapped"))</f>
        <v/>
      </c>
      <c r="BV342" s="76">
        <f>IF($C342="","",IFERROR(INDEX(dmEntity,MATCH($C342,dmID,0)),"Unmapped"))</f>
        <v/>
      </c>
      <c r="BW342" s="77">
        <f>IF($C342="","",IFERROR(INDEX(dmVintage,MATCH($C342,dmID,0)),""))</f>
        <v/>
      </c>
      <c r="BX342" s="78">
        <f>IFERROR(INDEX(dmInclude,MATCH($C342,dmID,0)),0)</f>
        <v/>
      </c>
      <c r="BY342" s="78">
        <f>IF(N($I342)&gt;0,1,0)</f>
        <v/>
      </c>
      <c r="BZ342" s="76">
        <f>IF($AJ342="","Other / Leased Fee",IFERROR(INDEX(mapPTGroup,MATCH(LEFT(TRIM($AJ342),2),mapPTCode,0)),"Other / Leased Fee"))</f>
        <v/>
      </c>
      <c r="CA342" s="76">
        <f>IF(TRIM($AF342&amp;"")="","NR",LEFT(TRIM($AF342),2))</f>
        <v/>
      </c>
      <c r="CB342" s="76">
        <f>IFERROR(LOOKUP(2,1/(LEFT(TRIM($AI342&amp;""),LEN(mapRegion))=mapRegion),mapRegion),"Not Reported")</f>
        <v/>
      </c>
      <c r="CC342" s="76">
        <f>IF($BY342=0,"",IF(TRIM($W342&amp;"")="REO","REO",IF(TRIM($W342&amp;"")="FC","Foreclosure",IF(TRIM($W342&amp;"")="90+","90+ Days Delinquent",IF(TRIM($W342&amp;"")="60","60 Days Delinquent",IF(TRIM($W342&amp;"")="30","30 Days Delinquent",IF($X342="Non-Performing Matured Balloon","Non-Performing Matured Balloon",IF(OR($X342="Late Payment But Less Than 30 Days Delinquent",LEFT($X342&amp;"",20)="Payment Not Received"),"Late / In Grace (&lt;30 Days)",IF($X342="Performing Matured Balloon","Performing Matured Balloon","Current")))))))))</f>
        <v/>
      </c>
      <c r="CD342" s="78">
        <f>IF(OR($CC342="REO",$CC342="Foreclosure",$CC342="90+ Days Delinquent",$CC342="60 Days Delinquent",$CC342="30 Days Delinquent",$CC342="Non-Performing Matured Balloon"),1,0)</f>
        <v/>
      </c>
      <c r="CE342" s="76">
        <f>IF($AB342="Currently special serv","Currently Specially Serviced",IF($AB342="Returned to master serv","Previously Specially Serviced","Never Specially Serviced"))</f>
        <v/>
      </c>
      <c r="CF342" s="78">
        <f>IF($CE342="Currently Specially Serviced",1,0)</f>
        <v/>
      </c>
      <c r="CG342" s="76">
        <f>IF($AA342="Yes","Currently on Watchlist",IF($AA342="Previously","Previously on Watchlist","Never on Watchlist"))</f>
        <v/>
      </c>
      <c r="CH342" s="78">
        <f>IF($CG342="Currently on Watchlist",1,0)</f>
        <v/>
      </c>
      <c r="CI342" s="76">
        <f>IF($Z342="Full Defeasance","Fully Defeased",IF($Z342="Portion Of Loan Previously Defeased","Partially Defeased",IF($Z342="Defeasance Not Allowable","Not Defeased (Not Permitted)","Not Defeased")))</f>
        <v/>
      </c>
      <c r="CJ342" s="78">
        <f>IF($CI342="Fully Defeased",1,0)</f>
        <v/>
      </c>
      <c r="CK342" s="76">
        <f>IF($R342="IO","Full IO",IF(LEFT($R342&amp;"",7)="IO then","Partial IO","Amortizing"))</f>
        <v/>
      </c>
      <c r="CL342" s="78">
        <f>IF($CK342="Full IO",1,0)</f>
        <v/>
      </c>
      <c r="CM342" s="78">
        <f>IF($CK342="Partial IO",1,0)</f>
        <v/>
      </c>
      <c r="CN342" s="76">
        <f>IF(LEFT($F342&amp;"",10)="SPLIT_LOAN","Pari Passu Split","Standalone")</f>
        <v/>
      </c>
      <c r="CO342" s="78">
        <f>IF($CN342="Pari Passu Split",1,0)</f>
        <v/>
      </c>
      <c r="CP342" s="77">
        <f>IF(ISNUMBER($T342),YEAR($T342),"")</f>
        <v/>
      </c>
      <c r="CQ342" s="79">
        <f>IF(ISNUMBER($V342),$V342,IF(ISNUMBER($U342),$U342,""))</f>
        <v/>
      </c>
      <c r="CR342" s="77">
        <f>IF(ISNUMBER($CQ342),YEAR($CQ342),"")</f>
        <v/>
      </c>
      <c r="CS342" s="78">
        <f>IF(ISNUMBER($M342),MAX(0,$M342),IF(TRIM($M342&amp;"")="matured",0,""))</f>
        <v/>
      </c>
      <c r="CT342" s="78">
        <f>IF(AND(ISNUMBER($CS342),N($CS342)&lt;=mMatWindow),1,0)</f>
        <v/>
      </c>
      <c r="CU342" s="80">
        <f>IF(ISNUMBER($J342),$J342/100,"")</f>
        <v/>
      </c>
      <c r="CV342" s="81">
        <f>IF(ISNUMBER($AQ342),$AQ342,"")</f>
        <v/>
      </c>
      <c r="CW342" s="81">
        <f>IF(ISNUMBER($AR342),$AR342,"")</f>
        <v/>
      </c>
      <c r="CX342" s="82">
        <f>IF(ISNUMBER($AS342),$AS342/100,"")</f>
        <v/>
      </c>
      <c r="CY342" s="82">
        <f>IF(ISNUMBER($AT342),$AT342/100,"")</f>
        <v/>
      </c>
      <c r="CZ342" s="82">
        <f>IF(ISNUMBER($AU342),$AU342/100,"")</f>
        <v/>
      </c>
      <c r="DA342" s="82">
        <f>IF(ISNUMBER($AV342),$AV342/100,"")</f>
        <v/>
      </c>
      <c r="DB342" s="82">
        <f>IF(ISNUMBER($AW342),$AW342/100,"")</f>
        <v/>
      </c>
      <c r="DC342" s="82">
        <f>IF(ISNUMBER($AX342),$AX342/100,"")</f>
        <v/>
      </c>
      <c r="DD342" s="77">
        <f>IFERROR(VALUE(LEFT(TRIM($AO342&amp;""),4)),"")</f>
        <v/>
      </c>
      <c r="DE342" s="78">
        <f>IF(AND($BY342=1,$BX342=1,OR(fDeal="All Deals",$BU342=fDeal),OR(fEntity="All Entities",$BV342=fEntity),OR(fPType="All Property Types",$BZ342=fPType),OR(fDefeased="Include",$CJ342=0)),1,0)</f>
        <v/>
      </c>
      <c r="DF342" s="83">
        <f>$DE342*N($I342)</f>
        <v/>
      </c>
      <c r="DG342" s="78">
        <f>IF($DE342=1,IF(COUNTIFS($F$8:$F342,$F342,$DE$8:$DE342,1)=1,1,0),0)</f>
        <v/>
      </c>
      <c r="DH342" s="83">
        <f>IF($DG342=1,SUMIFS($DF$8:$DF$1600,$F$8:$F$1600,$F342),0)</f>
        <v/>
      </c>
      <c r="DI342" s="78">
        <f>IF($DG342=1,COUNTIFS($F$8:$F$1600,$F342,$DE$8:$DE$1600,1),0)</f>
        <v/>
      </c>
      <c r="DJ342" s="84">
        <f>IF($DG342=1,$DH342+(100000-ROW())/mTieBreak,0)</f>
        <v/>
      </c>
    </row>
    <row r="343">
      <c r="B343" s="68" t="n">
        <v>24</v>
      </c>
      <c r="C343" s="69" t="inlineStr">
        <is>
          <t>UBS18C08</t>
        </is>
      </c>
      <c r="D343" s="69" t="inlineStr">
        <is>
          <t>24.000</t>
        </is>
      </c>
      <c r="E343" s="69" t="inlineStr">
        <is>
          <t>Concord Place</t>
        </is>
      </c>
      <c r="F343" s="69" t="inlineStr">
        <is>
          <t>LNUBS18C08-24.000</t>
        </is>
      </c>
      <c r="G343" s="70" t="n"/>
      <c r="H343" s="71" t="n">
        <v>14300000</v>
      </c>
      <c r="I343" s="71" t="n">
        <v>14300000</v>
      </c>
      <c r="J343" s="72" t="n">
        <v>4.68</v>
      </c>
      <c r="K343" s="69" t="inlineStr">
        <is>
          <t>Fixed rate</t>
        </is>
      </c>
      <c r="L343" s="68" t="n">
        <v>120</v>
      </c>
      <c r="M343" s="68" t="n">
        <v>17</v>
      </c>
      <c r="N343" s="68" t="n">
        <v>120</v>
      </c>
      <c r="O343" s="68" t="n">
        <v>120</v>
      </c>
      <c r="P343" s="68" t="n">
        <v>17</v>
      </c>
      <c r="Q343" s="68" t="n">
        <v>103</v>
      </c>
      <c r="R343" s="69" t="inlineStr">
        <is>
          <t>IO</t>
        </is>
      </c>
      <c r="S343" s="69" t="inlineStr">
        <is>
          <t>Yes</t>
        </is>
      </c>
      <c r="T343" s="73" t="n">
        <v>43132</v>
      </c>
      <c r="U343" s="73" t="n">
        <v>46789</v>
      </c>
      <c r="V343" s="73" t="n"/>
      <c r="W343" s="69" t="n"/>
      <c r="X343" s="69" t="inlineStr">
        <is>
          <t>Current</t>
        </is>
      </c>
      <c r="Y343" s="68" t="n"/>
      <c r="Z343" s="69" t="inlineStr">
        <is>
          <t>No Defeasance Occurred</t>
        </is>
      </c>
      <c r="AA343" s="69" t="inlineStr">
        <is>
          <t>Previously</t>
        </is>
      </c>
      <c r="AB343" s="69" t="inlineStr">
        <is>
          <t>Never special serv</t>
        </is>
      </c>
      <c r="AC343" s="73" t="n"/>
      <c r="AD343" s="69" t="n"/>
      <c r="AE343" s="69" t="n"/>
      <c r="AF343" s="69" t="inlineStr">
        <is>
          <t>AZ</t>
        </is>
      </c>
      <c r="AG343" s="69" t="inlineStr">
        <is>
          <t>Phoenix</t>
        </is>
      </c>
      <c r="AH343" s="69" t="inlineStr">
        <is>
          <t>Phoenix-Mesa-Chandler, AZ</t>
        </is>
      </c>
      <c r="AI343" s="69" t="inlineStr">
        <is>
          <t>West / Mountain</t>
        </is>
      </c>
      <c r="AJ343" s="69" t="inlineStr">
        <is>
          <t>OF</t>
        </is>
      </c>
      <c r="AK343" s="69" t="inlineStr">
        <is>
          <t>Suburban</t>
        </is>
      </c>
      <c r="AL343" s="68" t="n">
        <v>1</v>
      </c>
      <c r="AM343" s="68" t="n"/>
      <c r="AN343" s="68" t="n">
        <v>134432</v>
      </c>
      <c r="AO343" s="69" t="inlineStr">
        <is>
          <t>1998</t>
        </is>
      </c>
      <c r="AP343" s="70" t="n">
        <v>2005</v>
      </c>
      <c r="AQ343" s="74" t="n">
        <v>1.91</v>
      </c>
      <c r="AR343" s="74" t="n">
        <v>2.83</v>
      </c>
      <c r="AS343" s="74" t="n">
        <v>65</v>
      </c>
      <c r="AT343" s="74" t="n">
        <v>65</v>
      </c>
      <c r="AU343" s="74" t="n">
        <v>65</v>
      </c>
      <c r="AV343" s="74" t="n">
        <v>9.050378392000001</v>
      </c>
      <c r="AW343" s="74" t="n">
        <v>11.518765175</v>
      </c>
      <c r="AX343" s="75" t="n">
        <v>93</v>
      </c>
      <c r="AY343" s="71" t="n">
        <v>22000000</v>
      </c>
      <c r="AZ343" s="71" t="n">
        <v>22000000</v>
      </c>
      <c r="BA343" s="71" t="n">
        <v>1294204.11</v>
      </c>
      <c r="BB343" s="71" t="n">
        <v>1918826.28</v>
      </c>
      <c r="BC343" s="69" t="inlineStr">
        <is>
          <t>Refinance</t>
        </is>
      </c>
      <c r="BD343" s="69" t="inlineStr">
        <is>
          <t>N</t>
        </is>
      </c>
      <c r="BE343" s="71" t="n"/>
      <c r="BF343" s="71" t="n"/>
      <c r="BG343" s="71" t="n"/>
      <c r="BH343" s="71" t="n">
        <v>0</v>
      </c>
      <c r="BI343" s="71" t="n">
        <v>0</v>
      </c>
      <c r="BJ343" s="69" t="inlineStr">
        <is>
          <t>N</t>
        </is>
      </c>
      <c r="BK343" s="69" t="inlineStr">
        <is>
          <t>Home Health Agency -AZ Inc. 6001home</t>
        </is>
      </c>
      <c r="BL343" s="75" t="n">
        <v>16.1</v>
      </c>
      <c r="BM343" s="73" t="n">
        <v>48730</v>
      </c>
      <c r="BN343" s="69" t="inlineStr">
        <is>
          <t>R. Craig Hannay Trust; R. Craig Hannay</t>
        </is>
      </c>
      <c r="BO343" s="69" t="inlineStr">
        <is>
          <t>Ladder Capital Finance</t>
        </is>
      </c>
      <c r="BP343" s="69" t="inlineStr">
        <is>
          <t>Midland Loan Services</t>
        </is>
      </c>
      <c r="BQ343" s="69" t="inlineStr">
        <is>
          <t>Midland Loan Services</t>
        </is>
      </c>
      <c r="BR343" s="69" t="n"/>
      <c r="BS343" s="73" t="n">
        <v>46276</v>
      </c>
      <c r="BU343" s="76">
        <f>IF($C343="","",IFERROR(INDEX(dmName,MATCH($C343,dmID,0)),"Unmapped"))</f>
        <v/>
      </c>
      <c r="BV343" s="76">
        <f>IF($C343="","",IFERROR(INDEX(dmEntity,MATCH($C343,dmID,0)),"Unmapped"))</f>
        <v/>
      </c>
      <c r="BW343" s="77">
        <f>IF($C343="","",IFERROR(INDEX(dmVintage,MATCH($C343,dmID,0)),""))</f>
        <v/>
      </c>
      <c r="BX343" s="78">
        <f>IFERROR(INDEX(dmInclude,MATCH($C343,dmID,0)),0)</f>
        <v/>
      </c>
      <c r="BY343" s="78">
        <f>IF(N($I343)&gt;0,1,0)</f>
        <v/>
      </c>
      <c r="BZ343" s="76">
        <f>IF($AJ343="","Other / Leased Fee",IFERROR(INDEX(mapPTGroup,MATCH(LEFT(TRIM($AJ343),2),mapPTCode,0)),"Other / Leased Fee"))</f>
        <v/>
      </c>
      <c r="CA343" s="76">
        <f>IF(TRIM($AF343&amp;"")="","NR",LEFT(TRIM($AF343),2))</f>
        <v/>
      </c>
      <c r="CB343" s="76">
        <f>IFERROR(LOOKUP(2,1/(LEFT(TRIM($AI343&amp;""),LEN(mapRegion))=mapRegion),mapRegion),"Not Reported")</f>
        <v/>
      </c>
      <c r="CC343" s="76">
        <f>IF($BY343=0,"",IF(TRIM($W343&amp;"")="REO","REO",IF(TRIM($W343&amp;"")="FC","Foreclosure",IF(TRIM($W343&amp;"")="90+","90+ Days Delinquent",IF(TRIM($W343&amp;"")="60","60 Days Delinquent",IF(TRIM($W343&amp;"")="30","30 Days Delinquent",IF($X343="Non-Performing Matured Balloon","Non-Performing Matured Balloon",IF(OR($X343="Late Payment But Less Than 30 Days Delinquent",LEFT($X343&amp;"",20)="Payment Not Received"),"Late / In Grace (&lt;30 Days)",IF($X343="Performing Matured Balloon","Performing Matured Balloon","Current")))))))))</f>
        <v/>
      </c>
      <c r="CD343" s="78">
        <f>IF(OR($CC343="REO",$CC343="Foreclosure",$CC343="90+ Days Delinquent",$CC343="60 Days Delinquent",$CC343="30 Days Delinquent",$CC343="Non-Performing Matured Balloon"),1,0)</f>
        <v/>
      </c>
      <c r="CE343" s="76">
        <f>IF($AB343="Currently special serv","Currently Specially Serviced",IF($AB343="Returned to master serv","Previously Specially Serviced","Never Specially Serviced"))</f>
        <v/>
      </c>
      <c r="CF343" s="78">
        <f>IF($CE343="Currently Specially Serviced",1,0)</f>
        <v/>
      </c>
      <c r="CG343" s="76">
        <f>IF($AA343="Yes","Currently on Watchlist",IF($AA343="Previously","Previously on Watchlist","Never on Watchlist"))</f>
        <v/>
      </c>
      <c r="CH343" s="78">
        <f>IF($CG343="Currently on Watchlist",1,0)</f>
        <v/>
      </c>
      <c r="CI343" s="76">
        <f>IF($Z343="Full Defeasance","Fully Defeased",IF($Z343="Portion Of Loan Previously Defeased","Partially Defeased",IF($Z343="Defeasance Not Allowable","Not Defeased (Not Permitted)","Not Defeased")))</f>
        <v/>
      </c>
      <c r="CJ343" s="78">
        <f>IF($CI343="Fully Defeased",1,0)</f>
        <v/>
      </c>
      <c r="CK343" s="76">
        <f>IF($R343="IO","Full IO",IF(LEFT($R343&amp;"",7)="IO then","Partial IO","Amortizing"))</f>
        <v/>
      </c>
      <c r="CL343" s="78">
        <f>IF($CK343="Full IO",1,0)</f>
        <v/>
      </c>
      <c r="CM343" s="78">
        <f>IF($CK343="Partial IO",1,0)</f>
        <v/>
      </c>
      <c r="CN343" s="76">
        <f>IF(LEFT($F343&amp;"",10)="SPLIT_LOAN","Pari Passu Split","Standalone")</f>
        <v/>
      </c>
      <c r="CO343" s="78">
        <f>IF($CN343="Pari Passu Split",1,0)</f>
        <v/>
      </c>
      <c r="CP343" s="77">
        <f>IF(ISNUMBER($T343),YEAR($T343),"")</f>
        <v/>
      </c>
      <c r="CQ343" s="79">
        <f>IF(ISNUMBER($V343),$V343,IF(ISNUMBER($U343),$U343,""))</f>
        <v/>
      </c>
      <c r="CR343" s="77">
        <f>IF(ISNUMBER($CQ343),YEAR($CQ343),"")</f>
        <v/>
      </c>
      <c r="CS343" s="78">
        <f>IF(ISNUMBER($M343),MAX(0,$M343),IF(TRIM($M343&amp;"")="matured",0,""))</f>
        <v/>
      </c>
      <c r="CT343" s="78">
        <f>IF(AND(ISNUMBER($CS343),N($CS343)&lt;=mMatWindow),1,0)</f>
        <v/>
      </c>
      <c r="CU343" s="80">
        <f>IF(ISNUMBER($J343),$J343/100,"")</f>
        <v/>
      </c>
      <c r="CV343" s="81">
        <f>IF(ISNUMBER($AQ343),$AQ343,"")</f>
        <v/>
      </c>
      <c r="CW343" s="81">
        <f>IF(ISNUMBER($AR343),$AR343,"")</f>
        <v/>
      </c>
      <c r="CX343" s="82">
        <f>IF(ISNUMBER($AS343),$AS343/100,"")</f>
        <v/>
      </c>
      <c r="CY343" s="82">
        <f>IF(ISNUMBER($AT343),$AT343/100,"")</f>
        <v/>
      </c>
      <c r="CZ343" s="82">
        <f>IF(ISNUMBER($AU343),$AU343/100,"")</f>
        <v/>
      </c>
      <c r="DA343" s="82">
        <f>IF(ISNUMBER($AV343),$AV343/100,"")</f>
        <v/>
      </c>
      <c r="DB343" s="82">
        <f>IF(ISNUMBER($AW343),$AW343/100,"")</f>
        <v/>
      </c>
      <c r="DC343" s="82">
        <f>IF(ISNUMBER($AX343),$AX343/100,"")</f>
        <v/>
      </c>
      <c r="DD343" s="77">
        <f>IFERROR(VALUE(LEFT(TRIM($AO343&amp;""),4)),"")</f>
        <v/>
      </c>
      <c r="DE343" s="78">
        <f>IF(AND($BY343=1,$BX343=1,OR(fDeal="All Deals",$BU343=fDeal),OR(fEntity="All Entities",$BV343=fEntity),OR(fPType="All Property Types",$BZ343=fPType),OR(fDefeased="Include",$CJ343=0)),1,0)</f>
        <v/>
      </c>
      <c r="DF343" s="83">
        <f>$DE343*N($I343)</f>
        <v/>
      </c>
      <c r="DG343" s="78">
        <f>IF($DE343=1,IF(COUNTIFS($F$8:$F343,$F343,$DE$8:$DE343,1)=1,1,0),0)</f>
        <v/>
      </c>
      <c r="DH343" s="83">
        <f>IF($DG343=1,SUMIFS($DF$8:$DF$1600,$F$8:$F$1600,$F343),0)</f>
        <v/>
      </c>
      <c r="DI343" s="78">
        <f>IF($DG343=1,COUNTIFS($F$8:$F$1600,$F343,$DE$8:$DE$1600,1),0)</f>
        <v/>
      </c>
      <c r="DJ343" s="84">
        <f>IF($DG343=1,$DH343+(100000-ROW())/mTieBreak,0)</f>
        <v/>
      </c>
    </row>
    <row r="344">
      <c r="B344" s="68" t="n">
        <v>25</v>
      </c>
      <c r="C344" s="69" t="inlineStr">
        <is>
          <t>UBS18C08</t>
        </is>
      </c>
      <c r="D344" s="69" t="inlineStr">
        <is>
          <t>25.000</t>
        </is>
      </c>
      <c r="E344" s="69" t="inlineStr">
        <is>
          <t>Fortuna Center Plaza</t>
        </is>
      </c>
      <c r="F344" s="69" t="inlineStr">
        <is>
          <t>LNUBS18C08-25.000</t>
        </is>
      </c>
      <c r="G344" s="70" t="n"/>
      <c r="H344" s="71" t="n">
        <v>13500000</v>
      </c>
      <c r="I344" s="71" t="n">
        <v>13500000</v>
      </c>
      <c r="J344" s="72" t="n">
        <v>4.52</v>
      </c>
      <c r="K344" s="69" t="inlineStr">
        <is>
          <t>Fixed rate</t>
        </is>
      </c>
      <c r="L344" s="68" t="n">
        <v>120</v>
      </c>
      <c r="M344" s="68" t="n">
        <v>17</v>
      </c>
      <c r="N344" s="68" t="n">
        <v>120</v>
      </c>
      <c r="O344" s="68" t="n">
        <v>120</v>
      </c>
      <c r="P344" s="68" t="n">
        <v>17</v>
      </c>
      <c r="Q344" s="68" t="n">
        <v>103</v>
      </c>
      <c r="R344" s="69" t="inlineStr">
        <is>
          <t>IO</t>
        </is>
      </c>
      <c r="S344" s="69" t="inlineStr">
        <is>
          <t>Yes</t>
        </is>
      </c>
      <c r="T344" s="73" t="n">
        <v>43132</v>
      </c>
      <c r="U344" s="73" t="n">
        <v>46784</v>
      </c>
      <c r="V344" s="73" t="n"/>
      <c r="W344" s="69" t="n"/>
      <c r="X344" s="69" t="inlineStr">
        <is>
          <t>Current</t>
        </is>
      </c>
      <c r="Y344" s="68" t="n"/>
      <c r="Z344" s="69" t="inlineStr">
        <is>
          <t>Full Defeasance</t>
        </is>
      </c>
      <c r="AA344" s="69" t="inlineStr">
        <is>
          <t>Previously</t>
        </is>
      </c>
      <c r="AB344" s="69" t="inlineStr">
        <is>
          <t>Never special serv</t>
        </is>
      </c>
      <c r="AC344" s="73" t="n"/>
      <c r="AD344" s="69" t="n"/>
      <c r="AE344" s="69" t="n"/>
      <c r="AF344" s="69" t="inlineStr">
        <is>
          <t>VA</t>
        </is>
      </c>
      <c r="AG344" s="69" t="inlineStr">
        <is>
          <t>Dumfries</t>
        </is>
      </c>
      <c r="AH344" s="69" t="inlineStr">
        <is>
          <t>Washington-Arlington-Alexandria, DC-VA-MD-WV</t>
        </is>
      </c>
      <c r="AI344" s="69" t="inlineStr">
        <is>
          <t>South / Atlantic</t>
        </is>
      </c>
      <c r="AJ344" s="69" t="inlineStr">
        <is>
          <t>RT</t>
        </is>
      </c>
      <c r="AK344" s="69" t="inlineStr">
        <is>
          <t>Anchored</t>
        </is>
      </c>
      <c r="AL344" s="68" t="n">
        <v>1</v>
      </c>
      <c r="AM344" s="68" t="n"/>
      <c r="AN344" s="68" t="n">
        <v>104694</v>
      </c>
      <c r="AO344" s="69" t="inlineStr">
        <is>
          <t>2005</t>
        </is>
      </c>
      <c r="AP344" s="70" t="n">
        <v>2005</v>
      </c>
      <c r="AQ344" s="74" t="n">
        <v>2.56</v>
      </c>
      <c r="AR344" s="74" t="n">
        <v>1.94</v>
      </c>
      <c r="AS344" s="74" t="n">
        <v>61.6</v>
      </c>
      <c r="AT344" s="74" t="n">
        <v>61.64</v>
      </c>
      <c r="AU344" s="74" t="n">
        <v>61.6</v>
      </c>
      <c r="AV344" s="74" t="n">
        <v>11.734748148</v>
      </c>
      <c r="AW344" s="74" t="n">
        <v>10.397600222</v>
      </c>
      <c r="AX344" s="75" t="n">
        <v>36</v>
      </c>
      <c r="AY344" s="71" t="n">
        <v>21900000</v>
      </c>
      <c r="AZ344" s="71" t="n">
        <v>21900000</v>
      </c>
      <c r="BA344" s="71" t="n">
        <v>1584191</v>
      </c>
      <c r="BB344" s="71" t="n">
        <v>1198212.46</v>
      </c>
      <c r="BC344" s="69" t="inlineStr">
        <is>
          <t>Acquisition</t>
        </is>
      </c>
      <c r="BD344" s="69" t="inlineStr">
        <is>
          <t>N</t>
        </is>
      </c>
      <c r="BE344" s="71" t="n"/>
      <c r="BF344" s="71" t="n"/>
      <c r="BG344" s="71" t="n"/>
      <c r="BH344" s="71" t="n">
        <v>0</v>
      </c>
      <c r="BI344" s="71" t="n">
        <v>0</v>
      </c>
      <c r="BJ344" s="69" t="inlineStr">
        <is>
          <t>N</t>
        </is>
      </c>
      <c r="BK344" s="69" t="inlineStr">
        <is>
          <t>Sprouts Farmer's Market</t>
        </is>
      </c>
      <c r="BL344" s="75" t="n">
        <v>23.4</v>
      </c>
      <c r="BM344" s="73" t="n">
        <v>51956</v>
      </c>
      <c r="BN344" s="69" t="inlineStr">
        <is>
          <t>Isaac Pretter; Eron Sodie</t>
        </is>
      </c>
      <c r="BO344" s="69" t="inlineStr">
        <is>
          <t>CIBC</t>
        </is>
      </c>
      <c r="BP344" s="69" t="inlineStr">
        <is>
          <t>Midland Loan Services</t>
        </is>
      </c>
      <c r="BQ344" s="69" t="inlineStr">
        <is>
          <t>Midland Loan Services</t>
        </is>
      </c>
      <c r="BR344" s="69" t="n"/>
      <c r="BS344" s="73" t="n">
        <v>46276</v>
      </c>
      <c r="BU344" s="76">
        <f>IF($C344="","",IFERROR(INDEX(dmName,MATCH($C344,dmID,0)),"Unmapped"))</f>
        <v/>
      </c>
      <c r="BV344" s="76">
        <f>IF($C344="","",IFERROR(INDEX(dmEntity,MATCH($C344,dmID,0)),"Unmapped"))</f>
        <v/>
      </c>
      <c r="BW344" s="77">
        <f>IF($C344="","",IFERROR(INDEX(dmVintage,MATCH($C344,dmID,0)),""))</f>
        <v/>
      </c>
      <c r="BX344" s="78">
        <f>IFERROR(INDEX(dmInclude,MATCH($C344,dmID,0)),0)</f>
        <v/>
      </c>
      <c r="BY344" s="78">
        <f>IF(N($I344)&gt;0,1,0)</f>
        <v/>
      </c>
      <c r="BZ344" s="76">
        <f>IF($AJ344="","Other / Leased Fee",IFERROR(INDEX(mapPTGroup,MATCH(LEFT(TRIM($AJ344),2),mapPTCode,0)),"Other / Leased Fee"))</f>
        <v/>
      </c>
      <c r="CA344" s="76">
        <f>IF(TRIM($AF344&amp;"")="","NR",LEFT(TRIM($AF344),2))</f>
        <v/>
      </c>
      <c r="CB344" s="76">
        <f>IFERROR(LOOKUP(2,1/(LEFT(TRIM($AI344&amp;""),LEN(mapRegion))=mapRegion),mapRegion),"Not Reported")</f>
        <v/>
      </c>
      <c r="CC344" s="76">
        <f>IF($BY344=0,"",IF(TRIM($W344&amp;"")="REO","REO",IF(TRIM($W344&amp;"")="FC","Foreclosure",IF(TRIM($W344&amp;"")="90+","90+ Days Delinquent",IF(TRIM($W344&amp;"")="60","60 Days Delinquent",IF(TRIM($W344&amp;"")="30","30 Days Delinquent",IF($X344="Non-Performing Matured Balloon","Non-Performing Matured Balloon",IF(OR($X344="Late Payment But Less Than 30 Days Delinquent",LEFT($X344&amp;"",20)="Payment Not Received"),"Late / In Grace (&lt;30 Days)",IF($X344="Performing Matured Balloon","Performing Matured Balloon","Current")))))))))</f>
        <v/>
      </c>
      <c r="CD344" s="78">
        <f>IF(OR($CC344="REO",$CC344="Foreclosure",$CC344="90+ Days Delinquent",$CC344="60 Days Delinquent",$CC344="30 Days Delinquent",$CC344="Non-Performing Matured Balloon"),1,0)</f>
        <v/>
      </c>
      <c r="CE344" s="76">
        <f>IF($AB344="Currently special serv","Currently Specially Serviced",IF($AB344="Returned to master serv","Previously Specially Serviced","Never Specially Serviced"))</f>
        <v/>
      </c>
      <c r="CF344" s="78">
        <f>IF($CE344="Currently Specially Serviced",1,0)</f>
        <v/>
      </c>
      <c r="CG344" s="76">
        <f>IF($AA344="Yes","Currently on Watchlist",IF($AA344="Previously","Previously on Watchlist","Never on Watchlist"))</f>
        <v/>
      </c>
      <c r="CH344" s="78">
        <f>IF($CG344="Currently on Watchlist",1,0)</f>
        <v/>
      </c>
      <c r="CI344" s="76">
        <f>IF($Z344="Full Defeasance","Fully Defeased",IF($Z344="Portion Of Loan Previously Defeased","Partially Defeased",IF($Z344="Defeasance Not Allowable","Not Defeased (Not Permitted)","Not Defeased")))</f>
        <v/>
      </c>
      <c r="CJ344" s="78">
        <f>IF($CI344="Fully Defeased",1,0)</f>
        <v/>
      </c>
      <c r="CK344" s="76">
        <f>IF($R344="IO","Full IO",IF(LEFT($R344&amp;"",7)="IO then","Partial IO","Amortizing"))</f>
        <v/>
      </c>
      <c r="CL344" s="78">
        <f>IF($CK344="Full IO",1,0)</f>
        <v/>
      </c>
      <c r="CM344" s="78">
        <f>IF($CK344="Partial IO",1,0)</f>
        <v/>
      </c>
      <c r="CN344" s="76">
        <f>IF(LEFT($F344&amp;"",10)="SPLIT_LOAN","Pari Passu Split","Standalone")</f>
        <v/>
      </c>
      <c r="CO344" s="78">
        <f>IF($CN344="Pari Passu Split",1,0)</f>
        <v/>
      </c>
      <c r="CP344" s="77">
        <f>IF(ISNUMBER($T344),YEAR($T344),"")</f>
        <v/>
      </c>
      <c r="CQ344" s="79">
        <f>IF(ISNUMBER($V344),$V344,IF(ISNUMBER($U344),$U344,""))</f>
        <v/>
      </c>
      <c r="CR344" s="77">
        <f>IF(ISNUMBER($CQ344),YEAR($CQ344),"")</f>
        <v/>
      </c>
      <c r="CS344" s="78">
        <f>IF(ISNUMBER($M344),MAX(0,$M344),IF(TRIM($M344&amp;"")="matured",0,""))</f>
        <v/>
      </c>
      <c r="CT344" s="78">
        <f>IF(AND(ISNUMBER($CS344),N($CS344)&lt;=mMatWindow),1,0)</f>
        <v/>
      </c>
      <c r="CU344" s="80">
        <f>IF(ISNUMBER($J344),$J344/100,"")</f>
        <v/>
      </c>
      <c r="CV344" s="81">
        <f>IF(ISNUMBER($AQ344),$AQ344,"")</f>
        <v/>
      </c>
      <c r="CW344" s="81">
        <f>IF(ISNUMBER($AR344),$AR344,"")</f>
        <v/>
      </c>
      <c r="CX344" s="82">
        <f>IF(ISNUMBER($AS344),$AS344/100,"")</f>
        <v/>
      </c>
      <c r="CY344" s="82">
        <f>IF(ISNUMBER($AT344),$AT344/100,"")</f>
        <v/>
      </c>
      <c r="CZ344" s="82">
        <f>IF(ISNUMBER($AU344),$AU344/100,"")</f>
        <v/>
      </c>
      <c r="DA344" s="82">
        <f>IF(ISNUMBER($AV344),$AV344/100,"")</f>
        <v/>
      </c>
      <c r="DB344" s="82">
        <f>IF(ISNUMBER($AW344),$AW344/100,"")</f>
        <v/>
      </c>
      <c r="DC344" s="82">
        <f>IF(ISNUMBER($AX344),$AX344/100,"")</f>
        <v/>
      </c>
      <c r="DD344" s="77">
        <f>IFERROR(VALUE(LEFT(TRIM($AO344&amp;""),4)),"")</f>
        <v/>
      </c>
      <c r="DE344" s="78">
        <f>IF(AND($BY344=1,$BX344=1,OR(fDeal="All Deals",$BU344=fDeal),OR(fEntity="All Entities",$BV344=fEntity),OR(fPType="All Property Types",$BZ344=fPType),OR(fDefeased="Include",$CJ344=0)),1,0)</f>
        <v/>
      </c>
      <c r="DF344" s="83">
        <f>$DE344*N($I344)</f>
        <v/>
      </c>
      <c r="DG344" s="78">
        <f>IF($DE344=1,IF(COUNTIFS($F$8:$F344,$F344,$DE$8:$DE344,1)=1,1,0),0)</f>
        <v/>
      </c>
      <c r="DH344" s="83">
        <f>IF($DG344=1,SUMIFS($DF$8:$DF$1600,$F$8:$F$1600,$F344),0)</f>
        <v/>
      </c>
      <c r="DI344" s="78">
        <f>IF($DG344=1,COUNTIFS($F$8:$F$1600,$F344,$DE$8:$DE$1600,1),0)</f>
        <v/>
      </c>
      <c r="DJ344" s="84">
        <f>IF($DG344=1,$DH344+(100000-ROW())/mTieBreak,0)</f>
        <v/>
      </c>
    </row>
    <row r="345">
      <c r="B345" s="68" t="n">
        <v>26</v>
      </c>
      <c r="C345" s="69" t="inlineStr">
        <is>
          <t>UBS18C08</t>
        </is>
      </c>
      <c r="D345" s="69" t="inlineStr">
        <is>
          <t>26.000</t>
        </is>
      </c>
      <c r="E345" s="69" t="inlineStr">
        <is>
          <t>Firehouse Self Storage</t>
        </is>
      </c>
      <c r="F345" s="69" t="inlineStr">
        <is>
          <t>LNUBS18C08-26.000</t>
        </is>
      </c>
      <c r="G345" s="70" t="n"/>
      <c r="H345" s="71" t="n">
        <v>13000000</v>
      </c>
      <c r="I345" s="71" t="n">
        <v>13000000</v>
      </c>
      <c r="J345" s="72" t="n">
        <v>4.867</v>
      </c>
      <c r="K345" s="69" t="inlineStr">
        <is>
          <t>Fixed rate</t>
        </is>
      </c>
      <c r="L345" s="68" t="n">
        <v>120</v>
      </c>
      <c r="M345" s="68" t="n">
        <v>16</v>
      </c>
      <c r="N345" s="68" t="n">
        <v>120</v>
      </c>
      <c r="O345" s="68" t="n">
        <v>120</v>
      </c>
      <c r="P345" s="68" t="n">
        <v>16</v>
      </c>
      <c r="Q345" s="68" t="n">
        <v>104</v>
      </c>
      <c r="R345" s="69" t="inlineStr">
        <is>
          <t>IO</t>
        </is>
      </c>
      <c r="S345" s="69" t="inlineStr">
        <is>
          <t>Yes</t>
        </is>
      </c>
      <c r="T345" s="73" t="n">
        <v>43101</v>
      </c>
      <c r="U345" s="73" t="n">
        <v>46758</v>
      </c>
      <c r="V345" s="73" t="n"/>
      <c r="W345" s="69" t="n"/>
      <c r="X345" s="69" t="inlineStr">
        <is>
          <t>Current</t>
        </is>
      </c>
      <c r="Y345" s="68" t="n"/>
      <c r="Z345" s="69" t="inlineStr">
        <is>
          <t>No Defeasance Occurred</t>
        </is>
      </c>
      <c r="AA345" s="69" t="inlineStr">
        <is>
          <t>Previously</t>
        </is>
      </c>
      <c r="AB345" s="69" t="inlineStr">
        <is>
          <t>Never special serv</t>
        </is>
      </c>
      <c r="AC345" s="73" t="n"/>
      <c r="AD345" s="69" t="n"/>
      <c r="AE345" s="69" t="n"/>
      <c r="AF345" s="69" t="inlineStr">
        <is>
          <t>CO</t>
        </is>
      </c>
      <c r="AG345" s="69" t="inlineStr">
        <is>
          <t>Loveland</t>
        </is>
      </c>
      <c r="AH345" s="69" t="inlineStr">
        <is>
          <t>Fort Collins-Loveland, CO</t>
        </is>
      </c>
      <c r="AI345" s="69" t="inlineStr">
        <is>
          <t>West / Mountain</t>
        </is>
      </c>
      <c r="AJ345" s="69" t="inlineStr">
        <is>
          <t>SS</t>
        </is>
      </c>
      <c r="AK345" s="69" t="n"/>
      <c r="AL345" s="68" t="n">
        <v>1</v>
      </c>
      <c r="AM345" s="68" t="n"/>
      <c r="AN345" s="68" t="n">
        <v>227194</v>
      </c>
      <c r="AO345" s="69" t="inlineStr">
        <is>
          <t>1993-2015</t>
        </is>
      </c>
      <c r="AP345" s="70" t="n">
        <v>2015</v>
      </c>
      <c r="AQ345" s="74" t="n">
        <v>1.84</v>
      </c>
      <c r="AR345" s="74" t="n">
        <v>2.68</v>
      </c>
      <c r="AS345" s="74" t="n">
        <v>55.8</v>
      </c>
      <c r="AT345" s="74" t="n">
        <v>55.79</v>
      </c>
      <c r="AU345" s="74" t="n">
        <v>55.8</v>
      </c>
      <c r="AV345" s="74" t="n">
        <v>9.067109307999999</v>
      </c>
      <c r="AW345" s="74" t="n">
        <v>12.670138077</v>
      </c>
      <c r="AX345" s="75" t="n">
        <v>85</v>
      </c>
      <c r="AY345" s="71" t="n">
        <v>23300000</v>
      </c>
      <c r="AZ345" s="71" t="n">
        <v>23300000</v>
      </c>
      <c r="BA345" s="71" t="n">
        <v>1178724.21</v>
      </c>
      <c r="BB345" s="71" t="n">
        <v>1718907.95</v>
      </c>
      <c r="BC345" s="69" t="inlineStr">
        <is>
          <t>Acquisition</t>
        </is>
      </c>
      <c r="BD345" s="69" t="inlineStr">
        <is>
          <t>N</t>
        </is>
      </c>
      <c r="BE345" s="71" t="n"/>
      <c r="BF345" s="71" t="n"/>
      <c r="BG345" s="71" t="n"/>
      <c r="BH345" s="71" t="n">
        <v>0</v>
      </c>
      <c r="BI345" s="71" t="n">
        <v>0</v>
      </c>
      <c r="BJ345" s="69" t="inlineStr">
        <is>
          <t>N</t>
        </is>
      </c>
      <c r="BK345" s="69" t="n"/>
      <c r="BL345" s="75" t="n"/>
      <c r="BM345" s="73" t="n"/>
      <c r="BN345" s="69" t="inlineStr">
        <is>
          <t>Matthew N. Follett; Randall C. Naess, Deette Richmond Sipos and Robert E. Richmond as Co-trustees of the Testamentary Trust Created Under the Will of Edmund N. Richmond Dated February 1962; Kerry J. Murphy, Gary L. Barton, Linda J. Wilson</t>
        </is>
      </c>
      <c r="BO345" s="69" t="inlineStr">
        <is>
          <t>Ladder Capital Finance</t>
        </is>
      </c>
      <c r="BP345" s="69" t="inlineStr">
        <is>
          <t>Midland Loan Services</t>
        </is>
      </c>
      <c r="BQ345" s="69" t="inlineStr">
        <is>
          <t>Midland Loan Services</t>
        </is>
      </c>
      <c r="BR345" s="69" t="n"/>
      <c r="BS345" s="73" t="n">
        <v>46276</v>
      </c>
      <c r="BU345" s="76">
        <f>IF($C345="","",IFERROR(INDEX(dmName,MATCH($C345,dmID,0)),"Unmapped"))</f>
        <v/>
      </c>
      <c r="BV345" s="76">
        <f>IF($C345="","",IFERROR(INDEX(dmEntity,MATCH($C345,dmID,0)),"Unmapped"))</f>
        <v/>
      </c>
      <c r="BW345" s="77">
        <f>IF($C345="","",IFERROR(INDEX(dmVintage,MATCH($C345,dmID,0)),""))</f>
        <v/>
      </c>
      <c r="BX345" s="78">
        <f>IFERROR(INDEX(dmInclude,MATCH($C345,dmID,0)),0)</f>
        <v/>
      </c>
      <c r="BY345" s="78">
        <f>IF(N($I345)&gt;0,1,0)</f>
        <v/>
      </c>
      <c r="BZ345" s="76">
        <f>IF($AJ345="","Other / Leased Fee",IFERROR(INDEX(mapPTGroup,MATCH(LEFT(TRIM($AJ345),2),mapPTCode,0)),"Other / Leased Fee"))</f>
        <v/>
      </c>
      <c r="CA345" s="76">
        <f>IF(TRIM($AF345&amp;"")="","NR",LEFT(TRIM($AF345),2))</f>
        <v/>
      </c>
      <c r="CB345" s="76">
        <f>IFERROR(LOOKUP(2,1/(LEFT(TRIM($AI345&amp;""),LEN(mapRegion))=mapRegion),mapRegion),"Not Reported")</f>
        <v/>
      </c>
      <c r="CC345" s="76">
        <f>IF($BY345=0,"",IF(TRIM($W345&amp;"")="REO","REO",IF(TRIM($W345&amp;"")="FC","Foreclosure",IF(TRIM($W345&amp;"")="90+","90+ Days Delinquent",IF(TRIM($W345&amp;"")="60","60 Days Delinquent",IF(TRIM($W345&amp;"")="30","30 Days Delinquent",IF($X345="Non-Performing Matured Balloon","Non-Performing Matured Balloon",IF(OR($X345="Late Payment But Less Than 30 Days Delinquent",LEFT($X345&amp;"",20)="Payment Not Received"),"Late / In Grace (&lt;30 Days)",IF($X345="Performing Matured Balloon","Performing Matured Balloon","Current")))))))))</f>
        <v/>
      </c>
      <c r="CD345" s="78">
        <f>IF(OR($CC345="REO",$CC345="Foreclosure",$CC345="90+ Days Delinquent",$CC345="60 Days Delinquent",$CC345="30 Days Delinquent",$CC345="Non-Performing Matured Balloon"),1,0)</f>
        <v/>
      </c>
      <c r="CE345" s="76">
        <f>IF($AB345="Currently special serv","Currently Specially Serviced",IF($AB345="Returned to master serv","Previously Specially Serviced","Never Specially Serviced"))</f>
        <v/>
      </c>
      <c r="CF345" s="78">
        <f>IF($CE345="Currently Specially Serviced",1,0)</f>
        <v/>
      </c>
      <c r="CG345" s="76">
        <f>IF($AA345="Yes","Currently on Watchlist",IF($AA345="Previously","Previously on Watchlist","Never on Watchlist"))</f>
        <v/>
      </c>
      <c r="CH345" s="78">
        <f>IF($CG345="Currently on Watchlist",1,0)</f>
        <v/>
      </c>
      <c r="CI345" s="76">
        <f>IF($Z345="Full Defeasance","Fully Defeased",IF($Z345="Portion Of Loan Previously Defeased","Partially Defeased",IF($Z345="Defeasance Not Allowable","Not Defeased (Not Permitted)","Not Defeased")))</f>
        <v/>
      </c>
      <c r="CJ345" s="78">
        <f>IF($CI345="Fully Defeased",1,0)</f>
        <v/>
      </c>
      <c r="CK345" s="76">
        <f>IF($R345="IO","Full IO",IF(LEFT($R345&amp;"",7)="IO then","Partial IO","Amortizing"))</f>
        <v/>
      </c>
      <c r="CL345" s="78">
        <f>IF($CK345="Full IO",1,0)</f>
        <v/>
      </c>
      <c r="CM345" s="78">
        <f>IF($CK345="Partial IO",1,0)</f>
        <v/>
      </c>
      <c r="CN345" s="76">
        <f>IF(LEFT($F345&amp;"",10)="SPLIT_LOAN","Pari Passu Split","Standalone")</f>
        <v/>
      </c>
      <c r="CO345" s="78">
        <f>IF($CN345="Pari Passu Split",1,0)</f>
        <v/>
      </c>
      <c r="CP345" s="77">
        <f>IF(ISNUMBER($T345),YEAR($T345),"")</f>
        <v/>
      </c>
      <c r="CQ345" s="79">
        <f>IF(ISNUMBER($V345),$V345,IF(ISNUMBER($U345),$U345,""))</f>
        <v/>
      </c>
      <c r="CR345" s="77">
        <f>IF(ISNUMBER($CQ345),YEAR($CQ345),"")</f>
        <v/>
      </c>
      <c r="CS345" s="78">
        <f>IF(ISNUMBER($M345),MAX(0,$M345),IF(TRIM($M345&amp;"")="matured",0,""))</f>
        <v/>
      </c>
      <c r="CT345" s="78">
        <f>IF(AND(ISNUMBER($CS345),N($CS345)&lt;=mMatWindow),1,0)</f>
        <v/>
      </c>
      <c r="CU345" s="80">
        <f>IF(ISNUMBER($J345),$J345/100,"")</f>
        <v/>
      </c>
      <c r="CV345" s="81">
        <f>IF(ISNUMBER($AQ345),$AQ345,"")</f>
        <v/>
      </c>
      <c r="CW345" s="81">
        <f>IF(ISNUMBER($AR345),$AR345,"")</f>
        <v/>
      </c>
      <c r="CX345" s="82">
        <f>IF(ISNUMBER($AS345),$AS345/100,"")</f>
        <v/>
      </c>
      <c r="CY345" s="82">
        <f>IF(ISNUMBER($AT345),$AT345/100,"")</f>
        <v/>
      </c>
      <c r="CZ345" s="82">
        <f>IF(ISNUMBER($AU345),$AU345/100,"")</f>
        <v/>
      </c>
      <c r="DA345" s="82">
        <f>IF(ISNUMBER($AV345),$AV345/100,"")</f>
        <v/>
      </c>
      <c r="DB345" s="82">
        <f>IF(ISNUMBER($AW345),$AW345/100,"")</f>
        <v/>
      </c>
      <c r="DC345" s="82">
        <f>IF(ISNUMBER($AX345),$AX345/100,"")</f>
        <v/>
      </c>
      <c r="DD345" s="77">
        <f>IFERROR(VALUE(LEFT(TRIM($AO345&amp;""),4)),"")</f>
        <v/>
      </c>
      <c r="DE345" s="78">
        <f>IF(AND($BY345=1,$BX345=1,OR(fDeal="All Deals",$BU345=fDeal),OR(fEntity="All Entities",$BV345=fEntity),OR(fPType="All Property Types",$BZ345=fPType),OR(fDefeased="Include",$CJ345=0)),1,0)</f>
        <v/>
      </c>
      <c r="DF345" s="83">
        <f>$DE345*N($I345)</f>
        <v/>
      </c>
      <c r="DG345" s="78">
        <f>IF($DE345=1,IF(COUNTIFS($F$8:$F345,$F345,$DE$8:$DE345,1)=1,1,0),0)</f>
        <v/>
      </c>
      <c r="DH345" s="83">
        <f>IF($DG345=1,SUMIFS($DF$8:$DF$1600,$F$8:$F$1600,$F345),0)</f>
        <v/>
      </c>
      <c r="DI345" s="78">
        <f>IF($DG345=1,COUNTIFS($F$8:$F$1600,$F345,$DE$8:$DE$1600,1),0)</f>
        <v/>
      </c>
      <c r="DJ345" s="84">
        <f>IF($DG345=1,$DH345+(100000-ROW())/mTieBreak,0)</f>
        <v/>
      </c>
    </row>
    <row r="346">
      <c r="B346" s="68" t="n">
        <v>27</v>
      </c>
      <c r="C346" s="69" t="inlineStr">
        <is>
          <t>UBS18C08</t>
        </is>
      </c>
      <c r="D346" s="69" t="inlineStr">
        <is>
          <t>27.000</t>
        </is>
      </c>
      <c r="E346" s="69" t="inlineStr">
        <is>
          <t>Seal Multifamily Portfolio</t>
        </is>
      </c>
      <c r="F346" s="69" t="inlineStr">
        <is>
          <t>LNUBS18C08-27.000</t>
        </is>
      </c>
      <c r="G346" s="70" t="n"/>
      <c r="H346" s="71" t="n">
        <v>12900000</v>
      </c>
      <c r="I346" s="71" t="n">
        <v>11982474.7300062</v>
      </c>
      <c r="J346" s="72" t="n">
        <v>5.17</v>
      </c>
      <c r="K346" s="69" t="inlineStr">
        <is>
          <t>Fixed rate</t>
        </is>
      </c>
      <c r="L346" s="68" t="n">
        <v>120</v>
      </c>
      <c r="M346" s="68" t="n">
        <v>15</v>
      </c>
      <c r="N346" s="68" t="n">
        <v>408</v>
      </c>
      <c r="O346" s="68" t="n">
        <v>48</v>
      </c>
      <c r="P346" s="68" t="n">
        <v>0</v>
      </c>
      <c r="Q346" s="68" t="n">
        <v>105</v>
      </c>
      <c r="R346" s="69" t="inlineStr">
        <is>
          <t>IO then Amort</t>
        </is>
      </c>
      <c r="S346" s="69" t="inlineStr">
        <is>
          <t>No</t>
        </is>
      </c>
      <c r="T346" s="73" t="n">
        <v>43070</v>
      </c>
      <c r="U346" s="73" t="n">
        <v>46727</v>
      </c>
      <c r="V346" s="73" t="n"/>
      <c r="W346" s="69" t="n"/>
      <c r="X346" s="69" t="inlineStr">
        <is>
          <t>Current</t>
        </is>
      </c>
      <c r="Y346" s="68" t="n"/>
      <c r="Z346" s="69" t="inlineStr">
        <is>
          <t>No Defeasance Occurred</t>
        </is>
      </c>
      <c r="AA346" s="69" t="inlineStr">
        <is>
          <t>Yes</t>
        </is>
      </c>
      <c r="AB346" s="69" t="inlineStr">
        <is>
          <t>Never special serv</t>
        </is>
      </c>
      <c r="AC346" s="73" t="n"/>
      <c r="AD346" s="69" t="n"/>
      <c r="AE346" s="69" t="n"/>
      <c r="AF346" s="69" t="inlineStr">
        <is>
          <t>OH</t>
        </is>
      </c>
      <c r="AG346" s="69" t="n"/>
      <c r="AH346" s="69" t="inlineStr">
        <is>
          <t>Akron, OH</t>
        </is>
      </c>
      <c r="AI346" s="69" t="inlineStr">
        <is>
          <t>Midwest / Central East</t>
        </is>
      </c>
      <c r="AJ346" s="69" t="inlineStr">
        <is>
          <t>MF</t>
        </is>
      </c>
      <c r="AK346" s="69" t="inlineStr">
        <is>
          <t>Garden</t>
        </is>
      </c>
      <c r="AL346" s="68" t="n">
        <v>5</v>
      </c>
      <c r="AM346" s="68" t="n">
        <v>314</v>
      </c>
      <c r="AN346" s="68" t="n"/>
      <c r="AO346" s="69" t="n"/>
      <c r="AP346" s="70" t="n"/>
      <c r="AQ346" s="74" t="n">
        <v>1.37</v>
      </c>
      <c r="AR346" s="74" t="n"/>
      <c r="AS346" s="74" t="n">
        <v>60.9</v>
      </c>
      <c r="AT346" s="74" t="n">
        <v>56.57</v>
      </c>
      <c r="AU346" s="74" t="n">
        <v>55.2</v>
      </c>
      <c r="AV346" s="74" t="n">
        <v>9.020426667000001</v>
      </c>
      <c r="AW346" s="74" t="n">
        <v>16.840079662</v>
      </c>
      <c r="AX346" s="75" t="n">
        <v>95.8</v>
      </c>
      <c r="AY346" s="71" t="n">
        <v>21180000</v>
      </c>
      <c r="AZ346" s="71" t="n">
        <v>21180000</v>
      </c>
      <c r="BA346" s="71" t="n">
        <v>1163635.04</v>
      </c>
      <c r="BB346" s="71" t="n">
        <v>2017991.04</v>
      </c>
      <c r="BC346" s="69" t="inlineStr">
        <is>
          <t>Acquisition</t>
        </is>
      </c>
      <c r="BD346" s="69" t="inlineStr">
        <is>
          <t>N</t>
        </is>
      </c>
      <c r="BE346" s="71" t="n"/>
      <c r="BF346" s="71" t="n"/>
      <c r="BG346" s="71" t="n"/>
      <c r="BH346" s="71" t="n">
        <v>0</v>
      </c>
      <c r="BI346" s="71" t="n">
        <v>0</v>
      </c>
      <c r="BJ346" s="69" t="inlineStr">
        <is>
          <t>N</t>
        </is>
      </c>
      <c r="BK346" s="69" t="n"/>
      <c r="BL346" s="75" t="n"/>
      <c r="BM346" s="73" t="n"/>
      <c r="BN346" s="69" t="inlineStr">
        <is>
          <t>Ziv Sarig; Jonathan Polster</t>
        </is>
      </c>
      <c r="BO346" s="69" t="inlineStr">
        <is>
          <t>Ladder Capital Finance</t>
        </is>
      </c>
      <c r="BP346" s="69" t="inlineStr">
        <is>
          <t>Midland Loan Services</t>
        </is>
      </c>
      <c r="BQ346" s="69" t="inlineStr">
        <is>
          <t>Midland Loan Services</t>
        </is>
      </c>
      <c r="BR346" s="69" t="n"/>
      <c r="BS346" s="73" t="n">
        <v>46276</v>
      </c>
      <c r="BU346" s="76">
        <f>IF($C346="","",IFERROR(INDEX(dmName,MATCH($C346,dmID,0)),"Unmapped"))</f>
        <v/>
      </c>
      <c r="BV346" s="76">
        <f>IF($C346="","",IFERROR(INDEX(dmEntity,MATCH($C346,dmID,0)),"Unmapped"))</f>
        <v/>
      </c>
      <c r="BW346" s="77">
        <f>IF($C346="","",IFERROR(INDEX(dmVintage,MATCH($C346,dmID,0)),""))</f>
        <v/>
      </c>
      <c r="BX346" s="78">
        <f>IFERROR(INDEX(dmInclude,MATCH($C346,dmID,0)),0)</f>
        <v/>
      </c>
      <c r="BY346" s="78">
        <f>IF(N($I346)&gt;0,1,0)</f>
        <v/>
      </c>
      <c r="BZ346" s="76">
        <f>IF($AJ346="","Other / Leased Fee",IFERROR(INDEX(mapPTGroup,MATCH(LEFT(TRIM($AJ346),2),mapPTCode,0)),"Other / Leased Fee"))</f>
        <v/>
      </c>
      <c r="CA346" s="76">
        <f>IF(TRIM($AF346&amp;"")="","NR",LEFT(TRIM($AF346),2))</f>
        <v/>
      </c>
      <c r="CB346" s="76">
        <f>IFERROR(LOOKUP(2,1/(LEFT(TRIM($AI346&amp;""),LEN(mapRegion))=mapRegion),mapRegion),"Not Reported")</f>
        <v/>
      </c>
      <c r="CC346" s="76">
        <f>IF($BY346=0,"",IF(TRIM($W346&amp;"")="REO","REO",IF(TRIM($W346&amp;"")="FC","Foreclosure",IF(TRIM($W346&amp;"")="90+","90+ Days Delinquent",IF(TRIM($W346&amp;"")="60","60 Days Delinquent",IF(TRIM($W346&amp;"")="30","30 Days Delinquent",IF($X346="Non-Performing Matured Balloon","Non-Performing Matured Balloon",IF(OR($X346="Late Payment But Less Than 30 Days Delinquent",LEFT($X346&amp;"",20)="Payment Not Received"),"Late / In Grace (&lt;30 Days)",IF($X346="Performing Matured Balloon","Performing Matured Balloon","Current")))))))))</f>
        <v/>
      </c>
      <c r="CD346" s="78">
        <f>IF(OR($CC346="REO",$CC346="Foreclosure",$CC346="90+ Days Delinquent",$CC346="60 Days Delinquent",$CC346="30 Days Delinquent",$CC346="Non-Performing Matured Balloon"),1,0)</f>
        <v/>
      </c>
      <c r="CE346" s="76">
        <f>IF($AB346="Currently special serv","Currently Specially Serviced",IF($AB346="Returned to master serv","Previously Specially Serviced","Never Specially Serviced"))</f>
        <v/>
      </c>
      <c r="CF346" s="78">
        <f>IF($CE346="Currently Specially Serviced",1,0)</f>
        <v/>
      </c>
      <c r="CG346" s="76">
        <f>IF($AA346="Yes","Currently on Watchlist",IF($AA346="Previously","Previously on Watchlist","Never on Watchlist"))</f>
        <v/>
      </c>
      <c r="CH346" s="78">
        <f>IF($CG346="Currently on Watchlist",1,0)</f>
        <v/>
      </c>
      <c r="CI346" s="76">
        <f>IF($Z346="Full Defeasance","Fully Defeased",IF($Z346="Portion Of Loan Previously Defeased","Partially Defeased",IF($Z346="Defeasance Not Allowable","Not Defeased (Not Permitted)","Not Defeased")))</f>
        <v/>
      </c>
      <c r="CJ346" s="78">
        <f>IF($CI346="Fully Defeased",1,0)</f>
        <v/>
      </c>
      <c r="CK346" s="76">
        <f>IF($R346="IO","Full IO",IF(LEFT($R346&amp;"",7)="IO then","Partial IO","Amortizing"))</f>
        <v/>
      </c>
      <c r="CL346" s="78">
        <f>IF($CK346="Full IO",1,0)</f>
        <v/>
      </c>
      <c r="CM346" s="78">
        <f>IF($CK346="Partial IO",1,0)</f>
        <v/>
      </c>
      <c r="CN346" s="76">
        <f>IF(LEFT($F346&amp;"",10)="SPLIT_LOAN","Pari Passu Split","Standalone")</f>
        <v/>
      </c>
      <c r="CO346" s="78">
        <f>IF($CN346="Pari Passu Split",1,0)</f>
        <v/>
      </c>
      <c r="CP346" s="77">
        <f>IF(ISNUMBER($T346),YEAR($T346),"")</f>
        <v/>
      </c>
      <c r="CQ346" s="79">
        <f>IF(ISNUMBER($V346),$V346,IF(ISNUMBER($U346),$U346,""))</f>
        <v/>
      </c>
      <c r="CR346" s="77">
        <f>IF(ISNUMBER($CQ346),YEAR($CQ346),"")</f>
        <v/>
      </c>
      <c r="CS346" s="78">
        <f>IF(ISNUMBER($M346),MAX(0,$M346),IF(TRIM($M346&amp;"")="matured",0,""))</f>
        <v/>
      </c>
      <c r="CT346" s="78">
        <f>IF(AND(ISNUMBER($CS346),N($CS346)&lt;=mMatWindow),1,0)</f>
        <v/>
      </c>
      <c r="CU346" s="80">
        <f>IF(ISNUMBER($J346),$J346/100,"")</f>
        <v/>
      </c>
      <c r="CV346" s="81">
        <f>IF(ISNUMBER($AQ346),$AQ346,"")</f>
        <v/>
      </c>
      <c r="CW346" s="81">
        <f>IF(ISNUMBER($AR346),$AR346,"")</f>
        <v/>
      </c>
      <c r="CX346" s="82">
        <f>IF(ISNUMBER($AS346),$AS346/100,"")</f>
        <v/>
      </c>
      <c r="CY346" s="82">
        <f>IF(ISNUMBER($AT346),$AT346/100,"")</f>
        <v/>
      </c>
      <c r="CZ346" s="82">
        <f>IF(ISNUMBER($AU346),$AU346/100,"")</f>
        <v/>
      </c>
      <c r="DA346" s="82">
        <f>IF(ISNUMBER($AV346),$AV346/100,"")</f>
        <v/>
      </c>
      <c r="DB346" s="82">
        <f>IF(ISNUMBER($AW346),$AW346/100,"")</f>
        <v/>
      </c>
      <c r="DC346" s="82">
        <f>IF(ISNUMBER($AX346),$AX346/100,"")</f>
        <v/>
      </c>
      <c r="DD346" s="77">
        <f>IFERROR(VALUE(LEFT(TRIM($AO346&amp;""),4)),"")</f>
        <v/>
      </c>
      <c r="DE346" s="78">
        <f>IF(AND($BY346=1,$BX346=1,OR(fDeal="All Deals",$BU346=fDeal),OR(fEntity="All Entities",$BV346=fEntity),OR(fPType="All Property Types",$BZ346=fPType),OR(fDefeased="Include",$CJ346=0)),1,0)</f>
        <v/>
      </c>
      <c r="DF346" s="83">
        <f>$DE346*N($I346)</f>
        <v/>
      </c>
      <c r="DG346" s="78">
        <f>IF($DE346=1,IF(COUNTIFS($F$8:$F346,$F346,$DE$8:$DE346,1)=1,1,0),0)</f>
        <v/>
      </c>
      <c r="DH346" s="83">
        <f>IF($DG346=1,SUMIFS($DF$8:$DF$1600,$F$8:$F$1600,$F346),0)</f>
        <v/>
      </c>
      <c r="DI346" s="78">
        <f>IF($DG346=1,COUNTIFS($F$8:$F$1600,$F346,$DE$8:$DE$1600,1),0)</f>
        <v/>
      </c>
      <c r="DJ346" s="84">
        <f>IF($DG346=1,$DH346+(100000-ROW())/mTieBreak,0)</f>
        <v/>
      </c>
    </row>
    <row r="347">
      <c r="B347" s="68" t="n">
        <v>28</v>
      </c>
      <c r="C347" s="69" t="inlineStr">
        <is>
          <t>UBS18C08</t>
        </is>
      </c>
      <c r="D347" s="69" t="inlineStr">
        <is>
          <t>28.000</t>
        </is>
      </c>
      <c r="E347" s="69" t="inlineStr">
        <is>
          <t>10 Park Place South</t>
        </is>
      </c>
      <c r="F347" s="69" t="inlineStr">
        <is>
          <t>LNUBS18C08-28.000</t>
        </is>
      </c>
      <c r="G347" s="70" t="n"/>
      <c r="H347" s="71" t="n">
        <v>12750000</v>
      </c>
      <c r="I347" s="71" t="n">
        <v>10278853.529997</v>
      </c>
      <c r="J347" s="72" t="n">
        <v>4.885</v>
      </c>
      <c r="K347" s="69" t="inlineStr">
        <is>
          <t>Fixed rate</t>
        </is>
      </c>
      <c r="L347" s="68" t="n">
        <v>120</v>
      </c>
      <c r="M347" s="68" t="n">
        <v>16</v>
      </c>
      <c r="N347" s="68" t="n">
        <v>308</v>
      </c>
      <c r="O347" s="68" t="n">
        <v>8</v>
      </c>
      <c r="P347" s="68" t="n">
        <v>0</v>
      </c>
      <c r="Q347" s="68" t="n">
        <v>104</v>
      </c>
      <c r="R347" s="69" t="inlineStr">
        <is>
          <t>IO then Amort</t>
        </is>
      </c>
      <c r="S347" s="69" t="inlineStr">
        <is>
          <t>No</t>
        </is>
      </c>
      <c r="T347" s="73" t="n">
        <v>43101</v>
      </c>
      <c r="U347" s="73" t="n">
        <v>46758</v>
      </c>
      <c r="V347" s="73" t="n"/>
      <c r="W347" s="69" t="n"/>
      <c r="X347" s="69" t="inlineStr">
        <is>
          <t>Current</t>
        </is>
      </c>
      <c r="Y347" s="68" t="n"/>
      <c r="Z347" s="69" t="inlineStr">
        <is>
          <t>No Defeasance Occurred</t>
        </is>
      </c>
      <c r="AA347" s="69" t="inlineStr">
        <is>
          <t>Previously</t>
        </is>
      </c>
      <c r="AB347" s="69" t="inlineStr">
        <is>
          <t>Never special serv</t>
        </is>
      </c>
      <c r="AC347" s="73" t="n"/>
      <c r="AD347" s="69" t="n"/>
      <c r="AE347" s="69" t="n"/>
      <c r="AF347" s="69" t="inlineStr">
        <is>
          <t>GA</t>
        </is>
      </c>
      <c r="AG347" s="69" t="inlineStr">
        <is>
          <t>Atlanta</t>
        </is>
      </c>
      <c r="AH347" s="69" t="inlineStr">
        <is>
          <t>Atlanta-Sandy Springs-Roswell, GA</t>
        </is>
      </c>
      <c r="AI347" s="69" t="inlineStr">
        <is>
          <t>South / Atlantic</t>
        </is>
      </c>
      <c r="AJ347" s="69" t="inlineStr">
        <is>
          <t>OF</t>
        </is>
      </c>
      <c r="AK347" s="69" t="inlineStr">
        <is>
          <t>CBD</t>
        </is>
      </c>
      <c r="AL347" s="68" t="n">
        <v>1</v>
      </c>
      <c r="AM347" s="68" t="n"/>
      <c r="AN347" s="68" t="n">
        <v>138021</v>
      </c>
      <c r="AO347" s="69" t="inlineStr">
        <is>
          <t>1920</t>
        </is>
      </c>
      <c r="AP347" s="70" t="n">
        <v>2017</v>
      </c>
      <c r="AQ347" s="74" t="n">
        <v>1.32</v>
      </c>
      <c r="AR347" s="74" t="n">
        <v>1.61</v>
      </c>
      <c r="AS347" s="74" t="n">
        <v>69.7</v>
      </c>
      <c r="AT347" s="74" t="n">
        <v>56.17</v>
      </c>
      <c r="AU347" s="74" t="n">
        <v>53.4</v>
      </c>
      <c r="AV347" s="74" t="n">
        <v>9.171337647</v>
      </c>
      <c r="AW347" s="74" t="n">
        <v>13.809581349</v>
      </c>
      <c r="AX347" s="75" t="n">
        <v>100</v>
      </c>
      <c r="AY347" s="71" t="n">
        <v>18300000</v>
      </c>
      <c r="AZ347" s="71" t="n">
        <v>18300000</v>
      </c>
      <c r="BA347" s="71" t="n">
        <v>1169345.55</v>
      </c>
      <c r="BB347" s="71" t="n">
        <v>1419466.64</v>
      </c>
      <c r="BC347" s="69" t="inlineStr">
        <is>
          <t>Refinance</t>
        </is>
      </c>
      <c r="BD347" s="69" t="inlineStr">
        <is>
          <t>N</t>
        </is>
      </c>
      <c r="BE347" s="71" t="n"/>
      <c r="BF347" s="71" t="n"/>
      <c r="BG347" s="71" t="n"/>
      <c r="BH347" s="71" t="n">
        <v>0</v>
      </c>
      <c r="BI347" s="71" t="n">
        <v>0</v>
      </c>
      <c r="BJ347" s="69" t="inlineStr">
        <is>
          <t>N</t>
        </is>
      </c>
      <c r="BK347" s="69" t="inlineStr">
        <is>
          <t>Fulton County</t>
        </is>
      </c>
      <c r="BL347" s="75" t="n">
        <v>34.18</v>
      </c>
      <c r="BM347" s="73" t="n">
        <v>47115</v>
      </c>
      <c r="BN347" s="69" t="inlineStr">
        <is>
          <t>Dion Meltzer; Alan Joe</t>
        </is>
      </c>
      <c r="BO347" s="69" t="inlineStr">
        <is>
          <t>Ladder Capital Finance</t>
        </is>
      </c>
      <c r="BP347" s="69" t="inlineStr">
        <is>
          <t>Midland Loan Services</t>
        </is>
      </c>
      <c r="BQ347" s="69" t="inlineStr">
        <is>
          <t>Midland Loan Services</t>
        </is>
      </c>
      <c r="BR347" s="69" t="n"/>
      <c r="BS347" s="73" t="n">
        <v>46276</v>
      </c>
      <c r="BU347" s="76">
        <f>IF($C347="","",IFERROR(INDEX(dmName,MATCH($C347,dmID,0)),"Unmapped"))</f>
        <v/>
      </c>
      <c r="BV347" s="76">
        <f>IF($C347="","",IFERROR(INDEX(dmEntity,MATCH($C347,dmID,0)),"Unmapped"))</f>
        <v/>
      </c>
      <c r="BW347" s="77">
        <f>IF($C347="","",IFERROR(INDEX(dmVintage,MATCH($C347,dmID,0)),""))</f>
        <v/>
      </c>
      <c r="BX347" s="78">
        <f>IFERROR(INDEX(dmInclude,MATCH($C347,dmID,0)),0)</f>
        <v/>
      </c>
      <c r="BY347" s="78">
        <f>IF(N($I347)&gt;0,1,0)</f>
        <v/>
      </c>
      <c r="BZ347" s="76">
        <f>IF($AJ347="","Other / Leased Fee",IFERROR(INDEX(mapPTGroup,MATCH(LEFT(TRIM($AJ347),2),mapPTCode,0)),"Other / Leased Fee"))</f>
        <v/>
      </c>
      <c r="CA347" s="76">
        <f>IF(TRIM($AF347&amp;"")="","NR",LEFT(TRIM($AF347),2))</f>
        <v/>
      </c>
      <c r="CB347" s="76">
        <f>IFERROR(LOOKUP(2,1/(LEFT(TRIM($AI347&amp;""),LEN(mapRegion))=mapRegion),mapRegion),"Not Reported")</f>
        <v/>
      </c>
      <c r="CC347" s="76">
        <f>IF($BY347=0,"",IF(TRIM($W347&amp;"")="REO","REO",IF(TRIM($W347&amp;"")="FC","Foreclosure",IF(TRIM($W347&amp;"")="90+","90+ Days Delinquent",IF(TRIM($W347&amp;"")="60","60 Days Delinquent",IF(TRIM($W347&amp;"")="30","30 Days Delinquent",IF($X347="Non-Performing Matured Balloon","Non-Performing Matured Balloon",IF(OR($X347="Late Payment But Less Than 30 Days Delinquent",LEFT($X347&amp;"",20)="Payment Not Received"),"Late / In Grace (&lt;30 Days)",IF($X347="Performing Matured Balloon","Performing Matured Balloon","Current")))))))))</f>
        <v/>
      </c>
      <c r="CD347" s="78">
        <f>IF(OR($CC347="REO",$CC347="Foreclosure",$CC347="90+ Days Delinquent",$CC347="60 Days Delinquent",$CC347="30 Days Delinquent",$CC347="Non-Performing Matured Balloon"),1,0)</f>
        <v/>
      </c>
      <c r="CE347" s="76">
        <f>IF($AB347="Currently special serv","Currently Specially Serviced",IF($AB347="Returned to master serv","Previously Specially Serviced","Never Specially Serviced"))</f>
        <v/>
      </c>
      <c r="CF347" s="78">
        <f>IF($CE347="Currently Specially Serviced",1,0)</f>
        <v/>
      </c>
      <c r="CG347" s="76">
        <f>IF($AA347="Yes","Currently on Watchlist",IF($AA347="Previously","Previously on Watchlist","Never on Watchlist"))</f>
        <v/>
      </c>
      <c r="CH347" s="78">
        <f>IF($CG347="Currently on Watchlist",1,0)</f>
        <v/>
      </c>
      <c r="CI347" s="76">
        <f>IF($Z347="Full Defeasance","Fully Defeased",IF($Z347="Portion Of Loan Previously Defeased","Partially Defeased",IF($Z347="Defeasance Not Allowable","Not Defeased (Not Permitted)","Not Defeased")))</f>
        <v/>
      </c>
      <c r="CJ347" s="78">
        <f>IF($CI347="Fully Defeased",1,0)</f>
        <v/>
      </c>
      <c r="CK347" s="76">
        <f>IF($R347="IO","Full IO",IF(LEFT($R347&amp;"",7)="IO then","Partial IO","Amortizing"))</f>
        <v/>
      </c>
      <c r="CL347" s="78">
        <f>IF($CK347="Full IO",1,0)</f>
        <v/>
      </c>
      <c r="CM347" s="78">
        <f>IF($CK347="Partial IO",1,0)</f>
        <v/>
      </c>
      <c r="CN347" s="76">
        <f>IF(LEFT($F347&amp;"",10)="SPLIT_LOAN","Pari Passu Split","Standalone")</f>
        <v/>
      </c>
      <c r="CO347" s="78">
        <f>IF($CN347="Pari Passu Split",1,0)</f>
        <v/>
      </c>
      <c r="CP347" s="77">
        <f>IF(ISNUMBER($T347),YEAR($T347),"")</f>
        <v/>
      </c>
      <c r="CQ347" s="79">
        <f>IF(ISNUMBER($V347),$V347,IF(ISNUMBER($U347),$U347,""))</f>
        <v/>
      </c>
      <c r="CR347" s="77">
        <f>IF(ISNUMBER($CQ347),YEAR($CQ347),"")</f>
        <v/>
      </c>
      <c r="CS347" s="78">
        <f>IF(ISNUMBER($M347),MAX(0,$M347),IF(TRIM($M347&amp;"")="matured",0,""))</f>
        <v/>
      </c>
      <c r="CT347" s="78">
        <f>IF(AND(ISNUMBER($CS347),N($CS347)&lt;=mMatWindow),1,0)</f>
        <v/>
      </c>
      <c r="CU347" s="80">
        <f>IF(ISNUMBER($J347),$J347/100,"")</f>
        <v/>
      </c>
      <c r="CV347" s="81">
        <f>IF(ISNUMBER($AQ347),$AQ347,"")</f>
        <v/>
      </c>
      <c r="CW347" s="81">
        <f>IF(ISNUMBER($AR347),$AR347,"")</f>
        <v/>
      </c>
      <c r="CX347" s="82">
        <f>IF(ISNUMBER($AS347),$AS347/100,"")</f>
        <v/>
      </c>
      <c r="CY347" s="82">
        <f>IF(ISNUMBER($AT347),$AT347/100,"")</f>
        <v/>
      </c>
      <c r="CZ347" s="82">
        <f>IF(ISNUMBER($AU347),$AU347/100,"")</f>
        <v/>
      </c>
      <c r="DA347" s="82">
        <f>IF(ISNUMBER($AV347),$AV347/100,"")</f>
        <v/>
      </c>
      <c r="DB347" s="82">
        <f>IF(ISNUMBER($AW347),$AW347/100,"")</f>
        <v/>
      </c>
      <c r="DC347" s="82">
        <f>IF(ISNUMBER($AX347),$AX347/100,"")</f>
        <v/>
      </c>
      <c r="DD347" s="77">
        <f>IFERROR(VALUE(LEFT(TRIM($AO347&amp;""),4)),"")</f>
        <v/>
      </c>
      <c r="DE347" s="78">
        <f>IF(AND($BY347=1,$BX347=1,OR(fDeal="All Deals",$BU347=fDeal),OR(fEntity="All Entities",$BV347=fEntity),OR(fPType="All Property Types",$BZ347=fPType),OR(fDefeased="Include",$CJ347=0)),1,0)</f>
        <v/>
      </c>
      <c r="DF347" s="83">
        <f>$DE347*N($I347)</f>
        <v/>
      </c>
      <c r="DG347" s="78">
        <f>IF($DE347=1,IF(COUNTIFS($F$8:$F347,$F347,$DE$8:$DE347,1)=1,1,0),0)</f>
        <v/>
      </c>
      <c r="DH347" s="83">
        <f>IF($DG347=1,SUMIFS($DF$8:$DF$1600,$F$8:$F$1600,$F347),0)</f>
        <v/>
      </c>
      <c r="DI347" s="78">
        <f>IF($DG347=1,COUNTIFS($F$8:$F$1600,$F347,$DE$8:$DE$1600,1),0)</f>
        <v/>
      </c>
      <c r="DJ347" s="84">
        <f>IF($DG347=1,$DH347+(100000-ROW())/mTieBreak,0)</f>
        <v/>
      </c>
    </row>
    <row r="348">
      <c r="B348" s="68" t="n">
        <v>29</v>
      </c>
      <c r="C348" s="69" t="inlineStr">
        <is>
          <t>UBS18C08</t>
        </is>
      </c>
      <c r="D348" s="69" t="inlineStr">
        <is>
          <t>29.000</t>
        </is>
      </c>
      <c r="E348" s="69" t="inlineStr">
        <is>
          <t>Hampton Inn &amp; Suites Wichita Airport</t>
        </is>
      </c>
      <c r="F348" s="69" t="inlineStr">
        <is>
          <t>LNUBS18C08-29.000</t>
        </is>
      </c>
      <c r="G348" s="70" t="n"/>
      <c r="H348" s="71" t="n">
        <v>12400000</v>
      </c>
      <c r="I348" s="71" t="n">
        <v>10533413.259996</v>
      </c>
      <c r="J348" s="72" t="n">
        <v>4.925</v>
      </c>
      <c r="K348" s="69" t="inlineStr">
        <is>
          <t>Fixed rate</t>
        </is>
      </c>
      <c r="L348" s="68" t="n">
        <v>120</v>
      </c>
      <c r="M348" s="68" t="n">
        <v>16</v>
      </c>
      <c r="N348" s="68" t="n">
        <v>360</v>
      </c>
      <c r="O348" s="68" t="n"/>
      <c r="P348" s="68" t="n"/>
      <c r="Q348" s="68" t="n">
        <v>104</v>
      </c>
      <c r="R348" s="69" t="n"/>
      <c r="S348" s="69" t="inlineStr">
        <is>
          <t>No</t>
        </is>
      </c>
      <c r="T348" s="73" t="n">
        <v>43101</v>
      </c>
      <c r="U348" s="73" t="n">
        <v>46753</v>
      </c>
      <c r="V348" s="73" t="n"/>
      <c r="W348" s="69" t="n"/>
      <c r="X348" s="69" t="inlineStr">
        <is>
          <t>Current</t>
        </is>
      </c>
      <c r="Y348" s="68" t="n"/>
      <c r="Z348" s="69" t="inlineStr">
        <is>
          <t>No Defeasance Occurred</t>
        </is>
      </c>
      <c r="AA348" s="69" t="inlineStr">
        <is>
          <t>Yes</t>
        </is>
      </c>
      <c r="AB348" s="69" t="inlineStr">
        <is>
          <t>Returned to master serv</t>
        </is>
      </c>
      <c r="AC348" s="73" t="n"/>
      <c r="AD348" s="69" t="inlineStr">
        <is>
          <t>Other</t>
        </is>
      </c>
      <c r="AE348" s="69" t="inlineStr">
        <is>
          <t>Resolved</t>
        </is>
      </c>
      <c r="AF348" s="69" t="inlineStr">
        <is>
          <t>KS</t>
        </is>
      </c>
      <c r="AG348" s="69" t="inlineStr">
        <is>
          <t>Wichita</t>
        </is>
      </c>
      <c r="AH348" s="69" t="inlineStr">
        <is>
          <t>Wichita, KS</t>
        </is>
      </c>
      <c r="AI348" s="69" t="inlineStr">
        <is>
          <t>Midwest / Central West</t>
        </is>
      </c>
      <c r="AJ348" s="69" t="inlineStr">
        <is>
          <t>HT</t>
        </is>
      </c>
      <c r="AK348" s="69" t="inlineStr">
        <is>
          <t>Limited Service</t>
        </is>
      </c>
      <c r="AL348" s="68" t="n">
        <v>1</v>
      </c>
      <c r="AM348" s="68" t="n">
        <v>125</v>
      </c>
      <c r="AN348" s="68" t="n"/>
      <c r="AO348" s="69" t="inlineStr">
        <is>
          <t>2016</t>
        </is>
      </c>
      <c r="AP348" s="70" t="n">
        <v>2016</v>
      </c>
      <c r="AQ348" s="74" t="n">
        <v>2.29</v>
      </c>
      <c r="AR348" s="74" t="n">
        <v>1.17</v>
      </c>
      <c r="AS348" s="74" t="n">
        <v>64.2</v>
      </c>
      <c r="AT348" s="74" t="n">
        <v>63.84</v>
      </c>
      <c r="AU348" s="74" t="n">
        <v>52.7</v>
      </c>
      <c r="AV348" s="74" t="n">
        <v>14.615970806</v>
      </c>
      <c r="AW348" s="74" t="n">
        <v>9.38593859</v>
      </c>
      <c r="AX348" s="75" t="n">
        <v>68</v>
      </c>
      <c r="AY348" s="71" t="n">
        <v>19300000</v>
      </c>
      <c r="AZ348" s="71" t="n">
        <v>16500000</v>
      </c>
      <c r="BA348" s="71" t="n">
        <v>1812380.38</v>
      </c>
      <c r="BB348" s="71" t="n">
        <v>924750.5</v>
      </c>
      <c r="BC348" s="69" t="inlineStr">
        <is>
          <t>Refinance</t>
        </is>
      </c>
      <c r="BD348" s="69" t="inlineStr">
        <is>
          <t>Y</t>
        </is>
      </c>
      <c r="BE348" s="71" t="n"/>
      <c r="BF348" s="71" t="n"/>
      <c r="BG348" s="71" t="n"/>
      <c r="BH348" s="71" t="n">
        <v>0</v>
      </c>
      <c r="BI348" s="71" t="n">
        <v>0</v>
      </c>
      <c r="BJ348" s="69" t="inlineStr">
        <is>
          <t>Y</t>
        </is>
      </c>
      <c r="BK348" s="69" t="n"/>
      <c r="BL348" s="75" t="n"/>
      <c r="BM348" s="73" t="n"/>
      <c r="BN348" s="69" t="inlineStr">
        <is>
          <t>Chandra Sekhar Tokala; Minhas Ladiwalla</t>
        </is>
      </c>
      <c r="BO348" s="69" t="inlineStr">
        <is>
          <t>Societe Generale</t>
        </is>
      </c>
      <c r="BP348" s="69" t="inlineStr">
        <is>
          <t>Midland Loan Services</t>
        </is>
      </c>
      <c r="BQ348" s="69" t="inlineStr">
        <is>
          <t>Midland Loan Services</t>
        </is>
      </c>
      <c r="BR348" s="69" t="n"/>
      <c r="BS348" s="73" t="n">
        <v>46276</v>
      </c>
      <c r="BU348" s="76">
        <f>IF($C348="","",IFERROR(INDEX(dmName,MATCH($C348,dmID,0)),"Unmapped"))</f>
        <v/>
      </c>
      <c r="BV348" s="76">
        <f>IF($C348="","",IFERROR(INDEX(dmEntity,MATCH($C348,dmID,0)),"Unmapped"))</f>
        <v/>
      </c>
      <c r="BW348" s="77">
        <f>IF($C348="","",IFERROR(INDEX(dmVintage,MATCH($C348,dmID,0)),""))</f>
        <v/>
      </c>
      <c r="BX348" s="78">
        <f>IFERROR(INDEX(dmInclude,MATCH($C348,dmID,0)),0)</f>
        <v/>
      </c>
      <c r="BY348" s="78">
        <f>IF(N($I348)&gt;0,1,0)</f>
        <v/>
      </c>
      <c r="BZ348" s="76">
        <f>IF($AJ348="","Other / Leased Fee",IFERROR(INDEX(mapPTGroup,MATCH(LEFT(TRIM($AJ348),2),mapPTCode,0)),"Other / Leased Fee"))</f>
        <v/>
      </c>
      <c r="CA348" s="76">
        <f>IF(TRIM($AF348&amp;"")="","NR",LEFT(TRIM($AF348),2))</f>
        <v/>
      </c>
      <c r="CB348" s="76">
        <f>IFERROR(LOOKUP(2,1/(LEFT(TRIM($AI348&amp;""),LEN(mapRegion))=mapRegion),mapRegion),"Not Reported")</f>
        <v/>
      </c>
      <c r="CC348" s="76">
        <f>IF($BY348=0,"",IF(TRIM($W348&amp;"")="REO","REO",IF(TRIM($W348&amp;"")="FC","Foreclosure",IF(TRIM($W348&amp;"")="90+","90+ Days Delinquent",IF(TRIM($W348&amp;"")="60","60 Days Delinquent",IF(TRIM($W348&amp;"")="30","30 Days Delinquent",IF($X348="Non-Performing Matured Balloon","Non-Performing Matured Balloon",IF(OR($X348="Late Payment But Less Than 30 Days Delinquent",LEFT($X348&amp;"",20)="Payment Not Received"),"Late / In Grace (&lt;30 Days)",IF($X348="Performing Matured Balloon","Performing Matured Balloon","Current")))))))))</f>
        <v/>
      </c>
      <c r="CD348" s="78">
        <f>IF(OR($CC348="REO",$CC348="Foreclosure",$CC348="90+ Days Delinquent",$CC348="60 Days Delinquent",$CC348="30 Days Delinquent",$CC348="Non-Performing Matured Balloon"),1,0)</f>
        <v/>
      </c>
      <c r="CE348" s="76">
        <f>IF($AB348="Currently special serv","Currently Specially Serviced",IF($AB348="Returned to master serv","Previously Specially Serviced","Never Specially Serviced"))</f>
        <v/>
      </c>
      <c r="CF348" s="78">
        <f>IF($CE348="Currently Specially Serviced",1,0)</f>
        <v/>
      </c>
      <c r="CG348" s="76">
        <f>IF($AA348="Yes","Currently on Watchlist",IF($AA348="Previously","Previously on Watchlist","Never on Watchlist"))</f>
        <v/>
      </c>
      <c r="CH348" s="78">
        <f>IF($CG348="Currently on Watchlist",1,0)</f>
        <v/>
      </c>
      <c r="CI348" s="76">
        <f>IF($Z348="Full Defeasance","Fully Defeased",IF($Z348="Portion Of Loan Previously Defeased","Partially Defeased",IF($Z348="Defeasance Not Allowable","Not Defeased (Not Permitted)","Not Defeased")))</f>
        <v/>
      </c>
      <c r="CJ348" s="78">
        <f>IF($CI348="Fully Defeased",1,0)</f>
        <v/>
      </c>
      <c r="CK348" s="76">
        <f>IF($R348="IO","Full IO",IF(LEFT($R348&amp;"",7)="IO then","Partial IO","Amortizing"))</f>
        <v/>
      </c>
      <c r="CL348" s="78">
        <f>IF($CK348="Full IO",1,0)</f>
        <v/>
      </c>
      <c r="CM348" s="78">
        <f>IF($CK348="Partial IO",1,0)</f>
        <v/>
      </c>
      <c r="CN348" s="76">
        <f>IF(LEFT($F348&amp;"",10)="SPLIT_LOAN","Pari Passu Split","Standalone")</f>
        <v/>
      </c>
      <c r="CO348" s="78">
        <f>IF($CN348="Pari Passu Split",1,0)</f>
        <v/>
      </c>
      <c r="CP348" s="77">
        <f>IF(ISNUMBER($T348),YEAR($T348),"")</f>
        <v/>
      </c>
      <c r="CQ348" s="79">
        <f>IF(ISNUMBER($V348),$V348,IF(ISNUMBER($U348),$U348,""))</f>
        <v/>
      </c>
      <c r="CR348" s="77">
        <f>IF(ISNUMBER($CQ348),YEAR($CQ348),"")</f>
        <v/>
      </c>
      <c r="CS348" s="78">
        <f>IF(ISNUMBER($M348),MAX(0,$M348),IF(TRIM($M348&amp;"")="matured",0,""))</f>
        <v/>
      </c>
      <c r="CT348" s="78">
        <f>IF(AND(ISNUMBER($CS348),N($CS348)&lt;=mMatWindow),1,0)</f>
        <v/>
      </c>
      <c r="CU348" s="80">
        <f>IF(ISNUMBER($J348),$J348/100,"")</f>
        <v/>
      </c>
      <c r="CV348" s="81">
        <f>IF(ISNUMBER($AQ348),$AQ348,"")</f>
        <v/>
      </c>
      <c r="CW348" s="81">
        <f>IF(ISNUMBER($AR348),$AR348,"")</f>
        <v/>
      </c>
      <c r="CX348" s="82">
        <f>IF(ISNUMBER($AS348),$AS348/100,"")</f>
        <v/>
      </c>
      <c r="CY348" s="82">
        <f>IF(ISNUMBER($AT348),$AT348/100,"")</f>
        <v/>
      </c>
      <c r="CZ348" s="82">
        <f>IF(ISNUMBER($AU348),$AU348/100,"")</f>
        <v/>
      </c>
      <c r="DA348" s="82">
        <f>IF(ISNUMBER($AV348),$AV348/100,"")</f>
        <v/>
      </c>
      <c r="DB348" s="82">
        <f>IF(ISNUMBER($AW348),$AW348/100,"")</f>
        <v/>
      </c>
      <c r="DC348" s="82">
        <f>IF(ISNUMBER($AX348),$AX348/100,"")</f>
        <v/>
      </c>
      <c r="DD348" s="77">
        <f>IFERROR(VALUE(LEFT(TRIM($AO348&amp;""),4)),"")</f>
        <v/>
      </c>
      <c r="DE348" s="78">
        <f>IF(AND($BY348=1,$BX348=1,OR(fDeal="All Deals",$BU348=fDeal),OR(fEntity="All Entities",$BV348=fEntity),OR(fPType="All Property Types",$BZ348=fPType),OR(fDefeased="Include",$CJ348=0)),1,0)</f>
        <v/>
      </c>
      <c r="DF348" s="83">
        <f>$DE348*N($I348)</f>
        <v/>
      </c>
      <c r="DG348" s="78">
        <f>IF($DE348=1,IF(COUNTIFS($F$8:$F348,$F348,$DE$8:$DE348,1)=1,1,0),0)</f>
        <v/>
      </c>
      <c r="DH348" s="83">
        <f>IF($DG348=1,SUMIFS($DF$8:$DF$1600,$F$8:$F$1600,$F348),0)</f>
        <v/>
      </c>
      <c r="DI348" s="78">
        <f>IF($DG348=1,COUNTIFS($F$8:$F$1600,$F348,$DE$8:$DE$1600,1),0)</f>
        <v/>
      </c>
      <c r="DJ348" s="84">
        <f>IF($DG348=1,$DH348+(100000-ROW())/mTieBreak,0)</f>
        <v/>
      </c>
    </row>
    <row r="349">
      <c r="B349" s="68" t="n">
        <v>30</v>
      </c>
      <c r="C349" s="69" t="inlineStr">
        <is>
          <t>UBS18C08</t>
        </is>
      </c>
      <c r="D349" s="69" t="inlineStr">
        <is>
          <t>30.000</t>
        </is>
      </c>
      <c r="E349" s="69" t="inlineStr">
        <is>
          <t>Quakertown Shopping Center</t>
        </is>
      </c>
      <c r="F349" s="69" t="inlineStr">
        <is>
          <t>LNUBS18C08-30.000</t>
        </is>
      </c>
      <c r="G349" s="70" t="n"/>
      <c r="H349" s="71" t="n">
        <v>12200000</v>
      </c>
      <c r="I349" s="71" t="n">
        <v>11511712.9700016</v>
      </c>
      <c r="J349" s="72" t="n">
        <v>4.872</v>
      </c>
      <c r="K349" s="69" t="inlineStr">
        <is>
          <t>Fixed rate</t>
        </is>
      </c>
      <c r="L349" s="68" t="n">
        <v>120</v>
      </c>
      <c r="M349" s="68" t="n">
        <v>16</v>
      </c>
      <c r="N349" s="68" t="n">
        <v>420</v>
      </c>
      <c r="O349" s="68" t="n">
        <v>60</v>
      </c>
      <c r="P349" s="68" t="n">
        <v>0</v>
      </c>
      <c r="Q349" s="68" t="n">
        <v>104</v>
      </c>
      <c r="R349" s="69" t="inlineStr">
        <is>
          <t>IO then Amort</t>
        </is>
      </c>
      <c r="S349" s="69" t="inlineStr">
        <is>
          <t>No</t>
        </is>
      </c>
      <c r="T349" s="73" t="n">
        <v>43101</v>
      </c>
      <c r="U349" s="73" t="n">
        <v>46758</v>
      </c>
      <c r="V349" s="73" t="n"/>
      <c r="W349" s="69" t="n"/>
      <c r="X349" s="69" t="inlineStr">
        <is>
          <t>Current</t>
        </is>
      </c>
      <c r="Y349" s="68" t="n"/>
      <c r="Z349" s="69" t="inlineStr">
        <is>
          <t>Full Defeasance</t>
        </is>
      </c>
      <c r="AA349" s="69" t="n"/>
      <c r="AB349" s="69" t="inlineStr">
        <is>
          <t>Never special serv</t>
        </is>
      </c>
      <c r="AC349" s="73" t="n"/>
      <c r="AD349" s="69" t="n"/>
      <c r="AE349" s="69" t="n"/>
      <c r="AF349" s="69" t="inlineStr">
        <is>
          <t>PA</t>
        </is>
      </c>
      <c r="AG349" s="69" t="inlineStr">
        <is>
          <t>Quakertown</t>
        </is>
      </c>
      <c r="AH349" s="69" t="inlineStr">
        <is>
          <t>Philadelphia-Camden-Wilmington, PA-NJ-DE-MD</t>
        </is>
      </c>
      <c r="AI349" s="69" t="inlineStr">
        <is>
          <t>Northeast / Mid-Atlantic</t>
        </is>
      </c>
      <c r="AJ349" s="69" t="inlineStr">
        <is>
          <t>RT</t>
        </is>
      </c>
      <c r="AK349" s="69" t="inlineStr">
        <is>
          <t>Anchored</t>
        </is>
      </c>
      <c r="AL349" s="68" t="n">
        <v>1</v>
      </c>
      <c r="AM349" s="68" t="n"/>
      <c r="AN349" s="68" t="n">
        <v>58339</v>
      </c>
      <c r="AO349" s="69" t="inlineStr">
        <is>
          <t>2004</t>
        </is>
      </c>
      <c r="AP349" s="70" t="n">
        <v>2012</v>
      </c>
      <c r="AQ349" s="74" t="n">
        <v>1.38</v>
      </c>
      <c r="AR349" s="74" t="n">
        <v>1.41</v>
      </c>
      <c r="AS349" s="74" t="n">
        <v>73.09999999999999</v>
      </c>
      <c r="AT349" s="74" t="n">
        <v>68.93000000000001</v>
      </c>
      <c r="AU349" s="74" t="n">
        <v>67.2</v>
      </c>
      <c r="AV349" s="74" t="n">
        <v>8.730844262</v>
      </c>
      <c r="AW349" s="74" t="n">
        <v>9.978408626</v>
      </c>
      <c r="AX349" s="75" t="n">
        <v>100</v>
      </c>
      <c r="AY349" s="71" t="n">
        <v>16700000</v>
      </c>
      <c r="AZ349" s="71" t="n">
        <v>16700000</v>
      </c>
      <c r="BA349" s="71" t="n">
        <v>1065163</v>
      </c>
      <c r="BB349" s="71" t="n">
        <v>1091150.46</v>
      </c>
      <c r="BC349" s="69" t="inlineStr">
        <is>
          <t>Acquisition</t>
        </is>
      </c>
      <c r="BD349" s="69" t="inlineStr">
        <is>
          <t>N</t>
        </is>
      </c>
      <c r="BE349" s="71" t="n"/>
      <c r="BF349" s="71" t="n"/>
      <c r="BG349" s="71" t="n"/>
      <c r="BH349" s="71" t="n">
        <v>0</v>
      </c>
      <c r="BI349" s="71" t="n">
        <v>0</v>
      </c>
      <c r="BJ349" s="69" t="inlineStr">
        <is>
          <t>N</t>
        </is>
      </c>
      <c r="BK349" s="69" t="inlineStr">
        <is>
          <t>Giant Food Market</t>
        </is>
      </c>
      <c r="BL349" s="75" t="n">
        <v>87.87</v>
      </c>
      <c r="BM349" s="73" t="n">
        <v>47269</v>
      </c>
      <c r="BN349" s="69" t="inlineStr">
        <is>
          <t>Leo S. Ullman</t>
        </is>
      </c>
      <c r="BO349" s="69" t="inlineStr">
        <is>
          <t>Cantor Commercial Real Estate Lending</t>
        </is>
      </c>
      <c r="BP349" s="69" t="inlineStr">
        <is>
          <t>Midland Loan Services</t>
        </is>
      </c>
      <c r="BQ349" s="69" t="inlineStr">
        <is>
          <t>Midland Loan Services</t>
        </is>
      </c>
      <c r="BR349" s="69" t="n"/>
      <c r="BS349" s="73" t="n">
        <v>46276</v>
      </c>
      <c r="BU349" s="76">
        <f>IF($C349="","",IFERROR(INDEX(dmName,MATCH($C349,dmID,0)),"Unmapped"))</f>
        <v/>
      </c>
      <c r="BV349" s="76">
        <f>IF($C349="","",IFERROR(INDEX(dmEntity,MATCH($C349,dmID,0)),"Unmapped"))</f>
        <v/>
      </c>
      <c r="BW349" s="77">
        <f>IF($C349="","",IFERROR(INDEX(dmVintage,MATCH($C349,dmID,0)),""))</f>
        <v/>
      </c>
      <c r="BX349" s="78">
        <f>IFERROR(INDEX(dmInclude,MATCH($C349,dmID,0)),0)</f>
        <v/>
      </c>
      <c r="BY349" s="78">
        <f>IF(N($I349)&gt;0,1,0)</f>
        <v/>
      </c>
      <c r="BZ349" s="76">
        <f>IF($AJ349="","Other / Leased Fee",IFERROR(INDEX(mapPTGroup,MATCH(LEFT(TRIM($AJ349),2),mapPTCode,0)),"Other / Leased Fee"))</f>
        <v/>
      </c>
      <c r="CA349" s="76">
        <f>IF(TRIM($AF349&amp;"")="","NR",LEFT(TRIM($AF349),2))</f>
        <v/>
      </c>
      <c r="CB349" s="76">
        <f>IFERROR(LOOKUP(2,1/(LEFT(TRIM($AI349&amp;""),LEN(mapRegion))=mapRegion),mapRegion),"Not Reported")</f>
        <v/>
      </c>
      <c r="CC349" s="76">
        <f>IF($BY349=0,"",IF(TRIM($W349&amp;"")="REO","REO",IF(TRIM($W349&amp;"")="FC","Foreclosure",IF(TRIM($W349&amp;"")="90+","90+ Days Delinquent",IF(TRIM($W349&amp;"")="60","60 Days Delinquent",IF(TRIM($W349&amp;"")="30","30 Days Delinquent",IF($X349="Non-Performing Matured Balloon","Non-Performing Matured Balloon",IF(OR($X349="Late Payment But Less Than 30 Days Delinquent",LEFT($X349&amp;"",20)="Payment Not Received"),"Late / In Grace (&lt;30 Days)",IF($X349="Performing Matured Balloon","Performing Matured Balloon","Current")))))))))</f>
        <v/>
      </c>
      <c r="CD349" s="78">
        <f>IF(OR($CC349="REO",$CC349="Foreclosure",$CC349="90+ Days Delinquent",$CC349="60 Days Delinquent",$CC349="30 Days Delinquent",$CC349="Non-Performing Matured Balloon"),1,0)</f>
        <v/>
      </c>
      <c r="CE349" s="76">
        <f>IF($AB349="Currently special serv","Currently Specially Serviced",IF($AB349="Returned to master serv","Previously Specially Serviced","Never Specially Serviced"))</f>
        <v/>
      </c>
      <c r="CF349" s="78">
        <f>IF($CE349="Currently Specially Serviced",1,0)</f>
        <v/>
      </c>
      <c r="CG349" s="76">
        <f>IF($AA349="Yes","Currently on Watchlist",IF($AA349="Previously","Previously on Watchlist","Never on Watchlist"))</f>
        <v/>
      </c>
      <c r="CH349" s="78">
        <f>IF($CG349="Currently on Watchlist",1,0)</f>
        <v/>
      </c>
      <c r="CI349" s="76">
        <f>IF($Z349="Full Defeasance","Fully Defeased",IF($Z349="Portion Of Loan Previously Defeased","Partially Defeased",IF($Z349="Defeasance Not Allowable","Not Defeased (Not Permitted)","Not Defeased")))</f>
        <v/>
      </c>
      <c r="CJ349" s="78">
        <f>IF($CI349="Fully Defeased",1,0)</f>
        <v/>
      </c>
      <c r="CK349" s="76">
        <f>IF($R349="IO","Full IO",IF(LEFT($R349&amp;"",7)="IO then","Partial IO","Amortizing"))</f>
        <v/>
      </c>
      <c r="CL349" s="78">
        <f>IF($CK349="Full IO",1,0)</f>
        <v/>
      </c>
      <c r="CM349" s="78">
        <f>IF($CK349="Partial IO",1,0)</f>
        <v/>
      </c>
      <c r="CN349" s="76">
        <f>IF(LEFT($F349&amp;"",10)="SPLIT_LOAN","Pari Passu Split","Standalone")</f>
        <v/>
      </c>
      <c r="CO349" s="78">
        <f>IF($CN349="Pari Passu Split",1,0)</f>
        <v/>
      </c>
      <c r="CP349" s="77">
        <f>IF(ISNUMBER($T349),YEAR($T349),"")</f>
        <v/>
      </c>
      <c r="CQ349" s="79">
        <f>IF(ISNUMBER($V349),$V349,IF(ISNUMBER($U349),$U349,""))</f>
        <v/>
      </c>
      <c r="CR349" s="77">
        <f>IF(ISNUMBER($CQ349),YEAR($CQ349),"")</f>
        <v/>
      </c>
      <c r="CS349" s="78">
        <f>IF(ISNUMBER($M349),MAX(0,$M349),IF(TRIM($M349&amp;"")="matured",0,""))</f>
        <v/>
      </c>
      <c r="CT349" s="78">
        <f>IF(AND(ISNUMBER($CS349),N($CS349)&lt;=mMatWindow),1,0)</f>
        <v/>
      </c>
      <c r="CU349" s="80">
        <f>IF(ISNUMBER($J349),$J349/100,"")</f>
        <v/>
      </c>
      <c r="CV349" s="81">
        <f>IF(ISNUMBER($AQ349),$AQ349,"")</f>
        <v/>
      </c>
      <c r="CW349" s="81">
        <f>IF(ISNUMBER($AR349),$AR349,"")</f>
        <v/>
      </c>
      <c r="CX349" s="82">
        <f>IF(ISNUMBER($AS349),$AS349/100,"")</f>
        <v/>
      </c>
      <c r="CY349" s="82">
        <f>IF(ISNUMBER($AT349),$AT349/100,"")</f>
        <v/>
      </c>
      <c r="CZ349" s="82">
        <f>IF(ISNUMBER($AU349),$AU349/100,"")</f>
        <v/>
      </c>
      <c r="DA349" s="82">
        <f>IF(ISNUMBER($AV349),$AV349/100,"")</f>
        <v/>
      </c>
      <c r="DB349" s="82">
        <f>IF(ISNUMBER($AW349),$AW349/100,"")</f>
        <v/>
      </c>
      <c r="DC349" s="82">
        <f>IF(ISNUMBER($AX349),$AX349/100,"")</f>
        <v/>
      </c>
      <c r="DD349" s="77">
        <f>IFERROR(VALUE(LEFT(TRIM($AO349&amp;""),4)),"")</f>
        <v/>
      </c>
      <c r="DE349" s="78">
        <f>IF(AND($BY349=1,$BX349=1,OR(fDeal="All Deals",$BU349=fDeal),OR(fEntity="All Entities",$BV349=fEntity),OR(fPType="All Property Types",$BZ349=fPType),OR(fDefeased="Include",$CJ349=0)),1,0)</f>
        <v/>
      </c>
      <c r="DF349" s="83">
        <f>$DE349*N($I349)</f>
        <v/>
      </c>
      <c r="DG349" s="78">
        <f>IF($DE349=1,IF(COUNTIFS($F$8:$F349,$F349,$DE$8:$DE349,1)=1,1,0),0)</f>
        <v/>
      </c>
      <c r="DH349" s="83">
        <f>IF($DG349=1,SUMIFS($DF$8:$DF$1600,$F$8:$F$1600,$F349),0)</f>
        <v/>
      </c>
      <c r="DI349" s="78">
        <f>IF($DG349=1,COUNTIFS($F$8:$F$1600,$F349,$DE$8:$DE$1600,1),0)</f>
        <v/>
      </c>
      <c r="DJ349" s="84">
        <f>IF($DG349=1,$DH349+(100000-ROW())/mTieBreak,0)</f>
        <v/>
      </c>
    </row>
    <row r="350">
      <c r="B350" s="68" t="n">
        <v>31</v>
      </c>
      <c r="C350" s="69" t="inlineStr">
        <is>
          <t>UBS18C08</t>
        </is>
      </c>
      <c r="D350" s="69" t="inlineStr">
        <is>
          <t>31.000</t>
        </is>
      </c>
      <c r="E350" s="69" t="inlineStr">
        <is>
          <t>Kohl's - Jensen Beach</t>
        </is>
      </c>
      <c r="F350" s="69" t="inlineStr">
        <is>
          <t>LNUBS18C08-31.000</t>
        </is>
      </c>
      <c r="G350" s="70" t="n"/>
      <c r="H350" s="71" t="n">
        <v>11900000</v>
      </c>
      <c r="I350" s="71" t="n">
        <v>10503212.1200013</v>
      </c>
      <c r="J350" s="72" t="n">
        <v>4.521</v>
      </c>
      <c r="K350" s="69" t="inlineStr">
        <is>
          <t>Fixed rate</t>
        </is>
      </c>
      <c r="L350" s="68" t="n">
        <v>120</v>
      </c>
      <c r="M350" s="68" t="n">
        <v>16</v>
      </c>
      <c r="N350" s="68" t="n">
        <v>384</v>
      </c>
      <c r="O350" s="68" t="n">
        <v>24</v>
      </c>
      <c r="P350" s="68" t="n">
        <v>0</v>
      </c>
      <c r="Q350" s="68" t="n">
        <v>104</v>
      </c>
      <c r="R350" s="69" t="inlineStr">
        <is>
          <t>IO then Amort</t>
        </is>
      </c>
      <c r="S350" s="69" t="inlineStr">
        <is>
          <t>No</t>
        </is>
      </c>
      <c r="T350" s="73" t="n">
        <v>43101</v>
      </c>
      <c r="U350" s="73" t="n">
        <v>46758</v>
      </c>
      <c r="V350" s="73" t="n"/>
      <c r="W350" s="69" t="n"/>
      <c r="X350" s="69" t="inlineStr">
        <is>
          <t>Current</t>
        </is>
      </c>
      <c r="Y350" s="68" t="n"/>
      <c r="Z350" s="69" t="inlineStr">
        <is>
          <t>Full Defeasance</t>
        </is>
      </c>
      <c r="AA350" s="69" t="inlineStr">
        <is>
          <t>Yes</t>
        </is>
      </c>
      <c r="AB350" s="69" t="inlineStr">
        <is>
          <t>Never special serv</t>
        </is>
      </c>
      <c r="AC350" s="73" t="n"/>
      <c r="AD350" s="69" t="n"/>
      <c r="AE350" s="69" t="n"/>
      <c r="AF350" s="69" t="inlineStr">
        <is>
          <t>FL</t>
        </is>
      </c>
      <c r="AG350" s="69" t="inlineStr">
        <is>
          <t>Jensen Beach</t>
        </is>
      </c>
      <c r="AH350" s="69" t="inlineStr">
        <is>
          <t>Port St. Lucie, FL</t>
        </is>
      </c>
      <c r="AI350" s="69" t="inlineStr">
        <is>
          <t>South / Atlantic</t>
        </is>
      </c>
      <c r="AJ350" s="69" t="inlineStr">
        <is>
          <t>RT</t>
        </is>
      </c>
      <c r="AK350" s="69" t="inlineStr">
        <is>
          <t>Free Standing</t>
        </is>
      </c>
      <c r="AL350" s="68" t="n">
        <v>1</v>
      </c>
      <c r="AM350" s="68" t="n"/>
      <c r="AN350" s="68" t="n">
        <v>89060</v>
      </c>
      <c r="AO350" s="69" t="inlineStr">
        <is>
          <t>2007</t>
        </is>
      </c>
      <c r="AP350" s="70" t="n">
        <v>2007</v>
      </c>
      <c r="AQ350" s="74" t="n">
        <v>1.57</v>
      </c>
      <c r="AR350" s="74" t="n">
        <v>1.27</v>
      </c>
      <c r="AS350" s="74" t="n">
        <v>61.7</v>
      </c>
      <c r="AT350" s="74" t="n">
        <v>54.42</v>
      </c>
      <c r="AU350" s="74" t="n">
        <v>52.7</v>
      </c>
      <c r="AV350" s="74" t="n">
        <v>9.544812521000001</v>
      </c>
      <c r="AW350" s="74" t="n">
        <v>8.766090025</v>
      </c>
      <c r="AX350" s="75" t="n">
        <v>100</v>
      </c>
      <c r="AY350" s="71" t="n">
        <v>19300000</v>
      </c>
      <c r="AZ350" s="71" t="n">
        <v>19300000</v>
      </c>
      <c r="BA350" s="71" t="n">
        <v>1135832.69</v>
      </c>
      <c r="BB350" s="71" t="n">
        <v>920721.03</v>
      </c>
      <c r="BC350" s="69" t="inlineStr">
        <is>
          <t>Refinance</t>
        </is>
      </c>
      <c r="BD350" s="69" t="inlineStr">
        <is>
          <t>N</t>
        </is>
      </c>
      <c r="BE350" s="71" t="n"/>
      <c r="BF350" s="71" t="n"/>
      <c r="BG350" s="71" t="n"/>
      <c r="BH350" s="71" t="n">
        <v>0</v>
      </c>
      <c r="BI350" s="71" t="n">
        <v>0</v>
      </c>
      <c r="BJ350" s="69" t="inlineStr">
        <is>
          <t>N</t>
        </is>
      </c>
      <c r="BK350" s="69" t="inlineStr">
        <is>
          <t>Kohl's Store #1160</t>
        </is>
      </c>
      <c r="BL350" s="75" t="n">
        <v>100</v>
      </c>
      <c r="BM350" s="73" t="n">
        <v>49125</v>
      </c>
      <c r="BN350" s="69" t="inlineStr">
        <is>
          <t>Robert Ridino</t>
        </is>
      </c>
      <c r="BO350" s="69" t="inlineStr">
        <is>
          <t>Barclays</t>
        </is>
      </c>
      <c r="BP350" s="69" t="inlineStr">
        <is>
          <t>Midland Loan Services</t>
        </is>
      </c>
      <c r="BQ350" s="69" t="inlineStr">
        <is>
          <t>Midland Loan Services</t>
        </is>
      </c>
      <c r="BR350" s="69" t="n"/>
      <c r="BS350" s="73" t="n">
        <v>46276</v>
      </c>
      <c r="BU350" s="76">
        <f>IF($C350="","",IFERROR(INDEX(dmName,MATCH($C350,dmID,0)),"Unmapped"))</f>
        <v/>
      </c>
      <c r="BV350" s="76">
        <f>IF($C350="","",IFERROR(INDEX(dmEntity,MATCH($C350,dmID,0)),"Unmapped"))</f>
        <v/>
      </c>
      <c r="BW350" s="77">
        <f>IF($C350="","",IFERROR(INDEX(dmVintage,MATCH($C350,dmID,0)),""))</f>
        <v/>
      </c>
      <c r="BX350" s="78">
        <f>IFERROR(INDEX(dmInclude,MATCH($C350,dmID,0)),0)</f>
        <v/>
      </c>
      <c r="BY350" s="78">
        <f>IF(N($I350)&gt;0,1,0)</f>
        <v/>
      </c>
      <c r="BZ350" s="76">
        <f>IF($AJ350="","Other / Leased Fee",IFERROR(INDEX(mapPTGroup,MATCH(LEFT(TRIM($AJ350),2),mapPTCode,0)),"Other / Leased Fee"))</f>
        <v/>
      </c>
      <c r="CA350" s="76">
        <f>IF(TRIM($AF350&amp;"")="","NR",LEFT(TRIM($AF350),2))</f>
        <v/>
      </c>
      <c r="CB350" s="76">
        <f>IFERROR(LOOKUP(2,1/(LEFT(TRIM($AI350&amp;""),LEN(mapRegion))=mapRegion),mapRegion),"Not Reported")</f>
        <v/>
      </c>
      <c r="CC350" s="76">
        <f>IF($BY350=0,"",IF(TRIM($W350&amp;"")="REO","REO",IF(TRIM($W350&amp;"")="FC","Foreclosure",IF(TRIM($W350&amp;"")="90+","90+ Days Delinquent",IF(TRIM($W350&amp;"")="60","60 Days Delinquent",IF(TRIM($W350&amp;"")="30","30 Days Delinquent",IF($X350="Non-Performing Matured Balloon","Non-Performing Matured Balloon",IF(OR($X350="Late Payment But Less Than 30 Days Delinquent",LEFT($X350&amp;"",20)="Payment Not Received"),"Late / In Grace (&lt;30 Days)",IF($X350="Performing Matured Balloon","Performing Matured Balloon","Current")))))))))</f>
        <v/>
      </c>
      <c r="CD350" s="78">
        <f>IF(OR($CC350="REO",$CC350="Foreclosure",$CC350="90+ Days Delinquent",$CC350="60 Days Delinquent",$CC350="30 Days Delinquent",$CC350="Non-Performing Matured Balloon"),1,0)</f>
        <v/>
      </c>
      <c r="CE350" s="76">
        <f>IF($AB350="Currently special serv","Currently Specially Serviced",IF($AB350="Returned to master serv","Previously Specially Serviced","Never Specially Serviced"))</f>
        <v/>
      </c>
      <c r="CF350" s="78">
        <f>IF($CE350="Currently Specially Serviced",1,0)</f>
        <v/>
      </c>
      <c r="CG350" s="76">
        <f>IF($AA350="Yes","Currently on Watchlist",IF($AA350="Previously","Previously on Watchlist","Never on Watchlist"))</f>
        <v/>
      </c>
      <c r="CH350" s="78">
        <f>IF($CG350="Currently on Watchlist",1,0)</f>
        <v/>
      </c>
      <c r="CI350" s="76">
        <f>IF($Z350="Full Defeasance","Fully Defeased",IF($Z350="Portion Of Loan Previously Defeased","Partially Defeased",IF($Z350="Defeasance Not Allowable","Not Defeased (Not Permitted)","Not Defeased")))</f>
        <v/>
      </c>
      <c r="CJ350" s="78">
        <f>IF($CI350="Fully Defeased",1,0)</f>
        <v/>
      </c>
      <c r="CK350" s="76">
        <f>IF($R350="IO","Full IO",IF(LEFT($R350&amp;"",7)="IO then","Partial IO","Amortizing"))</f>
        <v/>
      </c>
      <c r="CL350" s="78">
        <f>IF($CK350="Full IO",1,0)</f>
        <v/>
      </c>
      <c r="CM350" s="78">
        <f>IF($CK350="Partial IO",1,0)</f>
        <v/>
      </c>
      <c r="CN350" s="76">
        <f>IF(LEFT($F350&amp;"",10)="SPLIT_LOAN","Pari Passu Split","Standalone")</f>
        <v/>
      </c>
      <c r="CO350" s="78">
        <f>IF($CN350="Pari Passu Split",1,0)</f>
        <v/>
      </c>
      <c r="CP350" s="77">
        <f>IF(ISNUMBER($T350),YEAR($T350),"")</f>
        <v/>
      </c>
      <c r="CQ350" s="79">
        <f>IF(ISNUMBER($V350),$V350,IF(ISNUMBER($U350),$U350,""))</f>
        <v/>
      </c>
      <c r="CR350" s="77">
        <f>IF(ISNUMBER($CQ350),YEAR($CQ350),"")</f>
        <v/>
      </c>
      <c r="CS350" s="78">
        <f>IF(ISNUMBER($M350),MAX(0,$M350),IF(TRIM($M350&amp;"")="matured",0,""))</f>
        <v/>
      </c>
      <c r="CT350" s="78">
        <f>IF(AND(ISNUMBER($CS350),N($CS350)&lt;=mMatWindow),1,0)</f>
        <v/>
      </c>
      <c r="CU350" s="80">
        <f>IF(ISNUMBER($J350),$J350/100,"")</f>
        <v/>
      </c>
      <c r="CV350" s="81">
        <f>IF(ISNUMBER($AQ350),$AQ350,"")</f>
        <v/>
      </c>
      <c r="CW350" s="81">
        <f>IF(ISNUMBER($AR350),$AR350,"")</f>
        <v/>
      </c>
      <c r="CX350" s="82">
        <f>IF(ISNUMBER($AS350),$AS350/100,"")</f>
        <v/>
      </c>
      <c r="CY350" s="82">
        <f>IF(ISNUMBER($AT350),$AT350/100,"")</f>
        <v/>
      </c>
      <c r="CZ350" s="82">
        <f>IF(ISNUMBER($AU350),$AU350/100,"")</f>
        <v/>
      </c>
      <c r="DA350" s="82">
        <f>IF(ISNUMBER($AV350),$AV350/100,"")</f>
        <v/>
      </c>
      <c r="DB350" s="82">
        <f>IF(ISNUMBER($AW350),$AW350/100,"")</f>
        <v/>
      </c>
      <c r="DC350" s="82">
        <f>IF(ISNUMBER($AX350),$AX350/100,"")</f>
        <v/>
      </c>
      <c r="DD350" s="77">
        <f>IFERROR(VALUE(LEFT(TRIM($AO350&amp;""),4)),"")</f>
        <v/>
      </c>
      <c r="DE350" s="78">
        <f>IF(AND($BY350=1,$BX350=1,OR(fDeal="All Deals",$BU350=fDeal),OR(fEntity="All Entities",$BV350=fEntity),OR(fPType="All Property Types",$BZ350=fPType),OR(fDefeased="Include",$CJ350=0)),1,0)</f>
        <v/>
      </c>
      <c r="DF350" s="83">
        <f>$DE350*N($I350)</f>
        <v/>
      </c>
      <c r="DG350" s="78">
        <f>IF($DE350=1,IF(COUNTIFS($F$8:$F350,$F350,$DE$8:$DE350,1)=1,1,0),0)</f>
        <v/>
      </c>
      <c r="DH350" s="83">
        <f>IF($DG350=1,SUMIFS($DF$8:$DF$1600,$F$8:$F$1600,$F350),0)</f>
        <v/>
      </c>
      <c r="DI350" s="78">
        <f>IF($DG350=1,COUNTIFS($F$8:$F$1600,$F350,$DE$8:$DE$1600,1),0)</f>
        <v/>
      </c>
      <c r="DJ350" s="84">
        <f>IF($DG350=1,$DH350+(100000-ROW())/mTieBreak,0)</f>
        <v/>
      </c>
    </row>
    <row r="351">
      <c r="B351" s="68" t="n">
        <v>32</v>
      </c>
      <c r="C351" s="69" t="inlineStr">
        <is>
          <t>UBS18C08</t>
        </is>
      </c>
      <c r="D351" s="69" t="inlineStr">
        <is>
          <t>32.000</t>
        </is>
      </c>
      <c r="E351" s="69" t="inlineStr">
        <is>
          <t>Tarzana Village</t>
        </is>
      </c>
      <c r="F351" s="69" t="inlineStr">
        <is>
          <t>LNUBS18C08-32.000</t>
        </is>
      </c>
      <c r="G351" s="70" t="n"/>
      <c r="H351" s="71" t="n">
        <v>11800000</v>
      </c>
      <c r="I351" s="71" t="n">
        <v>11800000</v>
      </c>
      <c r="J351" s="72" t="n">
        <v>4.642</v>
      </c>
      <c r="K351" s="69" t="inlineStr">
        <is>
          <t>Fixed rate</t>
        </is>
      </c>
      <c r="L351" s="68" t="n">
        <v>120</v>
      </c>
      <c r="M351" s="68" t="n">
        <v>15</v>
      </c>
      <c r="N351" s="68" t="n">
        <v>120</v>
      </c>
      <c r="O351" s="68" t="n">
        <v>120</v>
      </c>
      <c r="P351" s="68" t="n">
        <v>15</v>
      </c>
      <c r="Q351" s="68" t="n">
        <v>105</v>
      </c>
      <c r="R351" s="69" t="inlineStr">
        <is>
          <t>IO</t>
        </is>
      </c>
      <c r="S351" s="69" t="inlineStr">
        <is>
          <t>Yes</t>
        </is>
      </c>
      <c r="T351" s="73" t="n">
        <v>43070</v>
      </c>
      <c r="U351" s="73" t="n">
        <v>46727</v>
      </c>
      <c r="V351" s="73" t="n"/>
      <c r="W351" s="69" t="n"/>
      <c r="X351" s="69" t="inlineStr">
        <is>
          <t>Current</t>
        </is>
      </c>
      <c r="Y351" s="68" t="n"/>
      <c r="Z351" s="69" t="inlineStr">
        <is>
          <t>No Defeasance Occurred</t>
        </is>
      </c>
      <c r="AA351" s="69" t="inlineStr">
        <is>
          <t>Yes</t>
        </is>
      </c>
      <c r="AB351" s="69" t="inlineStr">
        <is>
          <t>Never special serv</t>
        </is>
      </c>
      <c r="AC351" s="73" t="n"/>
      <c r="AD351" s="69" t="n"/>
      <c r="AE351" s="69" t="n"/>
      <c r="AF351" s="69" t="inlineStr">
        <is>
          <t>CA</t>
        </is>
      </c>
      <c r="AG351" s="69" t="inlineStr">
        <is>
          <t>Tarzana</t>
        </is>
      </c>
      <c r="AH351" s="69" t="inlineStr">
        <is>
          <t>Los Angeles-Long Beach-Anaheim, CA</t>
        </is>
      </c>
      <c r="AI351" s="69" t="inlineStr">
        <is>
          <t>West / Pacific South</t>
        </is>
      </c>
      <c r="AJ351" s="69" t="inlineStr">
        <is>
          <t>MX</t>
        </is>
      </c>
      <c r="AK351" s="69" t="inlineStr">
        <is>
          <t>Retail/Office</t>
        </is>
      </c>
      <c r="AL351" s="68" t="n">
        <v>1</v>
      </c>
      <c r="AM351" s="68" t="n"/>
      <c r="AN351" s="68" t="n">
        <v>48242</v>
      </c>
      <c r="AO351" s="69" t="inlineStr">
        <is>
          <t>1986</t>
        </is>
      </c>
      <c r="AP351" s="70" t="n">
        <v>1994</v>
      </c>
      <c r="AQ351" s="74" t="n">
        <v>1.88</v>
      </c>
      <c r="AR351" s="74" t="n">
        <v>1.49</v>
      </c>
      <c r="AS351" s="74" t="n">
        <v>53.9</v>
      </c>
      <c r="AT351" s="74" t="n">
        <v>53.88</v>
      </c>
      <c r="AU351" s="74" t="n">
        <v>53.9</v>
      </c>
      <c r="AV351" s="74" t="n">
        <v>8.831694915</v>
      </c>
      <c r="AW351" s="74" t="n">
        <v>5.494458136</v>
      </c>
      <c r="AX351" s="75" t="n">
        <v>100</v>
      </c>
      <c r="AY351" s="71" t="n">
        <v>21900000</v>
      </c>
      <c r="AZ351" s="71" t="n">
        <v>21900000</v>
      </c>
      <c r="BA351" s="71" t="n">
        <v>1042140</v>
      </c>
      <c r="BB351" s="71" t="n">
        <v>826091.7</v>
      </c>
      <c r="BC351" s="69" t="inlineStr">
        <is>
          <t>Refinance</t>
        </is>
      </c>
      <c r="BD351" s="69" t="inlineStr">
        <is>
          <t>N</t>
        </is>
      </c>
      <c r="BE351" s="71" t="n"/>
      <c r="BF351" s="71" t="n"/>
      <c r="BG351" s="71" t="n"/>
      <c r="BH351" s="71" t="n">
        <v>0</v>
      </c>
      <c r="BI351" s="71" t="n">
        <v>0</v>
      </c>
      <c r="BJ351" s="69" t="inlineStr">
        <is>
          <t>N</t>
        </is>
      </c>
      <c r="BK351" s="69" t="inlineStr">
        <is>
          <t>VIP Urgent Care</t>
        </is>
      </c>
      <c r="BL351" s="75" t="n">
        <v>14.72</v>
      </c>
      <c r="BM351" s="73" t="n">
        <v>47999</v>
      </c>
      <c r="BN351" s="69" t="inlineStr">
        <is>
          <t>Steve K. Wasserman; Linda S. Wasserman; Leonard J. Comden; Susan E. Comden</t>
        </is>
      </c>
      <c r="BO351" s="69" t="inlineStr">
        <is>
          <t>Barclays</t>
        </is>
      </c>
      <c r="BP351" s="69" t="inlineStr">
        <is>
          <t>Midland Loan Services</t>
        </is>
      </c>
      <c r="BQ351" s="69" t="inlineStr">
        <is>
          <t>Midland Loan Services</t>
        </is>
      </c>
      <c r="BR351" s="69" t="n"/>
      <c r="BS351" s="73" t="n">
        <v>46276</v>
      </c>
      <c r="BU351" s="76">
        <f>IF($C351="","",IFERROR(INDEX(dmName,MATCH($C351,dmID,0)),"Unmapped"))</f>
        <v/>
      </c>
      <c r="BV351" s="76">
        <f>IF($C351="","",IFERROR(INDEX(dmEntity,MATCH($C351,dmID,0)),"Unmapped"))</f>
        <v/>
      </c>
      <c r="BW351" s="77">
        <f>IF($C351="","",IFERROR(INDEX(dmVintage,MATCH($C351,dmID,0)),""))</f>
        <v/>
      </c>
      <c r="BX351" s="78">
        <f>IFERROR(INDEX(dmInclude,MATCH($C351,dmID,0)),0)</f>
        <v/>
      </c>
      <c r="BY351" s="78">
        <f>IF(N($I351)&gt;0,1,0)</f>
        <v/>
      </c>
      <c r="BZ351" s="76">
        <f>IF($AJ351="","Other / Leased Fee",IFERROR(INDEX(mapPTGroup,MATCH(LEFT(TRIM($AJ351),2),mapPTCode,0)),"Other / Leased Fee"))</f>
        <v/>
      </c>
      <c r="CA351" s="76">
        <f>IF(TRIM($AF351&amp;"")="","NR",LEFT(TRIM($AF351),2))</f>
        <v/>
      </c>
      <c r="CB351" s="76">
        <f>IFERROR(LOOKUP(2,1/(LEFT(TRIM($AI351&amp;""),LEN(mapRegion))=mapRegion),mapRegion),"Not Reported")</f>
        <v/>
      </c>
      <c r="CC351" s="76">
        <f>IF($BY351=0,"",IF(TRIM($W351&amp;"")="REO","REO",IF(TRIM($W351&amp;"")="FC","Foreclosure",IF(TRIM($W351&amp;"")="90+","90+ Days Delinquent",IF(TRIM($W351&amp;"")="60","60 Days Delinquent",IF(TRIM($W351&amp;"")="30","30 Days Delinquent",IF($X351="Non-Performing Matured Balloon","Non-Performing Matured Balloon",IF(OR($X351="Late Payment But Less Than 30 Days Delinquent",LEFT($X351&amp;"",20)="Payment Not Received"),"Late / In Grace (&lt;30 Days)",IF($X351="Performing Matured Balloon","Performing Matured Balloon","Current")))))))))</f>
        <v/>
      </c>
      <c r="CD351" s="78">
        <f>IF(OR($CC351="REO",$CC351="Foreclosure",$CC351="90+ Days Delinquent",$CC351="60 Days Delinquent",$CC351="30 Days Delinquent",$CC351="Non-Performing Matured Balloon"),1,0)</f>
        <v/>
      </c>
      <c r="CE351" s="76">
        <f>IF($AB351="Currently special serv","Currently Specially Serviced",IF($AB351="Returned to master serv","Previously Specially Serviced","Never Specially Serviced"))</f>
        <v/>
      </c>
      <c r="CF351" s="78">
        <f>IF($CE351="Currently Specially Serviced",1,0)</f>
        <v/>
      </c>
      <c r="CG351" s="76">
        <f>IF($AA351="Yes","Currently on Watchlist",IF($AA351="Previously","Previously on Watchlist","Never on Watchlist"))</f>
        <v/>
      </c>
      <c r="CH351" s="78">
        <f>IF($CG351="Currently on Watchlist",1,0)</f>
        <v/>
      </c>
      <c r="CI351" s="76">
        <f>IF($Z351="Full Defeasance","Fully Defeased",IF($Z351="Portion Of Loan Previously Defeased","Partially Defeased",IF($Z351="Defeasance Not Allowable","Not Defeased (Not Permitted)","Not Defeased")))</f>
        <v/>
      </c>
      <c r="CJ351" s="78">
        <f>IF($CI351="Fully Defeased",1,0)</f>
        <v/>
      </c>
      <c r="CK351" s="76">
        <f>IF($R351="IO","Full IO",IF(LEFT($R351&amp;"",7)="IO then","Partial IO","Amortizing"))</f>
        <v/>
      </c>
      <c r="CL351" s="78">
        <f>IF($CK351="Full IO",1,0)</f>
        <v/>
      </c>
      <c r="CM351" s="78">
        <f>IF($CK351="Partial IO",1,0)</f>
        <v/>
      </c>
      <c r="CN351" s="76">
        <f>IF(LEFT($F351&amp;"",10)="SPLIT_LOAN","Pari Passu Split","Standalone")</f>
        <v/>
      </c>
      <c r="CO351" s="78">
        <f>IF($CN351="Pari Passu Split",1,0)</f>
        <v/>
      </c>
      <c r="CP351" s="77">
        <f>IF(ISNUMBER($T351),YEAR($T351),"")</f>
        <v/>
      </c>
      <c r="CQ351" s="79">
        <f>IF(ISNUMBER($V351),$V351,IF(ISNUMBER($U351),$U351,""))</f>
        <v/>
      </c>
      <c r="CR351" s="77">
        <f>IF(ISNUMBER($CQ351),YEAR($CQ351),"")</f>
        <v/>
      </c>
      <c r="CS351" s="78">
        <f>IF(ISNUMBER($M351),MAX(0,$M351),IF(TRIM($M351&amp;"")="matured",0,""))</f>
        <v/>
      </c>
      <c r="CT351" s="78">
        <f>IF(AND(ISNUMBER($CS351),N($CS351)&lt;=mMatWindow),1,0)</f>
        <v/>
      </c>
      <c r="CU351" s="80">
        <f>IF(ISNUMBER($J351),$J351/100,"")</f>
        <v/>
      </c>
      <c r="CV351" s="81">
        <f>IF(ISNUMBER($AQ351),$AQ351,"")</f>
        <v/>
      </c>
      <c r="CW351" s="81">
        <f>IF(ISNUMBER($AR351),$AR351,"")</f>
        <v/>
      </c>
      <c r="CX351" s="82">
        <f>IF(ISNUMBER($AS351),$AS351/100,"")</f>
        <v/>
      </c>
      <c r="CY351" s="82">
        <f>IF(ISNUMBER($AT351),$AT351/100,"")</f>
        <v/>
      </c>
      <c r="CZ351" s="82">
        <f>IF(ISNUMBER($AU351),$AU351/100,"")</f>
        <v/>
      </c>
      <c r="DA351" s="82">
        <f>IF(ISNUMBER($AV351),$AV351/100,"")</f>
        <v/>
      </c>
      <c r="DB351" s="82">
        <f>IF(ISNUMBER($AW351),$AW351/100,"")</f>
        <v/>
      </c>
      <c r="DC351" s="82">
        <f>IF(ISNUMBER($AX351),$AX351/100,"")</f>
        <v/>
      </c>
      <c r="DD351" s="77">
        <f>IFERROR(VALUE(LEFT(TRIM($AO351&amp;""),4)),"")</f>
        <v/>
      </c>
      <c r="DE351" s="78">
        <f>IF(AND($BY351=1,$BX351=1,OR(fDeal="All Deals",$BU351=fDeal),OR(fEntity="All Entities",$BV351=fEntity),OR(fPType="All Property Types",$BZ351=fPType),OR(fDefeased="Include",$CJ351=0)),1,0)</f>
        <v/>
      </c>
      <c r="DF351" s="83">
        <f>$DE351*N($I351)</f>
        <v/>
      </c>
      <c r="DG351" s="78">
        <f>IF($DE351=1,IF(COUNTIFS($F$8:$F351,$F351,$DE$8:$DE351,1)=1,1,0),0)</f>
        <v/>
      </c>
      <c r="DH351" s="83">
        <f>IF($DG351=1,SUMIFS($DF$8:$DF$1600,$F$8:$F$1600,$F351),0)</f>
        <v/>
      </c>
      <c r="DI351" s="78">
        <f>IF($DG351=1,COUNTIFS($F$8:$F$1600,$F351,$DE$8:$DE$1600,1),0)</f>
        <v/>
      </c>
      <c r="DJ351" s="84">
        <f>IF($DG351=1,$DH351+(100000-ROW())/mTieBreak,0)</f>
        <v/>
      </c>
    </row>
    <row r="352">
      <c r="B352" s="68" t="n">
        <v>33</v>
      </c>
      <c r="C352" s="69" t="inlineStr">
        <is>
          <t>UBS18C08</t>
        </is>
      </c>
      <c r="D352" s="69" t="inlineStr">
        <is>
          <t>33.000</t>
        </is>
      </c>
      <c r="E352" s="69" t="inlineStr">
        <is>
          <t>249 E Ocean Blvd</t>
        </is>
      </c>
      <c r="F352" s="69" t="inlineStr">
        <is>
          <t>LNUBS18C08-33.000</t>
        </is>
      </c>
      <c r="G352" s="70" t="n"/>
      <c r="H352" s="71" t="n">
        <v>11250000</v>
      </c>
      <c r="I352" s="71" t="n">
        <v>10205921.380005</v>
      </c>
      <c r="J352" s="72" t="n">
        <v>4.7195</v>
      </c>
      <c r="K352" s="69" t="inlineStr">
        <is>
          <t>Fixed rate</t>
        </is>
      </c>
      <c r="L352" s="68" t="n">
        <v>120</v>
      </c>
      <c r="M352" s="68" t="n">
        <v>17</v>
      </c>
      <c r="N352" s="68" t="n">
        <v>396</v>
      </c>
      <c r="O352" s="68" t="n">
        <v>36</v>
      </c>
      <c r="P352" s="68" t="n">
        <v>0</v>
      </c>
      <c r="Q352" s="68" t="n">
        <v>103</v>
      </c>
      <c r="R352" s="69" t="inlineStr">
        <is>
          <t>IO then Amort</t>
        </is>
      </c>
      <c r="S352" s="69" t="inlineStr">
        <is>
          <t>No</t>
        </is>
      </c>
      <c r="T352" s="73" t="n">
        <v>43132</v>
      </c>
      <c r="U352" s="73" t="n">
        <v>46789</v>
      </c>
      <c r="V352" s="73" t="n"/>
      <c r="W352" s="69" t="n"/>
      <c r="X352" s="69" t="inlineStr">
        <is>
          <t>Current</t>
        </is>
      </c>
      <c r="Y352" s="68" t="n"/>
      <c r="Z352" s="69" t="inlineStr">
        <is>
          <t>Defeasance Not Allowable</t>
        </is>
      </c>
      <c r="AA352" s="69" t="inlineStr">
        <is>
          <t>Yes</t>
        </is>
      </c>
      <c r="AB352" s="69" t="inlineStr">
        <is>
          <t>Never special serv</t>
        </is>
      </c>
      <c r="AC352" s="73" t="n"/>
      <c r="AD352" s="69" t="n"/>
      <c r="AE352" s="69" t="n"/>
      <c r="AF352" s="69" t="inlineStr">
        <is>
          <t>CA</t>
        </is>
      </c>
      <c r="AG352" s="69" t="inlineStr">
        <is>
          <t>Long Beach</t>
        </is>
      </c>
      <c r="AH352" s="69" t="inlineStr">
        <is>
          <t>Los Angeles-Long Beach-Anaheim, CA</t>
        </is>
      </c>
      <c r="AI352" s="69" t="inlineStr">
        <is>
          <t>West / Pacific South</t>
        </is>
      </c>
      <c r="AJ352" s="69" t="inlineStr">
        <is>
          <t>OF</t>
        </is>
      </c>
      <c r="AK352" s="69" t="inlineStr">
        <is>
          <t>Suburban</t>
        </is>
      </c>
      <c r="AL352" s="68" t="n">
        <v>1</v>
      </c>
      <c r="AM352" s="68" t="n"/>
      <c r="AN352" s="68" t="n">
        <v>112215</v>
      </c>
      <c r="AO352" s="69" t="inlineStr">
        <is>
          <t>1981</t>
        </is>
      </c>
      <c r="AP352" s="70" t="n">
        <v>1992</v>
      </c>
      <c r="AQ352" s="74" t="n">
        <v>1.7</v>
      </c>
      <c r="AR352" s="74" t="n">
        <v>1.38</v>
      </c>
      <c r="AS352" s="74" t="n">
        <v>50</v>
      </c>
      <c r="AT352" s="74" t="n">
        <v>45.36</v>
      </c>
      <c r="AU352" s="74" t="n">
        <v>44</v>
      </c>
      <c r="AV352" s="74" t="n">
        <v>10.601973867</v>
      </c>
      <c r="AW352" s="74" t="n">
        <v>8.277529863</v>
      </c>
      <c r="AX352" s="75" t="n">
        <v>70</v>
      </c>
      <c r="AY352" s="71" t="n">
        <v>22500000</v>
      </c>
      <c r="AZ352" s="71" t="n">
        <v>22500000</v>
      </c>
      <c r="BA352" s="71" t="n">
        <v>1192722.06</v>
      </c>
      <c r="BB352" s="71" t="n">
        <v>242600.63</v>
      </c>
      <c r="BC352" s="69" t="inlineStr">
        <is>
          <t>Acquisition</t>
        </is>
      </c>
      <c r="BD352" s="69" t="inlineStr">
        <is>
          <t>N</t>
        </is>
      </c>
      <c r="BE352" s="71" t="n"/>
      <c r="BF352" s="71" t="n"/>
      <c r="BG352" s="71" t="n"/>
      <c r="BH352" s="71" t="n">
        <v>0</v>
      </c>
      <c r="BI352" s="71" t="n">
        <v>0</v>
      </c>
      <c r="BJ352" s="69" t="inlineStr">
        <is>
          <t>N</t>
        </is>
      </c>
      <c r="BK352" s="69" t="inlineStr">
        <is>
          <t>American Plus Bank N.A.</t>
        </is>
      </c>
      <c r="BL352" s="75" t="n">
        <v>13.19</v>
      </c>
      <c r="BM352" s="73" t="n">
        <v>46173</v>
      </c>
      <c r="BN352" s="69" t="inlineStr">
        <is>
          <t>Rajiv Kumar; Gurbax Bhasin</t>
        </is>
      </c>
      <c r="BO352" s="69" t="inlineStr">
        <is>
          <t>UBS</t>
        </is>
      </c>
      <c r="BP352" s="69" t="inlineStr">
        <is>
          <t>Midland Loan Services</t>
        </is>
      </c>
      <c r="BQ352" s="69" t="inlineStr">
        <is>
          <t>Midland Loan Services</t>
        </is>
      </c>
      <c r="BR352" s="69" t="n"/>
      <c r="BS352" s="73" t="n">
        <v>46276</v>
      </c>
      <c r="BU352" s="76">
        <f>IF($C352="","",IFERROR(INDEX(dmName,MATCH($C352,dmID,0)),"Unmapped"))</f>
        <v/>
      </c>
      <c r="BV352" s="76">
        <f>IF($C352="","",IFERROR(INDEX(dmEntity,MATCH($C352,dmID,0)),"Unmapped"))</f>
        <v/>
      </c>
      <c r="BW352" s="77">
        <f>IF($C352="","",IFERROR(INDEX(dmVintage,MATCH($C352,dmID,0)),""))</f>
        <v/>
      </c>
      <c r="BX352" s="78">
        <f>IFERROR(INDEX(dmInclude,MATCH($C352,dmID,0)),0)</f>
        <v/>
      </c>
      <c r="BY352" s="78">
        <f>IF(N($I352)&gt;0,1,0)</f>
        <v/>
      </c>
      <c r="BZ352" s="76">
        <f>IF($AJ352="","Other / Leased Fee",IFERROR(INDEX(mapPTGroup,MATCH(LEFT(TRIM($AJ352),2),mapPTCode,0)),"Other / Leased Fee"))</f>
        <v/>
      </c>
      <c r="CA352" s="76">
        <f>IF(TRIM($AF352&amp;"")="","NR",LEFT(TRIM($AF352),2))</f>
        <v/>
      </c>
      <c r="CB352" s="76">
        <f>IFERROR(LOOKUP(2,1/(LEFT(TRIM($AI352&amp;""),LEN(mapRegion))=mapRegion),mapRegion),"Not Reported")</f>
        <v/>
      </c>
      <c r="CC352" s="76">
        <f>IF($BY352=0,"",IF(TRIM($W352&amp;"")="REO","REO",IF(TRIM($W352&amp;"")="FC","Foreclosure",IF(TRIM($W352&amp;"")="90+","90+ Days Delinquent",IF(TRIM($W352&amp;"")="60","60 Days Delinquent",IF(TRIM($W352&amp;"")="30","30 Days Delinquent",IF($X352="Non-Performing Matured Balloon","Non-Performing Matured Balloon",IF(OR($X352="Late Payment But Less Than 30 Days Delinquent",LEFT($X352&amp;"",20)="Payment Not Received"),"Late / In Grace (&lt;30 Days)",IF($X352="Performing Matured Balloon","Performing Matured Balloon","Current")))))))))</f>
        <v/>
      </c>
      <c r="CD352" s="78">
        <f>IF(OR($CC352="REO",$CC352="Foreclosure",$CC352="90+ Days Delinquent",$CC352="60 Days Delinquent",$CC352="30 Days Delinquent",$CC352="Non-Performing Matured Balloon"),1,0)</f>
        <v/>
      </c>
      <c r="CE352" s="76">
        <f>IF($AB352="Currently special serv","Currently Specially Serviced",IF($AB352="Returned to master serv","Previously Specially Serviced","Never Specially Serviced"))</f>
        <v/>
      </c>
      <c r="CF352" s="78">
        <f>IF($CE352="Currently Specially Serviced",1,0)</f>
        <v/>
      </c>
      <c r="CG352" s="76">
        <f>IF($AA352="Yes","Currently on Watchlist",IF($AA352="Previously","Previously on Watchlist","Never on Watchlist"))</f>
        <v/>
      </c>
      <c r="CH352" s="78">
        <f>IF($CG352="Currently on Watchlist",1,0)</f>
        <v/>
      </c>
      <c r="CI352" s="76">
        <f>IF($Z352="Full Defeasance","Fully Defeased",IF($Z352="Portion Of Loan Previously Defeased","Partially Defeased",IF($Z352="Defeasance Not Allowable","Not Defeased (Not Permitted)","Not Defeased")))</f>
        <v/>
      </c>
      <c r="CJ352" s="78">
        <f>IF($CI352="Fully Defeased",1,0)</f>
        <v/>
      </c>
      <c r="CK352" s="76">
        <f>IF($R352="IO","Full IO",IF(LEFT($R352&amp;"",7)="IO then","Partial IO","Amortizing"))</f>
        <v/>
      </c>
      <c r="CL352" s="78">
        <f>IF($CK352="Full IO",1,0)</f>
        <v/>
      </c>
      <c r="CM352" s="78">
        <f>IF($CK352="Partial IO",1,0)</f>
        <v/>
      </c>
      <c r="CN352" s="76">
        <f>IF(LEFT($F352&amp;"",10)="SPLIT_LOAN","Pari Passu Split","Standalone")</f>
        <v/>
      </c>
      <c r="CO352" s="78">
        <f>IF($CN352="Pari Passu Split",1,0)</f>
        <v/>
      </c>
      <c r="CP352" s="77">
        <f>IF(ISNUMBER($T352),YEAR($T352),"")</f>
        <v/>
      </c>
      <c r="CQ352" s="79">
        <f>IF(ISNUMBER($V352),$V352,IF(ISNUMBER($U352),$U352,""))</f>
        <v/>
      </c>
      <c r="CR352" s="77">
        <f>IF(ISNUMBER($CQ352),YEAR($CQ352),"")</f>
        <v/>
      </c>
      <c r="CS352" s="78">
        <f>IF(ISNUMBER($M352),MAX(0,$M352),IF(TRIM($M352&amp;"")="matured",0,""))</f>
        <v/>
      </c>
      <c r="CT352" s="78">
        <f>IF(AND(ISNUMBER($CS352),N($CS352)&lt;=mMatWindow),1,0)</f>
        <v/>
      </c>
      <c r="CU352" s="80">
        <f>IF(ISNUMBER($J352),$J352/100,"")</f>
        <v/>
      </c>
      <c r="CV352" s="81">
        <f>IF(ISNUMBER($AQ352),$AQ352,"")</f>
        <v/>
      </c>
      <c r="CW352" s="81">
        <f>IF(ISNUMBER($AR352),$AR352,"")</f>
        <v/>
      </c>
      <c r="CX352" s="82">
        <f>IF(ISNUMBER($AS352),$AS352/100,"")</f>
        <v/>
      </c>
      <c r="CY352" s="82">
        <f>IF(ISNUMBER($AT352),$AT352/100,"")</f>
        <v/>
      </c>
      <c r="CZ352" s="82">
        <f>IF(ISNUMBER($AU352),$AU352/100,"")</f>
        <v/>
      </c>
      <c r="DA352" s="82">
        <f>IF(ISNUMBER($AV352),$AV352/100,"")</f>
        <v/>
      </c>
      <c r="DB352" s="82">
        <f>IF(ISNUMBER($AW352),$AW352/100,"")</f>
        <v/>
      </c>
      <c r="DC352" s="82">
        <f>IF(ISNUMBER($AX352),$AX352/100,"")</f>
        <v/>
      </c>
      <c r="DD352" s="77">
        <f>IFERROR(VALUE(LEFT(TRIM($AO352&amp;""),4)),"")</f>
        <v/>
      </c>
      <c r="DE352" s="78">
        <f>IF(AND($BY352=1,$BX352=1,OR(fDeal="All Deals",$BU352=fDeal),OR(fEntity="All Entities",$BV352=fEntity),OR(fPType="All Property Types",$BZ352=fPType),OR(fDefeased="Include",$CJ352=0)),1,0)</f>
        <v/>
      </c>
      <c r="DF352" s="83">
        <f>$DE352*N($I352)</f>
        <v/>
      </c>
      <c r="DG352" s="78">
        <f>IF($DE352=1,IF(COUNTIFS($F$8:$F352,$F352,$DE$8:$DE352,1)=1,1,0),0)</f>
        <v/>
      </c>
      <c r="DH352" s="83">
        <f>IF($DG352=1,SUMIFS($DF$8:$DF$1600,$F$8:$F$1600,$F352),0)</f>
        <v/>
      </c>
      <c r="DI352" s="78">
        <f>IF($DG352=1,COUNTIFS($F$8:$F$1600,$F352,$DE$8:$DE$1600,1),0)</f>
        <v/>
      </c>
      <c r="DJ352" s="84">
        <f>IF($DG352=1,$DH352+(100000-ROW())/mTieBreak,0)</f>
        <v/>
      </c>
    </row>
    <row r="353">
      <c r="B353" s="68" t="n">
        <v>34</v>
      </c>
      <c r="C353" s="69" t="inlineStr">
        <is>
          <t>UBS18C08</t>
        </is>
      </c>
      <c r="D353" s="69" t="inlineStr">
        <is>
          <t>34.000</t>
        </is>
      </c>
      <c r="E353" s="69" t="inlineStr">
        <is>
          <t>Dorset &amp; Market Street</t>
        </is>
      </c>
      <c r="F353" s="69" t="inlineStr">
        <is>
          <t>LNUBS18C08-34.000</t>
        </is>
      </c>
      <c r="G353" s="70" t="n"/>
      <c r="H353" s="71" t="n">
        <v>11200000</v>
      </c>
      <c r="I353" s="71" t="n">
        <v>9526718.919995202</v>
      </c>
      <c r="J353" s="72" t="n">
        <v>4.9728</v>
      </c>
      <c r="K353" s="69" t="inlineStr">
        <is>
          <t>Fixed rate</t>
        </is>
      </c>
      <c r="L353" s="68" t="n">
        <v>120</v>
      </c>
      <c r="M353" s="68" t="n">
        <v>16</v>
      </c>
      <c r="N353" s="68" t="n">
        <v>360</v>
      </c>
      <c r="O353" s="68" t="n"/>
      <c r="P353" s="68" t="n"/>
      <c r="Q353" s="68" t="n">
        <v>104</v>
      </c>
      <c r="R353" s="69" t="n"/>
      <c r="S353" s="69" t="inlineStr">
        <is>
          <t>No</t>
        </is>
      </c>
      <c r="T353" s="73" t="n">
        <v>43101</v>
      </c>
      <c r="U353" s="73" t="n">
        <v>46758</v>
      </c>
      <c r="V353" s="73" t="n"/>
      <c r="W353" s="69" t="n"/>
      <c r="X353" s="69" t="inlineStr">
        <is>
          <t>Current</t>
        </is>
      </c>
      <c r="Y353" s="68" t="n"/>
      <c r="Z353" s="69" t="inlineStr">
        <is>
          <t>Defeasance Not Allowable</t>
        </is>
      </c>
      <c r="AA353" s="69" t="inlineStr">
        <is>
          <t>Yes</t>
        </is>
      </c>
      <c r="AB353" s="69" t="inlineStr">
        <is>
          <t>Never special serv</t>
        </is>
      </c>
      <c r="AC353" s="73" t="n"/>
      <c r="AD353" s="69" t="n"/>
      <c r="AE353" s="69" t="n"/>
      <c r="AF353" s="69" t="inlineStr">
        <is>
          <t>VT</t>
        </is>
      </c>
      <c r="AG353" s="69" t="inlineStr">
        <is>
          <t>South Burlington</t>
        </is>
      </c>
      <c r="AH353" s="69" t="inlineStr">
        <is>
          <t>Burlington-South Burlington, VT</t>
        </is>
      </c>
      <c r="AI353" s="69" t="inlineStr">
        <is>
          <t>Northeast / New England</t>
        </is>
      </c>
      <c r="AJ353" s="69" t="inlineStr">
        <is>
          <t>MX</t>
        </is>
      </c>
      <c r="AK353" s="69" t="inlineStr">
        <is>
          <t>Retail/Office</t>
        </is>
      </c>
      <c r="AL353" s="68" t="n">
        <v>1</v>
      </c>
      <c r="AM353" s="68" t="n"/>
      <c r="AN353" s="68" t="n">
        <v>95091</v>
      </c>
      <c r="AO353" s="69" t="inlineStr">
        <is>
          <t>1972 (100 Dorset Street); 1993 (2 Market Street); 1995 (4 Market Street); 1996 (102 Dorset Street); 1996 (Parking Garage/Deck)</t>
        </is>
      </c>
      <c r="AP353" s="70" t="n"/>
      <c r="AQ353" s="74" t="n">
        <v>1.53</v>
      </c>
      <c r="AR353" s="74" t="n">
        <v>0.53</v>
      </c>
      <c r="AS353" s="74" t="n">
        <v>63.6</v>
      </c>
      <c r="AT353" s="74" t="n">
        <v>54.13</v>
      </c>
      <c r="AU353" s="74" t="n">
        <v>52.3</v>
      </c>
      <c r="AV353" s="74" t="n">
        <v>9.796249286</v>
      </c>
      <c r="AW353" s="74" t="n">
        <v>5.862376383</v>
      </c>
      <c r="AX353" s="75" t="n">
        <v>76</v>
      </c>
      <c r="AY353" s="71" t="n">
        <v>17600000</v>
      </c>
      <c r="AZ353" s="71" t="n">
        <v>17600000</v>
      </c>
      <c r="BA353" s="71" t="n">
        <v>1097179.92</v>
      </c>
      <c r="BB353" s="71" t="n">
        <v>380737.76</v>
      </c>
      <c r="BC353" s="69" t="inlineStr">
        <is>
          <t>Refinance</t>
        </is>
      </c>
      <c r="BD353" s="69" t="inlineStr">
        <is>
          <t>N</t>
        </is>
      </c>
      <c r="BE353" s="71" t="n"/>
      <c r="BF353" s="71" t="n"/>
      <c r="BG353" s="71" t="n"/>
      <c r="BH353" s="71" t="n">
        <v>0</v>
      </c>
      <c r="BI353" s="71" t="n">
        <v>0</v>
      </c>
      <c r="BJ353" s="69" t="inlineStr">
        <is>
          <t>Y</t>
        </is>
      </c>
      <c r="BK353" s="69" t="inlineStr">
        <is>
          <t>State of Vermont - Dept of Buildings and General Services</t>
        </is>
      </c>
      <c r="BL353" s="75" t="n">
        <v>11.15</v>
      </c>
      <c r="BM353" s="73" t="n">
        <v>47999</v>
      </c>
      <c r="BN353" s="69" t="inlineStr">
        <is>
          <t>Samuel T. Judge</t>
        </is>
      </c>
      <c r="BO353" s="69" t="inlineStr">
        <is>
          <t>UBS</t>
        </is>
      </c>
      <c r="BP353" s="69" t="inlineStr">
        <is>
          <t>Midland Loan Services</t>
        </is>
      </c>
      <c r="BQ353" s="69" t="inlineStr">
        <is>
          <t>Midland Loan Services</t>
        </is>
      </c>
      <c r="BR353" s="69" t="n"/>
      <c r="BS353" s="73" t="n">
        <v>46276</v>
      </c>
      <c r="BU353" s="76">
        <f>IF($C353="","",IFERROR(INDEX(dmName,MATCH($C353,dmID,0)),"Unmapped"))</f>
        <v/>
      </c>
      <c r="BV353" s="76">
        <f>IF($C353="","",IFERROR(INDEX(dmEntity,MATCH($C353,dmID,0)),"Unmapped"))</f>
        <v/>
      </c>
      <c r="BW353" s="77">
        <f>IF($C353="","",IFERROR(INDEX(dmVintage,MATCH($C353,dmID,0)),""))</f>
        <v/>
      </c>
      <c r="BX353" s="78">
        <f>IFERROR(INDEX(dmInclude,MATCH($C353,dmID,0)),0)</f>
        <v/>
      </c>
      <c r="BY353" s="78">
        <f>IF(N($I353)&gt;0,1,0)</f>
        <v/>
      </c>
      <c r="BZ353" s="76">
        <f>IF($AJ353="","Other / Leased Fee",IFERROR(INDEX(mapPTGroup,MATCH(LEFT(TRIM($AJ353),2),mapPTCode,0)),"Other / Leased Fee"))</f>
        <v/>
      </c>
      <c r="CA353" s="76">
        <f>IF(TRIM($AF353&amp;"")="","NR",LEFT(TRIM($AF353),2))</f>
        <v/>
      </c>
      <c r="CB353" s="76">
        <f>IFERROR(LOOKUP(2,1/(LEFT(TRIM($AI353&amp;""),LEN(mapRegion))=mapRegion),mapRegion),"Not Reported")</f>
        <v/>
      </c>
      <c r="CC353" s="76">
        <f>IF($BY353=0,"",IF(TRIM($W353&amp;"")="REO","REO",IF(TRIM($W353&amp;"")="FC","Foreclosure",IF(TRIM($W353&amp;"")="90+","90+ Days Delinquent",IF(TRIM($W353&amp;"")="60","60 Days Delinquent",IF(TRIM($W353&amp;"")="30","30 Days Delinquent",IF($X353="Non-Performing Matured Balloon","Non-Performing Matured Balloon",IF(OR($X353="Late Payment But Less Than 30 Days Delinquent",LEFT($X353&amp;"",20)="Payment Not Received"),"Late / In Grace (&lt;30 Days)",IF($X353="Performing Matured Balloon","Performing Matured Balloon","Current")))))))))</f>
        <v/>
      </c>
      <c r="CD353" s="78">
        <f>IF(OR($CC353="REO",$CC353="Foreclosure",$CC353="90+ Days Delinquent",$CC353="60 Days Delinquent",$CC353="30 Days Delinquent",$CC353="Non-Performing Matured Balloon"),1,0)</f>
        <v/>
      </c>
      <c r="CE353" s="76">
        <f>IF($AB353="Currently special serv","Currently Specially Serviced",IF($AB353="Returned to master serv","Previously Specially Serviced","Never Specially Serviced"))</f>
        <v/>
      </c>
      <c r="CF353" s="78">
        <f>IF($CE353="Currently Specially Serviced",1,0)</f>
        <v/>
      </c>
      <c r="CG353" s="76">
        <f>IF($AA353="Yes","Currently on Watchlist",IF($AA353="Previously","Previously on Watchlist","Never on Watchlist"))</f>
        <v/>
      </c>
      <c r="CH353" s="78">
        <f>IF($CG353="Currently on Watchlist",1,0)</f>
        <v/>
      </c>
      <c r="CI353" s="76">
        <f>IF($Z353="Full Defeasance","Fully Defeased",IF($Z353="Portion Of Loan Previously Defeased","Partially Defeased",IF($Z353="Defeasance Not Allowable","Not Defeased (Not Permitted)","Not Defeased")))</f>
        <v/>
      </c>
      <c r="CJ353" s="78">
        <f>IF($CI353="Fully Defeased",1,0)</f>
        <v/>
      </c>
      <c r="CK353" s="76">
        <f>IF($R353="IO","Full IO",IF(LEFT($R353&amp;"",7)="IO then","Partial IO","Amortizing"))</f>
        <v/>
      </c>
      <c r="CL353" s="78">
        <f>IF($CK353="Full IO",1,0)</f>
        <v/>
      </c>
      <c r="CM353" s="78">
        <f>IF($CK353="Partial IO",1,0)</f>
        <v/>
      </c>
      <c r="CN353" s="76">
        <f>IF(LEFT($F353&amp;"",10)="SPLIT_LOAN","Pari Passu Split","Standalone")</f>
        <v/>
      </c>
      <c r="CO353" s="78">
        <f>IF($CN353="Pari Passu Split",1,0)</f>
        <v/>
      </c>
      <c r="CP353" s="77">
        <f>IF(ISNUMBER($T353),YEAR($T353),"")</f>
        <v/>
      </c>
      <c r="CQ353" s="79">
        <f>IF(ISNUMBER($V353),$V353,IF(ISNUMBER($U353),$U353,""))</f>
        <v/>
      </c>
      <c r="CR353" s="77">
        <f>IF(ISNUMBER($CQ353),YEAR($CQ353),"")</f>
        <v/>
      </c>
      <c r="CS353" s="78">
        <f>IF(ISNUMBER($M353),MAX(0,$M353),IF(TRIM($M353&amp;"")="matured",0,""))</f>
        <v/>
      </c>
      <c r="CT353" s="78">
        <f>IF(AND(ISNUMBER($CS353),N($CS353)&lt;=mMatWindow),1,0)</f>
        <v/>
      </c>
      <c r="CU353" s="80">
        <f>IF(ISNUMBER($J353),$J353/100,"")</f>
        <v/>
      </c>
      <c r="CV353" s="81">
        <f>IF(ISNUMBER($AQ353),$AQ353,"")</f>
        <v/>
      </c>
      <c r="CW353" s="81">
        <f>IF(ISNUMBER($AR353),$AR353,"")</f>
        <v/>
      </c>
      <c r="CX353" s="82">
        <f>IF(ISNUMBER($AS353),$AS353/100,"")</f>
        <v/>
      </c>
      <c r="CY353" s="82">
        <f>IF(ISNUMBER($AT353),$AT353/100,"")</f>
        <v/>
      </c>
      <c r="CZ353" s="82">
        <f>IF(ISNUMBER($AU353),$AU353/100,"")</f>
        <v/>
      </c>
      <c r="DA353" s="82">
        <f>IF(ISNUMBER($AV353),$AV353/100,"")</f>
        <v/>
      </c>
      <c r="DB353" s="82">
        <f>IF(ISNUMBER($AW353),$AW353/100,"")</f>
        <v/>
      </c>
      <c r="DC353" s="82">
        <f>IF(ISNUMBER($AX353),$AX353/100,"")</f>
        <v/>
      </c>
      <c r="DD353" s="77">
        <f>IFERROR(VALUE(LEFT(TRIM($AO353&amp;""),4)),"")</f>
        <v/>
      </c>
      <c r="DE353" s="78">
        <f>IF(AND($BY353=1,$BX353=1,OR(fDeal="All Deals",$BU353=fDeal),OR(fEntity="All Entities",$BV353=fEntity),OR(fPType="All Property Types",$BZ353=fPType),OR(fDefeased="Include",$CJ353=0)),1,0)</f>
        <v/>
      </c>
      <c r="DF353" s="83">
        <f>$DE353*N($I353)</f>
        <v/>
      </c>
      <c r="DG353" s="78">
        <f>IF($DE353=1,IF(COUNTIFS($F$8:$F353,$F353,$DE$8:$DE353,1)=1,1,0),0)</f>
        <v/>
      </c>
      <c r="DH353" s="83">
        <f>IF($DG353=1,SUMIFS($DF$8:$DF$1600,$F$8:$F$1600,$F353),0)</f>
        <v/>
      </c>
      <c r="DI353" s="78">
        <f>IF($DG353=1,COUNTIFS($F$8:$F$1600,$F353,$DE$8:$DE$1600,1),0)</f>
        <v/>
      </c>
      <c r="DJ353" s="84">
        <f>IF($DG353=1,$DH353+(100000-ROW())/mTieBreak,0)</f>
        <v/>
      </c>
    </row>
    <row r="354">
      <c r="B354" s="68" t="n">
        <v>35</v>
      </c>
      <c r="C354" s="69" t="inlineStr">
        <is>
          <t>UBS18C08</t>
        </is>
      </c>
      <c r="D354" s="69" t="inlineStr">
        <is>
          <t>35.000</t>
        </is>
      </c>
      <c r="E354" s="69" t="inlineStr">
        <is>
          <t>National NNN Retail Portfolio</t>
        </is>
      </c>
      <c r="F354" s="69" t="inlineStr">
        <is>
          <t>LNUBS18C08-35.000</t>
        </is>
      </c>
      <c r="G354" s="70" t="n"/>
      <c r="H354" s="71" t="n">
        <v>9600000</v>
      </c>
      <c r="I354" s="71" t="n">
        <v>8236138.690003201</v>
      </c>
      <c r="J354" s="72" t="n">
        <v>5.2872</v>
      </c>
      <c r="K354" s="69" t="inlineStr">
        <is>
          <t>Fixed rate</t>
        </is>
      </c>
      <c r="L354" s="68" t="n">
        <v>120</v>
      </c>
      <c r="M354" s="68" t="n">
        <v>16</v>
      </c>
      <c r="N354" s="68" t="n">
        <v>360</v>
      </c>
      <c r="O354" s="68" t="n"/>
      <c r="P354" s="68" t="n"/>
      <c r="Q354" s="68" t="n">
        <v>104</v>
      </c>
      <c r="R354" s="69" t="n"/>
      <c r="S354" s="69" t="inlineStr">
        <is>
          <t>No</t>
        </is>
      </c>
      <c r="T354" s="73" t="n">
        <v>43101</v>
      </c>
      <c r="U354" s="73" t="n">
        <v>46758</v>
      </c>
      <c r="V354" s="73" t="n"/>
      <c r="W354" s="69" t="n"/>
      <c r="X354" s="69" t="inlineStr">
        <is>
          <t>Current</t>
        </is>
      </c>
      <c r="Y354" s="68" t="n"/>
      <c r="Z354" s="69" t="inlineStr">
        <is>
          <t>Defeasance Not Allowable</t>
        </is>
      </c>
      <c r="AA354" s="69" t="inlineStr">
        <is>
          <t>Yes</t>
        </is>
      </c>
      <c r="AB354" s="69" t="inlineStr">
        <is>
          <t>Never special serv</t>
        </is>
      </c>
      <c r="AC354" s="73" t="n"/>
      <c r="AD354" s="69" t="n"/>
      <c r="AE354" s="69" t="n"/>
      <c r="AF354" s="69" t="inlineStr">
        <is>
          <t>IL-50.000000000% NC-50.000000000%</t>
        </is>
      </c>
      <c r="AG354" s="69" t="n"/>
      <c r="AH354" s="69" t="inlineStr">
        <is>
          <t>Chicago-Naperville-Elgin, IL-IN-50.000000000% Durham-Chapel Hill, NC-50.000000000%</t>
        </is>
      </c>
      <c r="AI354" s="69" t="inlineStr">
        <is>
          <t>Midwest / Central East-50.000000000% South / Atlantic-50.000000000%</t>
        </is>
      </c>
      <c r="AJ354" s="69" t="inlineStr">
        <is>
          <t>RT</t>
        </is>
      </c>
      <c r="AK354" s="69" t="n"/>
      <c r="AL354" s="68" t="n">
        <v>3</v>
      </c>
      <c r="AM354" s="68" t="n"/>
      <c r="AN354" s="68" t="n">
        <v>23916</v>
      </c>
      <c r="AO354" s="69" t="n"/>
      <c r="AP354" s="70" t="n">
        <v>2020</v>
      </c>
      <c r="AQ354" s="74" t="n">
        <v>1.26</v>
      </c>
      <c r="AR354" s="74" t="n"/>
      <c r="AS354" s="74" t="n">
        <v>73.09999999999999</v>
      </c>
      <c r="AT354" s="74" t="n">
        <v>62.75</v>
      </c>
      <c r="AU354" s="74" t="n">
        <v>60.7</v>
      </c>
      <c r="AV354" s="74" t="n">
        <v>8.399865416999999</v>
      </c>
      <c r="AW354" s="74" t="n">
        <v>7.647046434</v>
      </c>
      <c r="AX354" s="75" t="n">
        <v>100</v>
      </c>
      <c r="AY354" s="71" t="n">
        <v>13125000</v>
      </c>
      <c r="AZ354" s="71" t="n">
        <v>13125001</v>
      </c>
      <c r="BA354" s="71" t="n">
        <v>806387.08</v>
      </c>
      <c r="BB354" s="71" t="n">
        <v>163538.32</v>
      </c>
      <c r="BC354" s="69" t="inlineStr">
        <is>
          <t>Acquisition</t>
        </is>
      </c>
      <c r="BD354" s="69" t="inlineStr">
        <is>
          <t>N</t>
        </is>
      </c>
      <c r="BE354" s="71" t="n"/>
      <c r="BF354" s="71" t="n"/>
      <c r="BG354" s="71" t="n"/>
      <c r="BH354" s="71" t="n">
        <v>0</v>
      </c>
      <c r="BI354" s="71" t="n">
        <v>0</v>
      </c>
      <c r="BJ354" s="69" t="inlineStr">
        <is>
          <t>N</t>
        </is>
      </c>
      <c r="BK354" s="69" t="inlineStr">
        <is>
          <t>Aspen Dental Management Inc.</t>
        </is>
      </c>
      <c r="BL354" s="75" t="n">
        <v>29.27</v>
      </c>
      <c r="BM354" s="73" t="n">
        <v>46721</v>
      </c>
      <c r="BN354" s="69" t="inlineStr">
        <is>
          <t>Jose Chacalo Hilu; Veraz Fondo Dos, LLC</t>
        </is>
      </c>
      <c r="BO354" s="69" t="inlineStr">
        <is>
          <t>UBS</t>
        </is>
      </c>
      <c r="BP354" s="69" t="inlineStr">
        <is>
          <t>Midland Loan Services</t>
        </is>
      </c>
      <c r="BQ354" s="69" t="inlineStr">
        <is>
          <t>Midland Loan Services</t>
        </is>
      </c>
      <c r="BR354" s="69" t="n"/>
      <c r="BS354" s="73" t="n">
        <v>46276</v>
      </c>
      <c r="BU354" s="76">
        <f>IF($C354="","",IFERROR(INDEX(dmName,MATCH($C354,dmID,0)),"Unmapped"))</f>
        <v/>
      </c>
      <c r="BV354" s="76">
        <f>IF($C354="","",IFERROR(INDEX(dmEntity,MATCH($C354,dmID,0)),"Unmapped"))</f>
        <v/>
      </c>
      <c r="BW354" s="77">
        <f>IF($C354="","",IFERROR(INDEX(dmVintage,MATCH($C354,dmID,0)),""))</f>
        <v/>
      </c>
      <c r="BX354" s="78">
        <f>IFERROR(INDEX(dmInclude,MATCH($C354,dmID,0)),0)</f>
        <v/>
      </c>
      <c r="BY354" s="78">
        <f>IF(N($I354)&gt;0,1,0)</f>
        <v/>
      </c>
      <c r="BZ354" s="76">
        <f>IF($AJ354="","Other / Leased Fee",IFERROR(INDEX(mapPTGroup,MATCH(LEFT(TRIM($AJ354),2),mapPTCode,0)),"Other / Leased Fee"))</f>
        <v/>
      </c>
      <c r="CA354" s="76">
        <f>IF(TRIM($AF354&amp;"")="","NR",LEFT(TRIM($AF354),2))</f>
        <v/>
      </c>
      <c r="CB354" s="76">
        <f>IFERROR(LOOKUP(2,1/(LEFT(TRIM($AI354&amp;""),LEN(mapRegion))=mapRegion),mapRegion),"Not Reported")</f>
        <v/>
      </c>
      <c r="CC354" s="76">
        <f>IF($BY354=0,"",IF(TRIM($W354&amp;"")="REO","REO",IF(TRIM($W354&amp;"")="FC","Foreclosure",IF(TRIM($W354&amp;"")="90+","90+ Days Delinquent",IF(TRIM($W354&amp;"")="60","60 Days Delinquent",IF(TRIM($W354&amp;"")="30","30 Days Delinquent",IF($X354="Non-Performing Matured Balloon","Non-Performing Matured Balloon",IF(OR($X354="Late Payment But Less Than 30 Days Delinquent",LEFT($X354&amp;"",20)="Payment Not Received"),"Late / In Grace (&lt;30 Days)",IF($X354="Performing Matured Balloon","Performing Matured Balloon","Current")))))))))</f>
        <v/>
      </c>
      <c r="CD354" s="78">
        <f>IF(OR($CC354="REO",$CC354="Foreclosure",$CC354="90+ Days Delinquent",$CC354="60 Days Delinquent",$CC354="30 Days Delinquent",$CC354="Non-Performing Matured Balloon"),1,0)</f>
        <v/>
      </c>
      <c r="CE354" s="76">
        <f>IF($AB354="Currently special serv","Currently Specially Serviced",IF($AB354="Returned to master serv","Previously Specially Serviced","Never Specially Serviced"))</f>
        <v/>
      </c>
      <c r="CF354" s="78">
        <f>IF($CE354="Currently Specially Serviced",1,0)</f>
        <v/>
      </c>
      <c r="CG354" s="76">
        <f>IF($AA354="Yes","Currently on Watchlist",IF($AA354="Previously","Previously on Watchlist","Never on Watchlist"))</f>
        <v/>
      </c>
      <c r="CH354" s="78">
        <f>IF($CG354="Currently on Watchlist",1,0)</f>
        <v/>
      </c>
      <c r="CI354" s="76">
        <f>IF($Z354="Full Defeasance","Fully Defeased",IF($Z354="Portion Of Loan Previously Defeased","Partially Defeased",IF($Z354="Defeasance Not Allowable","Not Defeased (Not Permitted)","Not Defeased")))</f>
        <v/>
      </c>
      <c r="CJ354" s="78">
        <f>IF($CI354="Fully Defeased",1,0)</f>
        <v/>
      </c>
      <c r="CK354" s="76">
        <f>IF($R354="IO","Full IO",IF(LEFT($R354&amp;"",7)="IO then","Partial IO","Amortizing"))</f>
        <v/>
      </c>
      <c r="CL354" s="78">
        <f>IF($CK354="Full IO",1,0)</f>
        <v/>
      </c>
      <c r="CM354" s="78">
        <f>IF($CK354="Partial IO",1,0)</f>
        <v/>
      </c>
      <c r="CN354" s="76">
        <f>IF(LEFT($F354&amp;"",10)="SPLIT_LOAN","Pari Passu Split","Standalone")</f>
        <v/>
      </c>
      <c r="CO354" s="78">
        <f>IF($CN354="Pari Passu Split",1,0)</f>
        <v/>
      </c>
      <c r="CP354" s="77">
        <f>IF(ISNUMBER($T354),YEAR($T354),"")</f>
        <v/>
      </c>
      <c r="CQ354" s="79">
        <f>IF(ISNUMBER($V354),$V354,IF(ISNUMBER($U354),$U354,""))</f>
        <v/>
      </c>
      <c r="CR354" s="77">
        <f>IF(ISNUMBER($CQ354),YEAR($CQ354),"")</f>
        <v/>
      </c>
      <c r="CS354" s="78">
        <f>IF(ISNUMBER($M354),MAX(0,$M354),IF(TRIM($M354&amp;"")="matured",0,""))</f>
        <v/>
      </c>
      <c r="CT354" s="78">
        <f>IF(AND(ISNUMBER($CS354),N($CS354)&lt;=mMatWindow),1,0)</f>
        <v/>
      </c>
      <c r="CU354" s="80">
        <f>IF(ISNUMBER($J354),$J354/100,"")</f>
        <v/>
      </c>
      <c r="CV354" s="81">
        <f>IF(ISNUMBER($AQ354),$AQ354,"")</f>
        <v/>
      </c>
      <c r="CW354" s="81">
        <f>IF(ISNUMBER($AR354),$AR354,"")</f>
        <v/>
      </c>
      <c r="CX354" s="82">
        <f>IF(ISNUMBER($AS354),$AS354/100,"")</f>
        <v/>
      </c>
      <c r="CY354" s="82">
        <f>IF(ISNUMBER($AT354),$AT354/100,"")</f>
        <v/>
      </c>
      <c r="CZ354" s="82">
        <f>IF(ISNUMBER($AU354),$AU354/100,"")</f>
        <v/>
      </c>
      <c r="DA354" s="82">
        <f>IF(ISNUMBER($AV354),$AV354/100,"")</f>
        <v/>
      </c>
      <c r="DB354" s="82">
        <f>IF(ISNUMBER($AW354),$AW354/100,"")</f>
        <v/>
      </c>
      <c r="DC354" s="82">
        <f>IF(ISNUMBER($AX354),$AX354/100,"")</f>
        <v/>
      </c>
      <c r="DD354" s="77">
        <f>IFERROR(VALUE(LEFT(TRIM($AO354&amp;""),4)),"")</f>
        <v/>
      </c>
      <c r="DE354" s="78">
        <f>IF(AND($BY354=1,$BX354=1,OR(fDeal="All Deals",$BU354=fDeal),OR(fEntity="All Entities",$BV354=fEntity),OR(fPType="All Property Types",$BZ354=fPType),OR(fDefeased="Include",$CJ354=0)),1,0)</f>
        <v/>
      </c>
      <c r="DF354" s="83">
        <f>$DE354*N($I354)</f>
        <v/>
      </c>
      <c r="DG354" s="78">
        <f>IF($DE354=1,IF(COUNTIFS($F$8:$F354,$F354,$DE$8:$DE354,1)=1,1,0),0)</f>
        <v/>
      </c>
      <c r="DH354" s="83">
        <f>IF($DG354=1,SUMIFS($DF$8:$DF$1600,$F$8:$F$1600,$F354),0)</f>
        <v/>
      </c>
      <c r="DI354" s="78">
        <f>IF($DG354=1,COUNTIFS($F$8:$F$1600,$F354,$DE$8:$DE$1600,1),0)</f>
        <v/>
      </c>
      <c r="DJ354" s="84">
        <f>IF($DG354=1,$DH354+(100000-ROW())/mTieBreak,0)</f>
        <v/>
      </c>
    </row>
    <row r="355">
      <c r="B355" s="68" t="n">
        <v>36</v>
      </c>
      <c r="C355" s="69" t="inlineStr">
        <is>
          <t>UBS18C08</t>
        </is>
      </c>
      <c r="D355" s="69" t="inlineStr">
        <is>
          <t>36.000</t>
        </is>
      </c>
      <c r="E355" s="69" t="inlineStr">
        <is>
          <t>A Storage Place - Evergreen</t>
        </is>
      </c>
      <c r="F355" s="69" t="inlineStr">
        <is>
          <t>LNUBS18C08-36.000</t>
        </is>
      </c>
      <c r="G355" s="70" t="n"/>
      <c r="H355" s="71" t="n">
        <v>9500000</v>
      </c>
      <c r="I355" s="71" t="n">
        <v>9500000</v>
      </c>
      <c r="J355" s="72" t="n">
        <v>4.9972</v>
      </c>
      <c r="K355" s="69" t="inlineStr">
        <is>
          <t>Fixed rate</t>
        </is>
      </c>
      <c r="L355" s="68" t="n">
        <v>120</v>
      </c>
      <c r="M355" s="68" t="n">
        <v>17</v>
      </c>
      <c r="N355" s="68" t="n">
        <v>120</v>
      </c>
      <c r="O355" s="68" t="n">
        <v>120</v>
      </c>
      <c r="P355" s="68" t="n">
        <v>17</v>
      </c>
      <c r="Q355" s="68" t="n">
        <v>103</v>
      </c>
      <c r="R355" s="69" t="inlineStr">
        <is>
          <t>IO</t>
        </is>
      </c>
      <c r="S355" s="69" t="inlineStr">
        <is>
          <t>Yes</t>
        </is>
      </c>
      <c r="T355" s="73" t="n">
        <v>43132</v>
      </c>
      <c r="U355" s="73" t="n">
        <v>46789</v>
      </c>
      <c r="V355" s="73" t="n"/>
      <c r="W355" s="69" t="n"/>
      <c r="X355" s="69" t="inlineStr">
        <is>
          <t>Current</t>
        </is>
      </c>
      <c r="Y355" s="68" t="n"/>
      <c r="Z355" s="69" t="inlineStr">
        <is>
          <t>Defeasance Not Allowable</t>
        </is>
      </c>
      <c r="AA355" s="69" t="inlineStr">
        <is>
          <t>Previously</t>
        </is>
      </c>
      <c r="AB355" s="69" t="inlineStr">
        <is>
          <t>Never special serv</t>
        </is>
      </c>
      <c r="AC355" s="73" t="n"/>
      <c r="AD355" s="69" t="n"/>
      <c r="AE355" s="69" t="n"/>
      <c r="AF355" s="69" t="inlineStr">
        <is>
          <t>CO</t>
        </is>
      </c>
      <c r="AG355" s="69" t="inlineStr">
        <is>
          <t>Evergreen</t>
        </is>
      </c>
      <c r="AH355" s="69" t="inlineStr">
        <is>
          <t>Denver-Aurora-Centennial, CO</t>
        </is>
      </c>
      <c r="AI355" s="69" t="inlineStr">
        <is>
          <t>West / Mountain</t>
        </is>
      </c>
      <c r="AJ355" s="69" t="inlineStr">
        <is>
          <t>SS</t>
        </is>
      </c>
      <c r="AK355" s="69" t="n"/>
      <c r="AL355" s="68" t="n">
        <v>1</v>
      </c>
      <c r="AM355" s="68" t="n"/>
      <c r="AN355" s="68" t="n">
        <v>95895</v>
      </c>
      <c r="AO355" s="69" t="inlineStr">
        <is>
          <t>2002; 2016</t>
        </is>
      </c>
      <c r="AP355" s="70" t="n">
        <v>2016</v>
      </c>
      <c r="AQ355" s="74" t="n">
        <v>1.73</v>
      </c>
      <c r="AR355" s="74" t="n">
        <v>1.67</v>
      </c>
      <c r="AS355" s="74" t="n">
        <v>50.5</v>
      </c>
      <c r="AT355" s="74" t="n">
        <v>50.53</v>
      </c>
      <c r="AU355" s="74" t="n">
        <v>50.5</v>
      </c>
      <c r="AV355" s="74" t="n">
        <v>8.745252947000001</v>
      </c>
      <c r="AW355" s="74" t="n">
        <v>8.476162947000001</v>
      </c>
      <c r="AX355" s="75" t="n">
        <v>84</v>
      </c>
      <c r="AY355" s="71" t="n">
        <v>18800000</v>
      </c>
      <c r="AZ355" s="71" t="n">
        <v>18800000</v>
      </c>
      <c r="BA355" s="71" t="n">
        <v>830799.03</v>
      </c>
      <c r="BB355" s="71" t="n">
        <v>805235.48</v>
      </c>
      <c r="BC355" s="69" t="inlineStr">
        <is>
          <t>Refinance</t>
        </is>
      </c>
      <c r="BD355" s="69" t="inlineStr">
        <is>
          <t>N</t>
        </is>
      </c>
      <c r="BE355" s="71" t="n"/>
      <c r="BF355" s="71" t="n"/>
      <c r="BG355" s="71" t="n"/>
      <c r="BH355" s="71" t="n">
        <v>0</v>
      </c>
      <c r="BI355" s="71" t="n">
        <v>0</v>
      </c>
      <c r="BJ355" s="69" t="inlineStr">
        <is>
          <t>N</t>
        </is>
      </c>
      <c r="BK355" s="69" t="n"/>
      <c r="BL355" s="75" t="n"/>
      <c r="BM355" s="73" t="n"/>
      <c r="BN355" s="69" t="inlineStr">
        <is>
          <t>Darryl B. Flaming</t>
        </is>
      </c>
      <c r="BO355" s="69" t="inlineStr">
        <is>
          <t>UBS</t>
        </is>
      </c>
      <c r="BP355" s="69" t="inlineStr">
        <is>
          <t>Midland Loan Services</t>
        </is>
      </c>
      <c r="BQ355" s="69" t="inlineStr">
        <is>
          <t>Midland Loan Services</t>
        </is>
      </c>
      <c r="BR355" s="69" t="n"/>
      <c r="BS355" s="73" t="n">
        <v>46276</v>
      </c>
      <c r="BU355" s="76">
        <f>IF($C355="","",IFERROR(INDEX(dmName,MATCH($C355,dmID,0)),"Unmapped"))</f>
        <v/>
      </c>
      <c r="BV355" s="76">
        <f>IF($C355="","",IFERROR(INDEX(dmEntity,MATCH($C355,dmID,0)),"Unmapped"))</f>
        <v/>
      </c>
      <c r="BW355" s="77">
        <f>IF($C355="","",IFERROR(INDEX(dmVintage,MATCH($C355,dmID,0)),""))</f>
        <v/>
      </c>
      <c r="BX355" s="78">
        <f>IFERROR(INDEX(dmInclude,MATCH($C355,dmID,0)),0)</f>
        <v/>
      </c>
      <c r="BY355" s="78">
        <f>IF(N($I355)&gt;0,1,0)</f>
        <v/>
      </c>
      <c r="BZ355" s="76">
        <f>IF($AJ355="","Other / Leased Fee",IFERROR(INDEX(mapPTGroup,MATCH(LEFT(TRIM($AJ355),2),mapPTCode,0)),"Other / Leased Fee"))</f>
        <v/>
      </c>
      <c r="CA355" s="76">
        <f>IF(TRIM($AF355&amp;"")="","NR",LEFT(TRIM($AF355),2))</f>
        <v/>
      </c>
      <c r="CB355" s="76">
        <f>IFERROR(LOOKUP(2,1/(LEFT(TRIM($AI355&amp;""),LEN(mapRegion))=mapRegion),mapRegion),"Not Reported")</f>
        <v/>
      </c>
      <c r="CC355" s="76">
        <f>IF($BY355=0,"",IF(TRIM($W355&amp;"")="REO","REO",IF(TRIM($W355&amp;"")="FC","Foreclosure",IF(TRIM($W355&amp;"")="90+","90+ Days Delinquent",IF(TRIM($W355&amp;"")="60","60 Days Delinquent",IF(TRIM($W355&amp;"")="30","30 Days Delinquent",IF($X355="Non-Performing Matured Balloon","Non-Performing Matured Balloon",IF(OR($X355="Late Payment But Less Than 30 Days Delinquent",LEFT($X355&amp;"",20)="Payment Not Received"),"Late / In Grace (&lt;30 Days)",IF($X355="Performing Matured Balloon","Performing Matured Balloon","Current")))))))))</f>
        <v/>
      </c>
      <c r="CD355" s="78">
        <f>IF(OR($CC355="REO",$CC355="Foreclosure",$CC355="90+ Days Delinquent",$CC355="60 Days Delinquent",$CC355="30 Days Delinquent",$CC355="Non-Performing Matured Balloon"),1,0)</f>
        <v/>
      </c>
      <c r="CE355" s="76">
        <f>IF($AB355="Currently special serv","Currently Specially Serviced",IF($AB355="Returned to master serv","Previously Specially Serviced","Never Specially Serviced"))</f>
        <v/>
      </c>
      <c r="CF355" s="78">
        <f>IF($CE355="Currently Specially Serviced",1,0)</f>
        <v/>
      </c>
      <c r="CG355" s="76">
        <f>IF($AA355="Yes","Currently on Watchlist",IF($AA355="Previously","Previously on Watchlist","Never on Watchlist"))</f>
        <v/>
      </c>
      <c r="CH355" s="78">
        <f>IF($CG355="Currently on Watchlist",1,0)</f>
        <v/>
      </c>
      <c r="CI355" s="76">
        <f>IF($Z355="Full Defeasance","Fully Defeased",IF($Z355="Portion Of Loan Previously Defeased","Partially Defeased",IF($Z355="Defeasance Not Allowable","Not Defeased (Not Permitted)","Not Defeased")))</f>
        <v/>
      </c>
      <c r="CJ355" s="78">
        <f>IF($CI355="Fully Defeased",1,0)</f>
        <v/>
      </c>
      <c r="CK355" s="76">
        <f>IF($R355="IO","Full IO",IF(LEFT($R355&amp;"",7)="IO then","Partial IO","Amortizing"))</f>
        <v/>
      </c>
      <c r="CL355" s="78">
        <f>IF($CK355="Full IO",1,0)</f>
        <v/>
      </c>
      <c r="CM355" s="78">
        <f>IF($CK355="Partial IO",1,0)</f>
        <v/>
      </c>
      <c r="CN355" s="76">
        <f>IF(LEFT($F355&amp;"",10)="SPLIT_LOAN","Pari Passu Split","Standalone")</f>
        <v/>
      </c>
      <c r="CO355" s="78">
        <f>IF($CN355="Pari Passu Split",1,0)</f>
        <v/>
      </c>
      <c r="CP355" s="77">
        <f>IF(ISNUMBER($T355),YEAR($T355),"")</f>
        <v/>
      </c>
      <c r="CQ355" s="79">
        <f>IF(ISNUMBER($V355),$V355,IF(ISNUMBER($U355),$U355,""))</f>
        <v/>
      </c>
      <c r="CR355" s="77">
        <f>IF(ISNUMBER($CQ355),YEAR($CQ355),"")</f>
        <v/>
      </c>
      <c r="CS355" s="78">
        <f>IF(ISNUMBER($M355),MAX(0,$M355),IF(TRIM($M355&amp;"")="matured",0,""))</f>
        <v/>
      </c>
      <c r="CT355" s="78">
        <f>IF(AND(ISNUMBER($CS355),N($CS355)&lt;=mMatWindow),1,0)</f>
        <v/>
      </c>
      <c r="CU355" s="80">
        <f>IF(ISNUMBER($J355),$J355/100,"")</f>
        <v/>
      </c>
      <c r="CV355" s="81">
        <f>IF(ISNUMBER($AQ355),$AQ355,"")</f>
        <v/>
      </c>
      <c r="CW355" s="81">
        <f>IF(ISNUMBER($AR355),$AR355,"")</f>
        <v/>
      </c>
      <c r="CX355" s="82">
        <f>IF(ISNUMBER($AS355),$AS355/100,"")</f>
        <v/>
      </c>
      <c r="CY355" s="82">
        <f>IF(ISNUMBER($AT355),$AT355/100,"")</f>
        <v/>
      </c>
      <c r="CZ355" s="82">
        <f>IF(ISNUMBER($AU355),$AU355/100,"")</f>
        <v/>
      </c>
      <c r="DA355" s="82">
        <f>IF(ISNUMBER($AV355),$AV355/100,"")</f>
        <v/>
      </c>
      <c r="DB355" s="82">
        <f>IF(ISNUMBER($AW355),$AW355/100,"")</f>
        <v/>
      </c>
      <c r="DC355" s="82">
        <f>IF(ISNUMBER($AX355),$AX355/100,"")</f>
        <v/>
      </c>
      <c r="DD355" s="77">
        <f>IFERROR(VALUE(LEFT(TRIM($AO355&amp;""),4)),"")</f>
        <v/>
      </c>
      <c r="DE355" s="78">
        <f>IF(AND($BY355=1,$BX355=1,OR(fDeal="All Deals",$BU355=fDeal),OR(fEntity="All Entities",$BV355=fEntity),OR(fPType="All Property Types",$BZ355=fPType),OR(fDefeased="Include",$CJ355=0)),1,0)</f>
        <v/>
      </c>
      <c r="DF355" s="83">
        <f>$DE355*N($I355)</f>
        <v/>
      </c>
      <c r="DG355" s="78">
        <f>IF($DE355=1,IF(COUNTIFS($F$8:$F355,$F355,$DE$8:$DE355,1)=1,1,0),0)</f>
        <v/>
      </c>
      <c r="DH355" s="83">
        <f>IF($DG355=1,SUMIFS($DF$8:$DF$1600,$F$8:$F$1600,$F355),0)</f>
        <v/>
      </c>
      <c r="DI355" s="78">
        <f>IF($DG355=1,COUNTIFS($F$8:$F$1600,$F355,$DE$8:$DE$1600,1),0)</f>
        <v/>
      </c>
      <c r="DJ355" s="84">
        <f>IF($DG355=1,$DH355+(100000-ROW())/mTieBreak,0)</f>
        <v/>
      </c>
    </row>
    <row r="356">
      <c r="B356" s="68" t="n">
        <v>37</v>
      </c>
      <c r="C356" s="69" t="inlineStr">
        <is>
          <t>UBS18C08</t>
        </is>
      </c>
      <c r="D356" s="69" t="inlineStr">
        <is>
          <t>37.000</t>
        </is>
      </c>
      <c r="E356" s="69" t="inlineStr">
        <is>
          <t>Eight Points Shopping Center</t>
        </is>
      </c>
      <c r="F356" s="69" t="inlineStr">
        <is>
          <t>LNUBS18C08-37.000</t>
        </is>
      </c>
      <c r="G356" s="70" t="n"/>
      <c r="H356" s="71" t="n">
        <v>9100000</v>
      </c>
      <c r="I356" s="71" t="n">
        <v>8567643.2999976</v>
      </c>
      <c r="J356" s="72" t="n">
        <v>4.8</v>
      </c>
      <c r="K356" s="69" t="inlineStr">
        <is>
          <t>Fixed rate</t>
        </is>
      </c>
      <c r="L356" s="68" t="n">
        <v>120</v>
      </c>
      <c r="M356" s="68" t="n">
        <v>15</v>
      </c>
      <c r="N356" s="68" t="n">
        <v>420</v>
      </c>
      <c r="O356" s="68" t="n">
        <v>60</v>
      </c>
      <c r="P356" s="68" t="n">
        <v>0</v>
      </c>
      <c r="Q356" s="68" t="n">
        <v>105</v>
      </c>
      <c r="R356" s="69" t="inlineStr">
        <is>
          <t>IO then Amort</t>
        </is>
      </c>
      <c r="S356" s="69" t="inlineStr">
        <is>
          <t>No</t>
        </is>
      </c>
      <c r="T356" s="73" t="n">
        <v>43070</v>
      </c>
      <c r="U356" s="73" t="n">
        <v>46727</v>
      </c>
      <c r="V356" s="73" t="n"/>
      <c r="W356" s="69" t="n"/>
      <c r="X356" s="69" t="inlineStr">
        <is>
          <t>Current</t>
        </is>
      </c>
      <c r="Y356" s="68" t="n"/>
      <c r="Z356" s="69" t="inlineStr">
        <is>
          <t>Defeasance Not Allowable</t>
        </is>
      </c>
      <c r="AA356" s="69" t="inlineStr">
        <is>
          <t>Previously</t>
        </is>
      </c>
      <c r="AB356" s="69" t="inlineStr">
        <is>
          <t>Never special serv</t>
        </is>
      </c>
      <c r="AC356" s="73" t="n"/>
      <c r="AD356" s="69" t="n"/>
      <c r="AE356" s="69" t="n"/>
      <c r="AF356" s="69" t="inlineStr">
        <is>
          <t>MO</t>
        </is>
      </c>
      <c r="AG356" s="69" t="inlineStr">
        <is>
          <t>Poplar Bluff</t>
        </is>
      </c>
      <c r="AH356" s="69" t="inlineStr">
        <is>
          <t>Poplar Bluff, MO</t>
        </is>
      </c>
      <c r="AI356" s="69" t="inlineStr">
        <is>
          <t>Midwest / Central West</t>
        </is>
      </c>
      <c r="AJ356" s="69" t="inlineStr">
        <is>
          <t>RT</t>
        </is>
      </c>
      <c r="AK356" s="69" t="inlineStr">
        <is>
          <t>Anchored</t>
        </is>
      </c>
      <c r="AL356" s="68" t="n">
        <v>1</v>
      </c>
      <c r="AM356" s="68" t="n"/>
      <c r="AN356" s="68" t="n">
        <v>127784</v>
      </c>
      <c r="AO356" s="69" t="inlineStr">
        <is>
          <t>2017</t>
        </is>
      </c>
      <c r="AP356" s="70" t="n">
        <v>2017</v>
      </c>
      <c r="AQ356" s="74" t="n">
        <v>1.51</v>
      </c>
      <c r="AR356" s="74" t="n">
        <v>1.36</v>
      </c>
      <c r="AS356" s="74" t="n">
        <v>55.9</v>
      </c>
      <c r="AT356" s="74" t="n">
        <v>52.59</v>
      </c>
      <c r="AU356" s="74" t="n">
        <v>51.4</v>
      </c>
      <c r="AV356" s="74" t="n">
        <v>9.484494505000001</v>
      </c>
      <c r="AW356" s="74" t="n">
        <v>8.91697557</v>
      </c>
      <c r="AX356" s="75" t="n">
        <v>100</v>
      </c>
      <c r="AY356" s="71" t="n">
        <v>16290000</v>
      </c>
      <c r="AZ356" s="71" t="n">
        <v>16290000</v>
      </c>
      <c r="BA356" s="71" t="n">
        <v>863089</v>
      </c>
      <c r="BB356" s="71" t="n">
        <v>781540.6</v>
      </c>
      <c r="BC356" s="69" t="inlineStr">
        <is>
          <t>Refinance</t>
        </is>
      </c>
      <c r="BD356" s="69" t="inlineStr">
        <is>
          <t>N</t>
        </is>
      </c>
      <c r="BE356" s="71" t="n"/>
      <c r="BF356" s="71" t="n"/>
      <c r="BG356" s="71" t="n"/>
      <c r="BH356" s="71" t="n">
        <v>0</v>
      </c>
      <c r="BI356" s="71" t="n">
        <v>0</v>
      </c>
      <c r="BJ356" s="69" t="inlineStr">
        <is>
          <t>N</t>
        </is>
      </c>
      <c r="BK356" s="69" t="inlineStr">
        <is>
          <t>Academy Sports + Outdoors</t>
        </is>
      </c>
      <c r="BL356" s="75" t="n">
        <v>49.17</v>
      </c>
      <c r="BM356" s="73" t="n">
        <v>48426</v>
      </c>
      <c r="BN356" s="69" t="inlineStr">
        <is>
          <t>E. Stanley Kroenke</t>
        </is>
      </c>
      <c r="BO356" s="69" t="inlineStr">
        <is>
          <t>RMF</t>
        </is>
      </c>
      <c r="BP356" s="69" t="inlineStr">
        <is>
          <t>Midland Loan Services</t>
        </is>
      </c>
      <c r="BQ356" s="69" t="inlineStr">
        <is>
          <t>Midland Loan Services</t>
        </is>
      </c>
      <c r="BR356" s="69" t="n"/>
      <c r="BS356" s="73" t="n">
        <v>46276</v>
      </c>
      <c r="BU356" s="76">
        <f>IF($C356="","",IFERROR(INDEX(dmName,MATCH($C356,dmID,0)),"Unmapped"))</f>
        <v/>
      </c>
      <c r="BV356" s="76">
        <f>IF($C356="","",IFERROR(INDEX(dmEntity,MATCH($C356,dmID,0)),"Unmapped"))</f>
        <v/>
      </c>
      <c r="BW356" s="77">
        <f>IF($C356="","",IFERROR(INDEX(dmVintage,MATCH($C356,dmID,0)),""))</f>
        <v/>
      </c>
      <c r="BX356" s="78">
        <f>IFERROR(INDEX(dmInclude,MATCH($C356,dmID,0)),0)</f>
        <v/>
      </c>
      <c r="BY356" s="78">
        <f>IF(N($I356)&gt;0,1,0)</f>
        <v/>
      </c>
      <c r="BZ356" s="76">
        <f>IF($AJ356="","Other / Leased Fee",IFERROR(INDEX(mapPTGroup,MATCH(LEFT(TRIM($AJ356),2),mapPTCode,0)),"Other / Leased Fee"))</f>
        <v/>
      </c>
      <c r="CA356" s="76">
        <f>IF(TRIM($AF356&amp;"")="","NR",LEFT(TRIM($AF356),2))</f>
        <v/>
      </c>
      <c r="CB356" s="76">
        <f>IFERROR(LOOKUP(2,1/(LEFT(TRIM($AI356&amp;""),LEN(mapRegion))=mapRegion),mapRegion),"Not Reported")</f>
        <v/>
      </c>
      <c r="CC356" s="76">
        <f>IF($BY356=0,"",IF(TRIM($W356&amp;"")="REO","REO",IF(TRIM($W356&amp;"")="FC","Foreclosure",IF(TRIM($W356&amp;"")="90+","90+ Days Delinquent",IF(TRIM($W356&amp;"")="60","60 Days Delinquent",IF(TRIM($W356&amp;"")="30","30 Days Delinquent",IF($X356="Non-Performing Matured Balloon","Non-Performing Matured Balloon",IF(OR($X356="Late Payment But Less Than 30 Days Delinquent",LEFT($X356&amp;"",20)="Payment Not Received"),"Late / In Grace (&lt;30 Days)",IF($X356="Performing Matured Balloon","Performing Matured Balloon","Current")))))))))</f>
        <v/>
      </c>
      <c r="CD356" s="78">
        <f>IF(OR($CC356="REO",$CC356="Foreclosure",$CC356="90+ Days Delinquent",$CC356="60 Days Delinquent",$CC356="30 Days Delinquent",$CC356="Non-Performing Matured Balloon"),1,0)</f>
        <v/>
      </c>
      <c r="CE356" s="76">
        <f>IF($AB356="Currently special serv","Currently Specially Serviced",IF($AB356="Returned to master serv","Previously Specially Serviced","Never Specially Serviced"))</f>
        <v/>
      </c>
      <c r="CF356" s="78">
        <f>IF($CE356="Currently Specially Serviced",1,0)</f>
        <v/>
      </c>
      <c r="CG356" s="76">
        <f>IF($AA356="Yes","Currently on Watchlist",IF($AA356="Previously","Previously on Watchlist","Never on Watchlist"))</f>
        <v/>
      </c>
      <c r="CH356" s="78">
        <f>IF($CG356="Currently on Watchlist",1,0)</f>
        <v/>
      </c>
      <c r="CI356" s="76">
        <f>IF($Z356="Full Defeasance","Fully Defeased",IF($Z356="Portion Of Loan Previously Defeased","Partially Defeased",IF($Z356="Defeasance Not Allowable","Not Defeased (Not Permitted)","Not Defeased")))</f>
        <v/>
      </c>
      <c r="CJ356" s="78">
        <f>IF($CI356="Fully Defeased",1,0)</f>
        <v/>
      </c>
      <c r="CK356" s="76">
        <f>IF($R356="IO","Full IO",IF(LEFT($R356&amp;"",7)="IO then","Partial IO","Amortizing"))</f>
        <v/>
      </c>
      <c r="CL356" s="78">
        <f>IF($CK356="Full IO",1,0)</f>
        <v/>
      </c>
      <c r="CM356" s="78">
        <f>IF($CK356="Partial IO",1,0)</f>
        <v/>
      </c>
      <c r="CN356" s="76">
        <f>IF(LEFT($F356&amp;"",10)="SPLIT_LOAN","Pari Passu Split","Standalone")</f>
        <v/>
      </c>
      <c r="CO356" s="78">
        <f>IF($CN356="Pari Passu Split",1,0)</f>
        <v/>
      </c>
      <c r="CP356" s="77">
        <f>IF(ISNUMBER($T356),YEAR($T356),"")</f>
        <v/>
      </c>
      <c r="CQ356" s="79">
        <f>IF(ISNUMBER($V356),$V356,IF(ISNUMBER($U356),$U356,""))</f>
        <v/>
      </c>
      <c r="CR356" s="77">
        <f>IF(ISNUMBER($CQ356),YEAR($CQ356),"")</f>
        <v/>
      </c>
      <c r="CS356" s="78">
        <f>IF(ISNUMBER($M356),MAX(0,$M356),IF(TRIM($M356&amp;"")="matured",0,""))</f>
        <v/>
      </c>
      <c r="CT356" s="78">
        <f>IF(AND(ISNUMBER($CS356),N($CS356)&lt;=mMatWindow),1,0)</f>
        <v/>
      </c>
      <c r="CU356" s="80">
        <f>IF(ISNUMBER($J356),$J356/100,"")</f>
        <v/>
      </c>
      <c r="CV356" s="81">
        <f>IF(ISNUMBER($AQ356),$AQ356,"")</f>
        <v/>
      </c>
      <c r="CW356" s="81">
        <f>IF(ISNUMBER($AR356),$AR356,"")</f>
        <v/>
      </c>
      <c r="CX356" s="82">
        <f>IF(ISNUMBER($AS356),$AS356/100,"")</f>
        <v/>
      </c>
      <c r="CY356" s="82">
        <f>IF(ISNUMBER($AT356),$AT356/100,"")</f>
        <v/>
      </c>
      <c r="CZ356" s="82">
        <f>IF(ISNUMBER($AU356),$AU356/100,"")</f>
        <v/>
      </c>
      <c r="DA356" s="82">
        <f>IF(ISNUMBER($AV356),$AV356/100,"")</f>
        <v/>
      </c>
      <c r="DB356" s="82">
        <f>IF(ISNUMBER($AW356),$AW356/100,"")</f>
        <v/>
      </c>
      <c r="DC356" s="82">
        <f>IF(ISNUMBER($AX356),$AX356/100,"")</f>
        <v/>
      </c>
      <c r="DD356" s="77">
        <f>IFERROR(VALUE(LEFT(TRIM($AO356&amp;""),4)),"")</f>
        <v/>
      </c>
      <c r="DE356" s="78">
        <f>IF(AND($BY356=1,$BX356=1,OR(fDeal="All Deals",$BU356=fDeal),OR(fEntity="All Entities",$BV356=fEntity),OR(fPType="All Property Types",$BZ356=fPType),OR(fDefeased="Include",$CJ356=0)),1,0)</f>
        <v/>
      </c>
      <c r="DF356" s="83">
        <f>$DE356*N($I356)</f>
        <v/>
      </c>
      <c r="DG356" s="78">
        <f>IF($DE356=1,IF(COUNTIFS($F$8:$F356,$F356,$DE$8:$DE356,1)=1,1,0),0)</f>
        <v/>
      </c>
      <c r="DH356" s="83">
        <f>IF($DG356=1,SUMIFS($DF$8:$DF$1600,$F$8:$F$1600,$F356),0)</f>
        <v/>
      </c>
      <c r="DI356" s="78">
        <f>IF($DG356=1,COUNTIFS($F$8:$F$1600,$F356,$DE$8:$DE$1600,1),0)</f>
        <v/>
      </c>
      <c r="DJ356" s="84">
        <f>IF($DG356=1,$DH356+(100000-ROW())/mTieBreak,0)</f>
        <v/>
      </c>
    </row>
    <row r="357">
      <c r="B357" s="68" t="n">
        <v>38</v>
      </c>
      <c r="C357" s="69" t="inlineStr">
        <is>
          <t>UBS18C08</t>
        </is>
      </c>
      <c r="D357" s="69" t="inlineStr">
        <is>
          <t>38.000</t>
        </is>
      </c>
      <c r="E357" s="69" t="inlineStr">
        <is>
          <t>Las Brisas MHC</t>
        </is>
      </c>
      <c r="F357" s="69" t="inlineStr">
        <is>
          <t>LNUBS18C08-38.000</t>
        </is>
      </c>
      <c r="G357" s="70" t="n"/>
      <c r="H357" s="71" t="n">
        <v>9000000</v>
      </c>
      <c r="I357" s="71" t="n">
        <v>0</v>
      </c>
      <c r="J357" s="72" t="n">
        <v>6.16</v>
      </c>
      <c r="K357" s="69" t="inlineStr">
        <is>
          <t>Fixed rate</t>
        </is>
      </c>
      <c r="L357" s="68" t="n">
        <v>60</v>
      </c>
      <c r="M357" s="68" t="n"/>
      <c r="N357" s="68" t="n">
        <v>60</v>
      </c>
      <c r="O357" s="68" t="n">
        <v>60</v>
      </c>
      <c r="P357" s="68" t="n"/>
      <c r="Q357" s="68" t="n"/>
      <c r="R357" s="69" t="inlineStr">
        <is>
          <t>IO</t>
        </is>
      </c>
      <c r="S357" s="69" t="inlineStr">
        <is>
          <t>Yes</t>
        </is>
      </c>
      <c r="T357" s="73" t="n">
        <v>43160</v>
      </c>
      <c r="U357" s="73" t="n">
        <v>44963</v>
      </c>
      <c r="V357" s="73" t="n"/>
      <c r="W357" s="69" t="n"/>
      <c r="X357" s="69" t="inlineStr">
        <is>
          <t>Current</t>
        </is>
      </c>
      <c r="Y357" s="68" t="n"/>
      <c r="Z357" s="69" t="inlineStr">
        <is>
          <t>No Defeasance Occurred</t>
        </is>
      </c>
      <c r="AA357" s="69" t="inlineStr">
        <is>
          <t>Previously</t>
        </is>
      </c>
      <c r="AB357" s="69" t="inlineStr">
        <is>
          <t>Returned to master serv</t>
        </is>
      </c>
      <c r="AC357" s="73" t="n"/>
      <c r="AD357" s="69" t="inlineStr">
        <is>
          <t>Other</t>
        </is>
      </c>
      <c r="AE357" s="69" t="inlineStr">
        <is>
          <t>Resolved</t>
        </is>
      </c>
      <c r="AF357" s="69" t="inlineStr">
        <is>
          <t>CA</t>
        </is>
      </c>
      <c r="AG357" s="69" t="inlineStr">
        <is>
          <t>Long Beach</t>
        </is>
      </c>
      <c r="AH357" s="69" t="inlineStr">
        <is>
          <t>Los Angeles-Long Beach-Anaheim, CA</t>
        </is>
      </c>
      <c r="AI357" s="69" t="inlineStr">
        <is>
          <t>West / Pacific South</t>
        </is>
      </c>
      <c r="AJ357" s="69" t="inlineStr">
        <is>
          <t>MH</t>
        </is>
      </c>
      <c r="AK357" s="69" t="n"/>
      <c r="AL357" s="68" t="n">
        <v>1</v>
      </c>
      <c r="AM357" s="68" t="n">
        <v>96</v>
      </c>
      <c r="AN357" s="68" t="n"/>
      <c r="AO357" s="69" t="inlineStr">
        <is>
          <t>1945</t>
        </is>
      </c>
      <c r="AP357" s="70" t="n">
        <v>1945</v>
      </c>
      <c r="AQ357" s="74" t="n">
        <v>1.27</v>
      </c>
      <c r="AR357" s="74" t="n">
        <v>1.49</v>
      </c>
      <c r="AS357" s="74" t="n">
        <v>62.3</v>
      </c>
      <c r="AT357" s="74" t="n"/>
      <c r="AU357" s="74" t="n">
        <v>62.3</v>
      </c>
      <c r="AV357" s="74" t="n">
        <v>7.909931667</v>
      </c>
      <c r="AW357" s="74" t="n"/>
      <c r="AX357" s="75" t="n">
        <v>99</v>
      </c>
      <c r="AY357" s="71" t="n">
        <v>14440000</v>
      </c>
      <c r="AZ357" s="71" t="n">
        <v>14440000</v>
      </c>
      <c r="BA357" s="71" t="n">
        <v>711893.85</v>
      </c>
      <c r="BB357" s="71" t="n">
        <v>839642.23</v>
      </c>
      <c r="BC357" s="69" t="inlineStr">
        <is>
          <t>Refinance</t>
        </is>
      </c>
      <c r="BD357" s="69" t="inlineStr">
        <is>
          <t>N</t>
        </is>
      </c>
      <c r="BE357" s="71" t="n"/>
      <c r="BF357" s="71" t="n"/>
      <c r="BG357" s="71" t="n"/>
      <c r="BH357" s="71" t="n">
        <v>0</v>
      </c>
      <c r="BI357" s="71" t="n">
        <v>0</v>
      </c>
      <c r="BJ357" s="69" t="inlineStr">
        <is>
          <t>N</t>
        </is>
      </c>
      <c r="BK357" s="69" t="n"/>
      <c r="BL357" s="75" t="n"/>
      <c r="BM357" s="73" t="n"/>
      <c r="BN357" s="69" t="inlineStr">
        <is>
          <t>Donald Shepherd</t>
        </is>
      </c>
      <c r="BO357" s="69" t="inlineStr">
        <is>
          <t>Ladder Capital Finance</t>
        </is>
      </c>
      <c r="BP357" s="69" t="inlineStr">
        <is>
          <t>Midland Loan Services</t>
        </is>
      </c>
      <c r="BQ357" s="69" t="inlineStr">
        <is>
          <t>Midland Loan Services</t>
        </is>
      </c>
      <c r="BR357" s="69" t="inlineStr">
        <is>
          <t>Payoff Prior To Maturity</t>
        </is>
      </c>
      <c r="BS357" s="73" t="n">
        <v>44907</v>
      </c>
      <c r="BU357" s="76">
        <f>IF($C357="","",IFERROR(INDEX(dmName,MATCH($C357,dmID,0)),"Unmapped"))</f>
        <v/>
      </c>
      <c r="BV357" s="76">
        <f>IF($C357="","",IFERROR(INDEX(dmEntity,MATCH($C357,dmID,0)),"Unmapped"))</f>
        <v/>
      </c>
      <c r="BW357" s="77">
        <f>IF($C357="","",IFERROR(INDEX(dmVintage,MATCH($C357,dmID,0)),""))</f>
        <v/>
      </c>
      <c r="BX357" s="78">
        <f>IFERROR(INDEX(dmInclude,MATCH($C357,dmID,0)),0)</f>
        <v/>
      </c>
      <c r="BY357" s="78">
        <f>IF(N($I357)&gt;0,1,0)</f>
        <v/>
      </c>
      <c r="BZ357" s="76">
        <f>IF($AJ357="","Other / Leased Fee",IFERROR(INDEX(mapPTGroup,MATCH(LEFT(TRIM($AJ357),2),mapPTCode,0)),"Other / Leased Fee"))</f>
        <v/>
      </c>
      <c r="CA357" s="76">
        <f>IF(TRIM($AF357&amp;"")="","NR",LEFT(TRIM($AF357),2))</f>
        <v/>
      </c>
      <c r="CB357" s="76">
        <f>IFERROR(LOOKUP(2,1/(LEFT(TRIM($AI357&amp;""),LEN(mapRegion))=mapRegion),mapRegion),"Not Reported")</f>
        <v/>
      </c>
      <c r="CC357" s="76">
        <f>IF($BY357=0,"",IF(TRIM($W357&amp;"")="REO","REO",IF(TRIM($W357&amp;"")="FC","Foreclosure",IF(TRIM($W357&amp;"")="90+","90+ Days Delinquent",IF(TRIM($W357&amp;"")="60","60 Days Delinquent",IF(TRIM($W357&amp;"")="30","30 Days Delinquent",IF($X357="Non-Performing Matured Balloon","Non-Performing Matured Balloon",IF(OR($X357="Late Payment But Less Than 30 Days Delinquent",LEFT($X357&amp;"",20)="Payment Not Received"),"Late / In Grace (&lt;30 Days)",IF($X357="Performing Matured Balloon","Performing Matured Balloon","Current")))))))))</f>
        <v/>
      </c>
      <c r="CD357" s="78">
        <f>IF(OR($CC357="REO",$CC357="Foreclosure",$CC357="90+ Days Delinquent",$CC357="60 Days Delinquent",$CC357="30 Days Delinquent",$CC357="Non-Performing Matured Balloon"),1,0)</f>
        <v/>
      </c>
      <c r="CE357" s="76">
        <f>IF($AB357="Currently special serv","Currently Specially Serviced",IF($AB357="Returned to master serv","Previously Specially Serviced","Never Specially Serviced"))</f>
        <v/>
      </c>
      <c r="CF357" s="78">
        <f>IF($CE357="Currently Specially Serviced",1,0)</f>
        <v/>
      </c>
      <c r="CG357" s="76">
        <f>IF($AA357="Yes","Currently on Watchlist",IF($AA357="Previously","Previously on Watchlist","Never on Watchlist"))</f>
        <v/>
      </c>
      <c r="CH357" s="78">
        <f>IF($CG357="Currently on Watchlist",1,0)</f>
        <v/>
      </c>
      <c r="CI357" s="76">
        <f>IF($Z357="Full Defeasance","Fully Defeased",IF($Z357="Portion Of Loan Previously Defeased","Partially Defeased",IF($Z357="Defeasance Not Allowable","Not Defeased (Not Permitted)","Not Defeased")))</f>
        <v/>
      </c>
      <c r="CJ357" s="78">
        <f>IF($CI357="Fully Defeased",1,0)</f>
        <v/>
      </c>
      <c r="CK357" s="76">
        <f>IF($R357="IO","Full IO",IF(LEFT($R357&amp;"",7)="IO then","Partial IO","Amortizing"))</f>
        <v/>
      </c>
      <c r="CL357" s="78">
        <f>IF($CK357="Full IO",1,0)</f>
        <v/>
      </c>
      <c r="CM357" s="78">
        <f>IF($CK357="Partial IO",1,0)</f>
        <v/>
      </c>
      <c r="CN357" s="76">
        <f>IF(LEFT($F357&amp;"",10)="SPLIT_LOAN","Pari Passu Split","Standalone")</f>
        <v/>
      </c>
      <c r="CO357" s="78">
        <f>IF($CN357="Pari Passu Split",1,0)</f>
        <v/>
      </c>
      <c r="CP357" s="77">
        <f>IF(ISNUMBER($T357),YEAR($T357),"")</f>
        <v/>
      </c>
      <c r="CQ357" s="79">
        <f>IF(ISNUMBER($V357),$V357,IF(ISNUMBER($U357),$U357,""))</f>
        <v/>
      </c>
      <c r="CR357" s="77">
        <f>IF(ISNUMBER($CQ357),YEAR($CQ357),"")</f>
        <v/>
      </c>
      <c r="CS357" s="78">
        <f>IF(ISNUMBER($M357),MAX(0,$M357),IF(TRIM($M357&amp;"")="matured",0,""))</f>
        <v/>
      </c>
      <c r="CT357" s="78">
        <f>IF(AND(ISNUMBER($CS357),N($CS357)&lt;=mMatWindow),1,0)</f>
        <v/>
      </c>
      <c r="CU357" s="80">
        <f>IF(ISNUMBER($J357),$J357/100,"")</f>
        <v/>
      </c>
      <c r="CV357" s="81">
        <f>IF(ISNUMBER($AQ357),$AQ357,"")</f>
        <v/>
      </c>
      <c r="CW357" s="81">
        <f>IF(ISNUMBER($AR357),$AR357,"")</f>
        <v/>
      </c>
      <c r="CX357" s="82">
        <f>IF(ISNUMBER($AS357),$AS357/100,"")</f>
        <v/>
      </c>
      <c r="CY357" s="82">
        <f>IF(ISNUMBER($AT357),$AT357/100,"")</f>
        <v/>
      </c>
      <c r="CZ357" s="82">
        <f>IF(ISNUMBER($AU357),$AU357/100,"")</f>
        <v/>
      </c>
      <c r="DA357" s="82">
        <f>IF(ISNUMBER($AV357),$AV357/100,"")</f>
        <v/>
      </c>
      <c r="DB357" s="82">
        <f>IF(ISNUMBER($AW357),$AW357/100,"")</f>
        <v/>
      </c>
      <c r="DC357" s="82">
        <f>IF(ISNUMBER($AX357),$AX357/100,"")</f>
        <v/>
      </c>
      <c r="DD357" s="77">
        <f>IFERROR(VALUE(LEFT(TRIM($AO357&amp;""),4)),"")</f>
        <v/>
      </c>
      <c r="DE357" s="78">
        <f>IF(AND($BY357=1,$BX357=1,OR(fDeal="All Deals",$BU357=fDeal),OR(fEntity="All Entities",$BV357=fEntity),OR(fPType="All Property Types",$BZ357=fPType),OR(fDefeased="Include",$CJ357=0)),1,0)</f>
        <v/>
      </c>
      <c r="DF357" s="83">
        <f>$DE357*N($I357)</f>
        <v/>
      </c>
      <c r="DG357" s="78">
        <f>IF($DE357=1,IF(COUNTIFS($F$8:$F357,$F357,$DE$8:$DE357,1)=1,1,0),0)</f>
        <v/>
      </c>
      <c r="DH357" s="83">
        <f>IF($DG357=1,SUMIFS($DF$8:$DF$1600,$F$8:$F$1600,$F357),0)</f>
        <v/>
      </c>
      <c r="DI357" s="78">
        <f>IF($DG357=1,COUNTIFS($F$8:$F$1600,$F357,$DE$8:$DE$1600,1),0)</f>
        <v/>
      </c>
      <c r="DJ357" s="84">
        <f>IF($DG357=1,$DH357+(100000-ROW())/mTieBreak,0)</f>
        <v/>
      </c>
    </row>
    <row r="358">
      <c r="B358" s="68" t="n">
        <v>39</v>
      </c>
      <c r="C358" s="69" t="inlineStr">
        <is>
          <t>UBS18C08</t>
        </is>
      </c>
      <c r="D358" s="69" t="inlineStr">
        <is>
          <t>39.000</t>
        </is>
      </c>
      <c r="E358" s="69" t="inlineStr">
        <is>
          <t>Storage Direct Roseville</t>
        </is>
      </c>
      <c r="F358" s="69" t="inlineStr">
        <is>
          <t>LNUBS18C08-39.000</t>
        </is>
      </c>
      <c r="G358" s="70" t="n"/>
      <c r="H358" s="71" t="n">
        <v>8350000</v>
      </c>
      <c r="I358" s="71" t="n">
        <v>8350000</v>
      </c>
      <c r="J358" s="72" t="n">
        <v>4.42</v>
      </c>
      <c r="K358" s="69" t="inlineStr">
        <is>
          <t>Fixed rate</t>
        </is>
      </c>
      <c r="L358" s="68" t="n">
        <v>120</v>
      </c>
      <c r="M358" s="68" t="n">
        <v>16</v>
      </c>
      <c r="N358" s="68" t="n">
        <v>120</v>
      </c>
      <c r="O358" s="68" t="n">
        <v>120</v>
      </c>
      <c r="P358" s="68" t="n">
        <v>16</v>
      </c>
      <c r="Q358" s="68" t="n">
        <v>104</v>
      </c>
      <c r="R358" s="69" t="inlineStr">
        <is>
          <t>IO</t>
        </is>
      </c>
      <c r="S358" s="69" t="inlineStr">
        <is>
          <t>Yes</t>
        </is>
      </c>
      <c r="T358" s="73" t="n">
        <v>43101</v>
      </c>
      <c r="U358" s="73" t="n">
        <v>46758</v>
      </c>
      <c r="V358" s="73" t="n"/>
      <c r="W358" s="69" t="n"/>
      <c r="X358" s="69" t="inlineStr">
        <is>
          <t>Current</t>
        </is>
      </c>
      <c r="Y358" s="68" t="n"/>
      <c r="Z358" s="69" t="inlineStr">
        <is>
          <t>No Defeasance Occurred</t>
        </is>
      </c>
      <c r="AA358" s="69" t="n"/>
      <c r="AB358" s="69" t="inlineStr">
        <is>
          <t>Never special serv</t>
        </is>
      </c>
      <c r="AC358" s="73" t="n"/>
      <c r="AD358" s="69" t="n"/>
      <c r="AE358" s="69" t="n"/>
      <c r="AF358" s="69" t="inlineStr">
        <is>
          <t>CA</t>
        </is>
      </c>
      <c r="AG358" s="69" t="inlineStr">
        <is>
          <t>Roseville</t>
        </is>
      </c>
      <c r="AH358" s="69" t="inlineStr">
        <is>
          <t>Sacramento-Roseville-Folsom, CA</t>
        </is>
      </c>
      <c r="AI358" s="69" t="inlineStr">
        <is>
          <t>West / Pacific North</t>
        </is>
      </c>
      <c r="AJ358" s="69" t="inlineStr">
        <is>
          <t>SS</t>
        </is>
      </c>
      <c r="AK358" s="69" t="n"/>
      <c r="AL358" s="68" t="n">
        <v>1</v>
      </c>
      <c r="AM358" s="68" t="n"/>
      <c r="AN358" s="68" t="n">
        <v>86670</v>
      </c>
      <c r="AO358" s="69" t="inlineStr">
        <is>
          <t>1996</t>
        </is>
      </c>
      <c r="AP358" s="70" t="n">
        <v>1996</v>
      </c>
      <c r="AQ358" s="74" t="n">
        <v>2.01</v>
      </c>
      <c r="AR358" s="74" t="n">
        <v>1.65</v>
      </c>
      <c r="AS358" s="74" t="n">
        <v>59.6</v>
      </c>
      <c r="AT358" s="74" t="n">
        <v>59.64</v>
      </c>
      <c r="AU358" s="74" t="n">
        <v>59.6</v>
      </c>
      <c r="AV358" s="74" t="n">
        <v>9.018910180000001</v>
      </c>
      <c r="AW358" s="74" t="n">
        <v>8.823481677</v>
      </c>
      <c r="AX358" s="75" t="n">
        <v>84</v>
      </c>
      <c r="AY358" s="71" t="n">
        <v>14000000</v>
      </c>
      <c r="AZ358" s="71" t="n">
        <v>14000000</v>
      </c>
      <c r="BA358" s="71" t="n">
        <v>753079</v>
      </c>
      <c r="BB358" s="71" t="n">
        <v>615922.42</v>
      </c>
      <c r="BC358" s="69" t="inlineStr">
        <is>
          <t>Refinance</t>
        </is>
      </c>
      <c r="BD358" s="69" t="inlineStr">
        <is>
          <t>N</t>
        </is>
      </c>
      <c r="BE358" s="71" t="n"/>
      <c r="BF358" s="71" t="n"/>
      <c r="BG358" s="71" t="n"/>
      <c r="BH358" s="71" t="n">
        <v>0</v>
      </c>
      <c r="BI358" s="71" t="n">
        <v>0</v>
      </c>
      <c r="BJ358" s="69" t="inlineStr">
        <is>
          <t>N</t>
        </is>
      </c>
      <c r="BK358" s="69" t="n"/>
      <c r="BL358" s="75" t="n"/>
      <c r="BM358" s="73" t="n"/>
      <c r="BN358" s="69" t="inlineStr">
        <is>
          <t>Daniel J. Elefante; The Elefante Revocable Living Trust Dated October 9,1996; The Elefante Children's Trust No. 1 Established December 31, 2012; The Elefante Children's Trust No. 2 Established December 31, 2012; The Elefante Children's Trust No. 3 Established December 31, 2012</t>
        </is>
      </c>
      <c r="BO358" s="69" t="inlineStr">
        <is>
          <t>RMF</t>
        </is>
      </c>
      <c r="BP358" s="69" t="inlineStr">
        <is>
          <t>Midland Loan Services</t>
        </is>
      </c>
      <c r="BQ358" s="69" t="inlineStr">
        <is>
          <t>Midland Loan Services</t>
        </is>
      </c>
      <c r="BR358" s="69" t="n"/>
      <c r="BS358" s="73" t="n">
        <v>46276</v>
      </c>
      <c r="BU358" s="76">
        <f>IF($C358="","",IFERROR(INDEX(dmName,MATCH($C358,dmID,0)),"Unmapped"))</f>
        <v/>
      </c>
      <c r="BV358" s="76">
        <f>IF($C358="","",IFERROR(INDEX(dmEntity,MATCH($C358,dmID,0)),"Unmapped"))</f>
        <v/>
      </c>
      <c r="BW358" s="77">
        <f>IF($C358="","",IFERROR(INDEX(dmVintage,MATCH($C358,dmID,0)),""))</f>
        <v/>
      </c>
      <c r="BX358" s="78">
        <f>IFERROR(INDEX(dmInclude,MATCH($C358,dmID,0)),0)</f>
        <v/>
      </c>
      <c r="BY358" s="78">
        <f>IF(N($I358)&gt;0,1,0)</f>
        <v/>
      </c>
      <c r="BZ358" s="76">
        <f>IF($AJ358="","Other / Leased Fee",IFERROR(INDEX(mapPTGroup,MATCH(LEFT(TRIM($AJ358),2),mapPTCode,0)),"Other / Leased Fee"))</f>
        <v/>
      </c>
      <c r="CA358" s="76">
        <f>IF(TRIM($AF358&amp;"")="","NR",LEFT(TRIM($AF358),2))</f>
        <v/>
      </c>
      <c r="CB358" s="76">
        <f>IFERROR(LOOKUP(2,1/(LEFT(TRIM($AI358&amp;""),LEN(mapRegion))=mapRegion),mapRegion),"Not Reported")</f>
        <v/>
      </c>
      <c r="CC358" s="76">
        <f>IF($BY358=0,"",IF(TRIM($W358&amp;"")="REO","REO",IF(TRIM($W358&amp;"")="FC","Foreclosure",IF(TRIM($W358&amp;"")="90+","90+ Days Delinquent",IF(TRIM($W358&amp;"")="60","60 Days Delinquent",IF(TRIM($W358&amp;"")="30","30 Days Delinquent",IF($X358="Non-Performing Matured Balloon","Non-Performing Matured Balloon",IF(OR($X358="Late Payment But Less Than 30 Days Delinquent",LEFT($X358&amp;"",20)="Payment Not Received"),"Late / In Grace (&lt;30 Days)",IF($X358="Performing Matured Balloon","Performing Matured Balloon","Current")))))))))</f>
        <v/>
      </c>
      <c r="CD358" s="78">
        <f>IF(OR($CC358="REO",$CC358="Foreclosure",$CC358="90+ Days Delinquent",$CC358="60 Days Delinquent",$CC358="30 Days Delinquent",$CC358="Non-Performing Matured Balloon"),1,0)</f>
        <v/>
      </c>
      <c r="CE358" s="76">
        <f>IF($AB358="Currently special serv","Currently Specially Serviced",IF($AB358="Returned to master serv","Previously Specially Serviced","Never Specially Serviced"))</f>
        <v/>
      </c>
      <c r="CF358" s="78">
        <f>IF($CE358="Currently Specially Serviced",1,0)</f>
        <v/>
      </c>
      <c r="CG358" s="76">
        <f>IF($AA358="Yes","Currently on Watchlist",IF($AA358="Previously","Previously on Watchlist","Never on Watchlist"))</f>
        <v/>
      </c>
      <c r="CH358" s="78">
        <f>IF($CG358="Currently on Watchlist",1,0)</f>
        <v/>
      </c>
      <c r="CI358" s="76">
        <f>IF($Z358="Full Defeasance","Fully Defeased",IF($Z358="Portion Of Loan Previously Defeased","Partially Defeased",IF($Z358="Defeasance Not Allowable","Not Defeased (Not Permitted)","Not Defeased")))</f>
        <v/>
      </c>
      <c r="CJ358" s="78">
        <f>IF($CI358="Fully Defeased",1,0)</f>
        <v/>
      </c>
      <c r="CK358" s="76">
        <f>IF($R358="IO","Full IO",IF(LEFT($R358&amp;"",7)="IO then","Partial IO","Amortizing"))</f>
        <v/>
      </c>
      <c r="CL358" s="78">
        <f>IF($CK358="Full IO",1,0)</f>
        <v/>
      </c>
      <c r="CM358" s="78">
        <f>IF($CK358="Partial IO",1,0)</f>
        <v/>
      </c>
      <c r="CN358" s="76">
        <f>IF(LEFT($F358&amp;"",10)="SPLIT_LOAN","Pari Passu Split","Standalone")</f>
        <v/>
      </c>
      <c r="CO358" s="78">
        <f>IF($CN358="Pari Passu Split",1,0)</f>
        <v/>
      </c>
      <c r="CP358" s="77">
        <f>IF(ISNUMBER($T358),YEAR($T358),"")</f>
        <v/>
      </c>
      <c r="CQ358" s="79">
        <f>IF(ISNUMBER($V358),$V358,IF(ISNUMBER($U358),$U358,""))</f>
        <v/>
      </c>
      <c r="CR358" s="77">
        <f>IF(ISNUMBER($CQ358),YEAR($CQ358),"")</f>
        <v/>
      </c>
      <c r="CS358" s="78">
        <f>IF(ISNUMBER($M358),MAX(0,$M358),IF(TRIM($M358&amp;"")="matured",0,""))</f>
        <v/>
      </c>
      <c r="CT358" s="78">
        <f>IF(AND(ISNUMBER($CS358),N($CS358)&lt;=mMatWindow),1,0)</f>
        <v/>
      </c>
      <c r="CU358" s="80">
        <f>IF(ISNUMBER($J358),$J358/100,"")</f>
        <v/>
      </c>
      <c r="CV358" s="81">
        <f>IF(ISNUMBER($AQ358),$AQ358,"")</f>
        <v/>
      </c>
      <c r="CW358" s="81">
        <f>IF(ISNUMBER($AR358),$AR358,"")</f>
        <v/>
      </c>
      <c r="CX358" s="82">
        <f>IF(ISNUMBER($AS358),$AS358/100,"")</f>
        <v/>
      </c>
      <c r="CY358" s="82">
        <f>IF(ISNUMBER($AT358),$AT358/100,"")</f>
        <v/>
      </c>
      <c r="CZ358" s="82">
        <f>IF(ISNUMBER($AU358),$AU358/100,"")</f>
        <v/>
      </c>
      <c r="DA358" s="82">
        <f>IF(ISNUMBER($AV358),$AV358/100,"")</f>
        <v/>
      </c>
      <c r="DB358" s="82">
        <f>IF(ISNUMBER($AW358),$AW358/100,"")</f>
        <v/>
      </c>
      <c r="DC358" s="82">
        <f>IF(ISNUMBER($AX358),$AX358/100,"")</f>
        <v/>
      </c>
      <c r="DD358" s="77">
        <f>IFERROR(VALUE(LEFT(TRIM($AO358&amp;""),4)),"")</f>
        <v/>
      </c>
      <c r="DE358" s="78">
        <f>IF(AND($BY358=1,$BX358=1,OR(fDeal="All Deals",$BU358=fDeal),OR(fEntity="All Entities",$BV358=fEntity),OR(fPType="All Property Types",$BZ358=fPType),OR(fDefeased="Include",$CJ358=0)),1,0)</f>
        <v/>
      </c>
      <c r="DF358" s="83">
        <f>$DE358*N($I358)</f>
        <v/>
      </c>
      <c r="DG358" s="78">
        <f>IF($DE358=1,IF(COUNTIFS($F$8:$F358,$F358,$DE$8:$DE358,1)=1,1,0),0)</f>
        <v/>
      </c>
      <c r="DH358" s="83">
        <f>IF($DG358=1,SUMIFS($DF$8:$DF$1600,$F$8:$F$1600,$F358),0)</f>
        <v/>
      </c>
      <c r="DI358" s="78">
        <f>IF($DG358=1,COUNTIFS($F$8:$F$1600,$F358,$DE$8:$DE$1600,1),0)</f>
        <v/>
      </c>
      <c r="DJ358" s="84">
        <f>IF($DG358=1,$DH358+(100000-ROW())/mTieBreak,0)</f>
        <v/>
      </c>
    </row>
    <row r="359">
      <c r="B359" s="68" t="n">
        <v>40</v>
      </c>
      <c r="C359" s="69" t="inlineStr">
        <is>
          <t>UBS18C08</t>
        </is>
      </c>
      <c r="D359" s="69" t="inlineStr">
        <is>
          <t>40.000</t>
        </is>
      </c>
      <c r="E359" s="69" t="inlineStr">
        <is>
          <t>Holiday Inn Express - Ruston</t>
        </is>
      </c>
      <c r="F359" s="69" t="inlineStr">
        <is>
          <t>LNUBS18C08-40.000</t>
        </is>
      </c>
      <c r="G359" s="70" t="n"/>
      <c r="H359" s="71" t="n">
        <v>8120000</v>
      </c>
      <c r="I359" s="71" t="n">
        <v>6938151.640001681</v>
      </c>
      <c r="J359" s="72" t="n">
        <v>5.137</v>
      </c>
      <c r="K359" s="69" t="inlineStr">
        <is>
          <t>Fixed rate</t>
        </is>
      </c>
      <c r="L359" s="68" t="n">
        <v>120</v>
      </c>
      <c r="M359" s="68" t="n">
        <v>16</v>
      </c>
      <c r="N359" s="68" t="n">
        <v>360</v>
      </c>
      <c r="O359" s="68" t="n"/>
      <c r="P359" s="68" t="n"/>
      <c r="Q359" s="68" t="n">
        <v>104</v>
      </c>
      <c r="R359" s="69" t="n"/>
      <c r="S359" s="69" t="inlineStr">
        <is>
          <t>No</t>
        </is>
      </c>
      <c r="T359" s="73" t="n">
        <v>43101</v>
      </c>
      <c r="U359" s="73" t="n">
        <v>46758</v>
      </c>
      <c r="V359" s="73" t="n"/>
      <c r="W359" s="69" t="n"/>
      <c r="X359" s="69" t="inlineStr">
        <is>
          <t>Current</t>
        </is>
      </c>
      <c r="Y359" s="68" t="n"/>
      <c r="Z359" s="69" t="inlineStr">
        <is>
          <t>Defeasance Not Allowable</t>
        </is>
      </c>
      <c r="AA359" s="69" t="inlineStr">
        <is>
          <t>Previously</t>
        </is>
      </c>
      <c r="AB359" s="69" t="inlineStr">
        <is>
          <t>Never special serv</t>
        </is>
      </c>
      <c r="AC359" s="73" t="n"/>
      <c r="AD359" s="69" t="n"/>
      <c r="AE359" s="69" t="n"/>
      <c r="AF359" s="69" t="inlineStr">
        <is>
          <t>LA</t>
        </is>
      </c>
      <c r="AG359" s="69" t="inlineStr">
        <is>
          <t>Ruston</t>
        </is>
      </c>
      <c r="AH359" s="69" t="inlineStr">
        <is>
          <t>Ruston, LA</t>
        </is>
      </c>
      <c r="AI359" s="69" t="inlineStr">
        <is>
          <t>South / Central West</t>
        </is>
      </c>
      <c r="AJ359" s="69" t="inlineStr">
        <is>
          <t>HT</t>
        </is>
      </c>
      <c r="AK359" s="69" t="inlineStr">
        <is>
          <t>Limited Service</t>
        </is>
      </c>
      <c r="AL359" s="68" t="n">
        <v>1</v>
      </c>
      <c r="AM359" s="68" t="n">
        <v>84</v>
      </c>
      <c r="AN359" s="68" t="n"/>
      <c r="AO359" s="69" t="inlineStr">
        <is>
          <t>2016</t>
        </is>
      </c>
      <c r="AP359" s="70" t="n">
        <v>2016</v>
      </c>
      <c r="AQ359" s="74" t="n">
        <v>1.89</v>
      </c>
      <c r="AR359" s="74" t="n">
        <v>3.44</v>
      </c>
      <c r="AS359" s="74" t="n">
        <v>69.90000000000001</v>
      </c>
      <c r="AT359" s="74" t="n">
        <v>59.81</v>
      </c>
      <c r="AU359" s="74" t="n">
        <v>57.8</v>
      </c>
      <c r="AV359" s="74" t="n">
        <v>12.383457759</v>
      </c>
      <c r="AW359" s="74" t="n">
        <v>20.020658557</v>
      </c>
      <c r="AX359" s="75" t="n">
        <v>86</v>
      </c>
      <c r="AY359" s="71" t="n">
        <v>11600000</v>
      </c>
      <c r="AZ359" s="71" t="n">
        <v>11600000</v>
      </c>
      <c r="BA359" s="71" t="n">
        <v>1005536.77</v>
      </c>
      <c r="BB359" s="71" t="n">
        <v>1829165.76</v>
      </c>
      <c r="BC359" s="69" t="inlineStr">
        <is>
          <t>Refinance</t>
        </is>
      </c>
      <c r="BD359" s="69" t="inlineStr">
        <is>
          <t>N</t>
        </is>
      </c>
      <c r="BE359" s="71" t="n"/>
      <c r="BF359" s="71" t="n"/>
      <c r="BG359" s="71" t="n"/>
      <c r="BH359" s="71" t="n">
        <v>0</v>
      </c>
      <c r="BI359" s="71" t="n">
        <v>0</v>
      </c>
      <c r="BJ359" s="69" t="inlineStr">
        <is>
          <t>N</t>
        </is>
      </c>
      <c r="BK359" s="69" t="n"/>
      <c r="BL359" s="75" t="n"/>
      <c r="BM359" s="73" t="n"/>
      <c r="BN359" s="69" t="inlineStr">
        <is>
          <t>M. Kevin Dzurik; Kevin C. Gamble; Keith E. Gamble; Denny Gamble, Jr.</t>
        </is>
      </c>
      <c r="BO359" s="69" t="inlineStr">
        <is>
          <t>UBS</t>
        </is>
      </c>
      <c r="BP359" s="69" t="inlineStr">
        <is>
          <t>Midland Loan Services</t>
        </is>
      </c>
      <c r="BQ359" s="69" t="inlineStr">
        <is>
          <t>Midland Loan Services</t>
        </is>
      </c>
      <c r="BR359" s="69" t="n"/>
      <c r="BS359" s="73" t="n">
        <v>46276</v>
      </c>
      <c r="BU359" s="76">
        <f>IF($C359="","",IFERROR(INDEX(dmName,MATCH($C359,dmID,0)),"Unmapped"))</f>
        <v/>
      </c>
      <c r="BV359" s="76">
        <f>IF($C359="","",IFERROR(INDEX(dmEntity,MATCH($C359,dmID,0)),"Unmapped"))</f>
        <v/>
      </c>
      <c r="BW359" s="77">
        <f>IF($C359="","",IFERROR(INDEX(dmVintage,MATCH($C359,dmID,0)),""))</f>
        <v/>
      </c>
      <c r="BX359" s="78">
        <f>IFERROR(INDEX(dmInclude,MATCH($C359,dmID,0)),0)</f>
        <v/>
      </c>
      <c r="BY359" s="78">
        <f>IF(N($I359)&gt;0,1,0)</f>
        <v/>
      </c>
      <c r="BZ359" s="76">
        <f>IF($AJ359="","Other / Leased Fee",IFERROR(INDEX(mapPTGroup,MATCH(LEFT(TRIM($AJ359),2),mapPTCode,0)),"Other / Leased Fee"))</f>
        <v/>
      </c>
      <c r="CA359" s="76">
        <f>IF(TRIM($AF359&amp;"")="","NR",LEFT(TRIM($AF359),2))</f>
        <v/>
      </c>
      <c r="CB359" s="76">
        <f>IFERROR(LOOKUP(2,1/(LEFT(TRIM($AI359&amp;""),LEN(mapRegion))=mapRegion),mapRegion),"Not Reported")</f>
        <v/>
      </c>
      <c r="CC359" s="76">
        <f>IF($BY359=0,"",IF(TRIM($W359&amp;"")="REO","REO",IF(TRIM($W359&amp;"")="FC","Foreclosure",IF(TRIM($W359&amp;"")="90+","90+ Days Delinquent",IF(TRIM($W359&amp;"")="60","60 Days Delinquent",IF(TRIM($W359&amp;"")="30","30 Days Delinquent",IF($X359="Non-Performing Matured Balloon","Non-Performing Matured Balloon",IF(OR($X359="Late Payment But Less Than 30 Days Delinquent",LEFT($X359&amp;"",20)="Payment Not Received"),"Late / In Grace (&lt;30 Days)",IF($X359="Performing Matured Balloon","Performing Matured Balloon","Current")))))))))</f>
        <v/>
      </c>
      <c r="CD359" s="78">
        <f>IF(OR($CC359="REO",$CC359="Foreclosure",$CC359="90+ Days Delinquent",$CC359="60 Days Delinquent",$CC359="30 Days Delinquent",$CC359="Non-Performing Matured Balloon"),1,0)</f>
        <v/>
      </c>
      <c r="CE359" s="76">
        <f>IF($AB359="Currently special serv","Currently Specially Serviced",IF($AB359="Returned to master serv","Previously Specially Serviced","Never Specially Serviced"))</f>
        <v/>
      </c>
      <c r="CF359" s="78">
        <f>IF($CE359="Currently Specially Serviced",1,0)</f>
        <v/>
      </c>
      <c r="CG359" s="76">
        <f>IF($AA359="Yes","Currently on Watchlist",IF($AA359="Previously","Previously on Watchlist","Never on Watchlist"))</f>
        <v/>
      </c>
      <c r="CH359" s="78">
        <f>IF($CG359="Currently on Watchlist",1,0)</f>
        <v/>
      </c>
      <c r="CI359" s="76">
        <f>IF($Z359="Full Defeasance","Fully Defeased",IF($Z359="Portion Of Loan Previously Defeased","Partially Defeased",IF($Z359="Defeasance Not Allowable","Not Defeased (Not Permitted)","Not Defeased")))</f>
        <v/>
      </c>
      <c r="CJ359" s="78">
        <f>IF($CI359="Fully Defeased",1,0)</f>
        <v/>
      </c>
      <c r="CK359" s="76">
        <f>IF($R359="IO","Full IO",IF(LEFT($R359&amp;"",7)="IO then","Partial IO","Amortizing"))</f>
        <v/>
      </c>
      <c r="CL359" s="78">
        <f>IF($CK359="Full IO",1,0)</f>
        <v/>
      </c>
      <c r="CM359" s="78">
        <f>IF($CK359="Partial IO",1,0)</f>
        <v/>
      </c>
      <c r="CN359" s="76">
        <f>IF(LEFT($F359&amp;"",10)="SPLIT_LOAN","Pari Passu Split","Standalone")</f>
        <v/>
      </c>
      <c r="CO359" s="78">
        <f>IF($CN359="Pari Passu Split",1,0)</f>
        <v/>
      </c>
      <c r="CP359" s="77">
        <f>IF(ISNUMBER($T359),YEAR($T359),"")</f>
        <v/>
      </c>
      <c r="CQ359" s="79">
        <f>IF(ISNUMBER($V359),$V359,IF(ISNUMBER($U359),$U359,""))</f>
        <v/>
      </c>
      <c r="CR359" s="77">
        <f>IF(ISNUMBER($CQ359),YEAR($CQ359),"")</f>
        <v/>
      </c>
      <c r="CS359" s="78">
        <f>IF(ISNUMBER($M359),MAX(0,$M359),IF(TRIM($M359&amp;"")="matured",0,""))</f>
        <v/>
      </c>
      <c r="CT359" s="78">
        <f>IF(AND(ISNUMBER($CS359),N($CS359)&lt;=mMatWindow),1,0)</f>
        <v/>
      </c>
      <c r="CU359" s="80">
        <f>IF(ISNUMBER($J359),$J359/100,"")</f>
        <v/>
      </c>
      <c r="CV359" s="81">
        <f>IF(ISNUMBER($AQ359),$AQ359,"")</f>
        <v/>
      </c>
      <c r="CW359" s="81">
        <f>IF(ISNUMBER($AR359),$AR359,"")</f>
        <v/>
      </c>
      <c r="CX359" s="82">
        <f>IF(ISNUMBER($AS359),$AS359/100,"")</f>
        <v/>
      </c>
      <c r="CY359" s="82">
        <f>IF(ISNUMBER($AT359),$AT359/100,"")</f>
        <v/>
      </c>
      <c r="CZ359" s="82">
        <f>IF(ISNUMBER($AU359),$AU359/100,"")</f>
        <v/>
      </c>
      <c r="DA359" s="82">
        <f>IF(ISNUMBER($AV359),$AV359/100,"")</f>
        <v/>
      </c>
      <c r="DB359" s="82">
        <f>IF(ISNUMBER($AW359),$AW359/100,"")</f>
        <v/>
      </c>
      <c r="DC359" s="82">
        <f>IF(ISNUMBER($AX359),$AX359/100,"")</f>
        <v/>
      </c>
      <c r="DD359" s="77">
        <f>IFERROR(VALUE(LEFT(TRIM($AO359&amp;""),4)),"")</f>
        <v/>
      </c>
      <c r="DE359" s="78">
        <f>IF(AND($BY359=1,$BX359=1,OR(fDeal="All Deals",$BU359=fDeal),OR(fEntity="All Entities",$BV359=fEntity),OR(fPType="All Property Types",$BZ359=fPType),OR(fDefeased="Include",$CJ359=0)),1,0)</f>
        <v/>
      </c>
      <c r="DF359" s="83">
        <f>$DE359*N($I359)</f>
        <v/>
      </c>
      <c r="DG359" s="78">
        <f>IF($DE359=1,IF(COUNTIFS($F$8:$F359,$F359,$DE$8:$DE359,1)=1,1,0),0)</f>
        <v/>
      </c>
      <c r="DH359" s="83">
        <f>IF($DG359=1,SUMIFS($DF$8:$DF$1600,$F$8:$F$1600,$F359),0)</f>
        <v/>
      </c>
      <c r="DI359" s="78">
        <f>IF($DG359=1,COUNTIFS($F$8:$F$1600,$F359,$DE$8:$DE$1600,1),0)</f>
        <v/>
      </c>
      <c r="DJ359" s="84">
        <f>IF($DG359=1,$DH359+(100000-ROW())/mTieBreak,0)</f>
        <v/>
      </c>
    </row>
    <row r="360">
      <c r="B360" s="68" t="n">
        <v>41</v>
      </c>
      <c r="C360" s="69" t="inlineStr">
        <is>
          <t>UBS18C08</t>
        </is>
      </c>
      <c r="D360" s="69" t="inlineStr">
        <is>
          <t>41.000</t>
        </is>
      </c>
      <c r="E360" s="69" t="inlineStr">
        <is>
          <t>Holiday Inn Express Trinity</t>
        </is>
      </c>
      <c r="F360" s="69" t="inlineStr">
        <is>
          <t>LNUBS18C08-41.000</t>
        </is>
      </c>
      <c r="G360" s="70" t="n"/>
      <c r="H360" s="71" t="n">
        <v>8000000</v>
      </c>
      <c r="I360" s="71" t="n">
        <v>6847368.790000001</v>
      </c>
      <c r="J360" s="72" t="n">
        <v>5.131</v>
      </c>
      <c r="K360" s="69" t="inlineStr">
        <is>
          <t>Fixed rate</t>
        </is>
      </c>
      <c r="L360" s="68" t="n">
        <v>120</v>
      </c>
      <c r="M360" s="68" t="n">
        <v>17</v>
      </c>
      <c r="N360" s="68" t="n">
        <v>360</v>
      </c>
      <c r="O360" s="68" t="n"/>
      <c r="P360" s="68" t="n"/>
      <c r="Q360" s="68" t="n">
        <v>103</v>
      </c>
      <c r="R360" s="69" t="n"/>
      <c r="S360" s="69" t="inlineStr">
        <is>
          <t>No</t>
        </is>
      </c>
      <c r="T360" s="73" t="n">
        <v>43132</v>
      </c>
      <c r="U360" s="73" t="n">
        <v>46784</v>
      </c>
      <c r="V360" s="73" t="n"/>
      <c r="W360" s="69" t="n"/>
      <c r="X360" s="69" t="inlineStr">
        <is>
          <t>Current</t>
        </is>
      </c>
      <c r="Y360" s="68" t="n"/>
      <c r="Z360" s="69" t="inlineStr">
        <is>
          <t>No Defeasance Occurred</t>
        </is>
      </c>
      <c r="AA360" s="69" t="inlineStr">
        <is>
          <t>Yes</t>
        </is>
      </c>
      <c r="AB360" s="69" t="inlineStr">
        <is>
          <t>Never special serv</t>
        </is>
      </c>
      <c r="AC360" s="73" t="n"/>
      <c r="AD360" s="69" t="n"/>
      <c r="AE360" s="69" t="n"/>
      <c r="AF360" s="69" t="inlineStr">
        <is>
          <t>FL</t>
        </is>
      </c>
      <c r="AG360" s="69" t="inlineStr">
        <is>
          <t>Trinity</t>
        </is>
      </c>
      <c r="AH360" s="69" t="inlineStr">
        <is>
          <t>Tampa-St. Petersburg-Clearwater, FL</t>
        </is>
      </c>
      <c r="AI360" s="69" t="inlineStr">
        <is>
          <t>South / Atlantic</t>
        </is>
      </c>
      <c r="AJ360" s="69" t="inlineStr">
        <is>
          <t>HT</t>
        </is>
      </c>
      <c r="AK360" s="69" t="inlineStr">
        <is>
          <t>Limited Service</t>
        </is>
      </c>
      <c r="AL360" s="68" t="n">
        <v>1</v>
      </c>
      <c r="AM360" s="68" t="n">
        <v>87</v>
      </c>
      <c r="AN360" s="68" t="n"/>
      <c r="AO360" s="69" t="inlineStr">
        <is>
          <t>2015</t>
        </is>
      </c>
      <c r="AP360" s="70" t="n">
        <v>2015</v>
      </c>
      <c r="AQ360" s="74" t="n">
        <v>1.87</v>
      </c>
      <c r="AR360" s="74" t="n">
        <v>1.17</v>
      </c>
      <c r="AS360" s="74" t="n">
        <v>65</v>
      </c>
      <c r="AT360" s="74" t="n">
        <v>55.67</v>
      </c>
      <c r="AU360" s="74" t="n">
        <v>53.7</v>
      </c>
      <c r="AV360" s="74" t="n">
        <v>12.2547435</v>
      </c>
      <c r="AW360" s="74" t="n">
        <v>9.318416892</v>
      </c>
      <c r="AX360" s="75" t="n">
        <v>72</v>
      </c>
      <c r="AY360" s="71" t="n">
        <v>12300000</v>
      </c>
      <c r="AZ360" s="71" t="n">
        <v>12300000</v>
      </c>
      <c r="BA360" s="71" t="n">
        <v>980379.48</v>
      </c>
      <c r="BB360" s="71" t="n">
        <v>609958.5600000001</v>
      </c>
      <c r="BC360" s="69" t="inlineStr">
        <is>
          <t>Acquisition</t>
        </is>
      </c>
      <c r="BD360" s="69" t="inlineStr">
        <is>
          <t>N</t>
        </is>
      </c>
      <c r="BE360" s="71" t="n"/>
      <c r="BF360" s="71" t="n"/>
      <c r="BG360" s="71" t="n"/>
      <c r="BH360" s="71" t="n">
        <v>0</v>
      </c>
      <c r="BI360" s="71" t="n">
        <v>0</v>
      </c>
      <c r="BJ360" s="69" t="inlineStr">
        <is>
          <t>N</t>
        </is>
      </c>
      <c r="BK360" s="69" t="n"/>
      <c r="BL360" s="75" t="n"/>
      <c r="BM360" s="73" t="n"/>
      <c r="BN360" s="69" t="inlineStr">
        <is>
          <t>The Plaza Hospitality, LLC; Mansoor Ebrahim Nabina</t>
        </is>
      </c>
      <c r="BO360" s="69" t="inlineStr">
        <is>
          <t>Societe Generale</t>
        </is>
      </c>
      <c r="BP360" s="69" t="inlineStr">
        <is>
          <t>Midland Loan Services</t>
        </is>
      </c>
      <c r="BQ360" s="69" t="inlineStr">
        <is>
          <t>Midland Loan Services</t>
        </is>
      </c>
      <c r="BR360" s="69" t="n"/>
      <c r="BS360" s="73" t="n">
        <v>46276</v>
      </c>
      <c r="BU360" s="76">
        <f>IF($C360="","",IFERROR(INDEX(dmName,MATCH($C360,dmID,0)),"Unmapped"))</f>
        <v/>
      </c>
      <c r="BV360" s="76">
        <f>IF($C360="","",IFERROR(INDEX(dmEntity,MATCH($C360,dmID,0)),"Unmapped"))</f>
        <v/>
      </c>
      <c r="BW360" s="77">
        <f>IF($C360="","",IFERROR(INDEX(dmVintage,MATCH($C360,dmID,0)),""))</f>
        <v/>
      </c>
      <c r="BX360" s="78">
        <f>IFERROR(INDEX(dmInclude,MATCH($C360,dmID,0)),0)</f>
        <v/>
      </c>
      <c r="BY360" s="78">
        <f>IF(N($I360)&gt;0,1,0)</f>
        <v/>
      </c>
      <c r="BZ360" s="76">
        <f>IF($AJ360="","Other / Leased Fee",IFERROR(INDEX(mapPTGroup,MATCH(LEFT(TRIM($AJ360),2),mapPTCode,0)),"Other / Leased Fee"))</f>
        <v/>
      </c>
      <c r="CA360" s="76">
        <f>IF(TRIM($AF360&amp;"")="","NR",LEFT(TRIM($AF360),2))</f>
        <v/>
      </c>
      <c r="CB360" s="76">
        <f>IFERROR(LOOKUP(2,1/(LEFT(TRIM($AI360&amp;""),LEN(mapRegion))=mapRegion),mapRegion),"Not Reported")</f>
        <v/>
      </c>
      <c r="CC360" s="76">
        <f>IF($BY360=0,"",IF(TRIM($W360&amp;"")="REO","REO",IF(TRIM($W360&amp;"")="FC","Foreclosure",IF(TRIM($W360&amp;"")="90+","90+ Days Delinquent",IF(TRIM($W360&amp;"")="60","60 Days Delinquent",IF(TRIM($W360&amp;"")="30","30 Days Delinquent",IF($X360="Non-Performing Matured Balloon","Non-Performing Matured Balloon",IF(OR($X360="Late Payment But Less Than 30 Days Delinquent",LEFT($X360&amp;"",20)="Payment Not Received"),"Late / In Grace (&lt;30 Days)",IF($X360="Performing Matured Balloon","Performing Matured Balloon","Current")))))))))</f>
        <v/>
      </c>
      <c r="CD360" s="78">
        <f>IF(OR($CC360="REO",$CC360="Foreclosure",$CC360="90+ Days Delinquent",$CC360="60 Days Delinquent",$CC360="30 Days Delinquent",$CC360="Non-Performing Matured Balloon"),1,0)</f>
        <v/>
      </c>
      <c r="CE360" s="76">
        <f>IF($AB360="Currently special serv","Currently Specially Serviced",IF($AB360="Returned to master serv","Previously Specially Serviced","Never Specially Serviced"))</f>
        <v/>
      </c>
      <c r="CF360" s="78">
        <f>IF($CE360="Currently Specially Serviced",1,0)</f>
        <v/>
      </c>
      <c r="CG360" s="76">
        <f>IF($AA360="Yes","Currently on Watchlist",IF($AA360="Previously","Previously on Watchlist","Never on Watchlist"))</f>
        <v/>
      </c>
      <c r="CH360" s="78">
        <f>IF($CG360="Currently on Watchlist",1,0)</f>
        <v/>
      </c>
      <c r="CI360" s="76">
        <f>IF($Z360="Full Defeasance","Fully Defeased",IF($Z360="Portion Of Loan Previously Defeased","Partially Defeased",IF($Z360="Defeasance Not Allowable","Not Defeased (Not Permitted)","Not Defeased")))</f>
        <v/>
      </c>
      <c r="CJ360" s="78">
        <f>IF($CI360="Fully Defeased",1,0)</f>
        <v/>
      </c>
      <c r="CK360" s="76">
        <f>IF($R360="IO","Full IO",IF(LEFT($R360&amp;"",7)="IO then","Partial IO","Amortizing"))</f>
        <v/>
      </c>
      <c r="CL360" s="78">
        <f>IF($CK360="Full IO",1,0)</f>
        <v/>
      </c>
      <c r="CM360" s="78">
        <f>IF($CK360="Partial IO",1,0)</f>
        <v/>
      </c>
      <c r="CN360" s="76">
        <f>IF(LEFT($F360&amp;"",10)="SPLIT_LOAN","Pari Passu Split","Standalone")</f>
        <v/>
      </c>
      <c r="CO360" s="78">
        <f>IF($CN360="Pari Passu Split",1,0)</f>
        <v/>
      </c>
      <c r="CP360" s="77">
        <f>IF(ISNUMBER($T360),YEAR($T360),"")</f>
        <v/>
      </c>
      <c r="CQ360" s="79">
        <f>IF(ISNUMBER($V360),$V360,IF(ISNUMBER($U360),$U360,""))</f>
        <v/>
      </c>
      <c r="CR360" s="77">
        <f>IF(ISNUMBER($CQ360),YEAR($CQ360),"")</f>
        <v/>
      </c>
      <c r="CS360" s="78">
        <f>IF(ISNUMBER($M360),MAX(0,$M360),IF(TRIM($M360&amp;"")="matured",0,""))</f>
        <v/>
      </c>
      <c r="CT360" s="78">
        <f>IF(AND(ISNUMBER($CS360),N($CS360)&lt;=mMatWindow),1,0)</f>
        <v/>
      </c>
      <c r="CU360" s="80">
        <f>IF(ISNUMBER($J360),$J360/100,"")</f>
        <v/>
      </c>
      <c r="CV360" s="81">
        <f>IF(ISNUMBER($AQ360),$AQ360,"")</f>
        <v/>
      </c>
      <c r="CW360" s="81">
        <f>IF(ISNUMBER($AR360),$AR360,"")</f>
        <v/>
      </c>
      <c r="CX360" s="82">
        <f>IF(ISNUMBER($AS360),$AS360/100,"")</f>
        <v/>
      </c>
      <c r="CY360" s="82">
        <f>IF(ISNUMBER($AT360),$AT360/100,"")</f>
        <v/>
      </c>
      <c r="CZ360" s="82">
        <f>IF(ISNUMBER($AU360),$AU360/100,"")</f>
        <v/>
      </c>
      <c r="DA360" s="82">
        <f>IF(ISNUMBER($AV360),$AV360/100,"")</f>
        <v/>
      </c>
      <c r="DB360" s="82">
        <f>IF(ISNUMBER($AW360),$AW360/100,"")</f>
        <v/>
      </c>
      <c r="DC360" s="82">
        <f>IF(ISNUMBER($AX360),$AX360/100,"")</f>
        <v/>
      </c>
      <c r="DD360" s="77">
        <f>IFERROR(VALUE(LEFT(TRIM($AO360&amp;""),4)),"")</f>
        <v/>
      </c>
      <c r="DE360" s="78">
        <f>IF(AND($BY360=1,$BX360=1,OR(fDeal="All Deals",$BU360=fDeal),OR(fEntity="All Entities",$BV360=fEntity),OR(fPType="All Property Types",$BZ360=fPType),OR(fDefeased="Include",$CJ360=0)),1,0)</f>
        <v/>
      </c>
      <c r="DF360" s="83">
        <f>$DE360*N($I360)</f>
        <v/>
      </c>
      <c r="DG360" s="78">
        <f>IF($DE360=1,IF(COUNTIFS($F$8:$F360,$F360,$DE$8:$DE360,1)=1,1,0),0)</f>
        <v/>
      </c>
      <c r="DH360" s="83">
        <f>IF($DG360=1,SUMIFS($DF$8:$DF$1600,$F$8:$F$1600,$F360),0)</f>
        <v/>
      </c>
      <c r="DI360" s="78">
        <f>IF($DG360=1,COUNTIFS($F$8:$F$1600,$F360,$DE$8:$DE$1600,1),0)</f>
        <v/>
      </c>
      <c r="DJ360" s="84">
        <f>IF($DG360=1,$DH360+(100000-ROW())/mTieBreak,0)</f>
        <v/>
      </c>
    </row>
    <row r="361">
      <c r="B361" s="68" t="n">
        <v>42</v>
      </c>
      <c r="C361" s="69" t="inlineStr">
        <is>
          <t>UBS18C08</t>
        </is>
      </c>
      <c r="D361" s="69" t="inlineStr">
        <is>
          <t>42.000</t>
        </is>
      </c>
      <c r="E361" s="69" t="inlineStr">
        <is>
          <t>Hampton Inn and Comfort Inn Moss Point Portfolio</t>
        </is>
      </c>
      <c r="F361" s="69" t="inlineStr">
        <is>
          <t>LNUBS18C08-42.000</t>
        </is>
      </c>
      <c r="G361" s="70" t="n"/>
      <c r="H361" s="71" t="n">
        <v>7900000</v>
      </c>
      <c r="I361" s="71" t="n">
        <v>6370308.4299984</v>
      </c>
      <c r="J361" s="72" t="n">
        <v>5.6306</v>
      </c>
      <c r="K361" s="69" t="inlineStr">
        <is>
          <t>Fixed rate</t>
        </is>
      </c>
      <c r="L361" s="68" t="n">
        <v>120</v>
      </c>
      <c r="M361" s="68" t="n">
        <v>17</v>
      </c>
      <c r="N361" s="68" t="n">
        <v>300</v>
      </c>
      <c r="O361" s="68" t="n"/>
      <c r="P361" s="68" t="n"/>
      <c r="Q361" s="68" t="n">
        <v>103</v>
      </c>
      <c r="R361" s="69" t="n"/>
      <c r="S361" s="69" t="inlineStr">
        <is>
          <t>No</t>
        </is>
      </c>
      <c r="T361" s="73" t="n">
        <v>43132</v>
      </c>
      <c r="U361" s="73" t="n">
        <v>46789</v>
      </c>
      <c r="V361" s="73" t="n"/>
      <c r="W361" s="69" t="n"/>
      <c r="X361" s="69" t="inlineStr">
        <is>
          <t>Current</t>
        </is>
      </c>
      <c r="Y361" s="68" t="n"/>
      <c r="Z361" s="69" t="inlineStr">
        <is>
          <t>Full Defeasance</t>
        </is>
      </c>
      <c r="AA361" s="69" t="inlineStr">
        <is>
          <t>Previously</t>
        </is>
      </c>
      <c r="AB361" s="69" t="inlineStr">
        <is>
          <t>Never special serv</t>
        </is>
      </c>
      <c r="AC361" s="73" t="n"/>
      <c r="AD361" s="69" t="n"/>
      <c r="AE361" s="69" t="n"/>
      <c r="AF361" s="69" t="inlineStr">
        <is>
          <t>MS</t>
        </is>
      </c>
      <c r="AG361" s="69" t="inlineStr">
        <is>
          <t>Moss Point</t>
        </is>
      </c>
      <c r="AH361" s="69" t="inlineStr">
        <is>
          <t>Gulfport-Biloxi, MS</t>
        </is>
      </c>
      <c r="AI361" s="69" t="inlineStr">
        <is>
          <t>South / Central East</t>
        </is>
      </c>
      <c r="AJ361" s="69" t="inlineStr">
        <is>
          <t>HT</t>
        </is>
      </c>
      <c r="AK361" s="69" t="inlineStr">
        <is>
          <t>Limited Service</t>
        </is>
      </c>
      <c r="AL361" s="68" t="n">
        <v>2</v>
      </c>
      <c r="AM361" s="68" t="n">
        <v>159</v>
      </c>
      <c r="AN361" s="68" t="n"/>
      <c r="AO361" s="69" t="n"/>
      <c r="AP361" s="70" t="n">
        <v>2012</v>
      </c>
      <c r="AQ361" s="74" t="n">
        <v>1.56</v>
      </c>
      <c r="AR361" s="74" t="n"/>
      <c r="AS361" s="74" t="n">
        <v>68.09999999999999</v>
      </c>
      <c r="AT361" s="74" t="n">
        <v>54.92</v>
      </c>
      <c r="AU361" s="74" t="n">
        <v>52.1</v>
      </c>
      <c r="AV361" s="74" t="n">
        <v>11.648966582</v>
      </c>
      <c r="AW361" s="74" t="n">
        <v>12.073349642</v>
      </c>
      <c r="AX361" s="75" t="n">
        <v>73</v>
      </c>
      <c r="AY361" s="71" t="n">
        <v>11600000</v>
      </c>
      <c r="AZ361" s="71" t="n">
        <v>11600000</v>
      </c>
      <c r="BA361" s="71" t="n">
        <v>920268.36</v>
      </c>
      <c r="BB361" s="71" t="n">
        <v>982094.61</v>
      </c>
      <c r="BC361" s="69" t="inlineStr">
        <is>
          <t>Refinance</t>
        </is>
      </c>
      <c r="BD361" s="69" t="inlineStr">
        <is>
          <t>N</t>
        </is>
      </c>
      <c r="BE361" s="71" t="n"/>
      <c r="BF361" s="71" t="n"/>
      <c r="BG361" s="71" t="n"/>
      <c r="BH361" s="71" t="n">
        <v>0</v>
      </c>
      <c r="BI361" s="71" t="n">
        <v>0</v>
      </c>
      <c r="BJ361" s="69" t="inlineStr">
        <is>
          <t>Y</t>
        </is>
      </c>
      <c r="BK361" s="69" t="n"/>
      <c r="BL361" s="75" t="n"/>
      <c r="BM361" s="73" t="n"/>
      <c r="BN361" s="69" t="inlineStr">
        <is>
          <t>Dana Foster; W. Edward Trehern; Dana Blake Foster</t>
        </is>
      </c>
      <c r="BO361" s="69" t="inlineStr">
        <is>
          <t>UBS</t>
        </is>
      </c>
      <c r="BP361" s="69" t="inlineStr">
        <is>
          <t>Midland Loan Services</t>
        </is>
      </c>
      <c r="BQ361" s="69" t="inlineStr">
        <is>
          <t>Midland Loan Services</t>
        </is>
      </c>
      <c r="BR361" s="69" t="n"/>
      <c r="BS361" s="73" t="n">
        <v>46276</v>
      </c>
      <c r="BU361" s="76">
        <f>IF($C361="","",IFERROR(INDEX(dmName,MATCH($C361,dmID,0)),"Unmapped"))</f>
        <v/>
      </c>
      <c r="BV361" s="76">
        <f>IF($C361="","",IFERROR(INDEX(dmEntity,MATCH($C361,dmID,0)),"Unmapped"))</f>
        <v/>
      </c>
      <c r="BW361" s="77">
        <f>IF($C361="","",IFERROR(INDEX(dmVintage,MATCH($C361,dmID,0)),""))</f>
        <v/>
      </c>
      <c r="BX361" s="78">
        <f>IFERROR(INDEX(dmInclude,MATCH($C361,dmID,0)),0)</f>
        <v/>
      </c>
      <c r="BY361" s="78">
        <f>IF(N($I361)&gt;0,1,0)</f>
        <v/>
      </c>
      <c r="BZ361" s="76">
        <f>IF($AJ361="","Other / Leased Fee",IFERROR(INDEX(mapPTGroup,MATCH(LEFT(TRIM($AJ361),2),mapPTCode,0)),"Other / Leased Fee"))</f>
        <v/>
      </c>
      <c r="CA361" s="76">
        <f>IF(TRIM($AF361&amp;"")="","NR",LEFT(TRIM($AF361),2))</f>
        <v/>
      </c>
      <c r="CB361" s="76">
        <f>IFERROR(LOOKUP(2,1/(LEFT(TRIM($AI361&amp;""),LEN(mapRegion))=mapRegion),mapRegion),"Not Reported")</f>
        <v/>
      </c>
      <c r="CC361" s="76">
        <f>IF($BY361=0,"",IF(TRIM($W361&amp;"")="REO","REO",IF(TRIM($W361&amp;"")="FC","Foreclosure",IF(TRIM($W361&amp;"")="90+","90+ Days Delinquent",IF(TRIM($W361&amp;"")="60","60 Days Delinquent",IF(TRIM($W361&amp;"")="30","30 Days Delinquent",IF($X361="Non-Performing Matured Balloon","Non-Performing Matured Balloon",IF(OR($X361="Late Payment But Less Than 30 Days Delinquent",LEFT($X361&amp;"",20)="Payment Not Received"),"Late / In Grace (&lt;30 Days)",IF($X361="Performing Matured Balloon","Performing Matured Balloon","Current")))))))))</f>
        <v/>
      </c>
      <c r="CD361" s="78">
        <f>IF(OR($CC361="REO",$CC361="Foreclosure",$CC361="90+ Days Delinquent",$CC361="60 Days Delinquent",$CC361="30 Days Delinquent",$CC361="Non-Performing Matured Balloon"),1,0)</f>
        <v/>
      </c>
      <c r="CE361" s="76">
        <f>IF($AB361="Currently special serv","Currently Specially Serviced",IF($AB361="Returned to master serv","Previously Specially Serviced","Never Specially Serviced"))</f>
        <v/>
      </c>
      <c r="CF361" s="78">
        <f>IF($CE361="Currently Specially Serviced",1,0)</f>
        <v/>
      </c>
      <c r="CG361" s="76">
        <f>IF($AA361="Yes","Currently on Watchlist",IF($AA361="Previously","Previously on Watchlist","Never on Watchlist"))</f>
        <v/>
      </c>
      <c r="CH361" s="78">
        <f>IF($CG361="Currently on Watchlist",1,0)</f>
        <v/>
      </c>
      <c r="CI361" s="76">
        <f>IF($Z361="Full Defeasance","Fully Defeased",IF($Z361="Portion Of Loan Previously Defeased","Partially Defeased",IF($Z361="Defeasance Not Allowable","Not Defeased (Not Permitted)","Not Defeased")))</f>
        <v/>
      </c>
      <c r="CJ361" s="78">
        <f>IF($CI361="Fully Defeased",1,0)</f>
        <v/>
      </c>
      <c r="CK361" s="76">
        <f>IF($R361="IO","Full IO",IF(LEFT($R361&amp;"",7)="IO then","Partial IO","Amortizing"))</f>
        <v/>
      </c>
      <c r="CL361" s="78">
        <f>IF($CK361="Full IO",1,0)</f>
        <v/>
      </c>
      <c r="CM361" s="78">
        <f>IF($CK361="Partial IO",1,0)</f>
        <v/>
      </c>
      <c r="CN361" s="76">
        <f>IF(LEFT($F361&amp;"",10)="SPLIT_LOAN","Pari Passu Split","Standalone")</f>
        <v/>
      </c>
      <c r="CO361" s="78">
        <f>IF($CN361="Pari Passu Split",1,0)</f>
        <v/>
      </c>
      <c r="CP361" s="77">
        <f>IF(ISNUMBER($T361),YEAR($T361),"")</f>
        <v/>
      </c>
      <c r="CQ361" s="79">
        <f>IF(ISNUMBER($V361),$V361,IF(ISNUMBER($U361),$U361,""))</f>
        <v/>
      </c>
      <c r="CR361" s="77">
        <f>IF(ISNUMBER($CQ361),YEAR($CQ361),"")</f>
        <v/>
      </c>
      <c r="CS361" s="78">
        <f>IF(ISNUMBER($M361),MAX(0,$M361),IF(TRIM($M361&amp;"")="matured",0,""))</f>
        <v/>
      </c>
      <c r="CT361" s="78">
        <f>IF(AND(ISNUMBER($CS361),N($CS361)&lt;=mMatWindow),1,0)</f>
        <v/>
      </c>
      <c r="CU361" s="80">
        <f>IF(ISNUMBER($J361),$J361/100,"")</f>
        <v/>
      </c>
      <c r="CV361" s="81">
        <f>IF(ISNUMBER($AQ361),$AQ361,"")</f>
        <v/>
      </c>
      <c r="CW361" s="81">
        <f>IF(ISNUMBER($AR361),$AR361,"")</f>
        <v/>
      </c>
      <c r="CX361" s="82">
        <f>IF(ISNUMBER($AS361),$AS361/100,"")</f>
        <v/>
      </c>
      <c r="CY361" s="82">
        <f>IF(ISNUMBER($AT361),$AT361/100,"")</f>
        <v/>
      </c>
      <c r="CZ361" s="82">
        <f>IF(ISNUMBER($AU361),$AU361/100,"")</f>
        <v/>
      </c>
      <c r="DA361" s="82">
        <f>IF(ISNUMBER($AV361),$AV361/100,"")</f>
        <v/>
      </c>
      <c r="DB361" s="82">
        <f>IF(ISNUMBER($AW361),$AW361/100,"")</f>
        <v/>
      </c>
      <c r="DC361" s="82">
        <f>IF(ISNUMBER($AX361),$AX361/100,"")</f>
        <v/>
      </c>
      <c r="DD361" s="77">
        <f>IFERROR(VALUE(LEFT(TRIM($AO361&amp;""),4)),"")</f>
        <v/>
      </c>
      <c r="DE361" s="78">
        <f>IF(AND($BY361=1,$BX361=1,OR(fDeal="All Deals",$BU361=fDeal),OR(fEntity="All Entities",$BV361=fEntity),OR(fPType="All Property Types",$BZ361=fPType),OR(fDefeased="Include",$CJ361=0)),1,0)</f>
        <v/>
      </c>
      <c r="DF361" s="83">
        <f>$DE361*N($I361)</f>
        <v/>
      </c>
      <c r="DG361" s="78">
        <f>IF($DE361=1,IF(COUNTIFS($F$8:$F361,$F361,$DE$8:$DE361,1)=1,1,0),0)</f>
        <v/>
      </c>
      <c r="DH361" s="83">
        <f>IF($DG361=1,SUMIFS($DF$8:$DF$1600,$F$8:$F$1600,$F361),0)</f>
        <v/>
      </c>
      <c r="DI361" s="78">
        <f>IF($DG361=1,COUNTIFS($F$8:$F$1600,$F361,$DE$8:$DE$1600,1),0)</f>
        <v/>
      </c>
      <c r="DJ361" s="84">
        <f>IF($DG361=1,$DH361+(100000-ROW())/mTieBreak,0)</f>
        <v/>
      </c>
    </row>
    <row r="362">
      <c r="B362" s="68" t="n">
        <v>43</v>
      </c>
      <c r="C362" s="69" t="inlineStr">
        <is>
          <t>UBS18C08</t>
        </is>
      </c>
      <c r="D362" s="69" t="inlineStr">
        <is>
          <t>43.000</t>
        </is>
      </c>
      <c r="E362" s="69" t="inlineStr">
        <is>
          <t>Ivy Bridge Extension</t>
        </is>
      </c>
      <c r="F362" s="69" t="inlineStr">
        <is>
          <t>LNUBS18C08-43.000</t>
        </is>
      </c>
      <c r="G362" s="70" t="n"/>
      <c r="H362" s="71" t="n">
        <v>7825000</v>
      </c>
      <c r="I362" s="71" t="n">
        <v>7069096.019998701</v>
      </c>
      <c r="J362" s="72" t="n">
        <v>4.77</v>
      </c>
      <c r="K362" s="69" t="inlineStr">
        <is>
          <t>Fixed rate</t>
        </is>
      </c>
      <c r="L362" s="68" t="n">
        <v>120</v>
      </c>
      <c r="M362" s="68" t="n">
        <v>14</v>
      </c>
      <c r="N362" s="68" t="n">
        <v>396</v>
      </c>
      <c r="O362" s="68" t="n">
        <v>36</v>
      </c>
      <c r="P362" s="68" t="n">
        <v>0</v>
      </c>
      <c r="Q362" s="68" t="n">
        <v>106</v>
      </c>
      <c r="R362" s="69" t="inlineStr">
        <is>
          <t>IO then Amort</t>
        </is>
      </c>
      <c r="S362" s="69" t="inlineStr">
        <is>
          <t>No</t>
        </is>
      </c>
      <c r="T362" s="73" t="n">
        <v>43040</v>
      </c>
      <c r="U362" s="73" t="n">
        <v>46692</v>
      </c>
      <c r="V362" s="73" t="n"/>
      <c r="W362" s="69" t="n"/>
      <c r="X362" s="69" t="inlineStr">
        <is>
          <t>Current</t>
        </is>
      </c>
      <c r="Y362" s="68" t="n"/>
      <c r="Z362" s="69" t="inlineStr">
        <is>
          <t>No Defeasance Occurred</t>
        </is>
      </c>
      <c r="AA362" s="69" t="n"/>
      <c r="AB362" s="69" t="inlineStr">
        <is>
          <t>Never special serv</t>
        </is>
      </c>
      <c r="AC362" s="73" t="n"/>
      <c r="AD362" s="69" t="n"/>
      <c r="AE362" s="69" t="n"/>
      <c r="AF362" s="69" t="inlineStr">
        <is>
          <t>NY</t>
        </is>
      </c>
      <c r="AG362" s="69" t="inlineStr">
        <is>
          <t>Gates</t>
        </is>
      </c>
      <c r="AH362" s="69" t="inlineStr">
        <is>
          <t>Rochester, NY</t>
        </is>
      </c>
      <c r="AI362" s="69" t="inlineStr">
        <is>
          <t>Northeast / Mid-Atlantic</t>
        </is>
      </c>
      <c r="AJ362" s="69" t="inlineStr">
        <is>
          <t>MF</t>
        </is>
      </c>
      <c r="AK362" s="69" t="inlineStr">
        <is>
          <t>Garden</t>
        </is>
      </c>
      <c r="AL362" s="68" t="n">
        <v>1</v>
      </c>
      <c r="AM362" s="68" t="n">
        <v>61</v>
      </c>
      <c r="AN362" s="68" t="n"/>
      <c r="AO362" s="69" t="inlineStr">
        <is>
          <t>2017</t>
        </is>
      </c>
      <c r="AP362" s="70" t="n">
        <v>2017</v>
      </c>
      <c r="AQ362" s="74" t="n">
        <v>1.29</v>
      </c>
      <c r="AR362" s="74" t="n">
        <v>1.37</v>
      </c>
      <c r="AS362" s="74" t="n">
        <v>73.8</v>
      </c>
      <c r="AT362" s="74" t="n">
        <v>66.69</v>
      </c>
      <c r="AU362" s="74" t="n">
        <v>65</v>
      </c>
      <c r="AV362" s="74" t="n">
        <v>8.100115016</v>
      </c>
      <c r="AW362" s="74" t="n">
        <v>9.516438000999999</v>
      </c>
      <c r="AX362" s="75" t="n">
        <v>100</v>
      </c>
      <c r="AY362" s="71" t="n">
        <v>10600000</v>
      </c>
      <c r="AZ362" s="71" t="n">
        <v>10600000</v>
      </c>
      <c r="BA362" s="71" t="n">
        <v>633834</v>
      </c>
      <c r="BB362" s="71" t="n">
        <v>672726.14</v>
      </c>
      <c r="BC362" s="69" t="inlineStr">
        <is>
          <t>Refinance</t>
        </is>
      </c>
      <c r="BD362" s="69" t="inlineStr">
        <is>
          <t>N</t>
        </is>
      </c>
      <c r="BE362" s="71" t="n"/>
      <c r="BF362" s="71" t="n"/>
      <c r="BG362" s="71" t="n"/>
      <c r="BH362" s="71" t="n">
        <v>0</v>
      </c>
      <c r="BI362" s="71" t="n">
        <v>0</v>
      </c>
      <c r="BJ362" s="69" t="inlineStr">
        <is>
          <t>N</t>
        </is>
      </c>
      <c r="BK362" s="69" t="n"/>
      <c r="BL362" s="75" t="n"/>
      <c r="BM362" s="73" t="n"/>
      <c r="BN362" s="69" t="inlineStr">
        <is>
          <t>Margaret Van Epps</t>
        </is>
      </c>
      <c r="BO362" s="69" t="inlineStr">
        <is>
          <t>CIBC</t>
        </is>
      </c>
      <c r="BP362" s="69" t="inlineStr">
        <is>
          <t>Midland Loan Services</t>
        </is>
      </c>
      <c r="BQ362" s="69" t="inlineStr">
        <is>
          <t>Midland Loan Services</t>
        </is>
      </c>
      <c r="BR362" s="69" t="n"/>
      <c r="BS362" s="73" t="n">
        <v>46276</v>
      </c>
      <c r="BU362" s="76">
        <f>IF($C362="","",IFERROR(INDEX(dmName,MATCH($C362,dmID,0)),"Unmapped"))</f>
        <v/>
      </c>
      <c r="BV362" s="76">
        <f>IF($C362="","",IFERROR(INDEX(dmEntity,MATCH($C362,dmID,0)),"Unmapped"))</f>
        <v/>
      </c>
      <c r="BW362" s="77">
        <f>IF($C362="","",IFERROR(INDEX(dmVintage,MATCH($C362,dmID,0)),""))</f>
        <v/>
      </c>
      <c r="BX362" s="78">
        <f>IFERROR(INDEX(dmInclude,MATCH($C362,dmID,0)),0)</f>
        <v/>
      </c>
      <c r="BY362" s="78">
        <f>IF(N($I362)&gt;0,1,0)</f>
        <v/>
      </c>
      <c r="BZ362" s="76">
        <f>IF($AJ362="","Other / Leased Fee",IFERROR(INDEX(mapPTGroup,MATCH(LEFT(TRIM($AJ362),2),mapPTCode,0)),"Other / Leased Fee"))</f>
        <v/>
      </c>
      <c r="CA362" s="76">
        <f>IF(TRIM($AF362&amp;"")="","NR",LEFT(TRIM($AF362),2))</f>
        <v/>
      </c>
      <c r="CB362" s="76">
        <f>IFERROR(LOOKUP(2,1/(LEFT(TRIM($AI362&amp;""),LEN(mapRegion))=mapRegion),mapRegion),"Not Reported")</f>
        <v/>
      </c>
      <c r="CC362" s="76">
        <f>IF($BY362=0,"",IF(TRIM($W362&amp;"")="REO","REO",IF(TRIM($W362&amp;"")="FC","Foreclosure",IF(TRIM($W362&amp;"")="90+","90+ Days Delinquent",IF(TRIM($W362&amp;"")="60","60 Days Delinquent",IF(TRIM($W362&amp;"")="30","30 Days Delinquent",IF($X362="Non-Performing Matured Balloon","Non-Performing Matured Balloon",IF(OR($X362="Late Payment But Less Than 30 Days Delinquent",LEFT($X362&amp;"",20)="Payment Not Received"),"Late / In Grace (&lt;30 Days)",IF($X362="Performing Matured Balloon","Performing Matured Balloon","Current")))))))))</f>
        <v/>
      </c>
      <c r="CD362" s="78">
        <f>IF(OR($CC362="REO",$CC362="Foreclosure",$CC362="90+ Days Delinquent",$CC362="60 Days Delinquent",$CC362="30 Days Delinquent",$CC362="Non-Performing Matured Balloon"),1,0)</f>
        <v/>
      </c>
      <c r="CE362" s="76">
        <f>IF($AB362="Currently special serv","Currently Specially Serviced",IF($AB362="Returned to master serv","Previously Specially Serviced","Never Specially Serviced"))</f>
        <v/>
      </c>
      <c r="CF362" s="78">
        <f>IF($CE362="Currently Specially Serviced",1,0)</f>
        <v/>
      </c>
      <c r="CG362" s="76">
        <f>IF($AA362="Yes","Currently on Watchlist",IF($AA362="Previously","Previously on Watchlist","Never on Watchlist"))</f>
        <v/>
      </c>
      <c r="CH362" s="78">
        <f>IF($CG362="Currently on Watchlist",1,0)</f>
        <v/>
      </c>
      <c r="CI362" s="76">
        <f>IF($Z362="Full Defeasance","Fully Defeased",IF($Z362="Portion Of Loan Previously Defeased","Partially Defeased",IF($Z362="Defeasance Not Allowable","Not Defeased (Not Permitted)","Not Defeased")))</f>
        <v/>
      </c>
      <c r="CJ362" s="78">
        <f>IF($CI362="Fully Defeased",1,0)</f>
        <v/>
      </c>
      <c r="CK362" s="76">
        <f>IF($R362="IO","Full IO",IF(LEFT($R362&amp;"",7)="IO then","Partial IO","Amortizing"))</f>
        <v/>
      </c>
      <c r="CL362" s="78">
        <f>IF($CK362="Full IO",1,0)</f>
        <v/>
      </c>
      <c r="CM362" s="78">
        <f>IF($CK362="Partial IO",1,0)</f>
        <v/>
      </c>
      <c r="CN362" s="76">
        <f>IF(LEFT($F362&amp;"",10)="SPLIT_LOAN","Pari Passu Split","Standalone")</f>
        <v/>
      </c>
      <c r="CO362" s="78">
        <f>IF($CN362="Pari Passu Split",1,0)</f>
        <v/>
      </c>
      <c r="CP362" s="77">
        <f>IF(ISNUMBER($T362),YEAR($T362),"")</f>
        <v/>
      </c>
      <c r="CQ362" s="79">
        <f>IF(ISNUMBER($V362),$V362,IF(ISNUMBER($U362),$U362,""))</f>
        <v/>
      </c>
      <c r="CR362" s="77">
        <f>IF(ISNUMBER($CQ362),YEAR($CQ362),"")</f>
        <v/>
      </c>
      <c r="CS362" s="78">
        <f>IF(ISNUMBER($M362),MAX(0,$M362),IF(TRIM($M362&amp;"")="matured",0,""))</f>
        <v/>
      </c>
      <c r="CT362" s="78">
        <f>IF(AND(ISNUMBER($CS362),N($CS362)&lt;=mMatWindow),1,0)</f>
        <v/>
      </c>
      <c r="CU362" s="80">
        <f>IF(ISNUMBER($J362),$J362/100,"")</f>
        <v/>
      </c>
      <c r="CV362" s="81">
        <f>IF(ISNUMBER($AQ362),$AQ362,"")</f>
        <v/>
      </c>
      <c r="CW362" s="81">
        <f>IF(ISNUMBER($AR362),$AR362,"")</f>
        <v/>
      </c>
      <c r="CX362" s="82">
        <f>IF(ISNUMBER($AS362),$AS362/100,"")</f>
        <v/>
      </c>
      <c r="CY362" s="82">
        <f>IF(ISNUMBER($AT362),$AT362/100,"")</f>
        <v/>
      </c>
      <c r="CZ362" s="82">
        <f>IF(ISNUMBER($AU362),$AU362/100,"")</f>
        <v/>
      </c>
      <c r="DA362" s="82">
        <f>IF(ISNUMBER($AV362),$AV362/100,"")</f>
        <v/>
      </c>
      <c r="DB362" s="82">
        <f>IF(ISNUMBER($AW362),$AW362/100,"")</f>
        <v/>
      </c>
      <c r="DC362" s="82">
        <f>IF(ISNUMBER($AX362),$AX362/100,"")</f>
        <v/>
      </c>
      <c r="DD362" s="77">
        <f>IFERROR(VALUE(LEFT(TRIM($AO362&amp;""),4)),"")</f>
        <v/>
      </c>
      <c r="DE362" s="78">
        <f>IF(AND($BY362=1,$BX362=1,OR(fDeal="All Deals",$BU362=fDeal),OR(fEntity="All Entities",$BV362=fEntity),OR(fPType="All Property Types",$BZ362=fPType),OR(fDefeased="Include",$CJ362=0)),1,0)</f>
        <v/>
      </c>
      <c r="DF362" s="83">
        <f>$DE362*N($I362)</f>
        <v/>
      </c>
      <c r="DG362" s="78">
        <f>IF($DE362=1,IF(COUNTIFS($F$8:$F362,$F362,$DE$8:$DE362,1)=1,1,0),0)</f>
        <v/>
      </c>
      <c r="DH362" s="83">
        <f>IF($DG362=1,SUMIFS($DF$8:$DF$1600,$F$8:$F$1600,$F362),0)</f>
        <v/>
      </c>
      <c r="DI362" s="78">
        <f>IF($DG362=1,COUNTIFS($F$8:$F$1600,$F362,$DE$8:$DE$1600,1),0)</f>
        <v/>
      </c>
      <c r="DJ362" s="84">
        <f>IF($DG362=1,$DH362+(100000-ROW())/mTieBreak,0)</f>
        <v/>
      </c>
    </row>
    <row r="363">
      <c r="B363" s="68" t="n">
        <v>44</v>
      </c>
      <c r="C363" s="69" t="inlineStr">
        <is>
          <t>UBS18C08</t>
        </is>
      </c>
      <c r="D363" s="69" t="inlineStr">
        <is>
          <t>44.000</t>
        </is>
      </c>
      <c r="E363" s="69" t="inlineStr">
        <is>
          <t>WoodSpring Suites Baton Rouge Portfolio</t>
        </is>
      </c>
      <c r="F363" s="69" t="inlineStr">
        <is>
          <t>LNUBS18C08-44.000</t>
        </is>
      </c>
      <c r="G363" s="70" t="n"/>
      <c r="H363" s="71" t="n">
        <v>7500000</v>
      </c>
      <c r="I363" s="71" t="n">
        <v>0</v>
      </c>
      <c r="J363" s="72" t="n">
        <v>5.95</v>
      </c>
      <c r="K363" s="69" t="inlineStr">
        <is>
          <t>Fixed rate</t>
        </is>
      </c>
      <c r="L363" s="68" t="n">
        <v>60</v>
      </c>
      <c r="M363" s="68" t="n"/>
      <c r="N363" s="68" t="n">
        <v>300</v>
      </c>
      <c r="O363" s="68" t="n"/>
      <c r="P363" s="68" t="n"/>
      <c r="Q363" s="68" t="n"/>
      <c r="R363" s="69" t="n"/>
      <c r="S363" s="69" t="inlineStr">
        <is>
          <t>No</t>
        </is>
      </c>
      <c r="T363" s="73" t="n">
        <v>43132</v>
      </c>
      <c r="U363" s="73" t="n">
        <v>44958</v>
      </c>
      <c r="V363" s="73" t="n"/>
      <c r="W363" s="69" t="n"/>
      <c r="X363" s="69" t="inlineStr">
        <is>
          <t>Current</t>
        </is>
      </c>
      <c r="Y363" s="68" t="n"/>
      <c r="Z363" s="69" t="inlineStr">
        <is>
          <t>No Defeasance Occurred</t>
        </is>
      </c>
      <c r="AA363" s="69" t="inlineStr">
        <is>
          <t>Previously</t>
        </is>
      </c>
      <c r="AB363" s="69" t="inlineStr">
        <is>
          <t>Never special serv</t>
        </is>
      </c>
      <c r="AC363" s="73" t="n"/>
      <c r="AD363" s="69" t="n"/>
      <c r="AE363" s="69" t="n"/>
      <c r="AF363" s="69" t="inlineStr">
        <is>
          <t>LA</t>
        </is>
      </c>
      <c r="AG363" s="69" t="inlineStr">
        <is>
          <t>Baton Rouge</t>
        </is>
      </c>
      <c r="AH363" s="69" t="inlineStr">
        <is>
          <t>Baton Rouge, LA</t>
        </is>
      </c>
      <c r="AI363" s="69" t="inlineStr">
        <is>
          <t>South / Central West</t>
        </is>
      </c>
      <c r="AJ363" s="69" t="inlineStr">
        <is>
          <t>HT</t>
        </is>
      </c>
      <c r="AK363" s="69" t="inlineStr">
        <is>
          <t>Extended Stay</t>
        </is>
      </c>
      <c r="AL363" s="68" t="n">
        <v>2</v>
      </c>
      <c r="AM363" s="68" t="n">
        <v>242</v>
      </c>
      <c r="AN363" s="68" t="n"/>
      <c r="AO363" s="69" t="inlineStr">
        <is>
          <t>2010</t>
        </is>
      </c>
      <c r="AP363" s="70" t="n">
        <v>2016</v>
      </c>
      <c r="AQ363" s="74" t="n">
        <v>1.77</v>
      </c>
      <c r="AR363" s="74" t="n"/>
      <c r="AS363" s="74" t="n">
        <v>53.2</v>
      </c>
      <c r="AT363" s="74" t="n"/>
      <c r="AU363" s="74" t="n">
        <v>48.1</v>
      </c>
      <c r="AV363" s="74" t="n">
        <v>13.640762667</v>
      </c>
      <c r="AW363" s="74" t="n"/>
      <c r="AX363" s="75" t="n">
        <v>83</v>
      </c>
      <c r="AY363" s="71" t="n">
        <v>14100000</v>
      </c>
      <c r="AZ363" s="71" t="n">
        <v>14100000</v>
      </c>
      <c r="BA363" s="71" t="n">
        <v>1023057.2</v>
      </c>
      <c r="BB363" s="71" t="n">
        <v>349198.17</v>
      </c>
      <c r="BC363" s="69" t="inlineStr">
        <is>
          <t>Refinance</t>
        </is>
      </c>
      <c r="BD363" s="69" t="inlineStr">
        <is>
          <t>N</t>
        </is>
      </c>
      <c r="BE363" s="71" t="n"/>
      <c r="BF363" s="71" t="n"/>
      <c r="BG363" s="71" t="n"/>
      <c r="BH363" s="71" t="n">
        <v>0</v>
      </c>
      <c r="BI363" s="71" t="n">
        <v>0</v>
      </c>
      <c r="BJ363" s="69" t="inlineStr">
        <is>
          <t>N</t>
        </is>
      </c>
      <c r="BK363" s="69" t="n"/>
      <c r="BL363" s="75" t="n"/>
      <c r="BM363" s="73" t="n"/>
      <c r="BN363" s="69" t="inlineStr">
        <is>
          <t>P. Carter Rise</t>
        </is>
      </c>
      <c r="BO363" s="69" t="inlineStr">
        <is>
          <t>CIBC</t>
        </is>
      </c>
      <c r="BP363" s="69" t="inlineStr">
        <is>
          <t>Midland Loan Services</t>
        </is>
      </c>
      <c r="BQ363" s="69" t="inlineStr">
        <is>
          <t>Midland Loan Services</t>
        </is>
      </c>
      <c r="BR363" s="69" t="inlineStr">
        <is>
          <t>Payoff Prior To Maturity</t>
        </is>
      </c>
      <c r="BS363" s="73" t="n">
        <v>44970</v>
      </c>
      <c r="BU363" s="76">
        <f>IF($C363="","",IFERROR(INDEX(dmName,MATCH($C363,dmID,0)),"Unmapped"))</f>
        <v/>
      </c>
      <c r="BV363" s="76">
        <f>IF($C363="","",IFERROR(INDEX(dmEntity,MATCH($C363,dmID,0)),"Unmapped"))</f>
        <v/>
      </c>
      <c r="BW363" s="77">
        <f>IF($C363="","",IFERROR(INDEX(dmVintage,MATCH($C363,dmID,0)),""))</f>
        <v/>
      </c>
      <c r="BX363" s="78">
        <f>IFERROR(INDEX(dmInclude,MATCH($C363,dmID,0)),0)</f>
        <v/>
      </c>
      <c r="BY363" s="78">
        <f>IF(N($I363)&gt;0,1,0)</f>
        <v/>
      </c>
      <c r="BZ363" s="76">
        <f>IF($AJ363="","Other / Leased Fee",IFERROR(INDEX(mapPTGroup,MATCH(LEFT(TRIM($AJ363),2),mapPTCode,0)),"Other / Leased Fee"))</f>
        <v/>
      </c>
      <c r="CA363" s="76">
        <f>IF(TRIM($AF363&amp;"")="","NR",LEFT(TRIM($AF363),2))</f>
        <v/>
      </c>
      <c r="CB363" s="76">
        <f>IFERROR(LOOKUP(2,1/(LEFT(TRIM($AI363&amp;""),LEN(mapRegion))=mapRegion),mapRegion),"Not Reported")</f>
        <v/>
      </c>
      <c r="CC363" s="76">
        <f>IF($BY363=0,"",IF(TRIM($W363&amp;"")="REO","REO",IF(TRIM($W363&amp;"")="FC","Foreclosure",IF(TRIM($W363&amp;"")="90+","90+ Days Delinquent",IF(TRIM($W363&amp;"")="60","60 Days Delinquent",IF(TRIM($W363&amp;"")="30","30 Days Delinquent",IF($X363="Non-Performing Matured Balloon","Non-Performing Matured Balloon",IF(OR($X363="Late Payment But Less Than 30 Days Delinquent",LEFT($X363&amp;"",20)="Payment Not Received"),"Late / In Grace (&lt;30 Days)",IF($X363="Performing Matured Balloon","Performing Matured Balloon","Current")))))))))</f>
        <v/>
      </c>
      <c r="CD363" s="78">
        <f>IF(OR($CC363="REO",$CC363="Foreclosure",$CC363="90+ Days Delinquent",$CC363="60 Days Delinquent",$CC363="30 Days Delinquent",$CC363="Non-Performing Matured Balloon"),1,0)</f>
        <v/>
      </c>
      <c r="CE363" s="76">
        <f>IF($AB363="Currently special serv","Currently Specially Serviced",IF($AB363="Returned to master serv","Previously Specially Serviced","Never Specially Serviced"))</f>
        <v/>
      </c>
      <c r="CF363" s="78">
        <f>IF($CE363="Currently Specially Serviced",1,0)</f>
        <v/>
      </c>
      <c r="CG363" s="76">
        <f>IF($AA363="Yes","Currently on Watchlist",IF($AA363="Previously","Previously on Watchlist","Never on Watchlist"))</f>
        <v/>
      </c>
      <c r="CH363" s="78">
        <f>IF($CG363="Currently on Watchlist",1,0)</f>
        <v/>
      </c>
      <c r="CI363" s="76">
        <f>IF($Z363="Full Defeasance","Fully Defeased",IF($Z363="Portion Of Loan Previously Defeased","Partially Defeased",IF($Z363="Defeasance Not Allowable","Not Defeased (Not Permitted)","Not Defeased")))</f>
        <v/>
      </c>
      <c r="CJ363" s="78">
        <f>IF($CI363="Fully Defeased",1,0)</f>
        <v/>
      </c>
      <c r="CK363" s="76">
        <f>IF($R363="IO","Full IO",IF(LEFT($R363&amp;"",7)="IO then","Partial IO","Amortizing"))</f>
        <v/>
      </c>
      <c r="CL363" s="78">
        <f>IF($CK363="Full IO",1,0)</f>
        <v/>
      </c>
      <c r="CM363" s="78">
        <f>IF($CK363="Partial IO",1,0)</f>
        <v/>
      </c>
      <c r="CN363" s="76">
        <f>IF(LEFT($F363&amp;"",10)="SPLIT_LOAN","Pari Passu Split","Standalone")</f>
        <v/>
      </c>
      <c r="CO363" s="78">
        <f>IF($CN363="Pari Passu Split",1,0)</f>
        <v/>
      </c>
      <c r="CP363" s="77">
        <f>IF(ISNUMBER($T363),YEAR($T363),"")</f>
        <v/>
      </c>
      <c r="CQ363" s="79">
        <f>IF(ISNUMBER($V363),$V363,IF(ISNUMBER($U363),$U363,""))</f>
        <v/>
      </c>
      <c r="CR363" s="77">
        <f>IF(ISNUMBER($CQ363),YEAR($CQ363),"")</f>
        <v/>
      </c>
      <c r="CS363" s="78">
        <f>IF(ISNUMBER($M363),MAX(0,$M363),IF(TRIM($M363&amp;"")="matured",0,""))</f>
        <v/>
      </c>
      <c r="CT363" s="78">
        <f>IF(AND(ISNUMBER($CS363),N($CS363)&lt;=mMatWindow),1,0)</f>
        <v/>
      </c>
      <c r="CU363" s="80">
        <f>IF(ISNUMBER($J363),$J363/100,"")</f>
        <v/>
      </c>
      <c r="CV363" s="81">
        <f>IF(ISNUMBER($AQ363),$AQ363,"")</f>
        <v/>
      </c>
      <c r="CW363" s="81">
        <f>IF(ISNUMBER($AR363),$AR363,"")</f>
        <v/>
      </c>
      <c r="CX363" s="82">
        <f>IF(ISNUMBER($AS363),$AS363/100,"")</f>
        <v/>
      </c>
      <c r="CY363" s="82">
        <f>IF(ISNUMBER($AT363),$AT363/100,"")</f>
        <v/>
      </c>
      <c r="CZ363" s="82">
        <f>IF(ISNUMBER($AU363),$AU363/100,"")</f>
        <v/>
      </c>
      <c r="DA363" s="82">
        <f>IF(ISNUMBER($AV363),$AV363/100,"")</f>
        <v/>
      </c>
      <c r="DB363" s="82">
        <f>IF(ISNUMBER($AW363),$AW363/100,"")</f>
        <v/>
      </c>
      <c r="DC363" s="82">
        <f>IF(ISNUMBER($AX363),$AX363/100,"")</f>
        <v/>
      </c>
      <c r="DD363" s="77">
        <f>IFERROR(VALUE(LEFT(TRIM($AO363&amp;""),4)),"")</f>
        <v/>
      </c>
      <c r="DE363" s="78">
        <f>IF(AND($BY363=1,$BX363=1,OR(fDeal="All Deals",$BU363=fDeal),OR(fEntity="All Entities",$BV363=fEntity),OR(fPType="All Property Types",$BZ363=fPType),OR(fDefeased="Include",$CJ363=0)),1,0)</f>
        <v/>
      </c>
      <c r="DF363" s="83">
        <f>$DE363*N($I363)</f>
        <v/>
      </c>
      <c r="DG363" s="78">
        <f>IF($DE363=1,IF(COUNTIFS($F$8:$F363,$F363,$DE$8:$DE363,1)=1,1,0),0)</f>
        <v/>
      </c>
      <c r="DH363" s="83">
        <f>IF($DG363=1,SUMIFS($DF$8:$DF$1600,$F$8:$F$1600,$F363),0)</f>
        <v/>
      </c>
      <c r="DI363" s="78">
        <f>IF($DG363=1,COUNTIFS($F$8:$F$1600,$F363,$DE$8:$DE$1600,1),0)</f>
        <v/>
      </c>
      <c r="DJ363" s="84">
        <f>IF($DG363=1,$DH363+(100000-ROW())/mTieBreak,0)</f>
        <v/>
      </c>
    </row>
    <row r="364">
      <c r="B364" s="68" t="n">
        <v>45</v>
      </c>
      <c r="C364" s="69" t="inlineStr">
        <is>
          <t>UBS18C08</t>
        </is>
      </c>
      <c r="D364" s="69" t="inlineStr">
        <is>
          <t>45.000</t>
        </is>
      </c>
      <c r="E364" s="69" t="inlineStr">
        <is>
          <t>Shoppes Marketplace at Saxony</t>
        </is>
      </c>
      <c r="F364" s="69" t="inlineStr">
        <is>
          <t>LNUBS18C08-45.000</t>
        </is>
      </c>
      <c r="G364" s="70" t="n"/>
      <c r="H364" s="71" t="n">
        <v>7500000</v>
      </c>
      <c r="I364" s="71" t="n">
        <v>0</v>
      </c>
      <c r="J364" s="72" t="n">
        <v>4.669</v>
      </c>
      <c r="K364" s="69" t="inlineStr">
        <is>
          <t>Fixed rate</t>
        </is>
      </c>
      <c r="L364" s="68" t="n">
        <v>120</v>
      </c>
      <c r="M364" s="68" t="n"/>
      <c r="N364" s="68" t="n">
        <v>384</v>
      </c>
      <c r="O364" s="68" t="n">
        <v>24</v>
      </c>
      <c r="P364" s="68" t="n"/>
      <c r="Q364" s="68" t="n"/>
      <c r="R364" s="69" t="inlineStr">
        <is>
          <t>IO then Amort</t>
        </is>
      </c>
      <c r="S364" s="69" t="inlineStr">
        <is>
          <t>No</t>
        </is>
      </c>
      <c r="T364" s="73" t="n">
        <v>43101</v>
      </c>
      <c r="U364" s="73" t="n">
        <v>46758</v>
      </c>
      <c r="V364" s="73" t="n"/>
      <c r="W364" s="69" t="n"/>
      <c r="X364" s="69" t="inlineStr">
        <is>
          <t>Current</t>
        </is>
      </c>
      <c r="Y364" s="68" t="n"/>
      <c r="Z364" s="69" t="inlineStr">
        <is>
          <t>Defeasance Not Allowable</t>
        </is>
      </c>
      <c r="AA364" s="69" t="n"/>
      <c r="AB364" s="69" t="inlineStr">
        <is>
          <t>Never special serv</t>
        </is>
      </c>
      <c r="AC364" s="73" t="n"/>
      <c r="AD364" s="69" t="n"/>
      <c r="AE364" s="69" t="n"/>
      <c r="AF364" s="69" t="inlineStr">
        <is>
          <t>IN</t>
        </is>
      </c>
      <c r="AG364" s="69" t="inlineStr">
        <is>
          <t>Noblesville</t>
        </is>
      </c>
      <c r="AH364" s="69" t="inlineStr">
        <is>
          <t>Indianapolis-Carmel-Greenwood, IN</t>
        </is>
      </c>
      <c r="AI364" s="69" t="inlineStr">
        <is>
          <t>Midwest / Central East</t>
        </is>
      </c>
      <c r="AJ364" s="69" t="inlineStr">
        <is>
          <t>RT</t>
        </is>
      </c>
      <c r="AK364" s="69" t="inlineStr">
        <is>
          <t>Shadow Anchored</t>
        </is>
      </c>
      <c r="AL364" s="68" t="n">
        <v>1</v>
      </c>
      <c r="AM364" s="68" t="n"/>
      <c r="AN364" s="68" t="n">
        <v>21155</v>
      </c>
      <c r="AO364" s="69" t="inlineStr">
        <is>
          <t>2017</t>
        </is>
      </c>
      <c r="AP364" s="70" t="n">
        <v>2017</v>
      </c>
      <c r="AQ364" s="74" t="n">
        <v>1.53</v>
      </c>
      <c r="AR364" s="74" t="n">
        <v>1.2</v>
      </c>
      <c r="AS364" s="74" t="n">
        <v>60.5</v>
      </c>
      <c r="AT364" s="74" t="n"/>
      <c r="AU364" s="74" t="n">
        <v>51.9</v>
      </c>
      <c r="AV364" s="74" t="n">
        <v>9.478746666999999</v>
      </c>
      <c r="AW364" s="74" t="n"/>
      <c r="AX364" s="75" t="n">
        <v>100</v>
      </c>
      <c r="AY364" s="71" t="n">
        <v>12400000</v>
      </c>
      <c r="AZ364" s="71" t="n">
        <v>12400000</v>
      </c>
      <c r="BA364" s="71" t="n">
        <v>710906</v>
      </c>
      <c r="BB364" s="71" t="n">
        <v>556019.96</v>
      </c>
      <c r="BC364" s="69" t="inlineStr">
        <is>
          <t>Refinance</t>
        </is>
      </c>
      <c r="BD364" s="69" t="inlineStr">
        <is>
          <t>N</t>
        </is>
      </c>
      <c r="BE364" s="71" t="n"/>
      <c r="BF364" s="71" t="n"/>
      <c r="BG364" s="71" t="n"/>
      <c r="BH364" s="71" t="n">
        <v>0</v>
      </c>
      <c r="BI364" s="71" t="n">
        <v>0</v>
      </c>
      <c r="BJ364" s="69" t="inlineStr">
        <is>
          <t>N</t>
        </is>
      </c>
      <c r="BK364" s="69" t="inlineStr">
        <is>
          <t>Panera Bread</t>
        </is>
      </c>
      <c r="BL364" s="75" t="n">
        <v>20.27</v>
      </c>
      <c r="BM364" s="73" t="n">
        <v>46387</v>
      </c>
      <c r="BN364" s="69" t="inlineStr">
        <is>
          <t>R.L. Arnos; Lawrence Moon</t>
        </is>
      </c>
      <c r="BO364" s="69" t="inlineStr">
        <is>
          <t>Cantor Commercial Real Estate Lending</t>
        </is>
      </c>
      <c r="BP364" s="69" t="inlineStr">
        <is>
          <t>Midland Loan Services</t>
        </is>
      </c>
      <c r="BQ364" s="69" t="inlineStr">
        <is>
          <t>Midland Loan Services</t>
        </is>
      </c>
      <c r="BR364" s="69" t="inlineStr">
        <is>
          <t>Payoff With Penalty</t>
        </is>
      </c>
      <c r="BS364" s="73" t="n">
        <v>44784</v>
      </c>
      <c r="BU364" s="76">
        <f>IF($C364="","",IFERROR(INDEX(dmName,MATCH($C364,dmID,0)),"Unmapped"))</f>
        <v/>
      </c>
      <c r="BV364" s="76">
        <f>IF($C364="","",IFERROR(INDEX(dmEntity,MATCH($C364,dmID,0)),"Unmapped"))</f>
        <v/>
      </c>
      <c r="BW364" s="77">
        <f>IF($C364="","",IFERROR(INDEX(dmVintage,MATCH($C364,dmID,0)),""))</f>
        <v/>
      </c>
      <c r="BX364" s="78">
        <f>IFERROR(INDEX(dmInclude,MATCH($C364,dmID,0)),0)</f>
        <v/>
      </c>
      <c r="BY364" s="78">
        <f>IF(N($I364)&gt;0,1,0)</f>
        <v/>
      </c>
      <c r="BZ364" s="76">
        <f>IF($AJ364="","Other / Leased Fee",IFERROR(INDEX(mapPTGroup,MATCH(LEFT(TRIM($AJ364),2),mapPTCode,0)),"Other / Leased Fee"))</f>
        <v/>
      </c>
      <c r="CA364" s="76">
        <f>IF(TRIM($AF364&amp;"")="","NR",LEFT(TRIM($AF364),2))</f>
        <v/>
      </c>
      <c r="CB364" s="76">
        <f>IFERROR(LOOKUP(2,1/(LEFT(TRIM($AI364&amp;""),LEN(mapRegion))=mapRegion),mapRegion),"Not Reported")</f>
        <v/>
      </c>
      <c r="CC364" s="76">
        <f>IF($BY364=0,"",IF(TRIM($W364&amp;"")="REO","REO",IF(TRIM($W364&amp;"")="FC","Foreclosure",IF(TRIM($W364&amp;"")="90+","90+ Days Delinquent",IF(TRIM($W364&amp;"")="60","60 Days Delinquent",IF(TRIM($W364&amp;"")="30","30 Days Delinquent",IF($X364="Non-Performing Matured Balloon","Non-Performing Matured Balloon",IF(OR($X364="Late Payment But Less Than 30 Days Delinquent",LEFT($X364&amp;"",20)="Payment Not Received"),"Late / In Grace (&lt;30 Days)",IF($X364="Performing Matured Balloon","Performing Matured Balloon","Current")))))))))</f>
        <v/>
      </c>
      <c r="CD364" s="78">
        <f>IF(OR($CC364="REO",$CC364="Foreclosure",$CC364="90+ Days Delinquent",$CC364="60 Days Delinquent",$CC364="30 Days Delinquent",$CC364="Non-Performing Matured Balloon"),1,0)</f>
        <v/>
      </c>
      <c r="CE364" s="76">
        <f>IF($AB364="Currently special serv","Currently Specially Serviced",IF($AB364="Returned to master serv","Previously Specially Serviced","Never Specially Serviced"))</f>
        <v/>
      </c>
      <c r="CF364" s="78">
        <f>IF($CE364="Currently Specially Serviced",1,0)</f>
        <v/>
      </c>
      <c r="CG364" s="76">
        <f>IF($AA364="Yes","Currently on Watchlist",IF($AA364="Previously","Previously on Watchlist","Never on Watchlist"))</f>
        <v/>
      </c>
      <c r="CH364" s="78">
        <f>IF($CG364="Currently on Watchlist",1,0)</f>
        <v/>
      </c>
      <c r="CI364" s="76">
        <f>IF($Z364="Full Defeasance","Fully Defeased",IF($Z364="Portion Of Loan Previously Defeased","Partially Defeased",IF($Z364="Defeasance Not Allowable","Not Defeased (Not Permitted)","Not Defeased")))</f>
        <v/>
      </c>
      <c r="CJ364" s="78">
        <f>IF($CI364="Fully Defeased",1,0)</f>
        <v/>
      </c>
      <c r="CK364" s="76">
        <f>IF($R364="IO","Full IO",IF(LEFT($R364&amp;"",7)="IO then","Partial IO","Amortizing"))</f>
        <v/>
      </c>
      <c r="CL364" s="78">
        <f>IF($CK364="Full IO",1,0)</f>
        <v/>
      </c>
      <c r="CM364" s="78">
        <f>IF($CK364="Partial IO",1,0)</f>
        <v/>
      </c>
      <c r="CN364" s="76">
        <f>IF(LEFT($F364&amp;"",10)="SPLIT_LOAN","Pari Passu Split","Standalone")</f>
        <v/>
      </c>
      <c r="CO364" s="78">
        <f>IF($CN364="Pari Passu Split",1,0)</f>
        <v/>
      </c>
      <c r="CP364" s="77">
        <f>IF(ISNUMBER($T364),YEAR($T364),"")</f>
        <v/>
      </c>
      <c r="CQ364" s="79">
        <f>IF(ISNUMBER($V364),$V364,IF(ISNUMBER($U364),$U364,""))</f>
        <v/>
      </c>
      <c r="CR364" s="77">
        <f>IF(ISNUMBER($CQ364),YEAR($CQ364),"")</f>
        <v/>
      </c>
      <c r="CS364" s="78">
        <f>IF(ISNUMBER($M364),MAX(0,$M364),IF(TRIM($M364&amp;"")="matured",0,""))</f>
        <v/>
      </c>
      <c r="CT364" s="78">
        <f>IF(AND(ISNUMBER($CS364),N($CS364)&lt;=mMatWindow),1,0)</f>
        <v/>
      </c>
      <c r="CU364" s="80">
        <f>IF(ISNUMBER($J364),$J364/100,"")</f>
        <v/>
      </c>
      <c r="CV364" s="81">
        <f>IF(ISNUMBER($AQ364),$AQ364,"")</f>
        <v/>
      </c>
      <c r="CW364" s="81">
        <f>IF(ISNUMBER($AR364),$AR364,"")</f>
        <v/>
      </c>
      <c r="CX364" s="82">
        <f>IF(ISNUMBER($AS364),$AS364/100,"")</f>
        <v/>
      </c>
      <c r="CY364" s="82">
        <f>IF(ISNUMBER($AT364),$AT364/100,"")</f>
        <v/>
      </c>
      <c r="CZ364" s="82">
        <f>IF(ISNUMBER($AU364),$AU364/100,"")</f>
        <v/>
      </c>
      <c r="DA364" s="82">
        <f>IF(ISNUMBER($AV364),$AV364/100,"")</f>
        <v/>
      </c>
      <c r="DB364" s="82">
        <f>IF(ISNUMBER($AW364),$AW364/100,"")</f>
        <v/>
      </c>
      <c r="DC364" s="82">
        <f>IF(ISNUMBER($AX364),$AX364/100,"")</f>
        <v/>
      </c>
      <c r="DD364" s="77">
        <f>IFERROR(VALUE(LEFT(TRIM($AO364&amp;""),4)),"")</f>
        <v/>
      </c>
      <c r="DE364" s="78">
        <f>IF(AND($BY364=1,$BX364=1,OR(fDeal="All Deals",$BU364=fDeal),OR(fEntity="All Entities",$BV364=fEntity),OR(fPType="All Property Types",$BZ364=fPType),OR(fDefeased="Include",$CJ364=0)),1,0)</f>
        <v/>
      </c>
      <c r="DF364" s="83">
        <f>$DE364*N($I364)</f>
        <v/>
      </c>
      <c r="DG364" s="78">
        <f>IF($DE364=1,IF(COUNTIFS($F$8:$F364,$F364,$DE$8:$DE364,1)=1,1,0),0)</f>
        <v/>
      </c>
      <c r="DH364" s="83">
        <f>IF($DG364=1,SUMIFS($DF$8:$DF$1600,$F$8:$F$1600,$F364),0)</f>
        <v/>
      </c>
      <c r="DI364" s="78">
        <f>IF($DG364=1,COUNTIFS($F$8:$F$1600,$F364,$DE$8:$DE$1600,1),0)</f>
        <v/>
      </c>
      <c r="DJ364" s="84">
        <f>IF($DG364=1,$DH364+(100000-ROW())/mTieBreak,0)</f>
        <v/>
      </c>
    </row>
    <row r="365">
      <c r="B365" s="68" t="n">
        <v>46</v>
      </c>
      <c r="C365" s="69" t="inlineStr">
        <is>
          <t>UBS18C08</t>
        </is>
      </c>
      <c r="D365" s="69" t="inlineStr">
        <is>
          <t>46.000</t>
        </is>
      </c>
      <c r="E365" s="69" t="inlineStr">
        <is>
          <t>Birches at Countryside</t>
        </is>
      </c>
      <c r="F365" s="69" t="inlineStr">
        <is>
          <t>LNUBS18C08-46.000</t>
        </is>
      </c>
      <c r="G365" s="70" t="n"/>
      <c r="H365" s="71" t="n">
        <v>7312500</v>
      </c>
      <c r="I365" s="71" t="n">
        <v>6752439.790002562</v>
      </c>
      <c r="J365" s="72" t="n">
        <v>4.655</v>
      </c>
      <c r="K365" s="69" t="inlineStr">
        <is>
          <t>Fixed rate</t>
        </is>
      </c>
      <c r="L365" s="68" t="n">
        <v>120</v>
      </c>
      <c r="M365" s="68" t="n">
        <v>16</v>
      </c>
      <c r="N365" s="68" t="n">
        <v>408</v>
      </c>
      <c r="O365" s="68" t="n">
        <v>48</v>
      </c>
      <c r="P365" s="68" t="n">
        <v>0</v>
      </c>
      <c r="Q365" s="68" t="n">
        <v>104</v>
      </c>
      <c r="R365" s="69" t="inlineStr">
        <is>
          <t>IO then Amort</t>
        </is>
      </c>
      <c r="S365" s="69" t="inlineStr">
        <is>
          <t>No</t>
        </is>
      </c>
      <c r="T365" s="73" t="n">
        <v>43101</v>
      </c>
      <c r="U365" s="73" t="n">
        <v>46758</v>
      </c>
      <c r="V365" s="73" t="n"/>
      <c r="W365" s="69" t="n"/>
      <c r="X365" s="69" t="inlineStr">
        <is>
          <t>Current</t>
        </is>
      </c>
      <c r="Y365" s="68" t="n"/>
      <c r="Z365" s="69" t="inlineStr">
        <is>
          <t>Full Defeasance</t>
        </is>
      </c>
      <c r="AA365" s="69" t="n"/>
      <c r="AB365" s="69" t="inlineStr">
        <is>
          <t>Never special serv</t>
        </is>
      </c>
      <c r="AC365" s="73" t="n"/>
      <c r="AD365" s="69" t="n"/>
      <c r="AE365" s="69" t="n"/>
      <c r="AF365" s="69" t="inlineStr">
        <is>
          <t>TN</t>
        </is>
      </c>
      <c r="AG365" s="69" t="inlineStr">
        <is>
          <t>Memphis</t>
        </is>
      </c>
      <c r="AH365" s="69" t="inlineStr">
        <is>
          <t>Memphis, TN-MS-AR</t>
        </is>
      </c>
      <c r="AI365" s="69" t="inlineStr">
        <is>
          <t>South / Central East</t>
        </is>
      </c>
      <c r="AJ365" s="69" t="inlineStr">
        <is>
          <t>MF</t>
        </is>
      </c>
      <c r="AK365" s="69" t="inlineStr">
        <is>
          <t>Garden</t>
        </is>
      </c>
      <c r="AL365" s="68" t="n">
        <v>1</v>
      </c>
      <c r="AM365" s="68" t="n">
        <v>122</v>
      </c>
      <c r="AN365" s="68" t="n"/>
      <c r="AO365" s="69" t="inlineStr">
        <is>
          <t>1985</t>
        </is>
      </c>
      <c r="AP365" s="70" t="n">
        <v>1985</v>
      </c>
      <c r="AQ365" s="74" t="n">
        <v>1.47</v>
      </c>
      <c r="AR365" s="74" t="n">
        <v>2.48</v>
      </c>
      <c r="AS365" s="74" t="n">
        <v>72.8</v>
      </c>
      <c r="AT365" s="74" t="n">
        <v>67.19</v>
      </c>
      <c r="AU365" s="74" t="n">
        <v>65.40000000000001</v>
      </c>
      <c r="AV365" s="74" t="n">
        <v>9.100816</v>
      </c>
      <c r="AW365" s="74" t="n">
        <v>12.67048958</v>
      </c>
      <c r="AX365" s="75" t="n">
        <v>96</v>
      </c>
      <c r="AY365" s="71" t="n">
        <v>10050000</v>
      </c>
      <c r="AZ365" s="71" t="n">
        <v>10050000</v>
      </c>
      <c r="BA365" s="71" t="n">
        <v>665497.17</v>
      </c>
      <c r="BB365" s="71" t="n">
        <v>855567.1800000001</v>
      </c>
      <c r="BC365" s="69" t="inlineStr">
        <is>
          <t>Acquisition</t>
        </is>
      </c>
      <c r="BD365" s="69" t="inlineStr">
        <is>
          <t>N</t>
        </is>
      </c>
      <c r="BE365" s="71" t="n"/>
      <c r="BF365" s="71" t="n"/>
      <c r="BG365" s="71" t="n"/>
      <c r="BH365" s="71" t="n">
        <v>0</v>
      </c>
      <c r="BI365" s="71" t="n">
        <v>0</v>
      </c>
      <c r="BJ365" s="69" t="inlineStr">
        <is>
          <t>N</t>
        </is>
      </c>
      <c r="BK365" s="69" t="n"/>
      <c r="BL365" s="75" t="n"/>
      <c r="BM365" s="73" t="n"/>
      <c r="BN365" s="69" t="inlineStr">
        <is>
          <t>William A. Butler; Daniel W. Anderson; Sr., Stephen L. Butler; Phyllis Kelsey-Greene; Thomas Michael Johnson; Robert E. Nesbitt; Michael Spiker; William Matthew Butler</t>
        </is>
      </c>
      <c r="BO365" s="69" t="inlineStr">
        <is>
          <t>Ladder Capital Finance</t>
        </is>
      </c>
      <c r="BP365" s="69" t="inlineStr">
        <is>
          <t>Midland Loan Services</t>
        </is>
      </c>
      <c r="BQ365" s="69" t="inlineStr">
        <is>
          <t>Midland Loan Services</t>
        </is>
      </c>
      <c r="BR365" s="69" t="n"/>
      <c r="BS365" s="73" t="n">
        <v>46276</v>
      </c>
      <c r="BU365" s="76">
        <f>IF($C365="","",IFERROR(INDEX(dmName,MATCH($C365,dmID,0)),"Unmapped"))</f>
        <v/>
      </c>
      <c r="BV365" s="76">
        <f>IF($C365="","",IFERROR(INDEX(dmEntity,MATCH($C365,dmID,0)),"Unmapped"))</f>
        <v/>
      </c>
      <c r="BW365" s="77">
        <f>IF($C365="","",IFERROR(INDEX(dmVintage,MATCH($C365,dmID,0)),""))</f>
        <v/>
      </c>
      <c r="BX365" s="78">
        <f>IFERROR(INDEX(dmInclude,MATCH($C365,dmID,0)),0)</f>
        <v/>
      </c>
      <c r="BY365" s="78">
        <f>IF(N($I365)&gt;0,1,0)</f>
        <v/>
      </c>
      <c r="BZ365" s="76">
        <f>IF($AJ365="","Other / Leased Fee",IFERROR(INDEX(mapPTGroup,MATCH(LEFT(TRIM($AJ365),2),mapPTCode,0)),"Other / Leased Fee"))</f>
        <v/>
      </c>
      <c r="CA365" s="76">
        <f>IF(TRIM($AF365&amp;"")="","NR",LEFT(TRIM($AF365),2))</f>
        <v/>
      </c>
      <c r="CB365" s="76">
        <f>IFERROR(LOOKUP(2,1/(LEFT(TRIM($AI365&amp;""),LEN(mapRegion))=mapRegion),mapRegion),"Not Reported")</f>
        <v/>
      </c>
      <c r="CC365" s="76">
        <f>IF($BY365=0,"",IF(TRIM($W365&amp;"")="REO","REO",IF(TRIM($W365&amp;"")="FC","Foreclosure",IF(TRIM($W365&amp;"")="90+","90+ Days Delinquent",IF(TRIM($W365&amp;"")="60","60 Days Delinquent",IF(TRIM($W365&amp;"")="30","30 Days Delinquent",IF($X365="Non-Performing Matured Balloon","Non-Performing Matured Balloon",IF(OR($X365="Late Payment But Less Than 30 Days Delinquent",LEFT($X365&amp;"",20)="Payment Not Received"),"Late / In Grace (&lt;30 Days)",IF($X365="Performing Matured Balloon","Performing Matured Balloon","Current")))))))))</f>
        <v/>
      </c>
      <c r="CD365" s="78">
        <f>IF(OR($CC365="REO",$CC365="Foreclosure",$CC365="90+ Days Delinquent",$CC365="60 Days Delinquent",$CC365="30 Days Delinquent",$CC365="Non-Performing Matured Balloon"),1,0)</f>
        <v/>
      </c>
      <c r="CE365" s="76">
        <f>IF($AB365="Currently special serv","Currently Specially Serviced",IF($AB365="Returned to master serv","Previously Specially Serviced","Never Specially Serviced"))</f>
        <v/>
      </c>
      <c r="CF365" s="78">
        <f>IF($CE365="Currently Specially Serviced",1,0)</f>
        <v/>
      </c>
      <c r="CG365" s="76">
        <f>IF($AA365="Yes","Currently on Watchlist",IF($AA365="Previously","Previously on Watchlist","Never on Watchlist"))</f>
        <v/>
      </c>
      <c r="CH365" s="78">
        <f>IF($CG365="Currently on Watchlist",1,0)</f>
        <v/>
      </c>
      <c r="CI365" s="76">
        <f>IF($Z365="Full Defeasance","Fully Defeased",IF($Z365="Portion Of Loan Previously Defeased","Partially Defeased",IF($Z365="Defeasance Not Allowable","Not Defeased (Not Permitted)","Not Defeased")))</f>
        <v/>
      </c>
      <c r="CJ365" s="78">
        <f>IF($CI365="Fully Defeased",1,0)</f>
        <v/>
      </c>
      <c r="CK365" s="76">
        <f>IF($R365="IO","Full IO",IF(LEFT($R365&amp;"",7)="IO then","Partial IO","Amortizing"))</f>
        <v/>
      </c>
      <c r="CL365" s="78">
        <f>IF($CK365="Full IO",1,0)</f>
        <v/>
      </c>
      <c r="CM365" s="78">
        <f>IF($CK365="Partial IO",1,0)</f>
        <v/>
      </c>
      <c r="CN365" s="76">
        <f>IF(LEFT($F365&amp;"",10)="SPLIT_LOAN","Pari Passu Split","Standalone")</f>
        <v/>
      </c>
      <c r="CO365" s="78">
        <f>IF($CN365="Pari Passu Split",1,0)</f>
        <v/>
      </c>
      <c r="CP365" s="77">
        <f>IF(ISNUMBER($T365),YEAR($T365),"")</f>
        <v/>
      </c>
      <c r="CQ365" s="79">
        <f>IF(ISNUMBER($V365),$V365,IF(ISNUMBER($U365),$U365,""))</f>
        <v/>
      </c>
      <c r="CR365" s="77">
        <f>IF(ISNUMBER($CQ365),YEAR($CQ365),"")</f>
        <v/>
      </c>
      <c r="CS365" s="78">
        <f>IF(ISNUMBER($M365),MAX(0,$M365),IF(TRIM($M365&amp;"")="matured",0,""))</f>
        <v/>
      </c>
      <c r="CT365" s="78">
        <f>IF(AND(ISNUMBER($CS365),N($CS365)&lt;=mMatWindow),1,0)</f>
        <v/>
      </c>
      <c r="CU365" s="80">
        <f>IF(ISNUMBER($J365),$J365/100,"")</f>
        <v/>
      </c>
      <c r="CV365" s="81">
        <f>IF(ISNUMBER($AQ365),$AQ365,"")</f>
        <v/>
      </c>
      <c r="CW365" s="81">
        <f>IF(ISNUMBER($AR365),$AR365,"")</f>
        <v/>
      </c>
      <c r="CX365" s="82">
        <f>IF(ISNUMBER($AS365),$AS365/100,"")</f>
        <v/>
      </c>
      <c r="CY365" s="82">
        <f>IF(ISNUMBER($AT365),$AT365/100,"")</f>
        <v/>
      </c>
      <c r="CZ365" s="82">
        <f>IF(ISNUMBER($AU365),$AU365/100,"")</f>
        <v/>
      </c>
      <c r="DA365" s="82">
        <f>IF(ISNUMBER($AV365),$AV365/100,"")</f>
        <v/>
      </c>
      <c r="DB365" s="82">
        <f>IF(ISNUMBER($AW365),$AW365/100,"")</f>
        <v/>
      </c>
      <c r="DC365" s="82">
        <f>IF(ISNUMBER($AX365),$AX365/100,"")</f>
        <v/>
      </c>
      <c r="DD365" s="77">
        <f>IFERROR(VALUE(LEFT(TRIM($AO365&amp;""),4)),"")</f>
        <v/>
      </c>
      <c r="DE365" s="78">
        <f>IF(AND($BY365=1,$BX365=1,OR(fDeal="All Deals",$BU365=fDeal),OR(fEntity="All Entities",$BV365=fEntity),OR(fPType="All Property Types",$BZ365=fPType),OR(fDefeased="Include",$CJ365=0)),1,0)</f>
        <v/>
      </c>
      <c r="DF365" s="83">
        <f>$DE365*N($I365)</f>
        <v/>
      </c>
      <c r="DG365" s="78">
        <f>IF($DE365=1,IF(COUNTIFS($F$8:$F365,$F365,$DE$8:$DE365,1)=1,1,0),0)</f>
        <v/>
      </c>
      <c r="DH365" s="83">
        <f>IF($DG365=1,SUMIFS($DF$8:$DF$1600,$F$8:$F$1600,$F365),0)</f>
        <v/>
      </c>
      <c r="DI365" s="78">
        <f>IF($DG365=1,COUNTIFS($F$8:$F$1600,$F365,$DE$8:$DE$1600,1),0)</f>
        <v/>
      </c>
      <c r="DJ365" s="84">
        <f>IF($DG365=1,$DH365+(100000-ROW())/mTieBreak,0)</f>
        <v/>
      </c>
    </row>
    <row r="366">
      <c r="B366" s="68" t="n">
        <v>47</v>
      </c>
      <c r="C366" s="69" t="inlineStr">
        <is>
          <t>UBS18C08</t>
        </is>
      </c>
      <c r="D366" s="69" t="inlineStr">
        <is>
          <t>47.000</t>
        </is>
      </c>
      <c r="E366" s="69" t="inlineStr">
        <is>
          <t>Kohl's Neenah</t>
        </is>
      </c>
      <c r="F366" s="69" t="inlineStr">
        <is>
          <t>LNUBS18C08-47.000</t>
        </is>
      </c>
      <c r="G366" s="70" t="n"/>
      <c r="H366" s="71" t="n">
        <v>7200000</v>
      </c>
      <c r="I366" s="71" t="n">
        <v>6309996.590001601</v>
      </c>
      <c r="J366" s="72" t="n">
        <v>4.55</v>
      </c>
      <c r="K366" s="69" t="inlineStr">
        <is>
          <t>Fixed rate</t>
        </is>
      </c>
      <c r="L366" s="68" t="n">
        <v>120</v>
      </c>
      <c r="M366" s="68" t="n">
        <v>12</v>
      </c>
      <c r="N366" s="68" t="n">
        <v>384</v>
      </c>
      <c r="O366" s="68" t="n">
        <v>24</v>
      </c>
      <c r="P366" s="68" t="n">
        <v>0</v>
      </c>
      <c r="Q366" s="68" t="n">
        <v>108</v>
      </c>
      <c r="R366" s="69" t="inlineStr">
        <is>
          <t>IO then Amort</t>
        </is>
      </c>
      <c r="S366" s="69" t="inlineStr">
        <is>
          <t>No</t>
        </is>
      </c>
      <c r="T366" s="73" t="n">
        <v>42979</v>
      </c>
      <c r="U366" s="73" t="n">
        <v>46636</v>
      </c>
      <c r="V366" s="73" t="n"/>
      <c r="W366" s="69" t="n"/>
      <c r="X366" s="69" t="inlineStr">
        <is>
          <t>Current</t>
        </is>
      </c>
      <c r="Y366" s="68" t="n"/>
      <c r="Z366" s="69" t="inlineStr">
        <is>
          <t>No Defeasance Occurred</t>
        </is>
      </c>
      <c r="AA366" s="69" t="inlineStr">
        <is>
          <t>Yes</t>
        </is>
      </c>
      <c r="AB366" s="69" t="inlineStr">
        <is>
          <t>Never special serv</t>
        </is>
      </c>
      <c r="AC366" s="73" t="n"/>
      <c r="AD366" s="69" t="n"/>
      <c r="AE366" s="69" t="n"/>
      <c r="AF366" s="69" t="inlineStr">
        <is>
          <t>WI</t>
        </is>
      </c>
      <c r="AG366" s="69" t="inlineStr">
        <is>
          <t>Neenah</t>
        </is>
      </c>
      <c r="AH366" s="69" t="inlineStr">
        <is>
          <t>Oshkosh-Neenah, WI</t>
        </is>
      </c>
      <c r="AI366" s="69" t="inlineStr">
        <is>
          <t>Midwest / Central East</t>
        </is>
      </c>
      <c r="AJ366" s="69" t="inlineStr">
        <is>
          <t>RT</t>
        </is>
      </c>
      <c r="AK366" s="69" t="inlineStr">
        <is>
          <t>Free Standing</t>
        </is>
      </c>
      <c r="AL366" s="68" t="n">
        <v>1</v>
      </c>
      <c r="AM366" s="68" t="n"/>
      <c r="AN366" s="68" t="n">
        <v>86854</v>
      </c>
      <c r="AO366" s="69" t="inlineStr">
        <is>
          <t>2000</t>
        </is>
      </c>
      <c r="AP366" s="70" t="n">
        <v>2000</v>
      </c>
      <c r="AQ366" s="74" t="n">
        <v>1.52</v>
      </c>
      <c r="AR366" s="74" t="n">
        <v>1.5</v>
      </c>
      <c r="AS366" s="74" t="n">
        <v>69.90000000000001</v>
      </c>
      <c r="AT366" s="74" t="n">
        <v>61.26</v>
      </c>
      <c r="AU366" s="74" t="n">
        <v>59.8</v>
      </c>
      <c r="AV366" s="74" t="n">
        <v>9.304191667</v>
      </c>
      <c r="AW366" s="74" t="n">
        <v>10.440370777</v>
      </c>
      <c r="AX366" s="75" t="n">
        <v>100</v>
      </c>
      <c r="AY366" s="71" t="n">
        <v>10300000</v>
      </c>
      <c r="AZ366" s="71" t="n">
        <v>10300000</v>
      </c>
      <c r="BA366" s="71" t="n">
        <v>669901.8</v>
      </c>
      <c r="BB366" s="71" t="n">
        <v>165014.41</v>
      </c>
      <c r="BC366" s="69" t="inlineStr">
        <is>
          <t>Acquisition</t>
        </is>
      </c>
      <c r="BD366" s="69" t="inlineStr">
        <is>
          <t>N</t>
        </is>
      </c>
      <c r="BE366" s="71" t="n"/>
      <c r="BF366" s="71" t="n"/>
      <c r="BG366" s="71" t="n"/>
      <c r="BH366" s="71" t="n">
        <v>0</v>
      </c>
      <c r="BI366" s="71" t="n">
        <v>0</v>
      </c>
      <c r="BJ366" s="69" t="inlineStr">
        <is>
          <t>N</t>
        </is>
      </c>
      <c r="BK366" s="69" t="inlineStr">
        <is>
          <t>1175 W Winnerconne Ave Neenah WI</t>
        </is>
      </c>
      <c r="BL366" s="75" t="n">
        <v>100</v>
      </c>
      <c r="BM366" s="73" t="n">
        <v>47516</v>
      </c>
      <c r="BN366" s="69" t="inlineStr">
        <is>
          <t>Zalman Skoblo</t>
        </is>
      </c>
      <c r="BO366" s="69" t="inlineStr">
        <is>
          <t>Ladder Capital Finance</t>
        </is>
      </c>
      <c r="BP366" s="69" t="inlineStr">
        <is>
          <t>Midland Loan Services</t>
        </is>
      </c>
      <c r="BQ366" s="69" t="inlineStr">
        <is>
          <t>Midland Loan Services</t>
        </is>
      </c>
      <c r="BR366" s="69" t="n"/>
      <c r="BS366" s="73" t="n">
        <v>46276</v>
      </c>
      <c r="BU366" s="76">
        <f>IF($C366="","",IFERROR(INDEX(dmName,MATCH($C366,dmID,0)),"Unmapped"))</f>
        <v/>
      </c>
      <c r="BV366" s="76">
        <f>IF($C366="","",IFERROR(INDEX(dmEntity,MATCH($C366,dmID,0)),"Unmapped"))</f>
        <v/>
      </c>
      <c r="BW366" s="77">
        <f>IF($C366="","",IFERROR(INDEX(dmVintage,MATCH($C366,dmID,0)),""))</f>
        <v/>
      </c>
      <c r="BX366" s="78">
        <f>IFERROR(INDEX(dmInclude,MATCH($C366,dmID,0)),0)</f>
        <v/>
      </c>
      <c r="BY366" s="78">
        <f>IF(N($I366)&gt;0,1,0)</f>
        <v/>
      </c>
      <c r="BZ366" s="76">
        <f>IF($AJ366="","Other / Leased Fee",IFERROR(INDEX(mapPTGroup,MATCH(LEFT(TRIM($AJ366),2),mapPTCode,0)),"Other / Leased Fee"))</f>
        <v/>
      </c>
      <c r="CA366" s="76">
        <f>IF(TRIM($AF366&amp;"")="","NR",LEFT(TRIM($AF366),2))</f>
        <v/>
      </c>
      <c r="CB366" s="76">
        <f>IFERROR(LOOKUP(2,1/(LEFT(TRIM($AI366&amp;""),LEN(mapRegion))=mapRegion),mapRegion),"Not Reported")</f>
        <v/>
      </c>
      <c r="CC366" s="76">
        <f>IF($BY366=0,"",IF(TRIM($W366&amp;"")="REO","REO",IF(TRIM($W366&amp;"")="FC","Foreclosure",IF(TRIM($W366&amp;"")="90+","90+ Days Delinquent",IF(TRIM($W366&amp;"")="60","60 Days Delinquent",IF(TRIM($W366&amp;"")="30","30 Days Delinquent",IF($X366="Non-Performing Matured Balloon","Non-Performing Matured Balloon",IF(OR($X366="Late Payment But Less Than 30 Days Delinquent",LEFT($X366&amp;"",20)="Payment Not Received"),"Late / In Grace (&lt;30 Days)",IF($X366="Performing Matured Balloon","Performing Matured Balloon","Current")))))))))</f>
        <v/>
      </c>
      <c r="CD366" s="78">
        <f>IF(OR($CC366="REO",$CC366="Foreclosure",$CC366="90+ Days Delinquent",$CC366="60 Days Delinquent",$CC366="30 Days Delinquent",$CC366="Non-Performing Matured Balloon"),1,0)</f>
        <v/>
      </c>
      <c r="CE366" s="76">
        <f>IF($AB366="Currently special serv","Currently Specially Serviced",IF($AB366="Returned to master serv","Previously Specially Serviced","Never Specially Serviced"))</f>
        <v/>
      </c>
      <c r="CF366" s="78">
        <f>IF($CE366="Currently Specially Serviced",1,0)</f>
        <v/>
      </c>
      <c r="CG366" s="76">
        <f>IF($AA366="Yes","Currently on Watchlist",IF($AA366="Previously","Previously on Watchlist","Never on Watchlist"))</f>
        <v/>
      </c>
      <c r="CH366" s="78">
        <f>IF($CG366="Currently on Watchlist",1,0)</f>
        <v/>
      </c>
      <c r="CI366" s="76">
        <f>IF($Z366="Full Defeasance","Fully Defeased",IF($Z366="Portion Of Loan Previously Defeased","Partially Defeased",IF($Z366="Defeasance Not Allowable","Not Defeased (Not Permitted)","Not Defeased")))</f>
        <v/>
      </c>
      <c r="CJ366" s="78">
        <f>IF($CI366="Fully Defeased",1,0)</f>
        <v/>
      </c>
      <c r="CK366" s="76">
        <f>IF($R366="IO","Full IO",IF(LEFT($R366&amp;"",7)="IO then","Partial IO","Amortizing"))</f>
        <v/>
      </c>
      <c r="CL366" s="78">
        <f>IF($CK366="Full IO",1,0)</f>
        <v/>
      </c>
      <c r="CM366" s="78">
        <f>IF($CK366="Partial IO",1,0)</f>
        <v/>
      </c>
      <c r="CN366" s="76">
        <f>IF(LEFT($F366&amp;"",10)="SPLIT_LOAN","Pari Passu Split","Standalone")</f>
        <v/>
      </c>
      <c r="CO366" s="78">
        <f>IF($CN366="Pari Passu Split",1,0)</f>
        <v/>
      </c>
      <c r="CP366" s="77">
        <f>IF(ISNUMBER($T366),YEAR($T366),"")</f>
        <v/>
      </c>
      <c r="CQ366" s="79">
        <f>IF(ISNUMBER($V366),$V366,IF(ISNUMBER($U366),$U366,""))</f>
        <v/>
      </c>
      <c r="CR366" s="77">
        <f>IF(ISNUMBER($CQ366),YEAR($CQ366),"")</f>
        <v/>
      </c>
      <c r="CS366" s="78">
        <f>IF(ISNUMBER($M366),MAX(0,$M366),IF(TRIM($M366&amp;"")="matured",0,""))</f>
        <v/>
      </c>
      <c r="CT366" s="78">
        <f>IF(AND(ISNUMBER($CS366),N($CS366)&lt;=mMatWindow),1,0)</f>
        <v/>
      </c>
      <c r="CU366" s="80">
        <f>IF(ISNUMBER($J366),$J366/100,"")</f>
        <v/>
      </c>
      <c r="CV366" s="81">
        <f>IF(ISNUMBER($AQ366),$AQ366,"")</f>
        <v/>
      </c>
      <c r="CW366" s="81">
        <f>IF(ISNUMBER($AR366),$AR366,"")</f>
        <v/>
      </c>
      <c r="CX366" s="82">
        <f>IF(ISNUMBER($AS366),$AS366/100,"")</f>
        <v/>
      </c>
      <c r="CY366" s="82">
        <f>IF(ISNUMBER($AT366),$AT366/100,"")</f>
        <v/>
      </c>
      <c r="CZ366" s="82">
        <f>IF(ISNUMBER($AU366),$AU366/100,"")</f>
        <v/>
      </c>
      <c r="DA366" s="82">
        <f>IF(ISNUMBER($AV366),$AV366/100,"")</f>
        <v/>
      </c>
      <c r="DB366" s="82">
        <f>IF(ISNUMBER($AW366),$AW366/100,"")</f>
        <v/>
      </c>
      <c r="DC366" s="82">
        <f>IF(ISNUMBER($AX366),$AX366/100,"")</f>
        <v/>
      </c>
      <c r="DD366" s="77">
        <f>IFERROR(VALUE(LEFT(TRIM($AO366&amp;""),4)),"")</f>
        <v/>
      </c>
      <c r="DE366" s="78">
        <f>IF(AND($BY366=1,$BX366=1,OR(fDeal="All Deals",$BU366=fDeal),OR(fEntity="All Entities",$BV366=fEntity),OR(fPType="All Property Types",$BZ366=fPType),OR(fDefeased="Include",$CJ366=0)),1,0)</f>
        <v/>
      </c>
      <c r="DF366" s="83">
        <f>$DE366*N($I366)</f>
        <v/>
      </c>
      <c r="DG366" s="78">
        <f>IF($DE366=1,IF(COUNTIFS($F$8:$F366,$F366,$DE$8:$DE366,1)=1,1,0),0)</f>
        <v/>
      </c>
      <c r="DH366" s="83">
        <f>IF($DG366=1,SUMIFS($DF$8:$DF$1600,$F$8:$F$1600,$F366),0)</f>
        <v/>
      </c>
      <c r="DI366" s="78">
        <f>IF($DG366=1,COUNTIFS($F$8:$F$1600,$F366,$DE$8:$DE$1600,1),0)</f>
        <v/>
      </c>
      <c r="DJ366" s="84">
        <f>IF($DG366=1,$DH366+(100000-ROW())/mTieBreak,0)</f>
        <v/>
      </c>
    </row>
    <row r="367">
      <c r="B367" s="68" t="n">
        <v>48</v>
      </c>
      <c r="C367" s="69" t="inlineStr">
        <is>
          <t>UBS18C08</t>
        </is>
      </c>
      <c r="D367" s="69" t="inlineStr">
        <is>
          <t>48.000</t>
        </is>
      </c>
      <c r="E367" s="69" t="inlineStr">
        <is>
          <t>Brooklyn Multifamily Portfolio</t>
        </is>
      </c>
      <c r="F367" s="69" t="inlineStr">
        <is>
          <t>LNUBS18C08-48.000</t>
        </is>
      </c>
      <c r="G367" s="70" t="n"/>
      <c r="H367" s="71" t="n">
        <v>7000000</v>
      </c>
      <c r="I367" s="71" t="n">
        <v>7000000</v>
      </c>
      <c r="J367" s="72" t="n">
        <v>5.023</v>
      </c>
      <c r="K367" s="69" t="inlineStr">
        <is>
          <t>Fixed rate</t>
        </is>
      </c>
      <c r="L367" s="68" t="n">
        <v>120</v>
      </c>
      <c r="M367" s="68" t="n">
        <v>16</v>
      </c>
      <c r="N367" s="68" t="n">
        <v>120</v>
      </c>
      <c r="O367" s="68" t="n">
        <v>120</v>
      </c>
      <c r="P367" s="68" t="n">
        <v>16</v>
      </c>
      <c r="Q367" s="68" t="n">
        <v>104</v>
      </c>
      <c r="R367" s="69" t="inlineStr">
        <is>
          <t>IO</t>
        </is>
      </c>
      <c r="S367" s="69" t="inlineStr">
        <is>
          <t>Yes</t>
        </is>
      </c>
      <c r="T367" s="73" t="n">
        <v>43101</v>
      </c>
      <c r="U367" s="73" t="n">
        <v>46758</v>
      </c>
      <c r="V367" s="73" t="n"/>
      <c r="W367" s="69" t="n"/>
      <c r="X367" s="69" t="inlineStr">
        <is>
          <t>Current</t>
        </is>
      </c>
      <c r="Y367" s="68" t="n"/>
      <c r="Z367" s="69" t="inlineStr">
        <is>
          <t>No Defeasance Occurred</t>
        </is>
      </c>
      <c r="AA367" s="69" t="inlineStr">
        <is>
          <t>Yes</t>
        </is>
      </c>
      <c r="AB367" s="69" t="inlineStr">
        <is>
          <t>Never special serv</t>
        </is>
      </c>
      <c r="AC367" s="73" t="n"/>
      <c r="AD367" s="69" t="n"/>
      <c r="AE367" s="69" t="n"/>
      <c r="AF367" s="69" t="inlineStr">
        <is>
          <t>NY</t>
        </is>
      </c>
      <c r="AG367" s="69" t="inlineStr">
        <is>
          <t>Brooklyn</t>
        </is>
      </c>
      <c r="AH367" s="69" t="inlineStr">
        <is>
          <t>New York-Newark-Jersey City, NY-NJ</t>
        </is>
      </c>
      <c r="AI367" s="69" t="inlineStr">
        <is>
          <t>Northeast / Mid-Atlantic</t>
        </is>
      </c>
      <c r="AJ367" s="69" t="inlineStr">
        <is>
          <t>MX-66.964285714% MF-33.035714286%</t>
        </is>
      </c>
      <c r="AK367" s="69" t="n"/>
      <c r="AL367" s="68" t="n">
        <v>3</v>
      </c>
      <c r="AM367" s="68" t="n">
        <v>12</v>
      </c>
      <c r="AN367" s="68" t="n"/>
      <c r="AO367" s="69" t="n"/>
      <c r="AP367" s="70" t="n">
        <v>1931</v>
      </c>
      <c r="AQ367" s="74" t="n">
        <v>1.35</v>
      </c>
      <c r="AR367" s="74" t="n"/>
      <c r="AS367" s="74" t="n">
        <v>62.5</v>
      </c>
      <c r="AT367" s="74" t="n">
        <v>62.5</v>
      </c>
      <c r="AU367" s="74" t="n">
        <v>62.5</v>
      </c>
      <c r="AV367" s="74" t="n">
        <v>6.882864429</v>
      </c>
      <c r="AW367" s="74" t="n">
        <v>7.173760143</v>
      </c>
      <c r="AX367" s="75" t="n">
        <v>100</v>
      </c>
      <c r="AY367" s="71" t="n">
        <v>11200000</v>
      </c>
      <c r="AZ367" s="71" t="n">
        <v>11200000</v>
      </c>
      <c r="BA367" s="71" t="n">
        <v>481800.51</v>
      </c>
      <c r="BB367" s="71" t="n">
        <v>515507.13</v>
      </c>
      <c r="BC367" s="69" t="inlineStr">
        <is>
          <t>Refinance</t>
        </is>
      </c>
      <c r="BD367" s="69" t="inlineStr">
        <is>
          <t>N</t>
        </is>
      </c>
      <c r="BE367" s="71" t="n"/>
      <c r="BF367" s="71" t="n"/>
      <c r="BG367" s="71" t="n"/>
      <c r="BH367" s="71" t="n">
        <v>0</v>
      </c>
      <c r="BI367" s="71" t="n">
        <v>0</v>
      </c>
      <c r="BJ367" s="69" t="inlineStr">
        <is>
          <t>N</t>
        </is>
      </c>
      <c r="BK367" s="69" t="n"/>
      <c r="BL367" s="75" t="n"/>
      <c r="BM367" s="73" t="n"/>
      <c r="BN367" s="69" t="inlineStr">
        <is>
          <t>Donald Matheson; Uche Alozie</t>
        </is>
      </c>
      <c r="BO367" s="69" t="inlineStr">
        <is>
          <t>Ladder Capital Finance</t>
        </is>
      </c>
      <c r="BP367" s="69" t="inlineStr">
        <is>
          <t>Midland Loan Services</t>
        </is>
      </c>
      <c r="BQ367" s="69" t="inlineStr">
        <is>
          <t>Midland Loan Services</t>
        </is>
      </c>
      <c r="BR367" s="69" t="n"/>
      <c r="BS367" s="73" t="n">
        <v>46276</v>
      </c>
      <c r="BU367" s="76">
        <f>IF($C367="","",IFERROR(INDEX(dmName,MATCH($C367,dmID,0)),"Unmapped"))</f>
        <v/>
      </c>
      <c r="BV367" s="76">
        <f>IF($C367="","",IFERROR(INDEX(dmEntity,MATCH($C367,dmID,0)),"Unmapped"))</f>
        <v/>
      </c>
      <c r="BW367" s="77">
        <f>IF($C367="","",IFERROR(INDEX(dmVintage,MATCH($C367,dmID,0)),""))</f>
        <v/>
      </c>
      <c r="BX367" s="78">
        <f>IFERROR(INDEX(dmInclude,MATCH($C367,dmID,0)),0)</f>
        <v/>
      </c>
      <c r="BY367" s="78">
        <f>IF(N($I367)&gt;0,1,0)</f>
        <v/>
      </c>
      <c r="BZ367" s="76">
        <f>IF($AJ367="","Other / Leased Fee",IFERROR(INDEX(mapPTGroup,MATCH(LEFT(TRIM($AJ367),2),mapPTCode,0)),"Other / Leased Fee"))</f>
        <v/>
      </c>
      <c r="CA367" s="76">
        <f>IF(TRIM($AF367&amp;"")="","NR",LEFT(TRIM($AF367),2))</f>
        <v/>
      </c>
      <c r="CB367" s="76">
        <f>IFERROR(LOOKUP(2,1/(LEFT(TRIM($AI367&amp;""),LEN(mapRegion))=mapRegion),mapRegion),"Not Reported")</f>
        <v/>
      </c>
      <c r="CC367" s="76">
        <f>IF($BY367=0,"",IF(TRIM($W367&amp;"")="REO","REO",IF(TRIM($W367&amp;"")="FC","Foreclosure",IF(TRIM($W367&amp;"")="90+","90+ Days Delinquent",IF(TRIM($W367&amp;"")="60","60 Days Delinquent",IF(TRIM($W367&amp;"")="30","30 Days Delinquent",IF($X367="Non-Performing Matured Balloon","Non-Performing Matured Balloon",IF(OR($X367="Late Payment But Less Than 30 Days Delinquent",LEFT($X367&amp;"",20)="Payment Not Received"),"Late / In Grace (&lt;30 Days)",IF($X367="Performing Matured Balloon","Performing Matured Balloon","Current")))))))))</f>
        <v/>
      </c>
      <c r="CD367" s="78">
        <f>IF(OR($CC367="REO",$CC367="Foreclosure",$CC367="90+ Days Delinquent",$CC367="60 Days Delinquent",$CC367="30 Days Delinquent",$CC367="Non-Performing Matured Balloon"),1,0)</f>
        <v/>
      </c>
      <c r="CE367" s="76">
        <f>IF($AB367="Currently special serv","Currently Specially Serviced",IF($AB367="Returned to master serv","Previously Specially Serviced","Never Specially Serviced"))</f>
        <v/>
      </c>
      <c r="CF367" s="78">
        <f>IF($CE367="Currently Specially Serviced",1,0)</f>
        <v/>
      </c>
      <c r="CG367" s="76">
        <f>IF($AA367="Yes","Currently on Watchlist",IF($AA367="Previously","Previously on Watchlist","Never on Watchlist"))</f>
        <v/>
      </c>
      <c r="CH367" s="78">
        <f>IF($CG367="Currently on Watchlist",1,0)</f>
        <v/>
      </c>
      <c r="CI367" s="76">
        <f>IF($Z367="Full Defeasance","Fully Defeased",IF($Z367="Portion Of Loan Previously Defeased","Partially Defeased",IF($Z367="Defeasance Not Allowable","Not Defeased (Not Permitted)","Not Defeased")))</f>
        <v/>
      </c>
      <c r="CJ367" s="78">
        <f>IF($CI367="Fully Defeased",1,0)</f>
        <v/>
      </c>
      <c r="CK367" s="76">
        <f>IF($R367="IO","Full IO",IF(LEFT($R367&amp;"",7)="IO then","Partial IO","Amortizing"))</f>
        <v/>
      </c>
      <c r="CL367" s="78">
        <f>IF($CK367="Full IO",1,0)</f>
        <v/>
      </c>
      <c r="CM367" s="78">
        <f>IF($CK367="Partial IO",1,0)</f>
        <v/>
      </c>
      <c r="CN367" s="76">
        <f>IF(LEFT($F367&amp;"",10)="SPLIT_LOAN","Pari Passu Split","Standalone")</f>
        <v/>
      </c>
      <c r="CO367" s="78">
        <f>IF($CN367="Pari Passu Split",1,0)</f>
        <v/>
      </c>
      <c r="CP367" s="77">
        <f>IF(ISNUMBER($T367),YEAR($T367),"")</f>
        <v/>
      </c>
      <c r="CQ367" s="79">
        <f>IF(ISNUMBER($V367),$V367,IF(ISNUMBER($U367),$U367,""))</f>
        <v/>
      </c>
      <c r="CR367" s="77">
        <f>IF(ISNUMBER($CQ367),YEAR($CQ367),"")</f>
        <v/>
      </c>
      <c r="CS367" s="78">
        <f>IF(ISNUMBER($M367),MAX(0,$M367),IF(TRIM($M367&amp;"")="matured",0,""))</f>
        <v/>
      </c>
      <c r="CT367" s="78">
        <f>IF(AND(ISNUMBER($CS367),N($CS367)&lt;=mMatWindow),1,0)</f>
        <v/>
      </c>
      <c r="CU367" s="80">
        <f>IF(ISNUMBER($J367),$J367/100,"")</f>
        <v/>
      </c>
      <c r="CV367" s="81">
        <f>IF(ISNUMBER($AQ367),$AQ367,"")</f>
        <v/>
      </c>
      <c r="CW367" s="81">
        <f>IF(ISNUMBER($AR367),$AR367,"")</f>
        <v/>
      </c>
      <c r="CX367" s="82">
        <f>IF(ISNUMBER($AS367),$AS367/100,"")</f>
        <v/>
      </c>
      <c r="CY367" s="82">
        <f>IF(ISNUMBER($AT367),$AT367/100,"")</f>
        <v/>
      </c>
      <c r="CZ367" s="82">
        <f>IF(ISNUMBER($AU367),$AU367/100,"")</f>
        <v/>
      </c>
      <c r="DA367" s="82">
        <f>IF(ISNUMBER($AV367),$AV367/100,"")</f>
        <v/>
      </c>
      <c r="DB367" s="82">
        <f>IF(ISNUMBER($AW367),$AW367/100,"")</f>
        <v/>
      </c>
      <c r="DC367" s="82">
        <f>IF(ISNUMBER($AX367),$AX367/100,"")</f>
        <v/>
      </c>
      <c r="DD367" s="77">
        <f>IFERROR(VALUE(LEFT(TRIM($AO367&amp;""),4)),"")</f>
        <v/>
      </c>
      <c r="DE367" s="78">
        <f>IF(AND($BY367=1,$BX367=1,OR(fDeal="All Deals",$BU367=fDeal),OR(fEntity="All Entities",$BV367=fEntity),OR(fPType="All Property Types",$BZ367=fPType),OR(fDefeased="Include",$CJ367=0)),1,0)</f>
        <v/>
      </c>
      <c r="DF367" s="83">
        <f>$DE367*N($I367)</f>
        <v/>
      </c>
      <c r="DG367" s="78">
        <f>IF($DE367=1,IF(COUNTIFS($F$8:$F367,$F367,$DE$8:$DE367,1)=1,1,0),0)</f>
        <v/>
      </c>
      <c r="DH367" s="83">
        <f>IF($DG367=1,SUMIFS($DF$8:$DF$1600,$F$8:$F$1600,$F367),0)</f>
        <v/>
      </c>
      <c r="DI367" s="78">
        <f>IF($DG367=1,COUNTIFS($F$8:$F$1600,$F367,$DE$8:$DE$1600,1),0)</f>
        <v/>
      </c>
      <c r="DJ367" s="84">
        <f>IF($DG367=1,$DH367+(100000-ROW())/mTieBreak,0)</f>
        <v/>
      </c>
    </row>
    <row r="368">
      <c r="B368" s="68" t="n">
        <v>49</v>
      </c>
      <c r="C368" s="69" t="inlineStr">
        <is>
          <t>UBS18C08</t>
        </is>
      </c>
      <c r="D368" s="69" t="inlineStr">
        <is>
          <t>49.000</t>
        </is>
      </c>
      <c r="E368" s="69" t="inlineStr">
        <is>
          <t>Westhaven Town Center</t>
        </is>
      </c>
      <c r="F368" s="69" t="inlineStr">
        <is>
          <t>LNUBS18C08-49.000</t>
        </is>
      </c>
      <c r="G368" s="70" t="n"/>
      <c r="H368" s="71" t="n">
        <v>6550000</v>
      </c>
      <c r="I368" s="71" t="n">
        <v>6061507.619999851</v>
      </c>
      <c r="J368" s="72" t="n">
        <v>4.805</v>
      </c>
      <c r="K368" s="69" t="inlineStr">
        <is>
          <t>Fixed rate</t>
        </is>
      </c>
      <c r="L368" s="68" t="n">
        <v>120</v>
      </c>
      <c r="M368" s="68" t="n">
        <v>17</v>
      </c>
      <c r="N368" s="68" t="n">
        <v>408</v>
      </c>
      <c r="O368" s="68" t="n">
        <v>48</v>
      </c>
      <c r="P368" s="68" t="n">
        <v>0</v>
      </c>
      <c r="Q368" s="68" t="n">
        <v>103</v>
      </c>
      <c r="R368" s="69" t="inlineStr">
        <is>
          <t>IO then Amort</t>
        </is>
      </c>
      <c r="S368" s="69" t="inlineStr">
        <is>
          <t>No</t>
        </is>
      </c>
      <c r="T368" s="73" t="n">
        <v>43132</v>
      </c>
      <c r="U368" s="73" t="n">
        <v>46789</v>
      </c>
      <c r="V368" s="73" t="n"/>
      <c r="W368" s="69" t="n"/>
      <c r="X368" s="69" t="inlineStr">
        <is>
          <t>Current</t>
        </is>
      </c>
      <c r="Y368" s="68" t="n"/>
      <c r="Z368" s="69" t="inlineStr">
        <is>
          <t>Full Defeasance</t>
        </is>
      </c>
      <c r="AA368" s="69" t="inlineStr">
        <is>
          <t>Previously</t>
        </is>
      </c>
      <c r="AB368" s="69" t="inlineStr">
        <is>
          <t>Never special serv</t>
        </is>
      </c>
      <c r="AC368" s="73" t="n"/>
      <c r="AD368" s="69" t="n"/>
      <c r="AE368" s="69" t="n"/>
      <c r="AF368" s="69" t="inlineStr">
        <is>
          <t>TN</t>
        </is>
      </c>
      <c r="AG368" s="69" t="inlineStr">
        <is>
          <t>Franklin</t>
        </is>
      </c>
      <c r="AH368" s="69" t="inlineStr">
        <is>
          <t>Nashville-Davidson--Murfreesboro--Franklin, TN</t>
        </is>
      </c>
      <c r="AI368" s="69" t="inlineStr">
        <is>
          <t>South / Central East</t>
        </is>
      </c>
      <c r="AJ368" s="69" t="inlineStr">
        <is>
          <t>MX</t>
        </is>
      </c>
      <c r="AK368" s="69" t="n"/>
      <c r="AL368" s="68" t="n">
        <v>1</v>
      </c>
      <c r="AM368" s="68" t="n"/>
      <c r="AN368" s="68" t="n">
        <v>33056</v>
      </c>
      <c r="AO368" s="69" t="inlineStr">
        <is>
          <t>2008</t>
        </is>
      </c>
      <c r="AP368" s="70" t="n">
        <v>2008</v>
      </c>
      <c r="AQ368" s="74" t="n">
        <v>1.69</v>
      </c>
      <c r="AR368" s="74" t="n">
        <v>1.88</v>
      </c>
      <c r="AS368" s="74" t="n">
        <v>61.5</v>
      </c>
      <c r="AT368" s="74" t="n">
        <v>56.92</v>
      </c>
      <c r="AU368" s="74" t="n">
        <v>55.4</v>
      </c>
      <c r="AV368" s="74" t="n">
        <v>10.652553893</v>
      </c>
      <c r="AW368" s="74" t="n">
        <v>12.797129834</v>
      </c>
      <c r="AX368" s="75" t="n">
        <v>78</v>
      </c>
      <c r="AY368" s="71" t="n">
        <v>10650000</v>
      </c>
      <c r="AZ368" s="71" t="n">
        <v>10650000</v>
      </c>
      <c r="BA368" s="71" t="n">
        <v>697742.28</v>
      </c>
      <c r="BB368" s="71" t="n">
        <v>775699</v>
      </c>
      <c r="BC368" s="69" t="inlineStr">
        <is>
          <t>Acquisition</t>
        </is>
      </c>
      <c r="BD368" s="69" t="inlineStr">
        <is>
          <t>N</t>
        </is>
      </c>
      <c r="BE368" s="71" t="n"/>
      <c r="BF368" s="71" t="n"/>
      <c r="BG368" s="71" t="n"/>
      <c r="BH368" s="71" t="n">
        <v>0</v>
      </c>
      <c r="BI368" s="71" t="n">
        <v>0</v>
      </c>
      <c r="BJ368" s="69" t="inlineStr">
        <is>
          <t>N</t>
        </is>
      </c>
      <c r="BK368" s="69" t="inlineStr">
        <is>
          <t>Vanderbilt University Medical Center</t>
        </is>
      </c>
      <c r="BL368" s="75" t="n">
        <v>17.2</v>
      </c>
      <c r="BM368" s="73" t="n">
        <v>46752</v>
      </c>
      <c r="BN368" s="69" t="inlineStr">
        <is>
          <t>Michael S. Outlaw; Jacob Kobi Avrahami</t>
        </is>
      </c>
      <c r="BO368" s="69" t="inlineStr">
        <is>
          <t>Ladder Capital Finance</t>
        </is>
      </c>
      <c r="BP368" s="69" t="inlineStr">
        <is>
          <t>Midland Loan Services</t>
        </is>
      </c>
      <c r="BQ368" s="69" t="inlineStr">
        <is>
          <t>Midland Loan Services</t>
        </is>
      </c>
      <c r="BR368" s="69" t="n"/>
      <c r="BS368" s="73" t="n">
        <v>46276</v>
      </c>
      <c r="BU368" s="76">
        <f>IF($C368="","",IFERROR(INDEX(dmName,MATCH($C368,dmID,0)),"Unmapped"))</f>
        <v/>
      </c>
      <c r="BV368" s="76">
        <f>IF($C368="","",IFERROR(INDEX(dmEntity,MATCH($C368,dmID,0)),"Unmapped"))</f>
        <v/>
      </c>
      <c r="BW368" s="77">
        <f>IF($C368="","",IFERROR(INDEX(dmVintage,MATCH($C368,dmID,0)),""))</f>
        <v/>
      </c>
      <c r="BX368" s="78">
        <f>IFERROR(INDEX(dmInclude,MATCH($C368,dmID,0)),0)</f>
        <v/>
      </c>
      <c r="BY368" s="78">
        <f>IF(N($I368)&gt;0,1,0)</f>
        <v/>
      </c>
      <c r="BZ368" s="76">
        <f>IF($AJ368="","Other / Leased Fee",IFERROR(INDEX(mapPTGroup,MATCH(LEFT(TRIM($AJ368),2),mapPTCode,0)),"Other / Leased Fee"))</f>
        <v/>
      </c>
      <c r="CA368" s="76">
        <f>IF(TRIM($AF368&amp;"")="","NR",LEFT(TRIM($AF368),2))</f>
        <v/>
      </c>
      <c r="CB368" s="76">
        <f>IFERROR(LOOKUP(2,1/(LEFT(TRIM($AI368&amp;""),LEN(mapRegion))=mapRegion),mapRegion),"Not Reported")</f>
        <v/>
      </c>
      <c r="CC368" s="76">
        <f>IF($BY368=0,"",IF(TRIM($W368&amp;"")="REO","REO",IF(TRIM($W368&amp;"")="FC","Foreclosure",IF(TRIM($W368&amp;"")="90+","90+ Days Delinquent",IF(TRIM($W368&amp;"")="60","60 Days Delinquent",IF(TRIM($W368&amp;"")="30","30 Days Delinquent",IF($X368="Non-Performing Matured Balloon","Non-Performing Matured Balloon",IF(OR($X368="Late Payment But Less Than 30 Days Delinquent",LEFT($X368&amp;"",20)="Payment Not Received"),"Late / In Grace (&lt;30 Days)",IF($X368="Performing Matured Balloon","Performing Matured Balloon","Current")))))))))</f>
        <v/>
      </c>
      <c r="CD368" s="78">
        <f>IF(OR($CC368="REO",$CC368="Foreclosure",$CC368="90+ Days Delinquent",$CC368="60 Days Delinquent",$CC368="30 Days Delinquent",$CC368="Non-Performing Matured Balloon"),1,0)</f>
        <v/>
      </c>
      <c r="CE368" s="76">
        <f>IF($AB368="Currently special serv","Currently Specially Serviced",IF($AB368="Returned to master serv","Previously Specially Serviced","Never Specially Serviced"))</f>
        <v/>
      </c>
      <c r="CF368" s="78">
        <f>IF($CE368="Currently Specially Serviced",1,0)</f>
        <v/>
      </c>
      <c r="CG368" s="76">
        <f>IF($AA368="Yes","Currently on Watchlist",IF($AA368="Previously","Previously on Watchlist","Never on Watchlist"))</f>
        <v/>
      </c>
      <c r="CH368" s="78">
        <f>IF($CG368="Currently on Watchlist",1,0)</f>
        <v/>
      </c>
      <c r="CI368" s="76">
        <f>IF($Z368="Full Defeasance","Fully Defeased",IF($Z368="Portion Of Loan Previously Defeased","Partially Defeased",IF($Z368="Defeasance Not Allowable","Not Defeased (Not Permitted)","Not Defeased")))</f>
        <v/>
      </c>
      <c r="CJ368" s="78">
        <f>IF($CI368="Fully Defeased",1,0)</f>
        <v/>
      </c>
      <c r="CK368" s="76">
        <f>IF($R368="IO","Full IO",IF(LEFT($R368&amp;"",7)="IO then","Partial IO","Amortizing"))</f>
        <v/>
      </c>
      <c r="CL368" s="78">
        <f>IF($CK368="Full IO",1,0)</f>
        <v/>
      </c>
      <c r="CM368" s="78">
        <f>IF($CK368="Partial IO",1,0)</f>
        <v/>
      </c>
      <c r="CN368" s="76">
        <f>IF(LEFT($F368&amp;"",10)="SPLIT_LOAN","Pari Passu Split","Standalone")</f>
        <v/>
      </c>
      <c r="CO368" s="78">
        <f>IF($CN368="Pari Passu Split",1,0)</f>
        <v/>
      </c>
      <c r="CP368" s="77">
        <f>IF(ISNUMBER($T368),YEAR($T368),"")</f>
        <v/>
      </c>
      <c r="CQ368" s="79">
        <f>IF(ISNUMBER($V368),$V368,IF(ISNUMBER($U368),$U368,""))</f>
        <v/>
      </c>
      <c r="CR368" s="77">
        <f>IF(ISNUMBER($CQ368),YEAR($CQ368),"")</f>
        <v/>
      </c>
      <c r="CS368" s="78">
        <f>IF(ISNUMBER($M368),MAX(0,$M368),IF(TRIM($M368&amp;"")="matured",0,""))</f>
        <v/>
      </c>
      <c r="CT368" s="78">
        <f>IF(AND(ISNUMBER($CS368),N($CS368)&lt;=mMatWindow),1,0)</f>
        <v/>
      </c>
      <c r="CU368" s="80">
        <f>IF(ISNUMBER($J368),$J368/100,"")</f>
        <v/>
      </c>
      <c r="CV368" s="81">
        <f>IF(ISNUMBER($AQ368),$AQ368,"")</f>
        <v/>
      </c>
      <c r="CW368" s="81">
        <f>IF(ISNUMBER($AR368),$AR368,"")</f>
        <v/>
      </c>
      <c r="CX368" s="82">
        <f>IF(ISNUMBER($AS368),$AS368/100,"")</f>
        <v/>
      </c>
      <c r="CY368" s="82">
        <f>IF(ISNUMBER($AT368),$AT368/100,"")</f>
        <v/>
      </c>
      <c r="CZ368" s="82">
        <f>IF(ISNUMBER($AU368),$AU368/100,"")</f>
        <v/>
      </c>
      <c r="DA368" s="82">
        <f>IF(ISNUMBER($AV368),$AV368/100,"")</f>
        <v/>
      </c>
      <c r="DB368" s="82">
        <f>IF(ISNUMBER($AW368),$AW368/100,"")</f>
        <v/>
      </c>
      <c r="DC368" s="82">
        <f>IF(ISNUMBER($AX368),$AX368/100,"")</f>
        <v/>
      </c>
      <c r="DD368" s="77">
        <f>IFERROR(VALUE(LEFT(TRIM($AO368&amp;""),4)),"")</f>
        <v/>
      </c>
      <c r="DE368" s="78">
        <f>IF(AND($BY368=1,$BX368=1,OR(fDeal="All Deals",$BU368=fDeal),OR(fEntity="All Entities",$BV368=fEntity),OR(fPType="All Property Types",$BZ368=fPType),OR(fDefeased="Include",$CJ368=0)),1,0)</f>
        <v/>
      </c>
      <c r="DF368" s="83">
        <f>$DE368*N($I368)</f>
        <v/>
      </c>
      <c r="DG368" s="78">
        <f>IF($DE368=1,IF(COUNTIFS($F$8:$F368,$F368,$DE$8:$DE368,1)=1,1,0),0)</f>
        <v/>
      </c>
      <c r="DH368" s="83">
        <f>IF($DG368=1,SUMIFS($DF$8:$DF$1600,$F$8:$F$1600,$F368),0)</f>
        <v/>
      </c>
      <c r="DI368" s="78">
        <f>IF($DG368=1,COUNTIFS($F$8:$F$1600,$F368,$DE$8:$DE$1600,1),0)</f>
        <v/>
      </c>
      <c r="DJ368" s="84">
        <f>IF($DG368=1,$DH368+(100000-ROW())/mTieBreak,0)</f>
        <v/>
      </c>
    </row>
    <row r="369">
      <c r="B369" s="68" t="n">
        <v>50</v>
      </c>
      <c r="C369" s="69" t="inlineStr">
        <is>
          <t>UBS18C08</t>
        </is>
      </c>
      <c r="D369" s="69" t="inlineStr">
        <is>
          <t>50.000</t>
        </is>
      </c>
      <c r="E369" s="69" t="inlineStr">
        <is>
          <t>Bel Lindo Apartments</t>
        </is>
      </c>
      <c r="F369" s="69" t="inlineStr">
        <is>
          <t>LNUBS18C08-50.000</t>
        </is>
      </c>
      <c r="G369" s="70" t="n"/>
      <c r="H369" s="71" t="n">
        <v>6250000</v>
      </c>
      <c r="I369" s="71" t="n">
        <v>0</v>
      </c>
      <c r="J369" s="72" t="n">
        <v>6.04</v>
      </c>
      <c r="K369" s="69" t="inlineStr">
        <is>
          <t>Fixed rate</t>
        </is>
      </c>
      <c r="L369" s="68" t="n">
        <v>60</v>
      </c>
      <c r="M369" s="68" t="n"/>
      <c r="N369" s="68" t="n">
        <v>360</v>
      </c>
      <c r="O369" s="68" t="n"/>
      <c r="P369" s="68" t="n"/>
      <c r="Q369" s="68" t="n"/>
      <c r="R369" s="69" t="n"/>
      <c r="S369" s="69" t="inlineStr">
        <is>
          <t>No</t>
        </is>
      </c>
      <c r="T369" s="73" t="n">
        <v>43132</v>
      </c>
      <c r="U369" s="73" t="n">
        <v>44963</v>
      </c>
      <c r="V369" s="73" t="n"/>
      <c r="W369" s="69" t="n"/>
      <c r="X369" s="69" t="inlineStr">
        <is>
          <t>Current</t>
        </is>
      </c>
      <c r="Y369" s="68" t="n"/>
      <c r="Z369" s="69" t="inlineStr">
        <is>
          <t>Full Defeasance</t>
        </is>
      </c>
      <c r="AA369" s="69" t="n"/>
      <c r="AB369" s="69" t="inlineStr">
        <is>
          <t>Never special serv</t>
        </is>
      </c>
      <c r="AC369" s="73" t="n"/>
      <c r="AD369" s="69" t="n"/>
      <c r="AE369" s="69" t="n"/>
      <c r="AF369" s="69" t="inlineStr">
        <is>
          <t>TX</t>
        </is>
      </c>
      <c r="AG369" s="69" t="inlineStr">
        <is>
          <t>Houston</t>
        </is>
      </c>
      <c r="AH369" s="69" t="inlineStr">
        <is>
          <t>Houston-Pasadena-The Woodlands, TX</t>
        </is>
      </c>
      <c r="AI369" s="69" t="inlineStr">
        <is>
          <t>South / Central West</t>
        </is>
      </c>
      <c r="AJ369" s="69" t="inlineStr">
        <is>
          <t>MF</t>
        </is>
      </c>
      <c r="AK369" s="69" t="inlineStr">
        <is>
          <t>Garden</t>
        </is>
      </c>
      <c r="AL369" s="68" t="n">
        <v>1</v>
      </c>
      <c r="AM369" s="68" t="n">
        <v>251</v>
      </c>
      <c r="AN369" s="68" t="n"/>
      <c r="AO369" s="69" t="inlineStr">
        <is>
          <t>1972</t>
        </is>
      </c>
      <c r="AP369" s="70" t="n">
        <v>1972</v>
      </c>
      <c r="AQ369" s="74" t="n">
        <v>1.57</v>
      </c>
      <c r="AR369" s="74" t="n">
        <v>1.89</v>
      </c>
      <c r="AS369" s="74" t="n">
        <v>51.7</v>
      </c>
      <c r="AT369" s="74" t="n"/>
      <c r="AU369" s="74" t="n">
        <v>48.3</v>
      </c>
      <c r="AV369" s="74" t="n">
        <v>11.374208</v>
      </c>
      <c r="AW369" s="74" t="n"/>
      <c r="AX369" s="75" t="n">
        <v>92</v>
      </c>
      <c r="AY369" s="71" t="n">
        <v>12100000</v>
      </c>
      <c r="AZ369" s="71" t="n">
        <v>12100000</v>
      </c>
      <c r="BA369" s="71" t="n">
        <v>710888</v>
      </c>
      <c r="BB369" s="71" t="n">
        <v>853978.92</v>
      </c>
      <c r="BC369" s="69" t="inlineStr">
        <is>
          <t>Refinance</t>
        </is>
      </c>
      <c r="BD369" s="69" t="inlineStr">
        <is>
          <t>N</t>
        </is>
      </c>
      <c r="BE369" s="71" t="n"/>
      <c r="BF369" s="71" t="n"/>
      <c r="BG369" s="71" t="n"/>
      <c r="BH369" s="71" t="n">
        <v>0</v>
      </c>
      <c r="BI369" s="71" t="n">
        <v>0</v>
      </c>
      <c r="BJ369" s="69" t="inlineStr">
        <is>
          <t>N</t>
        </is>
      </c>
      <c r="BK369" s="69" t="n"/>
      <c r="BL369" s="75" t="n"/>
      <c r="BM369" s="73" t="n"/>
      <c r="BN369" s="69" t="inlineStr">
        <is>
          <t>Joel Davidovici; Maurice Dopplet</t>
        </is>
      </c>
      <c r="BO369" s="69" t="inlineStr">
        <is>
          <t>RMF</t>
        </is>
      </c>
      <c r="BP369" s="69" t="inlineStr">
        <is>
          <t>Midland Loan Services</t>
        </is>
      </c>
      <c r="BQ369" s="69" t="inlineStr">
        <is>
          <t>Midland Loan Services</t>
        </is>
      </c>
      <c r="BR369" s="69" t="inlineStr">
        <is>
          <t>Payoff Prior To Maturity</t>
        </is>
      </c>
      <c r="BS369" s="73" t="n">
        <v>44879</v>
      </c>
      <c r="BU369" s="76">
        <f>IF($C369="","",IFERROR(INDEX(dmName,MATCH($C369,dmID,0)),"Unmapped"))</f>
        <v/>
      </c>
      <c r="BV369" s="76">
        <f>IF($C369="","",IFERROR(INDEX(dmEntity,MATCH($C369,dmID,0)),"Unmapped"))</f>
        <v/>
      </c>
      <c r="BW369" s="77">
        <f>IF($C369="","",IFERROR(INDEX(dmVintage,MATCH($C369,dmID,0)),""))</f>
        <v/>
      </c>
      <c r="BX369" s="78">
        <f>IFERROR(INDEX(dmInclude,MATCH($C369,dmID,0)),0)</f>
        <v/>
      </c>
      <c r="BY369" s="78">
        <f>IF(N($I369)&gt;0,1,0)</f>
        <v/>
      </c>
      <c r="BZ369" s="76">
        <f>IF($AJ369="","Other / Leased Fee",IFERROR(INDEX(mapPTGroup,MATCH(LEFT(TRIM($AJ369),2),mapPTCode,0)),"Other / Leased Fee"))</f>
        <v/>
      </c>
      <c r="CA369" s="76">
        <f>IF(TRIM($AF369&amp;"")="","NR",LEFT(TRIM($AF369),2))</f>
        <v/>
      </c>
      <c r="CB369" s="76">
        <f>IFERROR(LOOKUP(2,1/(LEFT(TRIM($AI369&amp;""),LEN(mapRegion))=mapRegion),mapRegion),"Not Reported")</f>
        <v/>
      </c>
      <c r="CC369" s="76">
        <f>IF($BY369=0,"",IF(TRIM($W369&amp;"")="REO","REO",IF(TRIM($W369&amp;"")="FC","Foreclosure",IF(TRIM($W369&amp;"")="90+","90+ Days Delinquent",IF(TRIM($W369&amp;"")="60","60 Days Delinquent",IF(TRIM($W369&amp;"")="30","30 Days Delinquent",IF($X369="Non-Performing Matured Balloon","Non-Performing Matured Balloon",IF(OR($X369="Late Payment But Less Than 30 Days Delinquent",LEFT($X369&amp;"",20)="Payment Not Received"),"Late / In Grace (&lt;30 Days)",IF($X369="Performing Matured Balloon","Performing Matured Balloon","Current")))))))))</f>
        <v/>
      </c>
      <c r="CD369" s="78">
        <f>IF(OR($CC369="REO",$CC369="Foreclosure",$CC369="90+ Days Delinquent",$CC369="60 Days Delinquent",$CC369="30 Days Delinquent",$CC369="Non-Performing Matured Balloon"),1,0)</f>
        <v/>
      </c>
      <c r="CE369" s="76">
        <f>IF($AB369="Currently special serv","Currently Specially Serviced",IF($AB369="Returned to master serv","Previously Specially Serviced","Never Specially Serviced"))</f>
        <v/>
      </c>
      <c r="CF369" s="78">
        <f>IF($CE369="Currently Specially Serviced",1,0)</f>
        <v/>
      </c>
      <c r="CG369" s="76">
        <f>IF($AA369="Yes","Currently on Watchlist",IF($AA369="Previously","Previously on Watchlist","Never on Watchlist"))</f>
        <v/>
      </c>
      <c r="CH369" s="78">
        <f>IF($CG369="Currently on Watchlist",1,0)</f>
        <v/>
      </c>
      <c r="CI369" s="76">
        <f>IF($Z369="Full Defeasance","Fully Defeased",IF($Z369="Portion Of Loan Previously Defeased","Partially Defeased",IF($Z369="Defeasance Not Allowable","Not Defeased (Not Permitted)","Not Defeased")))</f>
        <v/>
      </c>
      <c r="CJ369" s="78">
        <f>IF($CI369="Fully Defeased",1,0)</f>
        <v/>
      </c>
      <c r="CK369" s="76">
        <f>IF($R369="IO","Full IO",IF(LEFT($R369&amp;"",7)="IO then","Partial IO","Amortizing"))</f>
        <v/>
      </c>
      <c r="CL369" s="78">
        <f>IF($CK369="Full IO",1,0)</f>
        <v/>
      </c>
      <c r="CM369" s="78">
        <f>IF($CK369="Partial IO",1,0)</f>
        <v/>
      </c>
      <c r="CN369" s="76">
        <f>IF(LEFT($F369&amp;"",10)="SPLIT_LOAN","Pari Passu Split","Standalone")</f>
        <v/>
      </c>
      <c r="CO369" s="78">
        <f>IF($CN369="Pari Passu Split",1,0)</f>
        <v/>
      </c>
      <c r="CP369" s="77">
        <f>IF(ISNUMBER($T369),YEAR($T369),"")</f>
        <v/>
      </c>
      <c r="CQ369" s="79">
        <f>IF(ISNUMBER($V369),$V369,IF(ISNUMBER($U369),$U369,""))</f>
        <v/>
      </c>
      <c r="CR369" s="77">
        <f>IF(ISNUMBER($CQ369),YEAR($CQ369),"")</f>
        <v/>
      </c>
      <c r="CS369" s="78">
        <f>IF(ISNUMBER($M369),MAX(0,$M369),IF(TRIM($M369&amp;"")="matured",0,""))</f>
        <v/>
      </c>
      <c r="CT369" s="78">
        <f>IF(AND(ISNUMBER($CS369),N($CS369)&lt;=mMatWindow),1,0)</f>
        <v/>
      </c>
      <c r="CU369" s="80">
        <f>IF(ISNUMBER($J369),$J369/100,"")</f>
        <v/>
      </c>
      <c r="CV369" s="81">
        <f>IF(ISNUMBER($AQ369),$AQ369,"")</f>
        <v/>
      </c>
      <c r="CW369" s="81">
        <f>IF(ISNUMBER($AR369),$AR369,"")</f>
        <v/>
      </c>
      <c r="CX369" s="82">
        <f>IF(ISNUMBER($AS369),$AS369/100,"")</f>
        <v/>
      </c>
      <c r="CY369" s="82">
        <f>IF(ISNUMBER($AT369),$AT369/100,"")</f>
        <v/>
      </c>
      <c r="CZ369" s="82">
        <f>IF(ISNUMBER($AU369),$AU369/100,"")</f>
        <v/>
      </c>
      <c r="DA369" s="82">
        <f>IF(ISNUMBER($AV369),$AV369/100,"")</f>
        <v/>
      </c>
      <c r="DB369" s="82">
        <f>IF(ISNUMBER($AW369),$AW369/100,"")</f>
        <v/>
      </c>
      <c r="DC369" s="82">
        <f>IF(ISNUMBER($AX369),$AX369/100,"")</f>
        <v/>
      </c>
      <c r="DD369" s="77">
        <f>IFERROR(VALUE(LEFT(TRIM($AO369&amp;""),4)),"")</f>
        <v/>
      </c>
      <c r="DE369" s="78">
        <f>IF(AND($BY369=1,$BX369=1,OR(fDeal="All Deals",$BU369=fDeal),OR(fEntity="All Entities",$BV369=fEntity),OR(fPType="All Property Types",$BZ369=fPType),OR(fDefeased="Include",$CJ369=0)),1,0)</f>
        <v/>
      </c>
      <c r="DF369" s="83">
        <f>$DE369*N($I369)</f>
        <v/>
      </c>
      <c r="DG369" s="78">
        <f>IF($DE369=1,IF(COUNTIFS($F$8:$F369,$F369,$DE$8:$DE369,1)=1,1,0),0)</f>
        <v/>
      </c>
      <c r="DH369" s="83">
        <f>IF($DG369=1,SUMIFS($DF$8:$DF$1600,$F$8:$F$1600,$F369),0)</f>
        <v/>
      </c>
      <c r="DI369" s="78">
        <f>IF($DG369=1,COUNTIFS($F$8:$F$1600,$F369,$DE$8:$DE$1600,1),0)</f>
        <v/>
      </c>
      <c r="DJ369" s="84">
        <f>IF($DG369=1,$DH369+(100000-ROW())/mTieBreak,0)</f>
        <v/>
      </c>
    </row>
    <row r="370">
      <c r="B370" s="68" t="n">
        <v>51</v>
      </c>
      <c r="C370" s="69" t="inlineStr">
        <is>
          <t>UBS18C08</t>
        </is>
      </c>
      <c r="D370" s="69" t="inlineStr">
        <is>
          <t>51.000</t>
        </is>
      </c>
      <c r="E370" s="69" t="inlineStr">
        <is>
          <t>East Sac Self Storage</t>
        </is>
      </c>
      <c r="F370" s="69" t="inlineStr">
        <is>
          <t>LNUBS18C08-51.000</t>
        </is>
      </c>
      <c r="G370" s="70" t="n"/>
      <c r="H370" s="71" t="n">
        <v>6150000</v>
      </c>
      <c r="I370" s="71" t="n">
        <v>6150000</v>
      </c>
      <c r="J370" s="72" t="n">
        <v>5.108</v>
      </c>
      <c r="K370" s="69" t="inlineStr">
        <is>
          <t>Fixed rate</t>
        </is>
      </c>
      <c r="L370" s="68" t="n">
        <v>120</v>
      </c>
      <c r="M370" s="68" t="n">
        <v>17</v>
      </c>
      <c r="N370" s="68" t="n">
        <v>120</v>
      </c>
      <c r="O370" s="68" t="n">
        <v>120</v>
      </c>
      <c r="P370" s="68" t="n">
        <v>17</v>
      </c>
      <c r="Q370" s="68" t="n">
        <v>103</v>
      </c>
      <c r="R370" s="69" t="inlineStr">
        <is>
          <t>IO</t>
        </is>
      </c>
      <c r="S370" s="69" t="inlineStr">
        <is>
          <t>Yes</t>
        </is>
      </c>
      <c r="T370" s="73" t="n">
        <v>43132</v>
      </c>
      <c r="U370" s="73" t="n">
        <v>46789</v>
      </c>
      <c r="V370" s="73" t="n"/>
      <c r="W370" s="69" t="n"/>
      <c r="X370" s="69" t="inlineStr">
        <is>
          <t>Current</t>
        </is>
      </c>
      <c r="Y370" s="68" t="n"/>
      <c r="Z370" s="69" t="inlineStr">
        <is>
          <t>No Defeasance Occurred</t>
        </is>
      </c>
      <c r="AA370" s="69" t="n"/>
      <c r="AB370" s="69" t="inlineStr">
        <is>
          <t>Never special serv</t>
        </is>
      </c>
      <c r="AC370" s="73" t="n"/>
      <c r="AD370" s="69" t="n"/>
      <c r="AE370" s="69" t="n"/>
      <c r="AF370" s="69" t="inlineStr">
        <is>
          <t>CA</t>
        </is>
      </c>
      <c r="AG370" s="69" t="inlineStr">
        <is>
          <t>Sacramento</t>
        </is>
      </c>
      <c r="AH370" s="69" t="inlineStr">
        <is>
          <t>Sacramento-Roseville-Folsom, CA</t>
        </is>
      </c>
      <c r="AI370" s="69" t="inlineStr">
        <is>
          <t>West / Pacific North</t>
        </is>
      </c>
      <c r="AJ370" s="69" t="inlineStr">
        <is>
          <t>SS</t>
        </is>
      </c>
      <c r="AK370" s="69" t="n"/>
      <c r="AL370" s="68" t="n">
        <v>1</v>
      </c>
      <c r="AM370" s="68" t="n"/>
      <c r="AN370" s="68" t="n">
        <v>54547</v>
      </c>
      <c r="AO370" s="69" t="inlineStr">
        <is>
          <t>1994</t>
        </is>
      </c>
      <c r="AP370" s="70" t="n">
        <v>2011</v>
      </c>
      <c r="AQ370" s="74" t="n">
        <v>1.57</v>
      </c>
      <c r="AR370" s="74" t="n">
        <v>2.3</v>
      </c>
      <c r="AS370" s="74" t="n">
        <v>60.1</v>
      </c>
      <c r="AT370" s="74" t="n">
        <v>60.06</v>
      </c>
      <c r="AU370" s="74" t="n">
        <v>60.1</v>
      </c>
      <c r="AV370" s="74" t="n">
        <v>8.125185366</v>
      </c>
      <c r="AW370" s="74" t="n">
        <v>13.080783252</v>
      </c>
      <c r="AX370" s="75" t="n">
        <v>93</v>
      </c>
      <c r="AY370" s="71" t="n">
        <v>10240000</v>
      </c>
      <c r="AZ370" s="71" t="n">
        <v>10240000</v>
      </c>
      <c r="BA370" s="71" t="n">
        <v>499698.9</v>
      </c>
      <c r="BB370" s="71" t="n">
        <v>733359</v>
      </c>
      <c r="BC370" s="69" t="inlineStr">
        <is>
          <t>Acquisition</t>
        </is>
      </c>
      <c r="BD370" s="69" t="inlineStr">
        <is>
          <t>N</t>
        </is>
      </c>
      <c r="BE370" s="71" t="n"/>
      <c r="BF370" s="71" t="n"/>
      <c r="BG370" s="71" t="n"/>
      <c r="BH370" s="71" t="n">
        <v>0</v>
      </c>
      <c r="BI370" s="71" t="n">
        <v>0</v>
      </c>
      <c r="BJ370" s="69" t="inlineStr">
        <is>
          <t>N</t>
        </is>
      </c>
      <c r="BK370" s="69" t="n"/>
      <c r="BL370" s="75" t="n"/>
      <c r="BM370" s="73" t="n"/>
      <c r="BN370" s="69" t="inlineStr">
        <is>
          <t>Matthew N. Follett; Robert L. Beyer, JR.; Keri L. Beyer</t>
        </is>
      </c>
      <c r="BO370" s="69" t="inlineStr">
        <is>
          <t>Ladder Capital Finance</t>
        </is>
      </c>
      <c r="BP370" s="69" t="inlineStr">
        <is>
          <t>Midland Loan Services</t>
        </is>
      </c>
      <c r="BQ370" s="69" t="inlineStr">
        <is>
          <t>Midland Loan Services</t>
        </is>
      </c>
      <c r="BR370" s="69" t="n"/>
      <c r="BS370" s="73" t="n">
        <v>46276</v>
      </c>
      <c r="BU370" s="76">
        <f>IF($C370="","",IFERROR(INDEX(dmName,MATCH($C370,dmID,0)),"Unmapped"))</f>
        <v/>
      </c>
      <c r="BV370" s="76">
        <f>IF($C370="","",IFERROR(INDEX(dmEntity,MATCH($C370,dmID,0)),"Unmapped"))</f>
        <v/>
      </c>
      <c r="BW370" s="77">
        <f>IF($C370="","",IFERROR(INDEX(dmVintage,MATCH($C370,dmID,0)),""))</f>
        <v/>
      </c>
      <c r="BX370" s="78">
        <f>IFERROR(INDEX(dmInclude,MATCH($C370,dmID,0)),0)</f>
        <v/>
      </c>
      <c r="BY370" s="78">
        <f>IF(N($I370)&gt;0,1,0)</f>
        <v/>
      </c>
      <c r="BZ370" s="76">
        <f>IF($AJ370="","Other / Leased Fee",IFERROR(INDEX(mapPTGroup,MATCH(LEFT(TRIM($AJ370),2),mapPTCode,0)),"Other / Leased Fee"))</f>
        <v/>
      </c>
      <c r="CA370" s="76">
        <f>IF(TRIM($AF370&amp;"")="","NR",LEFT(TRIM($AF370),2))</f>
        <v/>
      </c>
      <c r="CB370" s="76">
        <f>IFERROR(LOOKUP(2,1/(LEFT(TRIM($AI370&amp;""),LEN(mapRegion))=mapRegion),mapRegion),"Not Reported")</f>
        <v/>
      </c>
      <c r="CC370" s="76">
        <f>IF($BY370=0,"",IF(TRIM($W370&amp;"")="REO","REO",IF(TRIM($W370&amp;"")="FC","Foreclosure",IF(TRIM($W370&amp;"")="90+","90+ Days Delinquent",IF(TRIM($W370&amp;"")="60","60 Days Delinquent",IF(TRIM($W370&amp;"")="30","30 Days Delinquent",IF($X370="Non-Performing Matured Balloon","Non-Performing Matured Balloon",IF(OR($X370="Late Payment But Less Than 30 Days Delinquent",LEFT($X370&amp;"",20)="Payment Not Received"),"Late / In Grace (&lt;30 Days)",IF($X370="Performing Matured Balloon","Performing Matured Balloon","Current")))))))))</f>
        <v/>
      </c>
      <c r="CD370" s="78">
        <f>IF(OR($CC370="REO",$CC370="Foreclosure",$CC370="90+ Days Delinquent",$CC370="60 Days Delinquent",$CC370="30 Days Delinquent",$CC370="Non-Performing Matured Balloon"),1,0)</f>
        <v/>
      </c>
      <c r="CE370" s="76">
        <f>IF($AB370="Currently special serv","Currently Specially Serviced",IF($AB370="Returned to master serv","Previously Specially Serviced","Never Specially Serviced"))</f>
        <v/>
      </c>
      <c r="CF370" s="78">
        <f>IF($CE370="Currently Specially Serviced",1,0)</f>
        <v/>
      </c>
      <c r="CG370" s="76">
        <f>IF($AA370="Yes","Currently on Watchlist",IF($AA370="Previously","Previously on Watchlist","Never on Watchlist"))</f>
        <v/>
      </c>
      <c r="CH370" s="78">
        <f>IF($CG370="Currently on Watchlist",1,0)</f>
        <v/>
      </c>
      <c r="CI370" s="76">
        <f>IF($Z370="Full Defeasance","Fully Defeased",IF($Z370="Portion Of Loan Previously Defeased","Partially Defeased",IF($Z370="Defeasance Not Allowable","Not Defeased (Not Permitted)","Not Defeased")))</f>
        <v/>
      </c>
      <c r="CJ370" s="78">
        <f>IF($CI370="Fully Defeased",1,0)</f>
        <v/>
      </c>
      <c r="CK370" s="76">
        <f>IF($R370="IO","Full IO",IF(LEFT($R370&amp;"",7)="IO then","Partial IO","Amortizing"))</f>
        <v/>
      </c>
      <c r="CL370" s="78">
        <f>IF($CK370="Full IO",1,0)</f>
        <v/>
      </c>
      <c r="CM370" s="78">
        <f>IF($CK370="Partial IO",1,0)</f>
        <v/>
      </c>
      <c r="CN370" s="76">
        <f>IF(LEFT($F370&amp;"",10)="SPLIT_LOAN","Pari Passu Split","Standalone")</f>
        <v/>
      </c>
      <c r="CO370" s="78">
        <f>IF($CN370="Pari Passu Split",1,0)</f>
        <v/>
      </c>
      <c r="CP370" s="77">
        <f>IF(ISNUMBER($T370),YEAR($T370),"")</f>
        <v/>
      </c>
      <c r="CQ370" s="79">
        <f>IF(ISNUMBER($V370),$V370,IF(ISNUMBER($U370),$U370,""))</f>
        <v/>
      </c>
      <c r="CR370" s="77">
        <f>IF(ISNUMBER($CQ370),YEAR($CQ370),"")</f>
        <v/>
      </c>
      <c r="CS370" s="78">
        <f>IF(ISNUMBER($M370),MAX(0,$M370),IF(TRIM($M370&amp;"")="matured",0,""))</f>
        <v/>
      </c>
      <c r="CT370" s="78">
        <f>IF(AND(ISNUMBER($CS370),N($CS370)&lt;=mMatWindow),1,0)</f>
        <v/>
      </c>
      <c r="CU370" s="80">
        <f>IF(ISNUMBER($J370),$J370/100,"")</f>
        <v/>
      </c>
      <c r="CV370" s="81">
        <f>IF(ISNUMBER($AQ370),$AQ370,"")</f>
        <v/>
      </c>
      <c r="CW370" s="81">
        <f>IF(ISNUMBER($AR370),$AR370,"")</f>
        <v/>
      </c>
      <c r="CX370" s="82">
        <f>IF(ISNUMBER($AS370),$AS370/100,"")</f>
        <v/>
      </c>
      <c r="CY370" s="82">
        <f>IF(ISNUMBER($AT370),$AT370/100,"")</f>
        <v/>
      </c>
      <c r="CZ370" s="82">
        <f>IF(ISNUMBER($AU370),$AU370/100,"")</f>
        <v/>
      </c>
      <c r="DA370" s="82">
        <f>IF(ISNUMBER($AV370),$AV370/100,"")</f>
        <v/>
      </c>
      <c r="DB370" s="82">
        <f>IF(ISNUMBER($AW370),$AW370/100,"")</f>
        <v/>
      </c>
      <c r="DC370" s="82">
        <f>IF(ISNUMBER($AX370),$AX370/100,"")</f>
        <v/>
      </c>
      <c r="DD370" s="77">
        <f>IFERROR(VALUE(LEFT(TRIM($AO370&amp;""),4)),"")</f>
        <v/>
      </c>
      <c r="DE370" s="78">
        <f>IF(AND($BY370=1,$BX370=1,OR(fDeal="All Deals",$BU370=fDeal),OR(fEntity="All Entities",$BV370=fEntity),OR(fPType="All Property Types",$BZ370=fPType),OR(fDefeased="Include",$CJ370=0)),1,0)</f>
        <v/>
      </c>
      <c r="DF370" s="83">
        <f>$DE370*N($I370)</f>
        <v/>
      </c>
      <c r="DG370" s="78">
        <f>IF($DE370=1,IF(COUNTIFS($F$8:$F370,$F370,$DE$8:$DE370,1)=1,1,0),0)</f>
        <v/>
      </c>
      <c r="DH370" s="83">
        <f>IF($DG370=1,SUMIFS($DF$8:$DF$1600,$F$8:$F$1600,$F370),0)</f>
        <v/>
      </c>
      <c r="DI370" s="78">
        <f>IF($DG370=1,COUNTIFS($F$8:$F$1600,$F370,$DE$8:$DE$1600,1),0)</f>
        <v/>
      </c>
      <c r="DJ370" s="84">
        <f>IF($DG370=1,$DH370+(100000-ROW())/mTieBreak,0)</f>
        <v/>
      </c>
    </row>
    <row r="371">
      <c r="B371" s="68" t="n">
        <v>52</v>
      </c>
      <c r="C371" s="69" t="inlineStr">
        <is>
          <t>UBS18C08</t>
        </is>
      </c>
      <c r="D371" s="69" t="inlineStr">
        <is>
          <t>52.000</t>
        </is>
      </c>
      <c r="E371" s="69" t="inlineStr">
        <is>
          <t>Canyon Gate Self Storage</t>
        </is>
      </c>
      <c r="F371" s="69" t="inlineStr">
        <is>
          <t>LNUBS18C08-52.000</t>
        </is>
      </c>
      <c r="G371" s="70" t="n"/>
      <c r="H371" s="71" t="n">
        <v>6000000</v>
      </c>
      <c r="I371" s="71" t="n">
        <v>6000000</v>
      </c>
      <c r="J371" s="72" t="n">
        <v>4.374</v>
      </c>
      <c r="K371" s="69" t="inlineStr">
        <is>
          <t>Fixed rate</t>
        </is>
      </c>
      <c r="L371" s="68" t="n">
        <v>120</v>
      </c>
      <c r="M371" s="68" t="n">
        <v>17</v>
      </c>
      <c r="N371" s="68" t="n">
        <v>120</v>
      </c>
      <c r="O371" s="68" t="n">
        <v>120</v>
      </c>
      <c r="P371" s="68" t="n">
        <v>17</v>
      </c>
      <c r="Q371" s="68" t="n">
        <v>103</v>
      </c>
      <c r="R371" s="69" t="inlineStr">
        <is>
          <t>IO</t>
        </is>
      </c>
      <c r="S371" s="69" t="inlineStr">
        <is>
          <t>Yes</t>
        </is>
      </c>
      <c r="T371" s="73" t="n">
        <v>43132</v>
      </c>
      <c r="U371" s="73" t="n">
        <v>46789</v>
      </c>
      <c r="V371" s="73" t="n"/>
      <c r="W371" s="69" t="n"/>
      <c r="X371" s="69" t="inlineStr">
        <is>
          <t>Current</t>
        </is>
      </c>
      <c r="Y371" s="68" t="n"/>
      <c r="Z371" s="69" t="inlineStr">
        <is>
          <t>Defeasance Not Allowable</t>
        </is>
      </c>
      <c r="AA371" s="69" t="n"/>
      <c r="AB371" s="69" t="inlineStr">
        <is>
          <t>Never special serv</t>
        </is>
      </c>
      <c r="AC371" s="73" t="n"/>
      <c r="AD371" s="69" t="n"/>
      <c r="AE371" s="69" t="n"/>
      <c r="AF371" s="69" t="inlineStr">
        <is>
          <t>NV</t>
        </is>
      </c>
      <c r="AG371" s="69" t="inlineStr">
        <is>
          <t>Las Vegas</t>
        </is>
      </c>
      <c r="AH371" s="69" t="inlineStr">
        <is>
          <t>Las Vegas-Henderson-North Las Vegas, NV</t>
        </is>
      </c>
      <c r="AI371" s="69" t="inlineStr">
        <is>
          <t>West / Mountain</t>
        </is>
      </c>
      <c r="AJ371" s="69" t="inlineStr">
        <is>
          <t>SS</t>
        </is>
      </c>
      <c r="AK371" s="69" t="n"/>
      <c r="AL371" s="68" t="n">
        <v>1</v>
      </c>
      <c r="AM371" s="68" t="n"/>
      <c r="AN371" s="68" t="n">
        <v>106610</v>
      </c>
      <c r="AO371" s="69" t="inlineStr">
        <is>
          <t>1996</t>
        </is>
      </c>
      <c r="AP371" s="70" t="n">
        <v>1996</v>
      </c>
      <c r="AQ371" s="74" t="n">
        <v>3.42</v>
      </c>
      <c r="AR371" s="74" t="n">
        <v>3.91</v>
      </c>
      <c r="AS371" s="74" t="n">
        <v>39.3</v>
      </c>
      <c r="AT371" s="74" t="n">
        <v>39.32</v>
      </c>
      <c r="AU371" s="74" t="n">
        <v>39.3</v>
      </c>
      <c r="AV371" s="74" t="n">
        <v>15.185105167</v>
      </c>
      <c r="AW371" s="74" t="n">
        <v>17.927785</v>
      </c>
      <c r="AX371" s="75" t="n">
        <v>82</v>
      </c>
      <c r="AY371" s="71" t="n">
        <v>15260000</v>
      </c>
      <c r="AZ371" s="71" t="n">
        <v>15260000</v>
      </c>
      <c r="BA371" s="71" t="n">
        <v>911106.3100000001</v>
      </c>
      <c r="BB371" s="71" t="n">
        <v>1040767.08</v>
      </c>
      <c r="BC371" s="69" t="inlineStr">
        <is>
          <t>Acquisition</t>
        </is>
      </c>
      <c r="BD371" s="69" t="inlineStr">
        <is>
          <t>N</t>
        </is>
      </c>
      <c r="BE371" s="71" t="n"/>
      <c r="BF371" s="71" t="n"/>
      <c r="BG371" s="71" t="n"/>
      <c r="BH371" s="71" t="n">
        <v>0</v>
      </c>
      <c r="BI371" s="71" t="n">
        <v>0</v>
      </c>
      <c r="BJ371" s="69" t="inlineStr">
        <is>
          <t>N</t>
        </is>
      </c>
      <c r="BK371" s="69" t="n"/>
      <c r="BL371" s="75" t="n"/>
      <c r="BM371" s="73" t="n"/>
      <c r="BN371" s="69" t="inlineStr">
        <is>
          <t>T.I.P. Properties</t>
        </is>
      </c>
      <c r="BO371" s="69" t="inlineStr">
        <is>
          <t>UBS</t>
        </is>
      </c>
      <c r="BP371" s="69" t="inlineStr">
        <is>
          <t>Midland Loan Services</t>
        </is>
      </c>
      <c r="BQ371" s="69" t="inlineStr">
        <is>
          <t>Midland Loan Services</t>
        </is>
      </c>
      <c r="BR371" s="69" t="n"/>
      <c r="BS371" s="73" t="n">
        <v>46276</v>
      </c>
      <c r="BU371" s="76">
        <f>IF($C371="","",IFERROR(INDEX(dmName,MATCH($C371,dmID,0)),"Unmapped"))</f>
        <v/>
      </c>
      <c r="BV371" s="76">
        <f>IF($C371="","",IFERROR(INDEX(dmEntity,MATCH($C371,dmID,0)),"Unmapped"))</f>
        <v/>
      </c>
      <c r="BW371" s="77">
        <f>IF($C371="","",IFERROR(INDEX(dmVintage,MATCH($C371,dmID,0)),""))</f>
        <v/>
      </c>
      <c r="BX371" s="78">
        <f>IFERROR(INDEX(dmInclude,MATCH($C371,dmID,0)),0)</f>
        <v/>
      </c>
      <c r="BY371" s="78">
        <f>IF(N($I371)&gt;0,1,0)</f>
        <v/>
      </c>
      <c r="BZ371" s="76">
        <f>IF($AJ371="","Other / Leased Fee",IFERROR(INDEX(mapPTGroup,MATCH(LEFT(TRIM($AJ371),2),mapPTCode,0)),"Other / Leased Fee"))</f>
        <v/>
      </c>
      <c r="CA371" s="76">
        <f>IF(TRIM($AF371&amp;"")="","NR",LEFT(TRIM($AF371),2))</f>
        <v/>
      </c>
      <c r="CB371" s="76">
        <f>IFERROR(LOOKUP(2,1/(LEFT(TRIM($AI371&amp;""),LEN(mapRegion))=mapRegion),mapRegion),"Not Reported")</f>
        <v/>
      </c>
      <c r="CC371" s="76">
        <f>IF($BY371=0,"",IF(TRIM($W371&amp;"")="REO","REO",IF(TRIM($W371&amp;"")="FC","Foreclosure",IF(TRIM($W371&amp;"")="90+","90+ Days Delinquent",IF(TRIM($W371&amp;"")="60","60 Days Delinquent",IF(TRIM($W371&amp;"")="30","30 Days Delinquent",IF($X371="Non-Performing Matured Balloon","Non-Performing Matured Balloon",IF(OR($X371="Late Payment But Less Than 30 Days Delinquent",LEFT($X371&amp;"",20)="Payment Not Received"),"Late / In Grace (&lt;30 Days)",IF($X371="Performing Matured Balloon","Performing Matured Balloon","Current")))))))))</f>
        <v/>
      </c>
      <c r="CD371" s="78">
        <f>IF(OR($CC371="REO",$CC371="Foreclosure",$CC371="90+ Days Delinquent",$CC371="60 Days Delinquent",$CC371="30 Days Delinquent",$CC371="Non-Performing Matured Balloon"),1,0)</f>
        <v/>
      </c>
      <c r="CE371" s="76">
        <f>IF($AB371="Currently special serv","Currently Specially Serviced",IF($AB371="Returned to master serv","Previously Specially Serviced","Never Specially Serviced"))</f>
        <v/>
      </c>
      <c r="CF371" s="78">
        <f>IF($CE371="Currently Specially Serviced",1,0)</f>
        <v/>
      </c>
      <c r="CG371" s="76">
        <f>IF($AA371="Yes","Currently on Watchlist",IF($AA371="Previously","Previously on Watchlist","Never on Watchlist"))</f>
        <v/>
      </c>
      <c r="CH371" s="78">
        <f>IF($CG371="Currently on Watchlist",1,0)</f>
        <v/>
      </c>
      <c r="CI371" s="76">
        <f>IF($Z371="Full Defeasance","Fully Defeased",IF($Z371="Portion Of Loan Previously Defeased","Partially Defeased",IF($Z371="Defeasance Not Allowable","Not Defeased (Not Permitted)","Not Defeased")))</f>
        <v/>
      </c>
      <c r="CJ371" s="78">
        <f>IF($CI371="Fully Defeased",1,0)</f>
        <v/>
      </c>
      <c r="CK371" s="76">
        <f>IF($R371="IO","Full IO",IF(LEFT($R371&amp;"",7)="IO then","Partial IO","Amortizing"))</f>
        <v/>
      </c>
      <c r="CL371" s="78">
        <f>IF($CK371="Full IO",1,0)</f>
        <v/>
      </c>
      <c r="CM371" s="78">
        <f>IF($CK371="Partial IO",1,0)</f>
        <v/>
      </c>
      <c r="CN371" s="76">
        <f>IF(LEFT($F371&amp;"",10)="SPLIT_LOAN","Pari Passu Split","Standalone")</f>
        <v/>
      </c>
      <c r="CO371" s="78">
        <f>IF($CN371="Pari Passu Split",1,0)</f>
        <v/>
      </c>
      <c r="CP371" s="77">
        <f>IF(ISNUMBER($T371),YEAR($T371),"")</f>
        <v/>
      </c>
      <c r="CQ371" s="79">
        <f>IF(ISNUMBER($V371),$V371,IF(ISNUMBER($U371),$U371,""))</f>
        <v/>
      </c>
      <c r="CR371" s="77">
        <f>IF(ISNUMBER($CQ371),YEAR($CQ371),"")</f>
        <v/>
      </c>
      <c r="CS371" s="78">
        <f>IF(ISNUMBER($M371),MAX(0,$M371),IF(TRIM($M371&amp;"")="matured",0,""))</f>
        <v/>
      </c>
      <c r="CT371" s="78">
        <f>IF(AND(ISNUMBER($CS371),N($CS371)&lt;=mMatWindow),1,0)</f>
        <v/>
      </c>
      <c r="CU371" s="80">
        <f>IF(ISNUMBER($J371),$J371/100,"")</f>
        <v/>
      </c>
      <c r="CV371" s="81">
        <f>IF(ISNUMBER($AQ371),$AQ371,"")</f>
        <v/>
      </c>
      <c r="CW371" s="81">
        <f>IF(ISNUMBER($AR371),$AR371,"")</f>
        <v/>
      </c>
      <c r="CX371" s="82">
        <f>IF(ISNUMBER($AS371),$AS371/100,"")</f>
        <v/>
      </c>
      <c r="CY371" s="82">
        <f>IF(ISNUMBER($AT371),$AT371/100,"")</f>
        <v/>
      </c>
      <c r="CZ371" s="82">
        <f>IF(ISNUMBER($AU371),$AU371/100,"")</f>
        <v/>
      </c>
      <c r="DA371" s="82">
        <f>IF(ISNUMBER($AV371),$AV371/100,"")</f>
        <v/>
      </c>
      <c r="DB371" s="82">
        <f>IF(ISNUMBER($AW371),$AW371/100,"")</f>
        <v/>
      </c>
      <c r="DC371" s="82">
        <f>IF(ISNUMBER($AX371),$AX371/100,"")</f>
        <v/>
      </c>
      <c r="DD371" s="77">
        <f>IFERROR(VALUE(LEFT(TRIM($AO371&amp;""),4)),"")</f>
        <v/>
      </c>
      <c r="DE371" s="78">
        <f>IF(AND($BY371=1,$BX371=1,OR(fDeal="All Deals",$BU371=fDeal),OR(fEntity="All Entities",$BV371=fEntity),OR(fPType="All Property Types",$BZ371=fPType),OR(fDefeased="Include",$CJ371=0)),1,0)</f>
        <v/>
      </c>
      <c r="DF371" s="83">
        <f>$DE371*N($I371)</f>
        <v/>
      </c>
      <c r="DG371" s="78">
        <f>IF($DE371=1,IF(COUNTIFS($F$8:$F371,$F371,$DE$8:$DE371,1)=1,1,0),0)</f>
        <v/>
      </c>
      <c r="DH371" s="83">
        <f>IF($DG371=1,SUMIFS($DF$8:$DF$1600,$F$8:$F$1600,$F371),0)</f>
        <v/>
      </c>
      <c r="DI371" s="78">
        <f>IF($DG371=1,COUNTIFS($F$8:$F$1600,$F371,$DE$8:$DE$1600,1),0)</f>
        <v/>
      </c>
      <c r="DJ371" s="84">
        <f>IF($DG371=1,$DH371+(100000-ROW())/mTieBreak,0)</f>
        <v/>
      </c>
    </row>
    <row r="372">
      <c r="B372" s="68" t="n">
        <v>53</v>
      </c>
      <c r="C372" s="69" t="inlineStr">
        <is>
          <t>UBS18C08</t>
        </is>
      </c>
      <c r="D372" s="69" t="inlineStr">
        <is>
          <t>53.000</t>
        </is>
      </c>
      <c r="E372" s="69" t="inlineStr">
        <is>
          <t>Lauderdale Manor</t>
        </is>
      </c>
      <c r="F372" s="69" t="inlineStr">
        <is>
          <t>LNUBS18C08-53.000</t>
        </is>
      </c>
      <c r="G372" s="70" t="n"/>
      <c r="H372" s="71" t="n">
        <v>5775000</v>
      </c>
      <c r="I372" s="71" t="n">
        <v>5249949.9499986</v>
      </c>
      <c r="J372" s="72" t="n">
        <v>4.93</v>
      </c>
      <c r="K372" s="69" t="inlineStr">
        <is>
          <t>Fixed rate</t>
        </is>
      </c>
      <c r="L372" s="68" t="n">
        <v>120</v>
      </c>
      <c r="M372" s="68" t="n">
        <v>17</v>
      </c>
      <c r="N372" s="68" t="n">
        <v>396</v>
      </c>
      <c r="O372" s="68" t="n">
        <v>36</v>
      </c>
      <c r="P372" s="68" t="n">
        <v>0</v>
      </c>
      <c r="Q372" s="68" t="n">
        <v>103</v>
      </c>
      <c r="R372" s="69" t="inlineStr">
        <is>
          <t>IO then Amort</t>
        </is>
      </c>
      <c r="S372" s="69" t="inlineStr">
        <is>
          <t>No</t>
        </is>
      </c>
      <c r="T372" s="73" t="n">
        <v>43132</v>
      </c>
      <c r="U372" s="73" t="n">
        <v>46789</v>
      </c>
      <c r="V372" s="73" t="n"/>
      <c r="W372" s="69" t="n"/>
      <c r="X372" s="69" t="inlineStr">
        <is>
          <t>Current</t>
        </is>
      </c>
      <c r="Y372" s="68" t="n"/>
      <c r="Z372" s="69" t="inlineStr">
        <is>
          <t>No Defeasance Occurred</t>
        </is>
      </c>
      <c r="AA372" s="69" t="inlineStr">
        <is>
          <t>Previously</t>
        </is>
      </c>
      <c r="AB372" s="69" t="inlineStr">
        <is>
          <t>Never special serv</t>
        </is>
      </c>
      <c r="AC372" s="73" t="n"/>
      <c r="AD372" s="69" t="n"/>
      <c r="AE372" s="69" t="n"/>
      <c r="AF372" s="69" t="inlineStr">
        <is>
          <t>FL</t>
        </is>
      </c>
      <c r="AG372" s="69" t="inlineStr">
        <is>
          <t>Fort Lauderdale</t>
        </is>
      </c>
      <c r="AH372" s="69" t="inlineStr">
        <is>
          <t>Miami-Fort Lauderdale-West Palm Beach, FL</t>
        </is>
      </c>
      <c r="AI372" s="69" t="inlineStr">
        <is>
          <t>South / Atlantic</t>
        </is>
      </c>
      <c r="AJ372" s="69" t="inlineStr">
        <is>
          <t>RT</t>
        </is>
      </c>
      <c r="AK372" s="69" t="inlineStr">
        <is>
          <t>Anchored</t>
        </is>
      </c>
      <c r="AL372" s="68" t="n">
        <v>1</v>
      </c>
      <c r="AM372" s="68" t="n"/>
      <c r="AN372" s="68" t="n">
        <v>77627</v>
      </c>
      <c r="AO372" s="69" t="inlineStr">
        <is>
          <t>1951</t>
        </is>
      </c>
      <c r="AP372" s="70" t="n">
        <v>1951</v>
      </c>
      <c r="AQ372" s="74" t="n">
        <v>1.46</v>
      </c>
      <c r="AR372" s="74" t="n">
        <v>2.09</v>
      </c>
      <c r="AS372" s="74" t="n">
        <v>71.3</v>
      </c>
      <c r="AT372" s="74" t="n">
        <v>64.81</v>
      </c>
      <c r="AU372" s="74" t="n">
        <v>63</v>
      </c>
      <c r="AV372" s="74" t="n">
        <v>9.299688312000001</v>
      </c>
      <c r="AW372" s="74" t="n">
        <v>15.068144221</v>
      </c>
      <c r="AX372" s="75" t="n">
        <v>100</v>
      </c>
      <c r="AY372" s="71" t="n">
        <v>8100000</v>
      </c>
      <c r="AZ372" s="71" t="n">
        <v>8100000</v>
      </c>
      <c r="BA372" s="71" t="n">
        <v>537057</v>
      </c>
      <c r="BB372" s="71" t="n">
        <v>772557.54</v>
      </c>
      <c r="BC372" s="69" t="inlineStr">
        <is>
          <t>Acquisition</t>
        </is>
      </c>
      <c r="BD372" s="69" t="inlineStr">
        <is>
          <t>N</t>
        </is>
      </c>
      <c r="BE372" s="71" t="n"/>
      <c r="BF372" s="71" t="n"/>
      <c r="BG372" s="71" t="n"/>
      <c r="BH372" s="71" t="n">
        <v>0</v>
      </c>
      <c r="BI372" s="71" t="n">
        <v>0</v>
      </c>
      <c r="BJ372" s="69" t="inlineStr">
        <is>
          <t>N</t>
        </is>
      </c>
      <c r="BK372" s="69" t="inlineStr">
        <is>
          <t>D D's Discounts # 5108</t>
        </is>
      </c>
      <c r="BL372" s="75" t="n">
        <v>27.83</v>
      </c>
      <c r="BM372" s="73" t="n">
        <v>48244</v>
      </c>
      <c r="BN372" s="69" t="inlineStr">
        <is>
          <t>Leon Ojalvo; Steven Hurowitz</t>
        </is>
      </c>
      <c r="BO372" s="69" t="inlineStr">
        <is>
          <t>RMF</t>
        </is>
      </c>
      <c r="BP372" s="69" t="inlineStr">
        <is>
          <t>Midland Loan Services</t>
        </is>
      </c>
      <c r="BQ372" s="69" t="inlineStr">
        <is>
          <t>Midland Loan Services</t>
        </is>
      </c>
      <c r="BR372" s="69" t="n"/>
      <c r="BS372" s="73" t="n">
        <v>46276</v>
      </c>
      <c r="BU372" s="76">
        <f>IF($C372="","",IFERROR(INDEX(dmName,MATCH($C372,dmID,0)),"Unmapped"))</f>
        <v/>
      </c>
      <c r="BV372" s="76">
        <f>IF($C372="","",IFERROR(INDEX(dmEntity,MATCH($C372,dmID,0)),"Unmapped"))</f>
        <v/>
      </c>
      <c r="BW372" s="77">
        <f>IF($C372="","",IFERROR(INDEX(dmVintage,MATCH($C372,dmID,0)),""))</f>
        <v/>
      </c>
      <c r="BX372" s="78">
        <f>IFERROR(INDEX(dmInclude,MATCH($C372,dmID,0)),0)</f>
        <v/>
      </c>
      <c r="BY372" s="78">
        <f>IF(N($I372)&gt;0,1,0)</f>
        <v/>
      </c>
      <c r="BZ372" s="76">
        <f>IF($AJ372="","Other / Leased Fee",IFERROR(INDEX(mapPTGroup,MATCH(LEFT(TRIM($AJ372),2),mapPTCode,0)),"Other / Leased Fee"))</f>
        <v/>
      </c>
      <c r="CA372" s="76">
        <f>IF(TRIM($AF372&amp;"")="","NR",LEFT(TRIM($AF372),2))</f>
        <v/>
      </c>
      <c r="CB372" s="76">
        <f>IFERROR(LOOKUP(2,1/(LEFT(TRIM($AI372&amp;""),LEN(mapRegion))=mapRegion),mapRegion),"Not Reported")</f>
        <v/>
      </c>
      <c r="CC372" s="76">
        <f>IF($BY372=0,"",IF(TRIM($W372&amp;"")="REO","REO",IF(TRIM($W372&amp;"")="FC","Foreclosure",IF(TRIM($W372&amp;"")="90+","90+ Days Delinquent",IF(TRIM($W372&amp;"")="60","60 Days Delinquent",IF(TRIM($W372&amp;"")="30","30 Days Delinquent",IF($X372="Non-Performing Matured Balloon","Non-Performing Matured Balloon",IF(OR($X372="Late Payment But Less Than 30 Days Delinquent",LEFT($X372&amp;"",20)="Payment Not Received"),"Late / In Grace (&lt;30 Days)",IF($X372="Performing Matured Balloon","Performing Matured Balloon","Current")))))))))</f>
        <v/>
      </c>
      <c r="CD372" s="78">
        <f>IF(OR($CC372="REO",$CC372="Foreclosure",$CC372="90+ Days Delinquent",$CC372="60 Days Delinquent",$CC372="30 Days Delinquent",$CC372="Non-Performing Matured Balloon"),1,0)</f>
        <v/>
      </c>
      <c r="CE372" s="76">
        <f>IF($AB372="Currently special serv","Currently Specially Serviced",IF($AB372="Returned to master serv","Previously Specially Serviced","Never Specially Serviced"))</f>
        <v/>
      </c>
      <c r="CF372" s="78">
        <f>IF($CE372="Currently Specially Serviced",1,0)</f>
        <v/>
      </c>
      <c r="CG372" s="76">
        <f>IF($AA372="Yes","Currently on Watchlist",IF($AA372="Previously","Previously on Watchlist","Never on Watchlist"))</f>
        <v/>
      </c>
      <c r="CH372" s="78">
        <f>IF($CG372="Currently on Watchlist",1,0)</f>
        <v/>
      </c>
      <c r="CI372" s="76">
        <f>IF($Z372="Full Defeasance","Fully Defeased",IF($Z372="Portion Of Loan Previously Defeased","Partially Defeased",IF($Z372="Defeasance Not Allowable","Not Defeased (Not Permitted)","Not Defeased")))</f>
        <v/>
      </c>
      <c r="CJ372" s="78">
        <f>IF($CI372="Fully Defeased",1,0)</f>
        <v/>
      </c>
      <c r="CK372" s="76">
        <f>IF($R372="IO","Full IO",IF(LEFT($R372&amp;"",7)="IO then","Partial IO","Amortizing"))</f>
        <v/>
      </c>
      <c r="CL372" s="78">
        <f>IF($CK372="Full IO",1,0)</f>
        <v/>
      </c>
      <c r="CM372" s="78">
        <f>IF($CK372="Partial IO",1,0)</f>
        <v/>
      </c>
      <c r="CN372" s="76">
        <f>IF(LEFT($F372&amp;"",10)="SPLIT_LOAN","Pari Passu Split","Standalone")</f>
        <v/>
      </c>
      <c r="CO372" s="78">
        <f>IF($CN372="Pari Passu Split",1,0)</f>
        <v/>
      </c>
      <c r="CP372" s="77">
        <f>IF(ISNUMBER($T372),YEAR($T372),"")</f>
        <v/>
      </c>
      <c r="CQ372" s="79">
        <f>IF(ISNUMBER($V372),$V372,IF(ISNUMBER($U372),$U372,""))</f>
        <v/>
      </c>
      <c r="CR372" s="77">
        <f>IF(ISNUMBER($CQ372),YEAR($CQ372),"")</f>
        <v/>
      </c>
      <c r="CS372" s="78">
        <f>IF(ISNUMBER($M372),MAX(0,$M372),IF(TRIM($M372&amp;"")="matured",0,""))</f>
        <v/>
      </c>
      <c r="CT372" s="78">
        <f>IF(AND(ISNUMBER($CS372),N($CS372)&lt;=mMatWindow),1,0)</f>
        <v/>
      </c>
      <c r="CU372" s="80">
        <f>IF(ISNUMBER($J372),$J372/100,"")</f>
        <v/>
      </c>
      <c r="CV372" s="81">
        <f>IF(ISNUMBER($AQ372),$AQ372,"")</f>
        <v/>
      </c>
      <c r="CW372" s="81">
        <f>IF(ISNUMBER($AR372),$AR372,"")</f>
        <v/>
      </c>
      <c r="CX372" s="82">
        <f>IF(ISNUMBER($AS372),$AS372/100,"")</f>
        <v/>
      </c>
      <c r="CY372" s="82">
        <f>IF(ISNUMBER($AT372),$AT372/100,"")</f>
        <v/>
      </c>
      <c r="CZ372" s="82">
        <f>IF(ISNUMBER($AU372),$AU372/100,"")</f>
        <v/>
      </c>
      <c r="DA372" s="82">
        <f>IF(ISNUMBER($AV372),$AV372/100,"")</f>
        <v/>
      </c>
      <c r="DB372" s="82">
        <f>IF(ISNUMBER($AW372),$AW372/100,"")</f>
        <v/>
      </c>
      <c r="DC372" s="82">
        <f>IF(ISNUMBER($AX372),$AX372/100,"")</f>
        <v/>
      </c>
      <c r="DD372" s="77">
        <f>IFERROR(VALUE(LEFT(TRIM($AO372&amp;""),4)),"")</f>
        <v/>
      </c>
      <c r="DE372" s="78">
        <f>IF(AND($BY372=1,$BX372=1,OR(fDeal="All Deals",$BU372=fDeal),OR(fEntity="All Entities",$BV372=fEntity),OR(fPType="All Property Types",$BZ372=fPType),OR(fDefeased="Include",$CJ372=0)),1,0)</f>
        <v/>
      </c>
      <c r="DF372" s="83">
        <f>$DE372*N($I372)</f>
        <v/>
      </c>
      <c r="DG372" s="78">
        <f>IF($DE372=1,IF(COUNTIFS($F$8:$F372,$F372,$DE$8:$DE372,1)=1,1,0),0)</f>
        <v/>
      </c>
      <c r="DH372" s="83">
        <f>IF($DG372=1,SUMIFS($DF$8:$DF$1600,$F$8:$F$1600,$F372),0)</f>
        <v/>
      </c>
      <c r="DI372" s="78">
        <f>IF($DG372=1,COUNTIFS($F$8:$F$1600,$F372,$DE$8:$DE$1600,1),0)</f>
        <v/>
      </c>
      <c r="DJ372" s="84">
        <f>IF($DG372=1,$DH372+(100000-ROW())/mTieBreak,0)</f>
        <v/>
      </c>
    </row>
    <row r="373">
      <c r="B373" s="68" t="n">
        <v>54</v>
      </c>
      <c r="C373" s="69" t="inlineStr">
        <is>
          <t>UBS18C08</t>
        </is>
      </c>
      <c r="D373" s="69" t="inlineStr">
        <is>
          <t>54.000</t>
        </is>
      </c>
      <c r="E373" s="69" t="inlineStr">
        <is>
          <t>The Avery Georgetown</t>
        </is>
      </c>
      <c r="F373" s="69" t="inlineStr">
        <is>
          <t>LNUBS18C08-54.000</t>
        </is>
      </c>
      <c r="G373" s="70" t="n"/>
      <c r="H373" s="71" t="n">
        <v>5500000</v>
      </c>
      <c r="I373" s="71" t="n">
        <v>0</v>
      </c>
      <c r="J373" s="72" t="n">
        <v>4.931</v>
      </c>
      <c r="K373" s="69" t="inlineStr">
        <is>
          <t>Fixed rate</t>
        </is>
      </c>
      <c r="L373" s="68" t="n">
        <v>120</v>
      </c>
      <c r="M373" s="68" t="n"/>
      <c r="N373" s="68" t="n">
        <v>360</v>
      </c>
      <c r="O373" s="68" t="n"/>
      <c r="P373" s="68" t="n"/>
      <c r="Q373" s="68" t="n"/>
      <c r="R373" s="69" t="n"/>
      <c r="S373" s="69" t="inlineStr">
        <is>
          <t>No</t>
        </is>
      </c>
      <c r="T373" s="73" t="n">
        <v>43101</v>
      </c>
      <c r="U373" s="73" t="n">
        <v>46758</v>
      </c>
      <c r="V373" s="73" t="n"/>
      <c r="W373" s="69" t="n"/>
      <c r="X373" s="69" t="inlineStr">
        <is>
          <t>Current</t>
        </is>
      </c>
      <c r="Y373" s="68" t="n"/>
      <c r="Z373" s="69" t="inlineStr">
        <is>
          <t>Defeasance Not Allowable</t>
        </is>
      </c>
      <c r="AA373" s="69" t="inlineStr">
        <is>
          <t>Previously</t>
        </is>
      </c>
      <c r="AB373" s="69" t="inlineStr">
        <is>
          <t>Currently special serv</t>
        </is>
      </c>
      <c r="AC373" s="73" t="n">
        <v>43930</v>
      </c>
      <c r="AD373" s="69" t="inlineStr">
        <is>
          <t>Other</t>
        </is>
      </c>
      <c r="AE373" s="69" t="inlineStr">
        <is>
          <t>Resolved</t>
        </is>
      </c>
      <c r="AF373" s="69" t="inlineStr">
        <is>
          <t>DC</t>
        </is>
      </c>
      <c r="AG373" s="69" t="inlineStr">
        <is>
          <t>Washington</t>
        </is>
      </c>
      <c r="AH373" s="69" t="inlineStr">
        <is>
          <t>Washington-Arlington-Alexandria, DC-VA-MD-WV</t>
        </is>
      </c>
      <c r="AI373" s="69" t="inlineStr">
        <is>
          <t>South / Atlantic</t>
        </is>
      </c>
      <c r="AJ373" s="69" t="inlineStr">
        <is>
          <t>HT</t>
        </is>
      </c>
      <c r="AK373" s="69" t="inlineStr">
        <is>
          <t>Limited Service</t>
        </is>
      </c>
      <c r="AL373" s="68" t="n">
        <v>1</v>
      </c>
      <c r="AM373" s="68" t="n">
        <v>15</v>
      </c>
      <c r="AN373" s="68" t="n"/>
      <c r="AO373" s="69" t="inlineStr">
        <is>
          <t>1903; 1960</t>
        </is>
      </c>
      <c r="AP373" s="70" t="n">
        <v>2016</v>
      </c>
      <c r="AQ373" s="74" t="n">
        <v>1.62</v>
      </c>
      <c r="AR373" s="74" t="n">
        <v>-0.06</v>
      </c>
      <c r="AS373" s="74" t="n">
        <v>61.7</v>
      </c>
      <c r="AT373" s="74" t="n"/>
      <c r="AU373" s="74" t="n">
        <v>50.7</v>
      </c>
      <c r="AV373" s="74" t="n">
        <v>10.384960727</v>
      </c>
      <c r="AW373" s="74" t="n"/>
      <c r="AX373" s="75" t="n">
        <v>32</v>
      </c>
      <c r="AY373" s="71" t="n">
        <v>8900000</v>
      </c>
      <c r="AZ373" s="71" t="n">
        <v>5700000</v>
      </c>
      <c r="BA373" s="71" t="n">
        <v>571172.84</v>
      </c>
      <c r="BB373" s="71" t="n">
        <v>-22697.75</v>
      </c>
      <c r="BC373" s="69" t="inlineStr">
        <is>
          <t>Refinance</t>
        </is>
      </c>
      <c r="BD373" s="69" t="inlineStr">
        <is>
          <t>N</t>
        </is>
      </c>
      <c r="BE373" s="71" t="n"/>
      <c r="BF373" s="71" t="n"/>
      <c r="BG373" s="71" t="n"/>
      <c r="BH373" s="71" t="n">
        <v>0</v>
      </c>
      <c r="BI373" s="71" t="n">
        <v>0</v>
      </c>
      <c r="BJ373" s="69" t="inlineStr">
        <is>
          <t>N</t>
        </is>
      </c>
      <c r="BK373" s="69" t="n"/>
      <c r="BL373" s="75" t="n"/>
      <c r="BM373" s="73" t="n"/>
      <c r="BN373" s="69" t="inlineStr">
        <is>
          <t>Justin Schneck; Samantha Schneck</t>
        </is>
      </c>
      <c r="BO373" s="69" t="inlineStr">
        <is>
          <t>Barclays</t>
        </is>
      </c>
      <c r="BP373" s="69" t="inlineStr">
        <is>
          <t>Midland Loan Services</t>
        </is>
      </c>
      <c r="BQ373" s="69" t="inlineStr">
        <is>
          <t>Midland Loan Services</t>
        </is>
      </c>
      <c r="BR373" s="69" t="inlineStr">
        <is>
          <t>DPO</t>
        </is>
      </c>
      <c r="BS373" s="73" t="n">
        <v>46276</v>
      </c>
      <c r="BU373" s="76">
        <f>IF($C373="","",IFERROR(INDEX(dmName,MATCH($C373,dmID,0)),"Unmapped"))</f>
        <v/>
      </c>
      <c r="BV373" s="76">
        <f>IF($C373="","",IFERROR(INDEX(dmEntity,MATCH($C373,dmID,0)),"Unmapped"))</f>
        <v/>
      </c>
      <c r="BW373" s="77">
        <f>IF($C373="","",IFERROR(INDEX(dmVintage,MATCH($C373,dmID,0)),""))</f>
        <v/>
      </c>
      <c r="BX373" s="78">
        <f>IFERROR(INDEX(dmInclude,MATCH($C373,dmID,0)),0)</f>
        <v/>
      </c>
      <c r="BY373" s="78">
        <f>IF(N($I373)&gt;0,1,0)</f>
        <v/>
      </c>
      <c r="BZ373" s="76">
        <f>IF($AJ373="","Other / Leased Fee",IFERROR(INDEX(mapPTGroup,MATCH(LEFT(TRIM($AJ373),2),mapPTCode,0)),"Other / Leased Fee"))</f>
        <v/>
      </c>
      <c r="CA373" s="76">
        <f>IF(TRIM($AF373&amp;"")="","NR",LEFT(TRIM($AF373),2))</f>
        <v/>
      </c>
      <c r="CB373" s="76">
        <f>IFERROR(LOOKUP(2,1/(LEFT(TRIM($AI373&amp;""),LEN(mapRegion))=mapRegion),mapRegion),"Not Reported")</f>
        <v/>
      </c>
      <c r="CC373" s="76">
        <f>IF($BY373=0,"",IF(TRIM($W373&amp;"")="REO","REO",IF(TRIM($W373&amp;"")="FC","Foreclosure",IF(TRIM($W373&amp;"")="90+","90+ Days Delinquent",IF(TRIM($W373&amp;"")="60","60 Days Delinquent",IF(TRIM($W373&amp;"")="30","30 Days Delinquent",IF($X373="Non-Performing Matured Balloon","Non-Performing Matured Balloon",IF(OR($X373="Late Payment But Less Than 30 Days Delinquent",LEFT($X373&amp;"",20)="Payment Not Received"),"Late / In Grace (&lt;30 Days)",IF($X373="Performing Matured Balloon","Performing Matured Balloon","Current")))))))))</f>
        <v/>
      </c>
      <c r="CD373" s="78">
        <f>IF(OR($CC373="REO",$CC373="Foreclosure",$CC373="90+ Days Delinquent",$CC373="60 Days Delinquent",$CC373="30 Days Delinquent",$CC373="Non-Performing Matured Balloon"),1,0)</f>
        <v/>
      </c>
      <c r="CE373" s="76">
        <f>IF($AB373="Currently special serv","Currently Specially Serviced",IF($AB373="Returned to master serv","Previously Specially Serviced","Never Specially Serviced"))</f>
        <v/>
      </c>
      <c r="CF373" s="78">
        <f>IF($CE373="Currently Specially Serviced",1,0)</f>
        <v/>
      </c>
      <c r="CG373" s="76">
        <f>IF($AA373="Yes","Currently on Watchlist",IF($AA373="Previously","Previously on Watchlist","Never on Watchlist"))</f>
        <v/>
      </c>
      <c r="CH373" s="78">
        <f>IF($CG373="Currently on Watchlist",1,0)</f>
        <v/>
      </c>
      <c r="CI373" s="76">
        <f>IF($Z373="Full Defeasance","Fully Defeased",IF($Z373="Portion Of Loan Previously Defeased","Partially Defeased",IF($Z373="Defeasance Not Allowable","Not Defeased (Not Permitted)","Not Defeased")))</f>
        <v/>
      </c>
      <c r="CJ373" s="78">
        <f>IF($CI373="Fully Defeased",1,0)</f>
        <v/>
      </c>
      <c r="CK373" s="76">
        <f>IF($R373="IO","Full IO",IF(LEFT($R373&amp;"",7)="IO then","Partial IO","Amortizing"))</f>
        <v/>
      </c>
      <c r="CL373" s="78">
        <f>IF($CK373="Full IO",1,0)</f>
        <v/>
      </c>
      <c r="CM373" s="78">
        <f>IF($CK373="Partial IO",1,0)</f>
        <v/>
      </c>
      <c r="CN373" s="76">
        <f>IF(LEFT($F373&amp;"",10)="SPLIT_LOAN","Pari Passu Split","Standalone")</f>
        <v/>
      </c>
      <c r="CO373" s="78">
        <f>IF($CN373="Pari Passu Split",1,0)</f>
        <v/>
      </c>
      <c r="CP373" s="77">
        <f>IF(ISNUMBER($T373),YEAR($T373),"")</f>
        <v/>
      </c>
      <c r="CQ373" s="79">
        <f>IF(ISNUMBER($V373),$V373,IF(ISNUMBER($U373),$U373,""))</f>
        <v/>
      </c>
      <c r="CR373" s="77">
        <f>IF(ISNUMBER($CQ373),YEAR($CQ373),"")</f>
        <v/>
      </c>
      <c r="CS373" s="78">
        <f>IF(ISNUMBER($M373),MAX(0,$M373),IF(TRIM($M373&amp;"")="matured",0,""))</f>
        <v/>
      </c>
      <c r="CT373" s="78">
        <f>IF(AND(ISNUMBER($CS373),N($CS373)&lt;=mMatWindow),1,0)</f>
        <v/>
      </c>
      <c r="CU373" s="80">
        <f>IF(ISNUMBER($J373),$J373/100,"")</f>
        <v/>
      </c>
      <c r="CV373" s="81">
        <f>IF(ISNUMBER($AQ373),$AQ373,"")</f>
        <v/>
      </c>
      <c r="CW373" s="81">
        <f>IF(ISNUMBER($AR373),$AR373,"")</f>
        <v/>
      </c>
      <c r="CX373" s="82">
        <f>IF(ISNUMBER($AS373),$AS373/100,"")</f>
        <v/>
      </c>
      <c r="CY373" s="82">
        <f>IF(ISNUMBER($AT373),$AT373/100,"")</f>
        <v/>
      </c>
      <c r="CZ373" s="82">
        <f>IF(ISNUMBER($AU373),$AU373/100,"")</f>
        <v/>
      </c>
      <c r="DA373" s="82">
        <f>IF(ISNUMBER($AV373),$AV373/100,"")</f>
        <v/>
      </c>
      <c r="DB373" s="82">
        <f>IF(ISNUMBER($AW373),$AW373/100,"")</f>
        <v/>
      </c>
      <c r="DC373" s="82">
        <f>IF(ISNUMBER($AX373),$AX373/100,"")</f>
        <v/>
      </c>
      <c r="DD373" s="77">
        <f>IFERROR(VALUE(LEFT(TRIM($AO373&amp;""),4)),"")</f>
        <v/>
      </c>
      <c r="DE373" s="78">
        <f>IF(AND($BY373=1,$BX373=1,OR(fDeal="All Deals",$BU373=fDeal),OR(fEntity="All Entities",$BV373=fEntity),OR(fPType="All Property Types",$BZ373=fPType),OR(fDefeased="Include",$CJ373=0)),1,0)</f>
        <v/>
      </c>
      <c r="DF373" s="83">
        <f>$DE373*N($I373)</f>
        <v/>
      </c>
      <c r="DG373" s="78">
        <f>IF($DE373=1,IF(COUNTIFS($F$8:$F373,$F373,$DE$8:$DE373,1)=1,1,0),0)</f>
        <v/>
      </c>
      <c r="DH373" s="83">
        <f>IF($DG373=1,SUMIFS($DF$8:$DF$1600,$F$8:$F$1600,$F373),0)</f>
        <v/>
      </c>
      <c r="DI373" s="78">
        <f>IF($DG373=1,COUNTIFS($F$8:$F$1600,$F373,$DE$8:$DE$1600,1),0)</f>
        <v/>
      </c>
      <c r="DJ373" s="84">
        <f>IF($DG373=1,$DH373+(100000-ROW())/mTieBreak,0)</f>
        <v/>
      </c>
    </row>
    <row r="374">
      <c r="B374" s="68" t="n">
        <v>55</v>
      </c>
      <c r="C374" s="69" t="inlineStr">
        <is>
          <t>UBS18C08</t>
        </is>
      </c>
      <c r="D374" s="69" t="inlineStr">
        <is>
          <t>55.000</t>
        </is>
      </c>
      <c r="E374" s="69" t="inlineStr">
        <is>
          <t>Appleton Self Storage</t>
        </is>
      </c>
      <c r="F374" s="69" t="inlineStr">
        <is>
          <t>LNUBS18C08-55.000</t>
        </is>
      </c>
      <c r="G374" s="70" t="n"/>
      <c r="H374" s="71" t="n">
        <v>4600000</v>
      </c>
      <c r="I374" s="71" t="n">
        <v>3889335.019997801</v>
      </c>
      <c r="J374" s="72" t="n">
        <v>4.908</v>
      </c>
      <c r="K374" s="69" t="inlineStr">
        <is>
          <t>Fixed rate</t>
        </is>
      </c>
      <c r="L374" s="68" t="n">
        <v>120</v>
      </c>
      <c r="M374" s="68" t="n">
        <v>14</v>
      </c>
      <c r="N374" s="68" t="n">
        <v>360</v>
      </c>
      <c r="O374" s="68" t="n"/>
      <c r="P374" s="68" t="n"/>
      <c r="Q374" s="68" t="n">
        <v>106</v>
      </c>
      <c r="R374" s="69" t="n"/>
      <c r="S374" s="69" t="inlineStr">
        <is>
          <t>No</t>
        </is>
      </c>
      <c r="T374" s="73" t="n">
        <v>43040</v>
      </c>
      <c r="U374" s="73" t="n">
        <v>46697</v>
      </c>
      <c r="V374" s="73" t="n"/>
      <c r="W374" s="69" t="n"/>
      <c r="X374" s="69" t="inlineStr">
        <is>
          <t>Current</t>
        </is>
      </c>
      <c r="Y374" s="68" t="n"/>
      <c r="Z374" s="69" t="inlineStr">
        <is>
          <t>Full Defeasance</t>
        </is>
      </c>
      <c r="AA374" s="69" t="n"/>
      <c r="AB374" s="69" t="inlineStr">
        <is>
          <t>Never special serv</t>
        </is>
      </c>
      <c r="AC374" s="73" t="n"/>
      <c r="AD374" s="69" t="n"/>
      <c r="AE374" s="69" t="n"/>
      <c r="AF374" s="69" t="inlineStr">
        <is>
          <t>WI</t>
        </is>
      </c>
      <c r="AG374" s="69" t="inlineStr">
        <is>
          <t>Appleton</t>
        </is>
      </c>
      <c r="AH374" s="69" t="inlineStr">
        <is>
          <t>Appleton, WI</t>
        </is>
      </c>
      <c r="AI374" s="69" t="inlineStr">
        <is>
          <t>Midwest / Central East</t>
        </is>
      </c>
      <c r="AJ374" s="69" t="inlineStr">
        <is>
          <t>SS</t>
        </is>
      </c>
      <c r="AK374" s="69" t="n"/>
      <c r="AL374" s="68" t="n">
        <v>1</v>
      </c>
      <c r="AM374" s="68" t="n"/>
      <c r="AN374" s="68" t="n">
        <v>91680</v>
      </c>
      <c r="AO374" s="69" t="inlineStr">
        <is>
          <t>1955</t>
        </is>
      </c>
      <c r="AP374" s="70" t="n">
        <v>2013</v>
      </c>
      <c r="AQ374" s="74" t="n">
        <v>1.45</v>
      </c>
      <c r="AR374" s="74" t="n">
        <v>1.63</v>
      </c>
      <c r="AS374" s="74" t="n">
        <v>52.8</v>
      </c>
      <c r="AT374" s="74" t="n">
        <v>44.76</v>
      </c>
      <c r="AU374" s="74" t="n">
        <v>43.4</v>
      </c>
      <c r="AV374" s="74" t="n">
        <v>9.255543478</v>
      </c>
      <c r="AW374" s="74" t="n">
        <v>12.259707059</v>
      </c>
      <c r="AX374" s="75" t="n">
        <v>86</v>
      </c>
      <c r="AY374" s="71" t="n">
        <v>8690000</v>
      </c>
      <c r="AZ374" s="71" t="n">
        <v>8690000</v>
      </c>
      <c r="BA374" s="71" t="n">
        <v>425755</v>
      </c>
      <c r="BB374" s="71" t="n">
        <v>476821.08</v>
      </c>
      <c r="BC374" s="69" t="inlineStr">
        <is>
          <t>Refinance</t>
        </is>
      </c>
      <c r="BD374" s="69" t="inlineStr">
        <is>
          <t>N</t>
        </is>
      </c>
      <c r="BE374" s="71" t="n"/>
      <c r="BF374" s="71" t="n"/>
      <c r="BG374" s="71" t="n"/>
      <c r="BH374" s="71" t="n">
        <v>0</v>
      </c>
      <c r="BI374" s="71" t="n">
        <v>0</v>
      </c>
      <c r="BJ374" s="69" t="inlineStr">
        <is>
          <t>N</t>
        </is>
      </c>
      <c r="BK374" s="69" t="n"/>
      <c r="BL374" s="75" t="n"/>
      <c r="BM374" s="73" t="n"/>
      <c r="BN374" s="69" t="inlineStr">
        <is>
          <t>James B. O'Malley</t>
        </is>
      </c>
      <c r="BO374" s="69" t="inlineStr">
        <is>
          <t>Barclays</t>
        </is>
      </c>
      <c r="BP374" s="69" t="inlineStr">
        <is>
          <t>Midland Loan Services</t>
        </is>
      </c>
      <c r="BQ374" s="69" t="inlineStr">
        <is>
          <t>Midland Loan Services</t>
        </is>
      </c>
      <c r="BR374" s="69" t="n"/>
      <c r="BS374" s="73" t="n">
        <v>46276</v>
      </c>
      <c r="BU374" s="76">
        <f>IF($C374="","",IFERROR(INDEX(dmName,MATCH($C374,dmID,0)),"Unmapped"))</f>
        <v/>
      </c>
      <c r="BV374" s="76">
        <f>IF($C374="","",IFERROR(INDEX(dmEntity,MATCH($C374,dmID,0)),"Unmapped"))</f>
        <v/>
      </c>
      <c r="BW374" s="77">
        <f>IF($C374="","",IFERROR(INDEX(dmVintage,MATCH($C374,dmID,0)),""))</f>
        <v/>
      </c>
      <c r="BX374" s="78">
        <f>IFERROR(INDEX(dmInclude,MATCH($C374,dmID,0)),0)</f>
        <v/>
      </c>
      <c r="BY374" s="78">
        <f>IF(N($I374)&gt;0,1,0)</f>
        <v/>
      </c>
      <c r="BZ374" s="76">
        <f>IF($AJ374="","Other / Leased Fee",IFERROR(INDEX(mapPTGroup,MATCH(LEFT(TRIM($AJ374),2),mapPTCode,0)),"Other / Leased Fee"))</f>
        <v/>
      </c>
      <c r="CA374" s="76">
        <f>IF(TRIM($AF374&amp;"")="","NR",LEFT(TRIM($AF374),2))</f>
        <v/>
      </c>
      <c r="CB374" s="76">
        <f>IFERROR(LOOKUP(2,1/(LEFT(TRIM($AI374&amp;""),LEN(mapRegion))=mapRegion),mapRegion),"Not Reported")</f>
        <v/>
      </c>
      <c r="CC374" s="76">
        <f>IF($BY374=0,"",IF(TRIM($W374&amp;"")="REO","REO",IF(TRIM($W374&amp;"")="FC","Foreclosure",IF(TRIM($W374&amp;"")="90+","90+ Days Delinquent",IF(TRIM($W374&amp;"")="60","60 Days Delinquent",IF(TRIM($W374&amp;"")="30","30 Days Delinquent",IF($X374="Non-Performing Matured Balloon","Non-Performing Matured Balloon",IF(OR($X374="Late Payment But Less Than 30 Days Delinquent",LEFT($X374&amp;"",20)="Payment Not Received"),"Late / In Grace (&lt;30 Days)",IF($X374="Performing Matured Balloon","Performing Matured Balloon","Current")))))))))</f>
        <v/>
      </c>
      <c r="CD374" s="78">
        <f>IF(OR($CC374="REO",$CC374="Foreclosure",$CC374="90+ Days Delinquent",$CC374="60 Days Delinquent",$CC374="30 Days Delinquent",$CC374="Non-Performing Matured Balloon"),1,0)</f>
        <v/>
      </c>
      <c r="CE374" s="76">
        <f>IF($AB374="Currently special serv","Currently Specially Serviced",IF($AB374="Returned to master serv","Previously Specially Serviced","Never Specially Serviced"))</f>
        <v/>
      </c>
      <c r="CF374" s="78">
        <f>IF($CE374="Currently Specially Serviced",1,0)</f>
        <v/>
      </c>
      <c r="CG374" s="76">
        <f>IF($AA374="Yes","Currently on Watchlist",IF($AA374="Previously","Previously on Watchlist","Never on Watchlist"))</f>
        <v/>
      </c>
      <c r="CH374" s="78">
        <f>IF($CG374="Currently on Watchlist",1,0)</f>
        <v/>
      </c>
      <c r="CI374" s="76">
        <f>IF($Z374="Full Defeasance","Fully Defeased",IF($Z374="Portion Of Loan Previously Defeased","Partially Defeased",IF($Z374="Defeasance Not Allowable","Not Defeased (Not Permitted)","Not Defeased")))</f>
        <v/>
      </c>
      <c r="CJ374" s="78">
        <f>IF($CI374="Fully Defeased",1,0)</f>
        <v/>
      </c>
      <c r="CK374" s="76">
        <f>IF($R374="IO","Full IO",IF(LEFT($R374&amp;"",7)="IO then","Partial IO","Amortizing"))</f>
        <v/>
      </c>
      <c r="CL374" s="78">
        <f>IF($CK374="Full IO",1,0)</f>
        <v/>
      </c>
      <c r="CM374" s="78">
        <f>IF($CK374="Partial IO",1,0)</f>
        <v/>
      </c>
      <c r="CN374" s="76">
        <f>IF(LEFT($F374&amp;"",10)="SPLIT_LOAN","Pari Passu Split","Standalone")</f>
        <v/>
      </c>
      <c r="CO374" s="78">
        <f>IF($CN374="Pari Passu Split",1,0)</f>
        <v/>
      </c>
      <c r="CP374" s="77">
        <f>IF(ISNUMBER($T374),YEAR($T374),"")</f>
        <v/>
      </c>
      <c r="CQ374" s="79">
        <f>IF(ISNUMBER($V374),$V374,IF(ISNUMBER($U374),$U374,""))</f>
        <v/>
      </c>
      <c r="CR374" s="77">
        <f>IF(ISNUMBER($CQ374),YEAR($CQ374),"")</f>
        <v/>
      </c>
      <c r="CS374" s="78">
        <f>IF(ISNUMBER($M374),MAX(0,$M374),IF(TRIM($M374&amp;"")="matured",0,""))</f>
        <v/>
      </c>
      <c r="CT374" s="78">
        <f>IF(AND(ISNUMBER($CS374),N($CS374)&lt;=mMatWindow),1,0)</f>
        <v/>
      </c>
      <c r="CU374" s="80">
        <f>IF(ISNUMBER($J374),$J374/100,"")</f>
        <v/>
      </c>
      <c r="CV374" s="81">
        <f>IF(ISNUMBER($AQ374),$AQ374,"")</f>
        <v/>
      </c>
      <c r="CW374" s="81">
        <f>IF(ISNUMBER($AR374),$AR374,"")</f>
        <v/>
      </c>
      <c r="CX374" s="82">
        <f>IF(ISNUMBER($AS374),$AS374/100,"")</f>
        <v/>
      </c>
      <c r="CY374" s="82">
        <f>IF(ISNUMBER($AT374),$AT374/100,"")</f>
        <v/>
      </c>
      <c r="CZ374" s="82">
        <f>IF(ISNUMBER($AU374),$AU374/100,"")</f>
        <v/>
      </c>
      <c r="DA374" s="82">
        <f>IF(ISNUMBER($AV374),$AV374/100,"")</f>
        <v/>
      </c>
      <c r="DB374" s="82">
        <f>IF(ISNUMBER($AW374),$AW374/100,"")</f>
        <v/>
      </c>
      <c r="DC374" s="82">
        <f>IF(ISNUMBER($AX374),$AX374/100,"")</f>
        <v/>
      </c>
      <c r="DD374" s="77">
        <f>IFERROR(VALUE(LEFT(TRIM($AO374&amp;""),4)),"")</f>
        <v/>
      </c>
      <c r="DE374" s="78">
        <f>IF(AND($BY374=1,$BX374=1,OR(fDeal="All Deals",$BU374=fDeal),OR(fEntity="All Entities",$BV374=fEntity),OR(fPType="All Property Types",$BZ374=fPType),OR(fDefeased="Include",$CJ374=0)),1,0)</f>
        <v/>
      </c>
      <c r="DF374" s="83">
        <f>$DE374*N($I374)</f>
        <v/>
      </c>
      <c r="DG374" s="78">
        <f>IF($DE374=1,IF(COUNTIFS($F$8:$F374,$F374,$DE$8:$DE374,1)=1,1,0),0)</f>
        <v/>
      </c>
      <c r="DH374" s="83">
        <f>IF($DG374=1,SUMIFS($DF$8:$DF$1600,$F$8:$F$1600,$F374),0)</f>
        <v/>
      </c>
      <c r="DI374" s="78">
        <f>IF($DG374=1,COUNTIFS($F$8:$F$1600,$F374,$DE$8:$DE$1600,1),0)</f>
        <v/>
      </c>
      <c r="DJ374" s="84">
        <f>IF($DG374=1,$DH374+(100000-ROW())/mTieBreak,0)</f>
        <v/>
      </c>
    </row>
    <row r="375">
      <c r="B375" s="68" t="n">
        <v>56</v>
      </c>
      <c r="C375" s="69" t="inlineStr">
        <is>
          <t>UBS18C08</t>
        </is>
      </c>
      <c r="D375" s="69" t="inlineStr">
        <is>
          <t>56.000</t>
        </is>
      </c>
      <c r="E375" s="69" t="inlineStr">
        <is>
          <t>100 Fairfield</t>
        </is>
      </c>
      <c r="F375" s="69" t="inlineStr">
        <is>
          <t>LNUBS18C08-56.000</t>
        </is>
      </c>
      <c r="G375" s="70" t="n"/>
      <c r="H375" s="71" t="n">
        <v>4500000</v>
      </c>
      <c r="I375" s="71" t="n">
        <v>3813390.869998501</v>
      </c>
      <c r="J375" s="72" t="n">
        <v>4.768</v>
      </c>
      <c r="K375" s="69" t="inlineStr">
        <is>
          <t>Fixed rate</t>
        </is>
      </c>
      <c r="L375" s="68" t="n">
        <v>120</v>
      </c>
      <c r="M375" s="68" t="n">
        <v>17</v>
      </c>
      <c r="N375" s="68" t="n">
        <v>360</v>
      </c>
      <c r="O375" s="68" t="n"/>
      <c r="P375" s="68" t="n"/>
      <c r="Q375" s="68" t="n">
        <v>103</v>
      </c>
      <c r="R375" s="69" t="n"/>
      <c r="S375" s="69" t="inlineStr">
        <is>
          <t>No</t>
        </is>
      </c>
      <c r="T375" s="73" t="n">
        <v>43132</v>
      </c>
      <c r="U375" s="73" t="n">
        <v>46789</v>
      </c>
      <c r="V375" s="73" t="n"/>
      <c r="W375" s="69" t="n"/>
      <c r="X375" s="69" t="inlineStr">
        <is>
          <t>Current</t>
        </is>
      </c>
      <c r="Y375" s="68" t="n"/>
      <c r="Z375" s="69" t="inlineStr">
        <is>
          <t>Full Defeasance</t>
        </is>
      </c>
      <c r="AA375" s="69" t="inlineStr">
        <is>
          <t>Previously</t>
        </is>
      </c>
      <c r="AB375" s="69" t="inlineStr">
        <is>
          <t>Never special serv</t>
        </is>
      </c>
      <c r="AC375" s="73" t="n"/>
      <c r="AD375" s="69" t="n"/>
      <c r="AE375" s="69" t="n"/>
      <c r="AF375" s="69" t="inlineStr">
        <is>
          <t>CT</t>
        </is>
      </c>
      <c r="AG375" s="69" t="inlineStr">
        <is>
          <t>Bridgeport</t>
        </is>
      </c>
      <c r="AH375" s="69" t="inlineStr">
        <is>
          <t>Bridgeport-Stamford-Danbury, CT</t>
        </is>
      </c>
      <c r="AI375" s="69" t="inlineStr">
        <is>
          <t>Northeast / New England</t>
        </is>
      </c>
      <c r="AJ375" s="69" t="inlineStr">
        <is>
          <t>MX</t>
        </is>
      </c>
      <c r="AK375" s="69" t="inlineStr">
        <is>
          <t>Office/Retail</t>
        </is>
      </c>
      <c r="AL375" s="68" t="n">
        <v>1</v>
      </c>
      <c r="AM375" s="68" t="n"/>
      <c r="AN375" s="68" t="n">
        <v>85668</v>
      </c>
      <c r="AO375" s="69" t="inlineStr">
        <is>
          <t>1971</t>
        </is>
      </c>
      <c r="AP375" s="70" t="n">
        <v>1971</v>
      </c>
      <c r="AQ375" s="74" t="n">
        <v>1.6</v>
      </c>
      <c r="AR375" s="74" t="n">
        <v>1.28</v>
      </c>
      <c r="AS375" s="74" t="n">
        <v>58.4</v>
      </c>
      <c r="AT375" s="74" t="n">
        <v>49.52</v>
      </c>
      <c r="AU375" s="74" t="n">
        <v>47.7</v>
      </c>
      <c r="AV375" s="74" t="n">
        <v>10.022369778</v>
      </c>
      <c r="AW375" s="74" t="n">
        <v>9.602134490999999</v>
      </c>
      <c r="AX375" s="75" t="n">
        <v>96</v>
      </c>
      <c r="AY375" s="71" t="n">
        <v>7700000</v>
      </c>
      <c r="AZ375" s="71" t="n">
        <v>7700000</v>
      </c>
      <c r="BA375" s="71" t="n">
        <v>451006.64</v>
      </c>
      <c r="BB375" s="71" t="n">
        <v>360612.4</v>
      </c>
      <c r="BC375" s="69" t="inlineStr">
        <is>
          <t>Refinance</t>
        </is>
      </c>
      <c r="BD375" s="69" t="inlineStr">
        <is>
          <t>N</t>
        </is>
      </c>
      <c r="BE375" s="71" t="n"/>
      <c r="BF375" s="71" t="n"/>
      <c r="BG375" s="71" t="n"/>
      <c r="BH375" s="71" t="n">
        <v>0</v>
      </c>
      <c r="BI375" s="71" t="n">
        <v>0</v>
      </c>
      <c r="BJ375" s="69" t="inlineStr">
        <is>
          <t>N</t>
        </is>
      </c>
      <c r="BK375" s="69" t="inlineStr">
        <is>
          <t>Department of Children and Families</t>
        </is>
      </c>
      <c r="BL375" s="75" t="n">
        <v>51.54</v>
      </c>
      <c r="BM375" s="73" t="n">
        <v>46623</v>
      </c>
      <c r="BN375" s="69" t="inlineStr">
        <is>
          <t>Brandon Hall; Brett Wilderman</t>
        </is>
      </c>
      <c r="BO375" s="69" t="inlineStr">
        <is>
          <t>UBS</t>
        </is>
      </c>
      <c r="BP375" s="69" t="inlineStr">
        <is>
          <t>Midland Loan Services</t>
        </is>
      </c>
      <c r="BQ375" s="69" t="inlineStr">
        <is>
          <t>Midland Loan Services</t>
        </is>
      </c>
      <c r="BR375" s="69" t="n"/>
      <c r="BS375" s="73" t="n">
        <v>46276</v>
      </c>
      <c r="BU375" s="76">
        <f>IF($C375="","",IFERROR(INDEX(dmName,MATCH($C375,dmID,0)),"Unmapped"))</f>
        <v/>
      </c>
      <c r="BV375" s="76">
        <f>IF($C375="","",IFERROR(INDEX(dmEntity,MATCH($C375,dmID,0)),"Unmapped"))</f>
        <v/>
      </c>
      <c r="BW375" s="77">
        <f>IF($C375="","",IFERROR(INDEX(dmVintage,MATCH($C375,dmID,0)),""))</f>
        <v/>
      </c>
      <c r="BX375" s="78">
        <f>IFERROR(INDEX(dmInclude,MATCH($C375,dmID,0)),0)</f>
        <v/>
      </c>
      <c r="BY375" s="78">
        <f>IF(N($I375)&gt;0,1,0)</f>
        <v/>
      </c>
      <c r="BZ375" s="76">
        <f>IF($AJ375="","Other / Leased Fee",IFERROR(INDEX(mapPTGroup,MATCH(LEFT(TRIM($AJ375),2),mapPTCode,0)),"Other / Leased Fee"))</f>
        <v/>
      </c>
      <c r="CA375" s="76">
        <f>IF(TRIM($AF375&amp;"")="","NR",LEFT(TRIM($AF375),2))</f>
        <v/>
      </c>
      <c r="CB375" s="76">
        <f>IFERROR(LOOKUP(2,1/(LEFT(TRIM($AI375&amp;""),LEN(mapRegion))=mapRegion),mapRegion),"Not Reported")</f>
        <v/>
      </c>
      <c r="CC375" s="76">
        <f>IF($BY375=0,"",IF(TRIM($W375&amp;"")="REO","REO",IF(TRIM($W375&amp;"")="FC","Foreclosure",IF(TRIM($W375&amp;"")="90+","90+ Days Delinquent",IF(TRIM($W375&amp;"")="60","60 Days Delinquent",IF(TRIM($W375&amp;"")="30","30 Days Delinquent",IF($X375="Non-Performing Matured Balloon","Non-Performing Matured Balloon",IF(OR($X375="Late Payment But Less Than 30 Days Delinquent",LEFT($X375&amp;"",20)="Payment Not Received"),"Late / In Grace (&lt;30 Days)",IF($X375="Performing Matured Balloon","Performing Matured Balloon","Current")))))))))</f>
        <v/>
      </c>
      <c r="CD375" s="78">
        <f>IF(OR($CC375="REO",$CC375="Foreclosure",$CC375="90+ Days Delinquent",$CC375="60 Days Delinquent",$CC375="30 Days Delinquent",$CC375="Non-Performing Matured Balloon"),1,0)</f>
        <v/>
      </c>
      <c r="CE375" s="76">
        <f>IF($AB375="Currently special serv","Currently Specially Serviced",IF($AB375="Returned to master serv","Previously Specially Serviced","Never Specially Serviced"))</f>
        <v/>
      </c>
      <c r="CF375" s="78">
        <f>IF($CE375="Currently Specially Serviced",1,0)</f>
        <v/>
      </c>
      <c r="CG375" s="76">
        <f>IF($AA375="Yes","Currently on Watchlist",IF($AA375="Previously","Previously on Watchlist","Never on Watchlist"))</f>
        <v/>
      </c>
      <c r="CH375" s="78">
        <f>IF($CG375="Currently on Watchlist",1,0)</f>
        <v/>
      </c>
      <c r="CI375" s="76">
        <f>IF($Z375="Full Defeasance","Fully Defeased",IF($Z375="Portion Of Loan Previously Defeased","Partially Defeased",IF($Z375="Defeasance Not Allowable","Not Defeased (Not Permitted)","Not Defeased")))</f>
        <v/>
      </c>
      <c r="CJ375" s="78">
        <f>IF($CI375="Fully Defeased",1,0)</f>
        <v/>
      </c>
      <c r="CK375" s="76">
        <f>IF($R375="IO","Full IO",IF(LEFT($R375&amp;"",7)="IO then","Partial IO","Amortizing"))</f>
        <v/>
      </c>
      <c r="CL375" s="78">
        <f>IF($CK375="Full IO",1,0)</f>
        <v/>
      </c>
      <c r="CM375" s="78">
        <f>IF($CK375="Partial IO",1,0)</f>
        <v/>
      </c>
      <c r="CN375" s="76">
        <f>IF(LEFT($F375&amp;"",10)="SPLIT_LOAN","Pari Passu Split","Standalone")</f>
        <v/>
      </c>
      <c r="CO375" s="78">
        <f>IF($CN375="Pari Passu Split",1,0)</f>
        <v/>
      </c>
      <c r="CP375" s="77">
        <f>IF(ISNUMBER($T375),YEAR($T375),"")</f>
        <v/>
      </c>
      <c r="CQ375" s="79">
        <f>IF(ISNUMBER($V375),$V375,IF(ISNUMBER($U375),$U375,""))</f>
        <v/>
      </c>
      <c r="CR375" s="77">
        <f>IF(ISNUMBER($CQ375),YEAR($CQ375),"")</f>
        <v/>
      </c>
      <c r="CS375" s="78">
        <f>IF(ISNUMBER($M375),MAX(0,$M375),IF(TRIM($M375&amp;"")="matured",0,""))</f>
        <v/>
      </c>
      <c r="CT375" s="78">
        <f>IF(AND(ISNUMBER($CS375),N($CS375)&lt;=mMatWindow),1,0)</f>
        <v/>
      </c>
      <c r="CU375" s="80">
        <f>IF(ISNUMBER($J375),$J375/100,"")</f>
        <v/>
      </c>
      <c r="CV375" s="81">
        <f>IF(ISNUMBER($AQ375),$AQ375,"")</f>
        <v/>
      </c>
      <c r="CW375" s="81">
        <f>IF(ISNUMBER($AR375),$AR375,"")</f>
        <v/>
      </c>
      <c r="CX375" s="82">
        <f>IF(ISNUMBER($AS375),$AS375/100,"")</f>
        <v/>
      </c>
      <c r="CY375" s="82">
        <f>IF(ISNUMBER($AT375),$AT375/100,"")</f>
        <v/>
      </c>
      <c r="CZ375" s="82">
        <f>IF(ISNUMBER($AU375),$AU375/100,"")</f>
        <v/>
      </c>
      <c r="DA375" s="82">
        <f>IF(ISNUMBER($AV375),$AV375/100,"")</f>
        <v/>
      </c>
      <c r="DB375" s="82">
        <f>IF(ISNUMBER($AW375),$AW375/100,"")</f>
        <v/>
      </c>
      <c r="DC375" s="82">
        <f>IF(ISNUMBER($AX375),$AX375/100,"")</f>
        <v/>
      </c>
      <c r="DD375" s="77">
        <f>IFERROR(VALUE(LEFT(TRIM($AO375&amp;""),4)),"")</f>
        <v/>
      </c>
      <c r="DE375" s="78">
        <f>IF(AND($BY375=1,$BX375=1,OR(fDeal="All Deals",$BU375=fDeal),OR(fEntity="All Entities",$BV375=fEntity),OR(fPType="All Property Types",$BZ375=fPType),OR(fDefeased="Include",$CJ375=0)),1,0)</f>
        <v/>
      </c>
      <c r="DF375" s="83">
        <f>$DE375*N($I375)</f>
        <v/>
      </c>
      <c r="DG375" s="78">
        <f>IF($DE375=1,IF(COUNTIFS($F$8:$F375,$F375,$DE$8:$DE375,1)=1,1,0),0)</f>
        <v/>
      </c>
      <c r="DH375" s="83">
        <f>IF($DG375=1,SUMIFS($DF$8:$DF$1600,$F$8:$F$1600,$F375),0)</f>
        <v/>
      </c>
      <c r="DI375" s="78">
        <f>IF($DG375=1,COUNTIFS($F$8:$F$1600,$F375,$DE$8:$DE$1600,1),0)</f>
        <v/>
      </c>
      <c r="DJ375" s="84">
        <f>IF($DG375=1,$DH375+(100000-ROW())/mTieBreak,0)</f>
        <v/>
      </c>
    </row>
    <row r="376">
      <c r="B376" s="68" t="n">
        <v>57</v>
      </c>
      <c r="C376" s="69" t="inlineStr">
        <is>
          <t>UBS18C08</t>
        </is>
      </c>
      <c r="D376" s="69" t="inlineStr">
        <is>
          <t>57.000</t>
        </is>
      </c>
      <c r="E376" s="69" t="inlineStr">
        <is>
          <t>School Street Crossing</t>
        </is>
      </c>
      <c r="F376" s="69" t="inlineStr">
        <is>
          <t>LNUBS18C08-57.000</t>
        </is>
      </c>
      <c r="G376" s="70" t="n"/>
      <c r="H376" s="71" t="n">
        <v>4500000</v>
      </c>
      <c r="I376" s="71" t="n">
        <v>3858220.98</v>
      </c>
      <c r="J376" s="72" t="n">
        <v>5.1945</v>
      </c>
      <c r="K376" s="69" t="inlineStr">
        <is>
          <t>Fixed rate</t>
        </is>
      </c>
      <c r="L376" s="68" t="n">
        <v>120</v>
      </c>
      <c r="M376" s="68" t="n">
        <v>17</v>
      </c>
      <c r="N376" s="68" t="n">
        <v>360</v>
      </c>
      <c r="O376" s="68" t="n"/>
      <c r="P376" s="68" t="n"/>
      <c r="Q376" s="68" t="n">
        <v>103</v>
      </c>
      <c r="R376" s="69" t="n"/>
      <c r="S376" s="69" t="inlineStr">
        <is>
          <t>No</t>
        </is>
      </c>
      <c r="T376" s="73" t="n">
        <v>43132</v>
      </c>
      <c r="U376" s="73" t="n">
        <v>46789</v>
      </c>
      <c r="V376" s="73" t="n"/>
      <c r="W376" s="69" t="n"/>
      <c r="X376" s="69" t="inlineStr">
        <is>
          <t>Current</t>
        </is>
      </c>
      <c r="Y376" s="68" t="n"/>
      <c r="Z376" s="69" t="inlineStr">
        <is>
          <t>Defeasance Not Allowable</t>
        </is>
      </c>
      <c r="AA376" s="69" t="inlineStr">
        <is>
          <t>Yes</t>
        </is>
      </c>
      <c r="AB376" s="69" t="inlineStr">
        <is>
          <t>Never special serv</t>
        </is>
      </c>
      <c r="AC376" s="73" t="n"/>
      <c r="AD376" s="69" t="n"/>
      <c r="AE376" s="69" t="n"/>
      <c r="AF376" s="69" t="inlineStr">
        <is>
          <t>MS</t>
        </is>
      </c>
      <c r="AG376" s="69" t="inlineStr">
        <is>
          <t>Ridgeland</t>
        </is>
      </c>
      <c r="AH376" s="69" t="inlineStr">
        <is>
          <t>Jackson, MS</t>
        </is>
      </c>
      <c r="AI376" s="69" t="inlineStr">
        <is>
          <t>South / Central East</t>
        </is>
      </c>
      <c r="AJ376" s="69" t="inlineStr">
        <is>
          <t>RT</t>
        </is>
      </c>
      <c r="AK376" s="69" t="inlineStr">
        <is>
          <t>Anchored</t>
        </is>
      </c>
      <c r="AL376" s="68" t="n">
        <v>1</v>
      </c>
      <c r="AM376" s="68" t="n"/>
      <c r="AN376" s="68" t="n">
        <v>67761</v>
      </c>
      <c r="AO376" s="69" t="inlineStr">
        <is>
          <t>1994</t>
        </is>
      </c>
      <c r="AP376" s="70" t="n">
        <v>1994</v>
      </c>
      <c r="AQ376" s="74" t="n">
        <v>1.5</v>
      </c>
      <c r="AR376" s="74" t="n">
        <v>1.71</v>
      </c>
      <c r="AS376" s="74" t="n">
        <v>75</v>
      </c>
      <c r="AT376" s="74" t="n">
        <v>64.3</v>
      </c>
      <c r="AU376" s="74" t="n">
        <v>62</v>
      </c>
      <c r="AV376" s="74" t="n">
        <v>9.908283110999999</v>
      </c>
      <c r="AW376" s="74" t="n">
        <v>10.743819033</v>
      </c>
      <c r="AX376" s="75" t="n">
        <v>100</v>
      </c>
      <c r="AY376" s="71" t="n">
        <v>6000000</v>
      </c>
      <c r="AZ376" s="71" t="n">
        <v>6000000</v>
      </c>
      <c r="BA376" s="71" t="n">
        <v>445872.74</v>
      </c>
      <c r="BB376" s="71" t="n">
        <v>506141.91</v>
      </c>
      <c r="BC376" s="69" t="inlineStr">
        <is>
          <t>Acquisition</t>
        </is>
      </c>
      <c r="BD376" s="69" t="inlineStr">
        <is>
          <t>N</t>
        </is>
      </c>
      <c r="BE376" s="71" t="n"/>
      <c r="BF376" s="71" t="n"/>
      <c r="BG376" s="71" t="n"/>
      <c r="BH376" s="71" t="n">
        <v>0</v>
      </c>
      <c r="BI376" s="71" t="n">
        <v>0</v>
      </c>
      <c r="BJ376" s="69" t="inlineStr">
        <is>
          <t>N</t>
        </is>
      </c>
      <c r="BK376" s="69" t="inlineStr">
        <is>
          <t>MC LAWRENCE FOODS INC.</t>
        </is>
      </c>
      <c r="BL376" s="75" t="n">
        <v>44.86</v>
      </c>
      <c r="BM376" s="73" t="n">
        <v>48060</v>
      </c>
      <c r="BN376" s="69" t="inlineStr">
        <is>
          <t>Carnegie Properties, Inc.</t>
        </is>
      </c>
      <c r="BO376" s="69" t="inlineStr">
        <is>
          <t>UBS</t>
        </is>
      </c>
      <c r="BP376" s="69" t="inlineStr">
        <is>
          <t>Midland Loan Services</t>
        </is>
      </c>
      <c r="BQ376" s="69" t="inlineStr">
        <is>
          <t>Midland Loan Services</t>
        </is>
      </c>
      <c r="BR376" s="69" t="n"/>
      <c r="BS376" s="73" t="n">
        <v>46276</v>
      </c>
      <c r="BU376" s="76">
        <f>IF($C376="","",IFERROR(INDEX(dmName,MATCH($C376,dmID,0)),"Unmapped"))</f>
        <v/>
      </c>
      <c r="BV376" s="76">
        <f>IF($C376="","",IFERROR(INDEX(dmEntity,MATCH($C376,dmID,0)),"Unmapped"))</f>
        <v/>
      </c>
      <c r="BW376" s="77">
        <f>IF($C376="","",IFERROR(INDEX(dmVintage,MATCH($C376,dmID,0)),""))</f>
        <v/>
      </c>
      <c r="BX376" s="78">
        <f>IFERROR(INDEX(dmInclude,MATCH($C376,dmID,0)),0)</f>
        <v/>
      </c>
      <c r="BY376" s="78">
        <f>IF(N($I376)&gt;0,1,0)</f>
        <v/>
      </c>
      <c r="BZ376" s="76">
        <f>IF($AJ376="","Other / Leased Fee",IFERROR(INDEX(mapPTGroup,MATCH(LEFT(TRIM($AJ376),2),mapPTCode,0)),"Other / Leased Fee"))</f>
        <v/>
      </c>
      <c r="CA376" s="76">
        <f>IF(TRIM($AF376&amp;"")="","NR",LEFT(TRIM($AF376),2))</f>
        <v/>
      </c>
      <c r="CB376" s="76">
        <f>IFERROR(LOOKUP(2,1/(LEFT(TRIM($AI376&amp;""),LEN(mapRegion))=mapRegion),mapRegion),"Not Reported")</f>
        <v/>
      </c>
      <c r="CC376" s="76">
        <f>IF($BY376=0,"",IF(TRIM($W376&amp;"")="REO","REO",IF(TRIM($W376&amp;"")="FC","Foreclosure",IF(TRIM($W376&amp;"")="90+","90+ Days Delinquent",IF(TRIM($W376&amp;"")="60","60 Days Delinquent",IF(TRIM($W376&amp;"")="30","30 Days Delinquent",IF($X376="Non-Performing Matured Balloon","Non-Performing Matured Balloon",IF(OR($X376="Late Payment But Less Than 30 Days Delinquent",LEFT($X376&amp;"",20)="Payment Not Received"),"Late / In Grace (&lt;30 Days)",IF($X376="Performing Matured Balloon","Performing Matured Balloon","Current")))))))))</f>
        <v/>
      </c>
      <c r="CD376" s="78">
        <f>IF(OR($CC376="REO",$CC376="Foreclosure",$CC376="90+ Days Delinquent",$CC376="60 Days Delinquent",$CC376="30 Days Delinquent",$CC376="Non-Performing Matured Balloon"),1,0)</f>
        <v/>
      </c>
      <c r="CE376" s="76">
        <f>IF($AB376="Currently special serv","Currently Specially Serviced",IF($AB376="Returned to master serv","Previously Specially Serviced","Never Specially Serviced"))</f>
        <v/>
      </c>
      <c r="CF376" s="78">
        <f>IF($CE376="Currently Specially Serviced",1,0)</f>
        <v/>
      </c>
      <c r="CG376" s="76">
        <f>IF($AA376="Yes","Currently on Watchlist",IF($AA376="Previously","Previously on Watchlist","Never on Watchlist"))</f>
        <v/>
      </c>
      <c r="CH376" s="78">
        <f>IF($CG376="Currently on Watchlist",1,0)</f>
        <v/>
      </c>
      <c r="CI376" s="76">
        <f>IF($Z376="Full Defeasance","Fully Defeased",IF($Z376="Portion Of Loan Previously Defeased","Partially Defeased",IF($Z376="Defeasance Not Allowable","Not Defeased (Not Permitted)","Not Defeased")))</f>
        <v/>
      </c>
      <c r="CJ376" s="78">
        <f>IF($CI376="Fully Defeased",1,0)</f>
        <v/>
      </c>
      <c r="CK376" s="76">
        <f>IF($R376="IO","Full IO",IF(LEFT($R376&amp;"",7)="IO then","Partial IO","Amortizing"))</f>
        <v/>
      </c>
      <c r="CL376" s="78">
        <f>IF($CK376="Full IO",1,0)</f>
        <v/>
      </c>
      <c r="CM376" s="78">
        <f>IF($CK376="Partial IO",1,0)</f>
        <v/>
      </c>
      <c r="CN376" s="76">
        <f>IF(LEFT($F376&amp;"",10)="SPLIT_LOAN","Pari Passu Split","Standalone")</f>
        <v/>
      </c>
      <c r="CO376" s="78">
        <f>IF($CN376="Pari Passu Split",1,0)</f>
        <v/>
      </c>
      <c r="CP376" s="77">
        <f>IF(ISNUMBER($T376),YEAR($T376),"")</f>
        <v/>
      </c>
      <c r="CQ376" s="79">
        <f>IF(ISNUMBER($V376),$V376,IF(ISNUMBER($U376),$U376,""))</f>
        <v/>
      </c>
      <c r="CR376" s="77">
        <f>IF(ISNUMBER($CQ376),YEAR($CQ376),"")</f>
        <v/>
      </c>
      <c r="CS376" s="78">
        <f>IF(ISNUMBER($M376),MAX(0,$M376),IF(TRIM($M376&amp;"")="matured",0,""))</f>
        <v/>
      </c>
      <c r="CT376" s="78">
        <f>IF(AND(ISNUMBER($CS376),N($CS376)&lt;=mMatWindow),1,0)</f>
        <v/>
      </c>
      <c r="CU376" s="80">
        <f>IF(ISNUMBER($J376),$J376/100,"")</f>
        <v/>
      </c>
      <c r="CV376" s="81">
        <f>IF(ISNUMBER($AQ376),$AQ376,"")</f>
        <v/>
      </c>
      <c r="CW376" s="81">
        <f>IF(ISNUMBER($AR376),$AR376,"")</f>
        <v/>
      </c>
      <c r="CX376" s="82">
        <f>IF(ISNUMBER($AS376),$AS376/100,"")</f>
        <v/>
      </c>
      <c r="CY376" s="82">
        <f>IF(ISNUMBER($AT376),$AT376/100,"")</f>
        <v/>
      </c>
      <c r="CZ376" s="82">
        <f>IF(ISNUMBER($AU376),$AU376/100,"")</f>
        <v/>
      </c>
      <c r="DA376" s="82">
        <f>IF(ISNUMBER($AV376),$AV376/100,"")</f>
        <v/>
      </c>
      <c r="DB376" s="82">
        <f>IF(ISNUMBER($AW376),$AW376/100,"")</f>
        <v/>
      </c>
      <c r="DC376" s="82">
        <f>IF(ISNUMBER($AX376),$AX376/100,"")</f>
        <v/>
      </c>
      <c r="DD376" s="77">
        <f>IFERROR(VALUE(LEFT(TRIM($AO376&amp;""),4)),"")</f>
        <v/>
      </c>
      <c r="DE376" s="78">
        <f>IF(AND($BY376=1,$BX376=1,OR(fDeal="All Deals",$BU376=fDeal),OR(fEntity="All Entities",$BV376=fEntity),OR(fPType="All Property Types",$BZ376=fPType),OR(fDefeased="Include",$CJ376=0)),1,0)</f>
        <v/>
      </c>
      <c r="DF376" s="83">
        <f>$DE376*N($I376)</f>
        <v/>
      </c>
      <c r="DG376" s="78">
        <f>IF($DE376=1,IF(COUNTIFS($F$8:$F376,$F376,$DE$8:$DE376,1)=1,1,0),0)</f>
        <v/>
      </c>
      <c r="DH376" s="83">
        <f>IF($DG376=1,SUMIFS($DF$8:$DF$1600,$F$8:$F$1600,$F376),0)</f>
        <v/>
      </c>
      <c r="DI376" s="78">
        <f>IF($DG376=1,COUNTIFS($F$8:$F$1600,$F376,$DE$8:$DE$1600,1),0)</f>
        <v/>
      </c>
      <c r="DJ376" s="84">
        <f>IF($DG376=1,$DH376+(100000-ROW())/mTieBreak,0)</f>
        <v/>
      </c>
    </row>
    <row r="377">
      <c r="B377" s="68" t="n">
        <v>58</v>
      </c>
      <c r="C377" s="69" t="inlineStr">
        <is>
          <t>UBS18C08</t>
        </is>
      </c>
      <c r="D377" s="69" t="inlineStr">
        <is>
          <t>58.000</t>
        </is>
      </c>
      <c r="E377" s="69" t="inlineStr">
        <is>
          <t>645-679 Manor Drive</t>
        </is>
      </c>
      <c r="F377" s="69" t="inlineStr">
        <is>
          <t>LNUBS18C08-58.000</t>
        </is>
      </c>
      <c r="G377" s="70" t="n"/>
      <c r="H377" s="71" t="n">
        <v>4000000</v>
      </c>
      <c r="I377" s="71" t="n">
        <v>4000000</v>
      </c>
      <c r="J377" s="72" t="n">
        <v>4.021</v>
      </c>
      <c r="K377" s="69" t="inlineStr">
        <is>
          <t>Fixed rate</t>
        </is>
      </c>
      <c r="L377" s="68" t="n">
        <v>120</v>
      </c>
      <c r="M377" s="68" t="n">
        <v>16</v>
      </c>
      <c r="N377" s="68" t="n">
        <v>120</v>
      </c>
      <c r="O377" s="68" t="n">
        <v>120</v>
      </c>
      <c r="P377" s="68" t="n">
        <v>16</v>
      </c>
      <c r="Q377" s="68" t="n">
        <v>104</v>
      </c>
      <c r="R377" s="69" t="inlineStr">
        <is>
          <t>IO</t>
        </is>
      </c>
      <c r="S377" s="69" t="inlineStr">
        <is>
          <t>Yes</t>
        </is>
      </c>
      <c r="T377" s="73" t="n">
        <v>43101</v>
      </c>
      <c r="U377" s="73" t="n">
        <v>46758</v>
      </c>
      <c r="V377" s="73" t="n"/>
      <c r="W377" s="69" t="n"/>
      <c r="X377" s="69" t="inlineStr">
        <is>
          <t>Current</t>
        </is>
      </c>
      <c r="Y377" s="68" t="n"/>
      <c r="Z377" s="69" t="inlineStr">
        <is>
          <t>No Defeasance Occurred</t>
        </is>
      </c>
      <c r="AA377" s="69" t="inlineStr">
        <is>
          <t>Previously</t>
        </is>
      </c>
      <c r="AB377" s="69" t="inlineStr">
        <is>
          <t>Never special serv</t>
        </is>
      </c>
      <c r="AC377" s="73" t="n"/>
      <c r="AD377" s="69" t="n"/>
      <c r="AE377" s="69" t="n"/>
      <c r="AF377" s="69" t="inlineStr">
        <is>
          <t>CA</t>
        </is>
      </c>
      <c r="AG377" s="69" t="inlineStr">
        <is>
          <t>Pacifica</t>
        </is>
      </c>
      <c r="AH377" s="69" t="inlineStr">
        <is>
          <t>San Francisco-Oakland-Fremont, CA</t>
        </is>
      </c>
      <c r="AI377" s="69" t="inlineStr">
        <is>
          <t>West / Pacific North</t>
        </is>
      </c>
      <c r="AJ377" s="69" t="inlineStr">
        <is>
          <t>MF</t>
        </is>
      </c>
      <c r="AK377" s="69" t="inlineStr">
        <is>
          <t>Garden</t>
        </is>
      </c>
      <c r="AL377" s="68" t="n">
        <v>1</v>
      </c>
      <c r="AM377" s="68" t="n">
        <v>32</v>
      </c>
      <c r="AN377" s="68" t="n"/>
      <c r="AO377" s="69" t="inlineStr">
        <is>
          <t>1962</t>
        </is>
      </c>
      <c r="AP377" s="70" t="n">
        <v>2017</v>
      </c>
      <c r="AQ377" s="74" t="n">
        <v>2.33</v>
      </c>
      <c r="AR377" s="74" t="n">
        <v>3.17</v>
      </c>
      <c r="AS377" s="74" t="n">
        <v>34.4</v>
      </c>
      <c r="AT377" s="74" t="n">
        <v>34.36</v>
      </c>
      <c r="AU377" s="74" t="n">
        <v>34.4</v>
      </c>
      <c r="AV377" s="74" t="n">
        <v>9.504982999999999</v>
      </c>
      <c r="AW377" s="74" t="n">
        <v>10.2010535</v>
      </c>
      <c r="AX377" s="75" t="n">
        <v>94</v>
      </c>
      <c r="AY377" s="71" t="n">
        <v>11640000</v>
      </c>
      <c r="AZ377" s="71" t="n">
        <v>11640000</v>
      </c>
      <c r="BA377" s="71" t="n">
        <v>380199.32</v>
      </c>
      <c r="BB377" s="71" t="n">
        <v>516787.2</v>
      </c>
      <c r="BC377" s="69" t="inlineStr">
        <is>
          <t>Refinance</t>
        </is>
      </c>
      <c r="BD377" s="69" t="inlineStr">
        <is>
          <t>N</t>
        </is>
      </c>
      <c r="BE377" s="71" t="n"/>
      <c r="BF377" s="71" t="n"/>
      <c r="BG377" s="71" t="n"/>
      <c r="BH377" s="71" t="n">
        <v>0</v>
      </c>
      <c r="BI377" s="71" t="n">
        <v>0</v>
      </c>
      <c r="BJ377" s="69" t="inlineStr">
        <is>
          <t>N</t>
        </is>
      </c>
      <c r="BK377" s="69" t="n"/>
      <c r="BL377" s="75" t="n"/>
      <c r="BM377" s="73" t="n"/>
      <c r="BN377" s="69" t="inlineStr">
        <is>
          <t>Richard A. Bocci</t>
        </is>
      </c>
      <c r="BO377" s="69" t="inlineStr">
        <is>
          <t>Barclays</t>
        </is>
      </c>
      <c r="BP377" s="69" t="inlineStr">
        <is>
          <t>Midland Loan Services</t>
        </is>
      </c>
      <c r="BQ377" s="69" t="inlineStr">
        <is>
          <t>Midland Loan Services</t>
        </is>
      </c>
      <c r="BR377" s="69" t="n"/>
      <c r="BS377" s="73" t="n">
        <v>46276</v>
      </c>
      <c r="BU377" s="76">
        <f>IF($C377="","",IFERROR(INDEX(dmName,MATCH($C377,dmID,0)),"Unmapped"))</f>
        <v/>
      </c>
      <c r="BV377" s="76">
        <f>IF($C377="","",IFERROR(INDEX(dmEntity,MATCH($C377,dmID,0)),"Unmapped"))</f>
        <v/>
      </c>
      <c r="BW377" s="77">
        <f>IF($C377="","",IFERROR(INDEX(dmVintage,MATCH($C377,dmID,0)),""))</f>
        <v/>
      </c>
      <c r="BX377" s="78">
        <f>IFERROR(INDEX(dmInclude,MATCH($C377,dmID,0)),0)</f>
        <v/>
      </c>
      <c r="BY377" s="78">
        <f>IF(N($I377)&gt;0,1,0)</f>
        <v/>
      </c>
      <c r="BZ377" s="76">
        <f>IF($AJ377="","Other / Leased Fee",IFERROR(INDEX(mapPTGroup,MATCH(LEFT(TRIM($AJ377),2),mapPTCode,0)),"Other / Leased Fee"))</f>
        <v/>
      </c>
      <c r="CA377" s="76">
        <f>IF(TRIM($AF377&amp;"")="","NR",LEFT(TRIM($AF377),2))</f>
        <v/>
      </c>
      <c r="CB377" s="76">
        <f>IFERROR(LOOKUP(2,1/(LEFT(TRIM($AI377&amp;""),LEN(mapRegion))=mapRegion),mapRegion),"Not Reported")</f>
        <v/>
      </c>
      <c r="CC377" s="76">
        <f>IF($BY377=0,"",IF(TRIM($W377&amp;"")="REO","REO",IF(TRIM($W377&amp;"")="FC","Foreclosure",IF(TRIM($W377&amp;"")="90+","90+ Days Delinquent",IF(TRIM($W377&amp;"")="60","60 Days Delinquent",IF(TRIM($W377&amp;"")="30","30 Days Delinquent",IF($X377="Non-Performing Matured Balloon","Non-Performing Matured Balloon",IF(OR($X377="Late Payment But Less Than 30 Days Delinquent",LEFT($X377&amp;"",20)="Payment Not Received"),"Late / In Grace (&lt;30 Days)",IF($X377="Performing Matured Balloon","Performing Matured Balloon","Current")))))))))</f>
        <v/>
      </c>
      <c r="CD377" s="78">
        <f>IF(OR($CC377="REO",$CC377="Foreclosure",$CC377="90+ Days Delinquent",$CC377="60 Days Delinquent",$CC377="30 Days Delinquent",$CC377="Non-Performing Matured Balloon"),1,0)</f>
        <v/>
      </c>
      <c r="CE377" s="76">
        <f>IF($AB377="Currently special serv","Currently Specially Serviced",IF($AB377="Returned to master serv","Previously Specially Serviced","Never Specially Serviced"))</f>
        <v/>
      </c>
      <c r="CF377" s="78">
        <f>IF($CE377="Currently Specially Serviced",1,0)</f>
        <v/>
      </c>
      <c r="CG377" s="76">
        <f>IF($AA377="Yes","Currently on Watchlist",IF($AA377="Previously","Previously on Watchlist","Never on Watchlist"))</f>
        <v/>
      </c>
      <c r="CH377" s="78">
        <f>IF($CG377="Currently on Watchlist",1,0)</f>
        <v/>
      </c>
      <c r="CI377" s="76">
        <f>IF($Z377="Full Defeasance","Fully Defeased",IF($Z377="Portion Of Loan Previously Defeased","Partially Defeased",IF($Z377="Defeasance Not Allowable","Not Defeased (Not Permitted)","Not Defeased")))</f>
        <v/>
      </c>
      <c r="CJ377" s="78">
        <f>IF($CI377="Fully Defeased",1,0)</f>
        <v/>
      </c>
      <c r="CK377" s="76">
        <f>IF($R377="IO","Full IO",IF(LEFT($R377&amp;"",7)="IO then","Partial IO","Amortizing"))</f>
        <v/>
      </c>
      <c r="CL377" s="78">
        <f>IF($CK377="Full IO",1,0)</f>
        <v/>
      </c>
      <c r="CM377" s="78">
        <f>IF($CK377="Partial IO",1,0)</f>
        <v/>
      </c>
      <c r="CN377" s="76">
        <f>IF(LEFT($F377&amp;"",10)="SPLIT_LOAN","Pari Passu Split","Standalone")</f>
        <v/>
      </c>
      <c r="CO377" s="78">
        <f>IF($CN377="Pari Passu Split",1,0)</f>
        <v/>
      </c>
      <c r="CP377" s="77">
        <f>IF(ISNUMBER($T377),YEAR($T377),"")</f>
        <v/>
      </c>
      <c r="CQ377" s="79">
        <f>IF(ISNUMBER($V377),$V377,IF(ISNUMBER($U377),$U377,""))</f>
        <v/>
      </c>
      <c r="CR377" s="77">
        <f>IF(ISNUMBER($CQ377),YEAR($CQ377),"")</f>
        <v/>
      </c>
      <c r="CS377" s="78">
        <f>IF(ISNUMBER($M377),MAX(0,$M377),IF(TRIM($M377&amp;"")="matured",0,""))</f>
        <v/>
      </c>
      <c r="CT377" s="78">
        <f>IF(AND(ISNUMBER($CS377),N($CS377)&lt;=mMatWindow),1,0)</f>
        <v/>
      </c>
      <c r="CU377" s="80">
        <f>IF(ISNUMBER($J377),$J377/100,"")</f>
        <v/>
      </c>
      <c r="CV377" s="81">
        <f>IF(ISNUMBER($AQ377),$AQ377,"")</f>
        <v/>
      </c>
      <c r="CW377" s="81">
        <f>IF(ISNUMBER($AR377),$AR377,"")</f>
        <v/>
      </c>
      <c r="CX377" s="82">
        <f>IF(ISNUMBER($AS377),$AS377/100,"")</f>
        <v/>
      </c>
      <c r="CY377" s="82">
        <f>IF(ISNUMBER($AT377),$AT377/100,"")</f>
        <v/>
      </c>
      <c r="CZ377" s="82">
        <f>IF(ISNUMBER($AU377),$AU377/100,"")</f>
        <v/>
      </c>
      <c r="DA377" s="82">
        <f>IF(ISNUMBER($AV377),$AV377/100,"")</f>
        <v/>
      </c>
      <c r="DB377" s="82">
        <f>IF(ISNUMBER($AW377),$AW377/100,"")</f>
        <v/>
      </c>
      <c r="DC377" s="82">
        <f>IF(ISNUMBER($AX377),$AX377/100,"")</f>
        <v/>
      </c>
      <c r="DD377" s="77">
        <f>IFERROR(VALUE(LEFT(TRIM($AO377&amp;""),4)),"")</f>
        <v/>
      </c>
      <c r="DE377" s="78">
        <f>IF(AND($BY377=1,$BX377=1,OR(fDeal="All Deals",$BU377=fDeal),OR(fEntity="All Entities",$BV377=fEntity),OR(fPType="All Property Types",$BZ377=fPType),OR(fDefeased="Include",$CJ377=0)),1,0)</f>
        <v/>
      </c>
      <c r="DF377" s="83">
        <f>$DE377*N($I377)</f>
        <v/>
      </c>
      <c r="DG377" s="78">
        <f>IF($DE377=1,IF(COUNTIFS($F$8:$F377,$F377,$DE$8:$DE377,1)=1,1,0),0)</f>
        <v/>
      </c>
      <c r="DH377" s="83">
        <f>IF($DG377=1,SUMIFS($DF$8:$DF$1600,$F$8:$F$1600,$F377),0)</f>
        <v/>
      </c>
      <c r="DI377" s="78">
        <f>IF($DG377=1,COUNTIFS($F$8:$F$1600,$F377,$DE$8:$DE$1600,1),0)</f>
        <v/>
      </c>
      <c r="DJ377" s="84">
        <f>IF($DG377=1,$DH377+(100000-ROW())/mTieBreak,0)</f>
        <v/>
      </c>
    </row>
    <row r="378">
      <c r="B378" s="68" t="n">
        <v>59</v>
      </c>
      <c r="C378" s="69" t="inlineStr">
        <is>
          <t>UBS18C08</t>
        </is>
      </c>
      <c r="D378" s="69" t="inlineStr">
        <is>
          <t>59.000</t>
        </is>
      </c>
      <c r="E378" s="69" t="inlineStr">
        <is>
          <t>Plaza Point Shopping Center</t>
        </is>
      </c>
      <c r="F378" s="69" t="inlineStr">
        <is>
          <t>LNUBS18C08-59.000</t>
        </is>
      </c>
      <c r="G378" s="70" t="n"/>
      <c r="H378" s="71" t="n">
        <v>4000000</v>
      </c>
      <c r="I378" s="71" t="n">
        <v>3380447.14</v>
      </c>
      <c r="J378" s="72" t="n">
        <v>5.25</v>
      </c>
      <c r="K378" s="69" t="inlineStr">
        <is>
          <t>Fixed rate</t>
        </is>
      </c>
      <c r="L378" s="68" t="n">
        <v>120</v>
      </c>
      <c r="M378" s="68" t="n">
        <v>9</v>
      </c>
      <c r="N378" s="68" t="n">
        <v>360</v>
      </c>
      <c r="O378" s="68" t="n"/>
      <c r="P378" s="68" t="n"/>
      <c r="Q378" s="68" t="n">
        <v>111</v>
      </c>
      <c r="R378" s="69" t="n"/>
      <c r="S378" s="69" t="inlineStr">
        <is>
          <t>No</t>
        </is>
      </c>
      <c r="T378" s="73" t="n">
        <v>42887</v>
      </c>
      <c r="U378" s="73" t="n">
        <v>46539</v>
      </c>
      <c r="V378" s="73" t="n"/>
      <c r="W378" s="69" t="n"/>
      <c r="X378" s="69" t="inlineStr">
        <is>
          <t>Current</t>
        </is>
      </c>
      <c r="Y378" s="68" t="n"/>
      <c r="Z378" s="69" t="inlineStr">
        <is>
          <t>Full Defeasance</t>
        </is>
      </c>
      <c r="AA378" s="69" t="inlineStr">
        <is>
          <t>Previously</t>
        </is>
      </c>
      <c r="AB378" s="69" t="inlineStr">
        <is>
          <t>Never special serv</t>
        </is>
      </c>
      <c r="AC378" s="73" t="n"/>
      <c r="AD378" s="69" t="n"/>
      <c r="AE378" s="69" t="n"/>
      <c r="AF378" s="69" t="inlineStr">
        <is>
          <t>TX</t>
        </is>
      </c>
      <c r="AG378" s="69" t="inlineStr">
        <is>
          <t>Decatur</t>
        </is>
      </c>
      <c r="AH378" s="69" t="inlineStr">
        <is>
          <t>Dallas-Fort Worth-Arlington, TX</t>
        </is>
      </c>
      <c r="AI378" s="69" t="inlineStr">
        <is>
          <t>South / Central West</t>
        </is>
      </c>
      <c r="AJ378" s="69" t="inlineStr">
        <is>
          <t>RT</t>
        </is>
      </c>
      <c r="AK378" s="69" t="inlineStr">
        <is>
          <t>Anchored</t>
        </is>
      </c>
      <c r="AL378" s="68" t="n">
        <v>1</v>
      </c>
      <c r="AM378" s="68" t="n"/>
      <c r="AN378" s="68" t="n">
        <v>62463</v>
      </c>
      <c r="AO378" s="69" t="inlineStr">
        <is>
          <t>1987, 2008</t>
        </is>
      </c>
      <c r="AP378" s="70" t="n">
        <v>2008</v>
      </c>
      <c r="AQ378" s="74" t="n">
        <v>1.37</v>
      </c>
      <c r="AR378" s="74" t="n">
        <v>1.21</v>
      </c>
      <c r="AS378" s="74" t="n">
        <v>71.7</v>
      </c>
      <c r="AT378" s="74" t="n">
        <v>61.13</v>
      </c>
      <c r="AU378" s="74" t="n">
        <v>59.9</v>
      </c>
      <c r="AV378" s="74" t="n">
        <v>9.068926250000001</v>
      </c>
      <c r="AW378" s="74" t="n">
        <v>13.535612037</v>
      </c>
      <c r="AX378" s="75" t="n">
        <v>100</v>
      </c>
      <c r="AY378" s="71" t="n">
        <v>5530000</v>
      </c>
      <c r="AZ378" s="71" t="n">
        <v>5530000</v>
      </c>
      <c r="BA378" s="71" t="n">
        <v>362757.05</v>
      </c>
      <c r="BB378" s="71" t="n">
        <v>320616.27</v>
      </c>
      <c r="BC378" s="69" t="inlineStr">
        <is>
          <t>Refinance</t>
        </is>
      </c>
      <c r="BD378" s="69" t="inlineStr">
        <is>
          <t>N</t>
        </is>
      </c>
      <c r="BE378" s="71" t="n"/>
      <c r="BF378" s="71" t="n"/>
      <c r="BG378" s="71" t="n"/>
      <c r="BH378" s="71" t="n">
        <v>0</v>
      </c>
      <c r="BI378" s="71" t="n">
        <v>0</v>
      </c>
      <c r="BJ378" s="69" t="inlineStr">
        <is>
          <t>N</t>
        </is>
      </c>
      <c r="BK378" s="69" t="inlineStr">
        <is>
          <t>Tractor Supply Company</t>
        </is>
      </c>
      <c r="BL378" s="75" t="n">
        <v>50.82</v>
      </c>
      <c r="BM378" s="73" t="n">
        <v>49766</v>
      </c>
      <c r="BN378" s="69" t="inlineStr">
        <is>
          <t>Roger M. Crouch, Neill H. Taylor, Peter C. Sisson</t>
        </is>
      </c>
      <c r="BO378" s="69" t="inlineStr">
        <is>
          <t>CIBC</t>
        </is>
      </c>
      <c r="BP378" s="69" t="inlineStr">
        <is>
          <t>Midland Loan Services</t>
        </is>
      </c>
      <c r="BQ378" s="69" t="inlineStr">
        <is>
          <t>Midland Loan Services</t>
        </is>
      </c>
      <c r="BR378" s="69" t="n"/>
      <c r="BS378" s="73" t="n">
        <v>46276</v>
      </c>
      <c r="BU378" s="76">
        <f>IF($C378="","",IFERROR(INDEX(dmName,MATCH($C378,dmID,0)),"Unmapped"))</f>
        <v/>
      </c>
      <c r="BV378" s="76">
        <f>IF($C378="","",IFERROR(INDEX(dmEntity,MATCH($C378,dmID,0)),"Unmapped"))</f>
        <v/>
      </c>
      <c r="BW378" s="77">
        <f>IF($C378="","",IFERROR(INDEX(dmVintage,MATCH($C378,dmID,0)),""))</f>
        <v/>
      </c>
      <c r="BX378" s="78">
        <f>IFERROR(INDEX(dmInclude,MATCH($C378,dmID,0)),0)</f>
        <v/>
      </c>
      <c r="BY378" s="78">
        <f>IF(N($I378)&gt;0,1,0)</f>
        <v/>
      </c>
      <c r="BZ378" s="76">
        <f>IF($AJ378="","Other / Leased Fee",IFERROR(INDEX(mapPTGroup,MATCH(LEFT(TRIM($AJ378),2),mapPTCode,0)),"Other / Leased Fee"))</f>
        <v/>
      </c>
      <c r="CA378" s="76">
        <f>IF(TRIM($AF378&amp;"")="","NR",LEFT(TRIM($AF378),2))</f>
        <v/>
      </c>
      <c r="CB378" s="76">
        <f>IFERROR(LOOKUP(2,1/(LEFT(TRIM($AI378&amp;""),LEN(mapRegion))=mapRegion),mapRegion),"Not Reported")</f>
        <v/>
      </c>
      <c r="CC378" s="76">
        <f>IF($BY378=0,"",IF(TRIM($W378&amp;"")="REO","REO",IF(TRIM($W378&amp;"")="FC","Foreclosure",IF(TRIM($W378&amp;"")="90+","90+ Days Delinquent",IF(TRIM($W378&amp;"")="60","60 Days Delinquent",IF(TRIM($W378&amp;"")="30","30 Days Delinquent",IF($X378="Non-Performing Matured Balloon","Non-Performing Matured Balloon",IF(OR($X378="Late Payment But Less Than 30 Days Delinquent",LEFT($X378&amp;"",20)="Payment Not Received"),"Late / In Grace (&lt;30 Days)",IF($X378="Performing Matured Balloon","Performing Matured Balloon","Current")))))))))</f>
        <v/>
      </c>
      <c r="CD378" s="78">
        <f>IF(OR($CC378="REO",$CC378="Foreclosure",$CC378="90+ Days Delinquent",$CC378="60 Days Delinquent",$CC378="30 Days Delinquent",$CC378="Non-Performing Matured Balloon"),1,0)</f>
        <v/>
      </c>
      <c r="CE378" s="76">
        <f>IF($AB378="Currently special serv","Currently Specially Serviced",IF($AB378="Returned to master serv","Previously Specially Serviced","Never Specially Serviced"))</f>
        <v/>
      </c>
      <c r="CF378" s="78">
        <f>IF($CE378="Currently Specially Serviced",1,0)</f>
        <v/>
      </c>
      <c r="CG378" s="76">
        <f>IF($AA378="Yes","Currently on Watchlist",IF($AA378="Previously","Previously on Watchlist","Never on Watchlist"))</f>
        <v/>
      </c>
      <c r="CH378" s="78">
        <f>IF($CG378="Currently on Watchlist",1,0)</f>
        <v/>
      </c>
      <c r="CI378" s="76">
        <f>IF($Z378="Full Defeasance","Fully Defeased",IF($Z378="Portion Of Loan Previously Defeased","Partially Defeased",IF($Z378="Defeasance Not Allowable","Not Defeased (Not Permitted)","Not Defeased")))</f>
        <v/>
      </c>
      <c r="CJ378" s="78">
        <f>IF($CI378="Fully Defeased",1,0)</f>
        <v/>
      </c>
      <c r="CK378" s="76">
        <f>IF($R378="IO","Full IO",IF(LEFT($R378&amp;"",7)="IO then","Partial IO","Amortizing"))</f>
        <v/>
      </c>
      <c r="CL378" s="78">
        <f>IF($CK378="Full IO",1,0)</f>
        <v/>
      </c>
      <c r="CM378" s="78">
        <f>IF($CK378="Partial IO",1,0)</f>
        <v/>
      </c>
      <c r="CN378" s="76">
        <f>IF(LEFT($F378&amp;"",10)="SPLIT_LOAN","Pari Passu Split","Standalone")</f>
        <v/>
      </c>
      <c r="CO378" s="78">
        <f>IF($CN378="Pari Passu Split",1,0)</f>
        <v/>
      </c>
      <c r="CP378" s="77">
        <f>IF(ISNUMBER($T378),YEAR($T378),"")</f>
        <v/>
      </c>
      <c r="CQ378" s="79">
        <f>IF(ISNUMBER($V378),$V378,IF(ISNUMBER($U378),$U378,""))</f>
        <v/>
      </c>
      <c r="CR378" s="77">
        <f>IF(ISNUMBER($CQ378),YEAR($CQ378),"")</f>
        <v/>
      </c>
      <c r="CS378" s="78">
        <f>IF(ISNUMBER($M378),MAX(0,$M378),IF(TRIM($M378&amp;"")="matured",0,""))</f>
        <v/>
      </c>
      <c r="CT378" s="78">
        <f>IF(AND(ISNUMBER($CS378),N($CS378)&lt;=mMatWindow),1,0)</f>
        <v/>
      </c>
      <c r="CU378" s="80">
        <f>IF(ISNUMBER($J378),$J378/100,"")</f>
        <v/>
      </c>
      <c r="CV378" s="81">
        <f>IF(ISNUMBER($AQ378),$AQ378,"")</f>
        <v/>
      </c>
      <c r="CW378" s="81">
        <f>IF(ISNUMBER($AR378),$AR378,"")</f>
        <v/>
      </c>
      <c r="CX378" s="82">
        <f>IF(ISNUMBER($AS378),$AS378/100,"")</f>
        <v/>
      </c>
      <c r="CY378" s="82">
        <f>IF(ISNUMBER($AT378),$AT378/100,"")</f>
        <v/>
      </c>
      <c r="CZ378" s="82">
        <f>IF(ISNUMBER($AU378),$AU378/100,"")</f>
        <v/>
      </c>
      <c r="DA378" s="82">
        <f>IF(ISNUMBER($AV378),$AV378/100,"")</f>
        <v/>
      </c>
      <c r="DB378" s="82">
        <f>IF(ISNUMBER($AW378),$AW378/100,"")</f>
        <v/>
      </c>
      <c r="DC378" s="82">
        <f>IF(ISNUMBER($AX378),$AX378/100,"")</f>
        <v/>
      </c>
      <c r="DD378" s="77">
        <f>IFERROR(VALUE(LEFT(TRIM($AO378&amp;""),4)),"")</f>
        <v/>
      </c>
      <c r="DE378" s="78">
        <f>IF(AND($BY378=1,$BX378=1,OR(fDeal="All Deals",$BU378=fDeal),OR(fEntity="All Entities",$BV378=fEntity),OR(fPType="All Property Types",$BZ378=fPType),OR(fDefeased="Include",$CJ378=0)),1,0)</f>
        <v/>
      </c>
      <c r="DF378" s="83">
        <f>$DE378*N($I378)</f>
        <v/>
      </c>
      <c r="DG378" s="78">
        <f>IF($DE378=1,IF(COUNTIFS($F$8:$F378,$F378,$DE$8:$DE378,1)=1,1,0),0)</f>
        <v/>
      </c>
      <c r="DH378" s="83">
        <f>IF($DG378=1,SUMIFS($DF$8:$DF$1600,$F$8:$F$1600,$F378),0)</f>
        <v/>
      </c>
      <c r="DI378" s="78">
        <f>IF($DG378=1,COUNTIFS($F$8:$F$1600,$F378,$DE$8:$DE$1600,1),0)</f>
        <v/>
      </c>
      <c r="DJ378" s="84">
        <f>IF($DG378=1,$DH378+(100000-ROW())/mTieBreak,0)</f>
        <v/>
      </c>
    </row>
    <row r="379">
      <c r="B379" s="68" t="n">
        <v>60</v>
      </c>
      <c r="C379" s="69" t="inlineStr">
        <is>
          <t>UBS18C08</t>
        </is>
      </c>
      <c r="D379" s="69" t="inlineStr">
        <is>
          <t>60.000</t>
        </is>
      </c>
      <c r="E379" s="69" t="inlineStr">
        <is>
          <t>Boulevard I &amp; II</t>
        </is>
      </c>
      <c r="F379" s="69" t="inlineStr">
        <is>
          <t>LNUBS18C08-60.000</t>
        </is>
      </c>
      <c r="G379" s="70" t="n"/>
      <c r="H379" s="71" t="n">
        <v>3750000</v>
      </c>
      <c r="I379" s="71" t="n">
        <v>3207452.34</v>
      </c>
      <c r="J379" s="72" t="n">
        <v>5.105</v>
      </c>
      <c r="K379" s="69" t="inlineStr">
        <is>
          <t>Fixed rate</t>
        </is>
      </c>
      <c r="L379" s="68" t="n">
        <v>120</v>
      </c>
      <c r="M379" s="68" t="n">
        <v>17</v>
      </c>
      <c r="N379" s="68" t="n">
        <v>360</v>
      </c>
      <c r="O379" s="68" t="n"/>
      <c r="P379" s="68" t="n"/>
      <c r="Q379" s="68" t="n">
        <v>103</v>
      </c>
      <c r="R379" s="69" t="n"/>
      <c r="S379" s="69" t="inlineStr">
        <is>
          <t>No</t>
        </is>
      </c>
      <c r="T379" s="73" t="n">
        <v>43132</v>
      </c>
      <c r="U379" s="73" t="n">
        <v>46789</v>
      </c>
      <c r="V379" s="73" t="n"/>
      <c r="W379" s="69" t="n"/>
      <c r="X379" s="69" t="inlineStr">
        <is>
          <t>Current</t>
        </is>
      </c>
      <c r="Y379" s="68" t="n"/>
      <c r="Z379" s="69" t="inlineStr">
        <is>
          <t>No Defeasance Occurred</t>
        </is>
      </c>
      <c r="AA379" s="69" t="inlineStr">
        <is>
          <t>Yes</t>
        </is>
      </c>
      <c r="AB379" s="69" t="inlineStr">
        <is>
          <t>Never special serv</t>
        </is>
      </c>
      <c r="AC379" s="73" t="n"/>
      <c r="AD379" s="69" t="n"/>
      <c r="AE379" s="69" t="n"/>
      <c r="AF379" s="69" t="inlineStr">
        <is>
          <t>GA</t>
        </is>
      </c>
      <c r="AG379" s="69" t="inlineStr">
        <is>
          <t>Douglasville</t>
        </is>
      </c>
      <c r="AH379" s="69" t="inlineStr">
        <is>
          <t>Atlanta-Sandy Springs-Roswell, GA</t>
        </is>
      </c>
      <c r="AI379" s="69" t="inlineStr">
        <is>
          <t>South / Atlantic</t>
        </is>
      </c>
      <c r="AJ379" s="69" t="inlineStr">
        <is>
          <t>RT</t>
        </is>
      </c>
      <c r="AK379" s="69" t="inlineStr">
        <is>
          <t>Unanchored</t>
        </is>
      </c>
      <c r="AL379" s="68" t="n">
        <v>1</v>
      </c>
      <c r="AM379" s="68" t="n"/>
      <c r="AN379" s="68" t="n">
        <v>30300</v>
      </c>
      <c r="AO379" s="69" t="inlineStr">
        <is>
          <t>2004; 2007</t>
        </is>
      </c>
      <c r="AP379" s="70" t="n">
        <v>2007</v>
      </c>
      <c r="AQ379" s="74" t="n">
        <v>1.56</v>
      </c>
      <c r="AR379" s="74" t="n">
        <v>1.44</v>
      </c>
      <c r="AS379" s="74" t="n">
        <v>75</v>
      </c>
      <c r="AT379" s="74" t="n">
        <v>64.15000000000001</v>
      </c>
      <c r="AU379" s="74" t="n">
        <v>61.9</v>
      </c>
      <c r="AV379" s="74" t="n">
        <v>10.1479768</v>
      </c>
      <c r="AW379" s="74" t="n">
        <v>10.343398587</v>
      </c>
      <c r="AX379" s="75" t="n">
        <v>90</v>
      </c>
      <c r="AY379" s="71" t="n">
        <v>5000000</v>
      </c>
      <c r="AZ379" s="71" t="n">
        <v>5000000</v>
      </c>
      <c r="BA379" s="71" t="n">
        <v>380549.13</v>
      </c>
      <c r="BB379" s="71" t="n">
        <v>350993.16</v>
      </c>
      <c r="BC379" s="69" t="inlineStr">
        <is>
          <t>Acquisition</t>
        </is>
      </c>
      <c r="BD379" s="69" t="inlineStr">
        <is>
          <t>N</t>
        </is>
      </c>
      <c r="BE379" s="71" t="n"/>
      <c r="BF379" s="71" t="n"/>
      <c r="BG379" s="71" t="n"/>
      <c r="BH379" s="71" t="n">
        <v>0</v>
      </c>
      <c r="BI379" s="71" t="n">
        <v>0</v>
      </c>
      <c r="BJ379" s="69" t="inlineStr">
        <is>
          <t>N</t>
        </is>
      </c>
      <c r="BK379" s="69" t="inlineStr">
        <is>
          <t>Flourish LLC DBA Tasty Cral</t>
        </is>
      </c>
      <c r="BL379" s="75" t="n">
        <v>19.7</v>
      </c>
      <c r="BM379" s="73" t="n">
        <v>48184</v>
      </c>
      <c r="BN379" s="69" t="inlineStr">
        <is>
          <t>Michael Basinet; Sheri Basinet</t>
        </is>
      </c>
      <c r="BO379" s="69" t="inlineStr">
        <is>
          <t>Cantor Commercial Real Estate Lending</t>
        </is>
      </c>
      <c r="BP379" s="69" t="inlineStr">
        <is>
          <t>Midland Loan Services</t>
        </is>
      </c>
      <c r="BQ379" s="69" t="inlineStr">
        <is>
          <t>Midland Loan Services</t>
        </is>
      </c>
      <c r="BR379" s="69" t="n"/>
      <c r="BS379" s="73" t="n">
        <v>46276</v>
      </c>
      <c r="BU379" s="76">
        <f>IF($C379="","",IFERROR(INDEX(dmName,MATCH($C379,dmID,0)),"Unmapped"))</f>
        <v/>
      </c>
      <c r="BV379" s="76">
        <f>IF($C379="","",IFERROR(INDEX(dmEntity,MATCH($C379,dmID,0)),"Unmapped"))</f>
        <v/>
      </c>
      <c r="BW379" s="77">
        <f>IF($C379="","",IFERROR(INDEX(dmVintage,MATCH($C379,dmID,0)),""))</f>
        <v/>
      </c>
      <c r="BX379" s="78">
        <f>IFERROR(INDEX(dmInclude,MATCH($C379,dmID,0)),0)</f>
        <v/>
      </c>
      <c r="BY379" s="78">
        <f>IF(N($I379)&gt;0,1,0)</f>
        <v/>
      </c>
      <c r="BZ379" s="76">
        <f>IF($AJ379="","Other / Leased Fee",IFERROR(INDEX(mapPTGroup,MATCH(LEFT(TRIM($AJ379),2),mapPTCode,0)),"Other / Leased Fee"))</f>
        <v/>
      </c>
      <c r="CA379" s="76">
        <f>IF(TRIM($AF379&amp;"")="","NR",LEFT(TRIM($AF379),2))</f>
        <v/>
      </c>
      <c r="CB379" s="76">
        <f>IFERROR(LOOKUP(2,1/(LEFT(TRIM($AI379&amp;""),LEN(mapRegion))=mapRegion),mapRegion),"Not Reported")</f>
        <v/>
      </c>
      <c r="CC379" s="76">
        <f>IF($BY379=0,"",IF(TRIM($W379&amp;"")="REO","REO",IF(TRIM($W379&amp;"")="FC","Foreclosure",IF(TRIM($W379&amp;"")="90+","90+ Days Delinquent",IF(TRIM($W379&amp;"")="60","60 Days Delinquent",IF(TRIM($W379&amp;"")="30","30 Days Delinquent",IF($X379="Non-Performing Matured Balloon","Non-Performing Matured Balloon",IF(OR($X379="Late Payment But Less Than 30 Days Delinquent",LEFT($X379&amp;"",20)="Payment Not Received"),"Late / In Grace (&lt;30 Days)",IF($X379="Performing Matured Balloon","Performing Matured Balloon","Current")))))))))</f>
        <v/>
      </c>
      <c r="CD379" s="78">
        <f>IF(OR($CC379="REO",$CC379="Foreclosure",$CC379="90+ Days Delinquent",$CC379="60 Days Delinquent",$CC379="30 Days Delinquent",$CC379="Non-Performing Matured Balloon"),1,0)</f>
        <v/>
      </c>
      <c r="CE379" s="76">
        <f>IF($AB379="Currently special serv","Currently Specially Serviced",IF($AB379="Returned to master serv","Previously Specially Serviced","Never Specially Serviced"))</f>
        <v/>
      </c>
      <c r="CF379" s="78">
        <f>IF($CE379="Currently Specially Serviced",1,0)</f>
        <v/>
      </c>
      <c r="CG379" s="76">
        <f>IF($AA379="Yes","Currently on Watchlist",IF($AA379="Previously","Previously on Watchlist","Never on Watchlist"))</f>
        <v/>
      </c>
      <c r="CH379" s="78">
        <f>IF($CG379="Currently on Watchlist",1,0)</f>
        <v/>
      </c>
      <c r="CI379" s="76">
        <f>IF($Z379="Full Defeasance","Fully Defeased",IF($Z379="Portion Of Loan Previously Defeased","Partially Defeased",IF($Z379="Defeasance Not Allowable","Not Defeased (Not Permitted)","Not Defeased")))</f>
        <v/>
      </c>
      <c r="CJ379" s="78">
        <f>IF($CI379="Fully Defeased",1,0)</f>
        <v/>
      </c>
      <c r="CK379" s="76">
        <f>IF($R379="IO","Full IO",IF(LEFT($R379&amp;"",7)="IO then","Partial IO","Amortizing"))</f>
        <v/>
      </c>
      <c r="CL379" s="78">
        <f>IF($CK379="Full IO",1,0)</f>
        <v/>
      </c>
      <c r="CM379" s="78">
        <f>IF($CK379="Partial IO",1,0)</f>
        <v/>
      </c>
      <c r="CN379" s="76">
        <f>IF(LEFT($F379&amp;"",10)="SPLIT_LOAN","Pari Passu Split","Standalone")</f>
        <v/>
      </c>
      <c r="CO379" s="78">
        <f>IF($CN379="Pari Passu Split",1,0)</f>
        <v/>
      </c>
      <c r="CP379" s="77">
        <f>IF(ISNUMBER($T379),YEAR($T379),"")</f>
        <v/>
      </c>
      <c r="CQ379" s="79">
        <f>IF(ISNUMBER($V379),$V379,IF(ISNUMBER($U379),$U379,""))</f>
        <v/>
      </c>
      <c r="CR379" s="77">
        <f>IF(ISNUMBER($CQ379),YEAR($CQ379),"")</f>
        <v/>
      </c>
      <c r="CS379" s="78">
        <f>IF(ISNUMBER($M379),MAX(0,$M379),IF(TRIM($M379&amp;"")="matured",0,""))</f>
        <v/>
      </c>
      <c r="CT379" s="78">
        <f>IF(AND(ISNUMBER($CS379),N($CS379)&lt;=mMatWindow),1,0)</f>
        <v/>
      </c>
      <c r="CU379" s="80">
        <f>IF(ISNUMBER($J379),$J379/100,"")</f>
        <v/>
      </c>
      <c r="CV379" s="81">
        <f>IF(ISNUMBER($AQ379),$AQ379,"")</f>
        <v/>
      </c>
      <c r="CW379" s="81">
        <f>IF(ISNUMBER($AR379),$AR379,"")</f>
        <v/>
      </c>
      <c r="CX379" s="82">
        <f>IF(ISNUMBER($AS379),$AS379/100,"")</f>
        <v/>
      </c>
      <c r="CY379" s="82">
        <f>IF(ISNUMBER($AT379),$AT379/100,"")</f>
        <v/>
      </c>
      <c r="CZ379" s="82">
        <f>IF(ISNUMBER($AU379),$AU379/100,"")</f>
        <v/>
      </c>
      <c r="DA379" s="82">
        <f>IF(ISNUMBER($AV379),$AV379/100,"")</f>
        <v/>
      </c>
      <c r="DB379" s="82">
        <f>IF(ISNUMBER($AW379),$AW379/100,"")</f>
        <v/>
      </c>
      <c r="DC379" s="82">
        <f>IF(ISNUMBER($AX379),$AX379/100,"")</f>
        <v/>
      </c>
      <c r="DD379" s="77">
        <f>IFERROR(VALUE(LEFT(TRIM($AO379&amp;""),4)),"")</f>
        <v/>
      </c>
      <c r="DE379" s="78">
        <f>IF(AND($BY379=1,$BX379=1,OR(fDeal="All Deals",$BU379=fDeal),OR(fEntity="All Entities",$BV379=fEntity),OR(fPType="All Property Types",$BZ379=fPType),OR(fDefeased="Include",$CJ379=0)),1,0)</f>
        <v/>
      </c>
      <c r="DF379" s="83">
        <f>$DE379*N($I379)</f>
        <v/>
      </c>
      <c r="DG379" s="78">
        <f>IF($DE379=1,IF(COUNTIFS($F$8:$F379,$F379,$DE$8:$DE379,1)=1,1,0),0)</f>
        <v/>
      </c>
      <c r="DH379" s="83">
        <f>IF($DG379=1,SUMIFS($DF$8:$DF$1600,$F$8:$F$1600,$F379),0)</f>
        <v/>
      </c>
      <c r="DI379" s="78">
        <f>IF($DG379=1,COUNTIFS($F$8:$F$1600,$F379,$DE$8:$DE$1600,1),0)</f>
        <v/>
      </c>
      <c r="DJ379" s="84">
        <f>IF($DG379=1,$DH379+(100000-ROW())/mTieBreak,0)</f>
        <v/>
      </c>
    </row>
    <row r="380">
      <c r="B380" s="68" t="n">
        <v>61</v>
      </c>
      <c r="C380" s="69" t="inlineStr">
        <is>
          <t>UBS18C08</t>
        </is>
      </c>
      <c r="D380" s="69" t="inlineStr">
        <is>
          <t>61.000</t>
        </is>
      </c>
      <c r="E380" s="69" t="inlineStr">
        <is>
          <t>Walgreens - Harlingen, TX</t>
        </is>
      </c>
      <c r="F380" s="69" t="inlineStr">
        <is>
          <t>LNUBS18C08-61.000</t>
        </is>
      </c>
      <c r="G380" s="70" t="n"/>
      <c r="H380" s="71" t="n">
        <v>3250000</v>
      </c>
      <c r="I380" s="71" t="n">
        <v>3250000</v>
      </c>
      <c r="J380" s="72" t="n">
        <v>4.84</v>
      </c>
      <c r="K380" s="69" t="inlineStr">
        <is>
          <t>Fixed rate</t>
        </is>
      </c>
      <c r="L380" s="68" t="n">
        <v>120</v>
      </c>
      <c r="M380" s="68" t="n">
        <v>17</v>
      </c>
      <c r="N380" s="68" t="n">
        <v>120</v>
      </c>
      <c r="O380" s="68" t="n">
        <v>120</v>
      </c>
      <c r="P380" s="68" t="n">
        <v>17</v>
      </c>
      <c r="Q380" s="68" t="n">
        <v>103</v>
      </c>
      <c r="R380" s="69" t="inlineStr">
        <is>
          <t>IO</t>
        </is>
      </c>
      <c r="S380" s="69" t="inlineStr">
        <is>
          <t>Yes</t>
        </is>
      </c>
      <c r="T380" s="73" t="n">
        <v>43132</v>
      </c>
      <c r="U380" s="73" t="n">
        <v>46784</v>
      </c>
      <c r="V380" s="73" t="n"/>
      <c r="W380" s="69" t="n"/>
      <c r="X380" s="69" t="inlineStr">
        <is>
          <t>Current</t>
        </is>
      </c>
      <c r="Y380" s="68" t="n"/>
      <c r="Z380" s="69" t="inlineStr">
        <is>
          <t>No Defeasance Occurred</t>
        </is>
      </c>
      <c r="AA380" s="69" t="inlineStr">
        <is>
          <t>Previously</t>
        </is>
      </c>
      <c r="AB380" s="69" t="inlineStr">
        <is>
          <t>Never special serv</t>
        </is>
      </c>
      <c r="AC380" s="73" t="n"/>
      <c r="AD380" s="69" t="n"/>
      <c r="AE380" s="69" t="n"/>
      <c r="AF380" s="69" t="inlineStr">
        <is>
          <t>TX</t>
        </is>
      </c>
      <c r="AG380" s="69" t="inlineStr">
        <is>
          <t>Harlingen</t>
        </is>
      </c>
      <c r="AH380" s="69" t="inlineStr">
        <is>
          <t>Brownsville-Harlingen, TX</t>
        </is>
      </c>
      <c r="AI380" s="69" t="inlineStr">
        <is>
          <t>South / Central West</t>
        </is>
      </c>
      <c r="AJ380" s="69" t="inlineStr">
        <is>
          <t>RT</t>
        </is>
      </c>
      <c r="AK380" s="69" t="inlineStr">
        <is>
          <t>Free Standing</t>
        </is>
      </c>
      <c r="AL380" s="68" t="n">
        <v>1</v>
      </c>
      <c r="AM380" s="68" t="n"/>
      <c r="AN380" s="68" t="n">
        <v>14820</v>
      </c>
      <c r="AO380" s="69" t="inlineStr">
        <is>
          <t>2007</t>
        </is>
      </c>
      <c r="AP380" s="70" t="n">
        <v>2007</v>
      </c>
      <c r="AQ380" s="74" t="n">
        <v>1.95</v>
      </c>
      <c r="AR380" s="74" t="n">
        <v>1.88</v>
      </c>
      <c r="AS380" s="74" t="n">
        <v>57.3</v>
      </c>
      <c r="AT380" s="74" t="n">
        <v>57.27</v>
      </c>
      <c r="AU380" s="74" t="n">
        <v>57.3</v>
      </c>
      <c r="AV380" s="74" t="n">
        <v>9.5916</v>
      </c>
      <c r="AW380" s="74" t="n">
        <v>8.643986769</v>
      </c>
      <c r="AX380" s="75" t="n">
        <v>100</v>
      </c>
      <c r="AY380" s="71" t="n">
        <v>5675000</v>
      </c>
      <c r="AZ380" s="71" t="n">
        <v>5675000</v>
      </c>
      <c r="BA380" s="71" t="n">
        <v>311727</v>
      </c>
      <c r="BB380" s="71" t="n">
        <v>299131.46</v>
      </c>
      <c r="BC380" s="69" t="inlineStr">
        <is>
          <t>Refinance</t>
        </is>
      </c>
      <c r="BD380" s="69" t="inlineStr">
        <is>
          <t>N</t>
        </is>
      </c>
      <c r="BE380" s="71" t="n"/>
      <c r="BF380" s="71" t="n"/>
      <c r="BG380" s="71" t="n"/>
      <c r="BH380" s="71" t="n">
        <v>0</v>
      </c>
      <c r="BI380" s="71" t="n">
        <v>0</v>
      </c>
      <c r="BJ380" s="69" t="inlineStr">
        <is>
          <t>N</t>
        </is>
      </c>
      <c r="BK380" s="69" t="inlineStr">
        <is>
          <t>Walgreens</t>
        </is>
      </c>
      <c r="BL380" s="75" t="n">
        <v>100</v>
      </c>
      <c r="BM380" s="73" t="n">
        <v>66841</v>
      </c>
      <c r="BN380" s="69" t="inlineStr">
        <is>
          <t>Michael B. McDonald</t>
        </is>
      </c>
      <c r="BO380" s="69" t="inlineStr">
        <is>
          <t>CIBC</t>
        </is>
      </c>
      <c r="BP380" s="69" t="inlineStr">
        <is>
          <t>Midland Loan Services</t>
        </is>
      </c>
      <c r="BQ380" s="69" t="inlineStr">
        <is>
          <t>Midland Loan Services</t>
        </is>
      </c>
      <c r="BR380" s="69" t="n"/>
      <c r="BS380" s="73" t="n">
        <v>46276</v>
      </c>
      <c r="BU380" s="76">
        <f>IF($C380="","",IFERROR(INDEX(dmName,MATCH($C380,dmID,0)),"Unmapped"))</f>
        <v/>
      </c>
      <c r="BV380" s="76">
        <f>IF($C380="","",IFERROR(INDEX(dmEntity,MATCH($C380,dmID,0)),"Unmapped"))</f>
        <v/>
      </c>
      <c r="BW380" s="77">
        <f>IF($C380="","",IFERROR(INDEX(dmVintage,MATCH($C380,dmID,0)),""))</f>
        <v/>
      </c>
      <c r="BX380" s="78">
        <f>IFERROR(INDEX(dmInclude,MATCH($C380,dmID,0)),0)</f>
        <v/>
      </c>
      <c r="BY380" s="78">
        <f>IF(N($I380)&gt;0,1,0)</f>
        <v/>
      </c>
      <c r="BZ380" s="76">
        <f>IF($AJ380="","Other / Leased Fee",IFERROR(INDEX(mapPTGroup,MATCH(LEFT(TRIM($AJ380),2),mapPTCode,0)),"Other / Leased Fee"))</f>
        <v/>
      </c>
      <c r="CA380" s="76">
        <f>IF(TRIM($AF380&amp;"")="","NR",LEFT(TRIM($AF380),2))</f>
        <v/>
      </c>
      <c r="CB380" s="76">
        <f>IFERROR(LOOKUP(2,1/(LEFT(TRIM($AI380&amp;""),LEN(mapRegion))=mapRegion),mapRegion),"Not Reported")</f>
        <v/>
      </c>
      <c r="CC380" s="76">
        <f>IF($BY380=0,"",IF(TRIM($W380&amp;"")="REO","REO",IF(TRIM($W380&amp;"")="FC","Foreclosure",IF(TRIM($W380&amp;"")="90+","90+ Days Delinquent",IF(TRIM($W380&amp;"")="60","60 Days Delinquent",IF(TRIM($W380&amp;"")="30","30 Days Delinquent",IF($X380="Non-Performing Matured Balloon","Non-Performing Matured Balloon",IF(OR($X380="Late Payment But Less Than 30 Days Delinquent",LEFT($X380&amp;"",20)="Payment Not Received"),"Late / In Grace (&lt;30 Days)",IF($X380="Performing Matured Balloon","Performing Matured Balloon","Current")))))))))</f>
        <v/>
      </c>
      <c r="CD380" s="78">
        <f>IF(OR($CC380="REO",$CC380="Foreclosure",$CC380="90+ Days Delinquent",$CC380="60 Days Delinquent",$CC380="30 Days Delinquent",$CC380="Non-Performing Matured Balloon"),1,0)</f>
        <v/>
      </c>
      <c r="CE380" s="76">
        <f>IF($AB380="Currently special serv","Currently Specially Serviced",IF($AB380="Returned to master serv","Previously Specially Serviced","Never Specially Serviced"))</f>
        <v/>
      </c>
      <c r="CF380" s="78">
        <f>IF($CE380="Currently Specially Serviced",1,0)</f>
        <v/>
      </c>
      <c r="CG380" s="76">
        <f>IF($AA380="Yes","Currently on Watchlist",IF($AA380="Previously","Previously on Watchlist","Never on Watchlist"))</f>
        <v/>
      </c>
      <c r="CH380" s="78">
        <f>IF($CG380="Currently on Watchlist",1,0)</f>
        <v/>
      </c>
      <c r="CI380" s="76">
        <f>IF($Z380="Full Defeasance","Fully Defeased",IF($Z380="Portion Of Loan Previously Defeased","Partially Defeased",IF($Z380="Defeasance Not Allowable","Not Defeased (Not Permitted)","Not Defeased")))</f>
        <v/>
      </c>
      <c r="CJ380" s="78">
        <f>IF($CI380="Fully Defeased",1,0)</f>
        <v/>
      </c>
      <c r="CK380" s="76">
        <f>IF($R380="IO","Full IO",IF(LEFT($R380&amp;"",7)="IO then","Partial IO","Amortizing"))</f>
        <v/>
      </c>
      <c r="CL380" s="78">
        <f>IF($CK380="Full IO",1,0)</f>
        <v/>
      </c>
      <c r="CM380" s="78">
        <f>IF($CK380="Partial IO",1,0)</f>
        <v/>
      </c>
      <c r="CN380" s="76">
        <f>IF(LEFT($F380&amp;"",10)="SPLIT_LOAN","Pari Passu Split","Standalone")</f>
        <v/>
      </c>
      <c r="CO380" s="78">
        <f>IF($CN380="Pari Passu Split",1,0)</f>
        <v/>
      </c>
      <c r="CP380" s="77">
        <f>IF(ISNUMBER($T380),YEAR($T380),"")</f>
        <v/>
      </c>
      <c r="CQ380" s="79">
        <f>IF(ISNUMBER($V380),$V380,IF(ISNUMBER($U380),$U380,""))</f>
        <v/>
      </c>
      <c r="CR380" s="77">
        <f>IF(ISNUMBER($CQ380),YEAR($CQ380),"")</f>
        <v/>
      </c>
      <c r="CS380" s="78">
        <f>IF(ISNUMBER($M380),MAX(0,$M380),IF(TRIM($M380&amp;"")="matured",0,""))</f>
        <v/>
      </c>
      <c r="CT380" s="78">
        <f>IF(AND(ISNUMBER($CS380),N($CS380)&lt;=mMatWindow),1,0)</f>
        <v/>
      </c>
      <c r="CU380" s="80">
        <f>IF(ISNUMBER($J380),$J380/100,"")</f>
        <v/>
      </c>
      <c r="CV380" s="81">
        <f>IF(ISNUMBER($AQ380),$AQ380,"")</f>
        <v/>
      </c>
      <c r="CW380" s="81">
        <f>IF(ISNUMBER($AR380),$AR380,"")</f>
        <v/>
      </c>
      <c r="CX380" s="82">
        <f>IF(ISNUMBER($AS380),$AS380/100,"")</f>
        <v/>
      </c>
      <c r="CY380" s="82">
        <f>IF(ISNUMBER($AT380),$AT380/100,"")</f>
        <v/>
      </c>
      <c r="CZ380" s="82">
        <f>IF(ISNUMBER($AU380),$AU380/100,"")</f>
        <v/>
      </c>
      <c r="DA380" s="82">
        <f>IF(ISNUMBER($AV380),$AV380/100,"")</f>
        <v/>
      </c>
      <c r="DB380" s="82">
        <f>IF(ISNUMBER($AW380),$AW380/100,"")</f>
        <v/>
      </c>
      <c r="DC380" s="82">
        <f>IF(ISNUMBER($AX380),$AX380/100,"")</f>
        <v/>
      </c>
      <c r="DD380" s="77">
        <f>IFERROR(VALUE(LEFT(TRIM($AO380&amp;""),4)),"")</f>
        <v/>
      </c>
      <c r="DE380" s="78">
        <f>IF(AND($BY380=1,$BX380=1,OR(fDeal="All Deals",$BU380=fDeal),OR(fEntity="All Entities",$BV380=fEntity),OR(fPType="All Property Types",$BZ380=fPType),OR(fDefeased="Include",$CJ380=0)),1,0)</f>
        <v/>
      </c>
      <c r="DF380" s="83">
        <f>$DE380*N($I380)</f>
        <v/>
      </c>
      <c r="DG380" s="78">
        <f>IF($DE380=1,IF(COUNTIFS($F$8:$F380,$F380,$DE$8:$DE380,1)=1,1,0),0)</f>
        <v/>
      </c>
      <c r="DH380" s="83">
        <f>IF($DG380=1,SUMIFS($DF$8:$DF$1600,$F$8:$F$1600,$F380),0)</f>
        <v/>
      </c>
      <c r="DI380" s="78">
        <f>IF($DG380=1,COUNTIFS($F$8:$F$1600,$F380,$DE$8:$DE$1600,1),0)</f>
        <v/>
      </c>
      <c r="DJ380" s="84">
        <f>IF($DG380=1,$DH380+(100000-ROW())/mTieBreak,0)</f>
        <v/>
      </c>
    </row>
    <row r="381">
      <c r="B381" s="68" t="n">
        <v>62</v>
      </c>
      <c r="C381" s="69" t="inlineStr">
        <is>
          <t>UBS18C08</t>
        </is>
      </c>
      <c r="D381" s="69" t="inlineStr">
        <is>
          <t>62.000</t>
        </is>
      </c>
      <c r="E381" s="69" t="inlineStr">
        <is>
          <t>Clarksville Shops</t>
        </is>
      </c>
      <c r="F381" s="69" t="inlineStr">
        <is>
          <t>LNUBS18C08-62.000</t>
        </is>
      </c>
      <c r="G381" s="70" t="n"/>
      <c r="H381" s="71" t="n">
        <v>3150000</v>
      </c>
      <c r="I381" s="71" t="n">
        <v>2842641.98999865</v>
      </c>
      <c r="J381" s="72" t="n">
        <v>5.42</v>
      </c>
      <c r="K381" s="69" t="inlineStr">
        <is>
          <t>Fixed rate</t>
        </is>
      </c>
      <c r="L381" s="68" t="n">
        <v>120</v>
      </c>
      <c r="M381" s="68" t="n">
        <v>17</v>
      </c>
      <c r="N381" s="68" t="n">
        <v>384</v>
      </c>
      <c r="O381" s="68" t="n">
        <v>24</v>
      </c>
      <c r="P381" s="68" t="n">
        <v>0</v>
      </c>
      <c r="Q381" s="68" t="n">
        <v>103</v>
      </c>
      <c r="R381" s="69" t="inlineStr">
        <is>
          <t>IO then Amort</t>
        </is>
      </c>
      <c r="S381" s="69" t="inlineStr">
        <is>
          <t>No</t>
        </is>
      </c>
      <c r="T381" s="73" t="n">
        <v>43132</v>
      </c>
      <c r="U381" s="73" t="n">
        <v>46789</v>
      </c>
      <c r="V381" s="73" t="n"/>
      <c r="W381" s="69" t="n"/>
      <c r="X381" s="69" t="inlineStr">
        <is>
          <t>Current</t>
        </is>
      </c>
      <c r="Y381" s="68" t="n"/>
      <c r="Z381" s="69" t="inlineStr">
        <is>
          <t>No Defeasance Occurred</t>
        </is>
      </c>
      <c r="AA381" s="69" t="inlineStr">
        <is>
          <t>Yes</t>
        </is>
      </c>
      <c r="AB381" s="69" t="inlineStr">
        <is>
          <t>Never special serv</t>
        </is>
      </c>
      <c r="AC381" s="73" t="n"/>
      <c r="AD381" s="69" t="n"/>
      <c r="AE381" s="69" t="n"/>
      <c r="AF381" s="69" t="inlineStr">
        <is>
          <t>IN</t>
        </is>
      </c>
      <c r="AG381" s="69" t="inlineStr">
        <is>
          <t>Clarksville</t>
        </is>
      </c>
      <c r="AH381" s="69" t="inlineStr">
        <is>
          <t>Louisville/Jefferson County, KY-IN</t>
        </is>
      </c>
      <c r="AI381" s="69" t="inlineStr">
        <is>
          <t>South / Central East</t>
        </is>
      </c>
      <c r="AJ381" s="69" t="inlineStr">
        <is>
          <t>RT</t>
        </is>
      </c>
      <c r="AK381" s="69" t="inlineStr">
        <is>
          <t>Shadow Anchored</t>
        </is>
      </c>
      <c r="AL381" s="68" t="n">
        <v>1</v>
      </c>
      <c r="AM381" s="68" t="n"/>
      <c r="AN381" s="68" t="n">
        <v>20000</v>
      </c>
      <c r="AO381" s="69" t="inlineStr">
        <is>
          <t>2010</t>
        </is>
      </c>
      <c r="AP381" s="70" t="n">
        <v>2010</v>
      </c>
      <c r="AQ381" s="74" t="n">
        <v>1.32</v>
      </c>
      <c r="AR381" s="74" t="n">
        <v>0.46</v>
      </c>
      <c r="AS381" s="74" t="n">
        <v>69.2</v>
      </c>
      <c r="AT381" s="74" t="n">
        <v>62.48</v>
      </c>
      <c r="AU381" s="74" t="n">
        <v>60.5</v>
      </c>
      <c r="AV381" s="74" t="n">
        <v>8.938095238000001</v>
      </c>
      <c r="AW381" s="74" t="n">
        <v>4.381165846</v>
      </c>
      <c r="AX381" s="75" t="n">
        <v>93</v>
      </c>
      <c r="AY381" s="71" t="n">
        <v>4550000</v>
      </c>
      <c r="AZ381" s="71" t="n">
        <v>4550000</v>
      </c>
      <c r="BA381" s="71" t="n">
        <v>281550</v>
      </c>
      <c r="BB381" s="71" t="n">
        <v>97170.10000000001</v>
      </c>
      <c r="BC381" s="69" t="inlineStr">
        <is>
          <t>Acquisition</t>
        </is>
      </c>
      <c r="BD381" s="69" t="inlineStr">
        <is>
          <t>N</t>
        </is>
      </c>
      <c r="BE381" s="71" t="n"/>
      <c r="BF381" s="71" t="n"/>
      <c r="BG381" s="71" t="n"/>
      <c r="BH381" s="71" t="n">
        <v>0</v>
      </c>
      <c r="BI381" s="71" t="n">
        <v>0</v>
      </c>
      <c r="BJ381" s="69" t="inlineStr">
        <is>
          <t>N</t>
        </is>
      </c>
      <c r="BK381" s="69" t="inlineStr">
        <is>
          <t>National Vision, Inc.</t>
        </is>
      </c>
      <c r="BL381" s="75" t="n">
        <v>16.8</v>
      </c>
      <c r="BM381" s="73" t="n">
        <v>46507</v>
      </c>
      <c r="BN381" s="69" t="inlineStr">
        <is>
          <t>Frank P. Farinella; Phillip John Farinella Jr.</t>
        </is>
      </c>
      <c r="BO381" s="69" t="inlineStr">
        <is>
          <t>RMF</t>
        </is>
      </c>
      <c r="BP381" s="69" t="inlineStr">
        <is>
          <t>Midland Loan Services</t>
        </is>
      </c>
      <c r="BQ381" s="69" t="inlineStr">
        <is>
          <t>Midland Loan Services</t>
        </is>
      </c>
      <c r="BR381" s="69" t="n"/>
      <c r="BS381" s="73" t="n">
        <v>46276</v>
      </c>
      <c r="BU381" s="76">
        <f>IF($C381="","",IFERROR(INDEX(dmName,MATCH($C381,dmID,0)),"Unmapped"))</f>
        <v/>
      </c>
      <c r="BV381" s="76">
        <f>IF($C381="","",IFERROR(INDEX(dmEntity,MATCH($C381,dmID,0)),"Unmapped"))</f>
        <v/>
      </c>
      <c r="BW381" s="77">
        <f>IF($C381="","",IFERROR(INDEX(dmVintage,MATCH($C381,dmID,0)),""))</f>
        <v/>
      </c>
      <c r="BX381" s="78">
        <f>IFERROR(INDEX(dmInclude,MATCH($C381,dmID,0)),0)</f>
        <v/>
      </c>
      <c r="BY381" s="78">
        <f>IF(N($I381)&gt;0,1,0)</f>
        <v/>
      </c>
      <c r="BZ381" s="76">
        <f>IF($AJ381="","Other / Leased Fee",IFERROR(INDEX(mapPTGroup,MATCH(LEFT(TRIM($AJ381),2),mapPTCode,0)),"Other / Leased Fee"))</f>
        <v/>
      </c>
      <c r="CA381" s="76">
        <f>IF(TRIM($AF381&amp;"")="","NR",LEFT(TRIM($AF381),2))</f>
        <v/>
      </c>
      <c r="CB381" s="76">
        <f>IFERROR(LOOKUP(2,1/(LEFT(TRIM($AI381&amp;""),LEN(mapRegion))=mapRegion),mapRegion),"Not Reported")</f>
        <v/>
      </c>
      <c r="CC381" s="76">
        <f>IF($BY381=0,"",IF(TRIM($W381&amp;"")="REO","REO",IF(TRIM($W381&amp;"")="FC","Foreclosure",IF(TRIM($W381&amp;"")="90+","90+ Days Delinquent",IF(TRIM($W381&amp;"")="60","60 Days Delinquent",IF(TRIM($W381&amp;"")="30","30 Days Delinquent",IF($X381="Non-Performing Matured Balloon","Non-Performing Matured Balloon",IF(OR($X381="Late Payment But Less Than 30 Days Delinquent",LEFT($X381&amp;"",20)="Payment Not Received"),"Late / In Grace (&lt;30 Days)",IF($X381="Performing Matured Balloon","Performing Matured Balloon","Current")))))))))</f>
        <v/>
      </c>
      <c r="CD381" s="78">
        <f>IF(OR($CC381="REO",$CC381="Foreclosure",$CC381="90+ Days Delinquent",$CC381="60 Days Delinquent",$CC381="30 Days Delinquent",$CC381="Non-Performing Matured Balloon"),1,0)</f>
        <v/>
      </c>
      <c r="CE381" s="76">
        <f>IF($AB381="Currently special serv","Currently Specially Serviced",IF($AB381="Returned to master serv","Previously Specially Serviced","Never Specially Serviced"))</f>
        <v/>
      </c>
      <c r="CF381" s="78">
        <f>IF($CE381="Currently Specially Serviced",1,0)</f>
        <v/>
      </c>
      <c r="CG381" s="76">
        <f>IF($AA381="Yes","Currently on Watchlist",IF($AA381="Previously","Previously on Watchlist","Never on Watchlist"))</f>
        <v/>
      </c>
      <c r="CH381" s="78">
        <f>IF($CG381="Currently on Watchlist",1,0)</f>
        <v/>
      </c>
      <c r="CI381" s="76">
        <f>IF($Z381="Full Defeasance","Fully Defeased",IF($Z381="Portion Of Loan Previously Defeased","Partially Defeased",IF($Z381="Defeasance Not Allowable","Not Defeased (Not Permitted)","Not Defeased")))</f>
        <v/>
      </c>
      <c r="CJ381" s="78">
        <f>IF($CI381="Fully Defeased",1,0)</f>
        <v/>
      </c>
      <c r="CK381" s="76">
        <f>IF($R381="IO","Full IO",IF(LEFT($R381&amp;"",7)="IO then","Partial IO","Amortizing"))</f>
        <v/>
      </c>
      <c r="CL381" s="78">
        <f>IF($CK381="Full IO",1,0)</f>
        <v/>
      </c>
      <c r="CM381" s="78">
        <f>IF($CK381="Partial IO",1,0)</f>
        <v/>
      </c>
      <c r="CN381" s="76">
        <f>IF(LEFT($F381&amp;"",10)="SPLIT_LOAN","Pari Passu Split","Standalone")</f>
        <v/>
      </c>
      <c r="CO381" s="78">
        <f>IF($CN381="Pari Passu Split",1,0)</f>
        <v/>
      </c>
      <c r="CP381" s="77">
        <f>IF(ISNUMBER($T381),YEAR($T381),"")</f>
        <v/>
      </c>
      <c r="CQ381" s="79">
        <f>IF(ISNUMBER($V381),$V381,IF(ISNUMBER($U381),$U381,""))</f>
        <v/>
      </c>
      <c r="CR381" s="77">
        <f>IF(ISNUMBER($CQ381),YEAR($CQ381),"")</f>
        <v/>
      </c>
      <c r="CS381" s="78">
        <f>IF(ISNUMBER($M381),MAX(0,$M381),IF(TRIM($M381&amp;"")="matured",0,""))</f>
        <v/>
      </c>
      <c r="CT381" s="78">
        <f>IF(AND(ISNUMBER($CS381),N($CS381)&lt;=mMatWindow),1,0)</f>
        <v/>
      </c>
      <c r="CU381" s="80">
        <f>IF(ISNUMBER($J381),$J381/100,"")</f>
        <v/>
      </c>
      <c r="CV381" s="81">
        <f>IF(ISNUMBER($AQ381),$AQ381,"")</f>
        <v/>
      </c>
      <c r="CW381" s="81">
        <f>IF(ISNUMBER($AR381),$AR381,"")</f>
        <v/>
      </c>
      <c r="CX381" s="82">
        <f>IF(ISNUMBER($AS381),$AS381/100,"")</f>
        <v/>
      </c>
      <c r="CY381" s="82">
        <f>IF(ISNUMBER($AT381),$AT381/100,"")</f>
        <v/>
      </c>
      <c r="CZ381" s="82">
        <f>IF(ISNUMBER($AU381),$AU381/100,"")</f>
        <v/>
      </c>
      <c r="DA381" s="82">
        <f>IF(ISNUMBER($AV381),$AV381/100,"")</f>
        <v/>
      </c>
      <c r="DB381" s="82">
        <f>IF(ISNUMBER($AW381),$AW381/100,"")</f>
        <v/>
      </c>
      <c r="DC381" s="82">
        <f>IF(ISNUMBER($AX381),$AX381/100,"")</f>
        <v/>
      </c>
      <c r="DD381" s="77">
        <f>IFERROR(VALUE(LEFT(TRIM($AO381&amp;""),4)),"")</f>
        <v/>
      </c>
      <c r="DE381" s="78">
        <f>IF(AND($BY381=1,$BX381=1,OR(fDeal="All Deals",$BU381=fDeal),OR(fEntity="All Entities",$BV381=fEntity),OR(fPType="All Property Types",$BZ381=fPType),OR(fDefeased="Include",$CJ381=0)),1,0)</f>
        <v/>
      </c>
      <c r="DF381" s="83">
        <f>$DE381*N($I381)</f>
        <v/>
      </c>
      <c r="DG381" s="78">
        <f>IF($DE381=1,IF(COUNTIFS($F$8:$F381,$F381,$DE$8:$DE381,1)=1,1,0),0)</f>
        <v/>
      </c>
      <c r="DH381" s="83">
        <f>IF($DG381=1,SUMIFS($DF$8:$DF$1600,$F$8:$F$1600,$F381),0)</f>
        <v/>
      </c>
      <c r="DI381" s="78">
        <f>IF($DG381=1,COUNTIFS($F$8:$F$1600,$F381,$DE$8:$DE$1600,1),0)</f>
        <v/>
      </c>
      <c r="DJ381" s="84">
        <f>IF($DG381=1,$DH381+(100000-ROW())/mTieBreak,0)</f>
        <v/>
      </c>
    </row>
    <row r="382">
      <c r="B382" s="68" t="n">
        <v>63</v>
      </c>
      <c r="C382" s="69" t="inlineStr">
        <is>
          <t>UBS18C08</t>
        </is>
      </c>
      <c r="D382" s="69" t="inlineStr">
        <is>
          <t>63.000</t>
        </is>
      </c>
      <c r="E382" s="69" t="inlineStr">
        <is>
          <t>Walgreens - Dallas, GA</t>
        </is>
      </c>
      <c r="F382" s="69" t="inlineStr">
        <is>
          <t>LNUBS18C08-63.000</t>
        </is>
      </c>
      <c r="G382" s="70" t="n"/>
      <c r="H382" s="71" t="n">
        <v>2800000</v>
      </c>
      <c r="I382" s="71" t="n">
        <v>2800000</v>
      </c>
      <c r="J382" s="72" t="n">
        <v>4.84</v>
      </c>
      <c r="K382" s="69" t="inlineStr">
        <is>
          <t>Fixed rate</t>
        </is>
      </c>
      <c r="L382" s="68" t="n">
        <v>120</v>
      </c>
      <c r="M382" s="68" t="n">
        <v>17</v>
      </c>
      <c r="N382" s="68" t="n">
        <v>120</v>
      </c>
      <c r="O382" s="68" t="n">
        <v>120</v>
      </c>
      <c r="P382" s="68" t="n">
        <v>17</v>
      </c>
      <c r="Q382" s="68" t="n">
        <v>103</v>
      </c>
      <c r="R382" s="69" t="inlineStr">
        <is>
          <t>IO</t>
        </is>
      </c>
      <c r="S382" s="69" t="inlineStr">
        <is>
          <t>Yes</t>
        </is>
      </c>
      <c r="T382" s="73" t="n">
        <v>43132</v>
      </c>
      <c r="U382" s="73" t="n">
        <v>46784</v>
      </c>
      <c r="V382" s="73" t="n"/>
      <c r="W382" s="69" t="n"/>
      <c r="X382" s="69" t="inlineStr">
        <is>
          <t>Current</t>
        </is>
      </c>
      <c r="Y382" s="68" t="n"/>
      <c r="Z382" s="69" t="inlineStr">
        <is>
          <t>No Defeasance Occurred</t>
        </is>
      </c>
      <c r="AA382" s="69" t="n"/>
      <c r="AB382" s="69" t="inlineStr">
        <is>
          <t>Never special serv</t>
        </is>
      </c>
      <c r="AC382" s="73" t="n"/>
      <c r="AD382" s="69" t="n"/>
      <c r="AE382" s="69" t="n"/>
      <c r="AF382" s="69" t="inlineStr">
        <is>
          <t>GA</t>
        </is>
      </c>
      <c r="AG382" s="69" t="inlineStr">
        <is>
          <t>Dallas</t>
        </is>
      </c>
      <c r="AH382" s="69" t="inlineStr">
        <is>
          <t>Atlanta-Sandy Springs-Roswell, GA</t>
        </is>
      </c>
      <c r="AI382" s="69" t="inlineStr">
        <is>
          <t>South / Atlantic</t>
        </is>
      </c>
      <c r="AJ382" s="69" t="inlineStr">
        <is>
          <t>RT</t>
        </is>
      </c>
      <c r="AK382" s="69" t="inlineStr">
        <is>
          <t>Free Standing</t>
        </is>
      </c>
      <c r="AL382" s="68" t="n">
        <v>1</v>
      </c>
      <c r="AM382" s="68" t="n"/>
      <c r="AN382" s="68" t="n">
        <v>14820</v>
      </c>
      <c r="AO382" s="69" t="inlineStr">
        <is>
          <t>2007</t>
        </is>
      </c>
      <c r="AP382" s="70" t="n">
        <v>2007</v>
      </c>
      <c r="AQ382" s="74" t="n">
        <v>1.95</v>
      </c>
      <c r="AR382" s="74" t="n">
        <v>1.81</v>
      </c>
      <c r="AS382" s="74" t="n">
        <v>57.4</v>
      </c>
      <c r="AT382" s="74" t="n">
        <v>57.44</v>
      </c>
      <c r="AU382" s="74" t="n">
        <v>57.4</v>
      </c>
      <c r="AV382" s="74" t="n">
        <v>9.572607143000001</v>
      </c>
      <c r="AW382" s="74" t="n">
        <v>8.890971786</v>
      </c>
      <c r="AX382" s="75" t="n">
        <v>100</v>
      </c>
      <c r="AY382" s="71" t="n">
        <v>4875000</v>
      </c>
      <c r="AZ382" s="71" t="n">
        <v>4875000</v>
      </c>
      <c r="BA382" s="71" t="n">
        <v>268033</v>
      </c>
      <c r="BB382" s="71" t="n">
        <v>248947.21</v>
      </c>
      <c r="BC382" s="69" t="inlineStr">
        <is>
          <t>Refinance</t>
        </is>
      </c>
      <c r="BD382" s="69" t="inlineStr">
        <is>
          <t>N</t>
        </is>
      </c>
      <c r="BE382" s="71" t="n"/>
      <c r="BF382" s="71" t="n"/>
      <c r="BG382" s="71" t="n"/>
      <c r="BH382" s="71" t="n">
        <v>0</v>
      </c>
      <c r="BI382" s="71" t="n">
        <v>0</v>
      </c>
      <c r="BJ382" s="69" t="inlineStr">
        <is>
          <t>N</t>
        </is>
      </c>
      <c r="BK382" s="69" t="inlineStr">
        <is>
          <t>Walgreens</t>
        </is>
      </c>
      <c r="BL382" s="75" t="n">
        <v>100</v>
      </c>
      <c r="BM382" s="73" t="n">
        <v>66841</v>
      </c>
      <c r="BN382" s="69" t="inlineStr">
        <is>
          <t>Michael B. McDonald</t>
        </is>
      </c>
      <c r="BO382" s="69" t="inlineStr">
        <is>
          <t>CIBC</t>
        </is>
      </c>
      <c r="BP382" s="69" t="inlineStr">
        <is>
          <t>Midland Loan Services</t>
        </is>
      </c>
      <c r="BQ382" s="69" t="inlineStr">
        <is>
          <t>Midland Loan Services</t>
        </is>
      </c>
      <c r="BR382" s="69" t="n"/>
      <c r="BS382" s="73" t="n">
        <v>46276</v>
      </c>
      <c r="BU382" s="76">
        <f>IF($C382="","",IFERROR(INDEX(dmName,MATCH($C382,dmID,0)),"Unmapped"))</f>
        <v/>
      </c>
      <c r="BV382" s="76">
        <f>IF($C382="","",IFERROR(INDEX(dmEntity,MATCH($C382,dmID,0)),"Unmapped"))</f>
        <v/>
      </c>
      <c r="BW382" s="77">
        <f>IF($C382="","",IFERROR(INDEX(dmVintage,MATCH($C382,dmID,0)),""))</f>
        <v/>
      </c>
      <c r="BX382" s="78">
        <f>IFERROR(INDEX(dmInclude,MATCH($C382,dmID,0)),0)</f>
        <v/>
      </c>
      <c r="BY382" s="78">
        <f>IF(N($I382)&gt;0,1,0)</f>
        <v/>
      </c>
      <c r="BZ382" s="76">
        <f>IF($AJ382="","Other / Leased Fee",IFERROR(INDEX(mapPTGroup,MATCH(LEFT(TRIM($AJ382),2),mapPTCode,0)),"Other / Leased Fee"))</f>
        <v/>
      </c>
      <c r="CA382" s="76">
        <f>IF(TRIM($AF382&amp;"")="","NR",LEFT(TRIM($AF382),2))</f>
        <v/>
      </c>
      <c r="CB382" s="76">
        <f>IFERROR(LOOKUP(2,1/(LEFT(TRIM($AI382&amp;""),LEN(mapRegion))=mapRegion),mapRegion),"Not Reported")</f>
        <v/>
      </c>
      <c r="CC382" s="76">
        <f>IF($BY382=0,"",IF(TRIM($W382&amp;"")="REO","REO",IF(TRIM($W382&amp;"")="FC","Foreclosure",IF(TRIM($W382&amp;"")="90+","90+ Days Delinquent",IF(TRIM($W382&amp;"")="60","60 Days Delinquent",IF(TRIM($W382&amp;"")="30","30 Days Delinquent",IF($X382="Non-Performing Matured Balloon","Non-Performing Matured Balloon",IF(OR($X382="Late Payment But Less Than 30 Days Delinquent",LEFT($X382&amp;"",20)="Payment Not Received"),"Late / In Grace (&lt;30 Days)",IF($X382="Performing Matured Balloon","Performing Matured Balloon","Current")))))))))</f>
        <v/>
      </c>
      <c r="CD382" s="78">
        <f>IF(OR($CC382="REO",$CC382="Foreclosure",$CC382="90+ Days Delinquent",$CC382="60 Days Delinquent",$CC382="30 Days Delinquent",$CC382="Non-Performing Matured Balloon"),1,0)</f>
        <v/>
      </c>
      <c r="CE382" s="76">
        <f>IF($AB382="Currently special serv","Currently Specially Serviced",IF($AB382="Returned to master serv","Previously Specially Serviced","Never Specially Serviced"))</f>
        <v/>
      </c>
      <c r="CF382" s="78">
        <f>IF($CE382="Currently Specially Serviced",1,0)</f>
        <v/>
      </c>
      <c r="CG382" s="76">
        <f>IF($AA382="Yes","Currently on Watchlist",IF($AA382="Previously","Previously on Watchlist","Never on Watchlist"))</f>
        <v/>
      </c>
      <c r="CH382" s="78">
        <f>IF($CG382="Currently on Watchlist",1,0)</f>
        <v/>
      </c>
      <c r="CI382" s="76">
        <f>IF($Z382="Full Defeasance","Fully Defeased",IF($Z382="Portion Of Loan Previously Defeased","Partially Defeased",IF($Z382="Defeasance Not Allowable","Not Defeased (Not Permitted)","Not Defeased")))</f>
        <v/>
      </c>
      <c r="CJ382" s="78">
        <f>IF($CI382="Fully Defeased",1,0)</f>
        <v/>
      </c>
      <c r="CK382" s="76">
        <f>IF($R382="IO","Full IO",IF(LEFT($R382&amp;"",7)="IO then","Partial IO","Amortizing"))</f>
        <v/>
      </c>
      <c r="CL382" s="78">
        <f>IF($CK382="Full IO",1,0)</f>
        <v/>
      </c>
      <c r="CM382" s="78">
        <f>IF($CK382="Partial IO",1,0)</f>
        <v/>
      </c>
      <c r="CN382" s="76">
        <f>IF(LEFT($F382&amp;"",10)="SPLIT_LOAN","Pari Passu Split","Standalone")</f>
        <v/>
      </c>
      <c r="CO382" s="78">
        <f>IF($CN382="Pari Passu Split",1,0)</f>
        <v/>
      </c>
      <c r="CP382" s="77">
        <f>IF(ISNUMBER($T382),YEAR($T382),"")</f>
        <v/>
      </c>
      <c r="CQ382" s="79">
        <f>IF(ISNUMBER($V382),$V382,IF(ISNUMBER($U382),$U382,""))</f>
        <v/>
      </c>
      <c r="CR382" s="77">
        <f>IF(ISNUMBER($CQ382),YEAR($CQ382),"")</f>
        <v/>
      </c>
      <c r="CS382" s="78">
        <f>IF(ISNUMBER($M382),MAX(0,$M382),IF(TRIM($M382&amp;"")="matured",0,""))</f>
        <v/>
      </c>
      <c r="CT382" s="78">
        <f>IF(AND(ISNUMBER($CS382),N($CS382)&lt;=mMatWindow),1,0)</f>
        <v/>
      </c>
      <c r="CU382" s="80">
        <f>IF(ISNUMBER($J382),$J382/100,"")</f>
        <v/>
      </c>
      <c r="CV382" s="81">
        <f>IF(ISNUMBER($AQ382),$AQ382,"")</f>
        <v/>
      </c>
      <c r="CW382" s="81">
        <f>IF(ISNUMBER($AR382),$AR382,"")</f>
        <v/>
      </c>
      <c r="CX382" s="82">
        <f>IF(ISNUMBER($AS382),$AS382/100,"")</f>
        <v/>
      </c>
      <c r="CY382" s="82">
        <f>IF(ISNUMBER($AT382),$AT382/100,"")</f>
        <v/>
      </c>
      <c r="CZ382" s="82">
        <f>IF(ISNUMBER($AU382),$AU382/100,"")</f>
        <v/>
      </c>
      <c r="DA382" s="82">
        <f>IF(ISNUMBER($AV382),$AV382/100,"")</f>
        <v/>
      </c>
      <c r="DB382" s="82">
        <f>IF(ISNUMBER($AW382),$AW382/100,"")</f>
        <v/>
      </c>
      <c r="DC382" s="82">
        <f>IF(ISNUMBER($AX382),$AX382/100,"")</f>
        <v/>
      </c>
      <c r="DD382" s="77">
        <f>IFERROR(VALUE(LEFT(TRIM($AO382&amp;""),4)),"")</f>
        <v/>
      </c>
      <c r="DE382" s="78">
        <f>IF(AND($BY382=1,$BX382=1,OR(fDeal="All Deals",$BU382=fDeal),OR(fEntity="All Entities",$BV382=fEntity),OR(fPType="All Property Types",$BZ382=fPType),OR(fDefeased="Include",$CJ382=0)),1,0)</f>
        <v/>
      </c>
      <c r="DF382" s="83">
        <f>$DE382*N($I382)</f>
        <v/>
      </c>
      <c r="DG382" s="78">
        <f>IF($DE382=1,IF(COUNTIFS($F$8:$F382,$F382,$DE$8:$DE382,1)=1,1,0),0)</f>
        <v/>
      </c>
      <c r="DH382" s="83">
        <f>IF($DG382=1,SUMIFS($DF$8:$DF$1600,$F$8:$F$1600,$F382),0)</f>
        <v/>
      </c>
      <c r="DI382" s="78">
        <f>IF($DG382=1,COUNTIFS($F$8:$F$1600,$F382,$DE$8:$DE$1600,1),0)</f>
        <v/>
      </c>
      <c r="DJ382" s="84">
        <f>IF($DG382=1,$DH382+(100000-ROW())/mTieBreak,0)</f>
        <v/>
      </c>
    </row>
    <row r="383">
      <c r="B383" s="68" t="n">
        <v>64</v>
      </c>
      <c r="C383" s="69" t="inlineStr">
        <is>
          <t>UBS18C08</t>
        </is>
      </c>
      <c r="D383" s="69" t="inlineStr">
        <is>
          <t>64.000</t>
        </is>
      </c>
      <c r="E383" s="69" t="inlineStr">
        <is>
          <t>Walgreens - Guthrie, OK</t>
        </is>
      </c>
      <c r="F383" s="69" t="inlineStr">
        <is>
          <t>LNUBS18C08-64.000</t>
        </is>
      </c>
      <c r="G383" s="70" t="n"/>
      <c r="H383" s="71" t="n">
        <v>2742750</v>
      </c>
      <c r="I383" s="71" t="n">
        <v>2742750</v>
      </c>
      <c r="J383" s="72" t="n">
        <v>4.84</v>
      </c>
      <c r="K383" s="69" t="inlineStr">
        <is>
          <t>Fixed rate</t>
        </is>
      </c>
      <c r="L383" s="68" t="n">
        <v>120</v>
      </c>
      <c r="M383" s="68" t="n">
        <v>17</v>
      </c>
      <c r="N383" s="68" t="n">
        <v>120</v>
      </c>
      <c r="O383" s="68" t="n">
        <v>120</v>
      </c>
      <c r="P383" s="68" t="n">
        <v>17</v>
      </c>
      <c r="Q383" s="68" t="n">
        <v>103</v>
      </c>
      <c r="R383" s="69" t="inlineStr">
        <is>
          <t>IO</t>
        </is>
      </c>
      <c r="S383" s="69" t="inlineStr">
        <is>
          <t>Yes</t>
        </is>
      </c>
      <c r="T383" s="73" t="n">
        <v>43132</v>
      </c>
      <c r="U383" s="73" t="n">
        <v>46784</v>
      </c>
      <c r="V383" s="73" t="n"/>
      <c r="W383" s="69" t="n"/>
      <c r="X383" s="69" t="inlineStr">
        <is>
          <t>Current</t>
        </is>
      </c>
      <c r="Y383" s="68" t="n"/>
      <c r="Z383" s="69" t="inlineStr">
        <is>
          <t>No Defeasance Occurred</t>
        </is>
      </c>
      <c r="AA383" s="69" t="inlineStr">
        <is>
          <t>Previously</t>
        </is>
      </c>
      <c r="AB383" s="69" t="inlineStr">
        <is>
          <t>Never special serv</t>
        </is>
      </c>
      <c r="AC383" s="73" t="n"/>
      <c r="AD383" s="69" t="n"/>
      <c r="AE383" s="69" t="n"/>
      <c r="AF383" s="69" t="inlineStr">
        <is>
          <t>OK</t>
        </is>
      </c>
      <c r="AG383" s="69" t="inlineStr">
        <is>
          <t>Guthrie</t>
        </is>
      </c>
      <c r="AH383" s="69" t="inlineStr">
        <is>
          <t>Oklahoma City, OK</t>
        </is>
      </c>
      <c r="AI383" s="69" t="inlineStr">
        <is>
          <t>South / Central West</t>
        </is>
      </c>
      <c r="AJ383" s="69" t="inlineStr">
        <is>
          <t>RT</t>
        </is>
      </c>
      <c r="AK383" s="69" t="inlineStr">
        <is>
          <t>Free Standing</t>
        </is>
      </c>
      <c r="AL383" s="68" t="n">
        <v>1</v>
      </c>
      <c r="AM383" s="68" t="n"/>
      <c r="AN383" s="68" t="n">
        <v>10500</v>
      </c>
      <c r="AO383" s="69" t="inlineStr">
        <is>
          <t>2007</t>
        </is>
      </c>
      <c r="AP383" s="70" t="n">
        <v>2007</v>
      </c>
      <c r="AQ383" s="74" t="n">
        <v>2.03</v>
      </c>
      <c r="AR383" s="74" t="n">
        <v>1.98</v>
      </c>
      <c r="AS383" s="74" t="n">
        <v>57.5</v>
      </c>
      <c r="AT383" s="74" t="n">
        <v>57.5</v>
      </c>
      <c r="AU383" s="74" t="n">
        <v>57.5</v>
      </c>
      <c r="AV383" s="74" t="n">
        <v>9.948445903</v>
      </c>
      <c r="AW383" s="74" t="n">
        <v>9.738865007999999</v>
      </c>
      <c r="AX383" s="75" t="n">
        <v>100</v>
      </c>
      <c r="AY383" s="71" t="n">
        <v>4770000</v>
      </c>
      <c r="AZ383" s="71" t="n">
        <v>4770000</v>
      </c>
      <c r="BA383" s="71" t="n">
        <v>272861</v>
      </c>
      <c r="BB383" s="71" t="n">
        <v>66648.39999999999</v>
      </c>
      <c r="BC383" s="69" t="inlineStr">
        <is>
          <t>Refinance</t>
        </is>
      </c>
      <c r="BD383" s="69" t="inlineStr">
        <is>
          <t>N</t>
        </is>
      </c>
      <c r="BE383" s="71" t="n"/>
      <c r="BF383" s="71" t="n"/>
      <c r="BG383" s="71" t="n"/>
      <c r="BH383" s="71" t="n">
        <v>0</v>
      </c>
      <c r="BI383" s="71" t="n">
        <v>0</v>
      </c>
      <c r="BJ383" s="69" t="inlineStr">
        <is>
          <t>N</t>
        </is>
      </c>
      <c r="BK383" s="69" t="inlineStr">
        <is>
          <t>Walgreens</t>
        </is>
      </c>
      <c r="BL383" s="75" t="n">
        <v>100</v>
      </c>
      <c r="BM383" s="73" t="n">
        <v>66780</v>
      </c>
      <c r="BN383" s="69" t="inlineStr">
        <is>
          <t>Michael B. McDonald</t>
        </is>
      </c>
      <c r="BO383" s="69" t="inlineStr">
        <is>
          <t>CIBC</t>
        </is>
      </c>
      <c r="BP383" s="69" t="inlineStr">
        <is>
          <t>Midland Loan Services</t>
        </is>
      </c>
      <c r="BQ383" s="69" t="inlineStr">
        <is>
          <t>Midland Loan Services</t>
        </is>
      </c>
      <c r="BR383" s="69" t="n"/>
      <c r="BS383" s="73" t="n">
        <v>46276</v>
      </c>
      <c r="BU383" s="76">
        <f>IF($C383="","",IFERROR(INDEX(dmName,MATCH($C383,dmID,0)),"Unmapped"))</f>
        <v/>
      </c>
      <c r="BV383" s="76">
        <f>IF($C383="","",IFERROR(INDEX(dmEntity,MATCH($C383,dmID,0)),"Unmapped"))</f>
        <v/>
      </c>
      <c r="BW383" s="77">
        <f>IF($C383="","",IFERROR(INDEX(dmVintage,MATCH($C383,dmID,0)),""))</f>
        <v/>
      </c>
      <c r="BX383" s="78">
        <f>IFERROR(INDEX(dmInclude,MATCH($C383,dmID,0)),0)</f>
        <v/>
      </c>
      <c r="BY383" s="78">
        <f>IF(N($I383)&gt;0,1,0)</f>
        <v/>
      </c>
      <c r="BZ383" s="76">
        <f>IF($AJ383="","Other / Leased Fee",IFERROR(INDEX(mapPTGroup,MATCH(LEFT(TRIM($AJ383),2),mapPTCode,0)),"Other / Leased Fee"))</f>
        <v/>
      </c>
      <c r="CA383" s="76">
        <f>IF(TRIM($AF383&amp;"")="","NR",LEFT(TRIM($AF383),2))</f>
        <v/>
      </c>
      <c r="CB383" s="76">
        <f>IFERROR(LOOKUP(2,1/(LEFT(TRIM($AI383&amp;""),LEN(mapRegion))=mapRegion),mapRegion),"Not Reported")</f>
        <v/>
      </c>
      <c r="CC383" s="76">
        <f>IF($BY383=0,"",IF(TRIM($W383&amp;"")="REO","REO",IF(TRIM($W383&amp;"")="FC","Foreclosure",IF(TRIM($W383&amp;"")="90+","90+ Days Delinquent",IF(TRIM($W383&amp;"")="60","60 Days Delinquent",IF(TRIM($W383&amp;"")="30","30 Days Delinquent",IF($X383="Non-Performing Matured Balloon","Non-Performing Matured Balloon",IF(OR($X383="Late Payment But Less Than 30 Days Delinquent",LEFT($X383&amp;"",20)="Payment Not Received"),"Late / In Grace (&lt;30 Days)",IF($X383="Performing Matured Balloon","Performing Matured Balloon","Current")))))))))</f>
        <v/>
      </c>
      <c r="CD383" s="78">
        <f>IF(OR($CC383="REO",$CC383="Foreclosure",$CC383="90+ Days Delinquent",$CC383="60 Days Delinquent",$CC383="30 Days Delinquent",$CC383="Non-Performing Matured Balloon"),1,0)</f>
        <v/>
      </c>
      <c r="CE383" s="76">
        <f>IF($AB383="Currently special serv","Currently Specially Serviced",IF($AB383="Returned to master serv","Previously Specially Serviced","Never Specially Serviced"))</f>
        <v/>
      </c>
      <c r="CF383" s="78">
        <f>IF($CE383="Currently Specially Serviced",1,0)</f>
        <v/>
      </c>
      <c r="CG383" s="76">
        <f>IF($AA383="Yes","Currently on Watchlist",IF($AA383="Previously","Previously on Watchlist","Never on Watchlist"))</f>
        <v/>
      </c>
      <c r="CH383" s="78">
        <f>IF($CG383="Currently on Watchlist",1,0)</f>
        <v/>
      </c>
      <c r="CI383" s="76">
        <f>IF($Z383="Full Defeasance","Fully Defeased",IF($Z383="Portion Of Loan Previously Defeased","Partially Defeased",IF($Z383="Defeasance Not Allowable","Not Defeased (Not Permitted)","Not Defeased")))</f>
        <v/>
      </c>
      <c r="CJ383" s="78">
        <f>IF($CI383="Fully Defeased",1,0)</f>
        <v/>
      </c>
      <c r="CK383" s="76">
        <f>IF($R383="IO","Full IO",IF(LEFT($R383&amp;"",7)="IO then","Partial IO","Amortizing"))</f>
        <v/>
      </c>
      <c r="CL383" s="78">
        <f>IF($CK383="Full IO",1,0)</f>
        <v/>
      </c>
      <c r="CM383" s="78">
        <f>IF($CK383="Partial IO",1,0)</f>
        <v/>
      </c>
      <c r="CN383" s="76">
        <f>IF(LEFT($F383&amp;"",10)="SPLIT_LOAN","Pari Passu Split","Standalone")</f>
        <v/>
      </c>
      <c r="CO383" s="78">
        <f>IF($CN383="Pari Passu Split",1,0)</f>
        <v/>
      </c>
      <c r="CP383" s="77">
        <f>IF(ISNUMBER($T383),YEAR($T383),"")</f>
        <v/>
      </c>
      <c r="CQ383" s="79">
        <f>IF(ISNUMBER($V383),$V383,IF(ISNUMBER($U383),$U383,""))</f>
        <v/>
      </c>
      <c r="CR383" s="77">
        <f>IF(ISNUMBER($CQ383),YEAR($CQ383),"")</f>
        <v/>
      </c>
      <c r="CS383" s="78">
        <f>IF(ISNUMBER($M383),MAX(0,$M383),IF(TRIM($M383&amp;"")="matured",0,""))</f>
        <v/>
      </c>
      <c r="CT383" s="78">
        <f>IF(AND(ISNUMBER($CS383),N($CS383)&lt;=mMatWindow),1,0)</f>
        <v/>
      </c>
      <c r="CU383" s="80">
        <f>IF(ISNUMBER($J383),$J383/100,"")</f>
        <v/>
      </c>
      <c r="CV383" s="81">
        <f>IF(ISNUMBER($AQ383),$AQ383,"")</f>
        <v/>
      </c>
      <c r="CW383" s="81">
        <f>IF(ISNUMBER($AR383),$AR383,"")</f>
        <v/>
      </c>
      <c r="CX383" s="82">
        <f>IF(ISNUMBER($AS383),$AS383/100,"")</f>
        <v/>
      </c>
      <c r="CY383" s="82">
        <f>IF(ISNUMBER($AT383),$AT383/100,"")</f>
        <v/>
      </c>
      <c r="CZ383" s="82">
        <f>IF(ISNUMBER($AU383),$AU383/100,"")</f>
        <v/>
      </c>
      <c r="DA383" s="82">
        <f>IF(ISNUMBER($AV383),$AV383/100,"")</f>
        <v/>
      </c>
      <c r="DB383" s="82">
        <f>IF(ISNUMBER($AW383),$AW383/100,"")</f>
        <v/>
      </c>
      <c r="DC383" s="82">
        <f>IF(ISNUMBER($AX383),$AX383/100,"")</f>
        <v/>
      </c>
      <c r="DD383" s="77">
        <f>IFERROR(VALUE(LEFT(TRIM($AO383&amp;""),4)),"")</f>
        <v/>
      </c>
      <c r="DE383" s="78">
        <f>IF(AND($BY383=1,$BX383=1,OR(fDeal="All Deals",$BU383=fDeal),OR(fEntity="All Entities",$BV383=fEntity),OR(fPType="All Property Types",$BZ383=fPType),OR(fDefeased="Include",$CJ383=0)),1,0)</f>
        <v/>
      </c>
      <c r="DF383" s="83">
        <f>$DE383*N($I383)</f>
        <v/>
      </c>
      <c r="DG383" s="78">
        <f>IF($DE383=1,IF(COUNTIFS($F$8:$F383,$F383,$DE$8:$DE383,1)=1,1,0),0)</f>
        <v/>
      </c>
      <c r="DH383" s="83">
        <f>IF($DG383=1,SUMIFS($DF$8:$DF$1600,$F$8:$F$1600,$F383),0)</f>
        <v/>
      </c>
      <c r="DI383" s="78">
        <f>IF($DG383=1,COUNTIFS($F$8:$F$1600,$F383,$DE$8:$DE$1600,1),0)</f>
        <v/>
      </c>
      <c r="DJ383" s="84">
        <f>IF($DG383=1,$DH383+(100000-ROW())/mTieBreak,0)</f>
        <v/>
      </c>
    </row>
    <row r="384">
      <c r="B384" s="68" t="n">
        <v>65</v>
      </c>
      <c r="C384" s="69" t="inlineStr">
        <is>
          <t>UBS18C08</t>
        </is>
      </c>
      <c r="D384" s="69" t="inlineStr">
        <is>
          <t>65.000</t>
        </is>
      </c>
      <c r="E384" s="69" t="inlineStr">
        <is>
          <t>Dollar General Winterset</t>
        </is>
      </c>
      <c r="F384" s="69" t="inlineStr">
        <is>
          <t>LNUBS18C08-65.000</t>
        </is>
      </c>
      <c r="G384" s="70" t="n"/>
      <c r="H384" s="71" t="n">
        <v>945000</v>
      </c>
      <c r="I384" s="71" t="n">
        <v>945000</v>
      </c>
      <c r="J384" s="72" t="n">
        <v>5.2</v>
      </c>
      <c r="K384" s="69" t="inlineStr">
        <is>
          <t>Fixed rate</t>
        </is>
      </c>
      <c r="L384" s="68" t="n">
        <v>120</v>
      </c>
      <c r="M384" s="68" t="n">
        <v>17</v>
      </c>
      <c r="N384" s="68" t="n">
        <v>120</v>
      </c>
      <c r="O384" s="68" t="n">
        <v>120</v>
      </c>
      <c r="P384" s="68" t="n">
        <v>17</v>
      </c>
      <c r="Q384" s="68" t="n">
        <v>103</v>
      </c>
      <c r="R384" s="69" t="inlineStr">
        <is>
          <t>IO</t>
        </is>
      </c>
      <c r="S384" s="69" t="inlineStr">
        <is>
          <t>Yes</t>
        </is>
      </c>
      <c r="T384" s="73" t="n">
        <v>43132</v>
      </c>
      <c r="U384" s="73" t="n">
        <v>48616</v>
      </c>
      <c r="V384" s="73" t="n">
        <v>46789</v>
      </c>
      <c r="W384" s="69" t="n"/>
      <c r="X384" s="69" t="inlineStr">
        <is>
          <t>Current</t>
        </is>
      </c>
      <c r="Y384" s="68" t="n"/>
      <c r="Z384" s="69" t="inlineStr">
        <is>
          <t>Defeasance Not Allowable</t>
        </is>
      </c>
      <c r="AA384" s="69" t="inlineStr">
        <is>
          <t>Previously</t>
        </is>
      </c>
      <c r="AB384" s="69" t="inlineStr">
        <is>
          <t>Never special serv</t>
        </is>
      </c>
      <c r="AC384" s="73" t="n"/>
      <c r="AD384" s="69" t="n"/>
      <c r="AE384" s="69" t="n"/>
      <c r="AF384" s="69" t="inlineStr">
        <is>
          <t>IA</t>
        </is>
      </c>
      <c r="AG384" s="69" t="inlineStr">
        <is>
          <t>Winterset</t>
        </is>
      </c>
      <c r="AH384" s="69" t="inlineStr">
        <is>
          <t>Des Moines-West Des Moines, IA</t>
        </is>
      </c>
      <c r="AI384" s="69" t="inlineStr">
        <is>
          <t>Midwest / Central West</t>
        </is>
      </c>
      <c r="AJ384" s="69" t="inlineStr">
        <is>
          <t>RT</t>
        </is>
      </c>
      <c r="AK384" s="69" t="inlineStr">
        <is>
          <t>Free Standing</t>
        </is>
      </c>
      <c r="AL384" s="68" t="n">
        <v>1</v>
      </c>
      <c r="AM384" s="68" t="n"/>
      <c r="AN384" s="68" t="n">
        <v>9026</v>
      </c>
      <c r="AO384" s="69" t="inlineStr">
        <is>
          <t>2017</t>
        </is>
      </c>
      <c r="AP384" s="70" t="n">
        <v>2017</v>
      </c>
      <c r="AQ384" s="74" t="n">
        <v>1.69</v>
      </c>
      <c r="AR384" s="74" t="n">
        <v>1.73</v>
      </c>
      <c r="AS384" s="74" t="n">
        <v>70</v>
      </c>
      <c r="AT384" s="74" t="n">
        <v>70</v>
      </c>
      <c r="AU384" s="74" t="n">
        <v>70</v>
      </c>
      <c r="AV384" s="74" t="n">
        <v>8.887167196</v>
      </c>
      <c r="AW384" s="74" t="n">
        <v>9.126907937</v>
      </c>
      <c r="AX384" s="75" t="n">
        <v>100</v>
      </c>
      <c r="AY384" s="71" t="n">
        <v>1350000</v>
      </c>
      <c r="AZ384" s="71" t="n">
        <v>1350000</v>
      </c>
      <c r="BA384" s="71" t="n">
        <v>83983.73</v>
      </c>
      <c r="BB384" s="71" t="n">
        <v>86249.28</v>
      </c>
      <c r="BC384" s="69" t="inlineStr">
        <is>
          <t>Acquisition</t>
        </is>
      </c>
      <c r="BD384" s="69" t="inlineStr">
        <is>
          <t>N</t>
        </is>
      </c>
      <c r="BE384" s="71" t="n"/>
      <c r="BF384" s="71" t="n"/>
      <c r="BG384" s="71" t="n"/>
      <c r="BH384" s="71" t="n">
        <v>0</v>
      </c>
      <c r="BI384" s="71" t="n">
        <v>0</v>
      </c>
      <c r="BJ384" s="69" t="inlineStr">
        <is>
          <t>N</t>
        </is>
      </c>
      <c r="BK384" s="69" t="inlineStr">
        <is>
          <t>Dollar General</t>
        </is>
      </c>
      <c r="BL384" s="75" t="n">
        <v>100</v>
      </c>
      <c r="BM384" s="73" t="n">
        <v>48457</v>
      </c>
      <c r="BN384" s="69" t="inlineStr">
        <is>
          <t>Ladder Capital CRE Equity LLC</t>
        </is>
      </c>
      <c r="BO384" s="69" t="inlineStr">
        <is>
          <t>Ladder Capital Finance</t>
        </is>
      </c>
      <c r="BP384" s="69" t="inlineStr">
        <is>
          <t>Midland Loan Services</t>
        </is>
      </c>
      <c r="BQ384" s="69" t="inlineStr">
        <is>
          <t>Midland Loan Services</t>
        </is>
      </c>
      <c r="BR384" s="69" t="n"/>
      <c r="BS384" s="73" t="n">
        <v>46276</v>
      </c>
      <c r="BU384" s="76">
        <f>IF($C384="","",IFERROR(INDEX(dmName,MATCH($C384,dmID,0)),"Unmapped"))</f>
        <v/>
      </c>
      <c r="BV384" s="76">
        <f>IF($C384="","",IFERROR(INDEX(dmEntity,MATCH($C384,dmID,0)),"Unmapped"))</f>
        <v/>
      </c>
      <c r="BW384" s="77">
        <f>IF($C384="","",IFERROR(INDEX(dmVintage,MATCH($C384,dmID,0)),""))</f>
        <v/>
      </c>
      <c r="BX384" s="78">
        <f>IFERROR(INDEX(dmInclude,MATCH($C384,dmID,0)),0)</f>
        <v/>
      </c>
      <c r="BY384" s="78">
        <f>IF(N($I384)&gt;0,1,0)</f>
        <v/>
      </c>
      <c r="BZ384" s="76">
        <f>IF($AJ384="","Other / Leased Fee",IFERROR(INDEX(mapPTGroup,MATCH(LEFT(TRIM($AJ384),2),mapPTCode,0)),"Other / Leased Fee"))</f>
        <v/>
      </c>
      <c r="CA384" s="76">
        <f>IF(TRIM($AF384&amp;"")="","NR",LEFT(TRIM($AF384),2))</f>
        <v/>
      </c>
      <c r="CB384" s="76">
        <f>IFERROR(LOOKUP(2,1/(LEFT(TRIM($AI384&amp;""),LEN(mapRegion))=mapRegion),mapRegion),"Not Reported")</f>
        <v/>
      </c>
      <c r="CC384" s="76">
        <f>IF($BY384=0,"",IF(TRIM($W384&amp;"")="REO","REO",IF(TRIM($W384&amp;"")="FC","Foreclosure",IF(TRIM($W384&amp;"")="90+","90+ Days Delinquent",IF(TRIM($W384&amp;"")="60","60 Days Delinquent",IF(TRIM($W384&amp;"")="30","30 Days Delinquent",IF($X384="Non-Performing Matured Balloon","Non-Performing Matured Balloon",IF(OR($X384="Late Payment But Less Than 30 Days Delinquent",LEFT($X384&amp;"",20)="Payment Not Received"),"Late / In Grace (&lt;30 Days)",IF($X384="Performing Matured Balloon","Performing Matured Balloon","Current")))))))))</f>
        <v/>
      </c>
      <c r="CD384" s="78">
        <f>IF(OR($CC384="REO",$CC384="Foreclosure",$CC384="90+ Days Delinquent",$CC384="60 Days Delinquent",$CC384="30 Days Delinquent",$CC384="Non-Performing Matured Balloon"),1,0)</f>
        <v/>
      </c>
      <c r="CE384" s="76">
        <f>IF($AB384="Currently special serv","Currently Specially Serviced",IF($AB384="Returned to master serv","Previously Specially Serviced","Never Specially Serviced"))</f>
        <v/>
      </c>
      <c r="CF384" s="78">
        <f>IF($CE384="Currently Specially Serviced",1,0)</f>
        <v/>
      </c>
      <c r="CG384" s="76">
        <f>IF($AA384="Yes","Currently on Watchlist",IF($AA384="Previously","Previously on Watchlist","Never on Watchlist"))</f>
        <v/>
      </c>
      <c r="CH384" s="78">
        <f>IF($CG384="Currently on Watchlist",1,0)</f>
        <v/>
      </c>
      <c r="CI384" s="76">
        <f>IF($Z384="Full Defeasance","Fully Defeased",IF($Z384="Portion Of Loan Previously Defeased","Partially Defeased",IF($Z384="Defeasance Not Allowable","Not Defeased (Not Permitted)","Not Defeased")))</f>
        <v/>
      </c>
      <c r="CJ384" s="78">
        <f>IF($CI384="Fully Defeased",1,0)</f>
        <v/>
      </c>
      <c r="CK384" s="76">
        <f>IF($R384="IO","Full IO",IF(LEFT($R384&amp;"",7)="IO then","Partial IO","Amortizing"))</f>
        <v/>
      </c>
      <c r="CL384" s="78">
        <f>IF($CK384="Full IO",1,0)</f>
        <v/>
      </c>
      <c r="CM384" s="78">
        <f>IF($CK384="Partial IO",1,0)</f>
        <v/>
      </c>
      <c r="CN384" s="76">
        <f>IF(LEFT($F384&amp;"",10)="SPLIT_LOAN","Pari Passu Split","Standalone")</f>
        <v/>
      </c>
      <c r="CO384" s="78">
        <f>IF($CN384="Pari Passu Split",1,0)</f>
        <v/>
      </c>
      <c r="CP384" s="77">
        <f>IF(ISNUMBER($T384),YEAR($T384),"")</f>
        <v/>
      </c>
      <c r="CQ384" s="79">
        <f>IF(ISNUMBER($V384),$V384,IF(ISNUMBER($U384),$U384,""))</f>
        <v/>
      </c>
      <c r="CR384" s="77">
        <f>IF(ISNUMBER($CQ384),YEAR($CQ384),"")</f>
        <v/>
      </c>
      <c r="CS384" s="78">
        <f>IF(ISNUMBER($M384),MAX(0,$M384),IF(TRIM($M384&amp;"")="matured",0,""))</f>
        <v/>
      </c>
      <c r="CT384" s="78">
        <f>IF(AND(ISNUMBER($CS384),N($CS384)&lt;=mMatWindow),1,0)</f>
        <v/>
      </c>
      <c r="CU384" s="80">
        <f>IF(ISNUMBER($J384),$J384/100,"")</f>
        <v/>
      </c>
      <c r="CV384" s="81">
        <f>IF(ISNUMBER($AQ384),$AQ384,"")</f>
        <v/>
      </c>
      <c r="CW384" s="81">
        <f>IF(ISNUMBER($AR384),$AR384,"")</f>
        <v/>
      </c>
      <c r="CX384" s="82">
        <f>IF(ISNUMBER($AS384),$AS384/100,"")</f>
        <v/>
      </c>
      <c r="CY384" s="82">
        <f>IF(ISNUMBER($AT384),$AT384/100,"")</f>
        <v/>
      </c>
      <c r="CZ384" s="82">
        <f>IF(ISNUMBER($AU384),$AU384/100,"")</f>
        <v/>
      </c>
      <c r="DA384" s="82">
        <f>IF(ISNUMBER($AV384),$AV384/100,"")</f>
        <v/>
      </c>
      <c r="DB384" s="82">
        <f>IF(ISNUMBER($AW384),$AW384/100,"")</f>
        <v/>
      </c>
      <c r="DC384" s="82">
        <f>IF(ISNUMBER($AX384),$AX384/100,"")</f>
        <v/>
      </c>
      <c r="DD384" s="77">
        <f>IFERROR(VALUE(LEFT(TRIM($AO384&amp;""),4)),"")</f>
        <v/>
      </c>
      <c r="DE384" s="78">
        <f>IF(AND($BY384=1,$BX384=1,OR(fDeal="All Deals",$BU384=fDeal),OR(fEntity="All Entities",$BV384=fEntity),OR(fPType="All Property Types",$BZ384=fPType),OR(fDefeased="Include",$CJ384=0)),1,0)</f>
        <v/>
      </c>
      <c r="DF384" s="83">
        <f>$DE384*N($I384)</f>
        <v/>
      </c>
      <c r="DG384" s="78">
        <f>IF($DE384=1,IF(COUNTIFS($F$8:$F384,$F384,$DE$8:$DE384,1)=1,1,0),0)</f>
        <v/>
      </c>
      <c r="DH384" s="83">
        <f>IF($DG384=1,SUMIFS($DF$8:$DF$1600,$F$8:$F$1600,$F384),0)</f>
        <v/>
      </c>
      <c r="DI384" s="78">
        <f>IF($DG384=1,COUNTIFS($F$8:$F$1600,$F384,$DE$8:$DE$1600,1),0)</f>
        <v/>
      </c>
      <c r="DJ384" s="84">
        <f>IF($DG384=1,$DH384+(100000-ROW())/mTieBreak,0)</f>
        <v/>
      </c>
    </row>
    <row r="385">
      <c r="B385" s="68" t="n">
        <v>66</v>
      </c>
      <c r="C385" s="69" t="inlineStr">
        <is>
          <t>UBS18C08</t>
        </is>
      </c>
      <c r="D385" s="69" t="inlineStr">
        <is>
          <t>66.000</t>
        </is>
      </c>
      <c r="E385" s="69" t="inlineStr">
        <is>
          <t>Dollar General Bay City</t>
        </is>
      </c>
      <c r="F385" s="69" t="inlineStr">
        <is>
          <t>LNUBS18C08-66.000</t>
        </is>
      </c>
      <c r="G385" s="70" t="n"/>
      <c r="H385" s="71" t="n">
        <v>927500</v>
      </c>
      <c r="I385" s="71" t="n">
        <v>927500</v>
      </c>
      <c r="J385" s="72" t="n">
        <v>5.2</v>
      </c>
      <c r="K385" s="69" t="inlineStr">
        <is>
          <t>Fixed rate</t>
        </is>
      </c>
      <c r="L385" s="68" t="n">
        <v>120</v>
      </c>
      <c r="M385" s="68" t="n">
        <v>17</v>
      </c>
      <c r="N385" s="68" t="n">
        <v>120</v>
      </c>
      <c r="O385" s="68" t="n">
        <v>120</v>
      </c>
      <c r="P385" s="68" t="n">
        <v>17</v>
      </c>
      <c r="Q385" s="68" t="n">
        <v>103</v>
      </c>
      <c r="R385" s="69" t="inlineStr">
        <is>
          <t>IO</t>
        </is>
      </c>
      <c r="S385" s="69" t="inlineStr">
        <is>
          <t>Yes</t>
        </is>
      </c>
      <c r="T385" s="73" t="n">
        <v>43132</v>
      </c>
      <c r="U385" s="73" t="n">
        <v>48616</v>
      </c>
      <c r="V385" s="73" t="n">
        <v>46789</v>
      </c>
      <c r="W385" s="69" t="n"/>
      <c r="X385" s="69" t="inlineStr">
        <is>
          <t>Current</t>
        </is>
      </c>
      <c r="Y385" s="68" t="n"/>
      <c r="Z385" s="69" t="inlineStr">
        <is>
          <t>Defeasance Not Allowable</t>
        </is>
      </c>
      <c r="AA385" s="69" t="inlineStr">
        <is>
          <t>Previously</t>
        </is>
      </c>
      <c r="AB385" s="69" t="inlineStr">
        <is>
          <t>Never special serv</t>
        </is>
      </c>
      <c r="AC385" s="73" t="n"/>
      <c r="AD385" s="69" t="n"/>
      <c r="AE385" s="69" t="n"/>
      <c r="AF385" s="69" t="inlineStr">
        <is>
          <t>MI</t>
        </is>
      </c>
      <c r="AG385" s="69" t="inlineStr">
        <is>
          <t>Kawkawlin</t>
        </is>
      </c>
      <c r="AH385" s="69" t="inlineStr">
        <is>
          <t>Bay City, MI</t>
        </is>
      </c>
      <c r="AI385" s="69" t="inlineStr">
        <is>
          <t>Midwest / Central East</t>
        </is>
      </c>
      <c r="AJ385" s="69" t="inlineStr">
        <is>
          <t>RT</t>
        </is>
      </c>
      <c r="AK385" s="69" t="inlineStr">
        <is>
          <t>Free Standing</t>
        </is>
      </c>
      <c r="AL385" s="68" t="n">
        <v>1</v>
      </c>
      <c r="AM385" s="68" t="n"/>
      <c r="AN385" s="68" t="n">
        <v>9100</v>
      </c>
      <c r="AO385" s="69" t="inlineStr">
        <is>
          <t>2017</t>
        </is>
      </c>
      <c r="AP385" s="70" t="n">
        <v>2017</v>
      </c>
      <c r="AQ385" s="74" t="n">
        <v>1.68</v>
      </c>
      <c r="AR385" s="74" t="n">
        <v>1.73</v>
      </c>
      <c r="AS385" s="74" t="n">
        <v>70</v>
      </c>
      <c r="AT385" s="74" t="n">
        <v>70</v>
      </c>
      <c r="AU385" s="74" t="n">
        <v>70</v>
      </c>
      <c r="AV385" s="74" t="n">
        <v>8.876945553000001</v>
      </c>
      <c r="AW385" s="74" t="n">
        <v>9.112685713999999</v>
      </c>
      <c r="AX385" s="75" t="n">
        <v>100</v>
      </c>
      <c r="AY385" s="71" t="n">
        <v>1325000</v>
      </c>
      <c r="AZ385" s="71" t="n">
        <v>1325000</v>
      </c>
      <c r="BA385" s="71" t="n">
        <v>82333.67</v>
      </c>
      <c r="BB385" s="71" t="n">
        <v>84520.16</v>
      </c>
      <c r="BC385" s="69" t="inlineStr">
        <is>
          <t>Acquisition</t>
        </is>
      </c>
      <c r="BD385" s="69" t="inlineStr">
        <is>
          <t>N</t>
        </is>
      </c>
      <c r="BE385" s="71" t="n"/>
      <c r="BF385" s="71" t="n"/>
      <c r="BG385" s="71" t="n"/>
      <c r="BH385" s="71" t="n">
        <v>0</v>
      </c>
      <c r="BI385" s="71" t="n">
        <v>0</v>
      </c>
      <c r="BJ385" s="69" t="inlineStr">
        <is>
          <t>N</t>
        </is>
      </c>
      <c r="BK385" s="69" t="inlineStr">
        <is>
          <t>Dollar General</t>
        </is>
      </c>
      <c r="BL385" s="75" t="n">
        <v>99.19</v>
      </c>
      <c r="BM385" s="73" t="n">
        <v>48426</v>
      </c>
      <c r="BN385" s="69" t="inlineStr">
        <is>
          <t>Ladder Capital CRE Equity LLC</t>
        </is>
      </c>
      <c r="BO385" s="69" t="inlineStr">
        <is>
          <t>Ladder Capital Finance</t>
        </is>
      </c>
      <c r="BP385" s="69" t="inlineStr">
        <is>
          <t>Midland Loan Services</t>
        </is>
      </c>
      <c r="BQ385" s="69" t="inlineStr">
        <is>
          <t>Midland Loan Services</t>
        </is>
      </c>
      <c r="BR385" s="69" t="n"/>
      <c r="BS385" s="73" t="n">
        <v>46276</v>
      </c>
      <c r="BU385" s="76">
        <f>IF($C385="","",IFERROR(INDEX(dmName,MATCH($C385,dmID,0)),"Unmapped"))</f>
        <v/>
      </c>
      <c r="BV385" s="76">
        <f>IF($C385="","",IFERROR(INDEX(dmEntity,MATCH($C385,dmID,0)),"Unmapped"))</f>
        <v/>
      </c>
      <c r="BW385" s="77">
        <f>IF($C385="","",IFERROR(INDEX(dmVintage,MATCH($C385,dmID,0)),""))</f>
        <v/>
      </c>
      <c r="BX385" s="78">
        <f>IFERROR(INDEX(dmInclude,MATCH($C385,dmID,0)),0)</f>
        <v/>
      </c>
      <c r="BY385" s="78">
        <f>IF(N($I385)&gt;0,1,0)</f>
        <v/>
      </c>
      <c r="BZ385" s="76">
        <f>IF($AJ385="","Other / Leased Fee",IFERROR(INDEX(mapPTGroup,MATCH(LEFT(TRIM($AJ385),2),mapPTCode,0)),"Other / Leased Fee"))</f>
        <v/>
      </c>
      <c r="CA385" s="76">
        <f>IF(TRIM($AF385&amp;"")="","NR",LEFT(TRIM($AF385),2))</f>
        <v/>
      </c>
      <c r="CB385" s="76">
        <f>IFERROR(LOOKUP(2,1/(LEFT(TRIM($AI385&amp;""),LEN(mapRegion))=mapRegion),mapRegion),"Not Reported")</f>
        <v/>
      </c>
      <c r="CC385" s="76">
        <f>IF($BY385=0,"",IF(TRIM($W385&amp;"")="REO","REO",IF(TRIM($W385&amp;"")="FC","Foreclosure",IF(TRIM($W385&amp;"")="90+","90+ Days Delinquent",IF(TRIM($W385&amp;"")="60","60 Days Delinquent",IF(TRIM($W385&amp;"")="30","30 Days Delinquent",IF($X385="Non-Performing Matured Balloon","Non-Performing Matured Balloon",IF(OR($X385="Late Payment But Less Than 30 Days Delinquent",LEFT($X385&amp;"",20)="Payment Not Received"),"Late / In Grace (&lt;30 Days)",IF($X385="Performing Matured Balloon","Performing Matured Balloon","Current")))))))))</f>
        <v/>
      </c>
      <c r="CD385" s="78">
        <f>IF(OR($CC385="REO",$CC385="Foreclosure",$CC385="90+ Days Delinquent",$CC385="60 Days Delinquent",$CC385="30 Days Delinquent",$CC385="Non-Performing Matured Balloon"),1,0)</f>
        <v/>
      </c>
      <c r="CE385" s="76">
        <f>IF($AB385="Currently special serv","Currently Specially Serviced",IF($AB385="Returned to master serv","Previously Specially Serviced","Never Specially Serviced"))</f>
        <v/>
      </c>
      <c r="CF385" s="78">
        <f>IF($CE385="Currently Specially Serviced",1,0)</f>
        <v/>
      </c>
      <c r="CG385" s="76">
        <f>IF($AA385="Yes","Currently on Watchlist",IF($AA385="Previously","Previously on Watchlist","Never on Watchlist"))</f>
        <v/>
      </c>
      <c r="CH385" s="78">
        <f>IF($CG385="Currently on Watchlist",1,0)</f>
        <v/>
      </c>
      <c r="CI385" s="76">
        <f>IF($Z385="Full Defeasance","Fully Defeased",IF($Z385="Portion Of Loan Previously Defeased","Partially Defeased",IF($Z385="Defeasance Not Allowable","Not Defeased (Not Permitted)","Not Defeased")))</f>
        <v/>
      </c>
      <c r="CJ385" s="78">
        <f>IF($CI385="Fully Defeased",1,0)</f>
        <v/>
      </c>
      <c r="CK385" s="76">
        <f>IF($R385="IO","Full IO",IF(LEFT($R385&amp;"",7)="IO then","Partial IO","Amortizing"))</f>
        <v/>
      </c>
      <c r="CL385" s="78">
        <f>IF($CK385="Full IO",1,0)</f>
        <v/>
      </c>
      <c r="CM385" s="78">
        <f>IF($CK385="Partial IO",1,0)</f>
        <v/>
      </c>
      <c r="CN385" s="76">
        <f>IF(LEFT($F385&amp;"",10)="SPLIT_LOAN","Pari Passu Split","Standalone")</f>
        <v/>
      </c>
      <c r="CO385" s="78">
        <f>IF($CN385="Pari Passu Split",1,0)</f>
        <v/>
      </c>
      <c r="CP385" s="77">
        <f>IF(ISNUMBER($T385),YEAR($T385),"")</f>
        <v/>
      </c>
      <c r="CQ385" s="79">
        <f>IF(ISNUMBER($V385),$V385,IF(ISNUMBER($U385),$U385,""))</f>
        <v/>
      </c>
      <c r="CR385" s="77">
        <f>IF(ISNUMBER($CQ385),YEAR($CQ385),"")</f>
        <v/>
      </c>
      <c r="CS385" s="78">
        <f>IF(ISNUMBER($M385),MAX(0,$M385),IF(TRIM($M385&amp;"")="matured",0,""))</f>
        <v/>
      </c>
      <c r="CT385" s="78">
        <f>IF(AND(ISNUMBER($CS385),N($CS385)&lt;=mMatWindow),1,0)</f>
        <v/>
      </c>
      <c r="CU385" s="80">
        <f>IF(ISNUMBER($J385),$J385/100,"")</f>
        <v/>
      </c>
      <c r="CV385" s="81">
        <f>IF(ISNUMBER($AQ385),$AQ385,"")</f>
        <v/>
      </c>
      <c r="CW385" s="81">
        <f>IF(ISNUMBER($AR385),$AR385,"")</f>
        <v/>
      </c>
      <c r="CX385" s="82">
        <f>IF(ISNUMBER($AS385),$AS385/100,"")</f>
        <v/>
      </c>
      <c r="CY385" s="82">
        <f>IF(ISNUMBER($AT385),$AT385/100,"")</f>
        <v/>
      </c>
      <c r="CZ385" s="82">
        <f>IF(ISNUMBER($AU385),$AU385/100,"")</f>
        <v/>
      </c>
      <c r="DA385" s="82">
        <f>IF(ISNUMBER($AV385),$AV385/100,"")</f>
        <v/>
      </c>
      <c r="DB385" s="82">
        <f>IF(ISNUMBER($AW385),$AW385/100,"")</f>
        <v/>
      </c>
      <c r="DC385" s="82">
        <f>IF(ISNUMBER($AX385),$AX385/100,"")</f>
        <v/>
      </c>
      <c r="DD385" s="77">
        <f>IFERROR(VALUE(LEFT(TRIM($AO385&amp;""),4)),"")</f>
        <v/>
      </c>
      <c r="DE385" s="78">
        <f>IF(AND($BY385=1,$BX385=1,OR(fDeal="All Deals",$BU385=fDeal),OR(fEntity="All Entities",$BV385=fEntity),OR(fPType="All Property Types",$BZ385=fPType),OR(fDefeased="Include",$CJ385=0)),1,0)</f>
        <v/>
      </c>
      <c r="DF385" s="83">
        <f>$DE385*N($I385)</f>
        <v/>
      </c>
      <c r="DG385" s="78">
        <f>IF($DE385=1,IF(COUNTIFS($F$8:$F385,$F385,$DE$8:$DE385,1)=1,1,0),0)</f>
        <v/>
      </c>
      <c r="DH385" s="83">
        <f>IF($DG385=1,SUMIFS($DF$8:$DF$1600,$F$8:$F$1600,$F385),0)</f>
        <v/>
      </c>
      <c r="DI385" s="78">
        <f>IF($DG385=1,COUNTIFS($F$8:$F$1600,$F385,$DE$8:$DE$1600,1),0)</f>
        <v/>
      </c>
      <c r="DJ385" s="84">
        <f>IF($DG385=1,$DH385+(100000-ROW())/mTieBreak,0)</f>
        <v/>
      </c>
    </row>
    <row r="386">
      <c r="B386" s="68" t="n">
        <v>67</v>
      </c>
      <c r="C386" s="69" t="inlineStr">
        <is>
          <t>UBS18C08</t>
        </is>
      </c>
      <c r="D386" s="69" t="inlineStr">
        <is>
          <t>67.000</t>
        </is>
      </c>
      <c r="E386" s="69" t="inlineStr">
        <is>
          <t>Dollar General Rockford</t>
        </is>
      </c>
      <c r="F386" s="69" t="inlineStr">
        <is>
          <t>LNUBS18C08-67.000</t>
        </is>
      </c>
      <c r="G386" s="70" t="n"/>
      <c r="H386" s="71" t="n">
        <v>896000</v>
      </c>
      <c r="I386" s="71" t="n">
        <v>896000</v>
      </c>
      <c r="J386" s="72" t="n">
        <v>5.2</v>
      </c>
      <c r="K386" s="69" t="inlineStr">
        <is>
          <t>Fixed rate</t>
        </is>
      </c>
      <c r="L386" s="68" t="n">
        <v>120</v>
      </c>
      <c r="M386" s="68" t="n">
        <v>17</v>
      </c>
      <c r="N386" s="68" t="n">
        <v>120</v>
      </c>
      <c r="O386" s="68" t="n">
        <v>120</v>
      </c>
      <c r="P386" s="68" t="n">
        <v>17</v>
      </c>
      <c r="Q386" s="68" t="n">
        <v>103</v>
      </c>
      <c r="R386" s="69" t="inlineStr">
        <is>
          <t>IO</t>
        </is>
      </c>
      <c r="S386" s="69" t="inlineStr">
        <is>
          <t>Yes</t>
        </is>
      </c>
      <c r="T386" s="73" t="n">
        <v>43132</v>
      </c>
      <c r="U386" s="73" t="n">
        <v>48616</v>
      </c>
      <c r="V386" s="73" t="n">
        <v>46789</v>
      </c>
      <c r="W386" s="69" t="n"/>
      <c r="X386" s="69" t="inlineStr">
        <is>
          <t>Current</t>
        </is>
      </c>
      <c r="Y386" s="68" t="n"/>
      <c r="Z386" s="69" t="inlineStr">
        <is>
          <t>Defeasance Not Allowable</t>
        </is>
      </c>
      <c r="AA386" s="69" t="inlineStr">
        <is>
          <t>Previously</t>
        </is>
      </c>
      <c r="AB386" s="69" t="inlineStr">
        <is>
          <t>Never special serv</t>
        </is>
      </c>
      <c r="AC386" s="73" t="n"/>
      <c r="AD386" s="69" t="n"/>
      <c r="AE386" s="69" t="n"/>
      <c r="AF386" s="69" t="inlineStr">
        <is>
          <t>MN</t>
        </is>
      </c>
      <c r="AG386" s="69" t="inlineStr">
        <is>
          <t>Rockford</t>
        </is>
      </c>
      <c r="AH386" s="69" t="inlineStr">
        <is>
          <t>Minneapolis-St. Paul-Bloomington, MN-WI</t>
        </is>
      </c>
      <c r="AI386" s="69" t="inlineStr">
        <is>
          <t>Midwest / Central West</t>
        </is>
      </c>
      <c r="AJ386" s="69" t="inlineStr">
        <is>
          <t>RT</t>
        </is>
      </c>
      <c r="AK386" s="69" t="inlineStr">
        <is>
          <t>Free Standing</t>
        </is>
      </c>
      <c r="AL386" s="68" t="n">
        <v>1</v>
      </c>
      <c r="AM386" s="68" t="n"/>
      <c r="AN386" s="68" t="n">
        <v>9100</v>
      </c>
      <c r="AO386" s="69" t="inlineStr">
        <is>
          <t>2017</t>
        </is>
      </c>
      <c r="AP386" s="70" t="n">
        <v>2017</v>
      </c>
      <c r="AQ386" s="74" t="n">
        <v>1.69</v>
      </c>
      <c r="AR386" s="74" t="n">
        <v>1.11</v>
      </c>
      <c r="AS386" s="74" t="n">
        <v>70</v>
      </c>
      <c r="AT386" s="74" t="n">
        <v>70</v>
      </c>
      <c r="AU386" s="74" t="n">
        <v>70</v>
      </c>
      <c r="AV386" s="74" t="n">
        <v>8.894296875</v>
      </c>
      <c r="AW386" s="74" t="n">
        <v>9.126013392999999</v>
      </c>
      <c r="AX386" s="75" t="n">
        <v>100</v>
      </c>
      <c r="AY386" s="71" t="n">
        <v>1280000</v>
      </c>
      <c r="AZ386" s="71" t="n">
        <v>1280000</v>
      </c>
      <c r="BA386" s="71" t="n">
        <v>79692.89999999999</v>
      </c>
      <c r="BB386" s="71" t="n">
        <v>52419.08</v>
      </c>
      <c r="BC386" s="69" t="inlineStr">
        <is>
          <t>Acquisition</t>
        </is>
      </c>
      <c r="BD386" s="69" t="inlineStr">
        <is>
          <t>N</t>
        </is>
      </c>
      <c r="BE386" s="71" t="n"/>
      <c r="BF386" s="71" t="n"/>
      <c r="BG386" s="71" t="n"/>
      <c r="BH386" s="71" t="n">
        <v>0</v>
      </c>
      <c r="BI386" s="71" t="n">
        <v>0</v>
      </c>
      <c r="BJ386" s="69" t="inlineStr">
        <is>
          <t>N</t>
        </is>
      </c>
      <c r="BK386" s="69" t="inlineStr">
        <is>
          <t>Dollar General</t>
        </is>
      </c>
      <c r="BL386" s="75" t="n">
        <v>99.19</v>
      </c>
      <c r="BM386" s="73" t="n">
        <v>48518</v>
      </c>
      <c r="BN386" s="69" t="inlineStr">
        <is>
          <t>Ladder Capital CRE Equity LLC</t>
        </is>
      </c>
      <c r="BO386" s="69" t="inlineStr">
        <is>
          <t>Ladder Capital Finance</t>
        </is>
      </c>
      <c r="BP386" s="69" t="inlineStr">
        <is>
          <t>Midland Loan Services</t>
        </is>
      </c>
      <c r="BQ386" s="69" t="inlineStr">
        <is>
          <t>Midland Loan Services</t>
        </is>
      </c>
      <c r="BR386" s="69" t="n"/>
      <c r="BS386" s="73" t="n">
        <v>46276</v>
      </c>
      <c r="BU386" s="76">
        <f>IF($C386="","",IFERROR(INDEX(dmName,MATCH($C386,dmID,0)),"Unmapped"))</f>
        <v/>
      </c>
      <c r="BV386" s="76">
        <f>IF($C386="","",IFERROR(INDEX(dmEntity,MATCH($C386,dmID,0)),"Unmapped"))</f>
        <v/>
      </c>
      <c r="BW386" s="77">
        <f>IF($C386="","",IFERROR(INDEX(dmVintage,MATCH($C386,dmID,0)),""))</f>
        <v/>
      </c>
      <c r="BX386" s="78">
        <f>IFERROR(INDEX(dmInclude,MATCH($C386,dmID,0)),0)</f>
        <v/>
      </c>
      <c r="BY386" s="78">
        <f>IF(N($I386)&gt;0,1,0)</f>
        <v/>
      </c>
      <c r="BZ386" s="76">
        <f>IF($AJ386="","Other / Leased Fee",IFERROR(INDEX(mapPTGroup,MATCH(LEFT(TRIM($AJ386),2),mapPTCode,0)),"Other / Leased Fee"))</f>
        <v/>
      </c>
      <c r="CA386" s="76">
        <f>IF(TRIM($AF386&amp;"")="","NR",LEFT(TRIM($AF386),2))</f>
        <v/>
      </c>
      <c r="CB386" s="76">
        <f>IFERROR(LOOKUP(2,1/(LEFT(TRIM($AI386&amp;""),LEN(mapRegion))=mapRegion),mapRegion),"Not Reported")</f>
        <v/>
      </c>
      <c r="CC386" s="76">
        <f>IF($BY386=0,"",IF(TRIM($W386&amp;"")="REO","REO",IF(TRIM($W386&amp;"")="FC","Foreclosure",IF(TRIM($W386&amp;"")="90+","90+ Days Delinquent",IF(TRIM($W386&amp;"")="60","60 Days Delinquent",IF(TRIM($W386&amp;"")="30","30 Days Delinquent",IF($X386="Non-Performing Matured Balloon","Non-Performing Matured Balloon",IF(OR($X386="Late Payment But Less Than 30 Days Delinquent",LEFT($X386&amp;"",20)="Payment Not Received"),"Late / In Grace (&lt;30 Days)",IF($X386="Performing Matured Balloon","Performing Matured Balloon","Current")))))))))</f>
        <v/>
      </c>
      <c r="CD386" s="78">
        <f>IF(OR($CC386="REO",$CC386="Foreclosure",$CC386="90+ Days Delinquent",$CC386="60 Days Delinquent",$CC386="30 Days Delinquent",$CC386="Non-Performing Matured Balloon"),1,0)</f>
        <v/>
      </c>
      <c r="CE386" s="76">
        <f>IF($AB386="Currently special serv","Currently Specially Serviced",IF($AB386="Returned to master serv","Previously Specially Serviced","Never Specially Serviced"))</f>
        <v/>
      </c>
      <c r="CF386" s="78">
        <f>IF($CE386="Currently Specially Serviced",1,0)</f>
        <v/>
      </c>
      <c r="CG386" s="76">
        <f>IF($AA386="Yes","Currently on Watchlist",IF($AA386="Previously","Previously on Watchlist","Never on Watchlist"))</f>
        <v/>
      </c>
      <c r="CH386" s="78">
        <f>IF($CG386="Currently on Watchlist",1,0)</f>
        <v/>
      </c>
      <c r="CI386" s="76">
        <f>IF($Z386="Full Defeasance","Fully Defeased",IF($Z386="Portion Of Loan Previously Defeased","Partially Defeased",IF($Z386="Defeasance Not Allowable","Not Defeased (Not Permitted)","Not Defeased")))</f>
        <v/>
      </c>
      <c r="CJ386" s="78">
        <f>IF($CI386="Fully Defeased",1,0)</f>
        <v/>
      </c>
      <c r="CK386" s="76">
        <f>IF($R386="IO","Full IO",IF(LEFT($R386&amp;"",7)="IO then","Partial IO","Amortizing"))</f>
        <v/>
      </c>
      <c r="CL386" s="78">
        <f>IF($CK386="Full IO",1,0)</f>
        <v/>
      </c>
      <c r="CM386" s="78">
        <f>IF($CK386="Partial IO",1,0)</f>
        <v/>
      </c>
      <c r="CN386" s="76">
        <f>IF(LEFT($F386&amp;"",10)="SPLIT_LOAN","Pari Passu Split","Standalone")</f>
        <v/>
      </c>
      <c r="CO386" s="78">
        <f>IF($CN386="Pari Passu Split",1,0)</f>
        <v/>
      </c>
      <c r="CP386" s="77">
        <f>IF(ISNUMBER($T386),YEAR($T386),"")</f>
        <v/>
      </c>
      <c r="CQ386" s="79">
        <f>IF(ISNUMBER($V386),$V386,IF(ISNUMBER($U386),$U386,""))</f>
        <v/>
      </c>
      <c r="CR386" s="77">
        <f>IF(ISNUMBER($CQ386),YEAR($CQ386),"")</f>
        <v/>
      </c>
      <c r="CS386" s="78">
        <f>IF(ISNUMBER($M386),MAX(0,$M386),IF(TRIM($M386&amp;"")="matured",0,""))</f>
        <v/>
      </c>
      <c r="CT386" s="78">
        <f>IF(AND(ISNUMBER($CS386),N($CS386)&lt;=mMatWindow),1,0)</f>
        <v/>
      </c>
      <c r="CU386" s="80">
        <f>IF(ISNUMBER($J386),$J386/100,"")</f>
        <v/>
      </c>
      <c r="CV386" s="81">
        <f>IF(ISNUMBER($AQ386),$AQ386,"")</f>
        <v/>
      </c>
      <c r="CW386" s="81">
        <f>IF(ISNUMBER($AR386),$AR386,"")</f>
        <v/>
      </c>
      <c r="CX386" s="82">
        <f>IF(ISNUMBER($AS386),$AS386/100,"")</f>
        <v/>
      </c>
      <c r="CY386" s="82">
        <f>IF(ISNUMBER($AT386),$AT386/100,"")</f>
        <v/>
      </c>
      <c r="CZ386" s="82">
        <f>IF(ISNUMBER($AU386),$AU386/100,"")</f>
        <v/>
      </c>
      <c r="DA386" s="82">
        <f>IF(ISNUMBER($AV386),$AV386/100,"")</f>
        <v/>
      </c>
      <c r="DB386" s="82">
        <f>IF(ISNUMBER($AW386),$AW386/100,"")</f>
        <v/>
      </c>
      <c r="DC386" s="82">
        <f>IF(ISNUMBER($AX386),$AX386/100,"")</f>
        <v/>
      </c>
      <c r="DD386" s="77">
        <f>IFERROR(VALUE(LEFT(TRIM($AO386&amp;""),4)),"")</f>
        <v/>
      </c>
      <c r="DE386" s="78">
        <f>IF(AND($BY386=1,$BX386=1,OR(fDeal="All Deals",$BU386=fDeal),OR(fEntity="All Entities",$BV386=fEntity),OR(fPType="All Property Types",$BZ386=fPType),OR(fDefeased="Include",$CJ386=0)),1,0)</f>
        <v/>
      </c>
      <c r="DF386" s="83">
        <f>$DE386*N($I386)</f>
        <v/>
      </c>
      <c r="DG386" s="78">
        <f>IF($DE386=1,IF(COUNTIFS($F$8:$F386,$F386,$DE$8:$DE386,1)=1,1,0),0)</f>
        <v/>
      </c>
      <c r="DH386" s="83">
        <f>IF($DG386=1,SUMIFS($DF$8:$DF$1600,$F$8:$F$1600,$F386),0)</f>
        <v/>
      </c>
      <c r="DI386" s="78">
        <f>IF($DG386=1,COUNTIFS($F$8:$F$1600,$F386,$DE$8:$DE$1600,1),0)</f>
        <v/>
      </c>
      <c r="DJ386" s="84">
        <f>IF($DG386=1,$DH386+(100000-ROW())/mTieBreak,0)</f>
        <v/>
      </c>
    </row>
    <row r="387">
      <c r="B387" s="68" t="n">
        <v>1</v>
      </c>
      <c r="C387" s="69" t="inlineStr">
        <is>
          <t>UBS17C03</t>
        </is>
      </c>
      <c r="D387" s="69" t="inlineStr">
        <is>
          <t>1.000</t>
        </is>
      </c>
      <c r="E387" s="69" t="inlineStr">
        <is>
          <t>Ionis Pharmaceuticals - Gazelle Ct</t>
        </is>
      </c>
      <c r="F387" s="69" t="inlineStr">
        <is>
          <t>LNUBS17C03-1.000</t>
        </is>
      </c>
      <c r="G387" s="70" t="n"/>
      <c r="H387" s="71" t="n">
        <v>51350000</v>
      </c>
      <c r="I387" s="71" t="n">
        <v>47471675.0400204</v>
      </c>
      <c r="J387" s="72" t="n">
        <v>3.881</v>
      </c>
      <c r="K387" s="69" t="inlineStr">
        <is>
          <t>Fixed rate</t>
        </is>
      </c>
      <c r="L387" s="68" t="n">
        <v>120</v>
      </c>
      <c r="M387" s="68" t="n">
        <v>11</v>
      </c>
      <c r="N387" s="68" t="n">
        <v>420</v>
      </c>
      <c r="O387" s="68" t="n">
        <v>60</v>
      </c>
      <c r="P387" s="68" t="n">
        <v>0</v>
      </c>
      <c r="Q387" s="68" t="n">
        <v>109</v>
      </c>
      <c r="R387" s="69" t="inlineStr">
        <is>
          <t>IO then Amort</t>
        </is>
      </c>
      <c r="S387" s="69" t="inlineStr">
        <is>
          <t>No</t>
        </is>
      </c>
      <c r="T387" s="73" t="n">
        <v>42948</v>
      </c>
      <c r="U387" s="73" t="n">
        <v>46605</v>
      </c>
      <c r="V387" s="73" t="n"/>
      <c r="W387" s="69" t="n"/>
      <c r="X387" s="69" t="inlineStr">
        <is>
          <t>Current</t>
        </is>
      </c>
      <c r="Y387" s="68" t="n"/>
      <c r="Z387" s="69" t="inlineStr">
        <is>
          <t>Full Defeasance</t>
        </is>
      </c>
      <c r="AA387" s="69" t="n"/>
      <c r="AB387" s="69" t="inlineStr">
        <is>
          <t>Never special serv</t>
        </is>
      </c>
      <c r="AC387" s="73" t="n"/>
      <c r="AD387" s="69" t="n"/>
      <c r="AE387" s="69" t="n"/>
      <c r="AF387" s="69" t="inlineStr">
        <is>
          <t>CA</t>
        </is>
      </c>
      <c r="AG387" s="69" t="inlineStr">
        <is>
          <t>Carlsbad</t>
        </is>
      </c>
      <c r="AH387" s="69" t="inlineStr">
        <is>
          <t>San Diego-Chula Vista-Carlsbad, CA</t>
        </is>
      </c>
      <c r="AI387" s="69" t="inlineStr">
        <is>
          <t>West / Pacific South</t>
        </is>
      </c>
      <c r="AJ387" s="69" t="inlineStr">
        <is>
          <t>MX</t>
        </is>
      </c>
      <c r="AK387" s="69" t="inlineStr">
        <is>
          <t>Office/R&amp;D</t>
        </is>
      </c>
      <c r="AL387" s="68" t="n">
        <v>1</v>
      </c>
      <c r="AM387" s="68" t="n"/>
      <c r="AN387" s="68" t="n">
        <v>176000</v>
      </c>
      <c r="AO387" s="69" t="inlineStr">
        <is>
          <t>2011</t>
        </is>
      </c>
      <c r="AP387" s="70" t="n">
        <v>2011</v>
      </c>
      <c r="AQ387" s="74" t="n">
        <v>2.22</v>
      </c>
      <c r="AR387" s="74" t="n">
        <v>3.37</v>
      </c>
      <c r="AS387" s="74" t="n">
        <v>45.8</v>
      </c>
      <c r="AT387" s="74" t="n">
        <v>42.39</v>
      </c>
      <c r="AU387" s="74" t="n">
        <v>41.5</v>
      </c>
      <c r="AV387" s="74" t="n">
        <v>12.529478092</v>
      </c>
      <c r="AW387" s="74" t="n">
        <v>14.302436125</v>
      </c>
      <c r="AX387" s="75" t="n">
        <v>100</v>
      </c>
      <c r="AY387" s="71" t="n">
        <v>112000000</v>
      </c>
      <c r="AZ387" s="71" t="n">
        <v>112000000</v>
      </c>
      <c r="BA387" s="71" t="n">
        <v>6433887</v>
      </c>
      <c r="BB387" s="71" t="n">
        <v>6803912</v>
      </c>
      <c r="BC387" s="69" t="inlineStr">
        <is>
          <t>Acquisition</t>
        </is>
      </c>
      <c r="BD387" s="69" t="inlineStr">
        <is>
          <t>N</t>
        </is>
      </c>
      <c r="BE387" s="71" t="n"/>
      <c r="BF387" s="71" t="n"/>
      <c r="BG387" s="71" t="n"/>
      <c r="BH387" s="71" t="n">
        <v>0</v>
      </c>
      <c r="BI387" s="71" t="n">
        <v>0</v>
      </c>
      <c r="BJ387" s="69" t="inlineStr">
        <is>
          <t>N</t>
        </is>
      </c>
      <c r="BK387" s="69" t="inlineStr">
        <is>
          <t>IONIS GAZELLE LLC</t>
        </is>
      </c>
      <c r="BL387" s="75" t="n">
        <v>100</v>
      </c>
      <c r="BM387" s="73" t="n">
        <v>48412</v>
      </c>
      <c r="BN387" s="69" t="inlineStr">
        <is>
          <t>Ionis Pharmaceuticals, Inc.</t>
        </is>
      </c>
      <c r="BO387" s="69" t="inlineStr">
        <is>
          <t>UBS</t>
        </is>
      </c>
      <c r="BP387" s="69" t="inlineStr">
        <is>
          <t>Midland Loan Services</t>
        </is>
      </c>
      <c r="BQ387" s="69" t="inlineStr">
        <is>
          <t>Midland Loan Services</t>
        </is>
      </c>
      <c r="BR387" s="69" t="n"/>
      <c r="BS387" s="73" t="n">
        <v>46276</v>
      </c>
      <c r="BU387" s="76">
        <f>IF($C387="","",IFERROR(INDEX(dmName,MATCH($C387,dmID,0)),"Unmapped"))</f>
        <v/>
      </c>
      <c r="BV387" s="76">
        <f>IF($C387="","",IFERROR(INDEX(dmEntity,MATCH($C387,dmID,0)),"Unmapped"))</f>
        <v/>
      </c>
      <c r="BW387" s="77">
        <f>IF($C387="","",IFERROR(INDEX(dmVintage,MATCH($C387,dmID,0)),""))</f>
        <v/>
      </c>
      <c r="BX387" s="78">
        <f>IFERROR(INDEX(dmInclude,MATCH($C387,dmID,0)),0)</f>
        <v/>
      </c>
      <c r="BY387" s="78">
        <f>IF(N($I387)&gt;0,1,0)</f>
        <v/>
      </c>
      <c r="BZ387" s="76">
        <f>IF($AJ387="","Other / Leased Fee",IFERROR(INDEX(mapPTGroup,MATCH(LEFT(TRIM($AJ387),2),mapPTCode,0)),"Other / Leased Fee"))</f>
        <v/>
      </c>
      <c r="CA387" s="76">
        <f>IF(TRIM($AF387&amp;"")="","NR",LEFT(TRIM($AF387),2))</f>
        <v/>
      </c>
      <c r="CB387" s="76">
        <f>IFERROR(LOOKUP(2,1/(LEFT(TRIM($AI387&amp;""),LEN(mapRegion))=mapRegion),mapRegion),"Not Reported")</f>
        <v/>
      </c>
      <c r="CC387" s="76">
        <f>IF($BY387=0,"",IF(TRIM($W387&amp;"")="REO","REO",IF(TRIM($W387&amp;"")="FC","Foreclosure",IF(TRIM($W387&amp;"")="90+","90+ Days Delinquent",IF(TRIM($W387&amp;"")="60","60 Days Delinquent",IF(TRIM($W387&amp;"")="30","30 Days Delinquent",IF($X387="Non-Performing Matured Balloon","Non-Performing Matured Balloon",IF(OR($X387="Late Payment But Less Than 30 Days Delinquent",LEFT($X387&amp;"",20)="Payment Not Received"),"Late / In Grace (&lt;30 Days)",IF($X387="Performing Matured Balloon","Performing Matured Balloon","Current")))))))))</f>
        <v/>
      </c>
      <c r="CD387" s="78">
        <f>IF(OR($CC387="REO",$CC387="Foreclosure",$CC387="90+ Days Delinquent",$CC387="60 Days Delinquent",$CC387="30 Days Delinquent",$CC387="Non-Performing Matured Balloon"),1,0)</f>
        <v/>
      </c>
      <c r="CE387" s="76">
        <f>IF($AB387="Currently special serv","Currently Specially Serviced",IF($AB387="Returned to master serv","Previously Specially Serviced","Never Specially Serviced"))</f>
        <v/>
      </c>
      <c r="CF387" s="78">
        <f>IF($CE387="Currently Specially Serviced",1,0)</f>
        <v/>
      </c>
      <c r="CG387" s="76">
        <f>IF($AA387="Yes","Currently on Watchlist",IF($AA387="Previously","Previously on Watchlist","Never on Watchlist"))</f>
        <v/>
      </c>
      <c r="CH387" s="78">
        <f>IF($CG387="Currently on Watchlist",1,0)</f>
        <v/>
      </c>
      <c r="CI387" s="76">
        <f>IF($Z387="Full Defeasance","Fully Defeased",IF($Z387="Portion Of Loan Previously Defeased","Partially Defeased",IF($Z387="Defeasance Not Allowable","Not Defeased (Not Permitted)","Not Defeased")))</f>
        <v/>
      </c>
      <c r="CJ387" s="78">
        <f>IF($CI387="Fully Defeased",1,0)</f>
        <v/>
      </c>
      <c r="CK387" s="76">
        <f>IF($R387="IO","Full IO",IF(LEFT($R387&amp;"",7)="IO then","Partial IO","Amortizing"))</f>
        <v/>
      </c>
      <c r="CL387" s="78">
        <f>IF($CK387="Full IO",1,0)</f>
        <v/>
      </c>
      <c r="CM387" s="78">
        <f>IF($CK387="Partial IO",1,0)</f>
        <v/>
      </c>
      <c r="CN387" s="76">
        <f>IF(LEFT($F387&amp;"",10)="SPLIT_LOAN","Pari Passu Split","Standalone")</f>
        <v/>
      </c>
      <c r="CO387" s="78">
        <f>IF($CN387="Pari Passu Split",1,0)</f>
        <v/>
      </c>
      <c r="CP387" s="77">
        <f>IF(ISNUMBER($T387),YEAR($T387),"")</f>
        <v/>
      </c>
      <c r="CQ387" s="79">
        <f>IF(ISNUMBER($V387),$V387,IF(ISNUMBER($U387),$U387,""))</f>
        <v/>
      </c>
      <c r="CR387" s="77">
        <f>IF(ISNUMBER($CQ387),YEAR($CQ387),"")</f>
        <v/>
      </c>
      <c r="CS387" s="78">
        <f>IF(ISNUMBER($M387),MAX(0,$M387),IF(TRIM($M387&amp;"")="matured",0,""))</f>
        <v/>
      </c>
      <c r="CT387" s="78">
        <f>IF(AND(ISNUMBER($CS387),N($CS387)&lt;=mMatWindow),1,0)</f>
        <v/>
      </c>
      <c r="CU387" s="80">
        <f>IF(ISNUMBER($J387),$J387/100,"")</f>
        <v/>
      </c>
      <c r="CV387" s="81">
        <f>IF(ISNUMBER($AQ387),$AQ387,"")</f>
        <v/>
      </c>
      <c r="CW387" s="81">
        <f>IF(ISNUMBER($AR387),$AR387,"")</f>
        <v/>
      </c>
      <c r="CX387" s="82">
        <f>IF(ISNUMBER($AS387),$AS387/100,"")</f>
        <v/>
      </c>
      <c r="CY387" s="82">
        <f>IF(ISNUMBER($AT387),$AT387/100,"")</f>
        <v/>
      </c>
      <c r="CZ387" s="82">
        <f>IF(ISNUMBER($AU387),$AU387/100,"")</f>
        <v/>
      </c>
      <c r="DA387" s="82">
        <f>IF(ISNUMBER($AV387),$AV387/100,"")</f>
        <v/>
      </c>
      <c r="DB387" s="82">
        <f>IF(ISNUMBER($AW387),$AW387/100,"")</f>
        <v/>
      </c>
      <c r="DC387" s="82">
        <f>IF(ISNUMBER($AX387),$AX387/100,"")</f>
        <v/>
      </c>
      <c r="DD387" s="77">
        <f>IFERROR(VALUE(LEFT(TRIM($AO387&amp;""),4)),"")</f>
        <v/>
      </c>
      <c r="DE387" s="78">
        <f>IF(AND($BY387=1,$BX387=1,OR(fDeal="All Deals",$BU387=fDeal),OR(fEntity="All Entities",$BV387=fEntity),OR(fPType="All Property Types",$BZ387=fPType),OR(fDefeased="Include",$CJ387=0)),1,0)</f>
        <v/>
      </c>
      <c r="DF387" s="83">
        <f>$DE387*N($I387)</f>
        <v/>
      </c>
      <c r="DG387" s="78">
        <f>IF($DE387=1,IF(COUNTIFS($F$8:$F387,$F387,$DE$8:$DE387,1)=1,1,0),0)</f>
        <v/>
      </c>
      <c r="DH387" s="83">
        <f>IF($DG387=1,SUMIFS($DF$8:$DF$1600,$F$8:$F$1600,$F387),0)</f>
        <v/>
      </c>
      <c r="DI387" s="78">
        <f>IF($DG387=1,COUNTIFS($F$8:$F$1600,$F387,$DE$8:$DE$1600,1),0)</f>
        <v/>
      </c>
      <c r="DJ387" s="84">
        <f>IF($DG387=1,$DH387+(100000-ROW())/mTieBreak,0)</f>
        <v/>
      </c>
    </row>
    <row r="388">
      <c r="B388" s="68" t="n">
        <v>2</v>
      </c>
      <c r="C388" s="69" t="inlineStr">
        <is>
          <t>UBS17C03</t>
        </is>
      </c>
      <c r="D388" s="69" t="inlineStr">
        <is>
          <t>2.TR</t>
        </is>
      </c>
      <c r="E388" s="69" t="inlineStr">
        <is>
          <t>Del Amo Fashion Center</t>
        </is>
      </c>
      <c r="F388" s="69" t="inlineStr">
        <is>
          <t>SPLIT_LOAN_00999</t>
        </is>
      </c>
      <c r="G388" s="70" t="n">
        <v>999</v>
      </c>
      <c r="H388" s="71" t="n">
        <v>50000000</v>
      </c>
      <c r="I388" s="71" t="n">
        <v>50000000</v>
      </c>
      <c r="J388" s="72" t="n">
        <v>3.6575</v>
      </c>
      <c r="K388" s="69" t="inlineStr">
        <is>
          <t>Fixed rate</t>
        </is>
      </c>
      <c r="L388" s="68" t="n">
        <v>120</v>
      </c>
      <c r="M388" s="68" t="n">
        <v>9</v>
      </c>
      <c r="N388" s="68" t="n">
        <v>120</v>
      </c>
      <c r="O388" s="68" t="n">
        <v>120</v>
      </c>
      <c r="P388" s="68" t="n">
        <v>9</v>
      </c>
      <c r="Q388" s="68" t="n">
        <v>111</v>
      </c>
      <c r="R388" s="69" t="inlineStr">
        <is>
          <t>IO</t>
        </is>
      </c>
      <c r="S388" s="69" t="inlineStr">
        <is>
          <t>Yes</t>
        </is>
      </c>
      <c r="T388" s="73" t="n">
        <v>42887</v>
      </c>
      <c r="U388" s="73" t="n">
        <v>46539</v>
      </c>
      <c r="V388" s="73" t="n"/>
      <c r="W388" s="69" t="n"/>
      <c r="X388" s="69" t="inlineStr">
        <is>
          <t>Current</t>
        </is>
      </c>
      <c r="Y388" s="68" t="n"/>
      <c r="Z388" s="69" t="inlineStr">
        <is>
          <t>No Defeasance Occurred</t>
        </is>
      </c>
      <c r="AA388" s="69" t="n"/>
      <c r="AB388" s="69" t="inlineStr">
        <is>
          <t>Never special serv</t>
        </is>
      </c>
      <c r="AC388" s="73" t="n"/>
      <c r="AD388" s="69" t="n"/>
      <c r="AE388" s="69" t="n"/>
      <c r="AF388" s="69" t="inlineStr">
        <is>
          <t>CA</t>
        </is>
      </c>
      <c r="AG388" s="69" t="inlineStr">
        <is>
          <t>Torrance</t>
        </is>
      </c>
      <c r="AH388" s="69" t="inlineStr">
        <is>
          <t>Los Angeles-Long Beach-Anaheim, CA</t>
        </is>
      </c>
      <c r="AI388" s="69" t="inlineStr">
        <is>
          <t>West / Pacific South</t>
        </is>
      </c>
      <c r="AJ388" s="69" t="inlineStr">
        <is>
          <t>RT</t>
        </is>
      </c>
      <c r="AK388" s="69" t="inlineStr">
        <is>
          <t>Super Regional Mall</t>
        </is>
      </c>
      <c r="AL388" s="68" t="n">
        <v>1</v>
      </c>
      <c r="AM388" s="68" t="n"/>
      <c r="AN388" s="68" t="n">
        <v>1769525</v>
      </c>
      <c r="AO388" s="69" t="inlineStr">
        <is>
          <t>1961</t>
        </is>
      </c>
      <c r="AP388" s="70" t="n">
        <v>2017</v>
      </c>
      <c r="AQ388" s="74" t="n">
        <v>3.34</v>
      </c>
      <c r="AR388" s="74" t="n">
        <v>4.31</v>
      </c>
      <c r="AS388" s="74" t="n">
        <v>39.8</v>
      </c>
      <c r="AT388" s="74" t="n">
        <v>39.77</v>
      </c>
      <c r="AU388" s="74" t="n">
        <v>39.8</v>
      </c>
      <c r="AV388" s="74" t="n">
        <v>12.402663529</v>
      </c>
      <c r="AW388" s="74" t="n">
        <v>12.760469845</v>
      </c>
      <c r="AX388" s="75" t="n">
        <v>84</v>
      </c>
      <c r="AY388" s="71" t="n">
        <v>1155000000</v>
      </c>
      <c r="AZ388" s="71" t="n">
        <v>1155000000</v>
      </c>
      <c r="BA388" s="71" t="n">
        <v>56965433.59</v>
      </c>
      <c r="BB388" s="71" t="n">
        <v>58137587.87</v>
      </c>
      <c r="BC388" s="69" t="inlineStr">
        <is>
          <t>Refinance</t>
        </is>
      </c>
      <c r="BD388" s="69" t="inlineStr">
        <is>
          <t>N</t>
        </is>
      </c>
      <c r="BE388" s="71" t="n">
        <v>409300000</v>
      </c>
      <c r="BF388" s="71" t="n">
        <v>125700000</v>
      </c>
      <c r="BG388" s="71" t="n"/>
      <c r="BH388" s="71" t="n">
        <v>0</v>
      </c>
      <c r="BI388" s="71" t="n">
        <v>0</v>
      </c>
      <c r="BJ388" s="69" t="inlineStr">
        <is>
          <t>N</t>
        </is>
      </c>
      <c r="BK388" s="69" t="inlineStr">
        <is>
          <t>JC Penney</t>
        </is>
      </c>
      <c r="BL388" s="75" t="n">
        <v>9.23</v>
      </c>
      <c r="BM388" s="73" t="n">
        <v>47118</v>
      </c>
      <c r="BN388" s="69" t="inlineStr">
        <is>
          <t>Simon Property Group, L.P.; Commingled Pension Trust Fund (Strategic Property) of JPMorgan Chase Bank, N.A.</t>
        </is>
      </c>
      <c r="BO388" s="69" t="inlineStr">
        <is>
          <t>Bank of America / Societe Generale / Wells Fargo / Barclays</t>
        </is>
      </c>
      <c r="BP388" s="69" t="inlineStr">
        <is>
          <t>Midland Loan Services</t>
        </is>
      </c>
      <c r="BQ388" s="69" t="inlineStr">
        <is>
          <t>Cohen Financial</t>
        </is>
      </c>
      <c r="BR388" s="69" t="n"/>
      <c r="BS388" s="73" t="n">
        <v>46276</v>
      </c>
      <c r="BU388" s="76">
        <f>IF($C388="","",IFERROR(INDEX(dmName,MATCH($C388,dmID,0)),"Unmapped"))</f>
        <v/>
      </c>
      <c r="BV388" s="76">
        <f>IF($C388="","",IFERROR(INDEX(dmEntity,MATCH($C388,dmID,0)),"Unmapped"))</f>
        <v/>
      </c>
      <c r="BW388" s="77">
        <f>IF($C388="","",IFERROR(INDEX(dmVintage,MATCH($C388,dmID,0)),""))</f>
        <v/>
      </c>
      <c r="BX388" s="78">
        <f>IFERROR(INDEX(dmInclude,MATCH($C388,dmID,0)),0)</f>
        <v/>
      </c>
      <c r="BY388" s="78">
        <f>IF(N($I388)&gt;0,1,0)</f>
        <v/>
      </c>
      <c r="BZ388" s="76">
        <f>IF($AJ388="","Other / Leased Fee",IFERROR(INDEX(mapPTGroup,MATCH(LEFT(TRIM($AJ388),2),mapPTCode,0)),"Other / Leased Fee"))</f>
        <v/>
      </c>
      <c r="CA388" s="76">
        <f>IF(TRIM($AF388&amp;"")="","NR",LEFT(TRIM($AF388),2))</f>
        <v/>
      </c>
      <c r="CB388" s="76">
        <f>IFERROR(LOOKUP(2,1/(LEFT(TRIM($AI388&amp;""),LEN(mapRegion))=mapRegion),mapRegion),"Not Reported")</f>
        <v/>
      </c>
      <c r="CC388" s="76">
        <f>IF($BY388=0,"",IF(TRIM($W388&amp;"")="REO","REO",IF(TRIM($W388&amp;"")="FC","Foreclosure",IF(TRIM($W388&amp;"")="90+","90+ Days Delinquent",IF(TRIM($W388&amp;"")="60","60 Days Delinquent",IF(TRIM($W388&amp;"")="30","30 Days Delinquent",IF($X388="Non-Performing Matured Balloon","Non-Performing Matured Balloon",IF(OR($X388="Late Payment But Less Than 30 Days Delinquent",LEFT($X388&amp;"",20)="Payment Not Received"),"Late / In Grace (&lt;30 Days)",IF($X388="Performing Matured Balloon","Performing Matured Balloon","Current")))))))))</f>
        <v/>
      </c>
      <c r="CD388" s="78">
        <f>IF(OR($CC388="REO",$CC388="Foreclosure",$CC388="90+ Days Delinquent",$CC388="60 Days Delinquent",$CC388="30 Days Delinquent",$CC388="Non-Performing Matured Balloon"),1,0)</f>
        <v/>
      </c>
      <c r="CE388" s="76">
        <f>IF($AB388="Currently special serv","Currently Specially Serviced",IF($AB388="Returned to master serv","Previously Specially Serviced","Never Specially Serviced"))</f>
        <v/>
      </c>
      <c r="CF388" s="78">
        <f>IF($CE388="Currently Specially Serviced",1,0)</f>
        <v/>
      </c>
      <c r="CG388" s="76">
        <f>IF($AA388="Yes","Currently on Watchlist",IF($AA388="Previously","Previously on Watchlist","Never on Watchlist"))</f>
        <v/>
      </c>
      <c r="CH388" s="78">
        <f>IF($CG388="Currently on Watchlist",1,0)</f>
        <v/>
      </c>
      <c r="CI388" s="76">
        <f>IF($Z388="Full Defeasance","Fully Defeased",IF($Z388="Portion Of Loan Previously Defeased","Partially Defeased",IF($Z388="Defeasance Not Allowable","Not Defeased (Not Permitted)","Not Defeased")))</f>
        <v/>
      </c>
      <c r="CJ388" s="78">
        <f>IF($CI388="Fully Defeased",1,0)</f>
        <v/>
      </c>
      <c r="CK388" s="76">
        <f>IF($R388="IO","Full IO",IF(LEFT($R388&amp;"",7)="IO then","Partial IO","Amortizing"))</f>
        <v/>
      </c>
      <c r="CL388" s="78">
        <f>IF($CK388="Full IO",1,0)</f>
        <v/>
      </c>
      <c r="CM388" s="78">
        <f>IF($CK388="Partial IO",1,0)</f>
        <v/>
      </c>
      <c r="CN388" s="76">
        <f>IF(LEFT($F388&amp;"",10)="SPLIT_LOAN","Pari Passu Split","Standalone")</f>
        <v/>
      </c>
      <c r="CO388" s="78">
        <f>IF($CN388="Pari Passu Split",1,0)</f>
        <v/>
      </c>
      <c r="CP388" s="77">
        <f>IF(ISNUMBER($T388),YEAR($T388),"")</f>
        <v/>
      </c>
      <c r="CQ388" s="79">
        <f>IF(ISNUMBER($V388),$V388,IF(ISNUMBER($U388),$U388,""))</f>
        <v/>
      </c>
      <c r="CR388" s="77">
        <f>IF(ISNUMBER($CQ388),YEAR($CQ388),"")</f>
        <v/>
      </c>
      <c r="CS388" s="78">
        <f>IF(ISNUMBER($M388),MAX(0,$M388),IF(TRIM($M388&amp;"")="matured",0,""))</f>
        <v/>
      </c>
      <c r="CT388" s="78">
        <f>IF(AND(ISNUMBER($CS388),N($CS388)&lt;=mMatWindow),1,0)</f>
        <v/>
      </c>
      <c r="CU388" s="80">
        <f>IF(ISNUMBER($J388),$J388/100,"")</f>
        <v/>
      </c>
      <c r="CV388" s="81">
        <f>IF(ISNUMBER($AQ388),$AQ388,"")</f>
        <v/>
      </c>
      <c r="CW388" s="81">
        <f>IF(ISNUMBER($AR388),$AR388,"")</f>
        <v/>
      </c>
      <c r="CX388" s="82">
        <f>IF(ISNUMBER($AS388),$AS388/100,"")</f>
        <v/>
      </c>
      <c r="CY388" s="82">
        <f>IF(ISNUMBER($AT388),$AT388/100,"")</f>
        <v/>
      </c>
      <c r="CZ388" s="82">
        <f>IF(ISNUMBER($AU388),$AU388/100,"")</f>
        <v/>
      </c>
      <c r="DA388" s="82">
        <f>IF(ISNUMBER($AV388),$AV388/100,"")</f>
        <v/>
      </c>
      <c r="DB388" s="82">
        <f>IF(ISNUMBER($AW388),$AW388/100,"")</f>
        <v/>
      </c>
      <c r="DC388" s="82">
        <f>IF(ISNUMBER($AX388),$AX388/100,"")</f>
        <v/>
      </c>
      <c r="DD388" s="77">
        <f>IFERROR(VALUE(LEFT(TRIM($AO388&amp;""),4)),"")</f>
        <v/>
      </c>
      <c r="DE388" s="78">
        <f>IF(AND($BY388=1,$BX388=1,OR(fDeal="All Deals",$BU388=fDeal),OR(fEntity="All Entities",$BV388=fEntity),OR(fPType="All Property Types",$BZ388=fPType),OR(fDefeased="Include",$CJ388=0)),1,0)</f>
        <v/>
      </c>
      <c r="DF388" s="83">
        <f>$DE388*N($I388)</f>
        <v/>
      </c>
      <c r="DG388" s="78">
        <f>IF($DE388=1,IF(COUNTIFS($F$8:$F388,$F388,$DE$8:$DE388,1)=1,1,0),0)</f>
        <v/>
      </c>
      <c r="DH388" s="83">
        <f>IF($DG388=1,SUMIFS($DF$8:$DF$1600,$F$8:$F$1600,$F388),0)</f>
        <v/>
      </c>
      <c r="DI388" s="78">
        <f>IF($DG388=1,COUNTIFS($F$8:$F$1600,$F388,$DE$8:$DE$1600,1),0)</f>
        <v/>
      </c>
      <c r="DJ388" s="84">
        <f>IF($DG388=1,$DH388+(100000-ROW())/mTieBreak,0)</f>
        <v/>
      </c>
    </row>
    <row r="389">
      <c r="B389" s="68" t="n">
        <v>3</v>
      </c>
      <c r="C389" s="69" t="inlineStr">
        <is>
          <t>UBS17C03</t>
        </is>
      </c>
      <c r="D389" s="69" t="inlineStr">
        <is>
          <t>3.000</t>
        </is>
      </c>
      <c r="E389" s="69" t="inlineStr">
        <is>
          <t>TZA Multifamily Portfolio I</t>
        </is>
      </c>
      <c r="F389" s="69" t="inlineStr">
        <is>
          <t>SPLIT_LOAN_01046</t>
        </is>
      </c>
      <c r="G389" s="70" t="n">
        <v>1046</v>
      </c>
      <c r="H389" s="71" t="n">
        <v>50000000</v>
      </c>
      <c r="I389" s="71" t="n">
        <v>45018527.88</v>
      </c>
      <c r="J389" s="72" t="n">
        <v>4.95</v>
      </c>
      <c r="K389" s="69" t="inlineStr">
        <is>
          <t>Fixed rate</t>
        </is>
      </c>
      <c r="L389" s="68" t="n">
        <v>120</v>
      </c>
      <c r="M389" s="68" t="n">
        <v>10</v>
      </c>
      <c r="N389" s="68" t="n">
        <v>396</v>
      </c>
      <c r="O389" s="68" t="n">
        <v>36</v>
      </c>
      <c r="P389" s="68" t="n">
        <v>0</v>
      </c>
      <c r="Q389" s="68" t="n">
        <v>110</v>
      </c>
      <c r="R389" s="69" t="inlineStr">
        <is>
          <t>IO then Amort</t>
        </is>
      </c>
      <c r="S389" s="69" t="inlineStr">
        <is>
          <t>No</t>
        </is>
      </c>
      <c r="T389" s="73" t="n">
        <v>42917</v>
      </c>
      <c r="U389" s="73" t="n">
        <v>46569</v>
      </c>
      <c r="V389" s="73" t="n"/>
      <c r="W389" s="69" t="n"/>
      <c r="X389" s="69" t="inlineStr">
        <is>
          <t>Current</t>
        </is>
      </c>
      <c r="Y389" s="68" t="n"/>
      <c r="Z389" s="69" t="inlineStr">
        <is>
          <t>Full Defeasance</t>
        </is>
      </c>
      <c r="AA389" s="69" t="inlineStr">
        <is>
          <t>Previously</t>
        </is>
      </c>
      <c r="AB389" s="69" t="inlineStr">
        <is>
          <t>Returned to master serv</t>
        </is>
      </c>
      <c r="AC389" s="73" t="n"/>
      <c r="AD389" s="69" t="inlineStr">
        <is>
          <t>Other</t>
        </is>
      </c>
      <c r="AE389" s="69" t="inlineStr">
        <is>
          <t>Resolved</t>
        </is>
      </c>
      <c r="AF389" s="69" t="inlineStr">
        <is>
          <t>FL</t>
        </is>
      </c>
      <c r="AG389" s="69" t="n"/>
      <c r="AH389" s="69" t="inlineStr">
        <is>
          <t>Tampa-St. Petersburg-Clearwater, FL-32.646798090% Orlando-Kissimmee-Sanford, FL-23.944621909% Lakeland-Winter Haven, FL-19.218441956% Jacksonville, FL-18.781968043% North Port-Bradenton-Sarasota, FL-5.408170002%</t>
        </is>
      </c>
      <c r="AI389" s="69" t="inlineStr">
        <is>
          <t>South / Atlantic</t>
        </is>
      </c>
      <c r="AJ389" s="69" t="inlineStr">
        <is>
          <t>MF</t>
        </is>
      </c>
      <c r="AK389" s="69" t="inlineStr">
        <is>
          <t>Garden</t>
        </is>
      </c>
      <c r="AL389" s="68" t="n">
        <v>14</v>
      </c>
      <c r="AM389" s="68" t="n">
        <v>2382</v>
      </c>
      <c r="AN389" s="68" t="n"/>
      <c r="AO389" s="69" t="n"/>
      <c r="AP389" s="70" t="n">
        <v>2017</v>
      </c>
      <c r="AQ389" s="74" t="n">
        <v>1.55</v>
      </c>
      <c r="AR389" s="74" t="n">
        <v>1.28</v>
      </c>
      <c r="AS389" s="74" t="n">
        <v>73.7</v>
      </c>
      <c r="AT389" s="74" t="n">
        <v>55.49</v>
      </c>
      <c r="AU389" s="74" t="n">
        <v>65.09999999999999</v>
      </c>
      <c r="AV389" s="74" t="n">
        <v>9.930106092999999</v>
      </c>
      <c r="AW389" s="74" t="n">
        <v>9.008439262</v>
      </c>
      <c r="AX389" s="75" t="n">
        <v>97</v>
      </c>
      <c r="AY389" s="71" t="n">
        <v>146630000</v>
      </c>
      <c r="AZ389" s="71" t="n">
        <v>175230000</v>
      </c>
      <c r="BA389" s="71" t="n">
        <v>10724514.58</v>
      </c>
      <c r="BB389" s="71" t="n">
        <v>8759808.16</v>
      </c>
      <c r="BC389" s="69" t="inlineStr">
        <is>
          <t>Refinance</t>
        </is>
      </c>
      <c r="BD389" s="69" t="inlineStr">
        <is>
          <t>N</t>
        </is>
      </c>
      <c r="BE389" s="71" t="n">
        <v>52221492.34</v>
      </c>
      <c r="BF389" s="71" t="n"/>
      <c r="BG389" s="71" t="n"/>
      <c r="BH389" s="71" t="n">
        <v>0</v>
      </c>
      <c r="BI389" s="71" t="n">
        <v>0</v>
      </c>
      <c r="BJ389" s="69" t="inlineStr">
        <is>
          <t>Y</t>
        </is>
      </c>
      <c r="BK389" s="69" t="n"/>
      <c r="BL389" s="75" t="n"/>
      <c r="BM389" s="73" t="n"/>
      <c r="BN389" s="69" t="inlineStr">
        <is>
          <t>Adam Hendry</t>
        </is>
      </c>
      <c r="BO389" s="69" t="inlineStr">
        <is>
          <t>Societe Generale</t>
        </is>
      </c>
      <c r="BP389" s="69" t="inlineStr">
        <is>
          <t>Midland Loan Services</t>
        </is>
      </c>
      <c r="BQ389" s="69" t="inlineStr">
        <is>
          <t>Midland Loan Services</t>
        </is>
      </c>
      <c r="BR389" s="69" t="n"/>
      <c r="BS389" s="73" t="n">
        <v>46276</v>
      </c>
      <c r="BU389" s="76">
        <f>IF($C389="","",IFERROR(INDEX(dmName,MATCH($C389,dmID,0)),"Unmapped"))</f>
        <v/>
      </c>
      <c r="BV389" s="76">
        <f>IF($C389="","",IFERROR(INDEX(dmEntity,MATCH($C389,dmID,0)),"Unmapped"))</f>
        <v/>
      </c>
      <c r="BW389" s="77">
        <f>IF($C389="","",IFERROR(INDEX(dmVintage,MATCH($C389,dmID,0)),""))</f>
        <v/>
      </c>
      <c r="BX389" s="78">
        <f>IFERROR(INDEX(dmInclude,MATCH($C389,dmID,0)),0)</f>
        <v/>
      </c>
      <c r="BY389" s="78">
        <f>IF(N($I389)&gt;0,1,0)</f>
        <v/>
      </c>
      <c r="BZ389" s="76">
        <f>IF($AJ389="","Other / Leased Fee",IFERROR(INDEX(mapPTGroup,MATCH(LEFT(TRIM($AJ389),2),mapPTCode,0)),"Other / Leased Fee"))</f>
        <v/>
      </c>
      <c r="CA389" s="76">
        <f>IF(TRIM($AF389&amp;"")="","NR",LEFT(TRIM($AF389),2))</f>
        <v/>
      </c>
      <c r="CB389" s="76">
        <f>IFERROR(LOOKUP(2,1/(LEFT(TRIM($AI389&amp;""),LEN(mapRegion))=mapRegion),mapRegion),"Not Reported")</f>
        <v/>
      </c>
      <c r="CC389" s="76">
        <f>IF($BY389=0,"",IF(TRIM($W389&amp;"")="REO","REO",IF(TRIM($W389&amp;"")="FC","Foreclosure",IF(TRIM($W389&amp;"")="90+","90+ Days Delinquent",IF(TRIM($W389&amp;"")="60","60 Days Delinquent",IF(TRIM($W389&amp;"")="30","30 Days Delinquent",IF($X389="Non-Performing Matured Balloon","Non-Performing Matured Balloon",IF(OR($X389="Late Payment But Less Than 30 Days Delinquent",LEFT($X389&amp;"",20)="Payment Not Received"),"Late / In Grace (&lt;30 Days)",IF($X389="Performing Matured Balloon","Performing Matured Balloon","Current")))))))))</f>
        <v/>
      </c>
      <c r="CD389" s="78">
        <f>IF(OR($CC389="REO",$CC389="Foreclosure",$CC389="90+ Days Delinquent",$CC389="60 Days Delinquent",$CC389="30 Days Delinquent",$CC389="Non-Performing Matured Balloon"),1,0)</f>
        <v/>
      </c>
      <c r="CE389" s="76">
        <f>IF($AB389="Currently special serv","Currently Specially Serviced",IF($AB389="Returned to master serv","Previously Specially Serviced","Never Specially Serviced"))</f>
        <v/>
      </c>
      <c r="CF389" s="78">
        <f>IF($CE389="Currently Specially Serviced",1,0)</f>
        <v/>
      </c>
      <c r="CG389" s="76">
        <f>IF($AA389="Yes","Currently on Watchlist",IF($AA389="Previously","Previously on Watchlist","Never on Watchlist"))</f>
        <v/>
      </c>
      <c r="CH389" s="78">
        <f>IF($CG389="Currently on Watchlist",1,0)</f>
        <v/>
      </c>
      <c r="CI389" s="76">
        <f>IF($Z389="Full Defeasance","Fully Defeased",IF($Z389="Portion Of Loan Previously Defeased","Partially Defeased",IF($Z389="Defeasance Not Allowable","Not Defeased (Not Permitted)","Not Defeased")))</f>
        <v/>
      </c>
      <c r="CJ389" s="78">
        <f>IF($CI389="Fully Defeased",1,0)</f>
        <v/>
      </c>
      <c r="CK389" s="76">
        <f>IF($R389="IO","Full IO",IF(LEFT($R389&amp;"",7)="IO then","Partial IO","Amortizing"))</f>
        <v/>
      </c>
      <c r="CL389" s="78">
        <f>IF($CK389="Full IO",1,0)</f>
        <v/>
      </c>
      <c r="CM389" s="78">
        <f>IF($CK389="Partial IO",1,0)</f>
        <v/>
      </c>
      <c r="CN389" s="76">
        <f>IF(LEFT($F389&amp;"",10)="SPLIT_LOAN","Pari Passu Split","Standalone")</f>
        <v/>
      </c>
      <c r="CO389" s="78">
        <f>IF($CN389="Pari Passu Split",1,0)</f>
        <v/>
      </c>
      <c r="CP389" s="77">
        <f>IF(ISNUMBER($T389),YEAR($T389),"")</f>
        <v/>
      </c>
      <c r="CQ389" s="79">
        <f>IF(ISNUMBER($V389),$V389,IF(ISNUMBER($U389),$U389,""))</f>
        <v/>
      </c>
      <c r="CR389" s="77">
        <f>IF(ISNUMBER($CQ389),YEAR($CQ389),"")</f>
        <v/>
      </c>
      <c r="CS389" s="78">
        <f>IF(ISNUMBER($M389),MAX(0,$M389),IF(TRIM($M389&amp;"")="matured",0,""))</f>
        <v/>
      </c>
      <c r="CT389" s="78">
        <f>IF(AND(ISNUMBER($CS389),N($CS389)&lt;=mMatWindow),1,0)</f>
        <v/>
      </c>
      <c r="CU389" s="80">
        <f>IF(ISNUMBER($J389),$J389/100,"")</f>
        <v/>
      </c>
      <c r="CV389" s="81">
        <f>IF(ISNUMBER($AQ389),$AQ389,"")</f>
        <v/>
      </c>
      <c r="CW389" s="81">
        <f>IF(ISNUMBER($AR389),$AR389,"")</f>
        <v/>
      </c>
      <c r="CX389" s="82">
        <f>IF(ISNUMBER($AS389),$AS389/100,"")</f>
        <v/>
      </c>
      <c r="CY389" s="82">
        <f>IF(ISNUMBER($AT389),$AT389/100,"")</f>
        <v/>
      </c>
      <c r="CZ389" s="82">
        <f>IF(ISNUMBER($AU389),$AU389/100,"")</f>
        <v/>
      </c>
      <c r="DA389" s="82">
        <f>IF(ISNUMBER($AV389),$AV389/100,"")</f>
        <v/>
      </c>
      <c r="DB389" s="82">
        <f>IF(ISNUMBER($AW389),$AW389/100,"")</f>
        <v/>
      </c>
      <c r="DC389" s="82">
        <f>IF(ISNUMBER($AX389),$AX389/100,"")</f>
        <v/>
      </c>
      <c r="DD389" s="77">
        <f>IFERROR(VALUE(LEFT(TRIM($AO389&amp;""),4)),"")</f>
        <v/>
      </c>
      <c r="DE389" s="78">
        <f>IF(AND($BY389=1,$BX389=1,OR(fDeal="All Deals",$BU389=fDeal),OR(fEntity="All Entities",$BV389=fEntity),OR(fPType="All Property Types",$BZ389=fPType),OR(fDefeased="Include",$CJ389=0)),1,0)</f>
        <v/>
      </c>
      <c r="DF389" s="83">
        <f>$DE389*N($I389)</f>
        <v/>
      </c>
      <c r="DG389" s="78">
        <f>IF($DE389=1,IF(COUNTIFS($F$8:$F389,$F389,$DE$8:$DE389,1)=1,1,0),0)</f>
        <v/>
      </c>
      <c r="DH389" s="83">
        <f>IF($DG389=1,SUMIFS($DF$8:$DF$1600,$F$8:$F$1600,$F389),0)</f>
        <v/>
      </c>
      <c r="DI389" s="78">
        <f>IF($DG389=1,COUNTIFS($F$8:$F$1600,$F389,$DE$8:$DE$1600,1),0)</f>
        <v/>
      </c>
      <c r="DJ389" s="84">
        <f>IF($DG389=1,$DH389+(100000-ROW())/mTieBreak,0)</f>
        <v/>
      </c>
    </row>
    <row r="390">
      <c r="B390" s="68" t="n">
        <v>4</v>
      </c>
      <c r="C390" s="69" t="inlineStr">
        <is>
          <t>UBS17C03</t>
        </is>
      </c>
      <c r="D390" s="69" t="inlineStr">
        <is>
          <t>4.000</t>
        </is>
      </c>
      <c r="E390" s="69" t="inlineStr">
        <is>
          <t>American Cancer Society Center</t>
        </is>
      </c>
      <c r="F390" s="69" t="inlineStr">
        <is>
          <t>SPLIT_LOAN_01068</t>
        </is>
      </c>
      <c r="G390" s="70" t="n">
        <v>1068</v>
      </c>
      <c r="H390" s="71" t="n">
        <v>43000000</v>
      </c>
      <c r="I390" s="71" t="n">
        <v>39745083.890016</v>
      </c>
      <c r="J390" s="72" t="n">
        <v>3.99</v>
      </c>
      <c r="K390" s="69" t="inlineStr">
        <is>
          <t>Fixed rate</t>
        </is>
      </c>
      <c r="L390" s="68" t="n">
        <v>120</v>
      </c>
      <c r="M390" s="68" t="n">
        <v>10</v>
      </c>
      <c r="N390" s="68" t="n">
        <v>420</v>
      </c>
      <c r="O390" s="68" t="n">
        <v>60</v>
      </c>
      <c r="P390" s="68" t="n">
        <v>0</v>
      </c>
      <c r="Q390" s="68" t="n">
        <v>110</v>
      </c>
      <c r="R390" s="69" t="inlineStr">
        <is>
          <t>IO then Amort</t>
        </is>
      </c>
      <c r="S390" s="69" t="inlineStr">
        <is>
          <t>No</t>
        </is>
      </c>
      <c r="T390" s="73" t="n">
        <v>42917</v>
      </c>
      <c r="U390" s="73" t="n">
        <v>46569</v>
      </c>
      <c r="V390" s="73" t="n"/>
      <c r="W390" s="69" t="n"/>
      <c r="X390" s="69" t="inlineStr">
        <is>
          <t>Current</t>
        </is>
      </c>
      <c r="Y390" s="68" t="n"/>
      <c r="Z390" s="69" t="inlineStr">
        <is>
          <t>Full Defeasance</t>
        </is>
      </c>
      <c r="AA390" s="69" t="inlineStr">
        <is>
          <t>Previously</t>
        </is>
      </c>
      <c r="AB390" s="69" t="inlineStr">
        <is>
          <t>Never special serv</t>
        </is>
      </c>
      <c r="AC390" s="73" t="n"/>
      <c r="AD390" s="69" t="n"/>
      <c r="AE390" s="69" t="n"/>
      <c r="AF390" s="69" t="inlineStr">
        <is>
          <t>GA</t>
        </is>
      </c>
      <c r="AG390" s="69" t="inlineStr">
        <is>
          <t>Atlanta</t>
        </is>
      </c>
      <c r="AH390" s="69" t="inlineStr">
        <is>
          <t>Atlanta-Sandy Springs-Roswell, GA</t>
        </is>
      </c>
      <c r="AI390" s="69" t="inlineStr">
        <is>
          <t>South / Atlantic</t>
        </is>
      </c>
      <c r="AJ390" s="69" t="inlineStr">
        <is>
          <t>OF</t>
        </is>
      </c>
      <c r="AK390" s="69" t="inlineStr">
        <is>
          <t>CBD</t>
        </is>
      </c>
      <c r="AL390" s="68" t="n">
        <v>1</v>
      </c>
      <c r="AM390" s="68" t="n"/>
      <c r="AN390" s="68" t="n">
        <v>991338</v>
      </c>
      <c r="AO390" s="69" t="inlineStr">
        <is>
          <t>1989</t>
        </is>
      </c>
      <c r="AP390" s="70" t="n">
        <v>2007</v>
      </c>
      <c r="AQ390" s="74" t="n">
        <v>1.79</v>
      </c>
      <c r="AR390" s="74" t="n">
        <v>2.71</v>
      </c>
      <c r="AS390" s="74" t="n">
        <v>63.8</v>
      </c>
      <c r="AT390" s="74" t="n">
        <v>59.01</v>
      </c>
      <c r="AU390" s="74" t="n">
        <v>57.9</v>
      </c>
      <c r="AV390" s="74" t="n">
        <v>10.228216007</v>
      </c>
      <c r="AW390" s="74" t="n">
        <v>11.896930589</v>
      </c>
      <c r="AX390" s="75" t="n">
        <v>63</v>
      </c>
      <c r="AY390" s="71" t="n">
        <v>182000000</v>
      </c>
      <c r="AZ390" s="71" t="n">
        <v>182000000</v>
      </c>
      <c r="BA390" s="71" t="n">
        <v>11885187</v>
      </c>
      <c r="BB390" s="71" t="n">
        <v>12777798</v>
      </c>
      <c r="BC390" s="69" t="inlineStr">
        <is>
          <t>Acquisition</t>
        </is>
      </c>
      <c r="BD390" s="69" t="n"/>
      <c r="BE390" s="71" t="n">
        <v>67659073.04000001</v>
      </c>
      <c r="BF390" s="71" t="n"/>
      <c r="BG390" s="71" t="n"/>
      <c r="BH390" s="71" t="n">
        <v>0</v>
      </c>
      <c r="BI390" s="71" t="n">
        <v>0</v>
      </c>
      <c r="BJ390" s="69" t="inlineStr">
        <is>
          <t>N</t>
        </is>
      </c>
      <c r="BK390" s="69" t="inlineStr">
        <is>
          <t>US SOUTH COMMUNICATION INC t0000941</t>
        </is>
      </c>
      <c r="BL390" s="75" t="n">
        <v>22.59</v>
      </c>
      <c r="BM390" s="73" t="n">
        <v>46112</v>
      </c>
      <c r="BN390" s="69" t="inlineStr">
        <is>
          <t>Carter Validus Operating Partnership II, LP</t>
        </is>
      </c>
      <c r="BO390" s="69" t="inlineStr">
        <is>
          <t>KeyBank</t>
        </is>
      </c>
      <c r="BP390" s="69" t="inlineStr">
        <is>
          <t>Midland Loan Services</t>
        </is>
      </c>
      <c r="BQ390" s="69" t="inlineStr">
        <is>
          <t>Midland Loan Services</t>
        </is>
      </c>
      <c r="BR390" s="69" t="n"/>
      <c r="BS390" s="73" t="n">
        <v>46276</v>
      </c>
      <c r="BU390" s="76">
        <f>IF($C390="","",IFERROR(INDEX(dmName,MATCH($C390,dmID,0)),"Unmapped"))</f>
        <v/>
      </c>
      <c r="BV390" s="76">
        <f>IF($C390="","",IFERROR(INDEX(dmEntity,MATCH($C390,dmID,0)),"Unmapped"))</f>
        <v/>
      </c>
      <c r="BW390" s="77">
        <f>IF($C390="","",IFERROR(INDEX(dmVintage,MATCH($C390,dmID,0)),""))</f>
        <v/>
      </c>
      <c r="BX390" s="78">
        <f>IFERROR(INDEX(dmInclude,MATCH($C390,dmID,0)),0)</f>
        <v/>
      </c>
      <c r="BY390" s="78">
        <f>IF(N($I390)&gt;0,1,0)</f>
        <v/>
      </c>
      <c r="BZ390" s="76">
        <f>IF($AJ390="","Other / Leased Fee",IFERROR(INDEX(mapPTGroup,MATCH(LEFT(TRIM($AJ390),2),mapPTCode,0)),"Other / Leased Fee"))</f>
        <v/>
      </c>
      <c r="CA390" s="76">
        <f>IF(TRIM($AF390&amp;"")="","NR",LEFT(TRIM($AF390),2))</f>
        <v/>
      </c>
      <c r="CB390" s="76">
        <f>IFERROR(LOOKUP(2,1/(LEFT(TRIM($AI390&amp;""),LEN(mapRegion))=mapRegion),mapRegion),"Not Reported")</f>
        <v/>
      </c>
      <c r="CC390" s="76">
        <f>IF($BY390=0,"",IF(TRIM($W390&amp;"")="REO","REO",IF(TRIM($W390&amp;"")="FC","Foreclosure",IF(TRIM($W390&amp;"")="90+","90+ Days Delinquent",IF(TRIM($W390&amp;"")="60","60 Days Delinquent",IF(TRIM($W390&amp;"")="30","30 Days Delinquent",IF($X390="Non-Performing Matured Balloon","Non-Performing Matured Balloon",IF(OR($X390="Late Payment But Less Than 30 Days Delinquent",LEFT($X390&amp;"",20)="Payment Not Received"),"Late / In Grace (&lt;30 Days)",IF($X390="Performing Matured Balloon","Performing Matured Balloon","Current")))))))))</f>
        <v/>
      </c>
      <c r="CD390" s="78">
        <f>IF(OR($CC390="REO",$CC390="Foreclosure",$CC390="90+ Days Delinquent",$CC390="60 Days Delinquent",$CC390="30 Days Delinquent",$CC390="Non-Performing Matured Balloon"),1,0)</f>
        <v/>
      </c>
      <c r="CE390" s="76">
        <f>IF($AB390="Currently special serv","Currently Specially Serviced",IF($AB390="Returned to master serv","Previously Specially Serviced","Never Specially Serviced"))</f>
        <v/>
      </c>
      <c r="CF390" s="78">
        <f>IF($CE390="Currently Specially Serviced",1,0)</f>
        <v/>
      </c>
      <c r="CG390" s="76">
        <f>IF($AA390="Yes","Currently on Watchlist",IF($AA390="Previously","Previously on Watchlist","Never on Watchlist"))</f>
        <v/>
      </c>
      <c r="CH390" s="78">
        <f>IF($CG390="Currently on Watchlist",1,0)</f>
        <v/>
      </c>
      <c r="CI390" s="76">
        <f>IF($Z390="Full Defeasance","Fully Defeased",IF($Z390="Portion Of Loan Previously Defeased","Partially Defeased",IF($Z390="Defeasance Not Allowable","Not Defeased (Not Permitted)","Not Defeased")))</f>
        <v/>
      </c>
      <c r="CJ390" s="78">
        <f>IF($CI390="Fully Defeased",1,0)</f>
        <v/>
      </c>
      <c r="CK390" s="76">
        <f>IF($R390="IO","Full IO",IF(LEFT($R390&amp;"",7)="IO then","Partial IO","Amortizing"))</f>
        <v/>
      </c>
      <c r="CL390" s="78">
        <f>IF($CK390="Full IO",1,0)</f>
        <v/>
      </c>
      <c r="CM390" s="78">
        <f>IF($CK390="Partial IO",1,0)</f>
        <v/>
      </c>
      <c r="CN390" s="76">
        <f>IF(LEFT($F390&amp;"",10)="SPLIT_LOAN","Pari Passu Split","Standalone")</f>
        <v/>
      </c>
      <c r="CO390" s="78">
        <f>IF($CN390="Pari Passu Split",1,0)</f>
        <v/>
      </c>
      <c r="CP390" s="77">
        <f>IF(ISNUMBER($T390),YEAR($T390),"")</f>
        <v/>
      </c>
      <c r="CQ390" s="79">
        <f>IF(ISNUMBER($V390),$V390,IF(ISNUMBER($U390),$U390,""))</f>
        <v/>
      </c>
      <c r="CR390" s="77">
        <f>IF(ISNUMBER($CQ390),YEAR($CQ390),"")</f>
        <v/>
      </c>
      <c r="CS390" s="78">
        <f>IF(ISNUMBER($M390),MAX(0,$M390),IF(TRIM($M390&amp;"")="matured",0,""))</f>
        <v/>
      </c>
      <c r="CT390" s="78">
        <f>IF(AND(ISNUMBER($CS390),N($CS390)&lt;=mMatWindow),1,0)</f>
        <v/>
      </c>
      <c r="CU390" s="80">
        <f>IF(ISNUMBER($J390),$J390/100,"")</f>
        <v/>
      </c>
      <c r="CV390" s="81">
        <f>IF(ISNUMBER($AQ390),$AQ390,"")</f>
        <v/>
      </c>
      <c r="CW390" s="81">
        <f>IF(ISNUMBER($AR390),$AR390,"")</f>
        <v/>
      </c>
      <c r="CX390" s="82">
        <f>IF(ISNUMBER($AS390),$AS390/100,"")</f>
        <v/>
      </c>
      <c r="CY390" s="82">
        <f>IF(ISNUMBER($AT390),$AT390/100,"")</f>
        <v/>
      </c>
      <c r="CZ390" s="82">
        <f>IF(ISNUMBER($AU390),$AU390/100,"")</f>
        <v/>
      </c>
      <c r="DA390" s="82">
        <f>IF(ISNUMBER($AV390),$AV390/100,"")</f>
        <v/>
      </c>
      <c r="DB390" s="82">
        <f>IF(ISNUMBER($AW390),$AW390/100,"")</f>
        <v/>
      </c>
      <c r="DC390" s="82">
        <f>IF(ISNUMBER($AX390),$AX390/100,"")</f>
        <v/>
      </c>
      <c r="DD390" s="77">
        <f>IFERROR(VALUE(LEFT(TRIM($AO390&amp;""),4)),"")</f>
        <v/>
      </c>
      <c r="DE390" s="78">
        <f>IF(AND($BY390=1,$BX390=1,OR(fDeal="All Deals",$BU390=fDeal),OR(fEntity="All Entities",$BV390=fEntity),OR(fPType="All Property Types",$BZ390=fPType),OR(fDefeased="Include",$CJ390=0)),1,0)</f>
        <v/>
      </c>
      <c r="DF390" s="83">
        <f>$DE390*N($I390)</f>
        <v/>
      </c>
      <c r="DG390" s="78">
        <f>IF($DE390=1,IF(COUNTIFS($F$8:$F390,$F390,$DE$8:$DE390,1)=1,1,0),0)</f>
        <v/>
      </c>
      <c r="DH390" s="83">
        <f>IF($DG390=1,SUMIFS($DF$8:$DF$1600,$F$8:$F$1600,$F390),0)</f>
        <v/>
      </c>
      <c r="DI390" s="78">
        <f>IF($DG390=1,COUNTIFS($F$8:$F$1600,$F390,$DE$8:$DE$1600,1),0)</f>
        <v/>
      </c>
      <c r="DJ390" s="84">
        <f>IF($DG390=1,$DH390+(100000-ROW())/mTieBreak,0)</f>
        <v/>
      </c>
    </row>
    <row r="391">
      <c r="B391" s="68" t="n">
        <v>5</v>
      </c>
      <c r="C391" s="69" t="inlineStr">
        <is>
          <t>UBS17C03</t>
        </is>
      </c>
      <c r="D391" s="69" t="inlineStr">
        <is>
          <t>5.000</t>
        </is>
      </c>
      <c r="E391" s="69" t="inlineStr">
        <is>
          <t>Embassy Suites - Santa Ana</t>
        </is>
      </c>
      <c r="F391" s="69" t="inlineStr">
        <is>
          <t>LNUBS17C03-5.000</t>
        </is>
      </c>
      <c r="G391" s="70" t="n"/>
      <c r="H391" s="71" t="n">
        <v>38070000</v>
      </c>
      <c r="I391" s="71" t="n">
        <v>33501686.37999246</v>
      </c>
      <c r="J391" s="72" t="n">
        <v>4.81</v>
      </c>
      <c r="K391" s="69" t="inlineStr">
        <is>
          <t>Fixed rate</t>
        </is>
      </c>
      <c r="L391" s="68" t="n">
        <v>120</v>
      </c>
      <c r="M391" s="68" t="n">
        <v>11</v>
      </c>
      <c r="N391" s="68" t="n">
        <v>384</v>
      </c>
      <c r="O391" s="68" t="n">
        <v>24</v>
      </c>
      <c r="P391" s="68" t="n">
        <v>0</v>
      </c>
      <c r="Q391" s="68" t="n">
        <v>109</v>
      </c>
      <c r="R391" s="69" t="inlineStr">
        <is>
          <t>IO then Amort</t>
        </is>
      </c>
      <c r="S391" s="69" t="inlineStr">
        <is>
          <t>No</t>
        </is>
      </c>
      <c r="T391" s="73" t="n">
        <v>42948</v>
      </c>
      <c r="U391" s="73" t="n">
        <v>46600</v>
      </c>
      <c r="V391" s="73" t="n"/>
      <c r="W391" s="69" t="n"/>
      <c r="X391" s="69" t="inlineStr">
        <is>
          <t>Current</t>
        </is>
      </c>
      <c r="Y391" s="68" t="n"/>
      <c r="Z391" s="69" t="inlineStr">
        <is>
          <t>No Defeasance Occurred</t>
        </is>
      </c>
      <c r="AA391" s="69" t="inlineStr">
        <is>
          <t>Yes</t>
        </is>
      </c>
      <c r="AB391" s="69" t="inlineStr">
        <is>
          <t>Returned to master serv</t>
        </is>
      </c>
      <c r="AC391" s="73" t="n"/>
      <c r="AD391" s="69" t="inlineStr">
        <is>
          <t>Imminent Monetary Default (excluding Balloon/Maturity Default &amp; Single Tenant Bankruptcy/Vacate)</t>
        </is>
      </c>
      <c r="AE391" s="69" t="inlineStr">
        <is>
          <t>Resolved</t>
        </is>
      </c>
      <c r="AF391" s="69" t="inlineStr">
        <is>
          <t>CA</t>
        </is>
      </c>
      <c r="AG391" s="69" t="inlineStr">
        <is>
          <t>Santa Ana</t>
        </is>
      </c>
      <c r="AH391" s="69" t="inlineStr">
        <is>
          <t>Los Angeles-Long Beach-Anaheim, CA</t>
        </is>
      </c>
      <c r="AI391" s="69" t="inlineStr">
        <is>
          <t>West / Pacific South</t>
        </is>
      </c>
      <c r="AJ391" s="69" t="inlineStr">
        <is>
          <t>HT</t>
        </is>
      </c>
      <c r="AK391" s="69" t="inlineStr">
        <is>
          <t>Full Service</t>
        </is>
      </c>
      <c r="AL391" s="68" t="n">
        <v>1</v>
      </c>
      <c r="AM391" s="68" t="n">
        <v>301</v>
      </c>
      <c r="AN391" s="68" t="n"/>
      <c r="AO391" s="69" t="inlineStr">
        <is>
          <t>1985</t>
        </is>
      </c>
      <c r="AP391" s="70" t="n">
        <v>2017</v>
      </c>
      <c r="AQ391" s="74" t="n">
        <v>1.8</v>
      </c>
      <c r="AR391" s="74" t="n">
        <v>0.99</v>
      </c>
      <c r="AS391" s="74" t="n">
        <v>54.1</v>
      </c>
      <c r="AT391" s="74" t="n">
        <v>68.51000000000001</v>
      </c>
      <c r="AU391" s="74" t="n">
        <v>46.6</v>
      </c>
      <c r="AV391" s="74" t="n">
        <v>11.358959469</v>
      </c>
      <c r="AW391" s="74" t="n">
        <v>7.255031112</v>
      </c>
      <c r="AX391" s="75" t="n">
        <v>72</v>
      </c>
      <c r="AY391" s="71" t="n">
        <v>70400000</v>
      </c>
      <c r="AZ391" s="71" t="n">
        <v>48900000</v>
      </c>
      <c r="BA391" s="71" t="n">
        <v>4324355.87</v>
      </c>
      <c r="BB391" s="71" t="n">
        <v>2377481.14</v>
      </c>
      <c r="BC391" s="69" t="inlineStr">
        <is>
          <t>Refinance</t>
        </is>
      </c>
      <c r="BD391" s="69" t="inlineStr">
        <is>
          <t>Y</t>
        </is>
      </c>
      <c r="BE391" s="71" t="n"/>
      <c r="BF391" s="71" t="n"/>
      <c r="BG391" s="71" t="n"/>
      <c r="BH391" s="71" t="n">
        <v>0</v>
      </c>
      <c r="BI391" s="71" t="n">
        <v>0</v>
      </c>
      <c r="BJ391" s="69" t="inlineStr">
        <is>
          <t>Y</t>
        </is>
      </c>
      <c r="BK391" s="69" t="n"/>
      <c r="BL391" s="75" t="n"/>
      <c r="BM391" s="73" t="n"/>
      <c r="BN391" s="69" t="inlineStr">
        <is>
          <t>Patrick M. Nesbitt Family Trust; Patrick M. Nesbitt</t>
        </is>
      </c>
      <c r="BO391" s="69" t="inlineStr">
        <is>
          <t>Societe Generale</t>
        </is>
      </c>
      <c r="BP391" s="69" t="inlineStr">
        <is>
          <t>Midland Loan Services</t>
        </is>
      </c>
      <c r="BQ391" s="69" t="inlineStr">
        <is>
          <t>Midland Loan Services</t>
        </is>
      </c>
      <c r="BR391" s="69" t="n"/>
      <c r="BS391" s="73" t="n">
        <v>46276</v>
      </c>
      <c r="BU391" s="76">
        <f>IF($C391="","",IFERROR(INDEX(dmName,MATCH($C391,dmID,0)),"Unmapped"))</f>
        <v/>
      </c>
      <c r="BV391" s="76">
        <f>IF($C391="","",IFERROR(INDEX(dmEntity,MATCH($C391,dmID,0)),"Unmapped"))</f>
        <v/>
      </c>
      <c r="BW391" s="77">
        <f>IF($C391="","",IFERROR(INDEX(dmVintage,MATCH($C391,dmID,0)),""))</f>
        <v/>
      </c>
      <c r="BX391" s="78">
        <f>IFERROR(INDEX(dmInclude,MATCH($C391,dmID,0)),0)</f>
        <v/>
      </c>
      <c r="BY391" s="78">
        <f>IF(N($I391)&gt;0,1,0)</f>
        <v/>
      </c>
      <c r="BZ391" s="76">
        <f>IF($AJ391="","Other / Leased Fee",IFERROR(INDEX(mapPTGroup,MATCH(LEFT(TRIM($AJ391),2),mapPTCode,0)),"Other / Leased Fee"))</f>
        <v/>
      </c>
      <c r="CA391" s="76">
        <f>IF(TRIM($AF391&amp;"")="","NR",LEFT(TRIM($AF391),2))</f>
        <v/>
      </c>
      <c r="CB391" s="76">
        <f>IFERROR(LOOKUP(2,1/(LEFT(TRIM($AI391&amp;""),LEN(mapRegion))=mapRegion),mapRegion),"Not Reported")</f>
        <v/>
      </c>
      <c r="CC391" s="76">
        <f>IF($BY391=0,"",IF(TRIM($W391&amp;"")="REO","REO",IF(TRIM($W391&amp;"")="FC","Foreclosure",IF(TRIM($W391&amp;"")="90+","90+ Days Delinquent",IF(TRIM($W391&amp;"")="60","60 Days Delinquent",IF(TRIM($W391&amp;"")="30","30 Days Delinquent",IF($X391="Non-Performing Matured Balloon","Non-Performing Matured Balloon",IF(OR($X391="Late Payment But Less Than 30 Days Delinquent",LEFT($X391&amp;"",20)="Payment Not Received"),"Late / In Grace (&lt;30 Days)",IF($X391="Performing Matured Balloon","Performing Matured Balloon","Current")))))))))</f>
        <v/>
      </c>
      <c r="CD391" s="78">
        <f>IF(OR($CC391="REO",$CC391="Foreclosure",$CC391="90+ Days Delinquent",$CC391="60 Days Delinquent",$CC391="30 Days Delinquent",$CC391="Non-Performing Matured Balloon"),1,0)</f>
        <v/>
      </c>
      <c r="CE391" s="76">
        <f>IF($AB391="Currently special serv","Currently Specially Serviced",IF($AB391="Returned to master serv","Previously Specially Serviced","Never Specially Serviced"))</f>
        <v/>
      </c>
      <c r="CF391" s="78">
        <f>IF($CE391="Currently Specially Serviced",1,0)</f>
        <v/>
      </c>
      <c r="CG391" s="76">
        <f>IF($AA391="Yes","Currently on Watchlist",IF($AA391="Previously","Previously on Watchlist","Never on Watchlist"))</f>
        <v/>
      </c>
      <c r="CH391" s="78">
        <f>IF($CG391="Currently on Watchlist",1,0)</f>
        <v/>
      </c>
      <c r="CI391" s="76">
        <f>IF($Z391="Full Defeasance","Fully Defeased",IF($Z391="Portion Of Loan Previously Defeased","Partially Defeased",IF($Z391="Defeasance Not Allowable","Not Defeased (Not Permitted)","Not Defeased")))</f>
        <v/>
      </c>
      <c r="CJ391" s="78">
        <f>IF($CI391="Fully Defeased",1,0)</f>
        <v/>
      </c>
      <c r="CK391" s="76">
        <f>IF($R391="IO","Full IO",IF(LEFT($R391&amp;"",7)="IO then","Partial IO","Amortizing"))</f>
        <v/>
      </c>
      <c r="CL391" s="78">
        <f>IF($CK391="Full IO",1,0)</f>
        <v/>
      </c>
      <c r="CM391" s="78">
        <f>IF($CK391="Partial IO",1,0)</f>
        <v/>
      </c>
      <c r="CN391" s="76">
        <f>IF(LEFT($F391&amp;"",10)="SPLIT_LOAN","Pari Passu Split","Standalone")</f>
        <v/>
      </c>
      <c r="CO391" s="78">
        <f>IF($CN391="Pari Passu Split",1,0)</f>
        <v/>
      </c>
      <c r="CP391" s="77">
        <f>IF(ISNUMBER($T391),YEAR($T391),"")</f>
        <v/>
      </c>
      <c r="CQ391" s="79">
        <f>IF(ISNUMBER($V391),$V391,IF(ISNUMBER($U391),$U391,""))</f>
        <v/>
      </c>
      <c r="CR391" s="77">
        <f>IF(ISNUMBER($CQ391),YEAR($CQ391),"")</f>
        <v/>
      </c>
      <c r="CS391" s="78">
        <f>IF(ISNUMBER($M391),MAX(0,$M391),IF(TRIM($M391&amp;"")="matured",0,""))</f>
        <v/>
      </c>
      <c r="CT391" s="78">
        <f>IF(AND(ISNUMBER($CS391),N($CS391)&lt;=mMatWindow),1,0)</f>
        <v/>
      </c>
      <c r="CU391" s="80">
        <f>IF(ISNUMBER($J391),$J391/100,"")</f>
        <v/>
      </c>
      <c r="CV391" s="81">
        <f>IF(ISNUMBER($AQ391),$AQ391,"")</f>
        <v/>
      </c>
      <c r="CW391" s="81">
        <f>IF(ISNUMBER($AR391),$AR391,"")</f>
        <v/>
      </c>
      <c r="CX391" s="82">
        <f>IF(ISNUMBER($AS391),$AS391/100,"")</f>
        <v/>
      </c>
      <c r="CY391" s="82">
        <f>IF(ISNUMBER($AT391),$AT391/100,"")</f>
        <v/>
      </c>
      <c r="CZ391" s="82">
        <f>IF(ISNUMBER($AU391),$AU391/100,"")</f>
        <v/>
      </c>
      <c r="DA391" s="82">
        <f>IF(ISNUMBER($AV391),$AV391/100,"")</f>
        <v/>
      </c>
      <c r="DB391" s="82">
        <f>IF(ISNUMBER($AW391),$AW391/100,"")</f>
        <v/>
      </c>
      <c r="DC391" s="82">
        <f>IF(ISNUMBER($AX391),$AX391/100,"")</f>
        <v/>
      </c>
      <c r="DD391" s="77">
        <f>IFERROR(VALUE(LEFT(TRIM($AO391&amp;""),4)),"")</f>
        <v/>
      </c>
      <c r="DE391" s="78">
        <f>IF(AND($BY391=1,$BX391=1,OR(fDeal="All Deals",$BU391=fDeal),OR(fEntity="All Entities",$BV391=fEntity),OR(fPType="All Property Types",$BZ391=fPType),OR(fDefeased="Include",$CJ391=0)),1,0)</f>
        <v/>
      </c>
      <c r="DF391" s="83">
        <f>$DE391*N($I391)</f>
        <v/>
      </c>
      <c r="DG391" s="78">
        <f>IF($DE391=1,IF(COUNTIFS($F$8:$F391,$F391,$DE$8:$DE391,1)=1,1,0),0)</f>
        <v/>
      </c>
      <c r="DH391" s="83">
        <f>IF($DG391=1,SUMIFS($DF$8:$DF$1600,$F$8:$F$1600,$F391),0)</f>
        <v/>
      </c>
      <c r="DI391" s="78">
        <f>IF($DG391=1,COUNTIFS($F$8:$F$1600,$F391,$DE$8:$DE$1600,1),0)</f>
        <v/>
      </c>
      <c r="DJ391" s="84">
        <f>IF($DG391=1,$DH391+(100000-ROW())/mTieBreak,0)</f>
        <v/>
      </c>
    </row>
    <row r="392">
      <c r="B392" s="68" t="n">
        <v>6</v>
      </c>
      <c r="C392" s="69" t="inlineStr">
        <is>
          <t>UBS17C03</t>
        </is>
      </c>
      <c r="D392" s="69" t="inlineStr">
        <is>
          <t>6.TR</t>
        </is>
      </c>
      <c r="E392" s="69" t="inlineStr">
        <is>
          <t>245 Park Avenue</t>
        </is>
      </c>
      <c r="F392" s="69" t="inlineStr">
        <is>
          <t>SPLIT_LOAN_00983</t>
        </is>
      </c>
      <c r="G392" s="70" t="n">
        <v>983</v>
      </c>
      <c r="H392" s="71" t="n">
        <v>38000000</v>
      </c>
      <c r="I392" s="71" t="n">
        <v>38000000</v>
      </c>
      <c r="J392" s="72" t="n">
        <v>3.6694</v>
      </c>
      <c r="K392" s="69" t="inlineStr">
        <is>
          <t>Fixed rate</t>
        </is>
      </c>
      <c r="L392" s="68" t="n">
        <v>120</v>
      </c>
      <c r="M392" s="68" t="n">
        <v>9</v>
      </c>
      <c r="N392" s="68" t="n">
        <v>120</v>
      </c>
      <c r="O392" s="68" t="n">
        <v>120</v>
      </c>
      <c r="P392" s="68" t="n">
        <v>9</v>
      </c>
      <c r="Q392" s="68" t="n">
        <v>111</v>
      </c>
      <c r="R392" s="69" t="inlineStr">
        <is>
          <t>IO</t>
        </is>
      </c>
      <c r="S392" s="69" t="inlineStr">
        <is>
          <t>Yes</t>
        </is>
      </c>
      <c r="T392" s="73" t="n">
        <v>42887</v>
      </c>
      <c r="U392" s="73" t="n">
        <v>46539</v>
      </c>
      <c r="V392" s="73" t="n"/>
      <c r="W392" s="69" t="n"/>
      <c r="X392" s="69" t="inlineStr">
        <is>
          <t>Current</t>
        </is>
      </c>
      <c r="Y392" s="68" t="n"/>
      <c r="Z392" s="69" t="inlineStr">
        <is>
          <t>No Defeasance Occurred</t>
        </is>
      </c>
      <c r="AA392" s="69" t="inlineStr">
        <is>
          <t>Previously</t>
        </is>
      </c>
      <c r="AB392" s="69" t="inlineStr">
        <is>
          <t>Returned to master serv</t>
        </is>
      </c>
      <c r="AC392" s="73" t="n"/>
      <c r="AD392" s="69" t="inlineStr">
        <is>
          <t>Other</t>
        </is>
      </c>
      <c r="AE392" s="69" t="inlineStr">
        <is>
          <t>Resolved</t>
        </is>
      </c>
      <c r="AF392" s="69" t="inlineStr">
        <is>
          <t>NY</t>
        </is>
      </c>
      <c r="AG392" s="69" t="inlineStr">
        <is>
          <t>New York</t>
        </is>
      </c>
      <c r="AH392" s="69" t="inlineStr">
        <is>
          <t>New York-Newark-Jersey City, NY-NJ</t>
        </is>
      </c>
      <c r="AI392" s="69" t="inlineStr">
        <is>
          <t>Northeast / Mid-Atlantic</t>
        </is>
      </c>
      <c r="AJ392" s="69" t="inlineStr">
        <is>
          <t>OF</t>
        </is>
      </c>
      <c r="AK392" s="69" t="inlineStr">
        <is>
          <t>CBD</t>
        </is>
      </c>
      <c r="AL392" s="68" t="n">
        <v>1</v>
      </c>
      <c r="AM392" s="68" t="n"/>
      <c r="AN392" s="68" t="n">
        <v>1723993</v>
      </c>
      <c r="AO392" s="69" t="inlineStr">
        <is>
          <t>1965</t>
        </is>
      </c>
      <c r="AP392" s="70" t="n">
        <v>2006</v>
      </c>
      <c r="AQ392" s="74" t="n">
        <v>2.73</v>
      </c>
      <c r="AR392" s="74" t="n">
        <v>2.14</v>
      </c>
      <c r="AS392" s="74" t="n">
        <v>48.9</v>
      </c>
      <c r="AT392" s="74" t="n">
        <v>48.87</v>
      </c>
      <c r="AU392" s="74" t="n">
        <v>48.9</v>
      </c>
      <c r="AV392" s="74" t="n">
        <v>10.144898333</v>
      </c>
      <c r="AW392" s="74" t="n">
        <v>6.597072723</v>
      </c>
      <c r="AX392" s="75" t="n">
        <v>97</v>
      </c>
      <c r="AY392" s="71" t="n">
        <v>2210000000</v>
      </c>
      <c r="AZ392" s="71" t="n">
        <v>2210000000</v>
      </c>
      <c r="BA392" s="71" t="n">
        <v>109564902</v>
      </c>
      <c r="BB392" s="71" t="n">
        <v>77461778.90000001</v>
      </c>
      <c r="BC392" s="69" t="inlineStr">
        <is>
          <t>Acquisition</t>
        </is>
      </c>
      <c r="BD392" s="69" t="inlineStr">
        <is>
          <t>N</t>
        </is>
      </c>
      <c r="BE392" s="71" t="n">
        <v>1042000000</v>
      </c>
      <c r="BF392" s="71" t="n">
        <v>120000000</v>
      </c>
      <c r="BG392" s="71" t="n">
        <v>568000000</v>
      </c>
      <c r="BH392" s="71" t="n">
        <v>0</v>
      </c>
      <c r="BI392" s="71" t="n">
        <v>0</v>
      </c>
      <c r="BJ392" s="69" t="inlineStr">
        <is>
          <t>N</t>
        </is>
      </c>
      <c r="BK392" s="69" t="inlineStr">
        <is>
          <t>Societe Generale</t>
        </is>
      </c>
      <c r="BL392" s="75" t="n">
        <v>30.86</v>
      </c>
      <c r="BM392" s="73" t="n">
        <v>48518</v>
      </c>
      <c r="BN392" s="69" t="inlineStr">
        <is>
          <t>HNA Group</t>
        </is>
      </c>
      <c r="BO392" s="69" t="inlineStr">
        <is>
          <t>JPMorgan Chase / Societe Generale / Natixis / GACC / Barclays</t>
        </is>
      </c>
      <c r="BP392" s="69" t="inlineStr">
        <is>
          <t>Midland Loan Services</t>
        </is>
      </c>
      <c r="BQ392" s="69" t="inlineStr">
        <is>
          <t>Aegon USA Realty</t>
        </is>
      </c>
      <c r="BR392" s="69" t="n"/>
      <c r="BS392" s="73" t="n">
        <v>46276</v>
      </c>
      <c r="BU392" s="76">
        <f>IF($C392="","",IFERROR(INDEX(dmName,MATCH($C392,dmID,0)),"Unmapped"))</f>
        <v/>
      </c>
      <c r="BV392" s="76">
        <f>IF($C392="","",IFERROR(INDEX(dmEntity,MATCH($C392,dmID,0)),"Unmapped"))</f>
        <v/>
      </c>
      <c r="BW392" s="77">
        <f>IF($C392="","",IFERROR(INDEX(dmVintage,MATCH($C392,dmID,0)),""))</f>
        <v/>
      </c>
      <c r="BX392" s="78">
        <f>IFERROR(INDEX(dmInclude,MATCH($C392,dmID,0)),0)</f>
        <v/>
      </c>
      <c r="BY392" s="78">
        <f>IF(N($I392)&gt;0,1,0)</f>
        <v/>
      </c>
      <c r="BZ392" s="76">
        <f>IF($AJ392="","Other / Leased Fee",IFERROR(INDEX(mapPTGroup,MATCH(LEFT(TRIM($AJ392),2),mapPTCode,0)),"Other / Leased Fee"))</f>
        <v/>
      </c>
      <c r="CA392" s="76">
        <f>IF(TRIM($AF392&amp;"")="","NR",LEFT(TRIM($AF392),2))</f>
        <v/>
      </c>
      <c r="CB392" s="76">
        <f>IFERROR(LOOKUP(2,1/(LEFT(TRIM($AI392&amp;""),LEN(mapRegion))=mapRegion),mapRegion),"Not Reported")</f>
        <v/>
      </c>
      <c r="CC392" s="76">
        <f>IF($BY392=0,"",IF(TRIM($W392&amp;"")="REO","REO",IF(TRIM($W392&amp;"")="FC","Foreclosure",IF(TRIM($W392&amp;"")="90+","90+ Days Delinquent",IF(TRIM($W392&amp;"")="60","60 Days Delinquent",IF(TRIM($W392&amp;"")="30","30 Days Delinquent",IF($X392="Non-Performing Matured Balloon","Non-Performing Matured Balloon",IF(OR($X392="Late Payment But Less Than 30 Days Delinquent",LEFT($X392&amp;"",20)="Payment Not Received"),"Late / In Grace (&lt;30 Days)",IF($X392="Performing Matured Balloon","Performing Matured Balloon","Current")))))))))</f>
        <v/>
      </c>
      <c r="CD392" s="78">
        <f>IF(OR($CC392="REO",$CC392="Foreclosure",$CC392="90+ Days Delinquent",$CC392="60 Days Delinquent",$CC392="30 Days Delinquent",$CC392="Non-Performing Matured Balloon"),1,0)</f>
        <v/>
      </c>
      <c r="CE392" s="76">
        <f>IF($AB392="Currently special serv","Currently Specially Serviced",IF($AB392="Returned to master serv","Previously Specially Serviced","Never Specially Serviced"))</f>
        <v/>
      </c>
      <c r="CF392" s="78">
        <f>IF($CE392="Currently Specially Serviced",1,0)</f>
        <v/>
      </c>
      <c r="CG392" s="76">
        <f>IF($AA392="Yes","Currently on Watchlist",IF($AA392="Previously","Previously on Watchlist","Never on Watchlist"))</f>
        <v/>
      </c>
      <c r="CH392" s="78">
        <f>IF($CG392="Currently on Watchlist",1,0)</f>
        <v/>
      </c>
      <c r="CI392" s="76">
        <f>IF($Z392="Full Defeasance","Fully Defeased",IF($Z392="Portion Of Loan Previously Defeased","Partially Defeased",IF($Z392="Defeasance Not Allowable","Not Defeased (Not Permitted)","Not Defeased")))</f>
        <v/>
      </c>
      <c r="CJ392" s="78">
        <f>IF($CI392="Fully Defeased",1,0)</f>
        <v/>
      </c>
      <c r="CK392" s="76">
        <f>IF($R392="IO","Full IO",IF(LEFT($R392&amp;"",7)="IO then","Partial IO","Amortizing"))</f>
        <v/>
      </c>
      <c r="CL392" s="78">
        <f>IF($CK392="Full IO",1,0)</f>
        <v/>
      </c>
      <c r="CM392" s="78">
        <f>IF($CK392="Partial IO",1,0)</f>
        <v/>
      </c>
      <c r="CN392" s="76">
        <f>IF(LEFT($F392&amp;"",10)="SPLIT_LOAN","Pari Passu Split","Standalone")</f>
        <v/>
      </c>
      <c r="CO392" s="78">
        <f>IF($CN392="Pari Passu Split",1,0)</f>
        <v/>
      </c>
      <c r="CP392" s="77">
        <f>IF(ISNUMBER($T392),YEAR($T392),"")</f>
        <v/>
      </c>
      <c r="CQ392" s="79">
        <f>IF(ISNUMBER($V392),$V392,IF(ISNUMBER($U392),$U392,""))</f>
        <v/>
      </c>
      <c r="CR392" s="77">
        <f>IF(ISNUMBER($CQ392),YEAR($CQ392),"")</f>
        <v/>
      </c>
      <c r="CS392" s="78">
        <f>IF(ISNUMBER($M392),MAX(0,$M392),IF(TRIM($M392&amp;"")="matured",0,""))</f>
        <v/>
      </c>
      <c r="CT392" s="78">
        <f>IF(AND(ISNUMBER($CS392),N($CS392)&lt;=mMatWindow),1,0)</f>
        <v/>
      </c>
      <c r="CU392" s="80">
        <f>IF(ISNUMBER($J392),$J392/100,"")</f>
        <v/>
      </c>
      <c r="CV392" s="81">
        <f>IF(ISNUMBER($AQ392),$AQ392,"")</f>
        <v/>
      </c>
      <c r="CW392" s="81">
        <f>IF(ISNUMBER($AR392),$AR392,"")</f>
        <v/>
      </c>
      <c r="CX392" s="82">
        <f>IF(ISNUMBER($AS392),$AS392/100,"")</f>
        <v/>
      </c>
      <c r="CY392" s="82">
        <f>IF(ISNUMBER($AT392),$AT392/100,"")</f>
        <v/>
      </c>
      <c r="CZ392" s="82">
        <f>IF(ISNUMBER($AU392),$AU392/100,"")</f>
        <v/>
      </c>
      <c r="DA392" s="82">
        <f>IF(ISNUMBER($AV392),$AV392/100,"")</f>
        <v/>
      </c>
      <c r="DB392" s="82">
        <f>IF(ISNUMBER($AW392),$AW392/100,"")</f>
        <v/>
      </c>
      <c r="DC392" s="82">
        <f>IF(ISNUMBER($AX392),$AX392/100,"")</f>
        <v/>
      </c>
      <c r="DD392" s="77">
        <f>IFERROR(VALUE(LEFT(TRIM($AO392&amp;""),4)),"")</f>
        <v/>
      </c>
      <c r="DE392" s="78">
        <f>IF(AND($BY392=1,$BX392=1,OR(fDeal="All Deals",$BU392=fDeal),OR(fEntity="All Entities",$BV392=fEntity),OR(fPType="All Property Types",$BZ392=fPType),OR(fDefeased="Include",$CJ392=0)),1,0)</f>
        <v/>
      </c>
      <c r="DF392" s="83">
        <f>$DE392*N($I392)</f>
        <v/>
      </c>
      <c r="DG392" s="78">
        <f>IF($DE392=1,IF(COUNTIFS($F$8:$F392,$F392,$DE$8:$DE392,1)=1,1,0),0)</f>
        <v/>
      </c>
      <c r="DH392" s="83">
        <f>IF($DG392=1,SUMIFS($DF$8:$DF$1600,$F$8:$F$1600,$F392),0)</f>
        <v/>
      </c>
      <c r="DI392" s="78">
        <f>IF($DG392=1,COUNTIFS($F$8:$F$1600,$F392,$DE$8:$DE$1600,1),0)</f>
        <v/>
      </c>
      <c r="DJ392" s="84">
        <f>IF($DG392=1,$DH392+(100000-ROW())/mTieBreak,0)</f>
        <v/>
      </c>
    </row>
    <row r="393">
      <c r="B393" s="68" t="n">
        <v>7</v>
      </c>
      <c r="C393" s="69" t="inlineStr">
        <is>
          <t>UBS17C03</t>
        </is>
      </c>
      <c r="D393" s="69" t="inlineStr">
        <is>
          <t>7.000</t>
        </is>
      </c>
      <c r="E393" s="69" t="inlineStr">
        <is>
          <t>OKC Outlets</t>
        </is>
      </c>
      <c r="F393" s="69" t="inlineStr">
        <is>
          <t>SPLIT_LOAN_01069</t>
        </is>
      </c>
      <c r="G393" s="70" t="n">
        <v>1069</v>
      </c>
      <c r="H393" s="71" t="n">
        <v>37000000</v>
      </c>
      <c r="I393" s="71" t="n">
        <v>0</v>
      </c>
      <c r="J393" s="72" t="n">
        <v>4.18</v>
      </c>
      <c r="K393" s="69" t="inlineStr">
        <is>
          <t>Fixed rate</t>
        </is>
      </c>
      <c r="L393" s="68" t="n">
        <v>84</v>
      </c>
      <c r="M393" s="68" t="n"/>
      <c r="N393" s="68" t="n">
        <v>84</v>
      </c>
      <c r="O393" s="68" t="n">
        <v>84</v>
      </c>
      <c r="P393" s="68" t="n"/>
      <c r="Q393" s="68" t="n"/>
      <c r="R393" s="69" t="inlineStr">
        <is>
          <t>IO</t>
        </is>
      </c>
      <c r="S393" s="69" t="inlineStr">
        <is>
          <t>Yes</t>
        </is>
      </c>
      <c r="T393" s="73" t="n">
        <v>42856</v>
      </c>
      <c r="U393" s="73" t="n">
        <v>45413</v>
      </c>
      <c r="V393" s="73" t="n"/>
      <c r="W393" s="69" t="n"/>
      <c r="X393" s="69" t="inlineStr">
        <is>
          <t>Current</t>
        </is>
      </c>
      <c r="Y393" s="68" t="n"/>
      <c r="Z393" s="69" t="inlineStr">
        <is>
          <t>No Defeasance Occurred</t>
        </is>
      </c>
      <c r="AA393" s="69" t="inlineStr">
        <is>
          <t>Previously</t>
        </is>
      </c>
      <c r="AB393" s="69" t="inlineStr">
        <is>
          <t>Currently special serv</t>
        </is>
      </c>
      <c r="AC393" s="73" t="n">
        <v>44690</v>
      </c>
      <c r="AD393" s="69" t="inlineStr">
        <is>
          <t>Other</t>
        </is>
      </c>
      <c r="AE393" s="69" t="inlineStr">
        <is>
          <t>Full Payoff</t>
        </is>
      </c>
      <c r="AF393" s="69" t="inlineStr">
        <is>
          <t>OK</t>
        </is>
      </c>
      <c r="AG393" s="69" t="inlineStr">
        <is>
          <t>Oklahoma City</t>
        </is>
      </c>
      <c r="AH393" s="69" t="inlineStr">
        <is>
          <t>Oklahoma City, OK</t>
        </is>
      </c>
      <c r="AI393" s="69" t="inlineStr">
        <is>
          <t>South / Central West</t>
        </is>
      </c>
      <c r="AJ393" s="69" t="inlineStr">
        <is>
          <t>RT</t>
        </is>
      </c>
      <c r="AK393" s="69" t="inlineStr">
        <is>
          <t>Factory Outlet</t>
        </is>
      </c>
      <c r="AL393" s="68" t="n">
        <v>1</v>
      </c>
      <c r="AM393" s="68" t="n"/>
      <c r="AN393" s="68" t="n">
        <v>393793</v>
      </c>
      <c r="AO393" s="69" t="inlineStr">
        <is>
          <t>2011</t>
        </is>
      </c>
      <c r="AP393" s="70" t="n">
        <v>2013</v>
      </c>
      <c r="AQ393" s="74" t="n">
        <v>2.41</v>
      </c>
      <c r="AR393" s="74" t="n">
        <v>1.92</v>
      </c>
      <c r="AS393" s="74" t="n">
        <v>59.9</v>
      </c>
      <c r="AT393" s="74" t="n"/>
      <c r="AU393" s="74" t="n">
        <v>59.9</v>
      </c>
      <c r="AV393" s="74" t="n">
        <v>10.207552763</v>
      </c>
      <c r="AW393" s="74" t="n"/>
      <c r="AX393" s="75" t="n">
        <v>88</v>
      </c>
      <c r="AY393" s="71" t="n">
        <v>144300000</v>
      </c>
      <c r="AZ393" s="71" t="n">
        <v>101680000</v>
      </c>
      <c r="BA393" s="71" t="n">
        <v>8829533.140000001</v>
      </c>
      <c r="BB393" s="71" t="n">
        <v>7035466</v>
      </c>
      <c r="BC393" s="69" t="inlineStr">
        <is>
          <t>Acquisition</t>
        </is>
      </c>
      <c r="BD393" s="69" t="inlineStr">
        <is>
          <t>N</t>
        </is>
      </c>
      <c r="BE393" s="71" t="n">
        <v>0</v>
      </c>
      <c r="BF393" s="71" t="n"/>
      <c r="BG393" s="71" t="n"/>
      <c r="BH393" s="71" t="n">
        <v>0</v>
      </c>
      <c r="BI393" s="71" t="n">
        <v>0</v>
      </c>
      <c r="BJ393" s="69" t="inlineStr">
        <is>
          <t>N</t>
        </is>
      </c>
      <c r="BK393" s="69" t="inlineStr">
        <is>
          <t>Nike Factory Store</t>
        </is>
      </c>
      <c r="BL393" s="75" t="n">
        <v>3.55</v>
      </c>
      <c r="BM393" s="73" t="n">
        <v>44592</v>
      </c>
      <c r="BN393" s="69" t="inlineStr">
        <is>
          <t>Singerman Real Estate</t>
        </is>
      </c>
      <c r="BO393" s="69" t="inlineStr">
        <is>
          <t>KeyBank</t>
        </is>
      </c>
      <c r="BP393" s="69" t="inlineStr">
        <is>
          <t>Midland Loan Services</t>
        </is>
      </c>
      <c r="BQ393" s="69" t="inlineStr">
        <is>
          <t>LNR Partners</t>
        </is>
      </c>
      <c r="BR393" s="69" t="inlineStr">
        <is>
          <t>Full Payoff At Maturity</t>
        </is>
      </c>
      <c r="BS393" s="73" t="n">
        <v>46276</v>
      </c>
      <c r="BU393" s="76">
        <f>IF($C393="","",IFERROR(INDEX(dmName,MATCH($C393,dmID,0)),"Unmapped"))</f>
        <v/>
      </c>
      <c r="BV393" s="76">
        <f>IF($C393="","",IFERROR(INDEX(dmEntity,MATCH($C393,dmID,0)),"Unmapped"))</f>
        <v/>
      </c>
      <c r="BW393" s="77">
        <f>IF($C393="","",IFERROR(INDEX(dmVintage,MATCH($C393,dmID,0)),""))</f>
        <v/>
      </c>
      <c r="BX393" s="78">
        <f>IFERROR(INDEX(dmInclude,MATCH($C393,dmID,0)),0)</f>
        <v/>
      </c>
      <c r="BY393" s="78">
        <f>IF(N($I393)&gt;0,1,0)</f>
        <v/>
      </c>
      <c r="BZ393" s="76">
        <f>IF($AJ393="","Other / Leased Fee",IFERROR(INDEX(mapPTGroup,MATCH(LEFT(TRIM($AJ393),2),mapPTCode,0)),"Other / Leased Fee"))</f>
        <v/>
      </c>
      <c r="CA393" s="76">
        <f>IF(TRIM($AF393&amp;"")="","NR",LEFT(TRIM($AF393),2))</f>
        <v/>
      </c>
      <c r="CB393" s="76">
        <f>IFERROR(LOOKUP(2,1/(LEFT(TRIM($AI393&amp;""),LEN(mapRegion))=mapRegion),mapRegion),"Not Reported")</f>
        <v/>
      </c>
      <c r="CC393" s="76">
        <f>IF($BY393=0,"",IF(TRIM($W393&amp;"")="REO","REO",IF(TRIM($W393&amp;"")="FC","Foreclosure",IF(TRIM($W393&amp;"")="90+","90+ Days Delinquent",IF(TRIM($W393&amp;"")="60","60 Days Delinquent",IF(TRIM($W393&amp;"")="30","30 Days Delinquent",IF($X393="Non-Performing Matured Balloon","Non-Performing Matured Balloon",IF(OR($X393="Late Payment But Less Than 30 Days Delinquent",LEFT($X393&amp;"",20)="Payment Not Received"),"Late / In Grace (&lt;30 Days)",IF($X393="Performing Matured Balloon","Performing Matured Balloon","Current")))))))))</f>
        <v/>
      </c>
      <c r="CD393" s="78">
        <f>IF(OR($CC393="REO",$CC393="Foreclosure",$CC393="90+ Days Delinquent",$CC393="60 Days Delinquent",$CC393="30 Days Delinquent",$CC393="Non-Performing Matured Balloon"),1,0)</f>
        <v/>
      </c>
      <c r="CE393" s="76">
        <f>IF($AB393="Currently special serv","Currently Specially Serviced",IF($AB393="Returned to master serv","Previously Specially Serviced","Never Specially Serviced"))</f>
        <v/>
      </c>
      <c r="CF393" s="78">
        <f>IF($CE393="Currently Specially Serviced",1,0)</f>
        <v/>
      </c>
      <c r="CG393" s="76">
        <f>IF($AA393="Yes","Currently on Watchlist",IF($AA393="Previously","Previously on Watchlist","Never on Watchlist"))</f>
        <v/>
      </c>
      <c r="CH393" s="78">
        <f>IF($CG393="Currently on Watchlist",1,0)</f>
        <v/>
      </c>
      <c r="CI393" s="76">
        <f>IF($Z393="Full Defeasance","Fully Defeased",IF($Z393="Portion Of Loan Previously Defeased","Partially Defeased",IF($Z393="Defeasance Not Allowable","Not Defeased (Not Permitted)","Not Defeased")))</f>
        <v/>
      </c>
      <c r="CJ393" s="78">
        <f>IF($CI393="Fully Defeased",1,0)</f>
        <v/>
      </c>
      <c r="CK393" s="76">
        <f>IF($R393="IO","Full IO",IF(LEFT($R393&amp;"",7)="IO then","Partial IO","Amortizing"))</f>
        <v/>
      </c>
      <c r="CL393" s="78">
        <f>IF($CK393="Full IO",1,0)</f>
        <v/>
      </c>
      <c r="CM393" s="78">
        <f>IF($CK393="Partial IO",1,0)</f>
        <v/>
      </c>
      <c r="CN393" s="76">
        <f>IF(LEFT($F393&amp;"",10)="SPLIT_LOAN","Pari Passu Split","Standalone")</f>
        <v/>
      </c>
      <c r="CO393" s="78">
        <f>IF($CN393="Pari Passu Split",1,0)</f>
        <v/>
      </c>
      <c r="CP393" s="77">
        <f>IF(ISNUMBER($T393),YEAR($T393),"")</f>
        <v/>
      </c>
      <c r="CQ393" s="79">
        <f>IF(ISNUMBER($V393),$V393,IF(ISNUMBER($U393),$U393,""))</f>
        <v/>
      </c>
      <c r="CR393" s="77">
        <f>IF(ISNUMBER($CQ393),YEAR($CQ393),"")</f>
        <v/>
      </c>
      <c r="CS393" s="78">
        <f>IF(ISNUMBER($M393),MAX(0,$M393),IF(TRIM($M393&amp;"")="matured",0,""))</f>
        <v/>
      </c>
      <c r="CT393" s="78">
        <f>IF(AND(ISNUMBER($CS393),N($CS393)&lt;=mMatWindow),1,0)</f>
        <v/>
      </c>
      <c r="CU393" s="80">
        <f>IF(ISNUMBER($J393),$J393/100,"")</f>
        <v/>
      </c>
      <c r="CV393" s="81">
        <f>IF(ISNUMBER($AQ393),$AQ393,"")</f>
        <v/>
      </c>
      <c r="CW393" s="81">
        <f>IF(ISNUMBER($AR393),$AR393,"")</f>
        <v/>
      </c>
      <c r="CX393" s="82">
        <f>IF(ISNUMBER($AS393),$AS393/100,"")</f>
        <v/>
      </c>
      <c r="CY393" s="82">
        <f>IF(ISNUMBER($AT393),$AT393/100,"")</f>
        <v/>
      </c>
      <c r="CZ393" s="82">
        <f>IF(ISNUMBER($AU393),$AU393/100,"")</f>
        <v/>
      </c>
      <c r="DA393" s="82">
        <f>IF(ISNUMBER($AV393),$AV393/100,"")</f>
        <v/>
      </c>
      <c r="DB393" s="82">
        <f>IF(ISNUMBER($AW393),$AW393/100,"")</f>
        <v/>
      </c>
      <c r="DC393" s="82">
        <f>IF(ISNUMBER($AX393),$AX393/100,"")</f>
        <v/>
      </c>
      <c r="DD393" s="77">
        <f>IFERROR(VALUE(LEFT(TRIM($AO393&amp;""),4)),"")</f>
        <v/>
      </c>
      <c r="DE393" s="78">
        <f>IF(AND($BY393=1,$BX393=1,OR(fDeal="All Deals",$BU393=fDeal),OR(fEntity="All Entities",$BV393=fEntity),OR(fPType="All Property Types",$BZ393=fPType),OR(fDefeased="Include",$CJ393=0)),1,0)</f>
        <v/>
      </c>
      <c r="DF393" s="83">
        <f>$DE393*N($I393)</f>
        <v/>
      </c>
      <c r="DG393" s="78">
        <f>IF($DE393=1,IF(COUNTIFS($F$8:$F393,$F393,$DE$8:$DE393,1)=1,1,0),0)</f>
        <v/>
      </c>
      <c r="DH393" s="83">
        <f>IF($DG393=1,SUMIFS($DF$8:$DF$1600,$F$8:$F$1600,$F393),0)</f>
        <v/>
      </c>
      <c r="DI393" s="78">
        <f>IF($DG393=1,COUNTIFS($F$8:$F$1600,$F393,$DE$8:$DE$1600,1),0)</f>
        <v/>
      </c>
      <c r="DJ393" s="84">
        <f>IF($DG393=1,$DH393+(100000-ROW())/mTieBreak,0)</f>
        <v/>
      </c>
    </row>
    <row r="394">
      <c r="B394" s="68" t="n">
        <v>8</v>
      </c>
      <c r="C394" s="69" t="inlineStr">
        <is>
          <t>UBS17C03</t>
        </is>
      </c>
      <c r="D394" s="69" t="inlineStr">
        <is>
          <t>8.000</t>
        </is>
      </c>
      <c r="E394" s="69" t="inlineStr">
        <is>
          <t>Park West Village</t>
        </is>
      </c>
      <c r="F394" s="69" t="inlineStr">
        <is>
          <t>SPLIT_LOAN_01045</t>
        </is>
      </c>
      <c r="G394" s="70" t="n">
        <v>1045</v>
      </c>
      <c r="H394" s="71" t="n">
        <v>30000000</v>
      </c>
      <c r="I394" s="71" t="n">
        <v>0</v>
      </c>
      <c r="J394" s="72" t="n">
        <v>2.62</v>
      </c>
      <c r="K394" s="69" t="inlineStr">
        <is>
          <t>Fixed rate</t>
        </is>
      </c>
      <c r="L394" s="68" t="n">
        <v>60</v>
      </c>
      <c r="M394" s="68" t="n"/>
      <c r="N394" s="68" t="n">
        <v>60</v>
      </c>
      <c r="O394" s="68" t="n">
        <v>60</v>
      </c>
      <c r="P394" s="68" t="n"/>
      <c r="Q394" s="68" t="n"/>
      <c r="R394" s="69" t="inlineStr">
        <is>
          <t>IO</t>
        </is>
      </c>
      <c r="S394" s="69" t="inlineStr">
        <is>
          <t>Yes</t>
        </is>
      </c>
      <c r="T394" s="73" t="n">
        <v>42979</v>
      </c>
      <c r="U394" s="73" t="n">
        <v>44779</v>
      </c>
      <c r="V394" s="73" t="n"/>
      <c r="W394" s="69" t="n"/>
      <c r="X394" s="69" t="inlineStr">
        <is>
          <t>Current</t>
        </is>
      </c>
      <c r="Y394" s="68" t="n"/>
      <c r="Z394" s="69" t="inlineStr">
        <is>
          <t>Defeasance Not Allowable</t>
        </is>
      </c>
      <c r="AA394" s="69" t="n"/>
      <c r="AB394" s="69" t="inlineStr">
        <is>
          <t>Never special serv</t>
        </is>
      </c>
      <c r="AC394" s="73" t="n"/>
      <c r="AD394" s="69" t="n"/>
      <c r="AE394" s="69" t="n"/>
      <c r="AF394" s="69" t="inlineStr">
        <is>
          <t>NY</t>
        </is>
      </c>
      <c r="AG394" s="69" t="inlineStr">
        <is>
          <t>New York</t>
        </is>
      </c>
      <c r="AH394" s="69" t="inlineStr">
        <is>
          <t>New York-Newark-Jersey City, NY-NJ</t>
        </is>
      </c>
      <c r="AI394" s="69" t="inlineStr">
        <is>
          <t>Northeast / Mid-Atlantic</t>
        </is>
      </c>
      <c r="AJ394" s="69" t="inlineStr">
        <is>
          <t>MF</t>
        </is>
      </c>
      <c r="AK394" s="69" t="inlineStr">
        <is>
          <t>High Rise</t>
        </is>
      </c>
      <c r="AL394" s="68" t="n">
        <v>1</v>
      </c>
      <c r="AM394" s="68" t="n">
        <v>852</v>
      </c>
      <c r="AN394" s="68" t="n"/>
      <c r="AO394" s="69" t="inlineStr">
        <is>
          <t>1950, 1958, 1963</t>
        </is>
      </c>
      <c r="AP394" s="70" t="n">
        <v>2017</v>
      </c>
      <c r="AQ394" s="74" t="n">
        <v>4.46</v>
      </c>
      <c r="AR394" s="74" t="n">
        <v>3.5</v>
      </c>
      <c r="AS394" s="74" t="n">
        <v>20</v>
      </c>
      <c r="AT394" s="74" t="n"/>
      <c r="AU394" s="74" t="n">
        <v>20</v>
      </c>
      <c r="AV394" s="74" t="n">
        <v>11.84893</v>
      </c>
      <c r="AW394" s="74" t="n"/>
      <c r="AX394" s="75" t="n">
        <v>83</v>
      </c>
      <c r="AY394" s="71" t="n">
        <v>600000000</v>
      </c>
      <c r="AZ394" s="71" t="n">
        <v>600000000</v>
      </c>
      <c r="BA394" s="71" t="n">
        <v>14218716</v>
      </c>
      <c r="BB394" s="71" t="n">
        <v>11148308.28</v>
      </c>
      <c r="BC394" s="69" t="inlineStr">
        <is>
          <t>Refinance</t>
        </is>
      </c>
      <c r="BD394" s="69" t="inlineStr">
        <is>
          <t>N</t>
        </is>
      </c>
      <c r="BE394" s="71" t="n">
        <v>0</v>
      </c>
      <c r="BF394" s="71" t="n">
        <v>0</v>
      </c>
      <c r="BG394" s="71" t="n">
        <v>186250000</v>
      </c>
      <c r="BH394" s="71" t="n">
        <v>0</v>
      </c>
      <c r="BI394" s="71" t="n">
        <v>0</v>
      </c>
      <c r="BJ394" s="69" t="inlineStr">
        <is>
          <t>N</t>
        </is>
      </c>
      <c r="BK394" s="69" t="n"/>
      <c r="BL394" s="75" t="n"/>
      <c r="BM394" s="73" t="n"/>
      <c r="BN394" s="69" t="inlineStr">
        <is>
          <t>The Chetrit Group LLC; Stellar Management LLC</t>
        </is>
      </c>
      <c r="BO394" s="69" t="inlineStr">
        <is>
          <t>UBS / Athene</t>
        </is>
      </c>
      <c r="BP394" s="69" t="inlineStr">
        <is>
          <t>Midland Loan Services</t>
        </is>
      </c>
      <c r="BQ394" s="69" t="inlineStr">
        <is>
          <t>Midland Loan Services</t>
        </is>
      </c>
      <c r="BR394" s="69" t="inlineStr">
        <is>
          <t>Full Payoff At Maturity</t>
        </is>
      </c>
      <c r="BS394" s="73" t="n">
        <v>44784</v>
      </c>
      <c r="BU394" s="76">
        <f>IF($C394="","",IFERROR(INDEX(dmName,MATCH($C394,dmID,0)),"Unmapped"))</f>
        <v/>
      </c>
      <c r="BV394" s="76">
        <f>IF($C394="","",IFERROR(INDEX(dmEntity,MATCH($C394,dmID,0)),"Unmapped"))</f>
        <v/>
      </c>
      <c r="BW394" s="77">
        <f>IF($C394="","",IFERROR(INDEX(dmVintage,MATCH($C394,dmID,0)),""))</f>
        <v/>
      </c>
      <c r="BX394" s="78">
        <f>IFERROR(INDEX(dmInclude,MATCH($C394,dmID,0)),0)</f>
        <v/>
      </c>
      <c r="BY394" s="78">
        <f>IF(N($I394)&gt;0,1,0)</f>
        <v/>
      </c>
      <c r="BZ394" s="76">
        <f>IF($AJ394="","Other / Leased Fee",IFERROR(INDEX(mapPTGroup,MATCH(LEFT(TRIM($AJ394),2),mapPTCode,0)),"Other / Leased Fee"))</f>
        <v/>
      </c>
      <c r="CA394" s="76">
        <f>IF(TRIM($AF394&amp;"")="","NR",LEFT(TRIM($AF394),2))</f>
        <v/>
      </c>
      <c r="CB394" s="76">
        <f>IFERROR(LOOKUP(2,1/(LEFT(TRIM($AI394&amp;""),LEN(mapRegion))=mapRegion),mapRegion),"Not Reported")</f>
        <v/>
      </c>
      <c r="CC394" s="76">
        <f>IF($BY394=0,"",IF(TRIM($W394&amp;"")="REO","REO",IF(TRIM($W394&amp;"")="FC","Foreclosure",IF(TRIM($W394&amp;"")="90+","90+ Days Delinquent",IF(TRIM($W394&amp;"")="60","60 Days Delinquent",IF(TRIM($W394&amp;"")="30","30 Days Delinquent",IF($X394="Non-Performing Matured Balloon","Non-Performing Matured Balloon",IF(OR($X394="Late Payment But Less Than 30 Days Delinquent",LEFT($X394&amp;"",20)="Payment Not Received"),"Late / In Grace (&lt;30 Days)",IF($X394="Performing Matured Balloon","Performing Matured Balloon","Current")))))))))</f>
        <v/>
      </c>
      <c r="CD394" s="78">
        <f>IF(OR($CC394="REO",$CC394="Foreclosure",$CC394="90+ Days Delinquent",$CC394="60 Days Delinquent",$CC394="30 Days Delinquent",$CC394="Non-Performing Matured Balloon"),1,0)</f>
        <v/>
      </c>
      <c r="CE394" s="76">
        <f>IF($AB394="Currently special serv","Currently Specially Serviced",IF($AB394="Returned to master serv","Previously Specially Serviced","Never Specially Serviced"))</f>
        <v/>
      </c>
      <c r="CF394" s="78">
        <f>IF($CE394="Currently Specially Serviced",1,0)</f>
        <v/>
      </c>
      <c r="CG394" s="76">
        <f>IF($AA394="Yes","Currently on Watchlist",IF($AA394="Previously","Previously on Watchlist","Never on Watchlist"))</f>
        <v/>
      </c>
      <c r="CH394" s="78">
        <f>IF($CG394="Currently on Watchlist",1,0)</f>
        <v/>
      </c>
      <c r="CI394" s="76">
        <f>IF($Z394="Full Defeasance","Fully Defeased",IF($Z394="Portion Of Loan Previously Defeased","Partially Defeased",IF($Z394="Defeasance Not Allowable","Not Defeased (Not Permitted)","Not Defeased")))</f>
        <v/>
      </c>
      <c r="CJ394" s="78">
        <f>IF($CI394="Fully Defeased",1,0)</f>
        <v/>
      </c>
      <c r="CK394" s="76">
        <f>IF($R394="IO","Full IO",IF(LEFT($R394&amp;"",7)="IO then","Partial IO","Amortizing"))</f>
        <v/>
      </c>
      <c r="CL394" s="78">
        <f>IF($CK394="Full IO",1,0)</f>
        <v/>
      </c>
      <c r="CM394" s="78">
        <f>IF($CK394="Partial IO",1,0)</f>
        <v/>
      </c>
      <c r="CN394" s="76">
        <f>IF(LEFT($F394&amp;"",10)="SPLIT_LOAN","Pari Passu Split","Standalone")</f>
        <v/>
      </c>
      <c r="CO394" s="78">
        <f>IF($CN394="Pari Passu Split",1,0)</f>
        <v/>
      </c>
      <c r="CP394" s="77">
        <f>IF(ISNUMBER($T394),YEAR($T394),"")</f>
        <v/>
      </c>
      <c r="CQ394" s="79">
        <f>IF(ISNUMBER($V394),$V394,IF(ISNUMBER($U394),$U394,""))</f>
        <v/>
      </c>
      <c r="CR394" s="77">
        <f>IF(ISNUMBER($CQ394),YEAR($CQ394),"")</f>
        <v/>
      </c>
      <c r="CS394" s="78">
        <f>IF(ISNUMBER($M394),MAX(0,$M394),IF(TRIM($M394&amp;"")="matured",0,""))</f>
        <v/>
      </c>
      <c r="CT394" s="78">
        <f>IF(AND(ISNUMBER($CS394),N($CS394)&lt;=mMatWindow),1,0)</f>
        <v/>
      </c>
      <c r="CU394" s="80">
        <f>IF(ISNUMBER($J394),$J394/100,"")</f>
        <v/>
      </c>
      <c r="CV394" s="81">
        <f>IF(ISNUMBER($AQ394),$AQ394,"")</f>
        <v/>
      </c>
      <c r="CW394" s="81">
        <f>IF(ISNUMBER($AR394),$AR394,"")</f>
        <v/>
      </c>
      <c r="CX394" s="82">
        <f>IF(ISNUMBER($AS394),$AS394/100,"")</f>
        <v/>
      </c>
      <c r="CY394" s="82">
        <f>IF(ISNUMBER($AT394),$AT394/100,"")</f>
        <v/>
      </c>
      <c r="CZ394" s="82">
        <f>IF(ISNUMBER($AU394),$AU394/100,"")</f>
        <v/>
      </c>
      <c r="DA394" s="82">
        <f>IF(ISNUMBER($AV394),$AV394/100,"")</f>
        <v/>
      </c>
      <c r="DB394" s="82">
        <f>IF(ISNUMBER($AW394),$AW394/100,"")</f>
        <v/>
      </c>
      <c r="DC394" s="82">
        <f>IF(ISNUMBER($AX394),$AX394/100,"")</f>
        <v/>
      </c>
      <c r="DD394" s="77">
        <f>IFERROR(VALUE(LEFT(TRIM($AO394&amp;""),4)),"")</f>
        <v/>
      </c>
      <c r="DE394" s="78">
        <f>IF(AND($BY394=1,$BX394=1,OR(fDeal="All Deals",$BU394=fDeal),OR(fEntity="All Entities",$BV394=fEntity),OR(fPType="All Property Types",$BZ394=fPType),OR(fDefeased="Include",$CJ394=0)),1,0)</f>
        <v/>
      </c>
      <c r="DF394" s="83">
        <f>$DE394*N($I394)</f>
        <v/>
      </c>
      <c r="DG394" s="78">
        <f>IF($DE394=1,IF(COUNTIFS($F$8:$F394,$F394,$DE$8:$DE394,1)=1,1,0),0)</f>
        <v/>
      </c>
      <c r="DH394" s="83">
        <f>IF($DG394=1,SUMIFS($DF$8:$DF$1600,$F$8:$F$1600,$F394),0)</f>
        <v/>
      </c>
      <c r="DI394" s="78">
        <f>IF($DG394=1,COUNTIFS($F$8:$F$1600,$F394,$DE$8:$DE$1600,1),0)</f>
        <v/>
      </c>
      <c r="DJ394" s="84">
        <f>IF($DG394=1,$DH394+(100000-ROW())/mTieBreak,0)</f>
        <v/>
      </c>
    </row>
    <row r="395">
      <c r="B395" s="68" t="n">
        <v>9</v>
      </c>
      <c r="C395" s="69" t="inlineStr">
        <is>
          <t>UBS17C03</t>
        </is>
      </c>
      <c r="D395" s="69" t="inlineStr">
        <is>
          <t>9.TR</t>
        </is>
      </c>
      <c r="E395" s="69" t="inlineStr">
        <is>
          <t>JW Marriott Chicago</t>
        </is>
      </c>
      <c r="F395" s="69" t="inlineStr">
        <is>
          <t>SPLIT_LOAN_01070</t>
        </is>
      </c>
      <c r="G395" s="70" t="n">
        <v>1070</v>
      </c>
      <c r="H395" s="71" t="n">
        <v>28500000</v>
      </c>
      <c r="I395" s="71" t="n">
        <v>28500000</v>
      </c>
      <c r="J395" s="72" t="n">
        <v>4.0441</v>
      </c>
      <c r="K395" s="69" t="inlineStr">
        <is>
          <t>Fixed rate</t>
        </is>
      </c>
      <c r="L395" s="68" t="n">
        <v>60</v>
      </c>
      <c r="M395" s="68" t="inlineStr">
        <is>
          <t>matured</t>
        </is>
      </c>
      <c r="N395" s="68" t="n">
        <v>60</v>
      </c>
      <c r="O395" s="68" t="n">
        <v>60</v>
      </c>
      <c r="P395" s="68" t="n">
        <v>0</v>
      </c>
      <c r="Q395" s="68" t="n">
        <v>108</v>
      </c>
      <c r="R395" s="69" t="inlineStr">
        <is>
          <t>IO</t>
        </is>
      </c>
      <c r="S395" s="69" t="inlineStr">
        <is>
          <t>Yes</t>
        </is>
      </c>
      <c r="T395" s="73" t="n">
        <v>42979</v>
      </c>
      <c r="U395" s="73" t="n">
        <v>44778</v>
      </c>
      <c r="V395" s="73" t="n"/>
      <c r="W395" s="69" t="inlineStr">
        <is>
          <t>REO</t>
        </is>
      </c>
      <c r="X395" s="69" t="inlineStr">
        <is>
          <t>Current</t>
        </is>
      </c>
      <c r="Y395" s="68" t="n"/>
      <c r="Z395" s="69" t="inlineStr">
        <is>
          <t>No Defeasance Occurred</t>
        </is>
      </c>
      <c r="AA395" s="69" t="n"/>
      <c r="AB395" s="69" t="inlineStr">
        <is>
          <t>Currently special serv</t>
        </is>
      </c>
      <c r="AC395" s="73" t="n">
        <v>43943</v>
      </c>
      <c r="AD395" s="69" t="inlineStr">
        <is>
          <t>Other</t>
        </is>
      </c>
      <c r="AE395" s="69" t="inlineStr">
        <is>
          <t>REO</t>
        </is>
      </c>
      <c r="AF395" s="69" t="inlineStr">
        <is>
          <t>IL</t>
        </is>
      </c>
      <c r="AG395" s="69" t="inlineStr">
        <is>
          <t>Chicago</t>
        </is>
      </c>
      <c r="AH395" s="69" t="inlineStr">
        <is>
          <t>Chicago-Naperville-Elgin, IL-IN</t>
        </is>
      </c>
      <c r="AI395" s="69" t="inlineStr">
        <is>
          <t>Midwest / Central East</t>
        </is>
      </c>
      <c r="AJ395" s="69" t="inlineStr">
        <is>
          <t>HT</t>
        </is>
      </c>
      <c r="AK395" s="69" t="inlineStr">
        <is>
          <t>Full Service</t>
        </is>
      </c>
      <c r="AL395" s="68" t="n">
        <v>1</v>
      </c>
      <c r="AM395" s="68" t="n">
        <v>610</v>
      </c>
      <c r="AN395" s="68" t="n"/>
      <c r="AO395" s="69" t="inlineStr">
        <is>
          <t>1914</t>
        </is>
      </c>
      <c r="AP395" s="70" t="n">
        <v>2010</v>
      </c>
      <c r="AQ395" s="74" t="n">
        <v>5.64</v>
      </c>
      <c r="AR395" s="74" t="n">
        <v>5.16</v>
      </c>
      <c r="AS395" s="74" t="n">
        <v>21.4</v>
      </c>
      <c r="AT395" s="74" t="n">
        <v>36.29</v>
      </c>
      <c r="AU395" s="74" t="n">
        <v>21.4</v>
      </c>
      <c r="AV395" s="74" t="n">
        <v>23.137142522</v>
      </c>
      <c r="AW395" s="74" t="n">
        <v>21.177228285</v>
      </c>
      <c r="AX395" s="75" t="n">
        <v>88</v>
      </c>
      <c r="AY395" s="71" t="n">
        <v>370400000</v>
      </c>
      <c r="AZ395" s="71" t="n">
        <v>218500000</v>
      </c>
      <c r="BA395" s="71" t="n">
        <v>18347754.02</v>
      </c>
      <c r="BB395" s="71" t="n">
        <v>16793542.03</v>
      </c>
      <c r="BC395" s="69" t="inlineStr">
        <is>
          <t>Refinance</t>
        </is>
      </c>
      <c r="BD395" s="69" t="n"/>
      <c r="BE395" s="71" t="n">
        <v>50800000</v>
      </c>
      <c r="BF395" s="71" t="n">
        <v>124200000</v>
      </c>
      <c r="BG395" s="71" t="n">
        <v>66500000</v>
      </c>
      <c r="BH395" s="71" t="n">
        <v>0</v>
      </c>
      <c r="BI395" s="71" t="n">
        <v>0</v>
      </c>
      <c r="BJ395" s="69" t="inlineStr">
        <is>
          <t>N</t>
        </is>
      </c>
      <c r="BK395" s="69" t="n"/>
      <c r="BL395" s="75" t="n"/>
      <c r="BM395" s="73" t="n"/>
      <c r="BN395" s="69" t="inlineStr">
        <is>
          <t>Lothar Estein</t>
        </is>
      </c>
      <c r="BO395" s="69" t="inlineStr">
        <is>
          <t>Natixis</t>
        </is>
      </c>
      <c r="BP395" s="69" t="inlineStr">
        <is>
          <t>Midland Loan Services</t>
        </is>
      </c>
      <c r="BQ395" s="69" t="inlineStr">
        <is>
          <t>Torchlight Loan Services</t>
        </is>
      </c>
      <c r="BR395" s="69" t="n"/>
      <c r="BS395" s="73" t="n">
        <v>46276</v>
      </c>
      <c r="BU395" s="76">
        <f>IF($C395="","",IFERROR(INDEX(dmName,MATCH($C395,dmID,0)),"Unmapped"))</f>
        <v/>
      </c>
      <c r="BV395" s="76">
        <f>IF($C395="","",IFERROR(INDEX(dmEntity,MATCH($C395,dmID,0)),"Unmapped"))</f>
        <v/>
      </c>
      <c r="BW395" s="77">
        <f>IF($C395="","",IFERROR(INDEX(dmVintage,MATCH($C395,dmID,0)),""))</f>
        <v/>
      </c>
      <c r="BX395" s="78">
        <f>IFERROR(INDEX(dmInclude,MATCH($C395,dmID,0)),0)</f>
        <v/>
      </c>
      <c r="BY395" s="78">
        <f>IF(N($I395)&gt;0,1,0)</f>
        <v/>
      </c>
      <c r="BZ395" s="76">
        <f>IF($AJ395="","Other / Leased Fee",IFERROR(INDEX(mapPTGroup,MATCH(LEFT(TRIM($AJ395),2),mapPTCode,0)),"Other / Leased Fee"))</f>
        <v/>
      </c>
      <c r="CA395" s="76">
        <f>IF(TRIM($AF395&amp;"")="","NR",LEFT(TRIM($AF395),2))</f>
        <v/>
      </c>
      <c r="CB395" s="76">
        <f>IFERROR(LOOKUP(2,1/(LEFT(TRIM($AI395&amp;""),LEN(mapRegion))=mapRegion),mapRegion),"Not Reported")</f>
        <v/>
      </c>
      <c r="CC395" s="76">
        <f>IF($BY395=0,"",IF(TRIM($W395&amp;"")="REO","REO",IF(TRIM($W395&amp;"")="FC","Foreclosure",IF(TRIM($W395&amp;"")="90+","90+ Days Delinquent",IF(TRIM($W395&amp;"")="60","60 Days Delinquent",IF(TRIM($W395&amp;"")="30","30 Days Delinquent",IF($X395="Non-Performing Matured Balloon","Non-Performing Matured Balloon",IF(OR($X395="Late Payment But Less Than 30 Days Delinquent",LEFT($X395&amp;"",20)="Payment Not Received"),"Late / In Grace (&lt;30 Days)",IF($X395="Performing Matured Balloon","Performing Matured Balloon","Current")))))))))</f>
        <v/>
      </c>
      <c r="CD395" s="78">
        <f>IF(OR($CC395="REO",$CC395="Foreclosure",$CC395="90+ Days Delinquent",$CC395="60 Days Delinquent",$CC395="30 Days Delinquent",$CC395="Non-Performing Matured Balloon"),1,0)</f>
        <v/>
      </c>
      <c r="CE395" s="76">
        <f>IF($AB395="Currently special serv","Currently Specially Serviced",IF($AB395="Returned to master serv","Previously Specially Serviced","Never Specially Serviced"))</f>
        <v/>
      </c>
      <c r="CF395" s="78">
        <f>IF($CE395="Currently Specially Serviced",1,0)</f>
        <v/>
      </c>
      <c r="CG395" s="76">
        <f>IF($AA395="Yes","Currently on Watchlist",IF($AA395="Previously","Previously on Watchlist","Never on Watchlist"))</f>
        <v/>
      </c>
      <c r="CH395" s="78">
        <f>IF($CG395="Currently on Watchlist",1,0)</f>
        <v/>
      </c>
      <c r="CI395" s="76">
        <f>IF($Z395="Full Defeasance","Fully Defeased",IF($Z395="Portion Of Loan Previously Defeased","Partially Defeased",IF($Z395="Defeasance Not Allowable","Not Defeased (Not Permitted)","Not Defeased")))</f>
        <v/>
      </c>
      <c r="CJ395" s="78">
        <f>IF($CI395="Fully Defeased",1,0)</f>
        <v/>
      </c>
      <c r="CK395" s="76">
        <f>IF($R395="IO","Full IO",IF(LEFT($R395&amp;"",7)="IO then","Partial IO","Amortizing"))</f>
        <v/>
      </c>
      <c r="CL395" s="78">
        <f>IF($CK395="Full IO",1,0)</f>
        <v/>
      </c>
      <c r="CM395" s="78">
        <f>IF($CK395="Partial IO",1,0)</f>
        <v/>
      </c>
      <c r="CN395" s="76">
        <f>IF(LEFT($F395&amp;"",10)="SPLIT_LOAN","Pari Passu Split","Standalone")</f>
        <v/>
      </c>
      <c r="CO395" s="78">
        <f>IF($CN395="Pari Passu Split",1,0)</f>
        <v/>
      </c>
      <c r="CP395" s="77">
        <f>IF(ISNUMBER($T395),YEAR($T395),"")</f>
        <v/>
      </c>
      <c r="CQ395" s="79">
        <f>IF(ISNUMBER($V395),$V395,IF(ISNUMBER($U395),$U395,""))</f>
        <v/>
      </c>
      <c r="CR395" s="77">
        <f>IF(ISNUMBER($CQ395),YEAR($CQ395),"")</f>
        <v/>
      </c>
      <c r="CS395" s="78">
        <f>IF(ISNUMBER($M395),MAX(0,$M395),IF(TRIM($M395&amp;"")="matured",0,""))</f>
        <v/>
      </c>
      <c r="CT395" s="78">
        <f>IF(AND(ISNUMBER($CS395),N($CS395)&lt;=mMatWindow),1,0)</f>
        <v/>
      </c>
      <c r="CU395" s="80">
        <f>IF(ISNUMBER($J395),$J395/100,"")</f>
        <v/>
      </c>
      <c r="CV395" s="81">
        <f>IF(ISNUMBER($AQ395),$AQ395,"")</f>
        <v/>
      </c>
      <c r="CW395" s="81">
        <f>IF(ISNUMBER($AR395),$AR395,"")</f>
        <v/>
      </c>
      <c r="CX395" s="82">
        <f>IF(ISNUMBER($AS395),$AS395/100,"")</f>
        <v/>
      </c>
      <c r="CY395" s="82">
        <f>IF(ISNUMBER($AT395),$AT395/100,"")</f>
        <v/>
      </c>
      <c r="CZ395" s="82">
        <f>IF(ISNUMBER($AU395),$AU395/100,"")</f>
        <v/>
      </c>
      <c r="DA395" s="82">
        <f>IF(ISNUMBER($AV395),$AV395/100,"")</f>
        <v/>
      </c>
      <c r="DB395" s="82">
        <f>IF(ISNUMBER($AW395),$AW395/100,"")</f>
        <v/>
      </c>
      <c r="DC395" s="82">
        <f>IF(ISNUMBER($AX395),$AX395/100,"")</f>
        <v/>
      </c>
      <c r="DD395" s="77">
        <f>IFERROR(VALUE(LEFT(TRIM($AO395&amp;""),4)),"")</f>
        <v/>
      </c>
      <c r="DE395" s="78">
        <f>IF(AND($BY395=1,$BX395=1,OR(fDeal="All Deals",$BU395=fDeal),OR(fEntity="All Entities",$BV395=fEntity),OR(fPType="All Property Types",$BZ395=fPType),OR(fDefeased="Include",$CJ395=0)),1,0)</f>
        <v/>
      </c>
      <c r="DF395" s="83">
        <f>$DE395*N($I395)</f>
        <v/>
      </c>
      <c r="DG395" s="78">
        <f>IF($DE395=1,IF(COUNTIFS($F$8:$F395,$F395,$DE$8:$DE395,1)=1,1,0),0)</f>
        <v/>
      </c>
      <c r="DH395" s="83">
        <f>IF($DG395=1,SUMIFS($DF$8:$DF$1600,$F$8:$F$1600,$F395),0)</f>
        <v/>
      </c>
      <c r="DI395" s="78">
        <f>IF($DG395=1,COUNTIFS($F$8:$F$1600,$F395,$DE$8:$DE$1600,1),0)</f>
        <v/>
      </c>
      <c r="DJ395" s="84">
        <f>IF($DG395=1,$DH395+(100000-ROW())/mTieBreak,0)</f>
        <v/>
      </c>
    </row>
    <row r="396">
      <c r="B396" s="68" t="n">
        <v>10</v>
      </c>
      <c r="C396" s="69" t="inlineStr">
        <is>
          <t>UBS17C03</t>
        </is>
      </c>
      <c r="D396" s="69" t="inlineStr">
        <is>
          <t>10.TR</t>
        </is>
      </c>
      <c r="E396" s="69" t="inlineStr">
        <is>
          <t>Center 78</t>
        </is>
      </c>
      <c r="F396" s="69" t="inlineStr">
        <is>
          <t>SPLIT_LOAN_01071</t>
        </is>
      </c>
      <c r="G396" s="70" t="n">
        <v>1071</v>
      </c>
      <c r="H396" s="71" t="n">
        <v>28000000</v>
      </c>
      <c r="I396" s="71" t="n">
        <v>28000000</v>
      </c>
      <c r="J396" s="72" t="n">
        <v>4.643491</v>
      </c>
      <c r="K396" s="69" t="inlineStr">
        <is>
          <t>Formula</t>
        </is>
      </c>
      <c r="L396" s="68" t="n">
        <v>120</v>
      </c>
      <c r="M396" s="68" t="n">
        <v>11</v>
      </c>
      <c r="N396" s="68" t="n">
        <v>480</v>
      </c>
      <c r="O396" s="68" t="n">
        <v>120</v>
      </c>
      <c r="P396" s="68" t="n">
        <v>11</v>
      </c>
      <c r="Q396" s="68" t="n">
        <v>109</v>
      </c>
      <c r="R396" s="69" t="inlineStr">
        <is>
          <t>IO</t>
        </is>
      </c>
      <c r="S396" s="69" t="inlineStr">
        <is>
          <t>Yes</t>
        </is>
      </c>
      <c r="T396" s="73" t="n">
        <v>42948</v>
      </c>
      <c r="U396" s="73" t="n">
        <v>46608</v>
      </c>
      <c r="V396" s="73" t="n"/>
      <c r="W396" s="69" t="inlineStr">
        <is>
          <t>90+</t>
        </is>
      </c>
      <c r="X396" s="69" t="inlineStr">
        <is>
          <t>121+ Days Delinquent</t>
        </is>
      </c>
      <c r="Y396" s="68" t="n">
        <v>8</v>
      </c>
      <c r="Z396" s="69" t="inlineStr">
        <is>
          <t>No Defeasance Occurred</t>
        </is>
      </c>
      <c r="AA396" s="69" t="inlineStr">
        <is>
          <t>Previously</t>
        </is>
      </c>
      <c r="AB396" s="69" t="inlineStr">
        <is>
          <t>Currently special serv</t>
        </is>
      </c>
      <c r="AC396" s="73" t="n">
        <v>45278</v>
      </c>
      <c r="AD396" s="69" t="inlineStr">
        <is>
          <t>Imminent Monetary Default (excluding Balloon/Maturity Default &amp; Single Tenant Bankruptcy/Vacate)</t>
        </is>
      </c>
      <c r="AE396" s="69" t="inlineStr">
        <is>
          <t>REO</t>
        </is>
      </c>
      <c r="AF396" s="69" t="inlineStr">
        <is>
          <t>NJ</t>
        </is>
      </c>
      <c r="AG396" s="69" t="inlineStr">
        <is>
          <t>Warren</t>
        </is>
      </c>
      <c r="AH396" s="69" t="inlineStr">
        <is>
          <t>New York-Newark-Jersey City, NY-NJ</t>
        </is>
      </c>
      <c r="AI396" s="69" t="inlineStr">
        <is>
          <t>Northeast / Mid-Atlantic</t>
        </is>
      </c>
      <c r="AJ396" s="69" t="inlineStr">
        <is>
          <t>OF</t>
        </is>
      </c>
      <c r="AK396" s="69" t="inlineStr">
        <is>
          <t>Suburban</t>
        </is>
      </c>
      <c r="AL396" s="68" t="n">
        <v>1</v>
      </c>
      <c r="AM396" s="68" t="n"/>
      <c r="AN396" s="68" t="n">
        <v>372672</v>
      </c>
      <c r="AO396" s="69" t="inlineStr">
        <is>
          <t>1982</t>
        </is>
      </c>
      <c r="AP396" s="70" t="n">
        <v>2015</v>
      </c>
      <c r="AQ396" s="74" t="n">
        <v>1.86</v>
      </c>
      <c r="AR396" s="74" t="n">
        <v>1.06</v>
      </c>
      <c r="AS396" s="74" t="n">
        <v>67.40000000000001</v>
      </c>
      <c r="AT396" s="74" t="n">
        <v>67.37</v>
      </c>
      <c r="AU396" s="74" t="n">
        <v>67.40000000000001</v>
      </c>
      <c r="AV396" s="74" t="n">
        <v>9.205335015999999</v>
      </c>
      <c r="AW396" s="74" t="n">
        <v>7.586360891</v>
      </c>
      <c r="AX396" s="75" t="n">
        <v>81</v>
      </c>
      <c r="AY396" s="71" t="n">
        <v>94800000</v>
      </c>
      <c r="AZ396" s="71" t="n">
        <v>94800000</v>
      </c>
      <c r="BA396" s="71" t="n">
        <v>5878828.6</v>
      </c>
      <c r="BB396" s="71" t="n">
        <v>4844898.67</v>
      </c>
      <c r="BC396" s="69" t="inlineStr">
        <is>
          <t>Refinance</t>
        </is>
      </c>
      <c r="BD396" s="69" t="inlineStr">
        <is>
          <t>N</t>
        </is>
      </c>
      <c r="BE396" s="71" t="n">
        <v>35863277</v>
      </c>
      <c r="BF396" s="71" t="n">
        <v>1017233.75</v>
      </c>
      <c r="BG396" s="71" t="n">
        <v>11900000</v>
      </c>
      <c r="BH396" s="71" t="n">
        <v>13943566.8</v>
      </c>
      <c r="BI396" s="71" t="n">
        <v>772441.63</v>
      </c>
      <c r="BJ396" s="69" t="inlineStr">
        <is>
          <t>N</t>
        </is>
      </c>
      <c r="BK396" s="69" t="inlineStr">
        <is>
          <t>Glaxosmithkline Consumer Healt</t>
        </is>
      </c>
      <c r="BL396" s="75" t="n">
        <v>39.49</v>
      </c>
      <c r="BM396" s="73" t="n">
        <v>46446</v>
      </c>
      <c r="BN396" s="69" t="inlineStr">
        <is>
          <t>Normandy Real Estate Fund II, LP; Greenfield Acquisition Partners VI, L.P.; GAP VI Parallel Partners, L.P.</t>
        </is>
      </c>
      <c r="BO396" s="69" t="inlineStr">
        <is>
          <t>Natixis</t>
        </is>
      </c>
      <c r="BP396" s="69" t="inlineStr">
        <is>
          <t>Midland Loan Services</t>
        </is>
      </c>
      <c r="BQ396" s="69" t="inlineStr">
        <is>
          <t>Rialto Capital</t>
        </is>
      </c>
      <c r="BR396" s="69" t="n"/>
      <c r="BS396" s="73" t="n">
        <v>46276</v>
      </c>
      <c r="BU396" s="76">
        <f>IF($C396="","",IFERROR(INDEX(dmName,MATCH($C396,dmID,0)),"Unmapped"))</f>
        <v/>
      </c>
      <c r="BV396" s="76">
        <f>IF($C396="","",IFERROR(INDEX(dmEntity,MATCH($C396,dmID,0)),"Unmapped"))</f>
        <v/>
      </c>
      <c r="BW396" s="77">
        <f>IF($C396="","",IFERROR(INDEX(dmVintage,MATCH($C396,dmID,0)),""))</f>
        <v/>
      </c>
      <c r="BX396" s="78">
        <f>IFERROR(INDEX(dmInclude,MATCH($C396,dmID,0)),0)</f>
        <v/>
      </c>
      <c r="BY396" s="78">
        <f>IF(N($I396)&gt;0,1,0)</f>
        <v/>
      </c>
      <c r="BZ396" s="76">
        <f>IF($AJ396="","Other / Leased Fee",IFERROR(INDEX(mapPTGroup,MATCH(LEFT(TRIM($AJ396),2),mapPTCode,0)),"Other / Leased Fee"))</f>
        <v/>
      </c>
      <c r="CA396" s="76">
        <f>IF(TRIM($AF396&amp;"")="","NR",LEFT(TRIM($AF396),2))</f>
        <v/>
      </c>
      <c r="CB396" s="76">
        <f>IFERROR(LOOKUP(2,1/(LEFT(TRIM($AI396&amp;""),LEN(mapRegion))=mapRegion),mapRegion),"Not Reported")</f>
        <v/>
      </c>
      <c r="CC396" s="76">
        <f>IF($BY396=0,"",IF(TRIM($W396&amp;"")="REO","REO",IF(TRIM($W396&amp;"")="FC","Foreclosure",IF(TRIM($W396&amp;"")="90+","90+ Days Delinquent",IF(TRIM($W396&amp;"")="60","60 Days Delinquent",IF(TRIM($W396&amp;"")="30","30 Days Delinquent",IF($X396="Non-Performing Matured Balloon","Non-Performing Matured Balloon",IF(OR($X396="Late Payment But Less Than 30 Days Delinquent",LEFT($X396&amp;"",20)="Payment Not Received"),"Late / In Grace (&lt;30 Days)",IF($X396="Performing Matured Balloon","Performing Matured Balloon","Current")))))))))</f>
        <v/>
      </c>
      <c r="CD396" s="78">
        <f>IF(OR($CC396="REO",$CC396="Foreclosure",$CC396="90+ Days Delinquent",$CC396="60 Days Delinquent",$CC396="30 Days Delinquent",$CC396="Non-Performing Matured Balloon"),1,0)</f>
        <v/>
      </c>
      <c r="CE396" s="76">
        <f>IF($AB396="Currently special serv","Currently Specially Serviced",IF($AB396="Returned to master serv","Previously Specially Serviced","Never Specially Serviced"))</f>
        <v/>
      </c>
      <c r="CF396" s="78">
        <f>IF($CE396="Currently Specially Serviced",1,0)</f>
        <v/>
      </c>
      <c r="CG396" s="76">
        <f>IF($AA396="Yes","Currently on Watchlist",IF($AA396="Previously","Previously on Watchlist","Never on Watchlist"))</f>
        <v/>
      </c>
      <c r="CH396" s="78">
        <f>IF($CG396="Currently on Watchlist",1,0)</f>
        <v/>
      </c>
      <c r="CI396" s="76">
        <f>IF($Z396="Full Defeasance","Fully Defeased",IF($Z396="Portion Of Loan Previously Defeased","Partially Defeased",IF($Z396="Defeasance Not Allowable","Not Defeased (Not Permitted)","Not Defeased")))</f>
        <v/>
      </c>
      <c r="CJ396" s="78">
        <f>IF($CI396="Fully Defeased",1,0)</f>
        <v/>
      </c>
      <c r="CK396" s="76">
        <f>IF($R396="IO","Full IO",IF(LEFT($R396&amp;"",7)="IO then","Partial IO","Amortizing"))</f>
        <v/>
      </c>
      <c r="CL396" s="78">
        <f>IF($CK396="Full IO",1,0)</f>
        <v/>
      </c>
      <c r="CM396" s="78">
        <f>IF($CK396="Partial IO",1,0)</f>
        <v/>
      </c>
      <c r="CN396" s="76">
        <f>IF(LEFT($F396&amp;"",10)="SPLIT_LOAN","Pari Passu Split","Standalone")</f>
        <v/>
      </c>
      <c r="CO396" s="78">
        <f>IF($CN396="Pari Passu Split",1,0)</f>
        <v/>
      </c>
      <c r="CP396" s="77">
        <f>IF(ISNUMBER($T396),YEAR($T396),"")</f>
        <v/>
      </c>
      <c r="CQ396" s="79">
        <f>IF(ISNUMBER($V396),$V396,IF(ISNUMBER($U396),$U396,""))</f>
        <v/>
      </c>
      <c r="CR396" s="77">
        <f>IF(ISNUMBER($CQ396),YEAR($CQ396),"")</f>
        <v/>
      </c>
      <c r="CS396" s="78">
        <f>IF(ISNUMBER($M396),MAX(0,$M396),IF(TRIM($M396&amp;"")="matured",0,""))</f>
        <v/>
      </c>
      <c r="CT396" s="78">
        <f>IF(AND(ISNUMBER($CS396),N($CS396)&lt;=mMatWindow),1,0)</f>
        <v/>
      </c>
      <c r="CU396" s="80">
        <f>IF(ISNUMBER($J396),$J396/100,"")</f>
        <v/>
      </c>
      <c r="CV396" s="81">
        <f>IF(ISNUMBER($AQ396),$AQ396,"")</f>
        <v/>
      </c>
      <c r="CW396" s="81">
        <f>IF(ISNUMBER($AR396),$AR396,"")</f>
        <v/>
      </c>
      <c r="CX396" s="82">
        <f>IF(ISNUMBER($AS396),$AS396/100,"")</f>
        <v/>
      </c>
      <c r="CY396" s="82">
        <f>IF(ISNUMBER($AT396),$AT396/100,"")</f>
        <v/>
      </c>
      <c r="CZ396" s="82">
        <f>IF(ISNUMBER($AU396),$AU396/100,"")</f>
        <v/>
      </c>
      <c r="DA396" s="82">
        <f>IF(ISNUMBER($AV396),$AV396/100,"")</f>
        <v/>
      </c>
      <c r="DB396" s="82">
        <f>IF(ISNUMBER($AW396),$AW396/100,"")</f>
        <v/>
      </c>
      <c r="DC396" s="82">
        <f>IF(ISNUMBER($AX396),$AX396/100,"")</f>
        <v/>
      </c>
      <c r="DD396" s="77">
        <f>IFERROR(VALUE(LEFT(TRIM($AO396&amp;""),4)),"")</f>
        <v/>
      </c>
      <c r="DE396" s="78">
        <f>IF(AND($BY396=1,$BX396=1,OR(fDeal="All Deals",$BU396=fDeal),OR(fEntity="All Entities",$BV396=fEntity),OR(fPType="All Property Types",$BZ396=fPType),OR(fDefeased="Include",$CJ396=0)),1,0)</f>
        <v/>
      </c>
      <c r="DF396" s="83">
        <f>$DE396*N($I396)</f>
        <v/>
      </c>
      <c r="DG396" s="78">
        <f>IF($DE396=1,IF(COUNTIFS($F$8:$F396,$F396,$DE$8:$DE396,1)=1,1,0),0)</f>
        <v/>
      </c>
      <c r="DH396" s="83">
        <f>IF($DG396=1,SUMIFS($DF$8:$DF$1600,$F$8:$F$1600,$F396),0)</f>
        <v/>
      </c>
      <c r="DI396" s="78">
        <f>IF($DG396=1,COUNTIFS($F$8:$F$1600,$F396,$DE$8:$DE$1600,1),0)</f>
        <v/>
      </c>
      <c r="DJ396" s="84">
        <f>IF($DG396=1,$DH396+(100000-ROW())/mTieBreak,0)</f>
        <v/>
      </c>
    </row>
    <row r="397">
      <c r="B397" s="68" t="n">
        <v>11</v>
      </c>
      <c r="C397" s="69" t="inlineStr">
        <is>
          <t>UBS17C03</t>
        </is>
      </c>
      <c r="D397" s="69" t="inlineStr">
        <is>
          <t>11.000</t>
        </is>
      </c>
      <c r="E397" s="69" t="inlineStr">
        <is>
          <t>Great Valley Commerce Center</t>
        </is>
      </c>
      <c r="F397" s="69" t="inlineStr">
        <is>
          <t>SPLIT_LOAN_01072</t>
        </is>
      </c>
      <c r="G397" s="70" t="n">
        <v>1072</v>
      </c>
      <c r="H397" s="71" t="n">
        <v>27750000</v>
      </c>
      <c r="I397" s="71" t="n">
        <v>23016449.519991</v>
      </c>
      <c r="J397" s="72" t="n">
        <v>4.48</v>
      </c>
      <c r="K397" s="69" t="inlineStr">
        <is>
          <t>Fixed rate</t>
        </is>
      </c>
      <c r="L397" s="68" t="n">
        <v>120</v>
      </c>
      <c r="M397" s="68" t="n">
        <v>11</v>
      </c>
      <c r="N397" s="68" t="n">
        <v>360</v>
      </c>
      <c r="O397" s="68" t="n"/>
      <c r="P397" s="68" t="n"/>
      <c r="Q397" s="68" t="n">
        <v>109</v>
      </c>
      <c r="R397" s="69" t="n"/>
      <c r="S397" s="69" t="inlineStr">
        <is>
          <t>No</t>
        </is>
      </c>
      <c r="T397" s="73" t="n">
        <v>42948</v>
      </c>
      <c r="U397" s="73" t="n">
        <v>46600</v>
      </c>
      <c r="V397" s="73" t="n"/>
      <c r="W397" s="69" t="n"/>
      <c r="X397" s="69" t="inlineStr">
        <is>
          <t>Current</t>
        </is>
      </c>
      <c r="Y397" s="68" t="n"/>
      <c r="Z397" s="69" t="inlineStr">
        <is>
          <t>No Defeasance Occurred</t>
        </is>
      </c>
      <c r="AA397" s="69" t="inlineStr">
        <is>
          <t>Yes</t>
        </is>
      </c>
      <c r="AB397" s="69" t="inlineStr">
        <is>
          <t>Never special serv</t>
        </is>
      </c>
      <c r="AC397" s="73" t="n"/>
      <c r="AD397" s="69" t="n"/>
      <c r="AE397" s="69" t="n"/>
      <c r="AF397" s="69" t="inlineStr">
        <is>
          <t>PA</t>
        </is>
      </c>
      <c r="AG397" s="69" t="inlineStr">
        <is>
          <t>Malvern</t>
        </is>
      </c>
      <c r="AH397" s="69" t="inlineStr">
        <is>
          <t>Philadelphia-Camden-Wilmington, PA-NJ-DE-MD</t>
        </is>
      </c>
      <c r="AI397" s="69" t="inlineStr">
        <is>
          <t>Northeast / Mid-Atlantic</t>
        </is>
      </c>
      <c r="AJ397" s="69" t="inlineStr">
        <is>
          <t>OF</t>
        </is>
      </c>
      <c r="AK397" s="69" t="inlineStr">
        <is>
          <t>Suburban</t>
        </is>
      </c>
      <c r="AL397" s="68" t="n">
        <v>1</v>
      </c>
      <c r="AM397" s="68" t="n"/>
      <c r="AN397" s="68" t="n">
        <v>356223</v>
      </c>
      <c r="AO397" s="69" t="inlineStr">
        <is>
          <t>1968; 1975; 1978</t>
        </is>
      </c>
      <c r="AP397" s="70" t="n">
        <v>2011</v>
      </c>
      <c r="AQ397" s="74" t="n">
        <v>1.66</v>
      </c>
      <c r="AR397" s="74" t="n">
        <v>1.64</v>
      </c>
      <c r="AS397" s="74" t="n">
        <v>67</v>
      </c>
      <c r="AT397" s="74" t="n">
        <v>55.61</v>
      </c>
      <c r="AU397" s="74" t="n">
        <v>54.2</v>
      </c>
      <c r="AV397" s="74" t="n">
        <v>10.050780315</v>
      </c>
      <c r="AW397" s="74" t="n">
        <v>12.244525731</v>
      </c>
      <c r="AX397" s="75" t="n">
        <v>85</v>
      </c>
      <c r="AY397" s="71" t="n">
        <v>73500000</v>
      </c>
      <c r="AZ397" s="71" t="n">
        <v>73500000</v>
      </c>
      <c r="BA397" s="71" t="n">
        <v>4952522</v>
      </c>
      <c r="BB397" s="71" t="n">
        <v>4910476.77</v>
      </c>
      <c r="BC397" s="69" t="inlineStr">
        <is>
          <t>Acquisition</t>
        </is>
      </c>
      <c r="BD397" s="69" t="inlineStr">
        <is>
          <t>N</t>
        </is>
      </c>
      <c r="BE397" s="71" t="n">
        <v>17853300.03</v>
      </c>
      <c r="BF397" s="71" t="n"/>
      <c r="BG397" s="71" t="n">
        <v>5000000</v>
      </c>
      <c r="BH397" s="71" t="n">
        <v>0</v>
      </c>
      <c r="BI397" s="71" t="n">
        <v>0</v>
      </c>
      <c r="BJ397" s="69" t="inlineStr">
        <is>
          <t>N</t>
        </is>
      </c>
      <c r="BK397" s="69" t="inlineStr">
        <is>
          <t>DaVita</t>
        </is>
      </c>
      <c r="BL397" s="75" t="n">
        <v>43.16</v>
      </c>
      <c r="BM397" s="73" t="n">
        <v>46418</v>
      </c>
      <c r="BN397" s="69" t="inlineStr">
        <is>
          <t>Robert A. Connell</t>
        </is>
      </c>
      <c r="BO397" s="69" t="inlineStr">
        <is>
          <t>KeyBank</t>
        </is>
      </c>
      <c r="BP397" s="69" t="inlineStr">
        <is>
          <t>Midland Loan Services</t>
        </is>
      </c>
      <c r="BQ397" s="69" t="inlineStr">
        <is>
          <t>Midland Loan Services</t>
        </is>
      </c>
      <c r="BR397" s="69" t="n"/>
      <c r="BS397" s="73" t="n">
        <v>46276</v>
      </c>
      <c r="BU397" s="76">
        <f>IF($C397="","",IFERROR(INDEX(dmName,MATCH($C397,dmID,0)),"Unmapped"))</f>
        <v/>
      </c>
      <c r="BV397" s="76">
        <f>IF($C397="","",IFERROR(INDEX(dmEntity,MATCH($C397,dmID,0)),"Unmapped"))</f>
        <v/>
      </c>
      <c r="BW397" s="77">
        <f>IF($C397="","",IFERROR(INDEX(dmVintage,MATCH($C397,dmID,0)),""))</f>
        <v/>
      </c>
      <c r="BX397" s="78">
        <f>IFERROR(INDEX(dmInclude,MATCH($C397,dmID,0)),0)</f>
        <v/>
      </c>
      <c r="BY397" s="78">
        <f>IF(N($I397)&gt;0,1,0)</f>
        <v/>
      </c>
      <c r="BZ397" s="76">
        <f>IF($AJ397="","Other / Leased Fee",IFERROR(INDEX(mapPTGroup,MATCH(LEFT(TRIM($AJ397),2),mapPTCode,0)),"Other / Leased Fee"))</f>
        <v/>
      </c>
      <c r="CA397" s="76">
        <f>IF(TRIM($AF397&amp;"")="","NR",LEFT(TRIM($AF397),2))</f>
        <v/>
      </c>
      <c r="CB397" s="76">
        <f>IFERROR(LOOKUP(2,1/(LEFT(TRIM($AI397&amp;""),LEN(mapRegion))=mapRegion),mapRegion),"Not Reported")</f>
        <v/>
      </c>
      <c r="CC397" s="76">
        <f>IF($BY397=0,"",IF(TRIM($W397&amp;"")="REO","REO",IF(TRIM($W397&amp;"")="FC","Foreclosure",IF(TRIM($W397&amp;"")="90+","90+ Days Delinquent",IF(TRIM($W397&amp;"")="60","60 Days Delinquent",IF(TRIM($W397&amp;"")="30","30 Days Delinquent",IF($X397="Non-Performing Matured Balloon","Non-Performing Matured Balloon",IF(OR($X397="Late Payment But Less Than 30 Days Delinquent",LEFT($X397&amp;"",20)="Payment Not Received"),"Late / In Grace (&lt;30 Days)",IF($X397="Performing Matured Balloon","Performing Matured Balloon","Current")))))))))</f>
        <v/>
      </c>
      <c r="CD397" s="78">
        <f>IF(OR($CC397="REO",$CC397="Foreclosure",$CC397="90+ Days Delinquent",$CC397="60 Days Delinquent",$CC397="30 Days Delinquent",$CC397="Non-Performing Matured Balloon"),1,0)</f>
        <v/>
      </c>
      <c r="CE397" s="76">
        <f>IF($AB397="Currently special serv","Currently Specially Serviced",IF($AB397="Returned to master serv","Previously Specially Serviced","Never Specially Serviced"))</f>
        <v/>
      </c>
      <c r="CF397" s="78">
        <f>IF($CE397="Currently Specially Serviced",1,0)</f>
        <v/>
      </c>
      <c r="CG397" s="76">
        <f>IF($AA397="Yes","Currently on Watchlist",IF($AA397="Previously","Previously on Watchlist","Never on Watchlist"))</f>
        <v/>
      </c>
      <c r="CH397" s="78">
        <f>IF($CG397="Currently on Watchlist",1,0)</f>
        <v/>
      </c>
      <c r="CI397" s="76">
        <f>IF($Z397="Full Defeasance","Fully Defeased",IF($Z397="Portion Of Loan Previously Defeased","Partially Defeased",IF($Z397="Defeasance Not Allowable","Not Defeased (Not Permitted)","Not Defeased")))</f>
        <v/>
      </c>
      <c r="CJ397" s="78">
        <f>IF($CI397="Fully Defeased",1,0)</f>
        <v/>
      </c>
      <c r="CK397" s="76">
        <f>IF($R397="IO","Full IO",IF(LEFT($R397&amp;"",7)="IO then","Partial IO","Amortizing"))</f>
        <v/>
      </c>
      <c r="CL397" s="78">
        <f>IF($CK397="Full IO",1,0)</f>
        <v/>
      </c>
      <c r="CM397" s="78">
        <f>IF($CK397="Partial IO",1,0)</f>
        <v/>
      </c>
      <c r="CN397" s="76">
        <f>IF(LEFT($F397&amp;"",10)="SPLIT_LOAN","Pari Passu Split","Standalone")</f>
        <v/>
      </c>
      <c r="CO397" s="78">
        <f>IF($CN397="Pari Passu Split",1,0)</f>
        <v/>
      </c>
      <c r="CP397" s="77">
        <f>IF(ISNUMBER($T397),YEAR($T397),"")</f>
        <v/>
      </c>
      <c r="CQ397" s="79">
        <f>IF(ISNUMBER($V397),$V397,IF(ISNUMBER($U397),$U397,""))</f>
        <v/>
      </c>
      <c r="CR397" s="77">
        <f>IF(ISNUMBER($CQ397),YEAR($CQ397),"")</f>
        <v/>
      </c>
      <c r="CS397" s="78">
        <f>IF(ISNUMBER($M397),MAX(0,$M397),IF(TRIM($M397&amp;"")="matured",0,""))</f>
        <v/>
      </c>
      <c r="CT397" s="78">
        <f>IF(AND(ISNUMBER($CS397),N($CS397)&lt;=mMatWindow),1,0)</f>
        <v/>
      </c>
      <c r="CU397" s="80">
        <f>IF(ISNUMBER($J397),$J397/100,"")</f>
        <v/>
      </c>
      <c r="CV397" s="81">
        <f>IF(ISNUMBER($AQ397),$AQ397,"")</f>
        <v/>
      </c>
      <c r="CW397" s="81">
        <f>IF(ISNUMBER($AR397),$AR397,"")</f>
        <v/>
      </c>
      <c r="CX397" s="82">
        <f>IF(ISNUMBER($AS397),$AS397/100,"")</f>
        <v/>
      </c>
      <c r="CY397" s="82">
        <f>IF(ISNUMBER($AT397),$AT397/100,"")</f>
        <v/>
      </c>
      <c r="CZ397" s="82">
        <f>IF(ISNUMBER($AU397),$AU397/100,"")</f>
        <v/>
      </c>
      <c r="DA397" s="82">
        <f>IF(ISNUMBER($AV397),$AV397/100,"")</f>
        <v/>
      </c>
      <c r="DB397" s="82">
        <f>IF(ISNUMBER($AW397),$AW397/100,"")</f>
        <v/>
      </c>
      <c r="DC397" s="82">
        <f>IF(ISNUMBER($AX397),$AX397/100,"")</f>
        <v/>
      </c>
      <c r="DD397" s="77">
        <f>IFERROR(VALUE(LEFT(TRIM($AO397&amp;""),4)),"")</f>
        <v/>
      </c>
      <c r="DE397" s="78">
        <f>IF(AND($BY397=1,$BX397=1,OR(fDeal="All Deals",$BU397=fDeal),OR(fEntity="All Entities",$BV397=fEntity),OR(fPType="All Property Types",$BZ397=fPType),OR(fDefeased="Include",$CJ397=0)),1,0)</f>
        <v/>
      </c>
      <c r="DF397" s="83">
        <f>$DE397*N($I397)</f>
        <v/>
      </c>
      <c r="DG397" s="78">
        <f>IF($DE397=1,IF(COUNTIFS($F$8:$F397,$F397,$DE$8:$DE397,1)=1,1,0),0)</f>
        <v/>
      </c>
      <c r="DH397" s="83">
        <f>IF($DG397=1,SUMIFS($DF$8:$DF$1600,$F$8:$F$1600,$F397),0)</f>
        <v/>
      </c>
      <c r="DI397" s="78">
        <f>IF($DG397=1,COUNTIFS($F$8:$F$1600,$F397,$DE$8:$DE$1600,1),0)</f>
        <v/>
      </c>
      <c r="DJ397" s="84">
        <f>IF($DG397=1,$DH397+(100000-ROW())/mTieBreak,0)</f>
        <v/>
      </c>
    </row>
    <row r="398">
      <c r="B398" s="68" t="n">
        <v>12</v>
      </c>
      <c r="C398" s="69" t="inlineStr">
        <is>
          <t>UBS17C03</t>
        </is>
      </c>
      <c r="D398" s="69" t="inlineStr">
        <is>
          <t>12.000</t>
        </is>
      </c>
      <c r="E398" s="69" t="inlineStr">
        <is>
          <t>IC Leased Fee Hotel Portfolio</t>
        </is>
      </c>
      <c r="F398" s="69" t="inlineStr">
        <is>
          <t>SPLIT_LOAN_01048</t>
        </is>
      </c>
      <c r="G398" s="70" t="n">
        <v>1048</v>
      </c>
      <c r="H398" s="71" t="n">
        <v>27000000</v>
      </c>
      <c r="I398" s="71" t="n">
        <v>0</v>
      </c>
      <c r="J398" s="72" t="n">
        <v>5.02</v>
      </c>
      <c r="K398" s="69" t="inlineStr">
        <is>
          <t>Fixed rate</t>
        </is>
      </c>
      <c r="L398" s="68" t="n">
        <v>120</v>
      </c>
      <c r="M398" s="68" t="n"/>
      <c r="N398" s="68" t="n">
        <v>120</v>
      </c>
      <c r="O398" s="68" t="n">
        <v>120</v>
      </c>
      <c r="P398" s="68" t="n"/>
      <c r="Q398" s="68" t="n"/>
      <c r="R398" s="69" t="inlineStr">
        <is>
          <t>IO</t>
        </is>
      </c>
      <c r="S398" s="69" t="inlineStr">
        <is>
          <t>Yes</t>
        </is>
      </c>
      <c r="T398" s="73" t="n">
        <v>42948</v>
      </c>
      <c r="U398" s="73" t="n">
        <v>46604</v>
      </c>
      <c r="V398" s="73" t="n"/>
      <c r="W398" s="69" t="n"/>
      <c r="X398" s="69" t="inlineStr">
        <is>
          <t>Current</t>
        </is>
      </c>
      <c r="Y398" s="68" t="n"/>
      <c r="Z398" s="69" t="inlineStr">
        <is>
          <t>No Defeasance Occurred</t>
        </is>
      </c>
      <c r="AA398" s="69" t="n"/>
      <c r="AB398" s="69" t="inlineStr">
        <is>
          <t>Currently special serv</t>
        </is>
      </c>
      <c r="AC398" s="73" t="n">
        <v>43622</v>
      </c>
      <c r="AD398" s="69" t="inlineStr">
        <is>
          <t>Payment Default (all payments excluding Balloon/Maturity Payment)</t>
        </is>
      </c>
      <c r="AE398" s="69" t="inlineStr">
        <is>
          <t>Note Sale</t>
        </is>
      </c>
      <c r="AF398" s="69" t="inlineStr">
        <is>
          <t>WI-25.762426963% MO-25.226126630% NY-13.447530630% CT-10.758024481% WY-10.653966222% NC-9.349235556% MT-4.802689519%</t>
        </is>
      </c>
      <c r="AG398" s="69" t="n"/>
      <c r="AH398" s="69" t="inlineStr">
        <is>
          <t>Appleton, WI-25.762426963% St. Louis, MO-IL-25.226126630% Albany-Schenectady-Troy, NY-13.447530630% Hartford-West Hartford-East Hartford, CT-10.758024481% Cheyenne, WY-10.653966222% Greensboro-High Point, NC-9.349235556% Billings, MT-4.802689519%</t>
        </is>
      </c>
      <c r="AI398" s="69" t="inlineStr">
        <is>
          <t>Midwest / Central East-25.762426963% Midwest / Central West-25.226126630% West / Mountain-15.456655741% Northeast / Mid-Atlantic-13.447530630% Northeast / New England-10.758024481% South / Atlantic-9.349235556%</t>
        </is>
      </c>
      <c r="AJ398" s="69" t="inlineStr">
        <is>
          <t>OT</t>
        </is>
      </c>
      <c r="AK398" s="69" t="n"/>
      <c r="AL398" s="68" t="n">
        <v>7</v>
      </c>
      <c r="AM398" s="68" t="n"/>
      <c r="AN398" s="68" t="n">
        <v>2133134</v>
      </c>
      <c r="AO398" s="69" t="n"/>
      <c r="AP398" s="70" t="n">
        <v>2016</v>
      </c>
      <c r="AQ398" s="74" t="n">
        <v>1.67</v>
      </c>
      <c r="AR398" s="74" t="n">
        <v>0.99</v>
      </c>
      <c r="AS398" s="74" t="n">
        <v>73.2</v>
      </c>
      <c r="AT398" s="74" t="n"/>
      <c r="AU398" s="74" t="n">
        <v>73.2</v>
      </c>
      <c r="AV398" s="74" t="n">
        <v>8.493247387</v>
      </c>
      <c r="AW398" s="74" t="n"/>
      <c r="AX398" s="75" t="n">
        <v>46</v>
      </c>
      <c r="AY398" s="71" t="n">
        <v>85300000</v>
      </c>
      <c r="AZ398" s="71" t="n">
        <v>82100000</v>
      </c>
      <c r="BA398" s="71" t="n">
        <v>5305306.98</v>
      </c>
      <c r="BB398" s="71" t="n">
        <v>5479995.9</v>
      </c>
      <c r="BC398" s="69" t="inlineStr">
        <is>
          <t>Refinance</t>
        </is>
      </c>
      <c r="BD398" s="69" t="inlineStr">
        <is>
          <t>N</t>
        </is>
      </c>
      <c r="BE398" s="71" t="n">
        <v>0</v>
      </c>
      <c r="BF398" s="71" t="n"/>
      <c r="BG398" s="71" t="n"/>
      <c r="BH398" s="71" t="n">
        <v>0</v>
      </c>
      <c r="BI398" s="71" t="n">
        <v>0</v>
      </c>
      <c r="BJ398" s="69" t="inlineStr">
        <is>
          <t>N</t>
        </is>
      </c>
      <c r="BK398" s="69" t="n"/>
      <c r="BL398" s="75" t="n"/>
      <c r="BM398" s="73" t="n"/>
      <c r="BN398" s="69" t="inlineStr">
        <is>
          <t>Joseph G. Gillespie, III</t>
        </is>
      </c>
      <c r="BO398" s="69" t="inlineStr">
        <is>
          <t>Natixis</t>
        </is>
      </c>
      <c r="BP398" s="69" t="inlineStr">
        <is>
          <t>Midland Loan Services</t>
        </is>
      </c>
      <c r="BQ398" s="69" t="inlineStr">
        <is>
          <t>Midland Loan Services</t>
        </is>
      </c>
      <c r="BR398" s="69" t="inlineStr">
        <is>
          <t>Payoff Prior To Maturity</t>
        </is>
      </c>
      <c r="BS398" s="73" t="n">
        <v>44753</v>
      </c>
      <c r="BU398" s="76">
        <f>IF($C398="","",IFERROR(INDEX(dmName,MATCH($C398,dmID,0)),"Unmapped"))</f>
        <v/>
      </c>
      <c r="BV398" s="76">
        <f>IF($C398="","",IFERROR(INDEX(dmEntity,MATCH($C398,dmID,0)),"Unmapped"))</f>
        <v/>
      </c>
      <c r="BW398" s="77">
        <f>IF($C398="","",IFERROR(INDEX(dmVintage,MATCH($C398,dmID,0)),""))</f>
        <v/>
      </c>
      <c r="BX398" s="78">
        <f>IFERROR(INDEX(dmInclude,MATCH($C398,dmID,0)),0)</f>
        <v/>
      </c>
      <c r="BY398" s="78">
        <f>IF(N($I398)&gt;0,1,0)</f>
        <v/>
      </c>
      <c r="BZ398" s="76">
        <f>IF($AJ398="","Other / Leased Fee",IFERROR(INDEX(mapPTGroup,MATCH(LEFT(TRIM($AJ398),2),mapPTCode,0)),"Other / Leased Fee"))</f>
        <v/>
      </c>
      <c r="CA398" s="76">
        <f>IF(TRIM($AF398&amp;"")="","NR",LEFT(TRIM($AF398),2))</f>
        <v/>
      </c>
      <c r="CB398" s="76">
        <f>IFERROR(LOOKUP(2,1/(LEFT(TRIM($AI398&amp;""),LEN(mapRegion))=mapRegion),mapRegion),"Not Reported")</f>
        <v/>
      </c>
      <c r="CC398" s="76">
        <f>IF($BY398=0,"",IF(TRIM($W398&amp;"")="REO","REO",IF(TRIM($W398&amp;"")="FC","Foreclosure",IF(TRIM($W398&amp;"")="90+","90+ Days Delinquent",IF(TRIM($W398&amp;"")="60","60 Days Delinquent",IF(TRIM($W398&amp;"")="30","30 Days Delinquent",IF($X398="Non-Performing Matured Balloon","Non-Performing Matured Balloon",IF(OR($X398="Late Payment But Less Than 30 Days Delinquent",LEFT($X398&amp;"",20)="Payment Not Received"),"Late / In Grace (&lt;30 Days)",IF($X398="Performing Matured Balloon","Performing Matured Balloon","Current")))))))))</f>
        <v/>
      </c>
      <c r="CD398" s="78">
        <f>IF(OR($CC398="REO",$CC398="Foreclosure",$CC398="90+ Days Delinquent",$CC398="60 Days Delinquent",$CC398="30 Days Delinquent",$CC398="Non-Performing Matured Balloon"),1,0)</f>
        <v/>
      </c>
      <c r="CE398" s="76">
        <f>IF($AB398="Currently special serv","Currently Specially Serviced",IF($AB398="Returned to master serv","Previously Specially Serviced","Never Specially Serviced"))</f>
        <v/>
      </c>
      <c r="CF398" s="78">
        <f>IF($CE398="Currently Specially Serviced",1,0)</f>
        <v/>
      </c>
      <c r="CG398" s="76">
        <f>IF($AA398="Yes","Currently on Watchlist",IF($AA398="Previously","Previously on Watchlist","Never on Watchlist"))</f>
        <v/>
      </c>
      <c r="CH398" s="78">
        <f>IF($CG398="Currently on Watchlist",1,0)</f>
        <v/>
      </c>
      <c r="CI398" s="76">
        <f>IF($Z398="Full Defeasance","Fully Defeased",IF($Z398="Portion Of Loan Previously Defeased","Partially Defeased",IF($Z398="Defeasance Not Allowable","Not Defeased (Not Permitted)","Not Defeased")))</f>
        <v/>
      </c>
      <c r="CJ398" s="78">
        <f>IF($CI398="Fully Defeased",1,0)</f>
        <v/>
      </c>
      <c r="CK398" s="76">
        <f>IF($R398="IO","Full IO",IF(LEFT($R398&amp;"",7)="IO then","Partial IO","Amortizing"))</f>
        <v/>
      </c>
      <c r="CL398" s="78">
        <f>IF($CK398="Full IO",1,0)</f>
        <v/>
      </c>
      <c r="CM398" s="78">
        <f>IF($CK398="Partial IO",1,0)</f>
        <v/>
      </c>
      <c r="CN398" s="76">
        <f>IF(LEFT($F398&amp;"",10)="SPLIT_LOAN","Pari Passu Split","Standalone")</f>
        <v/>
      </c>
      <c r="CO398" s="78">
        <f>IF($CN398="Pari Passu Split",1,0)</f>
        <v/>
      </c>
      <c r="CP398" s="77">
        <f>IF(ISNUMBER($T398),YEAR($T398),"")</f>
        <v/>
      </c>
      <c r="CQ398" s="79">
        <f>IF(ISNUMBER($V398),$V398,IF(ISNUMBER($U398),$U398,""))</f>
        <v/>
      </c>
      <c r="CR398" s="77">
        <f>IF(ISNUMBER($CQ398),YEAR($CQ398),"")</f>
        <v/>
      </c>
      <c r="CS398" s="78">
        <f>IF(ISNUMBER($M398),MAX(0,$M398),IF(TRIM($M398&amp;"")="matured",0,""))</f>
        <v/>
      </c>
      <c r="CT398" s="78">
        <f>IF(AND(ISNUMBER($CS398),N($CS398)&lt;=mMatWindow),1,0)</f>
        <v/>
      </c>
      <c r="CU398" s="80">
        <f>IF(ISNUMBER($J398),$J398/100,"")</f>
        <v/>
      </c>
      <c r="CV398" s="81">
        <f>IF(ISNUMBER($AQ398),$AQ398,"")</f>
        <v/>
      </c>
      <c r="CW398" s="81">
        <f>IF(ISNUMBER($AR398),$AR398,"")</f>
        <v/>
      </c>
      <c r="CX398" s="82">
        <f>IF(ISNUMBER($AS398),$AS398/100,"")</f>
        <v/>
      </c>
      <c r="CY398" s="82">
        <f>IF(ISNUMBER($AT398),$AT398/100,"")</f>
        <v/>
      </c>
      <c r="CZ398" s="82">
        <f>IF(ISNUMBER($AU398),$AU398/100,"")</f>
        <v/>
      </c>
      <c r="DA398" s="82">
        <f>IF(ISNUMBER($AV398),$AV398/100,"")</f>
        <v/>
      </c>
      <c r="DB398" s="82">
        <f>IF(ISNUMBER($AW398),$AW398/100,"")</f>
        <v/>
      </c>
      <c r="DC398" s="82">
        <f>IF(ISNUMBER($AX398),$AX398/100,"")</f>
        <v/>
      </c>
      <c r="DD398" s="77">
        <f>IFERROR(VALUE(LEFT(TRIM($AO398&amp;""),4)),"")</f>
        <v/>
      </c>
      <c r="DE398" s="78">
        <f>IF(AND($BY398=1,$BX398=1,OR(fDeal="All Deals",$BU398=fDeal),OR(fEntity="All Entities",$BV398=fEntity),OR(fPType="All Property Types",$BZ398=fPType),OR(fDefeased="Include",$CJ398=0)),1,0)</f>
        <v/>
      </c>
      <c r="DF398" s="83">
        <f>$DE398*N($I398)</f>
        <v/>
      </c>
      <c r="DG398" s="78">
        <f>IF($DE398=1,IF(COUNTIFS($F$8:$F398,$F398,$DE$8:$DE398,1)=1,1,0),0)</f>
        <v/>
      </c>
      <c r="DH398" s="83">
        <f>IF($DG398=1,SUMIFS($DF$8:$DF$1600,$F$8:$F$1600,$F398),0)</f>
        <v/>
      </c>
      <c r="DI398" s="78">
        <f>IF($DG398=1,COUNTIFS($F$8:$F$1600,$F398,$DE$8:$DE$1600,1),0)</f>
        <v/>
      </c>
      <c r="DJ398" s="84">
        <f>IF($DG398=1,$DH398+(100000-ROW())/mTieBreak,0)</f>
        <v/>
      </c>
    </row>
    <row r="399">
      <c r="B399" s="68" t="n">
        <v>13</v>
      </c>
      <c r="C399" s="69" t="inlineStr">
        <is>
          <t>UBS17C03</t>
        </is>
      </c>
      <c r="D399" s="69" t="inlineStr">
        <is>
          <t>13.000</t>
        </is>
      </c>
      <c r="E399" s="69" t="inlineStr">
        <is>
          <t>The District</t>
        </is>
      </c>
      <c r="F399" s="69" t="inlineStr">
        <is>
          <t>SPLIT_LOAN_01073</t>
        </is>
      </c>
      <c r="G399" s="70" t="n">
        <v>1073</v>
      </c>
      <c r="H399" s="71" t="n">
        <v>25000000</v>
      </c>
      <c r="I399" s="71" t="n">
        <v>20803347.02</v>
      </c>
      <c r="J399" s="72" t="n">
        <v>4.5862</v>
      </c>
      <c r="K399" s="69" t="inlineStr">
        <is>
          <t>Fixed rate</t>
        </is>
      </c>
      <c r="L399" s="68" t="n">
        <v>120</v>
      </c>
      <c r="M399" s="68" t="n">
        <v>11</v>
      </c>
      <c r="N399" s="68" t="n">
        <v>360</v>
      </c>
      <c r="O399" s="68" t="n"/>
      <c r="P399" s="68" t="n"/>
      <c r="Q399" s="68" t="n">
        <v>109</v>
      </c>
      <c r="R399" s="69" t="n"/>
      <c r="S399" s="69" t="inlineStr">
        <is>
          <t>No</t>
        </is>
      </c>
      <c r="T399" s="73" t="n">
        <v>42948</v>
      </c>
      <c r="U399" s="73" t="n">
        <v>46605</v>
      </c>
      <c r="V399" s="73" t="n"/>
      <c r="W399" s="69" t="n"/>
      <c r="X399" s="69" t="inlineStr">
        <is>
          <t>Current</t>
        </is>
      </c>
      <c r="Y399" s="68" t="n"/>
      <c r="Z399" s="69" t="inlineStr">
        <is>
          <t>No Defeasance Occurred</t>
        </is>
      </c>
      <c r="AA399" s="69" t="inlineStr">
        <is>
          <t>Previously</t>
        </is>
      </c>
      <c r="AB399" s="69" t="inlineStr">
        <is>
          <t>Never special serv</t>
        </is>
      </c>
      <c r="AC399" s="73" t="n"/>
      <c r="AD399" s="69" t="n"/>
      <c r="AE399" s="69" t="n"/>
      <c r="AF399" s="69" t="inlineStr">
        <is>
          <t>UT</t>
        </is>
      </c>
      <c r="AG399" s="69" t="inlineStr">
        <is>
          <t>South Jordan</t>
        </is>
      </c>
      <c r="AH399" s="69" t="inlineStr">
        <is>
          <t>Salt Lake City-Murray, UT</t>
        </is>
      </c>
      <c r="AI399" s="69" t="inlineStr">
        <is>
          <t>West / Mountain</t>
        </is>
      </c>
      <c r="AJ399" s="69" t="inlineStr">
        <is>
          <t>RT</t>
        </is>
      </c>
      <c r="AK399" s="69" t="inlineStr">
        <is>
          <t>Anchored</t>
        </is>
      </c>
      <c r="AL399" s="68" t="n">
        <v>1</v>
      </c>
      <c r="AM399" s="68" t="n"/>
      <c r="AN399" s="68" t="n">
        <v>612102</v>
      </c>
      <c r="AO399" s="69" t="inlineStr">
        <is>
          <t>2006-2014</t>
        </is>
      </c>
      <c r="AP399" s="70" t="n">
        <v>2014</v>
      </c>
      <c r="AQ399" s="74" t="n">
        <v>1.34</v>
      </c>
      <c r="AR399" s="74" t="n">
        <v>4.18</v>
      </c>
      <c r="AS399" s="74" t="n">
        <v>61.5</v>
      </c>
      <c r="AT399" s="74" t="n">
        <v>51.21</v>
      </c>
      <c r="AU399" s="74" t="n">
        <v>49.9</v>
      </c>
      <c r="AV399" s="74" t="n">
        <v>8.250658749999999</v>
      </c>
      <c r="AW399" s="74" t="n">
        <v>9.637914264999999</v>
      </c>
      <c r="AX399" s="75" t="n">
        <v>95</v>
      </c>
      <c r="AY399" s="71" t="n">
        <v>130000000</v>
      </c>
      <c r="AZ399" s="71" t="n">
        <v>130000000</v>
      </c>
      <c r="BA399" s="71" t="n">
        <v>6600527</v>
      </c>
      <c r="BB399" s="71" t="n">
        <v>6416028</v>
      </c>
      <c r="BC399" s="69" t="inlineStr">
        <is>
          <t>Refinance</t>
        </is>
      </c>
      <c r="BD399" s="69" t="inlineStr">
        <is>
          <t>N</t>
        </is>
      </c>
      <c r="BE399" s="71" t="n">
        <v>45767363.44</v>
      </c>
      <c r="BF399" s="71" t="n"/>
      <c r="BG399" s="71" t="n"/>
      <c r="BH399" s="71" t="n">
        <v>0</v>
      </c>
      <c r="BI399" s="71" t="n">
        <v>0</v>
      </c>
      <c r="BJ399" s="69" t="inlineStr">
        <is>
          <t>N</t>
        </is>
      </c>
      <c r="BK399" s="69" t="inlineStr">
        <is>
          <t>MEGA PLEX THEATRES/MILLER</t>
        </is>
      </c>
      <c r="BL399" s="75" t="n">
        <v>16.94</v>
      </c>
      <c r="BM399" s="73" t="n">
        <v>38856</v>
      </c>
      <c r="BN399" s="69" t="inlineStr">
        <is>
          <t>The Boyer Company, L.C.; Gardner Property Holdings, L.C.; Arbor Commercial Real Estate L.L.C.</t>
        </is>
      </c>
      <c r="BO399" s="69" t="inlineStr">
        <is>
          <t>UBS</t>
        </is>
      </c>
      <c r="BP399" s="69" t="inlineStr">
        <is>
          <t>Midland Loan Services</t>
        </is>
      </c>
      <c r="BQ399" s="69" t="inlineStr">
        <is>
          <t>Rialto Capital</t>
        </is>
      </c>
      <c r="BR399" s="69" t="n"/>
      <c r="BS399" s="73" t="n">
        <v>46276</v>
      </c>
      <c r="BU399" s="76">
        <f>IF($C399="","",IFERROR(INDEX(dmName,MATCH($C399,dmID,0)),"Unmapped"))</f>
        <v/>
      </c>
      <c r="BV399" s="76">
        <f>IF($C399="","",IFERROR(INDEX(dmEntity,MATCH($C399,dmID,0)),"Unmapped"))</f>
        <v/>
      </c>
      <c r="BW399" s="77">
        <f>IF($C399="","",IFERROR(INDEX(dmVintage,MATCH($C399,dmID,0)),""))</f>
        <v/>
      </c>
      <c r="BX399" s="78">
        <f>IFERROR(INDEX(dmInclude,MATCH($C399,dmID,0)),0)</f>
        <v/>
      </c>
      <c r="BY399" s="78">
        <f>IF(N($I399)&gt;0,1,0)</f>
        <v/>
      </c>
      <c r="BZ399" s="76">
        <f>IF($AJ399="","Other / Leased Fee",IFERROR(INDEX(mapPTGroup,MATCH(LEFT(TRIM($AJ399),2),mapPTCode,0)),"Other / Leased Fee"))</f>
        <v/>
      </c>
      <c r="CA399" s="76">
        <f>IF(TRIM($AF399&amp;"")="","NR",LEFT(TRIM($AF399),2))</f>
        <v/>
      </c>
      <c r="CB399" s="76">
        <f>IFERROR(LOOKUP(2,1/(LEFT(TRIM($AI399&amp;""),LEN(mapRegion))=mapRegion),mapRegion),"Not Reported")</f>
        <v/>
      </c>
      <c r="CC399" s="76">
        <f>IF($BY399=0,"",IF(TRIM($W399&amp;"")="REO","REO",IF(TRIM($W399&amp;"")="FC","Foreclosure",IF(TRIM($W399&amp;"")="90+","90+ Days Delinquent",IF(TRIM($W399&amp;"")="60","60 Days Delinquent",IF(TRIM($W399&amp;"")="30","30 Days Delinquent",IF($X399="Non-Performing Matured Balloon","Non-Performing Matured Balloon",IF(OR($X399="Late Payment But Less Than 30 Days Delinquent",LEFT($X399&amp;"",20)="Payment Not Received"),"Late / In Grace (&lt;30 Days)",IF($X399="Performing Matured Balloon","Performing Matured Balloon","Current")))))))))</f>
        <v/>
      </c>
      <c r="CD399" s="78">
        <f>IF(OR($CC399="REO",$CC399="Foreclosure",$CC399="90+ Days Delinquent",$CC399="60 Days Delinquent",$CC399="30 Days Delinquent",$CC399="Non-Performing Matured Balloon"),1,0)</f>
        <v/>
      </c>
      <c r="CE399" s="76">
        <f>IF($AB399="Currently special serv","Currently Specially Serviced",IF($AB399="Returned to master serv","Previously Specially Serviced","Never Specially Serviced"))</f>
        <v/>
      </c>
      <c r="CF399" s="78">
        <f>IF($CE399="Currently Specially Serviced",1,0)</f>
        <v/>
      </c>
      <c r="CG399" s="76">
        <f>IF($AA399="Yes","Currently on Watchlist",IF($AA399="Previously","Previously on Watchlist","Never on Watchlist"))</f>
        <v/>
      </c>
      <c r="CH399" s="78">
        <f>IF($CG399="Currently on Watchlist",1,0)</f>
        <v/>
      </c>
      <c r="CI399" s="76">
        <f>IF($Z399="Full Defeasance","Fully Defeased",IF($Z399="Portion Of Loan Previously Defeased","Partially Defeased",IF($Z399="Defeasance Not Allowable","Not Defeased (Not Permitted)","Not Defeased")))</f>
        <v/>
      </c>
      <c r="CJ399" s="78">
        <f>IF($CI399="Fully Defeased",1,0)</f>
        <v/>
      </c>
      <c r="CK399" s="76">
        <f>IF($R399="IO","Full IO",IF(LEFT($R399&amp;"",7)="IO then","Partial IO","Amortizing"))</f>
        <v/>
      </c>
      <c r="CL399" s="78">
        <f>IF($CK399="Full IO",1,0)</f>
        <v/>
      </c>
      <c r="CM399" s="78">
        <f>IF($CK399="Partial IO",1,0)</f>
        <v/>
      </c>
      <c r="CN399" s="76">
        <f>IF(LEFT($F399&amp;"",10)="SPLIT_LOAN","Pari Passu Split","Standalone")</f>
        <v/>
      </c>
      <c r="CO399" s="78">
        <f>IF($CN399="Pari Passu Split",1,0)</f>
        <v/>
      </c>
      <c r="CP399" s="77">
        <f>IF(ISNUMBER($T399),YEAR($T399),"")</f>
        <v/>
      </c>
      <c r="CQ399" s="79">
        <f>IF(ISNUMBER($V399),$V399,IF(ISNUMBER($U399),$U399,""))</f>
        <v/>
      </c>
      <c r="CR399" s="77">
        <f>IF(ISNUMBER($CQ399),YEAR($CQ399),"")</f>
        <v/>
      </c>
      <c r="CS399" s="78">
        <f>IF(ISNUMBER($M399),MAX(0,$M399),IF(TRIM($M399&amp;"")="matured",0,""))</f>
        <v/>
      </c>
      <c r="CT399" s="78">
        <f>IF(AND(ISNUMBER($CS399),N($CS399)&lt;=mMatWindow),1,0)</f>
        <v/>
      </c>
      <c r="CU399" s="80">
        <f>IF(ISNUMBER($J399),$J399/100,"")</f>
        <v/>
      </c>
      <c r="CV399" s="81">
        <f>IF(ISNUMBER($AQ399),$AQ399,"")</f>
        <v/>
      </c>
      <c r="CW399" s="81">
        <f>IF(ISNUMBER($AR399),$AR399,"")</f>
        <v/>
      </c>
      <c r="CX399" s="82">
        <f>IF(ISNUMBER($AS399),$AS399/100,"")</f>
        <v/>
      </c>
      <c r="CY399" s="82">
        <f>IF(ISNUMBER($AT399),$AT399/100,"")</f>
        <v/>
      </c>
      <c r="CZ399" s="82">
        <f>IF(ISNUMBER($AU399),$AU399/100,"")</f>
        <v/>
      </c>
      <c r="DA399" s="82">
        <f>IF(ISNUMBER($AV399),$AV399/100,"")</f>
        <v/>
      </c>
      <c r="DB399" s="82">
        <f>IF(ISNUMBER($AW399),$AW399/100,"")</f>
        <v/>
      </c>
      <c r="DC399" s="82">
        <f>IF(ISNUMBER($AX399),$AX399/100,"")</f>
        <v/>
      </c>
      <c r="DD399" s="77">
        <f>IFERROR(VALUE(LEFT(TRIM($AO399&amp;""),4)),"")</f>
        <v/>
      </c>
      <c r="DE399" s="78">
        <f>IF(AND($BY399=1,$BX399=1,OR(fDeal="All Deals",$BU399=fDeal),OR(fEntity="All Entities",$BV399=fEntity),OR(fPType="All Property Types",$BZ399=fPType),OR(fDefeased="Include",$CJ399=0)),1,0)</f>
        <v/>
      </c>
      <c r="DF399" s="83">
        <f>$DE399*N($I399)</f>
        <v/>
      </c>
      <c r="DG399" s="78">
        <f>IF($DE399=1,IF(COUNTIFS($F$8:$F399,$F399,$DE$8:$DE399,1)=1,1,0),0)</f>
        <v/>
      </c>
      <c r="DH399" s="83">
        <f>IF($DG399=1,SUMIFS($DF$8:$DF$1600,$F$8:$F$1600,$F399),0)</f>
        <v/>
      </c>
      <c r="DI399" s="78">
        <f>IF($DG399=1,COUNTIFS($F$8:$F$1600,$F399,$DE$8:$DE$1600,1),0)</f>
        <v/>
      </c>
      <c r="DJ399" s="84">
        <f>IF($DG399=1,$DH399+(100000-ROW())/mTieBreak,0)</f>
        <v/>
      </c>
    </row>
    <row r="400">
      <c r="B400" s="68" t="n">
        <v>14</v>
      </c>
      <c r="C400" s="69" t="inlineStr">
        <is>
          <t>UBS17C03</t>
        </is>
      </c>
      <c r="D400" s="69" t="inlineStr">
        <is>
          <t>14.000</t>
        </is>
      </c>
      <c r="E400" s="69" t="inlineStr">
        <is>
          <t>Younique HQ Building</t>
        </is>
      </c>
      <c r="F400" s="69" t="inlineStr">
        <is>
          <t>LNUBS17C03-14.000</t>
        </is>
      </c>
      <c r="G400" s="70" t="n"/>
      <c r="H400" s="71" t="n">
        <v>24500000</v>
      </c>
      <c r="I400" s="71" t="n">
        <v>18635376.0399905</v>
      </c>
      <c r="J400" s="72" t="n">
        <v>4.48</v>
      </c>
      <c r="K400" s="69" t="inlineStr">
        <is>
          <t>Fixed rate</t>
        </is>
      </c>
      <c r="L400" s="68" t="n">
        <v>120</v>
      </c>
      <c r="M400" s="68" t="n">
        <v>10</v>
      </c>
      <c r="N400" s="68" t="n">
        <v>300</v>
      </c>
      <c r="O400" s="68" t="n"/>
      <c r="P400" s="68" t="n"/>
      <c r="Q400" s="68" t="n">
        <v>110</v>
      </c>
      <c r="R400" s="69" t="n"/>
      <c r="S400" s="69" t="inlineStr">
        <is>
          <t>No</t>
        </is>
      </c>
      <c r="T400" s="73" t="n">
        <v>42917</v>
      </c>
      <c r="U400" s="73" t="n">
        <v>46569</v>
      </c>
      <c r="V400" s="73" t="n"/>
      <c r="W400" s="69" t="inlineStr">
        <is>
          <t>30</t>
        </is>
      </c>
      <c r="X400" s="69" t="inlineStr">
        <is>
          <t>30-59 Days Delinquent</t>
        </is>
      </c>
      <c r="Y400" s="68" t="n">
        <v>1</v>
      </c>
      <c r="Z400" s="69" t="inlineStr">
        <is>
          <t>No Defeasance Occurred</t>
        </is>
      </c>
      <c r="AA400" s="69" t="inlineStr">
        <is>
          <t>Yes</t>
        </is>
      </c>
      <c r="AB400" s="69" t="inlineStr">
        <is>
          <t>Never special serv</t>
        </is>
      </c>
      <c r="AC400" s="73" t="n"/>
      <c r="AD400" s="69" t="n"/>
      <c r="AE400" s="69" t="n"/>
      <c r="AF400" s="69" t="inlineStr">
        <is>
          <t>UT</t>
        </is>
      </c>
      <c r="AG400" s="69" t="inlineStr">
        <is>
          <t>Lehi</t>
        </is>
      </c>
      <c r="AH400" s="69" t="inlineStr">
        <is>
          <t>Provo-Orem-Lehi, UT</t>
        </is>
      </c>
      <c r="AI400" s="69" t="inlineStr">
        <is>
          <t>West / Mountain</t>
        </is>
      </c>
      <c r="AJ400" s="69" t="inlineStr">
        <is>
          <t>OF</t>
        </is>
      </c>
      <c r="AK400" s="69" t="inlineStr">
        <is>
          <t>Suburban</t>
        </is>
      </c>
      <c r="AL400" s="68" t="n">
        <v>1</v>
      </c>
      <c r="AM400" s="68" t="n"/>
      <c r="AN400" s="68" t="n">
        <v>125000</v>
      </c>
      <c r="AO400" s="69" t="inlineStr">
        <is>
          <t>2016</t>
        </is>
      </c>
      <c r="AP400" s="70" t="n">
        <v>2016</v>
      </c>
      <c r="AQ400" s="74" t="n">
        <v>1.35</v>
      </c>
      <c r="AR400" s="74" t="n">
        <v>1.89</v>
      </c>
      <c r="AS400" s="74" t="n">
        <v>67.8</v>
      </c>
      <c r="AT400" s="74" t="n">
        <v>51.62</v>
      </c>
      <c r="AU400" s="74" t="n">
        <v>49.8</v>
      </c>
      <c r="AV400" s="74" t="n">
        <v>8.966665305999999</v>
      </c>
      <c r="AW400" s="74" t="n">
        <v>16.416008958</v>
      </c>
      <c r="AX400" s="75" t="n">
        <v>100</v>
      </c>
      <c r="AY400" s="71" t="n">
        <v>36100000</v>
      </c>
      <c r="AZ400" s="71" t="n">
        <v>36100000</v>
      </c>
      <c r="BA400" s="71" t="n">
        <v>2196833</v>
      </c>
      <c r="BB400" s="71" t="n">
        <v>3086866</v>
      </c>
      <c r="BC400" s="69" t="inlineStr">
        <is>
          <t>Refinance</t>
        </is>
      </c>
      <c r="BD400" s="69" t="inlineStr">
        <is>
          <t>N</t>
        </is>
      </c>
      <c r="BE400" s="71" t="n"/>
      <c r="BF400" s="71" t="n"/>
      <c r="BG400" s="71" t="n"/>
      <c r="BH400" s="71" t="n">
        <v>0</v>
      </c>
      <c r="BI400" s="71" t="n">
        <v>271398.72</v>
      </c>
      <c r="BJ400" s="69" t="inlineStr">
        <is>
          <t>N</t>
        </is>
      </c>
      <c r="BK400" s="69" t="inlineStr">
        <is>
          <t>YOUNIQUE LLC</t>
        </is>
      </c>
      <c r="BL400" s="75" t="n">
        <v>100</v>
      </c>
      <c r="BM400" s="73" t="n">
        <v>46203</v>
      </c>
      <c r="BN400" s="69" t="inlineStr">
        <is>
          <t>Stack Real Estate</t>
        </is>
      </c>
      <c r="BO400" s="69" t="inlineStr">
        <is>
          <t>KeyBank</t>
        </is>
      </c>
      <c r="BP400" s="69" t="inlineStr">
        <is>
          <t>Midland Loan Services</t>
        </is>
      </c>
      <c r="BQ400" s="69" t="inlineStr">
        <is>
          <t>Midland Loan Services</t>
        </is>
      </c>
      <c r="BR400" s="69" t="n"/>
      <c r="BS400" s="73" t="n">
        <v>46276</v>
      </c>
      <c r="BU400" s="76">
        <f>IF($C400="","",IFERROR(INDEX(dmName,MATCH($C400,dmID,0)),"Unmapped"))</f>
        <v/>
      </c>
      <c r="BV400" s="76">
        <f>IF($C400="","",IFERROR(INDEX(dmEntity,MATCH($C400,dmID,0)),"Unmapped"))</f>
        <v/>
      </c>
      <c r="BW400" s="77">
        <f>IF($C400="","",IFERROR(INDEX(dmVintage,MATCH($C400,dmID,0)),""))</f>
        <v/>
      </c>
      <c r="BX400" s="78">
        <f>IFERROR(INDEX(dmInclude,MATCH($C400,dmID,0)),0)</f>
        <v/>
      </c>
      <c r="BY400" s="78">
        <f>IF(N($I400)&gt;0,1,0)</f>
        <v/>
      </c>
      <c r="BZ400" s="76">
        <f>IF($AJ400="","Other / Leased Fee",IFERROR(INDEX(mapPTGroup,MATCH(LEFT(TRIM($AJ400),2),mapPTCode,0)),"Other / Leased Fee"))</f>
        <v/>
      </c>
      <c r="CA400" s="76">
        <f>IF(TRIM($AF400&amp;"")="","NR",LEFT(TRIM($AF400),2))</f>
        <v/>
      </c>
      <c r="CB400" s="76">
        <f>IFERROR(LOOKUP(2,1/(LEFT(TRIM($AI400&amp;""),LEN(mapRegion))=mapRegion),mapRegion),"Not Reported")</f>
        <v/>
      </c>
      <c r="CC400" s="76">
        <f>IF($BY400=0,"",IF(TRIM($W400&amp;"")="REO","REO",IF(TRIM($W400&amp;"")="FC","Foreclosure",IF(TRIM($W400&amp;"")="90+","90+ Days Delinquent",IF(TRIM($W400&amp;"")="60","60 Days Delinquent",IF(TRIM($W400&amp;"")="30","30 Days Delinquent",IF($X400="Non-Performing Matured Balloon","Non-Performing Matured Balloon",IF(OR($X400="Late Payment But Less Than 30 Days Delinquent",LEFT($X400&amp;"",20)="Payment Not Received"),"Late / In Grace (&lt;30 Days)",IF($X400="Performing Matured Balloon","Performing Matured Balloon","Current")))))))))</f>
        <v/>
      </c>
      <c r="CD400" s="78">
        <f>IF(OR($CC400="REO",$CC400="Foreclosure",$CC400="90+ Days Delinquent",$CC400="60 Days Delinquent",$CC400="30 Days Delinquent",$CC400="Non-Performing Matured Balloon"),1,0)</f>
        <v/>
      </c>
      <c r="CE400" s="76">
        <f>IF($AB400="Currently special serv","Currently Specially Serviced",IF($AB400="Returned to master serv","Previously Specially Serviced","Never Specially Serviced"))</f>
        <v/>
      </c>
      <c r="CF400" s="78">
        <f>IF($CE400="Currently Specially Serviced",1,0)</f>
        <v/>
      </c>
      <c r="CG400" s="76">
        <f>IF($AA400="Yes","Currently on Watchlist",IF($AA400="Previously","Previously on Watchlist","Never on Watchlist"))</f>
        <v/>
      </c>
      <c r="CH400" s="78">
        <f>IF($CG400="Currently on Watchlist",1,0)</f>
        <v/>
      </c>
      <c r="CI400" s="76">
        <f>IF($Z400="Full Defeasance","Fully Defeased",IF($Z400="Portion Of Loan Previously Defeased","Partially Defeased",IF($Z400="Defeasance Not Allowable","Not Defeased (Not Permitted)","Not Defeased")))</f>
        <v/>
      </c>
      <c r="CJ400" s="78">
        <f>IF($CI400="Fully Defeased",1,0)</f>
        <v/>
      </c>
      <c r="CK400" s="76">
        <f>IF($R400="IO","Full IO",IF(LEFT($R400&amp;"",7)="IO then","Partial IO","Amortizing"))</f>
        <v/>
      </c>
      <c r="CL400" s="78">
        <f>IF($CK400="Full IO",1,0)</f>
        <v/>
      </c>
      <c r="CM400" s="78">
        <f>IF($CK400="Partial IO",1,0)</f>
        <v/>
      </c>
      <c r="CN400" s="76">
        <f>IF(LEFT($F400&amp;"",10)="SPLIT_LOAN","Pari Passu Split","Standalone")</f>
        <v/>
      </c>
      <c r="CO400" s="78">
        <f>IF($CN400="Pari Passu Split",1,0)</f>
        <v/>
      </c>
      <c r="CP400" s="77">
        <f>IF(ISNUMBER($T400),YEAR($T400),"")</f>
        <v/>
      </c>
      <c r="CQ400" s="79">
        <f>IF(ISNUMBER($V400),$V400,IF(ISNUMBER($U400),$U400,""))</f>
        <v/>
      </c>
      <c r="CR400" s="77">
        <f>IF(ISNUMBER($CQ400),YEAR($CQ400),"")</f>
        <v/>
      </c>
      <c r="CS400" s="78">
        <f>IF(ISNUMBER($M400),MAX(0,$M400),IF(TRIM($M400&amp;"")="matured",0,""))</f>
        <v/>
      </c>
      <c r="CT400" s="78">
        <f>IF(AND(ISNUMBER($CS400),N($CS400)&lt;=mMatWindow),1,0)</f>
        <v/>
      </c>
      <c r="CU400" s="80">
        <f>IF(ISNUMBER($J400),$J400/100,"")</f>
        <v/>
      </c>
      <c r="CV400" s="81">
        <f>IF(ISNUMBER($AQ400),$AQ400,"")</f>
        <v/>
      </c>
      <c r="CW400" s="81">
        <f>IF(ISNUMBER($AR400),$AR400,"")</f>
        <v/>
      </c>
      <c r="CX400" s="82">
        <f>IF(ISNUMBER($AS400),$AS400/100,"")</f>
        <v/>
      </c>
      <c r="CY400" s="82">
        <f>IF(ISNUMBER($AT400),$AT400/100,"")</f>
        <v/>
      </c>
      <c r="CZ400" s="82">
        <f>IF(ISNUMBER($AU400),$AU400/100,"")</f>
        <v/>
      </c>
      <c r="DA400" s="82">
        <f>IF(ISNUMBER($AV400),$AV400/100,"")</f>
        <v/>
      </c>
      <c r="DB400" s="82">
        <f>IF(ISNUMBER($AW400),$AW400/100,"")</f>
        <v/>
      </c>
      <c r="DC400" s="82">
        <f>IF(ISNUMBER($AX400),$AX400/100,"")</f>
        <v/>
      </c>
      <c r="DD400" s="77">
        <f>IFERROR(VALUE(LEFT(TRIM($AO400&amp;""),4)),"")</f>
        <v/>
      </c>
      <c r="DE400" s="78">
        <f>IF(AND($BY400=1,$BX400=1,OR(fDeal="All Deals",$BU400=fDeal),OR(fEntity="All Entities",$BV400=fEntity),OR(fPType="All Property Types",$BZ400=fPType),OR(fDefeased="Include",$CJ400=0)),1,0)</f>
        <v/>
      </c>
      <c r="DF400" s="83">
        <f>$DE400*N($I400)</f>
        <v/>
      </c>
      <c r="DG400" s="78">
        <f>IF($DE400=1,IF(COUNTIFS($F$8:$F400,$F400,$DE$8:$DE400,1)=1,1,0),0)</f>
        <v/>
      </c>
      <c r="DH400" s="83">
        <f>IF($DG400=1,SUMIFS($DF$8:$DF$1600,$F$8:$F$1600,$F400),0)</f>
        <v/>
      </c>
      <c r="DI400" s="78">
        <f>IF($DG400=1,COUNTIFS($F$8:$F$1600,$F400,$DE$8:$DE$1600,1),0)</f>
        <v/>
      </c>
      <c r="DJ400" s="84">
        <f>IF($DG400=1,$DH400+(100000-ROW())/mTieBreak,0)</f>
        <v/>
      </c>
    </row>
    <row r="401">
      <c r="B401" s="68" t="n">
        <v>15</v>
      </c>
      <c r="C401" s="69" t="inlineStr">
        <is>
          <t>UBS17C03</t>
        </is>
      </c>
      <c r="D401" s="69" t="inlineStr">
        <is>
          <t>15.000</t>
        </is>
      </c>
      <c r="E401" s="69" t="inlineStr">
        <is>
          <t>Azusa Center</t>
        </is>
      </c>
      <c r="F401" s="69" t="inlineStr">
        <is>
          <t>LNUBS17C03-15.000</t>
        </is>
      </c>
      <c r="G401" s="70" t="n"/>
      <c r="H401" s="71" t="n">
        <v>15958000</v>
      </c>
      <c r="I401" s="71" t="n">
        <v>14537546.58000795</v>
      </c>
      <c r="J401" s="72" t="n">
        <v>4.43</v>
      </c>
      <c r="K401" s="69" t="inlineStr">
        <is>
          <t>Fixed rate</t>
        </is>
      </c>
      <c r="L401" s="68" t="n">
        <v>120</v>
      </c>
      <c r="M401" s="68" t="n">
        <v>10</v>
      </c>
      <c r="N401" s="68" t="n">
        <v>408</v>
      </c>
      <c r="O401" s="68" t="n">
        <v>48</v>
      </c>
      <c r="P401" s="68" t="n">
        <v>0</v>
      </c>
      <c r="Q401" s="68" t="n">
        <v>110</v>
      </c>
      <c r="R401" s="69" t="inlineStr">
        <is>
          <t>IO then Amort</t>
        </is>
      </c>
      <c r="S401" s="69" t="inlineStr">
        <is>
          <t>No</t>
        </is>
      </c>
      <c r="T401" s="73" t="n">
        <v>42917</v>
      </c>
      <c r="U401" s="73" t="n">
        <v>46569</v>
      </c>
      <c r="V401" s="73" t="n"/>
      <c r="W401" s="69" t="n"/>
      <c r="X401" s="69" t="inlineStr">
        <is>
          <t>Current</t>
        </is>
      </c>
      <c r="Y401" s="68" t="n"/>
      <c r="Z401" s="69" t="inlineStr">
        <is>
          <t>No Defeasance Occurred</t>
        </is>
      </c>
      <c r="AA401" s="69" t="inlineStr">
        <is>
          <t>Yes</t>
        </is>
      </c>
      <c r="AB401" s="69" t="inlineStr">
        <is>
          <t>Never special serv</t>
        </is>
      </c>
      <c r="AC401" s="73" t="n"/>
      <c r="AD401" s="69" t="n"/>
      <c r="AE401" s="69" t="n"/>
      <c r="AF401" s="69" t="inlineStr">
        <is>
          <t>CA</t>
        </is>
      </c>
      <c r="AG401" s="69" t="inlineStr">
        <is>
          <t>Azusa</t>
        </is>
      </c>
      <c r="AH401" s="69" t="inlineStr">
        <is>
          <t>Los Angeles-Long Beach-Anaheim, CA</t>
        </is>
      </c>
      <c r="AI401" s="69" t="inlineStr">
        <is>
          <t>West / Pacific South</t>
        </is>
      </c>
      <c r="AJ401" s="69" t="inlineStr">
        <is>
          <t>RT</t>
        </is>
      </c>
      <c r="AK401" s="69" t="inlineStr">
        <is>
          <t>Anchored</t>
        </is>
      </c>
      <c r="AL401" s="68" t="n">
        <v>1</v>
      </c>
      <c r="AM401" s="68" t="n"/>
      <c r="AN401" s="68" t="n">
        <v>71129</v>
      </c>
      <c r="AO401" s="69" t="inlineStr">
        <is>
          <t>1975</t>
        </is>
      </c>
      <c r="AP401" s="70" t="n">
        <v>2007</v>
      </c>
      <c r="AQ401" s="74" t="n">
        <v>1.3</v>
      </c>
      <c r="AR401" s="74" t="n">
        <v>1.47</v>
      </c>
      <c r="AS401" s="74" t="n">
        <v>64.09999999999999</v>
      </c>
      <c r="AT401" s="74" t="n">
        <v>58.38</v>
      </c>
      <c r="AU401" s="74" t="n">
        <v>57.3</v>
      </c>
      <c r="AV401" s="74" t="n">
        <v>7.809418473</v>
      </c>
      <c r="AW401" s="74" t="n">
        <v>9.713674809</v>
      </c>
      <c r="AX401" s="75" t="n">
        <v>99</v>
      </c>
      <c r="AY401" s="71" t="n">
        <v>24900000</v>
      </c>
      <c r="AZ401" s="71" t="n">
        <v>24900000</v>
      </c>
      <c r="BA401" s="71" t="n">
        <v>1246227</v>
      </c>
      <c r="BB401" s="71" t="n">
        <v>1412130</v>
      </c>
      <c r="BC401" s="69" t="inlineStr">
        <is>
          <t>Refinance</t>
        </is>
      </c>
      <c r="BD401" s="69" t="inlineStr">
        <is>
          <t>N</t>
        </is>
      </c>
      <c r="BE401" s="71" t="n"/>
      <c r="BF401" s="71" t="n"/>
      <c r="BG401" s="71" t="n"/>
      <c r="BH401" s="71" t="n">
        <v>0</v>
      </c>
      <c r="BI401" s="71" t="n">
        <v>0</v>
      </c>
      <c r="BJ401" s="69" t="inlineStr">
        <is>
          <t>N</t>
        </is>
      </c>
      <c r="BK401" s="69" t="inlineStr">
        <is>
          <t>Stater Bros. Markets #57</t>
        </is>
      </c>
      <c r="BL401" s="75" t="n">
        <v>35.94</v>
      </c>
      <c r="BM401" s="73" t="n">
        <v>47756</v>
      </c>
      <c r="BN401" s="69" t="inlineStr">
        <is>
          <t>JADE Enterprises, LLC</t>
        </is>
      </c>
      <c r="BO401" s="69" t="inlineStr">
        <is>
          <t>KeyBank</t>
        </is>
      </c>
      <c r="BP401" s="69" t="inlineStr">
        <is>
          <t>Midland Loan Services</t>
        </is>
      </c>
      <c r="BQ401" s="69" t="inlineStr">
        <is>
          <t>Midland Loan Services</t>
        </is>
      </c>
      <c r="BR401" s="69" t="n"/>
      <c r="BS401" s="73" t="n">
        <v>46276</v>
      </c>
      <c r="BU401" s="76">
        <f>IF($C401="","",IFERROR(INDEX(dmName,MATCH($C401,dmID,0)),"Unmapped"))</f>
        <v/>
      </c>
      <c r="BV401" s="76">
        <f>IF($C401="","",IFERROR(INDEX(dmEntity,MATCH($C401,dmID,0)),"Unmapped"))</f>
        <v/>
      </c>
      <c r="BW401" s="77">
        <f>IF($C401="","",IFERROR(INDEX(dmVintage,MATCH($C401,dmID,0)),""))</f>
        <v/>
      </c>
      <c r="BX401" s="78">
        <f>IFERROR(INDEX(dmInclude,MATCH($C401,dmID,0)),0)</f>
        <v/>
      </c>
      <c r="BY401" s="78">
        <f>IF(N($I401)&gt;0,1,0)</f>
        <v/>
      </c>
      <c r="BZ401" s="76">
        <f>IF($AJ401="","Other / Leased Fee",IFERROR(INDEX(mapPTGroup,MATCH(LEFT(TRIM($AJ401),2),mapPTCode,0)),"Other / Leased Fee"))</f>
        <v/>
      </c>
      <c r="CA401" s="76">
        <f>IF(TRIM($AF401&amp;"")="","NR",LEFT(TRIM($AF401),2))</f>
        <v/>
      </c>
      <c r="CB401" s="76">
        <f>IFERROR(LOOKUP(2,1/(LEFT(TRIM($AI401&amp;""),LEN(mapRegion))=mapRegion),mapRegion),"Not Reported")</f>
        <v/>
      </c>
      <c r="CC401" s="76">
        <f>IF($BY401=0,"",IF(TRIM($W401&amp;"")="REO","REO",IF(TRIM($W401&amp;"")="FC","Foreclosure",IF(TRIM($W401&amp;"")="90+","90+ Days Delinquent",IF(TRIM($W401&amp;"")="60","60 Days Delinquent",IF(TRIM($W401&amp;"")="30","30 Days Delinquent",IF($X401="Non-Performing Matured Balloon","Non-Performing Matured Balloon",IF(OR($X401="Late Payment But Less Than 30 Days Delinquent",LEFT($X401&amp;"",20)="Payment Not Received"),"Late / In Grace (&lt;30 Days)",IF($X401="Performing Matured Balloon","Performing Matured Balloon","Current")))))))))</f>
        <v/>
      </c>
      <c r="CD401" s="78">
        <f>IF(OR($CC401="REO",$CC401="Foreclosure",$CC401="90+ Days Delinquent",$CC401="60 Days Delinquent",$CC401="30 Days Delinquent",$CC401="Non-Performing Matured Balloon"),1,0)</f>
        <v/>
      </c>
      <c r="CE401" s="76">
        <f>IF($AB401="Currently special serv","Currently Specially Serviced",IF($AB401="Returned to master serv","Previously Specially Serviced","Never Specially Serviced"))</f>
        <v/>
      </c>
      <c r="CF401" s="78">
        <f>IF($CE401="Currently Specially Serviced",1,0)</f>
        <v/>
      </c>
      <c r="CG401" s="76">
        <f>IF($AA401="Yes","Currently on Watchlist",IF($AA401="Previously","Previously on Watchlist","Never on Watchlist"))</f>
        <v/>
      </c>
      <c r="CH401" s="78">
        <f>IF($CG401="Currently on Watchlist",1,0)</f>
        <v/>
      </c>
      <c r="CI401" s="76">
        <f>IF($Z401="Full Defeasance","Fully Defeased",IF($Z401="Portion Of Loan Previously Defeased","Partially Defeased",IF($Z401="Defeasance Not Allowable","Not Defeased (Not Permitted)","Not Defeased")))</f>
        <v/>
      </c>
      <c r="CJ401" s="78">
        <f>IF($CI401="Fully Defeased",1,0)</f>
        <v/>
      </c>
      <c r="CK401" s="76">
        <f>IF($R401="IO","Full IO",IF(LEFT($R401&amp;"",7)="IO then","Partial IO","Amortizing"))</f>
        <v/>
      </c>
      <c r="CL401" s="78">
        <f>IF($CK401="Full IO",1,0)</f>
        <v/>
      </c>
      <c r="CM401" s="78">
        <f>IF($CK401="Partial IO",1,0)</f>
        <v/>
      </c>
      <c r="CN401" s="76">
        <f>IF(LEFT($F401&amp;"",10)="SPLIT_LOAN","Pari Passu Split","Standalone")</f>
        <v/>
      </c>
      <c r="CO401" s="78">
        <f>IF($CN401="Pari Passu Split",1,0)</f>
        <v/>
      </c>
      <c r="CP401" s="77">
        <f>IF(ISNUMBER($T401),YEAR($T401),"")</f>
        <v/>
      </c>
      <c r="CQ401" s="79">
        <f>IF(ISNUMBER($V401),$V401,IF(ISNUMBER($U401),$U401,""))</f>
        <v/>
      </c>
      <c r="CR401" s="77">
        <f>IF(ISNUMBER($CQ401),YEAR($CQ401),"")</f>
        <v/>
      </c>
      <c r="CS401" s="78">
        <f>IF(ISNUMBER($M401),MAX(0,$M401),IF(TRIM($M401&amp;"")="matured",0,""))</f>
        <v/>
      </c>
      <c r="CT401" s="78">
        <f>IF(AND(ISNUMBER($CS401),N($CS401)&lt;=mMatWindow),1,0)</f>
        <v/>
      </c>
      <c r="CU401" s="80">
        <f>IF(ISNUMBER($J401),$J401/100,"")</f>
        <v/>
      </c>
      <c r="CV401" s="81">
        <f>IF(ISNUMBER($AQ401),$AQ401,"")</f>
        <v/>
      </c>
      <c r="CW401" s="81">
        <f>IF(ISNUMBER($AR401),$AR401,"")</f>
        <v/>
      </c>
      <c r="CX401" s="82">
        <f>IF(ISNUMBER($AS401),$AS401/100,"")</f>
        <v/>
      </c>
      <c r="CY401" s="82">
        <f>IF(ISNUMBER($AT401),$AT401/100,"")</f>
        <v/>
      </c>
      <c r="CZ401" s="82">
        <f>IF(ISNUMBER($AU401),$AU401/100,"")</f>
        <v/>
      </c>
      <c r="DA401" s="82">
        <f>IF(ISNUMBER($AV401),$AV401/100,"")</f>
        <v/>
      </c>
      <c r="DB401" s="82">
        <f>IF(ISNUMBER($AW401),$AW401/100,"")</f>
        <v/>
      </c>
      <c r="DC401" s="82">
        <f>IF(ISNUMBER($AX401),$AX401/100,"")</f>
        <v/>
      </c>
      <c r="DD401" s="77">
        <f>IFERROR(VALUE(LEFT(TRIM($AO401&amp;""),4)),"")</f>
        <v/>
      </c>
      <c r="DE401" s="78">
        <f>IF(AND($BY401=1,$BX401=1,OR(fDeal="All Deals",$BU401=fDeal),OR(fEntity="All Entities",$BV401=fEntity),OR(fPType="All Property Types",$BZ401=fPType),OR(fDefeased="Include",$CJ401=0)),1,0)</f>
        <v/>
      </c>
      <c r="DF401" s="83">
        <f>$DE401*N($I401)</f>
        <v/>
      </c>
      <c r="DG401" s="78">
        <f>IF($DE401=1,IF(COUNTIFS($F$8:$F401,$F401,$DE$8:$DE401,1)=1,1,0),0)</f>
        <v/>
      </c>
      <c r="DH401" s="83">
        <f>IF($DG401=1,SUMIFS($DF$8:$DF$1600,$F$8:$F$1600,$F401),0)</f>
        <v/>
      </c>
      <c r="DI401" s="78">
        <f>IF($DG401=1,COUNTIFS($F$8:$F$1600,$F401,$DE$8:$DE$1600,1),0)</f>
        <v/>
      </c>
      <c r="DJ401" s="84">
        <f>IF($DG401=1,$DH401+(100000-ROW())/mTieBreak,0)</f>
        <v/>
      </c>
    </row>
    <row r="402">
      <c r="B402" s="68" t="n">
        <v>16</v>
      </c>
      <c r="C402" s="69" t="inlineStr">
        <is>
          <t>UBS17C03</t>
        </is>
      </c>
      <c r="D402" s="69" t="inlineStr">
        <is>
          <t>16.000</t>
        </is>
      </c>
      <c r="E402" s="69" t="inlineStr">
        <is>
          <t>Crowne Plaza Memphis Downtown</t>
        </is>
      </c>
      <c r="F402" s="69" t="inlineStr">
        <is>
          <t>LNUBS17C03-16.000</t>
        </is>
      </c>
      <c r="G402" s="70" t="n"/>
      <c r="H402" s="71" t="n">
        <v>16000000</v>
      </c>
      <c r="I402" s="71" t="n">
        <v>0</v>
      </c>
      <c r="J402" s="72" t="n">
        <v>5.3</v>
      </c>
      <c r="K402" s="69" t="inlineStr">
        <is>
          <t>Fixed rate</t>
        </is>
      </c>
      <c r="L402" s="68" t="n">
        <v>120</v>
      </c>
      <c r="M402" s="68" t="n"/>
      <c r="N402" s="68" t="n">
        <v>300</v>
      </c>
      <c r="O402" s="68" t="n"/>
      <c r="P402" s="68" t="n"/>
      <c r="Q402" s="68" t="n"/>
      <c r="R402" s="69" t="n"/>
      <c r="S402" s="69" t="inlineStr">
        <is>
          <t>No</t>
        </is>
      </c>
      <c r="T402" s="73" t="n">
        <v>42887</v>
      </c>
      <c r="U402" s="73" t="n">
        <v>46544</v>
      </c>
      <c r="V402" s="73" t="n"/>
      <c r="W402" s="69" t="n"/>
      <c r="X402" s="69" t="inlineStr">
        <is>
          <t>Current</t>
        </is>
      </c>
      <c r="Y402" s="68" t="n"/>
      <c r="Z402" s="69" t="inlineStr">
        <is>
          <t>No Defeasance Occurred</t>
        </is>
      </c>
      <c r="AA402" s="69" t="inlineStr">
        <is>
          <t>Previously</t>
        </is>
      </c>
      <c r="AB402" s="69" t="inlineStr">
        <is>
          <t>Currently special serv</t>
        </is>
      </c>
      <c r="AC402" s="73" t="n">
        <v>45099</v>
      </c>
      <c r="AD402" s="69" t="inlineStr">
        <is>
          <t>Imminent Monetary Default (excluding Balloon/Maturity Default &amp; Single Tenant Bankruptcy/Vacate)</t>
        </is>
      </c>
      <c r="AE402" s="69" t="inlineStr">
        <is>
          <t>Other</t>
        </is>
      </c>
      <c r="AF402" s="69" t="inlineStr">
        <is>
          <t>TN</t>
        </is>
      </c>
      <c r="AG402" s="69" t="inlineStr">
        <is>
          <t>Memphis</t>
        </is>
      </c>
      <c r="AH402" s="69" t="inlineStr">
        <is>
          <t>Memphis, TN-MS-AR</t>
        </is>
      </c>
      <c r="AI402" s="69" t="inlineStr">
        <is>
          <t>South / Central East</t>
        </is>
      </c>
      <c r="AJ402" s="69" t="inlineStr">
        <is>
          <t>HT</t>
        </is>
      </c>
      <c r="AK402" s="69" t="inlineStr">
        <is>
          <t>Full Service</t>
        </is>
      </c>
      <c r="AL402" s="68" t="n">
        <v>1</v>
      </c>
      <c r="AM402" s="68" t="n">
        <v>230</v>
      </c>
      <c r="AN402" s="68" t="n"/>
      <c r="AO402" s="69" t="inlineStr">
        <is>
          <t>1973</t>
        </is>
      </c>
      <c r="AP402" s="70" t="n">
        <v>2016</v>
      </c>
      <c r="AQ402" s="74" t="n">
        <v>1.99</v>
      </c>
      <c r="AR402" s="74" t="n">
        <v>-0.82</v>
      </c>
      <c r="AS402" s="74" t="n">
        <v>57.4</v>
      </c>
      <c r="AT402" s="74" t="n"/>
      <c r="AU402" s="74" t="n">
        <v>43.5</v>
      </c>
      <c r="AV402" s="74" t="n">
        <v>14.413728437</v>
      </c>
      <c r="AW402" s="74" t="n"/>
      <c r="AX402" s="75" t="n">
        <v>37</v>
      </c>
      <c r="AY402" s="71" t="n">
        <v>27800000</v>
      </c>
      <c r="AZ402" s="71" t="n">
        <v>9100000</v>
      </c>
      <c r="BA402" s="71" t="n">
        <v>2306196.55</v>
      </c>
      <c r="BB402" s="71" t="n">
        <v>-949050.72</v>
      </c>
      <c r="BC402" s="69" t="inlineStr">
        <is>
          <t>Refinance</t>
        </is>
      </c>
      <c r="BD402" s="69" t="inlineStr">
        <is>
          <t>N</t>
        </is>
      </c>
      <c r="BE402" s="71" t="n"/>
      <c r="BF402" s="71" t="n"/>
      <c r="BG402" s="71" t="n"/>
      <c r="BH402" s="71" t="n">
        <v>0</v>
      </c>
      <c r="BI402" s="71" t="n">
        <v>0</v>
      </c>
      <c r="BJ402" s="69" t="inlineStr">
        <is>
          <t>Y</t>
        </is>
      </c>
      <c r="BK402" s="69" t="n"/>
      <c r="BL402" s="75" t="n"/>
      <c r="BM402" s="73" t="n"/>
      <c r="BN402" s="69" t="inlineStr">
        <is>
          <t>Richard C. Rashid; Leroy M. Rashid; R. Charles Rashid II</t>
        </is>
      </c>
      <c r="BO402" s="69" t="inlineStr">
        <is>
          <t>RMF</t>
        </is>
      </c>
      <c r="BP402" s="69" t="inlineStr">
        <is>
          <t>Midland Loan Services</t>
        </is>
      </c>
      <c r="BQ402" s="69" t="inlineStr">
        <is>
          <t>Midland Loan Services</t>
        </is>
      </c>
      <c r="BR402" s="69" t="inlineStr">
        <is>
          <t>DPO</t>
        </is>
      </c>
      <c r="BS402" s="73" t="n">
        <v>46276</v>
      </c>
      <c r="BU402" s="76">
        <f>IF($C402="","",IFERROR(INDEX(dmName,MATCH($C402,dmID,0)),"Unmapped"))</f>
        <v/>
      </c>
      <c r="BV402" s="76">
        <f>IF($C402="","",IFERROR(INDEX(dmEntity,MATCH($C402,dmID,0)),"Unmapped"))</f>
        <v/>
      </c>
      <c r="BW402" s="77">
        <f>IF($C402="","",IFERROR(INDEX(dmVintage,MATCH($C402,dmID,0)),""))</f>
        <v/>
      </c>
      <c r="BX402" s="78">
        <f>IFERROR(INDEX(dmInclude,MATCH($C402,dmID,0)),0)</f>
        <v/>
      </c>
      <c r="BY402" s="78">
        <f>IF(N($I402)&gt;0,1,0)</f>
        <v/>
      </c>
      <c r="BZ402" s="76">
        <f>IF($AJ402="","Other / Leased Fee",IFERROR(INDEX(mapPTGroup,MATCH(LEFT(TRIM($AJ402),2),mapPTCode,0)),"Other / Leased Fee"))</f>
        <v/>
      </c>
      <c r="CA402" s="76">
        <f>IF(TRIM($AF402&amp;"")="","NR",LEFT(TRIM($AF402),2))</f>
        <v/>
      </c>
      <c r="CB402" s="76">
        <f>IFERROR(LOOKUP(2,1/(LEFT(TRIM($AI402&amp;""),LEN(mapRegion))=mapRegion),mapRegion),"Not Reported")</f>
        <v/>
      </c>
      <c r="CC402" s="76">
        <f>IF($BY402=0,"",IF(TRIM($W402&amp;"")="REO","REO",IF(TRIM($W402&amp;"")="FC","Foreclosure",IF(TRIM($W402&amp;"")="90+","90+ Days Delinquent",IF(TRIM($W402&amp;"")="60","60 Days Delinquent",IF(TRIM($W402&amp;"")="30","30 Days Delinquent",IF($X402="Non-Performing Matured Balloon","Non-Performing Matured Balloon",IF(OR($X402="Late Payment But Less Than 30 Days Delinquent",LEFT($X402&amp;"",20)="Payment Not Received"),"Late / In Grace (&lt;30 Days)",IF($X402="Performing Matured Balloon","Performing Matured Balloon","Current")))))))))</f>
        <v/>
      </c>
      <c r="CD402" s="78">
        <f>IF(OR($CC402="REO",$CC402="Foreclosure",$CC402="90+ Days Delinquent",$CC402="60 Days Delinquent",$CC402="30 Days Delinquent",$CC402="Non-Performing Matured Balloon"),1,0)</f>
        <v/>
      </c>
      <c r="CE402" s="76">
        <f>IF($AB402="Currently special serv","Currently Specially Serviced",IF($AB402="Returned to master serv","Previously Specially Serviced","Never Specially Serviced"))</f>
        <v/>
      </c>
      <c r="CF402" s="78">
        <f>IF($CE402="Currently Specially Serviced",1,0)</f>
        <v/>
      </c>
      <c r="CG402" s="76">
        <f>IF($AA402="Yes","Currently on Watchlist",IF($AA402="Previously","Previously on Watchlist","Never on Watchlist"))</f>
        <v/>
      </c>
      <c r="CH402" s="78">
        <f>IF($CG402="Currently on Watchlist",1,0)</f>
        <v/>
      </c>
      <c r="CI402" s="76">
        <f>IF($Z402="Full Defeasance","Fully Defeased",IF($Z402="Portion Of Loan Previously Defeased","Partially Defeased",IF($Z402="Defeasance Not Allowable","Not Defeased (Not Permitted)","Not Defeased")))</f>
        <v/>
      </c>
      <c r="CJ402" s="78">
        <f>IF($CI402="Fully Defeased",1,0)</f>
        <v/>
      </c>
      <c r="CK402" s="76">
        <f>IF($R402="IO","Full IO",IF(LEFT($R402&amp;"",7)="IO then","Partial IO","Amortizing"))</f>
        <v/>
      </c>
      <c r="CL402" s="78">
        <f>IF($CK402="Full IO",1,0)</f>
        <v/>
      </c>
      <c r="CM402" s="78">
        <f>IF($CK402="Partial IO",1,0)</f>
        <v/>
      </c>
      <c r="CN402" s="76">
        <f>IF(LEFT($F402&amp;"",10)="SPLIT_LOAN","Pari Passu Split","Standalone")</f>
        <v/>
      </c>
      <c r="CO402" s="78">
        <f>IF($CN402="Pari Passu Split",1,0)</f>
        <v/>
      </c>
      <c r="CP402" s="77">
        <f>IF(ISNUMBER($T402),YEAR($T402),"")</f>
        <v/>
      </c>
      <c r="CQ402" s="79">
        <f>IF(ISNUMBER($V402),$V402,IF(ISNUMBER($U402),$U402,""))</f>
        <v/>
      </c>
      <c r="CR402" s="77">
        <f>IF(ISNUMBER($CQ402),YEAR($CQ402),"")</f>
        <v/>
      </c>
      <c r="CS402" s="78">
        <f>IF(ISNUMBER($M402),MAX(0,$M402),IF(TRIM($M402&amp;"")="matured",0,""))</f>
        <v/>
      </c>
      <c r="CT402" s="78">
        <f>IF(AND(ISNUMBER($CS402),N($CS402)&lt;=mMatWindow),1,0)</f>
        <v/>
      </c>
      <c r="CU402" s="80">
        <f>IF(ISNUMBER($J402),$J402/100,"")</f>
        <v/>
      </c>
      <c r="CV402" s="81">
        <f>IF(ISNUMBER($AQ402),$AQ402,"")</f>
        <v/>
      </c>
      <c r="CW402" s="81">
        <f>IF(ISNUMBER($AR402),$AR402,"")</f>
        <v/>
      </c>
      <c r="CX402" s="82">
        <f>IF(ISNUMBER($AS402),$AS402/100,"")</f>
        <v/>
      </c>
      <c r="CY402" s="82">
        <f>IF(ISNUMBER($AT402),$AT402/100,"")</f>
        <v/>
      </c>
      <c r="CZ402" s="82">
        <f>IF(ISNUMBER($AU402),$AU402/100,"")</f>
        <v/>
      </c>
      <c r="DA402" s="82">
        <f>IF(ISNUMBER($AV402),$AV402/100,"")</f>
        <v/>
      </c>
      <c r="DB402" s="82">
        <f>IF(ISNUMBER($AW402),$AW402/100,"")</f>
        <v/>
      </c>
      <c r="DC402" s="82">
        <f>IF(ISNUMBER($AX402),$AX402/100,"")</f>
        <v/>
      </c>
      <c r="DD402" s="77">
        <f>IFERROR(VALUE(LEFT(TRIM($AO402&amp;""),4)),"")</f>
        <v/>
      </c>
      <c r="DE402" s="78">
        <f>IF(AND($BY402=1,$BX402=1,OR(fDeal="All Deals",$BU402=fDeal),OR(fEntity="All Entities",$BV402=fEntity),OR(fPType="All Property Types",$BZ402=fPType),OR(fDefeased="Include",$CJ402=0)),1,0)</f>
        <v/>
      </c>
      <c r="DF402" s="83">
        <f>$DE402*N($I402)</f>
        <v/>
      </c>
      <c r="DG402" s="78">
        <f>IF($DE402=1,IF(COUNTIFS($F$8:$F402,$F402,$DE$8:$DE402,1)=1,1,0),0)</f>
        <v/>
      </c>
      <c r="DH402" s="83">
        <f>IF($DG402=1,SUMIFS($DF$8:$DF$1600,$F$8:$F$1600,$F402),0)</f>
        <v/>
      </c>
      <c r="DI402" s="78">
        <f>IF($DG402=1,COUNTIFS($F$8:$F$1600,$F402,$DE$8:$DE$1600,1),0)</f>
        <v/>
      </c>
      <c r="DJ402" s="84">
        <f>IF($DG402=1,$DH402+(100000-ROW())/mTieBreak,0)</f>
        <v/>
      </c>
    </row>
    <row r="403">
      <c r="B403" s="68" t="n">
        <v>17</v>
      </c>
      <c r="C403" s="69" t="inlineStr">
        <is>
          <t>UBS17C03</t>
        </is>
      </c>
      <c r="D403" s="69" t="inlineStr">
        <is>
          <t>17.000</t>
        </is>
      </c>
      <c r="E403" s="69" t="inlineStr">
        <is>
          <t>Four Points - Charleston</t>
        </is>
      </c>
      <c r="F403" s="69" t="inlineStr">
        <is>
          <t>LNUBS17C03-17.000</t>
        </is>
      </c>
      <c r="G403" s="70" t="n"/>
      <c r="H403" s="71" t="n">
        <v>14500000</v>
      </c>
      <c r="I403" s="71" t="n">
        <v>12176731.5499975</v>
      </c>
      <c r="J403" s="72" t="n">
        <v>4.89</v>
      </c>
      <c r="K403" s="69" t="inlineStr">
        <is>
          <t>Fixed rate</t>
        </is>
      </c>
      <c r="L403" s="68" t="n">
        <v>120</v>
      </c>
      <c r="M403" s="68" t="n">
        <v>11</v>
      </c>
      <c r="N403" s="68" t="n">
        <v>360</v>
      </c>
      <c r="O403" s="68" t="n"/>
      <c r="P403" s="68" t="n"/>
      <c r="Q403" s="68" t="n">
        <v>109</v>
      </c>
      <c r="R403" s="69" t="n"/>
      <c r="S403" s="69" t="inlineStr">
        <is>
          <t>No</t>
        </is>
      </c>
      <c r="T403" s="73" t="n">
        <v>42948</v>
      </c>
      <c r="U403" s="73" t="n">
        <v>46600</v>
      </c>
      <c r="V403" s="73" t="n"/>
      <c r="W403" s="69" t="n"/>
      <c r="X403" s="69" t="inlineStr">
        <is>
          <t>Current</t>
        </is>
      </c>
      <c r="Y403" s="68" t="n"/>
      <c r="Z403" s="69" t="inlineStr">
        <is>
          <t>Defeasance Not Allowable</t>
        </is>
      </c>
      <c r="AA403" s="69" t="inlineStr">
        <is>
          <t>Yes</t>
        </is>
      </c>
      <c r="AB403" s="69" t="inlineStr">
        <is>
          <t>Never special serv</t>
        </is>
      </c>
      <c r="AC403" s="73" t="n"/>
      <c r="AD403" s="69" t="n"/>
      <c r="AE403" s="69" t="n"/>
      <c r="AF403" s="69" t="inlineStr">
        <is>
          <t>WV</t>
        </is>
      </c>
      <c r="AG403" s="69" t="inlineStr">
        <is>
          <t>Charleston</t>
        </is>
      </c>
      <c r="AH403" s="69" t="inlineStr">
        <is>
          <t>Charleston, WV</t>
        </is>
      </c>
      <c r="AI403" s="69" t="inlineStr">
        <is>
          <t>South / Atlantic</t>
        </is>
      </c>
      <c r="AJ403" s="69" t="inlineStr">
        <is>
          <t>HT</t>
        </is>
      </c>
      <c r="AK403" s="69" t="inlineStr">
        <is>
          <t>Full Service</t>
        </is>
      </c>
      <c r="AL403" s="68" t="n">
        <v>1</v>
      </c>
      <c r="AM403" s="68" t="n">
        <v>176</v>
      </c>
      <c r="AN403" s="68" t="n"/>
      <c r="AO403" s="69" t="inlineStr">
        <is>
          <t>1966</t>
        </is>
      </c>
      <c r="AP403" s="70" t="n">
        <v>2014</v>
      </c>
      <c r="AQ403" s="74" t="n">
        <v>1.75</v>
      </c>
      <c r="AR403" s="74" t="n">
        <v>1.24</v>
      </c>
      <c r="AS403" s="74" t="n">
        <v>61.7</v>
      </c>
      <c r="AT403" s="74" t="n">
        <v>51.82</v>
      </c>
      <c r="AU403" s="74" t="n">
        <v>50.5</v>
      </c>
      <c r="AV403" s="74" t="n">
        <v>11.114124138</v>
      </c>
      <c r="AW403" s="74" t="n">
        <v>9.645929987000001</v>
      </c>
      <c r="AX403" s="75" t="n">
        <v>60</v>
      </c>
      <c r="AY403" s="71" t="n">
        <v>23500000</v>
      </c>
      <c r="AZ403" s="71" t="n">
        <v>23500000</v>
      </c>
      <c r="BA403" s="71" t="n">
        <v>1611548</v>
      </c>
      <c r="BB403" s="71" t="n">
        <v>1148181.51</v>
      </c>
      <c r="BC403" s="69" t="inlineStr">
        <is>
          <t>Refinance</t>
        </is>
      </c>
      <c r="BD403" s="69" t="inlineStr">
        <is>
          <t>N</t>
        </is>
      </c>
      <c r="BE403" s="71" t="n"/>
      <c r="BF403" s="71" t="n"/>
      <c r="BG403" s="71" t="n"/>
      <c r="BH403" s="71" t="n">
        <v>0</v>
      </c>
      <c r="BI403" s="71" t="n">
        <v>0</v>
      </c>
      <c r="BJ403" s="69" t="inlineStr">
        <is>
          <t>N</t>
        </is>
      </c>
      <c r="BK403" s="69" t="n"/>
      <c r="BL403" s="75" t="n"/>
      <c r="BM403" s="73" t="n"/>
      <c r="BN403" s="69" t="inlineStr">
        <is>
          <t>BBL, LLC</t>
        </is>
      </c>
      <c r="BO403" s="69" t="inlineStr">
        <is>
          <t>KeyBank</t>
        </is>
      </c>
      <c r="BP403" s="69" t="inlineStr">
        <is>
          <t>Midland Loan Services</t>
        </is>
      </c>
      <c r="BQ403" s="69" t="inlineStr">
        <is>
          <t>Midland Loan Services</t>
        </is>
      </c>
      <c r="BR403" s="69" t="n"/>
      <c r="BS403" s="73" t="n">
        <v>46276</v>
      </c>
      <c r="BU403" s="76">
        <f>IF($C403="","",IFERROR(INDEX(dmName,MATCH($C403,dmID,0)),"Unmapped"))</f>
        <v/>
      </c>
      <c r="BV403" s="76">
        <f>IF($C403="","",IFERROR(INDEX(dmEntity,MATCH($C403,dmID,0)),"Unmapped"))</f>
        <v/>
      </c>
      <c r="BW403" s="77">
        <f>IF($C403="","",IFERROR(INDEX(dmVintage,MATCH($C403,dmID,0)),""))</f>
        <v/>
      </c>
      <c r="BX403" s="78">
        <f>IFERROR(INDEX(dmInclude,MATCH($C403,dmID,0)),0)</f>
        <v/>
      </c>
      <c r="BY403" s="78">
        <f>IF(N($I403)&gt;0,1,0)</f>
        <v/>
      </c>
      <c r="BZ403" s="76">
        <f>IF($AJ403="","Other / Leased Fee",IFERROR(INDEX(mapPTGroup,MATCH(LEFT(TRIM($AJ403),2),mapPTCode,0)),"Other / Leased Fee"))</f>
        <v/>
      </c>
      <c r="CA403" s="76">
        <f>IF(TRIM($AF403&amp;"")="","NR",LEFT(TRIM($AF403),2))</f>
        <v/>
      </c>
      <c r="CB403" s="76">
        <f>IFERROR(LOOKUP(2,1/(LEFT(TRIM($AI403&amp;""),LEN(mapRegion))=mapRegion),mapRegion),"Not Reported")</f>
        <v/>
      </c>
      <c r="CC403" s="76">
        <f>IF($BY403=0,"",IF(TRIM($W403&amp;"")="REO","REO",IF(TRIM($W403&amp;"")="FC","Foreclosure",IF(TRIM($W403&amp;"")="90+","90+ Days Delinquent",IF(TRIM($W403&amp;"")="60","60 Days Delinquent",IF(TRIM($W403&amp;"")="30","30 Days Delinquent",IF($X403="Non-Performing Matured Balloon","Non-Performing Matured Balloon",IF(OR($X403="Late Payment But Less Than 30 Days Delinquent",LEFT($X403&amp;"",20)="Payment Not Received"),"Late / In Grace (&lt;30 Days)",IF($X403="Performing Matured Balloon","Performing Matured Balloon","Current")))))))))</f>
        <v/>
      </c>
      <c r="CD403" s="78">
        <f>IF(OR($CC403="REO",$CC403="Foreclosure",$CC403="90+ Days Delinquent",$CC403="60 Days Delinquent",$CC403="30 Days Delinquent",$CC403="Non-Performing Matured Balloon"),1,0)</f>
        <v/>
      </c>
      <c r="CE403" s="76">
        <f>IF($AB403="Currently special serv","Currently Specially Serviced",IF($AB403="Returned to master serv","Previously Specially Serviced","Never Specially Serviced"))</f>
        <v/>
      </c>
      <c r="CF403" s="78">
        <f>IF($CE403="Currently Specially Serviced",1,0)</f>
        <v/>
      </c>
      <c r="CG403" s="76">
        <f>IF($AA403="Yes","Currently on Watchlist",IF($AA403="Previously","Previously on Watchlist","Never on Watchlist"))</f>
        <v/>
      </c>
      <c r="CH403" s="78">
        <f>IF($CG403="Currently on Watchlist",1,0)</f>
        <v/>
      </c>
      <c r="CI403" s="76">
        <f>IF($Z403="Full Defeasance","Fully Defeased",IF($Z403="Portion Of Loan Previously Defeased","Partially Defeased",IF($Z403="Defeasance Not Allowable","Not Defeased (Not Permitted)","Not Defeased")))</f>
        <v/>
      </c>
      <c r="CJ403" s="78">
        <f>IF($CI403="Fully Defeased",1,0)</f>
        <v/>
      </c>
      <c r="CK403" s="76">
        <f>IF($R403="IO","Full IO",IF(LEFT($R403&amp;"",7)="IO then","Partial IO","Amortizing"))</f>
        <v/>
      </c>
      <c r="CL403" s="78">
        <f>IF($CK403="Full IO",1,0)</f>
        <v/>
      </c>
      <c r="CM403" s="78">
        <f>IF($CK403="Partial IO",1,0)</f>
        <v/>
      </c>
      <c r="CN403" s="76">
        <f>IF(LEFT($F403&amp;"",10)="SPLIT_LOAN","Pari Passu Split","Standalone")</f>
        <v/>
      </c>
      <c r="CO403" s="78">
        <f>IF($CN403="Pari Passu Split",1,0)</f>
        <v/>
      </c>
      <c r="CP403" s="77">
        <f>IF(ISNUMBER($T403),YEAR($T403),"")</f>
        <v/>
      </c>
      <c r="CQ403" s="79">
        <f>IF(ISNUMBER($V403),$V403,IF(ISNUMBER($U403),$U403,""))</f>
        <v/>
      </c>
      <c r="CR403" s="77">
        <f>IF(ISNUMBER($CQ403),YEAR($CQ403),"")</f>
        <v/>
      </c>
      <c r="CS403" s="78">
        <f>IF(ISNUMBER($M403),MAX(0,$M403),IF(TRIM($M403&amp;"")="matured",0,""))</f>
        <v/>
      </c>
      <c r="CT403" s="78">
        <f>IF(AND(ISNUMBER($CS403),N($CS403)&lt;=mMatWindow),1,0)</f>
        <v/>
      </c>
      <c r="CU403" s="80">
        <f>IF(ISNUMBER($J403),$J403/100,"")</f>
        <v/>
      </c>
      <c r="CV403" s="81">
        <f>IF(ISNUMBER($AQ403),$AQ403,"")</f>
        <v/>
      </c>
      <c r="CW403" s="81">
        <f>IF(ISNUMBER($AR403),$AR403,"")</f>
        <v/>
      </c>
      <c r="CX403" s="82">
        <f>IF(ISNUMBER($AS403),$AS403/100,"")</f>
        <v/>
      </c>
      <c r="CY403" s="82">
        <f>IF(ISNUMBER($AT403),$AT403/100,"")</f>
        <v/>
      </c>
      <c r="CZ403" s="82">
        <f>IF(ISNUMBER($AU403),$AU403/100,"")</f>
        <v/>
      </c>
      <c r="DA403" s="82">
        <f>IF(ISNUMBER($AV403),$AV403/100,"")</f>
        <v/>
      </c>
      <c r="DB403" s="82">
        <f>IF(ISNUMBER($AW403),$AW403/100,"")</f>
        <v/>
      </c>
      <c r="DC403" s="82">
        <f>IF(ISNUMBER($AX403),$AX403/100,"")</f>
        <v/>
      </c>
      <c r="DD403" s="77">
        <f>IFERROR(VALUE(LEFT(TRIM($AO403&amp;""),4)),"")</f>
        <v/>
      </c>
      <c r="DE403" s="78">
        <f>IF(AND($BY403=1,$BX403=1,OR(fDeal="All Deals",$BU403=fDeal),OR(fEntity="All Entities",$BV403=fEntity),OR(fPType="All Property Types",$BZ403=fPType),OR(fDefeased="Include",$CJ403=0)),1,0)</f>
        <v/>
      </c>
      <c r="DF403" s="83">
        <f>$DE403*N($I403)</f>
        <v/>
      </c>
      <c r="DG403" s="78">
        <f>IF($DE403=1,IF(COUNTIFS($F$8:$F403,$F403,$DE$8:$DE403,1)=1,1,0),0)</f>
        <v/>
      </c>
      <c r="DH403" s="83">
        <f>IF($DG403=1,SUMIFS($DF$8:$DF$1600,$F$8:$F$1600,$F403),0)</f>
        <v/>
      </c>
      <c r="DI403" s="78">
        <f>IF($DG403=1,COUNTIFS($F$8:$F$1600,$F403,$DE$8:$DE$1600,1),0)</f>
        <v/>
      </c>
      <c r="DJ403" s="84">
        <f>IF($DG403=1,$DH403+(100000-ROW())/mTieBreak,0)</f>
        <v/>
      </c>
    </row>
    <row r="404">
      <c r="B404" s="68" t="n">
        <v>18</v>
      </c>
      <c r="C404" s="69" t="inlineStr">
        <is>
          <t>UBS17C03</t>
        </is>
      </c>
      <c r="D404" s="69" t="inlineStr">
        <is>
          <t>18.000</t>
        </is>
      </c>
      <c r="E404" s="69" t="inlineStr">
        <is>
          <t>Holiday Inn Downtown Raleigh</t>
        </is>
      </c>
      <c r="F404" s="69" t="inlineStr">
        <is>
          <t>LNUBS17C03-18.000</t>
        </is>
      </c>
      <c r="G404" s="70" t="n"/>
      <c r="H404" s="71" t="n">
        <v>14000000</v>
      </c>
      <c r="I404" s="71" t="n">
        <v>11683448.230006</v>
      </c>
      <c r="J404" s="72" t="n">
        <v>4.75</v>
      </c>
      <c r="K404" s="69" t="inlineStr">
        <is>
          <t>Fixed rate</t>
        </is>
      </c>
      <c r="L404" s="68" t="n">
        <v>120</v>
      </c>
      <c r="M404" s="68" t="n">
        <v>10</v>
      </c>
      <c r="N404" s="68" t="n">
        <v>360</v>
      </c>
      <c r="O404" s="68" t="n"/>
      <c r="P404" s="68" t="n"/>
      <c r="Q404" s="68" t="n">
        <v>110</v>
      </c>
      <c r="R404" s="69" t="n"/>
      <c r="S404" s="69" t="inlineStr">
        <is>
          <t>No</t>
        </is>
      </c>
      <c r="T404" s="73" t="n">
        <v>42917</v>
      </c>
      <c r="U404" s="73" t="n">
        <v>46574</v>
      </c>
      <c r="V404" s="73" t="n"/>
      <c r="W404" s="69" t="n"/>
      <c r="X404" s="69" t="inlineStr">
        <is>
          <t>Current</t>
        </is>
      </c>
      <c r="Y404" s="68" t="n"/>
      <c r="Z404" s="69" t="inlineStr">
        <is>
          <t>Full Defeasance</t>
        </is>
      </c>
      <c r="AA404" s="69" t="inlineStr">
        <is>
          <t>Previously</t>
        </is>
      </c>
      <c r="AB404" s="69" t="inlineStr">
        <is>
          <t>Never special serv</t>
        </is>
      </c>
      <c r="AC404" s="73" t="n"/>
      <c r="AD404" s="69" t="n"/>
      <c r="AE404" s="69" t="n"/>
      <c r="AF404" s="69" t="inlineStr">
        <is>
          <t>NC</t>
        </is>
      </c>
      <c r="AG404" s="69" t="inlineStr">
        <is>
          <t>Raleigh</t>
        </is>
      </c>
      <c r="AH404" s="69" t="inlineStr">
        <is>
          <t>Raleigh-Cary, NC</t>
        </is>
      </c>
      <c r="AI404" s="69" t="inlineStr">
        <is>
          <t>South / Atlantic</t>
        </is>
      </c>
      <c r="AJ404" s="69" t="inlineStr">
        <is>
          <t>HT</t>
        </is>
      </c>
      <c r="AK404" s="69" t="inlineStr">
        <is>
          <t>Full Service</t>
        </is>
      </c>
      <c r="AL404" s="68" t="n">
        <v>1</v>
      </c>
      <c r="AM404" s="68" t="n">
        <v>203</v>
      </c>
      <c r="AN404" s="68" t="n"/>
      <c r="AO404" s="69" t="inlineStr">
        <is>
          <t>1969</t>
        </is>
      </c>
      <c r="AP404" s="70" t="n">
        <v>2014</v>
      </c>
      <c r="AQ404" s="74" t="n">
        <v>2.84</v>
      </c>
      <c r="AR404" s="74" t="n">
        <v>-0.3</v>
      </c>
      <c r="AS404" s="74" t="n">
        <v>49.6</v>
      </c>
      <c r="AT404" s="74" t="n">
        <v>41.43</v>
      </c>
      <c r="AU404" s="74" t="n">
        <v>40.5</v>
      </c>
      <c r="AV404" s="74" t="n">
        <v>17.803885714</v>
      </c>
      <c r="AW404" s="74" t="n">
        <v>-5.046086296</v>
      </c>
      <c r="AX404" s="75" t="n">
        <v>29</v>
      </c>
      <c r="AY404" s="71" t="n">
        <v>28200000</v>
      </c>
      <c r="AZ404" s="71" t="n">
        <v>28200000</v>
      </c>
      <c r="BA404" s="71" t="n">
        <v>2492544</v>
      </c>
      <c r="BB404" s="71" t="n">
        <v>-266312.68</v>
      </c>
      <c r="BC404" s="69" t="inlineStr">
        <is>
          <t>Refinance</t>
        </is>
      </c>
      <c r="BD404" s="69" t="inlineStr">
        <is>
          <t>N</t>
        </is>
      </c>
      <c r="BE404" s="71" t="n"/>
      <c r="BF404" s="71" t="n"/>
      <c r="BG404" s="71" t="n"/>
      <c r="BH404" s="71" t="n">
        <v>0</v>
      </c>
      <c r="BI404" s="71" t="n">
        <v>0</v>
      </c>
      <c r="BJ404" s="69" t="inlineStr">
        <is>
          <t>N</t>
        </is>
      </c>
      <c r="BK404" s="69" t="n"/>
      <c r="BL404" s="75" t="n"/>
      <c r="BM404" s="73" t="n"/>
      <c r="BN404" s="69" t="inlineStr">
        <is>
          <t>InterAmerican Hotels Corp.</t>
        </is>
      </c>
      <c r="BO404" s="69" t="inlineStr">
        <is>
          <t>Cantor Commercial Real Estate Lending</t>
        </is>
      </c>
      <c r="BP404" s="69" t="inlineStr">
        <is>
          <t>Midland Loan Services</t>
        </is>
      </c>
      <c r="BQ404" s="69" t="inlineStr">
        <is>
          <t>Midland Loan Services</t>
        </is>
      </c>
      <c r="BR404" s="69" t="n"/>
      <c r="BS404" s="73" t="n">
        <v>46276</v>
      </c>
      <c r="BU404" s="76">
        <f>IF($C404="","",IFERROR(INDEX(dmName,MATCH($C404,dmID,0)),"Unmapped"))</f>
        <v/>
      </c>
      <c r="BV404" s="76">
        <f>IF($C404="","",IFERROR(INDEX(dmEntity,MATCH($C404,dmID,0)),"Unmapped"))</f>
        <v/>
      </c>
      <c r="BW404" s="77">
        <f>IF($C404="","",IFERROR(INDEX(dmVintage,MATCH($C404,dmID,0)),""))</f>
        <v/>
      </c>
      <c r="BX404" s="78">
        <f>IFERROR(INDEX(dmInclude,MATCH($C404,dmID,0)),0)</f>
        <v/>
      </c>
      <c r="BY404" s="78">
        <f>IF(N($I404)&gt;0,1,0)</f>
        <v/>
      </c>
      <c r="BZ404" s="76">
        <f>IF($AJ404="","Other / Leased Fee",IFERROR(INDEX(mapPTGroup,MATCH(LEFT(TRIM($AJ404),2),mapPTCode,0)),"Other / Leased Fee"))</f>
        <v/>
      </c>
      <c r="CA404" s="76">
        <f>IF(TRIM($AF404&amp;"")="","NR",LEFT(TRIM($AF404),2))</f>
        <v/>
      </c>
      <c r="CB404" s="76">
        <f>IFERROR(LOOKUP(2,1/(LEFT(TRIM($AI404&amp;""),LEN(mapRegion))=mapRegion),mapRegion),"Not Reported")</f>
        <v/>
      </c>
      <c r="CC404" s="76">
        <f>IF($BY404=0,"",IF(TRIM($W404&amp;"")="REO","REO",IF(TRIM($W404&amp;"")="FC","Foreclosure",IF(TRIM($W404&amp;"")="90+","90+ Days Delinquent",IF(TRIM($W404&amp;"")="60","60 Days Delinquent",IF(TRIM($W404&amp;"")="30","30 Days Delinquent",IF($X404="Non-Performing Matured Balloon","Non-Performing Matured Balloon",IF(OR($X404="Late Payment But Less Than 30 Days Delinquent",LEFT($X404&amp;"",20)="Payment Not Received"),"Late / In Grace (&lt;30 Days)",IF($X404="Performing Matured Balloon","Performing Matured Balloon","Current")))))))))</f>
        <v/>
      </c>
      <c r="CD404" s="78">
        <f>IF(OR($CC404="REO",$CC404="Foreclosure",$CC404="90+ Days Delinquent",$CC404="60 Days Delinquent",$CC404="30 Days Delinquent",$CC404="Non-Performing Matured Balloon"),1,0)</f>
        <v/>
      </c>
      <c r="CE404" s="76">
        <f>IF($AB404="Currently special serv","Currently Specially Serviced",IF($AB404="Returned to master serv","Previously Specially Serviced","Never Specially Serviced"))</f>
        <v/>
      </c>
      <c r="CF404" s="78">
        <f>IF($CE404="Currently Specially Serviced",1,0)</f>
        <v/>
      </c>
      <c r="CG404" s="76">
        <f>IF($AA404="Yes","Currently on Watchlist",IF($AA404="Previously","Previously on Watchlist","Never on Watchlist"))</f>
        <v/>
      </c>
      <c r="CH404" s="78">
        <f>IF($CG404="Currently on Watchlist",1,0)</f>
        <v/>
      </c>
      <c r="CI404" s="76">
        <f>IF($Z404="Full Defeasance","Fully Defeased",IF($Z404="Portion Of Loan Previously Defeased","Partially Defeased",IF($Z404="Defeasance Not Allowable","Not Defeased (Not Permitted)","Not Defeased")))</f>
        <v/>
      </c>
      <c r="CJ404" s="78">
        <f>IF($CI404="Fully Defeased",1,0)</f>
        <v/>
      </c>
      <c r="CK404" s="76">
        <f>IF($R404="IO","Full IO",IF(LEFT($R404&amp;"",7)="IO then","Partial IO","Amortizing"))</f>
        <v/>
      </c>
      <c r="CL404" s="78">
        <f>IF($CK404="Full IO",1,0)</f>
        <v/>
      </c>
      <c r="CM404" s="78">
        <f>IF($CK404="Partial IO",1,0)</f>
        <v/>
      </c>
      <c r="CN404" s="76">
        <f>IF(LEFT($F404&amp;"",10)="SPLIT_LOAN","Pari Passu Split","Standalone")</f>
        <v/>
      </c>
      <c r="CO404" s="78">
        <f>IF($CN404="Pari Passu Split",1,0)</f>
        <v/>
      </c>
      <c r="CP404" s="77">
        <f>IF(ISNUMBER($T404),YEAR($T404),"")</f>
        <v/>
      </c>
      <c r="CQ404" s="79">
        <f>IF(ISNUMBER($V404),$V404,IF(ISNUMBER($U404),$U404,""))</f>
        <v/>
      </c>
      <c r="CR404" s="77">
        <f>IF(ISNUMBER($CQ404),YEAR($CQ404),"")</f>
        <v/>
      </c>
      <c r="CS404" s="78">
        <f>IF(ISNUMBER($M404),MAX(0,$M404),IF(TRIM($M404&amp;"")="matured",0,""))</f>
        <v/>
      </c>
      <c r="CT404" s="78">
        <f>IF(AND(ISNUMBER($CS404),N($CS404)&lt;=mMatWindow),1,0)</f>
        <v/>
      </c>
      <c r="CU404" s="80">
        <f>IF(ISNUMBER($J404),$J404/100,"")</f>
        <v/>
      </c>
      <c r="CV404" s="81">
        <f>IF(ISNUMBER($AQ404),$AQ404,"")</f>
        <v/>
      </c>
      <c r="CW404" s="81">
        <f>IF(ISNUMBER($AR404),$AR404,"")</f>
        <v/>
      </c>
      <c r="CX404" s="82">
        <f>IF(ISNUMBER($AS404),$AS404/100,"")</f>
        <v/>
      </c>
      <c r="CY404" s="82">
        <f>IF(ISNUMBER($AT404),$AT404/100,"")</f>
        <v/>
      </c>
      <c r="CZ404" s="82">
        <f>IF(ISNUMBER($AU404),$AU404/100,"")</f>
        <v/>
      </c>
      <c r="DA404" s="82">
        <f>IF(ISNUMBER($AV404),$AV404/100,"")</f>
        <v/>
      </c>
      <c r="DB404" s="82">
        <f>IF(ISNUMBER($AW404),$AW404/100,"")</f>
        <v/>
      </c>
      <c r="DC404" s="82">
        <f>IF(ISNUMBER($AX404),$AX404/100,"")</f>
        <v/>
      </c>
      <c r="DD404" s="77">
        <f>IFERROR(VALUE(LEFT(TRIM($AO404&amp;""),4)),"")</f>
        <v/>
      </c>
      <c r="DE404" s="78">
        <f>IF(AND($BY404=1,$BX404=1,OR(fDeal="All Deals",$BU404=fDeal),OR(fEntity="All Entities",$BV404=fEntity),OR(fPType="All Property Types",$BZ404=fPType),OR(fDefeased="Include",$CJ404=0)),1,0)</f>
        <v/>
      </c>
      <c r="DF404" s="83">
        <f>$DE404*N($I404)</f>
        <v/>
      </c>
      <c r="DG404" s="78">
        <f>IF($DE404=1,IF(COUNTIFS($F$8:$F404,$F404,$DE$8:$DE404,1)=1,1,0),0)</f>
        <v/>
      </c>
      <c r="DH404" s="83">
        <f>IF($DG404=1,SUMIFS($DF$8:$DF$1600,$F$8:$F$1600,$F404),0)</f>
        <v/>
      </c>
      <c r="DI404" s="78">
        <f>IF($DG404=1,COUNTIFS($F$8:$F$1600,$F404,$DE$8:$DE$1600,1),0)</f>
        <v/>
      </c>
      <c r="DJ404" s="84">
        <f>IF($DG404=1,$DH404+(100000-ROW())/mTieBreak,0)</f>
        <v/>
      </c>
    </row>
    <row r="405">
      <c r="B405" s="68" t="n">
        <v>19</v>
      </c>
      <c r="C405" s="69" t="inlineStr">
        <is>
          <t>UBS17C03</t>
        </is>
      </c>
      <c r="D405" s="69" t="inlineStr">
        <is>
          <t>19.000</t>
        </is>
      </c>
      <c r="E405" s="69" t="inlineStr">
        <is>
          <t>Homewood Suites Oakland Waterfront</t>
        </is>
      </c>
      <c r="F405" s="69" t="inlineStr">
        <is>
          <t>LNUBS17C03-19.000</t>
        </is>
      </c>
      <c r="G405" s="70" t="n"/>
      <c r="H405" s="71" t="n">
        <v>13000000</v>
      </c>
      <c r="I405" s="71" t="n">
        <v>10001946.020001</v>
      </c>
      <c r="J405" s="72" t="n">
        <v>4.72</v>
      </c>
      <c r="K405" s="69" t="inlineStr">
        <is>
          <t>Fixed rate</t>
        </is>
      </c>
      <c r="L405" s="68" t="n">
        <v>120</v>
      </c>
      <c r="M405" s="68" t="n">
        <v>11</v>
      </c>
      <c r="N405" s="68" t="n">
        <v>300</v>
      </c>
      <c r="O405" s="68" t="n"/>
      <c r="P405" s="68" t="n"/>
      <c r="Q405" s="68" t="n">
        <v>109</v>
      </c>
      <c r="R405" s="69" t="n"/>
      <c r="S405" s="69" t="inlineStr">
        <is>
          <t>No</t>
        </is>
      </c>
      <c r="T405" s="73" t="n">
        <v>42948</v>
      </c>
      <c r="U405" s="73" t="n">
        <v>46600</v>
      </c>
      <c r="V405" s="73" t="n"/>
      <c r="W405" s="69" t="n"/>
      <c r="X405" s="69" t="inlineStr">
        <is>
          <t>Current</t>
        </is>
      </c>
      <c r="Y405" s="68" t="n"/>
      <c r="Z405" s="69" t="inlineStr">
        <is>
          <t>Full Defeasance</t>
        </is>
      </c>
      <c r="AA405" s="69" t="inlineStr">
        <is>
          <t>Previously</t>
        </is>
      </c>
      <c r="AB405" s="69" t="inlineStr">
        <is>
          <t>Returned to master serv</t>
        </is>
      </c>
      <c r="AC405" s="73" t="n"/>
      <c r="AD405" s="69" t="inlineStr">
        <is>
          <t>Imminent Monetary Default (excluding Balloon/Maturity Default &amp; Single Tenant Bankruptcy/Vacate)</t>
        </is>
      </c>
      <c r="AE405" s="69" t="inlineStr">
        <is>
          <t>Resolved</t>
        </is>
      </c>
      <c r="AF405" s="69" t="inlineStr">
        <is>
          <t>CA</t>
        </is>
      </c>
      <c r="AG405" s="69" t="inlineStr">
        <is>
          <t>Oakland</t>
        </is>
      </c>
      <c r="AH405" s="69" t="inlineStr">
        <is>
          <t>San Francisco-Oakland-Fremont, CA</t>
        </is>
      </c>
      <c r="AI405" s="69" t="inlineStr">
        <is>
          <t>West / Pacific North</t>
        </is>
      </c>
      <c r="AJ405" s="69" t="inlineStr">
        <is>
          <t>HT</t>
        </is>
      </c>
      <c r="AK405" s="69" t="inlineStr">
        <is>
          <t>Extended Stay</t>
        </is>
      </c>
      <c r="AL405" s="68" t="n">
        <v>1</v>
      </c>
      <c r="AM405" s="68" t="n">
        <v>132</v>
      </c>
      <c r="AN405" s="68" t="n"/>
      <c r="AO405" s="69" t="inlineStr">
        <is>
          <t>2002</t>
        </is>
      </c>
      <c r="AP405" s="70" t="n">
        <v>2016</v>
      </c>
      <c r="AQ405" s="74" t="n">
        <v>2.1</v>
      </c>
      <c r="AR405" s="74" t="n">
        <v>0.28</v>
      </c>
      <c r="AS405" s="74" t="n">
        <v>56</v>
      </c>
      <c r="AT405" s="74" t="n">
        <v>141.87</v>
      </c>
      <c r="AU405" s="74" t="n">
        <v>41.5</v>
      </c>
      <c r="AV405" s="74" t="n">
        <v>14.319221308</v>
      </c>
      <c r="AW405" s="74" t="n">
        <v>1.177559045</v>
      </c>
      <c r="AX405" s="75" t="n">
        <v>75</v>
      </c>
      <c r="AY405" s="71" t="n">
        <v>23200000</v>
      </c>
      <c r="AZ405" s="71" t="n">
        <v>7050000</v>
      </c>
      <c r="BA405" s="71" t="n">
        <v>1861498.77</v>
      </c>
      <c r="BB405" s="71" t="n">
        <v>246116.63</v>
      </c>
      <c r="BC405" s="69" t="inlineStr">
        <is>
          <t>Refinance</t>
        </is>
      </c>
      <c r="BD405" s="69" t="inlineStr">
        <is>
          <t>Y</t>
        </is>
      </c>
      <c r="BE405" s="71" t="n"/>
      <c r="BF405" s="71" t="n"/>
      <c r="BG405" s="71" t="n"/>
      <c r="BH405" s="71" t="n">
        <v>0</v>
      </c>
      <c r="BI405" s="71" t="n">
        <v>0</v>
      </c>
      <c r="BJ405" s="69" t="inlineStr">
        <is>
          <t>Y</t>
        </is>
      </c>
      <c r="BK405" s="69" t="n"/>
      <c r="BL405" s="75" t="n"/>
      <c r="BM405" s="73" t="n"/>
      <c r="BN405" s="69" t="inlineStr">
        <is>
          <t>John Pryor</t>
        </is>
      </c>
      <c r="BO405" s="69" t="inlineStr">
        <is>
          <t>Societe Generale</t>
        </is>
      </c>
      <c r="BP405" s="69" t="inlineStr">
        <is>
          <t>Midland Loan Services</t>
        </is>
      </c>
      <c r="BQ405" s="69" t="inlineStr">
        <is>
          <t>Midland Loan Services</t>
        </is>
      </c>
      <c r="BR405" s="69" t="n"/>
      <c r="BS405" s="73" t="n">
        <v>46276</v>
      </c>
      <c r="BU405" s="76">
        <f>IF($C405="","",IFERROR(INDEX(dmName,MATCH($C405,dmID,0)),"Unmapped"))</f>
        <v/>
      </c>
      <c r="BV405" s="76">
        <f>IF($C405="","",IFERROR(INDEX(dmEntity,MATCH($C405,dmID,0)),"Unmapped"))</f>
        <v/>
      </c>
      <c r="BW405" s="77">
        <f>IF($C405="","",IFERROR(INDEX(dmVintage,MATCH($C405,dmID,0)),""))</f>
        <v/>
      </c>
      <c r="BX405" s="78">
        <f>IFERROR(INDEX(dmInclude,MATCH($C405,dmID,0)),0)</f>
        <v/>
      </c>
      <c r="BY405" s="78">
        <f>IF(N($I405)&gt;0,1,0)</f>
        <v/>
      </c>
      <c r="BZ405" s="76">
        <f>IF($AJ405="","Other / Leased Fee",IFERROR(INDEX(mapPTGroup,MATCH(LEFT(TRIM($AJ405),2),mapPTCode,0)),"Other / Leased Fee"))</f>
        <v/>
      </c>
      <c r="CA405" s="76">
        <f>IF(TRIM($AF405&amp;"")="","NR",LEFT(TRIM($AF405),2))</f>
        <v/>
      </c>
      <c r="CB405" s="76">
        <f>IFERROR(LOOKUP(2,1/(LEFT(TRIM($AI405&amp;""),LEN(mapRegion))=mapRegion),mapRegion),"Not Reported")</f>
        <v/>
      </c>
      <c r="CC405" s="76">
        <f>IF($BY405=0,"",IF(TRIM($W405&amp;"")="REO","REO",IF(TRIM($W405&amp;"")="FC","Foreclosure",IF(TRIM($W405&amp;"")="90+","90+ Days Delinquent",IF(TRIM($W405&amp;"")="60","60 Days Delinquent",IF(TRIM($W405&amp;"")="30","30 Days Delinquent",IF($X405="Non-Performing Matured Balloon","Non-Performing Matured Balloon",IF(OR($X405="Late Payment But Less Than 30 Days Delinquent",LEFT($X405&amp;"",20)="Payment Not Received"),"Late / In Grace (&lt;30 Days)",IF($X405="Performing Matured Balloon","Performing Matured Balloon","Current")))))))))</f>
        <v/>
      </c>
      <c r="CD405" s="78">
        <f>IF(OR($CC405="REO",$CC405="Foreclosure",$CC405="90+ Days Delinquent",$CC405="60 Days Delinquent",$CC405="30 Days Delinquent",$CC405="Non-Performing Matured Balloon"),1,0)</f>
        <v/>
      </c>
      <c r="CE405" s="76">
        <f>IF($AB405="Currently special serv","Currently Specially Serviced",IF($AB405="Returned to master serv","Previously Specially Serviced","Never Specially Serviced"))</f>
        <v/>
      </c>
      <c r="CF405" s="78">
        <f>IF($CE405="Currently Specially Serviced",1,0)</f>
        <v/>
      </c>
      <c r="CG405" s="76">
        <f>IF($AA405="Yes","Currently on Watchlist",IF($AA405="Previously","Previously on Watchlist","Never on Watchlist"))</f>
        <v/>
      </c>
      <c r="CH405" s="78">
        <f>IF($CG405="Currently on Watchlist",1,0)</f>
        <v/>
      </c>
      <c r="CI405" s="76">
        <f>IF($Z405="Full Defeasance","Fully Defeased",IF($Z405="Portion Of Loan Previously Defeased","Partially Defeased",IF($Z405="Defeasance Not Allowable","Not Defeased (Not Permitted)","Not Defeased")))</f>
        <v/>
      </c>
      <c r="CJ405" s="78">
        <f>IF($CI405="Fully Defeased",1,0)</f>
        <v/>
      </c>
      <c r="CK405" s="76">
        <f>IF($R405="IO","Full IO",IF(LEFT($R405&amp;"",7)="IO then","Partial IO","Amortizing"))</f>
        <v/>
      </c>
      <c r="CL405" s="78">
        <f>IF($CK405="Full IO",1,0)</f>
        <v/>
      </c>
      <c r="CM405" s="78">
        <f>IF($CK405="Partial IO",1,0)</f>
        <v/>
      </c>
      <c r="CN405" s="76">
        <f>IF(LEFT($F405&amp;"",10)="SPLIT_LOAN","Pari Passu Split","Standalone")</f>
        <v/>
      </c>
      <c r="CO405" s="78">
        <f>IF($CN405="Pari Passu Split",1,0)</f>
        <v/>
      </c>
      <c r="CP405" s="77">
        <f>IF(ISNUMBER($T405),YEAR($T405),"")</f>
        <v/>
      </c>
      <c r="CQ405" s="79">
        <f>IF(ISNUMBER($V405),$V405,IF(ISNUMBER($U405),$U405,""))</f>
        <v/>
      </c>
      <c r="CR405" s="77">
        <f>IF(ISNUMBER($CQ405),YEAR($CQ405),"")</f>
        <v/>
      </c>
      <c r="CS405" s="78">
        <f>IF(ISNUMBER($M405),MAX(0,$M405),IF(TRIM($M405&amp;"")="matured",0,""))</f>
        <v/>
      </c>
      <c r="CT405" s="78">
        <f>IF(AND(ISNUMBER($CS405),N($CS405)&lt;=mMatWindow),1,0)</f>
        <v/>
      </c>
      <c r="CU405" s="80">
        <f>IF(ISNUMBER($J405),$J405/100,"")</f>
        <v/>
      </c>
      <c r="CV405" s="81">
        <f>IF(ISNUMBER($AQ405),$AQ405,"")</f>
        <v/>
      </c>
      <c r="CW405" s="81">
        <f>IF(ISNUMBER($AR405),$AR405,"")</f>
        <v/>
      </c>
      <c r="CX405" s="82">
        <f>IF(ISNUMBER($AS405),$AS405/100,"")</f>
        <v/>
      </c>
      <c r="CY405" s="82">
        <f>IF(ISNUMBER($AT405),$AT405/100,"")</f>
        <v/>
      </c>
      <c r="CZ405" s="82">
        <f>IF(ISNUMBER($AU405),$AU405/100,"")</f>
        <v/>
      </c>
      <c r="DA405" s="82">
        <f>IF(ISNUMBER($AV405),$AV405/100,"")</f>
        <v/>
      </c>
      <c r="DB405" s="82">
        <f>IF(ISNUMBER($AW405),$AW405/100,"")</f>
        <v/>
      </c>
      <c r="DC405" s="82">
        <f>IF(ISNUMBER($AX405),$AX405/100,"")</f>
        <v/>
      </c>
      <c r="DD405" s="77">
        <f>IFERROR(VALUE(LEFT(TRIM($AO405&amp;""),4)),"")</f>
        <v/>
      </c>
      <c r="DE405" s="78">
        <f>IF(AND($BY405=1,$BX405=1,OR(fDeal="All Deals",$BU405=fDeal),OR(fEntity="All Entities",$BV405=fEntity),OR(fPType="All Property Types",$BZ405=fPType),OR(fDefeased="Include",$CJ405=0)),1,0)</f>
        <v/>
      </c>
      <c r="DF405" s="83">
        <f>$DE405*N($I405)</f>
        <v/>
      </c>
      <c r="DG405" s="78">
        <f>IF($DE405=1,IF(COUNTIFS($F$8:$F405,$F405,$DE$8:$DE405,1)=1,1,0),0)</f>
        <v/>
      </c>
      <c r="DH405" s="83">
        <f>IF($DG405=1,SUMIFS($DF$8:$DF$1600,$F$8:$F$1600,$F405),0)</f>
        <v/>
      </c>
      <c r="DI405" s="78">
        <f>IF($DG405=1,COUNTIFS($F$8:$F$1600,$F405,$DE$8:$DE$1600,1),0)</f>
        <v/>
      </c>
      <c r="DJ405" s="84">
        <f>IF($DG405=1,$DH405+(100000-ROW())/mTieBreak,0)</f>
        <v/>
      </c>
    </row>
    <row r="406">
      <c r="B406" s="68" t="n">
        <v>20</v>
      </c>
      <c r="C406" s="69" t="inlineStr">
        <is>
          <t>UBS17C03</t>
        </is>
      </c>
      <c r="D406" s="69" t="inlineStr">
        <is>
          <t>20.000</t>
        </is>
      </c>
      <c r="E406" s="69" t="inlineStr">
        <is>
          <t>Allen Park Industrial</t>
        </is>
      </c>
      <c r="F406" s="69" t="inlineStr">
        <is>
          <t>LNUBS17C03-20.000</t>
        </is>
      </c>
      <c r="G406" s="70" t="n"/>
      <c r="H406" s="71" t="n">
        <v>12000000</v>
      </c>
      <c r="I406" s="71" t="n">
        <v>9897311.790000003</v>
      </c>
      <c r="J406" s="72" t="n">
        <v>4.3</v>
      </c>
      <c r="K406" s="69" t="inlineStr">
        <is>
          <t>Fixed rate</t>
        </is>
      </c>
      <c r="L406" s="68" t="n">
        <v>120</v>
      </c>
      <c r="M406" s="68" t="n">
        <v>11</v>
      </c>
      <c r="N406" s="68" t="n">
        <v>360</v>
      </c>
      <c r="O406" s="68" t="n"/>
      <c r="P406" s="68" t="n"/>
      <c r="Q406" s="68" t="n">
        <v>109</v>
      </c>
      <c r="R406" s="69" t="n"/>
      <c r="S406" s="69" t="inlineStr">
        <is>
          <t>No</t>
        </is>
      </c>
      <c r="T406" s="73" t="n">
        <v>42948</v>
      </c>
      <c r="U406" s="73" t="n">
        <v>46600</v>
      </c>
      <c r="V406" s="73" t="n"/>
      <c r="W406" s="69" t="n"/>
      <c r="X406" s="69" t="inlineStr">
        <is>
          <t>Current</t>
        </is>
      </c>
      <c r="Y406" s="68" t="n"/>
      <c r="Z406" s="69" t="inlineStr">
        <is>
          <t>No Defeasance Occurred</t>
        </is>
      </c>
      <c r="AA406" s="69" t="inlineStr">
        <is>
          <t>Yes</t>
        </is>
      </c>
      <c r="AB406" s="69" t="inlineStr">
        <is>
          <t>Never special serv</t>
        </is>
      </c>
      <c r="AC406" s="73" t="n"/>
      <c r="AD406" s="69" t="n"/>
      <c r="AE406" s="69" t="n"/>
      <c r="AF406" s="69" t="inlineStr">
        <is>
          <t>MI</t>
        </is>
      </c>
      <c r="AG406" s="69" t="inlineStr">
        <is>
          <t>Allen Park</t>
        </is>
      </c>
      <c r="AH406" s="69" t="inlineStr">
        <is>
          <t>Detroit-Warren-Dearborn, MI</t>
        </is>
      </c>
      <c r="AI406" s="69" t="inlineStr">
        <is>
          <t>Midwest / Central East</t>
        </is>
      </c>
      <c r="AJ406" s="69" t="inlineStr">
        <is>
          <t>IN</t>
        </is>
      </c>
      <c r="AK406" s="69" t="inlineStr">
        <is>
          <t>Flex</t>
        </is>
      </c>
      <c r="AL406" s="68" t="n">
        <v>1</v>
      </c>
      <c r="AM406" s="68" t="n"/>
      <c r="AN406" s="68" t="n">
        <v>809918</v>
      </c>
      <c r="AO406" s="69" t="inlineStr">
        <is>
          <t>1957; 2000</t>
        </is>
      </c>
      <c r="AP406" s="70" t="n">
        <v>2016</v>
      </c>
      <c r="AQ406" s="74" t="n">
        <v>2.85</v>
      </c>
      <c r="AR406" s="74" t="n">
        <v>3.54</v>
      </c>
      <c r="AS406" s="74" t="n">
        <v>44.4</v>
      </c>
      <c r="AT406" s="74" t="n">
        <v>36.66</v>
      </c>
      <c r="AU406" s="74" t="n">
        <v>35.7</v>
      </c>
      <c r="AV406" s="74" t="n">
        <v>16.923816667</v>
      </c>
      <c r="AW406" s="74" t="n">
        <v>28.437913847</v>
      </c>
      <c r="AX406" s="75" t="n">
        <v>100</v>
      </c>
      <c r="AY406" s="71" t="n">
        <v>27000000</v>
      </c>
      <c r="AZ406" s="71" t="n">
        <v>27000000</v>
      </c>
      <c r="BA406" s="71" t="n">
        <v>2030858</v>
      </c>
      <c r="BB406" s="71" t="n">
        <v>2522644</v>
      </c>
      <c r="BC406" s="69" t="inlineStr">
        <is>
          <t>Refinance</t>
        </is>
      </c>
      <c r="BD406" s="69" t="inlineStr">
        <is>
          <t>N</t>
        </is>
      </c>
      <c r="BE406" s="71" t="n"/>
      <c r="BF406" s="71" t="n"/>
      <c r="BG406" s="71" t="n"/>
      <c r="BH406" s="71" t="n">
        <v>0</v>
      </c>
      <c r="BI406" s="71" t="n">
        <v>0</v>
      </c>
      <c r="BJ406" s="69" t="inlineStr">
        <is>
          <t>N</t>
        </is>
      </c>
      <c r="BK406" s="69" t="inlineStr">
        <is>
          <t>Roush Holdings LLC</t>
        </is>
      </c>
      <c r="BL406" s="75" t="n">
        <v>82.06</v>
      </c>
      <c r="BM406" s="73" t="n">
        <v>46255</v>
      </c>
      <c r="BN406" s="69" t="inlineStr">
        <is>
          <t>Time Equities; Francis Greenburger</t>
        </is>
      </c>
      <c r="BO406" s="69" t="inlineStr">
        <is>
          <t>KeyBank</t>
        </is>
      </c>
      <c r="BP406" s="69" t="inlineStr">
        <is>
          <t>Midland Loan Services</t>
        </is>
      </c>
      <c r="BQ406" s="69" t="inlineStr">
        <is>
          <t>Midland Loan Services</t>
        </is>
      </c>
      <c r="BR406" s="69" t="n"/>
      <c r="BS406" s="73" t="n">
        <v>46276</v>
      </c>
      <c r="BU406" s="76">
        <f>IF($C406="","",IFERROR(INDEX(dmName,MATCH($C406,dmID,0)),"Unmapped"))</f>
        <v/>
      </c>
      <c r="BV406" s="76">
        <f>IF($C406="","",IFERROR(INDEX(dmEntity,MATCH($C406,dmID,0)),"Unmapped"))</f>
        <v/>
      </c>
      <c r="BW406" s="77">
        <f>IF($C406="","",IFERROR(INDEX(dmVintage,MATCH($C406,dmID,0)),""))</f>
        <v/>
      </c>
      <c r="BX406" s="78">
        <f>IFERROR(INDEX(dmInclude,MATCH($C406,dmID,0)),0)</f>
        <v/>
      </c>
      <c r="BY406" s="78">
        <f>IF(N($I406)&gt;0,1,0)</f>
        <v/>
      </c>
      <c r="BZ406" s="76">
        <f>IF($AJ406="","Other / Leased Fee",IFERROR(INDEX(mapPTGroup,MATCH(LEFT(TRIM($AJ406),2),mapPTCode,0)),"Other / Leased Fee"))</f>
        <v/>
      </c>
      <c r="CA406" s="76">
        <f>IF(TRIM($AF406&amp;"")="","NR",LEFT(TRIM($AF406),2))</f>
        <v/>
      </c>
      <c r="CB406" s="76">
        <f>IFERROR(LOOKUP(2,1/(LEFT(TRIM($AI406&amp;""),LEN(mapRegion))=mapRegion),mapRegion),"Not Reported")</f>
        <v/>
      </c>
      <c r="CC406" s="76">
        <f>IF($BY406=0,"",IF(TRIM($W406&amp;"")="REO","REO",IF(TRIM($W406&amp;"")="FC","Foreclosure",IF(TRIM($W406&amp;"")="90+","90+ Days Delinquent",IF(TRIM($W406&amp;"")="60","60 Days Delinquent",IF(TRIM($W406&amp;"")="30","30 Days Delinquent",IF($X406="Non-Performing Matured Balloon","Non-Performing Matured Balloon",IF(OR($X406="Late Payment But Less Than 30 Days Delinquent",LEFT($X406&amp;"",20)="Payment Not Received"),"Late / In Grace (&lt;30 Days)",IF($X406="Performing Matured Balloon","Performing Matured Balloon","Current")))))))))</f>
        <v/>
      </c>
      <c r="CD406" s="78">
        <f>IF(OR($CC406="REO",$CC406="Foreclosure",$CC406="90+ Days Delinquent",$CC406="60 Days Delinquent",$CC406="30 Days Delinquent",$CC406="Non-Performing Matured Balloon"),1,0)</f>
        <v/>
      </c>
      <c r="CE406" s="76">
        <f>IF($AB406="Currently special serv","Currently Specially Serviced",IF($AB406="Returned to master serv","Previously Specially Serviced","Never Specially Serviced"))</f>
        <v/>
      </c>
      <c r="CF406" s="78">
        <f>IF($CE406="Currently Specially Serviced",1,0)</f>
        <v/>
      </c>
      <c r="CG406" s="76">
        <f>IF($AA406="Yes","Currently on Watchlist",IF($AA406="Previously","Previously on Watchlist","Never on Watchlist"))</f>
        <v/>
      </c>
      <c r="CH406" s="78">
        <f>IF($CG406="Currently on Watchlist",1,0)</f>
        <v/>
      </c>
      <c r="CI406" s="76">
        <f>IF($Z406="Full Defeasance","Fully Defeased",IF($Z406="Portion Of Loan Previously Defeased","Partially Defeased",IF($Z406="Defeasance Not Allowable","Not Defeased (Not Permitted)","Not Defeased")))</f>
        <v/>
      </c>
      <c r="CJ406" s="78">
        <f>IF($CI406="Fully Defeased",1,0)</f>
        <v/>
      </c>
      <c r="CK406" s="76">
        <f>IF($R406="IO","Full IO",IF(LEFT($R406&amp;"",7)="IO then","Partial IO","Amortizing"))</f>
        <v/>
      </c>
      <c r="CL406" s="78">
        <f>IF($CK406="Full IO",1,0)</f>
        <v/>
      </c>
      <c r="CM406" s="78">
        <f>IF($CK406="Partial IO",1,0)</f>
        <v/>
      </c>
      <c r="CN406" s="76">
        <f>IF(LEFT($F406&amp;"",10)="SPLIT_LOAN","Pari Passu Split","Standalone")</f>
        <v/>
      </c>
      <c r="CO406" s="78">
        <f>IF($CN406="Pari Passu Split",1,0)</f>
        <v/>
      </c>
      <c r="CP406" s="77">
        <f>IF(ISNUMBER($T406),YEAR($T406),"")</f>
        <v/>
      </c>
      <c r="CQ406" s="79">
        <f>IF(ISNUMBER($V406),$V406,IF(ISNUMBER($U406),$U406,""))</f>
        <v/>
      </c>
      <c r="CR406" s="77">
        <f>IF(ISNUMBER($CQ406),YEAR($CQ406),"")</f>
        <v/>
      </c>
      <c r="CS406" s="78">
        <f>IF(ISNUMBER($M406),MAX(0,$M406),IF(TRIM($M406&amp;"")="matured",0,""))</f>
        <v/>
      </c>
      <c r="CT406" s="78">
        <f>IF(AND(ISNUMBER($CS406),N($CS406)&lt;=mMatWindow),1,0)</f>
        <v/>
      </c>
      <c r="CU406" s="80">
        <f>IF(ISNUMBER($J406),$J406/100,"")</f>
        <v/>
      </c>
      <c r="CV406" s="81">
        <f>IF(ISNUMBER($AQ406),$AQ406,"")</f>
        <v/>
      </c>
      <c r="CW406" s="81">
        <f>IF(ISNUMBER($AR406),$AR406,"")</f>
        <v/>
      </c>
      <c r="CX406" s="82">
        <f>IF(ISNUMBER($AS406),$AS406/100,"")</f>
        <v/>
      </c>
      <c r="CY406" s="82">
        <f>IF(ISNUMBER($AT406),$AT406/100,"")</f>
        <v/>
      </c>
      <c r="CZ406" s="82">
        <f>IF(ISNUMBER($AU406),$AU406/100,"")</f>
        <v/>
      </c>
      <c r="DA406" s="82">
        <f>IF(ISNUMBER($AV406),$AV406/100,"")</f>
        <v/>
      </c>
      <c r="DB406" s="82">
        <f>IF(ISNUMBER($AW406),$AW406/100,"")</f>
        <v/>
      </c>
      <c r="DC406" s="82">
        <f>IF(ISNUMBER($AX406),$AX406/100,"")</f>
        <v/>
      </c>
      <c r="DD406" s="77">
        <f>IFERROR(VALUE(LEFT(TRIM($AO406&amp;""),4)),"")</f>
        <v/>
      </c>
      <c r="DE406" s="78">
        <f>IF(AND($BY406=1,$BX406=1,OR(fDeal="All Deals",$BU406=fDeal),OR(fEntity="All Entities",$BV406=fEntity),OR(fPType="All Property Types",$BZ406=fPType),OR(fDefeased="Include",$CJ406=0)),1,0)</f>
        <v/>
      </c>
      <c r="DF406" s="83">
        <f>$DE406*N($I406)</f>
        <v/>
      </c>
      <c r="DG406" s="78">
        <f>IF($DE406=1,IF(COUNTIFS($F$8:$F406,$F406,$DE$8:$DE406,1)=1,1,0),0)</f>
        <v/>
      </c>
      <c r="DH406" s="83">
        <f>IF($DG406=1,SUMIFS($DF$8:$DF$1600,$F$8:$F$1600,$F406),0)</f>
        <v/>
      </c>
      <c r="DI406" s="78">
        <f>IF($DG406=1,COUNTIFS($F$8:$F$1600,$F406,$DE$8:$DE$1600,1),0)</f>
        <v/>
      </c>
      <c r="DJ406" s="84">
        <f>IF($DG406=1,$DH406+(100000-ROW())/mTieBreak,0)</f>
        <v/>
      </c>
    </row>
    <row r="407">
      <c r="B407" s="68" t="n">
        <v>21</v>
      </c>
      <c r="C407" s="69" t="inlineStr">
        <is>
          <t>UBS17C03</t>
        </is>
      </c>
      <c r="D407" s="69" t="inlineStr">
        <is>
          <t>21.000</t>
        </is>
      </c>
      <c r="E407" s="69" t="inlineStr">
        <is>
          <t>MVP Houston Portfolio</t>
        </is>
      </c>
      <c r="F407" s="69" t="inlineStr">
        <is>
          <t>LNUBS17C03-21.000</t>
        </is>
      </c>
      <c r="G407" s="70" t="n"/>
      <c r="H407" s="71" t="n">
        <v>11330000</v>
      </c>
      <c r="I407" s="71" t="n">
        <v>10337710.61000469</v>
      </c>
      <c r="J407" s="72" t="n">
        <v>5.02</v>
      </c>
      <c r="K407" s="69" t="inlineStr">
        <is>
          <t>Fixed rate</t>
        </is>
      </c>
      <c r="L407" s="68" t="n">
        <v>120</v>
      </c>
      <c r="M407" s="68" t="n">
        <v>11</v>
      </c>
      <c r="N407" s="68" t="n">
        <v>360</v>
      </c>
      <c r="O407" s="68" t="n">
        <v>60</v>
      </c>
      <c r="P407" s="68" t="n">
        <v>0</v>
      </c>
      <c r="Q407" s="68" t="n">
        <v>109</v>
      </c>
      <c r="R407" s="69" t="inlineStr">
        <is>
          <t>IO then Amort</t>
        </is>
      </c>
      <c r="S407" s="69" t="inlineStr">
        <is>
          <t>No</t>
        </is>
      </c>
      <c r="T407" s="73" t="n">
        <v>42948</v>
      </c>
      <c r="U407" s="73" t="n">
        <v>46600</v>
      </c>
      <c r="V407" s="73" t="n"/>
      <c r="W407" s="69" t="n"/>
      <c r="X407" s="69" t="inlineStr">
        <is>
          <t>Current</t>
        </is>
      </c>
      <c r="Y407" s="68" t="n"/>
      <c r="Z407" s="69" t="inlineStr">
        <is>
          <t>Full Defeasance</t>
        </is>
      </c>
      <c r="AA407" s="69" t="inlineStr">
        <is>
          <t>Previously</t>
        </is>
      </c>
      <c r="AB407" s="69" t="inlineStr">
        <is>
          <t>Never special serv</t>
        </is>
      </c>
      <c r="AC407" s="73" t="n"/>
      <c r="AD407" s="69" t="n"/>
      <c r="AE407" s="69" t="n"/>
      <c r="AF407" s="69" t="inlineStr">
        <is>
          <t>TX</t>
        </is>
      </c>
      <c r="AG407" s="69" t="inlineStr">
        <is>
          <t>Houston</t>
        </is>
      </c>
      <c r="AH407" s="69" t="inlineStr">
        <is>
          <t>Houston-Pasadena-The Woodlands, TX</t>
        </is>
      </c>
      <c r="AI407" s="69" t="inlineStr">
        <is>
          <t>South / Central West</t>
        </is>
      </c>
      <c r="AJ407" s="69" t="inlineStr">
        <is>
          <t>OT</t>
        </is>
      </c>
      <c r="AK407" s="69" t="n"/>
      <c r="AL407" s="68" t="n">
        <v>2</v>
      </c>
      <c r="AM407" s="68" t="n"/>
      <c r="AN407" s="68" t="n"/>
      <c r="AO407" s="69" t="n"/>
      <c r="AP407" s="70" t="n">
        <v>1983</v>
      </c>
      <c r="AQ407" s="74" t="n">
        <v>1.38</v>
      </c>
      <c r="AR407" s="74" t="n">
        <v>1.62</v>
      </c>
      <c r="AS407" s="74" t="n">
        <v>55</v>
      </c>
      <c r="AT407" s="74" t="n">
        <v>50.18</v>
      </c>
      <c r="AU407" s="74" t="n">
        <v>49</v>
      </c>
      <c r="AV407" s="74" t="n">
        <v>9.698658429</v>
      </c>
      <c r="AW407" s="74" t="n">
        <v>12.606398546</v>
      </c>
      <c r="AX407" s="75" t="n">
        <v>100</v>
      </c>
      <c r="AY407" s="71" t="n">
        <v>20600000</v>
      </c>
      <c r="AZ407" s="71" t="n">
        <v>20600000</v>
      </c>
      <c r="BA407" s="71" t="n">
        <v>1098858</v>
      </c>
      <c r="BB407" s="71" t="n">
        <v>1289718</v>
      </c>
      <c r="BC407" s="69" t="inlineStr">
        <is>
          <t>Refinance</t>
        </is>
      </c>
      <c r="BD407" s="69" t="inlineStr">
        <is>
          <t>N</t>
        </is>
      </c>
      <c r="BE407" s="71" t="n"/>
      <c r="BF407" s="71" t="n"/>
      <c r="BG407" s="71" t="n"/>
      <c r="BH407" s="71" t="n">
        <v>0</v>
      </c>
      <c r="BI407" s="71" t="n">
        <v>0</v>
      </c>
      <c r="BJ407" s="69" t="inlineStr">
        <is>
          <t>N</t>
        </is>
      </c>
      <c r="BK407" s="69" t="inlineStr">
        <is>
          <t>iPark Services, LLC</t>
        </is>
      </c>
      <c r="BL407" s="75" t="n">
        <v>100</v>
      </c>
      <c r="BM407" s="73" t="n">
        <v>46599</v>
      </c>
      <c r="BN407" s="69" t="inlineStr">
        <is>
          <t>MVP REIT II, Inc.</t>
        </is>
      </c>
      <c r="BO407" s="69" t="inlineStr">
        <is>
          <t>KeyBank</t>
        </is>
      </c>
      <c r="BP407" s="69" t="inlineStr">
        <is>
          <t>Midland Loan Services</t>
        </is>
      </c>
      <c r="BQ407" s="69" t="inlineStr">
        <is>
          <t>Midland Loan Services</t>
        </is>
      </c>
      <c r="BR407" s="69" t="n"/>
      <c r="BS407" s="73" t="n">
        <v>46276</v>
      </c>
      <c r="BU407" s="76">
        <f>IF($C407="","",IFERROR(INDEX(dmName,MATCH($C407,dmID,0)),"Unmapped"))</f>
        <v/>
      </c>
      <c r="BV407" s="76">
        <f>IF($C407="","",IFERROR(INDEX(dmEntity,MATCH($C407,dmID,0)),"Unmapped"))</f>
        <v/>
      </c>
      <c r="BW407" s="77">
        <f>IF($C407="","",IFERROR(INDEX(dmVintage,MATCH($C407,dmID,0)),""))</f>
        <v/>
      </c>
      <c r="BX407" s="78">
        <f>IFERROR(INDEX(dmInclude,MATCH($C407,dmID,0)),0)</f>
        <v/>
      </c>
      <c r="BY407" s="78">
        <f>IF(N($I407)&gt;0,1,0)</f>
        <v/>
      </c>
      <c r="BZ407" s="76">
        <f>IF($AJ407="","Other / Leased Fee",IFERROR(INDEX(mapPTGroup,MATCH(LEFT(TRIM($AJ407),2),mapPTCode,0)),"Other / Leased Fee"))</f>
        <v/>
      </c>
      <c r="CA407" s="76">
        <f>IF(TRIM($AF407&amp;"")="","NR",LEFT(TRIM($AF407),2))</f>
        <v/>
      </c>
      <c r="CB407" s="76">
        <f>IFERROR(LOOKUP(2,1/(LEFT(TRIM($AI407&amp;""),LEN(mapRegion))=mapRegion),mapRegion),"Not Reported")</f>
        <v/>
      </c>
      <c r="CC407" s="76">
        <f>IF($BY407=0,"",IF(TRIM($W407&amp;"")="REO","REO",IF(TRIM($W407&amp;"")="FC","Foreclosure",IF(TRIM($W407&amp;"")="90+","90+ Days Delinquent",IF(TRIM($W407&amp;"")="60","60 Days Delinquent",IF(TRIM($W407&amp;"")="30","30 Days Delinquent",IF($X407="Non-Performing Matured Balloon","Non-Performing Matured Balloon",IF(OR($X407="Late Payment But Less Than 30 Days Delinquent",LEFT($X407&amp;"",20)="Payment Not Received"),"Late / In Grace (&lt;30 Days)",IF($X407="Performing Matured Balloon","Performing Matured Balloon","Current")))))))))</f>
        <v/>
      </c>
      <c r="CD407" s="78">
        <f>IF(OR($CC407="REO",$CC407="Foreclosure",$CC407="90+ Days Delinquent",$CC407="60 Days Delinquent",$CC407="30 Days Delinquent",$CC407="Non-Performing Matured Balloon"),1,0)</f>
        <v/>
      </c>
      <c r="CE407" s="76">
        <f>IF($AB407="Currently special serv","Currently Specially Serviced",IF($AB407="Returned to master serv","Previously Specially Serviced","Never Specially Serviced"))</f>
        <v/>
      </c>
      <c r="CF407" s="78">
        <f>IF($CE407="Currently Specially Serviced",1,0)</f>
        <v/>
      </c>
      <c r="CG407" s="76">
        <f>IF($AA407="Yes","Currently on Watchlist",IF($AA407="Previously","Previously on Watchlist","Never on Watchlist"))</f>
        <v/>
      </c>
      <c r="CH407" s="78">
        <f>IF($CG407="Currently on Watchlist",1,0)</f>
        <v/>
      </c>
      <c r="CI407" s="76">
        <f>IF($Z407="Full Defeasance","Fully Defeased",IF($Z407="Portion Of Loan Previously Defeased","Partially Defeased",IF($Z407="Defeasance Not Allowable","Not Defeased (Not Permitted)","Not Defeased")))</f>
        <v/>
      </c>
      <c r="CJ407" s="78">
        <f>IF($CI407="Fully Defeased",1,0)</f>
        <v/>
      </c>
      <c r="CK407" s="76">
        <f>IF($R407="IO","Full IO",IF(LEFT($R407&amp;"",7)="IO then","Partial IO","Amortizing"))</f>
        <v/>
      </c>
      <c r="CL407" s="78">
        <f>IF($CK407="Full IO",1,0)</f>
        <v/>
      </c>
      <c r="CM407" s="78">
        <f>IF($CK407="Partial IO",1,0)</f>
        <v/>
      </c>
      <c r="CN407" s="76">
        <f>IF(LEFT($F407&amp;"",10)="SPLIT_LOAN","Pari Passu Split","Standalone")</f>
        <v/>
      </c>
      <c r="CO407" s="78">
        <f>IF($CN407="Pari Passu Split",1,0)</f>
        <v/>
      </c>
      <c r="CP407" s="77">
        <f>IF(ISNUMBER($T407),YEAR($T407),"")</f>
        <v/>
      </c>
      <c r="CQ407" s="79">
        <f>IF(ISNUMBER($V407),$V407,IF(ISNUMBER($U407),$U407,""))</f>
        <v/>
      </c>
      <c r="CR407" s="77">
        <f>IF(ISNUMBER($CQ407),YEAR($CQ407),"")</f>
        <v/>
      </c>
      <c r="CS407" s="78">
        <f>IF(ISNUMBER($M407),MAX(0,$M407),IF(TRIM($M407&amp;"")="matured",0,""))</f>
        <v/>
      </c>
      <c r="CT407" s="78">
        <f>IF(AND(ISNUMBER($CS407),N($CS407)&lt;=mMatWindow),1,0)</f>
        <v/>
      </c>
      <c r="CU407" s="80">
        <f>IF(ISNUMBER($J407),$J407/100,"")</f>
        <v/>
      </c>
      <c r="CV407" s="81">
        <f>IF(ISNUMBER($AQ407),$AQ407,"")</f>
        <v/>
      </c>
      <c r="CW407" s="81">
        <f>IF(ISNUMBER($AR407),$AR407,"")</f>
        <v/>
      </c>
      <c r="CX407" s="82">
        <f>IF(ISNUMBER($AS407),$AS407/100,"")</f>
        <v/>
      </c>
      <c r="CY407" s="82">
        <f>IF(ISNUMBER($AT407),$AT407/100,"")</f>
        <v/>
      </c>
      <c r="CZ407" s="82">
        <f>IF(ISNUMBER($AU407),$AU407/100,"")</f>
        <v/>
      </c>
      <c r="DA407" s="82">
        <f>IF(ISNUMBER($AV407),$AV407/100,"")</f>
        <v/>
      </c>
      <c r="DB407" s="82">
        <f>IF(ISNUMBER($AW407),$AW407/100,"")</f>
        <v/>
      </c>
      <c r="DC407" s="82">
        <f>IF(ISNUMBER($AX407),$AX407/100,"")</f>
        <v/>
      </c>
      <c r="DD407" s="77">
        <f>IFERROR(VALUE(LEFT(TRIM($AO407&amp;""),4)),"")</f>
        <v/>
      </c>
      <c r="DE407" s="78">
        <f>IF(AND($BY407=1,$BX407=1,OR(fDeal="All Deals",$BU407=fDeal),OR(fEntity="All Entities",$BV407=fEntity),OR(fPType="All Property Types",$BZ407=fPType),OR(fDefeased="Include",$CJ407=0)),1,0)</f>
        <v/>
      </c>
      <c r="DF407" s="83">
        <f>$DE407*N($I407)</f>
        <v/>
      </c>
      <c r="DG407" s="78">
        <f>IF($DE407=1,IF(COUNTIFS($F$8:$F407,$F407,$DE$8:$DE407,1)=1,1,0),0)</f>
        <v/>
      </c>
      <c r="DH407" s="83">
        <f>IF($DG407=1,SUMIFS($DF$8:$DF$1600,$F$8:$F$1600,$F407),0)</f>
        <v/>
      </c>
      <c r="DI407" s="78">
        <f>IF($DG407=1,COUNTIFS($F$8:$F$1600,$F407,$DE$8:$DE$1600,1),0)</f>
        <v/>
      </c>
      <c r="DJ407" s="84">
        <f>IF($DG407=1,$DH407+(100000-ROW())/mTieBreak,0)</f>
        <v/>
      </c>
    </row>
    <row r="408">
      <c r="B408" s="68" t="n">
        <v>22</v>
      </c>
      <c r="C408" s="69" t="inlineStr">
        <is>
          <t>UBS17C03</t>
        </is>
      </c>
      <c r="D408" s="69" t="inlineStr">
        <is>
          <t>22.000</t>
        </is>
      </c>
      <c r="E408" s="69" t="inlineStr">
        <is>
          <t>Canterbury Apartments</t>
        </is>
      </c>
      <c r="F408" s="69" t="inlineStr">
        <is>
          <t>LNUBS17C03-22.000</t>
        </is>
      </c>
      <c r="G408" s="70" t="n"/>
      <c r="H408" s="71" t="n">
        <v>11330000</v>
      </c>
      <c r="I408" s="71" t="n">
        <v>9621225.07000182</v>
      </c>
      <c r="J408" s="72" t="n">
        <v>5.274</v>
      </c>
      <c r="K408" s="69" t="inlineStr">
        <is>
          <t>Fixed rate</t>
        </is>
      </c>
      <c r="L408" s="68" t="n">
        <v>120</v>
      </c>
      <c r="M408" s="68" t="n">
        <v>11</v>
      </c>
      <c r="N408" s="68" t="n">
        <v>360</v>
      </c>
      <c r="O408" s="68" t="n"/>
      <c r="P408" s="68" t="n"/>
      <c r="Q408" s="68" t="n">
        <v>109</v>
      </c>
      <c r="R408" s="69" t="n"/>
      <c r="S408" s="69" t="inlineStr">
        <is>
          <t>No</t>
        </is>
      </c>
      <c r="T408" s="73" t="n">
        <v>42948</v>
      </c>
      <c r="U408" s="73" t="n">
        <v>46605</v>
      </c>
      <c r="V408" s="73" t="n"/>
      <c r="W408" s="69" t="n"/>
      <c r="X408" s="69" t="inlineStr">
        <is>
          <t>Current</t>
        </is>
      </c>
      <c r="Y408" s="68" t="n"/>
      <c r="Z408" s="69" t="inlineStr">
        <is>
          <t>Full Defeasance</t>
        </is>
      </c>
      <c r="AA408" s="69" t="inlineStr">
        <is>
          <t>Previously</t>
        </is>
      </c>
      <c r="AB408" s="69" t="inlineStr">
        <is>
          <t>Never special serv</t>
        </is>
      </c>
      <c r="AC408" s="73" t="n"/>
      <c r="AD408" s="69" t="n"/>
      <c r="AE408" s="69" t="n"/>
      <c r="AF408" s="69" t="inlineStr">
        <is>
          <t>MS</t>
        </is>
      </c>
      <c r="AG408" s="69" t="inlineStr">
        <is>
          <t>Tupelo</t>
        </is>
      </c>
      <c r="AH408" s="69" t="inlineStr">
        <is>
          <t>Tupelo, MS</t>
        </is>
      </c>
      <c r="AI408" s="69" t="inlineStr">
        <is>
          <t>South / Central East</t>
        </is>
      </c>
      <c r="AJ408" s="69" t="inlineStr">
        <is>
          <t>MF</t>
        </is>
      </c>
      <c r="AK408" s="69" t="inlineStr">
        <is>
          <t>Garden</t>
        </is>
      </c>
      <c r="AL408" s="68" t="n">
        <v>1</v>
      </c>
      <c r="AM408" s="68" t="n">
        <v>410</v>
      </c>
      <c r="AN408" s="68" t="n"/>
      <c r="AO408" s="69" t="inlineStr">
        <is>
          <t>1975</t>
        </is>
      </c>
      <c r="AP408" s="70" t="n">
        <v>2007</v>
      </c>
      <c r="AQ408" s="74" t="n">
        <v>1.29</v>
      </c>
      <c r="AR408" s="74" t="n">
        <v>1.32</v>
      </c>
      <c r="AS408" s="74" t="n">
        <v>66.59999999999999</v>
      </c>
      <c r="AT408" s="74" t="n">
        <v>56.6</v>
      </c>
      <c r="AU408" s="74" t="n">
        <v>55.3</v>
      </c>
      <c r="AV408" s="74" t="n">
        <v>8.564245366</v>
      </c>
      <c r="AW408" s="74" t="n">
        <v>10.177943067</v>
      </c>
      <c r="AX408" s="75" t="n">
        <v>92</v>
      </c>
      <c r="AY408" s="71" t="n">
        <v>17000000</v>
      </c>
      <c r="AZ408" s="71" t="n">
        <v>17000000</v>
      </c>
      <c r="BA408" s="71" t="n">
        <v>970329</v>
      </c>
      <c r="BB408" s="71" t="n">
        <v>990070.49</v>
      </c>
      <c r="BC408" s="69" t="inlineStr">
        <is>
          <t>Refinance</t>
        </is>
      </c>
      <c r="BD408" s="69" t="inlineStr">
        <is>
          <t>N</t>
        </is>
      </c>
      <c r="BE408" s="71" t="n"/>
      <c r="BF408" s="71" t="n"/>
      <c r="BG408" s="71" t="n"/>
      <c r="BH408" s="71" t="n">
        <v>0</v>
      </c>
      <c r="BI408" s="71" t="n">
        <v>0</v>
      </c>
      <c r="BJ408" s="69" t="inlineStr">
        <is>
          <t>N</t>
        </is>
      </c>
      <c r="BK408" s="69" t="n"/>
      <c r="BL408" s="75" t="n"/>
      <c r="BM408" s="73" t="n"/>
      <c r="BN408" s="69" t="inlineStr">
        <is>
          <t>F.G. Jack Bobo</t>
        </is>
      </c>
      <c r="BO408" s="69" t="inlineStr">
        <is>
          <t>UBS</t>
        </is>
      </c>
      <c r="BP408" s="69" t="inlineStr">
        <is>
          <t>Midland Loan Services</t>
        </is>
      </c>
      <c r="BQ408" s="69" t="inlineStr">
        <is>
          <t>Midland Loan Services</t>
        </is>
      </c>
      <c r="BR408" s="69" t="n"/>
      <c r="BS408" s="73" t="n">
        <v>46276</v>
      </c>
      <c r="BU408" s="76">
        <f>IF($C408="","",IFERROR(INDEX(dmName,MATCH($C408,dmID,0)),"Unmapped"))</f>
        <v/>
      </c>
      <c r="BV408" s="76">
        <f>IF($C408="","",IFERROR(INDEX(dmEntity,MATCH($C408,dmID,0)),"Unmapped"))</f>
        <v/>
      </c>
      <c r="BW408" s="77">
        <f>IF($C408="","",IFERROR(INDEX(dmVintage,MATCH($C408,dmID,0)),""))</f>
        <v/>
      </c>
      <c r="BX408" s="78">
        <f>IFERROR(INDEX(dmInclude,MATCH($C408,dmID,0)),0)</f>
        <v/>
      </c>
      <c r="BY408" s="78">
        <f>IF(N($I408)&gt;0,1,0)</f>
        <v/>
      </c>
      <c r="BZ408" s="76">
        <f>IF($AJ408="","Other / Leased Fee",IFERROR(INDEX(mapPTGroup,MATCH(LEFT(TRIM($AJ408),2),mapPTCode,0)),"Other / Leased Fee"))</f>
        <v/>
      </c>
      <c r="CA408" s="76">
        <f>IF(TRIM($AF408&amp;"")="","NR",LEFT(TRIM($AF408),2))</f>
        <v/>
      </c>
      <c r="CB408" s="76">
        <f>IFERROR(LOOKUP(2,1/(LEFT(TRIM($AI408&amp;""),LEN(mapRegion))=mapRegion),mapRegion),"Not Reported")</f>
        <v/>
      </c>
      <c r="CC408" s="76">
        <f>IF($BY408=0,"",IF(TRIM($W408&amp;"")="REO","REO",IF(TRIM($W408&amp;"")="FC","Foreclosure",IF(TRIM($W408&amp;"")="90+","90+ Days Delinquent",IF(TRIM($W408&amp;"")="60","60 Days Delinquent",IF(TRIM($W408&amp;"")="30","30 Days Delinquent",IF($X408="Non-Performing Matured Balloon","Non-Performing Matured Balloon",IF(OR($X408="Late Payment But Less Than 30 Days Delinquent",LEFT($X408&amp;"",20)="Payment Not Received"),"Late / In Grace (&lt;30 Days)",IF($X408="Performing Matured Balloon","Performing Matured Balloon","Current")))))))))</f>
        <v/>
      </c>
      <c r="CD408" s="78">
        <f>IF(OR($CC408="REO",$CC408="Foreclosure",$CC408="90+ Days Delinquent",$CC408="60 Days Delinquent",$CC408="30 Days Delinquent",$CC408="Non-Performing Matured Balloon"),1,0)</f>
        <v/>
      </c>
      <c r="CE408" s="76">
        <f>IF($AB408="Currently special serv","Currently Specially Serviced",IF($AB408="Returned to master serv","Previously Specially Serviced","Never Specially Serviced"))</f>
        <v/>
      </c>
      <c r="CF408" s="78">
        <f>IF($CE408="Currently Specially Serviced",1,0)</f>
        <v/>
      </c>
      <c r="CG408" s="76">
        <f>IF($AA408="Yes","Currently on Watchlist",IF($AA408="Previously","Previously on Watchlist","Never on Watchlist"))</f>
        <v/>
      </c>
      <c r="CH408" s="78">
        <f>IF($CG408="Currently on Watchlist",1,0)</f>
        <v/>
      </c>
      <c r="CI408" s="76">
        <f>IF($Z408="Full Defeasance","Fully Defeased",IF($Z408="Portion Of Loan Previously Defeased","Partially Defeased",IF($Z408="Defeasance Not Allowable","Not Defeased (Not Permitted)","Not Defeased")))</f>
        <v/>
      </c>
      <c r="CJ408" s="78">
        <f>IF($CI408="Fully Defeased",1,0)</f>
        <v/>
      </c>
      <c r="CK408" s="76">
        <f>IF($R408="IO","Full IO",IF(LEFT($R408&amp;"",7)="IO then","Partial IO","Amortizing"))</f>
        <v/>
      </c>
      <c r="CL408" s="78">
        <f>IF($CK408="Full IO",1,0)</f>
        <v/>
      </c>
      <c r="CM408" s="78">
        <f>IF($CK408="Partial IO",1,0)</f>
        <v/>
      </c>
      <c r="CN408" s="76">
        <f>IF(LEFT($F408&amp;"",10)="SPLIT_LOAN","Pari Passu Split","Standalone")</f>
        <v/>
      </c>
      <c r="CO408" s="78">
        <f>IF($CN408="Pari Passu Split",1,0)</f>
        <v/>
      </c>
      <c r="CP408" s="77">
        <f>IF(ISNUMBER($T408),YEAR($T408),"")</f>
        <v/>
      </c>
      <c r="CQ408" s="79">
        <f>IF(ISNUMBER($V408),$V408,IF(ISNUMBER($U408),$U408,""))</f>
        <v/>
      </c>
      <c r="CR408" s="77">
        <f>IF(ISNUMBER($CQ408),YEAR($CQ408),"")</f>
        <v/>
      </c>
      <c r="CS408" s="78">
        <f>IF(ISNUMBER($M408),MAX(0,$M408),IF(TRIM($M408&amp;"")="matured",0,""))</f>
        <v/>
      </c>
      <c r="CT408" s="78">
        <f>IF(AND(ISNUMBER($CS408),N($CS408)&lt;=mMatWindow),1,0)</f>
        <v/>
      </c>
      <c r="CU408" s="80">
        <f>IF(ISNUMBER($J408),$J408/100,"")</f>
        <v/>
      </c>
      <c r="CV408" s="81">
        <f>IF(ISNUMBER($AQ408),$AQ408,"")</f>
        <v/>
      </c>
      <c r="CW408" s="81">
        <f>IF(ISNUMBER($AR408),$AR408,"")</f>
        <v/>
      </c>
      <c r="CX408" s="82">
        <f>IF(ISNUMBER($AS408),$AS408/100,"")</f>
        <v/>
      </c>
      <c r="CY408" s="82">
        <f>IF(ISNUMBER($AT408),$AT408/100,"")</f>
        <v/>
      </c>
      <c r="CZ408" s="82">
        <f>IF(ISNUMBER($AU408),$AU408/100,"")</f>
        <v/>
      </c>
      <c r="DA408" s="82">
        <f>IF(ISNUMBER($AV408),$AV408/100,"")</f>
        <v/>
      </c>
      <c r="DB408" s="82">
        <f>IF(ISNUMBER($AW408),$AW408/100,"")</f>
        <v/>
      </c>
      <c r="DC408" s="82">
        <f>IF(ISNUMBER($AX408),$AX408/100,"")</f>
        <v/>
      </c>
      <c r="DD408" s="77">
        <f>IFERROR(VALUE(LEFT(TRIM($AO408&amp;""),4)),"")</f>
        <v/>
      </c>
      <c r="DE408" s="78">
        <f>IF(AND($BY408=1,$BX408=1,OR(fDeal="All Deals",$BU408=fDeal),OR(fEntity="All Entities",$BV408=fEntity),OR(fPType="All Property Types",$BZ408=fPType),OR(fDefeased="Include",$CJ408=0)),1,0)</f>
        <v/>
      </c>
      <c r="DF408" s="83">
        <f>$DE408*N($I408)</f>
        <v/>
      </c>
      <c r="DG408" s="78">
        <f>IF($DE408=1,IF(COUNTIFS($F$8:$F408,$F408,$DE$8:$DE408,1)=1,1,0),0)</f>
        <v/>
      </c>
      <c r="DH408" s="83">
        <f>IF($DG408=1,SUMIFS($DF$8:$DF$1600,$F$8:$F$1600,$F408),0)</f>
        <v/>
      </c>
      <c r="DI408" s="78">
        <f>IF($DG408=1,COUNTIFS($F$8:$F$1600,$F408,$DE$8:$DE$1600,1),0)</f>
        <v/>
      </c>
      <c r="DJ408" s="84">
        <f>IF($DG408=1,$DH408+(100000-ROW())/mTieBreak,0)</f>
        <v/>
      </c>
    </row>
    <row r="409">
      <c r="B409" s="68" t="n">
        <v>23</v>
      </c>
      <c r="C409" s="69" t="inlineStr">
        <is>
          <t>UBS17C03</t>
        </is>
      </c>
      <c r="D409" s="69" t="inlineStr">
        <is>
          <t>23.000</t>
        </is>
      </c>
      <c r="E409" s="69" t="inlineStr">
        <is>
          <t>Hampton Inn &amp; Suites Williamsburg Historic District</t>
        </is>
      </c>
      <c r="F409" s="69" t="inlineStr">
        <is>
          <t>LNUBS17C03-23.000</t>
        </is>
      </c>
      <c r="G409" s="70" t="n"/>
      <c r="H409" s="71" t="n">
        <v>8500000</v>
      </c>
      <c r="I409" s="71" t="n">
        <v>6480385.6599985</v>
      </c>
      <c r="J409" s="72" t="n">
        <v>4.45</v>
      </c>
      <c r="K409" s="69" t="inlineStr">
        <is>
          <t>Fixed rate</t>
        </is>
      </c>
      <c r="L409" s="68" t="n">
        <v>120</v>
      </c>
      <c r="M409" s="68" t="n">
        <v>11</v>
      </c>
      <c r="N409" s="68" t="n">
        <v>300</v>
      </c>
      <c r="O409" s="68" t="n"/>
      <c r="P409" s="68" t="n"/>
      <c r="Q409" s="68" t="n">
        <v>109</v>
      </c>
      <c r="R409" s="69" t="n"/>
      <c r="S409" s="69" t="inlineStr">
        <is>
          <t>No</t>
        </is>
      </c>
      <c r="T409" s="73" t="n">
        <v>42948</v>
      </c>
      <c r="U409" s="73" t="n">
        <v>46600</v>
      </c>
      <c r="V409" s="73" t="n"/>
      <c r="W409" s="69" t="n"/>
      <c r="X409" s="69" t="inlineStr">
        <is>
          <t>Current</t>
        </is>
      </c>
      <c r="Y409" s="68" t="n"/>
      <c r="Z409" s="69" t="inlineStr">
        <is>
          <t>No Defeasance Occurred</t>
        </is>
      </c>
      <c r="AA409" s="69" t="inlineStr">
        <is>
          <t>Yes</t>
        </is>
      </c>
      <c r="AB409" s="69" t="inlineStr">
        <is>
          <t>Never special serv</t>
        </is>
      </c>
      <c r="AC409" s="73" t="n"/>
      <c r="AD409" s="69" t="n"/>
      <c r="AE409" s="69" t="n"/>
      <c r="AF409" s="69" t="inlineStr">
        <is>
          <t>VA</t>
        </is>
      </c>
      <c r="AG409" s="69" t="inlineStr">
        <is>
          <t>Williamsburg</t>
        </is>
      </c>
      <c r="AH409" s="69" t="inlineStr">
        <is>
          <t>Virginia Beach-Chesapeake-Norfolk, VA-NC</t>
        </is>
      </c>
      <c r="AI409" s="69" t="inlineStr">
        <is>
          <t>South / Atlantic</t>
        </is>
      </c>
      <c r="AJ409" s="69" t="inlineStr">
        <is>
          <t>HT</t>
        </is>
      </c>
      <c r="AK409" s="69" t="inlineStr">
        <is>
          <t>Limited Service</t>
        </is>
      </c>
      <c r="AL409" s="68" t="n">
        <v>1</v>
      </c>
      <c r="AM409" s="68" t="n">
        <v>109</v>
      </c>
      <c r="AN409" s="68" t="n"/>
      <c r="AO409" s="69" t="inlineStr">
        <is>
          <t>2006</t>
        </is>
      </c>
      <c r="AP409" s="70" t="n">
        <v>2006</v>
      </c>
      <c r="AQ409" s="74" t="n">
        <v>2.1</v>
      </c>
      <c r="AR409" s="74" t="n">
        <v>1.69</v>
      </c>
      <c r="AS409" s="74" t="n">
        <v>59.9</v>
      </c>
      <c r="AT409" s="74" t="n">
        <v>45.64</v>
      </c>
      <c r="AU409" s="74" t="n">
        <v>43.8</v>
      </c>
      <c r="AV409" s="74" t="n">
        <v>13.920248118</v>
      </c>
      <c r="AW409" s="74" t="n">
        <v>10.332824544</v>
      </c>
      <c r="AX409" s="75" t="n">
        <v>53</v>
      </c>
      <c r="AY409" s="71" t="n">
        <v>14200000</v>
      </c>
      <c r="AZ409" s="71" t="n">
        <v>14200000</v>
      </c>
      <c r="BA409" s="71" t="n">
        <v>1183221.09</v>
      </c>
      <c r="BB409" s="71" t="n">
        <v>951615.88</v>
      </c>
      <c r="BC409" s="69" t="inlineStr">
        <is>
          <t>Refinance</t>
        </is>
      </c>
      <c r="BD409" s="69" t="inlineStr">
        <is>
          <t>N</t>
        </is>
      </c>
      <c r="BE409" s="71" t="n"/>
      <c r="BF409" s="71" t="n"/>
      <c r="BG409" s="71" t="n"/>
      <c r="BH409" s="71" t="n">
        <v>0</v>
      </c>
      <c r="BI409" s="71" t="n">
        <v>0</v>
      </c>
      <c r="BJ409" s="69" t="inlineStr">
        <is>
          <t>N</t>
        </is>
      </c>
      <c r="BK409" s="69" t="n"/>
      <c r="BL409" s="75" t="n"/>
      <c r="BM409" s="73" t="n"/>
      <c r="BN409" s="69" t="inlineStr">
        <is>
          <t>Pranav V. Patel; Ratnam V. Patel; Vijay N. Patel</t>
        </is>
      </c>
      <c r="BO409" s="69" t="inlineStr">
        <is>
          <t>Societe Generale</t>
        </is>
      </c>
      <c r="BP409" s="69" t="inlineStr">
        <is>
          <t>Midland Loan Services</t>
        </is>
      </c>
      <c r="BQ409" s="69" t="inlineStr">
        <is>
          <t>Midland Loan Services</t>
        </is>
      </c>
      <c r="BR409" s="69" t="n"/>
      <c r="BS409" s="73" t="n">
        <v>46276</v>
      </c>
      <c r="BU409" s="76">
        <f>IF($C409="","",IFERROR(INDEX(dmName,MATCH($C409,dmID,0)),"Unmapped"))</f>
        <v/>
      </c>
      <c r="BV409" s="76">
        <f>IF($C409="","",IFERROR(INDEX(dmEntity,MATCH($C409,dmID,0)),"Unmapped"))</f>
        <v/>
      </c>
      <c r="BW409" s="77">
        <f>IF($C409="","",IFERROR(INDEX(dmVintage,MATCH($C409,dmID,0)),""))</f>
        <v/>
      </c>
      <c r="BX409" s="78">
        <f>IFERROR(INDEX(dmInclude,MATCH($C409,dmID,0)),0)</f>
        <v/>
      </c>
      <c r="BY409" s="78">
        <f>IF(N($I409)&gt;0,1,0)</f>
        <v/>
      </c>
      <c r="BZ409" s="76">
        <f>IF($AJ409="","Other / Leased Fee",IFERROR(INDEX(mapPTGroup,MATCH(LEFT(TRIM($AJ409),2),mapPTCode,0)),"Other / Leased Fee"))</f>
        <v/>
      </c>
      <c r="CA409" s="76">
        <f>IF(TRIM($AF409&amp;"")="","NR",LEFT(TRIM($AF409),2))</f>
        <v/>
      </c>
      <c r="CB409" s="76">
        <f>IFERROR(LOOKUP(2,1/(LEFT(TRIM($AI409&amp;""),LEN(mapRegion))=mapRegion),mapRegion),"Not Reported")</f>
        <v/>
      </c>
      <c r="CC409" s="76">
        <f>IF($BY409=0,"",IF(TRIM($W409&amp;"")="REO","REO",IF(TRIM($W409&amp;"")="FC","Foreclosure",IF(TRIM($W409&amp;"")="90+","90+ Days Delinquent",IF(TRIM($W409&amp;"")="60","60 Days Delinquent",IF(TRIM($W409&amp;"")="30","30 Days Delinquent",IF($X409="Non-Performing Matured Balloon","Non-Performing Matured Balloon",IF(OR($X409="Late Payment But Less Than 30 Days Delinquent",LEFT($X409&amp;"",20)="Payment Not Received"),"Late / In Grace (&lt;30 Days)",IF($X409="Performing Matured Balloon","Performing Matured Balloon","Current")))))))))</f>
        <v/>
      </c>
      <c r="CD409" s="78">
        <f>IF(OR($CC409="REO",$CC409="Foreclosure",$CC409="90+ Days Delinquent",$CC409="60 Days Delinquent",$CC409="30 Days Delinquent",$CC409="Non-Performing Matured Balloon"),1,0)</f>
        <v/>
      </c>
      <c r="CE409" s="76">
        <f>IF($AB409="Currently special serv","Currently Specially Serviced",IF($AB409="Returned to master serv","Previously Specially Serviced","Never Specially Serviced"))</f>
        <v/>
      </c>
      <c r="CF409" s="78">
        <f>IF($CE409="Currently Specially Serviced",1,0)</f>
        <v/>
      </c>
      <c r="CG409" s="76">
        <f>IF($AA409="Yes","Currently on Watchlist",IF($AA409="Previously","Previously on Watchlist","Never on Watchlist"))</f>
        <v/>
      </c>
      <c r="CH409" s="78">
        <f>IF($CG409="Currently on Watchlist",1,0)</f>
        <v/>
      </c>
      <c r="CI409" s="76">
        <f>IF($Z409="Full Defeasance","Fully Defeased",IF($Z409="Portion Of Loan Previously Defeased","Partially Defeased",IF($Z409="Defeasance Not Allowable","Not Defeased (Not Permitted)","Not Defeased")))</f>
        <v/>
      </c>
      <c r="CJ409" s="78">
        <f>IF($CI409="Fully Defeased",1,0)</f>
        <v/>
      </c>
      <c r="CK409" s="76">
        <f>IF($R409="IO","Full IO",IF(LEFT($R409&amp;"",7)="IO then","Partial IO","Amortizing"))</f>
        <v/>
      </c>
      <c r="CL409" s="78">
        <f>IF($CK409="Full IO",1,0)</f>
        <v/>
      </c>
      <c r="CM409" s="78">
        <f>IF($CK409="Partial IO",1,0)</f>
        <v/>
      </c>
      <c r="CN409" s="76">
        <f>IF(LEFT($F409&amp;"",10)="SPLIT_LOAN","Pari Passu Split","Standalone")</f>
        <v/>
      </c>
      <c r="CO409" s="78">
        <f>IF($CN409="Pari Passu Split",1,0)</f>
        <v/>
      </c>
      <c r="CP409" s="77">
        <f>IF(ISNUMBER($T409),YEAR($T409),"")</f>
        <v/>
      </c>
      <c r="CQ409" s="79">
        <f>IF(ISNUMBER($V409),$V409,IF(ISNUMBER($U409),$U409,""))</f>
        <v/>
      </c>
      <c r="CR409" s="77">
        <f>IF(ISNUMBER($CQ409),YEAR($CQ409),"")</f>
        <v/>
      </c>
      <c r="CS409" s="78">
        <f>IF(ISNUMBER($M409),MAX(0,$M409),IF(TRIM($M409&amp;"")="matured",0,""))</f>
        <v/>
      </c>
      <c r="CT409" s="78">
        <f>IF(AND(ISNUMBER($CS409),N($CS409)&lt;=mMatWindow),1,0)</f>
        <v/>
      </c>
      <c r="CU409" s="80">
        <f>IF(ISNUMBER($J409),$J409/100,"")</f>
        <v/>
      </c>
      <c r="CV409" s="81">
        <f>IF(ISNUMBER($AQ409),$AQ409,"")</f>
        <v/>
      </c>
      <c r="CW409" s="81">
        <f>IF(ISNUMBER($AR409),$AR409,"")</f>
        <v/>
      </c>
      <c r="CX409" s="82">
        <f>IF(ISNUMBER($AS409),$AS409/100,"")</f>
        <v/>
      </c>
      <c r="CY409" s="82">
        <f>IF(ISNUMBER($AT409),$AT409/100,"")</f>
        <v/>
      </c>
      <c r="CZ409" s="82">
        <f>IF(ISNUMBER($AU409),$AU409/100,"")</f>
        <v/>
      </c>
      <c r="DA409" s="82">
        <f>IF(ISNUMBER($AV409),$AV409/100,"")</f>
        <v/>
      </c>
      <c r="DB409" s="82">
        <f>IF(ISNUMBER($AW409),$AW409/100,"")</f>
        <v/>
      </c>
      <c r="DC409" s="82">
        <f>IF(ISNUMBER($AX409),$AX409/100,"")</f>
        <v/>
      </c>
      <c r="DD409" s="77">
        <f>IFERROR(VALUE(LEFT(TRIM($AO409&amp;""),4)),"")</f>
        <v/>
      </c>
      <c r="DE409" s="78">
        <f>IF(AND($BY409=1,$BX409=1,OR(fDeal="All Deals",$BU409=fDeal),OR(fEntity="All Entities",$BV409=fEntity),OR(fPType="All Property Types",$BZ409=fPType),OR(fDefeased="Include",$CJ409=0)),1,0)</f>
        <v/>
      </c>
      <c r="DF409" s="83">
        <f>$DE409*N($I409)</f>
        <v/>
      </c>
      <c r="DG409" s="78">
        <f>IF($DE409=1,IF(COUNTIFS($F$8:$F409,$F409,$DE$8:$DE409,1)=1,1,0),0)</f>
        <v/>
      </c>
      <c r="DH409" s="83">
        <f>IF($DG409=1,SUMIFS($DF$8:$DF$1600,$F$8:$F$1600,$F409),0)</f>
        <v/>
      </c>
      <c r="DI409" s="78">
        <f>IF($DG409=1,COUNTIFS($F$8:$F$1600,$F409,$DE$8:$DE$1600,1),0)</f>
        <v/>
      </c>
      <c r="DJ409" s="84">
        <f>IF($DG409=1,$DH409+(100000-ROW())/mTieBreak,0)</f>
        <v/>
      </c>
    </row>
    <row r="410">
      <c r="B410" s="68" t="n">
        <v>24</v>
      </c>
      <c r="C410" s="69" t="inlineStr">
        <is>
          <t>UBS17C03</t>
        </is>
      </c>
      <c r="D410" s="69" t="inlineStr">
        <is>
          <t>24.000</t>
        </is>
      </c>
      <c r="E410" s="69" t="inlineStr">
        <is>
          <t>Five Seasons MHC</t>
        </is>
      </c>
      <c r="F410" s="69" t="inlineStr">
        <is>
          <t>LNUBS17C03-24.000</t>
        </is>
      </c>
      <c r="G410" s="70" t="n"/>
      <c r="H410" s="71" t="n">
        <v>8000000</v>
      </c>
      <c r="I410" s="71" t="n">
        <v>6674072.430000001</v>
      </c>
      <c r="J410" s="72" t="n">
        <v>4.67</v>
      </c>
      <c r="K410" s="69" t="inlineStr">
        <is>
          <t>Fixed rate</t>
        </is>
      </c>
      <c r="L410" s="68" t="n">
        <v>120</v>
      </c>
      <c r="M410" s="68" t="n">
        <v>11</v>
      </c>
      <c r="N410" s="68" t="n">
        <v>360</v>
      </c>
      <c r="O410" s="68" t="n"/>
      <c r="P410" s="68" t="n"/>
      <c r="Q410" s="68" t="n">
        <v>109</v>
      </c>
      <c r="R410" s="69" t="n"/>
      <c r="S410" s="69" t="inlineStr">
        <is>
          <t>No</t>
        </is>
      </c>
      <c r="T410" s="73" t="n">
        <v>42948</v>
      </c>
      <c r="U410" s="73" t="n">
        <v>46600</v>
      </c>
      <c r="V410" s="73" t="n"/>
      <c r="W410" s="69" t="n"/>
      <c r="X410" s="69" t="inlineStr">
        <is>
          <t>Current</t>
        </is>
      </c>
      <c r="Y410" s="68" t="n"/>
      <c r="Z410" s="69" t="inlineStr">
        <is>
          <t>Full Defeasance</t>
        </is>
      </c>
      <c r="AA410" s="69" t="inlineStr">
        <is>
          <t>Previously</t>
        </is>
      </c>
      <c r="AB410" s="69" t="inlineStr">
        <is>
          <t>Never special serv</t>
        </is>
      </c>
      <c r="AC410" s="73" t="n"/>
      <c r="AD410" s="69" t="n"/>
      <c r="AE410" s="69" t="n"/>
      <c r="AF410" s="69" t="inlineStr">
        <is>
          <t>IA</t>
        </is>
      </c>
      <c r="AG410" s="69" t="inlineStr">
        <is>
          <t>Cedar Rapids</t>
        </is>
      </c>
      <c r="AH410" s="69" t="inlineStr">
        <is>
          <t>Cedar Rapids, IA</t>
        </is>
      </c>
      <c r="AI410" s="69" t="inlineStr">
        <is>
          <t>Midwest / Central West</t>
        </is>
      </c>
      <c r="AJ410" s="69" t="inlineStr">
        <is>
          <t>MH</t>
        </is>
      </c>
      <c r="AK410" s="69" t="n"/>
      <c r="AL410" s="68" t="n">
        <v>1</v>
      </c>
      <c r="AM410" s="68" t="n">
        <v>390</v>
      </c>
      <c r="AN410" s="68" t="n"/>
      <c r="AO410" s="69" t="inlineStr">
        <is>
          <t>1971</t>
        </is>
      </c>
      <c r="AP410" s="70" t="n">
        <v>1971</v>
      </c>
      <c r="AQ410" s="74" t="n">
        <v>1.47</v>
      </c>
      <c r="AR410" s="74" t="n">
        <v>1.41</v>
      </c>
      <c r="AS410" s="74" t="n">
        <v>61.5</v>
      </c>
      <c r="AT410" s="74" t="n">
        <v>51.34</v>
      </c>
      <c r="AU410" s="74" t="n">
        <v>50</v>
      </c>
      <c r="AV410" s="74" t="n">
        <v>9.1093875</v>
      </c>
      <c r="AW410" s="74" t="n">
        <v>10.210165639</v>
      </c>
      <c r="AX410" s="75" t="n">
        <v>91</v>
      </c>
      <c r="AY410" s="71" t="n">
        <v>13000000</v>
      </c>
      <c r="AZ410" s="71" t="n">
        <v>13000000</v>
      </c>
      <c r="BA410" s="71" t="n">
        <v>728751</v>
      </c>
      <c r="BB410" s="71" t="n">
        <v>701528</v>
      </c>
      <c r="BC410" s="69" t="inlineStr">
        <is>
          <t>Refinance</t>
        </is>
      </c>
      <c r="BD410" s="69" t="n"/>
      <c r="BE410" s="71" t="n"/>
      <c r="BF410" s="71" t="n"/>
      <c r="BG410" s="71" t="n"/>
      <c r="BH410" s="71" t="n">
        <v>0</v>
      </c>
      <c r="BI410" s="71" t="n">
        <v>0</v>
      </c>
      <c r="BJ410" s="69" t="inlineStr">
        <is>
          <t>N</t>
        </is>
      </c>
      <c r="BK410" s="69" t="n"/>
      <c r="BL410" s="75" t="n"/>
      <c r="BM410" s="73" t="n"/>
      <c r="BN410" s="69" t="inlineStr">
        <is>
          <t>James W. Soboleski; Benjamin Kadish</t>
        </is>
      </c>
      <c r="BO410" s="69" t="inlineStr">
        <is>
          <t>KeyBank</t>
        </is>
      </c>
      <c r="BP410" s="69" t="inlineStr">
        <is>
          <t>Midland Loan Services</t>
        </is>
      </c>
      <c r="BQ410" s="69" t="inlineStr">
        <is>
          <t>Midland Loan Services</t>
        </is>
      </c>
      <c r="BR410" s="69" t="n"/>
      <c r="BS410" s="73" t="n">
        <v>46276</v>
      </c>
      <c r="BU410" s="76">
        <f>IF($C410="","",IFERROR(INDEX(dmName,MATCH($C410,dmID,0)),"Unmapped"))</f>
        <v/>
      </c>
      <c r="BV410" s="76">
        <f>IF($C410="","",IFERROR(INDEX(dmEntity,MATCH($C410,dmID,0)),"Unmapped"))</f>
        <v/>
      </c>
      <c r="BW410" s="77">
        <f>IF($C410="","",IFERROR(INDEX(dmVintage,MATCH($C410,dmID,0)),""))</f>
        <v/>
      </c>
      <c r="BX410" s="78">
        <f>IFERROR(INDEX(dmInclude,MATCH($C410,dmID,0)),0)</f>
        <v/>
      </c>
      <c r="BY410" s="78">
        <f>IF(N($I410)&gt;0,1,0)</f>
        <v/>
      </c>
      <c r="BZ410" s="76">
        <f>IF($AJ410="","Other / Leased Fee",IFERROR(INDEX(mapPTGroup,MATCH(LEFT(TRIM($AJ410),2),mapPTCode,0)),"Other / Leased Fee"))</f>
        <v/>
      </c>
      <c r="CA410" s="76">
        <f>IF(TRIM($AF410&amp;"")="","NR",LEFT(TRIM($AF410),2))</f>
        <v/>
      </c>
      <c r="CB410" s="76">
        <f>IFERROR(LOOKUP(2,1/(LEFT(TRIM($AI410&amp;""),LEN(mapRegion))=mapRegion),mapRegion),"Not Reported")</f>
        <v/>
      </c>
      <c r="CC410" s="76">
        <f>IF($BY410=0,"",IF(TRIM($W410&amp;"")="REO","REO",IF(TRIM($W410&amp;"")="FC","Foreclosure",IF(TRIM($W410&amp;"")="90+","90+ Days Delinquent",IF(TRIM($W410&amp;"")="60","60 Days Delinquent",IF(TRIM($W410&amp;"")="30","30 Days Delinquent",IF($X410="Non-Performing Matured Balloon","Non-Performing Matured Balloon",IF(OR($X410="Late Payment But Less Than 30 Days Delinquent",LEFT($X410&amp;"",20)="Payment Not Received"),"Late / In Grace (&lt;30 Days)",IF($X410="Performing Matured Balloon","Performing Matured Balloon","Current")))))))))</f>
        <v/>
      </c>
      <c r="CD410" s="78">
        <f>IF(OR($CC410="REO",$CC410="Foreclosure",$CC410="90+ Days Delinquent",$CC410="60 Days Delinquent",$CC410="30 Days Delinquent",$CC410="Non-Performing Matured Balloon"),1,0)</f>
        <v/>
      </c>
      <c r="CE410" s="76">
        <f>IF($AB410="Currently special serv","Currently Specially Serviced",IF($AB410="Returned to master serv","Previously Specially Serviced","Never Specially Serviced"))</f>
        <v/>
      </c>
      <c r="CF410" s="78">
        <f>IF($CE410="Currently Specially Serviced",1,0)</f>
        <v/>
      </c>
      <c r="CG410" s="76">
        <f>IF($AA410="Yes","Currently on Watchlist",IF($AA410="Previously","Previously on Watchlist","Never on Watchlist"))</f>
        <v/>
      </c>
      <c r="CH410" s="78">
        <f>IF($CG410="Currently on Watchlist",1,0)</f>
        <v/>
      </c>
      <c r="CI410" s="76">
        <f>IF($Z410="Full Defeasance","Fully Defeased",IF($Z410="Portion Of Loan Previously Defeased","Partially Defeased",IF($Z410="Defeasance Not Allowable","Not Defeased (Not Permitted)","Not Defeased")))</f>
        <v/>
      </c>
      <c r="CJ410" s="78">
        <f>IF($CI410="Fully Defeased",1,0)</f>
        <v/>
      </c>
      <c r="CK410" s="76">
        <f>IF($R410="IO","Full IO",IF(LEFT($R410&amp;"",7)="IO then","Partial IO","Amortizing"))</f>
        <v/>
      </c>
      <c r="CL410" s="78">
        <f>IF($CK410="Full IO",1,0)</f>
        <v/>
      </c>
      <c r="CM410" s="78">
        <f>IF($CK410="Partial IO",1,0)</f>
        <v/>
      </c>
      <c r="CN410" s="76">
        <f>IF(LEFT($F410&amp;"",10)="SPLIT_LOAN","Pari Passu Split","Standalone")</f>
        <v/>
      </c>
      <c r="CO410" s="78">
        <f>IF($CN410="Pari Passu Split",1,0)</f>
        <v/>
      </c>
      <c r="CP410" s="77">
        <f>IF(ISNUMBER($T410),YEAR($T410),"")</f>
        <v/>
      </c>
      <c r="CQ410" s="79">
        <f>IF(ISNUMBER($V410),$V410,IF(ISNUMBER($U410),$U410,""))</f>
        <v/>
      </c>
      <c r="CR410" s="77">
        <f>IF(ISNUMBER($CQ410),YEAR($CQ410),"")</f>
        <v/>
      </c>
      <c r="CS410" s="78">
        <f>IF(ISNUMBER($M410),MAX(0,$M410),IF(TRIM($M410&amp;"")="matured",0,""))</f>
        <v/>
      </c>
      <c r="CT410" s="78">
        <f>IF(AND(ISNUMBER($CS410),N($CS410)&lt;=mMatWindow),1,0)</f>
        <v/>
      </c>
      <c r="CU410" s="80">
        <f>IF(ISNUMBER($J410),$J410/100,"")</f>
        <v/>
      </c>
      <c r="CV410" s="81">
        <f>IF(ISNUMBER($AQ410),$AQ410,"")</f>
        <v/>
      </c>
      <c r="CW410" s="81">
        <f>IF(ISNUMBER($AR410),$AR410,"")</f>
        <v/>
      </c>
      <c r="CX410" s="82">
        <f>IF(ISNUMBER($AS410),$AS410/100,"")</f>
        <v/>
      </c>
      <c r="CY410" s="82">
        <f>IF(ISNUMBER($AT410),$AT410/100,"")</f>
        <v/>
      </c>
      <c r="CZ410" s="82">
        <f>IF(ISNUMBER($AU410),$AU410/100,"")</f>
        <v/>
      </c>
      <c r="DA410" s="82">
        <f>IF(ISNUMBER($AV410),$AV410/100,"")</f>
        <v/>
      </c>
      <c r="DB410" s="82">
        <f>IF(ISNUMBER($AW410),$AW410/100,"")</f>
        <v/>
      </c>
      <c r="DC410" s="82">
        <f>IF(ISNUMBER($AX410),$AX410/100,"")</f>
        <v/>
      </c>
      <c r="DD410" s="77">
        <f>IFERROR(VALUE(LEFT(TRIM($AO410&amp;""),4)),"")</f>
        <v/>
      </c>
      <c r="DE410" s="78">
        <f>IF(AND($BY410=1,$BX410=1,OR(fDeal="All Deals",$BU410=fDeal),OR(fEntity="All Entities",$BV410=fEntity),OR(fPType="All Property Types",$BZ410=fPType),OR(fDefeased="Include",$CJ410=0)),1,0)</f>
        <v/>
      </c>
      <c r="DF410" s="83">
        <f>$DE410*N($I410)</f>
        <v/>
      </c>
      <c r="DG410" s="78">
        <f>IF($DE410=1,IF(COUNTIFS($F$8:$F410,$F410,$DE$8:$DE410,1)=1,1,0),0)</f>
        <v/>
      </c>
      <c r="DH410" s="83">
        <f>IF($DG410=1,SUMIFS($DF$8:$DF$1600,$F$8:$F$1600,$F410),0)</f>
        <v/>
      </c>
      <c r="DI410" s="78">
        <f>IF($DG410=1,COUNTIFS($F$8:$F$1600,$F410,$DE$8:$DE$1600,1),0)</f>
        <v/>
      </c>
      <c r="DJ410" s="84">
        <f>IF($DG410=1,$DH410+(100000-ROW())/mTieBreak,0)</f>
        <v/>
      </c>
    </row>
    <row r="411">
      <c r="B411" s="68" t="n">
        <v>25</v>
      </c>
      <c r="C411" s="69" t="inlineStr">
        <is>
          <t>UBS17C03</t>
        </is>
      </c>
      <c r="D411" s="69" t="inlineStr">
        <is>
          <t>25.000</t>
        </is>
      </c>
      <c r="E411" s="69" t="inlineStr">
        <is>
          <t>Bolingbrook Logistics Center</t>
        </is>
      </c>
      <c r="F411" s="69" t="inlineStr">
        <is>
          <t>LNUBS17C03-25.000</t>
        </is>
      </c>
      <c r="G411" s="70" t="n"/>
      <c r="H411" s="71" t="n">
        <v>7000000</v>
      </c>
      <c r="I411" s="71" t="n">
        <v>5786557.179998</v>
      </c>
      <c r="J411" s="72" t="n">
        <v>4.52</v>
      </c>
      <c r="K411" s="69" t="inlineStr">
        <is>
          <t>Fixed rate</t>
        </is>
      </c>
      <c r="L411" s="68" t="n">
        <v>120</v>
      </c>
      <c r="M411" s="68" t="n">
        <v>9</v>
      </c>
      <c r="N411" s="68" t="n">
        <v>360</v>
      </c>
      <c r="O411" s="68" t="n"/>
      <c r="P411" s="68" t="n"/>
      <c r="Q411" s="68" t="n">
        <v>111</v>
      </c>
      <c r="R411" s="69" t="n"/>
      <c r="S411" s="69" t="inlineStr">
        <is>
          <t>No</t>
        </is>
      </c>
      <c r="T411" s="73" t="n">
        <v>42887</v>
      </c>
      <c r="U411" s="73" t="n">
        <v>46539</v>
      </c>
      <c r="V411" s="73" t="n"/>
      <c r="W411" s="69" t="n"/>
      <c r="X411" s="69" t="inlineStr">
        <is>
          <t>Current</t>
        </is>
      </c>
      <c r="Y411" s="68" t="n"/>
      <c r="Z411" s="69" t="inlineStr">
        <is>
          <t>No Defeasance Occurred</t>
        </is>
      </c>
      <c r="AA411" s="69" t="inlineStr">
        <is>
          <t>Previously</t>
        </is>
      </c>
      <c r="AB411" s="69" t="inlineStr">
        <is>
          <t>Never special serv</t>
        </is>
      </c>
      <c r="AC411" s="73" t="n"/>
      <c r="AD411" s="69" t="n"/>
      <c r="AE411" s="69" t="n"/>
      <c r="AF411" s="69" t="inlineStr">
        <is>
          <t>IL</t>
        </is>
      </c>
      <c r="AG411" s="69" t="inlineStr">
        <is>
          <t>Bolingbrook</t>
        </is>
      </c>
      <c r="AH411" s="69" t="inlineStr">
        <is>
          <t>Chicago-Naperville-Elgin, IL-IN</t>
        </is>
      </c>
      <c r="AI411" s="69" t="inlineStr">
        <is>
          <t>Midwest / Central East</t>
        </is>
      </c>
      <c r="AJ411" s="69" t="inlineStr">
        <is>
          <t>IN</t>
        </is>
      </c>
      <c r="AK411" s="69" t="inlineStr">
        <is>
          <t>Warehouse/Distribution</t>
        </is>
      </c>
      <c r="AL411" s="68" t="n">
        <v>1</v>
      </c>
      <c r="AM411" s="68" t="n"/>
      <c r="AN411" s="68" t="n">
        <v>42350</v>
      </c>
      <c r="AO411" s="69" t="inlineStr">
        <is>
          <t>2007</t>
        </is>
      </c>
      <c r="AP411" s="70" t="n">
        <v>2007</v>
      </c>
      <c r="AQ411" s="74" t="n">
        <v>1.98</v>
      </c>
      <c r="AR411" s="74" t="n">
        <v>1.8</v>
      </c>
      <c r="AS411" s="74" t="n">
        <v>49.5</v>
      </c>
      <c r="AT411" s="74" t="n">
        <v>41.04</v>
      </c>
      <c r="AU411" s="74" t="n">
        <v>40.2</v>
      </c>
      <c r="AV411" s="74" t="n">
        <v>12.069014286</v>
      </c>
      <c r="AW411" s="74" t="n">
        <v>13.275665929</v>
      </c>
      <c r="AX411" s="75" t="n">
        <v>100</v>
      </c>
      <c r="AY411" s="71" t="n">
        <v>14100000</v>
      </c>
      <c r="AZ411" s="71" t="n">
        <v>14100000</v>
      </c>
      <c r="BA411" s="71" t="n">
        <v>844831</v>
      </c>
      <c r="BB411" s="71" t="n">
        <v>768204</v>
      </c>
      <c r="BC411" s="69" t="inlineStr">
        <is>
          <t>Refinance</t>
        </is>
      </c>
      <c r="BD411" s="69" t="inlineStr">
        <is>
          <t>N</t>
        </is>
      </c>
      <c r="BE411" s="71" t="n"/>
      <c r="BF411" s="71" t="n"/>
      <c r="BG411" s="71" t="n"/>
      <c r="BH411" s="71" t="n">
        <v>0</v>
      </c>
      <c r="BI411" s="71" t="n">
        <v>0</v>
      </c>
      <c r="BJ411" s="69" t="inlineStr">
        <is>
          <t>N</t>
        </is>
      </c>
      <c r="BK411" s="69" t="inlineStr">
        <is>
          <t>FedEx Freight</t>
        </is>
      </c>
      <c r="BL411" s="75" t="n">
        <v>100</v>
      </c>
      <c r="BM411" s="73" t="n">
        <v>49705</v>
      </c>
      <c r="BN411" s="69" t="inlineStr">
        <is>
          <t>Champion Realty Advisors, LLC</t>
        </is>
      </c>
      <c r="BO411" s="69" t="inlineStr">
        <is>
          <t>KeyBank</t>
        </is>
      </c>
      <c r="BP411" s="69" t="inlineStr">
        <is>
          <t>Midland Loan Services</t>
        </is>
      </c>
      <c r="BQ411" s="69" t="inlineStr">
        <is>
          <t>Midland Loan Services</t>
        </is>
      </c>
      <c r="BR411" s="69" t="n"/>
      <c r="BS411" s="73" t="n">
        <v>46276</v>
      </c>
      <c r="BU411" s="76">
        <f>IF($C411="","",IFERROR(INDEX(dmName,MATCH($C411,dmID,0)),"Unmapped"))</f>
        <v/>
      </c>
      <c r="BV411" s="76">
        <f>IF($C411="","",IFERROR(INDEX(dmEntity,MATCH($C411,dmID,0)),"Unmapped"))</f>
        <v/>
      </c>
      <c r="BW411" s="77">
        <f>IF($C411="","",IFERROR(INDEX(dmVintage,MATCH($C411,dmID,0)),""))</f>
        <v/>
      </c>
      <c r="BX411" s="78">
        <f>IFERROR(INDEX(dmInclude,MATCH($C411,dmID,0)),0)</f>
        <v/>
      </c>
      <c r="BY411" s="78">
        <f>IF(N($I411)&gt;0,1,0)</f>
        <v/>
      </c>
      <c r="BZ411" s="76">
        <f>IF($AJ411="","Other / Leased Fee",IFERROR(INDEX(mapPTGroup,MATCH(LEFT(TRIM($AJ411),2),mapPTCode,0)),"Other / Leased Fee"))</f>
        <v/>
      </c>
      <c r="CA411" s="76">
        <f>IF(TRIM($AF411&amp;"")="","NR",LEFT(TRIM($AF411),2))</f>
        <v/>
      </c>
      <c r="CB411" s="76">
        <f>IFERROR(LOOKUP(2,1/(LEFT(TRIM($AI411&amp;""),LEN(mapRegion))=mapRegion),mapRegion),"Not Reported")</f>
        <v/>
      </c>
      <c r="CC411" s="76">
        <f>IF($BY411=0,"",IF(TRIM($W411&amp;"")="REO","REO",IF(TRIM($W411&amp;"")="FC","Foreclosure",IF(TRIM($W411&amp;"")="90+","90+ Days Delinquent",IF(TRIM($W411&amp;"")="60","60 Days Delinquent",IF(TRIM($W411&amp;"")="30","30 Days Delinquent",IF($X411="Non-Performing Matured Balloon","Non-Performing Matured Balloon",IF(OR($X411="Late Payment But Less Than 30 Days Delinquent",LEFT($X411&amp;"",20)="Payment Not Received"),"Late / In Grace (&lt;30 Days)",IF($X411="Performing Matured Balloon","Performing Matured Balloon","Current")))))))))</f>
        <v/>
      </c>
      <c r="CD411" s="78">
        <f>IF(OR($CC411="REO",$CC411="Foreclosure",$CC411="90+ Days Delinquent",$CC411="60 Days Delinquent",$CC411="30 Days Delinquent",$CC411="Non-Performing Matured Balloon"),1,0)</f>
        <v/>
      </c>
      <c r="CE411" s="76">
        <f>IF($AB411="Currently special serv","Currently Specially Serviced",IF($AB411="Returned to master serv","Previously Specially Serviced","Never Specially Serviced"))</f>
        <v/>
      </c>
      <c r="CF411" s="78">
        <f>IF($CE411="Currently Specially Serviced",1,0)</f>
        <v/>
      </c>
      <c r="CG411" s="76">
        <f>IF($AA411="Yes","Currently on Watchlist",IF($AA411="Previously","Previously on Watchlist","Never on Watchlist"))</f>
        <v/>
      </c>
      <c r="CH411" s="78">
        <f>IF($CG411="Currently on Watchlist",1,0)</f>
        <v/>
      </c>
      <c r="CI411" s="76">
        <f>IF($Z411="Full Defeasance","Fully Defeased",IF($Z411="Portion Of Loan Previously Defeased","Partially Defeased",IF($Z411="Defeasance Not Allowable","Not Defeased (Not Permitted)","Not Defeased")))</f>
        <v/>
      </c>
      <c r="CJ411" s="78">
        <f>IF($CI411="Fully Defeased",1,0)</f>
        <v/>
      </c>
      <c r="CK411" s="76">
        <f>IF($R411="IO","Full IO",IF(LEFT($R411&amp;"",7)="IO then","Partial IO","Amortizing"))</f>
        <v/>
      </c>
      <c r="CL411" s="78">
        <f>IF($CK411="Full IO",1,0)</f>
        <v/>
      </c>
      <c r="CM411" s="78">
        <f>IF($CK411="Partial IO",1,0)</f>
        <v/>
      </c>
      <c r="CN411" s="76">
        <f>IF(LEFT($F411&amp;"",10)="SPLIT_LOAN","Pari Passu Split","Standalone")</f>
        <v/>
      </c>
      <c r="CO411" s="78">
        <f>IF($CN411="Pari Passu Split",1,0)</f>
        <v/>
      </c>
      <c r="CP411" s="77">
        <f>IF(ISNUMBER($T411),YEAR($T411),"")</f>
        <v/>
      </c>
      <c r="CQ411" s="79">
        <f>IF(ISNUMBER($V411),$V411,IF(ISNUMBER($U411),$U411,""))</f>
        <v/>
      </c>
      <c r="CR411" s="77">
        <f>IF(ISNUMBER($CQ411),YEAR($CQ411),"")</f>
        <v/>
      </c>
      <c r="CS411" s="78">
        <f>IF(ISNUMBER($M411),MAX(0,$M411),IF(TRIM($M411&amp;"")="matured",0,""))</f>
        <v/>
      </c>
      <c r="CT411" s="78">
        <f>IF(AND(ISNUMBER($CS411),N($CS411)&lt;=mMatWindow),1,0)</f>
        <v/>
      </c>
      <c r="CU411" s="80">
        <f>IF(ISNUMBER($J411),$J411/100,"")</f>
        <v/>
      </c>
      <c r="CV411" s="81">
        <f>IF(ISNUMBER($AQ411),$AQ411,"")</f>
        <v/>
      </c>
      <c r="CW411" s="81">
        <f>IF(ISNUMBER($AR411),$AR411,"")</f>
        <v/>
      </c>
      <c r="CX411" s="82">
        <f>IF(ISNUMBER($AS411),$AS411/100,"")</f>
        <v/>
      </c>
      <c r="CY411" s="82">
        <f>IF(ISNUMBER($AT411),$AT411/100,"")</f>
        <v/>
      </c>
      <c r="CZ411" s="82">
        <f>IF(ISNUMBER($AU411),$AU411/100,"")</f>
        <v/>
      </c>
      <c r="DA411" s="82">
        <f>IF(ISNUMBER($AV411),$AV411/100,"")</f>
        <v/>
      </c>
      <c r="DB411" s="82">
        <f>IF(ISNUMBER($AW411),$AW411/100,"")</f>
        <v/>
      </c>
      <c r="DC411" s="82">
        <f>IF(ISNUMBER($AX411),$AX411/100,"")</f>
        <v/>
      </c>
      <c r="DD411" s="77">
        <f>IFERROR(VALUE(LEFT(TRIM($AO411&amp;""),4)),"")</f>
        <v/>
      </c>
      <c r="DE411" s="78">
        <f>IF(AND($BY411=1,$BX411=1,OR(fDeal="All Deals",$BU411=fDeal),OR(fEntity="All Entities",$BV411=fEntity),OR(fPType="All Property Types",$BZ411=fPType),OR(fDefeased="Include",$CJ411=0)),1,0)</f>
        <v/>
      </c>
      <c r="DF411" s="83">
        <f>$DE411*N($I411)</f>
        <v/>
      </c>
      <c r="DG411" s="78">
        <f>IF($DE411=1,IF(COUNTIFS($F$8:$F411,$F411,$DE$8:$DE411,1)=1,1,0),0)</f>
        <v/>
      </c>
      <c r="DH411" s="83">
        <f>IF($DG411=1,SUMIFS($DF$8:$DF$1600,$F$8:$F$1600,$F411),0)</f>
        <v/>
      </c>
      <c r="DI411" s="78">
        <f>IF($DG411=1,COUNTIFS($F$8:$F$1600,$F411,$DE$8:$DE$1600,1),0)</f>
        <v/>
      </c>
      <c r="DJ411" s="84">
        <f>IF($DG411=1,$DH411+(100000-ROW())/mTieBreak,0)</f>
        <v/>
      </c>
    </row>
    <row r="412">
      <c r="B412" s="68" t="n">
        <v>26</v>
      </c>
      <c r="C412" s="69" t="inlineStr">
        <is>
          <t>UBS17C03</t>
        </is>
      </c>
      <c r="D412" s="69" t="inlineStr">
        <is>
          <t>26.000</t>
        </is>
      </c>
      <c r="E412" s="69" t="inlineStr">
        <is>
          <t>Carneros Self Storage Park</t>
        </is>
      </c>
      <c r="F412" s="69" t="inlineStr">
        <is>
          <t>LNUBS17C03-26.000</t>
        </is>
      </c>
      <c r="G412" s="70" t="n"/>
      <c r="H412" s="71" t="n">
        <v>6800000</v>
      </c>
      <c r="I412" s="71" t="n">
        <v>6800000</v>
      </c>
      <c r="J412" s="72" t="n">
        <v>4.36</v>
      </c>
      <c r="K412" s="69" t="inlineStr">
        <is>
          <t>Fixed rate</t>
        </is>
      </c>
      <c r="L412" s="68" t="n">
        <v>120</v>
      </c>
      <c r="M412" s="68" t="n">
        <v>11</v>
      </c>
      <c r="N412" s="68" t="n">
        <v>120</v>
      </c>
      <c r="O412" s="68" t="n">
        <v>120</v>
      </c>
      <c r="P412" s="68" t="n">
        <v>11</v>
      </c>
      <c r="Q412" s="68" t="n">
        <v>109</v>
      </c>
      <c r="R412" s="69" t="inlineStr">
        <is>
          <t>IO</t>
        </is>
      </c>
      <c r="S412" s="69" t="inlineStr">
        <is>
          <t>Yes</t>
        </is>
      </c>
      <c r="T412" s="73" t="n">
        <v>42948</v>
      </c>
      <c r="U412" s="73" t="n">
        <v>46605</v>
      </c>
      <c r="V412" s="73" t="n"/>
      <c r="W412" s="69" t="n"/>
      <c r="X412" s="69" t="inlineStr">
        <is>
          <t>Current</t>
        </is>
      </c>
      <c r="Y412" s="68" t="n"/>
      <c r="Z412" s="69" t="inlineStr">
        <is>
          <t>Full Defeasance</t>
        </is>
      </c>
      <c r="AA412" s="69" t="n"/>
      <c r="AB412" s="69" t="inlineStr">
        <is>
          <t>Never special serv</t>
        </is>
      </c>
      <c r="AC412" s="73" t="n"/>
      <c r="AD412" s="69" t="n"/>
      <c r="AE412" s="69" t="n"/>
      <c r="AF412" s="69" t="inlineStr">
        <is>
          <t>CA</t>
        </is>
      </c>
      <c r="AG412" s="69" t="inlineStr">
        <is>
          <t>Sonoma</t>
        </is>
      </c>
      <c r="AH412" s="69" t="inlineStr">
        <is>
          <t>Santa Rosa-Petaluma, CA</t>
        </is>
      </c>
      <c r="AI412" s="69" t="inlineStr">
        <is>
          <t>West / Pacific North</t>
        </is>
      </c>
      <c r="AJ412" s="69" t="inlineStr">
        <is>
          <t>SS</t>
        </is>
      </c>
      <c r="AK412" s="69" t="n"/>
      <c r="AL412" s="68" t="n">
        <v>1</v>
      </c>
      <c r="AM412" s="68" t="n"/>
      <c r="AN412" s="68" t="n">
        <v>77073</v>
      </c>
      <c r="AO412" s="69" t="inlineStr">
        <is>
          <t>1999; 2002</t>
        </is>
      </c>
      <c r="AP412" s="70" t="n">
        <v>2002</v>
      </c>
      <c r="AQ412" s="74" t="n">
        <v>2.57</v>
      </c>
      <c r="AR412" s="74" t="n">
        <v>2.69</v>
      </c>
      <c r="AS412" s="74" t="n">
        <v>46.9</v>
      </c>
      <c r="AT412" s="74" t="n">
        <v>46.93</v>
      </c>
      <c r="AU412" s="74" t="n">
        <v>46.9</v>
      </c>
      <c r="AV412" s="74" t="n">
        <v>11.376367647</v>
      </c>
      <c r="AW412" s="74" t="n">
        <v>11.903639118</v>
      </c>
      <c r="AX412" s="75" t="n">
        <v>83</v>
      </c>
      <c r="AY412" s="71" t="n">
        <v>14490000</v>
      </c>
      <c r="AZ412" s="71" t="n">
        <v>14490000</v>
      </c>
      <c r="BA412" s="71" t="n">
        <v>773593</v>
      </c>
      <c r="BB412" s="71" t="n">
        <v>809447.46</v>
      </c>
      <c r="BC412" s="69" t="inlineStr">
        <is>
          <t>Refinance</t>
        </is>
      </c>
      <c r="BD412" s="69" t="inlineStr">
        <is>
          <t>N</t>
        </is>
      </c>
      <c r="BE412" s="71" t="n"/>
      <c r="BF412" s="71" t="n"/>
      <c r="BG412" s="71" t="n"/>
      <c r="BH412" s="71" t="n">
        <v>0</v>
      </c>
      <c r="BI412" s="71" t="n">
        <v>0</v>
      </c>
      <c r="BJ412" s="69" t="inlineStr">
        <is>
          <t>N</t>
        </is>
      </c>
      <c r="BK412" s="69" t="n"/>
      <c r="BL412" s="75" t="n"/>
      <c r="BM412" s="73" t="n"/>
      <c r="BN412" s="69" t="inlineStr">
        <is>
          <t>Matthew N. Follett; Matthew N. Follett Separate Property Trust</t>
        </is>
      </c>
      <c r="BO412" s="69" t="inlineStr">
        <is>
          <t>RMF</t>
        </is>
      </c>
      <c r="BP412" s="69" t="inlineStr">
        <is>
          <t>Midland Loan Services</t>
        </is>
      </c>
      <c r="BQ412" s="69" t="inlineStr">
        <is>
          <t>Midland Loan Services</t>
        </is>
      </c>
      <c r="BR412" s="69" t="n"/>
      <c r="BS412" s="73" t="n">
        <v>46276</v>
      </c>
      <c r="BU412" s="76">
        <f>IF($C412="","",IFERROR(INDEX(dmName,MATCH($C412,dmID,0)),"Unmapped"))</f>
        <v/>
      </c>
      <c r="BV412" s="76">
        <f>IF($C412="","",IFERROR(INDEX(dmEntity,MATCH($C412,dmID,0)),"Unmapped"))</f>
        <v/>
      </c>
      <c r="BW412" s="77">
        <f>IF($C412="","",IFERROR(INDEX(dmVintage,MATCH($C412,dmID,0)),""))</f>
        <v/>
      </c>
      <c r="BX412" s="78">
        <f>IFERROR(INDEX(dmInclude,MATCH($C412,dmID,0)),0)</f>
        <v/>
      </c>
      <c r="BY412" s="78">
        <f>IF(N($I412)&gt;0,1,0)</f>
        <v/>
      </c>
      <c r="BZ412" s="76">
        <f>IF($AJ412="","Other / Leased Fee",IFERROR(INDEX(mapPTGroup,MATCH(LEFT(TRIM($AJ412),2),mapPTCode,0)),"Other / Leased Fee"))</f>
        <v/>
      </c>
      <c r="CA412" s="76">
        <f>IF(TRIM($AF412&amp;"")="","NR",LEFT(TRIM($AF412),2))</f>
        <v/>
      </c>
      <c r="CB412" s="76">
        <f>IFERROR(LOOKUP(2,1/(LEFT(TRIM($AI412&amp;""),LEN(mapRegion))=mapRegion),mapRegion),"Not Reported")</f>
        <v/>
      </c>
      <c r="CC412" s="76">
        <f>IF($BY412=0,"",IF(TRIM($W412&amp;"")="REO","REO",IF(TRIM($W412&amp;"")="FC","Foreclosure",IF(TRIM($W412&amp;"")="90+","90+ Days Delinquent",IF(TRIM($W412&amp;"")="60","60 Days Delinquent",IF(TRIM($W412&amp;"")="30","30 Days Delinquent",IF($X412="Non-Performing Matured Balloon","Non-Performing Matured Balloon",IF(OR($X412="Late Payment But Less Than 30 Days Delinquent",LEFT($X412&amp;"",20)="Payment Not Received"),"Late / In Grace (&lt;30 Days)",IF($X412="Performing Matured Balloon","Performing Matured Balloon","Current")))))))))</f>
        <v/>
      </c>
      <c r="CD412" s="78">
        <f>IF(OR($CC412="REO",$CC412="Foreclosure",$CC412="90+ Days Delinquent",$CC412="60 Days Delinquent",$CC412="30 Days Delinquent",$CC412="Non-Performing Matured Balloon"),1,0)</f>
        <v/>
      </c>
      <c r="CE412" s="76">
        <f>IF($AB412="Currently special serv","Currently Specially Serviced",IF($AB412="Returned to master serv","Previously Specially Serviced","Never Specially Serviced"))</f>
        <v/>
      </c>
      <c r="CF412" s="78">
        <f>IF($CE412="Currently Specially Serviced",1,0)</f>
        <v/>
      </c>
      <c r="CG412" s="76">
        <f>IF($AA412="Yes","Currently on Watchlist",IF($AA412="Previously","Previously on Watchlist","Never on Watchlist"))</f>
        <v/>
      </c>
      <c r="CH412" s="78">
        <f>IF($CG412="Currently on Watchlist",1,0)</f>
        <v/>
      </c>
      <c r="CI412" s="76">
        <f>IF($Z412="Full Defeasance","Fully Defeased",IF($Z412="Portion Of Loan Previously Defeased","Partially Defeased",IF($Z412="Defeasance Not Allowable","Not Defeased (Not Permitted)","Not Defeased")))</f>
        <v/>
      </c>
      <c r="CJ412" s="78">
        <f>IF($CI412="Fully Defeased",1,0)</f>
        <v/>
      </c>
      <c r="CK412" s="76">
        <f>IF($R412="IO","Full IO",IF(LEFT($R412&amp;"",7)="IO then","Partial IO","Amortizing"))</f>
        <v/>
      </c>
      <c r="CL412" s="78">
        <f>IF($CK412="Full IO",1,0)</f>
        <v/>
      </c>
      <c r="CM412" s="78">
        <f>IF($CK412="Partial IO",1,0)</f>
        <v/>
      </c>
      <c r="CN412" s="76">
        <f>IF(LEFT($F412&amp;"",10)="SPLIT_LOAN","Pari Passu Split","Standalone")</f>
        <v/>
      </c>
      <c r="CO412" s="78">
        <f>IF($CN412="Pari Passu Split",1,0)</f>
        <v/>
      </c>
      <c r="CP412" s="77">
        <f>IF(ISNUMBER($T412),YEAR($T412),"")</f>
        <v/>
      </c>
      <c r="CQ412" s="79">
        <f>IF(ISNUMBER($V412),$V412,IF(ISNUMBER($U412),$U412,""))</f>
        <v/>
      </c>
      <c r="CR412" s="77">
        <f>IF(ISNUMBER($CQ412),YEAR($CQ412),"")</f>
        <v/>
      </c>
      <c r="CS412" s="78">
        <f>IF(ISNUMBER($M412),MAX(0,$M412),IF(TRIM($M412&amp;"")="matured",0,""))</f>
        <v/>
      </c>
      <c r="CT412" s="78">
        <f>IF(AND(ISNUMBER($CS412),N($CS412)&lt;=mMatWindow),1,0)</f>
        <v/>
      </c>
      <c r="CU412" s="80">
        <f>IF(ISNUMBER($J412),$J412/100,"")</f>
        <v/>
      </c>
      <c r="CV412" s="81">
        <f>IF(ISNUMBER($AQ412),$AQ412,"")</f>
        <v/>
      </c>
      <c r="CW412" s="81">
        <f>IF(ISNUMBER($AR412),$AR412,"")</f>
        <v/>
      </c>
      <c r="CX412" s="82">
        <f>IF(ISNUMBER($AS412),$AS412/100,"")</f>
        <v/>
      </c>
      <c r="CY412" s="82">
        <f>IF(ISNUMBER($AT412),$AT412/100,"")</f>
        <v/>
      </c>
      <c r="CZ412" s="82">
        <f>IF(ISNUMBER($AU412),$AU412/100,"")</f>
        <v/>
      </c>
      <c r="DA412" s="82">
        <f>IF(ISNUMBER($AV412),$AV412/100,"")</f>
        <v/>
      </c>
      <c r="DB412" s="82">
        <f>IF(ISNUMBER($AW412),$AW412/100,"")</f>
        <v/>
      </c>
      <c r="DC412" s="82">
        <f>IF(ISNUMBER($AX412),$AX412/100,"")</f>
        <v/>
      </c>
      <c r="DD412" s="77">
        <f>IFERROR(VALUE(LEFT(TRIM($AO412&amp;""),4)),"")</f>
        <v/>
      </c>
      <c r="DE412" s="78">
        <f>IF(AND($BY412=1,$BX412=1,OR(fDeal="All Deals",$BU412=fDeal),OR(fEntity="All Entities",$BV412=fEntity),OR(fPType="All Property Types",$BZ412=fPType),OR(fDefeased="Include",$CJ412=0)),1,0)</f>
        <v/>
      </c>
      <c r="DF412" s="83">
        <f>$DE412*N($I412)</f>
        <v/>
      </c>
      <c r="DG412" s="78">
        <f>IF($DE412=1,IF(COUNTIFS($F$8:$F412,$F412,$DE$8:$DE412,1)=1,1,0),0)</f>
        <v/>
      </c>
      <c r="DH412" s="83">
        <f>IF($DG412=1,SUMIFS($DF$8:$DF$1600,$F$8:$F$1600,$F412),0)</f>
        <v/>
      </c>
      <c r="DI412" s="78">
        <f>IF($DG412=1,COUNTIFS($F$8:$F$1600,$F412,$DE$8:$DE$1600,1),0)</f>
        <v/>
      </c>
      <c r="DJ412" s="84">
        <f>IF($DG412=1,$DH412+(100000-ROW())/mTieBreak,0)</f>
        <v/>
      </c>
    </row>
    <row r="413">
      <c r="B413" s="68" t="n">
        <v>27</v>
      </c>
      <c r="C413" s="69" t="inlineStr">
        <is>
          <t>UBS17C03</t>
        </is>
      </c>
      <c r="D413" s="69" t="inlineStr">
        <is>
          <t>27.000</t>
        </is>
      </c>
      <c r="E413" s="69" t="inlineStr">
        <is>
          <t>1500 South Second Street</t>
        </is>
      </c>
      <c r="F413" s="69" t="inlineStr">
        <is>
          <t>LNUBS17C03-27.000</t>
        </is>
      </c>
      <c r="G413" s="70" t="n"/>
      <c r="H413" s="71" t="n">
        <v>6650000</v>
      </c>
      <c r="I413" s="71" t="n">
        <v>5150389.069996799</v>
      </c>
      <c r="J413" s="72" t="n">
        <v>4.92</v>
      </c>
      <c r="K413" s="69" t="inlineStr">
        <is>
          <t>Fixed rate</t>
        </is>
      </c>
      <c r="L413" s="68" t="n">
        <v>120</v>
      </c>
      <c r="M413" s="68" t="n">
        <v>11</v>
      </c>
      <c r="N413" s="68" t="n">
        <v>300</v>
      </c>
      <c r="O413" s="68" t="n"/>
      <c r="P413" s="68" t="n"/>
      <c r="Q413" s="68" t="n">
        <v>109</v>
      </c>
      <c r="R413" s="69" t="n"/>
      <c r="S413" s="69" t="inlineStr">
        <is>
          <t>No</t>
        </is>
      </c>
      <c r="T413" s="73" t="n">
        <v>42948</v>
      </c>
      <c r="U413" s="73" t="n">
        <v>46600</v>
      </c>
      <c r="V413" s="73" t="n"/>
      <c r="W413" s="69" t="n"/>
      <c r="X413" s="69" t="inlineStr">
        <is>
          <t>Current</t>
        </is>
      </c>
      <c r="Y413" s="68" t="n"/>
      <c r="Z413" s="69" t="inlineStr">
        <is>
          <t>No Defeasance Occurred</t>
        </is>
      </c>
      <c r="AA413" s="69" t="inlineStr">
        <is>
          <t>Previously</t>
        </is>
      </c>
      <c r="AB413" s="69" t="inlineStr">
        <is>
          <t>Never special serv</t>
        </is>
      </c>
      <c r="AC413" s="73" t="n"/>
      <c r="AD413" s="69" t="n"/>
      <c r="AE413" s="69" t="n"/>
      <c r="AF413" s="69" t="inlineStr">
        <is>
          <t>MO</t>
        </is>
      </c>
      <c r="AG413" s="69" t="inlineStr">
        <is>
          <t>St. Louis</t>
        </is>
      </c>
      <c r="AH413" s="69" t="inlineStr">
        <is>
          <t>St. Louis, MO-IL</t>
        </is>
      </c>
      <c r="AI413" s="69" t="inlineStr">
        <is>
          <t>Midwest / Central West</t>
        </is>
      </c>
      <c r="AJ413" s="69" t="inlineStr">
        <is>
          <t>IN</t>
        </is>
      </c>
      <c r="AK413" s="69" t="inlineStr">
        <is>
          <t>Flex</t>
        </is>
      </c>
      <c r="AL413" s="68" t="n">
        <v>1</v>
      </c>
      <c r="AM413" s="68" t="n"/>
      <c r="AN413" s="68" t="n">
        <v>85280</v>
      </c>
      <c r="AO413" s="69" t="inlineStr">
        <is>
          <t>2005</t>
        </is>
      </c>
      <c r="AP413" s="70" t="n">
        <v>2005</v>
      </c>
      <c r="AQ413" s="74" t="n">
        <v>1.76</v>
      </c>
      <c r="AR413" s="74" t="n">
        <v>1.13</v>
      </c>
      <c r="AS413" s="74" t="n">
        <v>64.90000000000001</v>
      </c>
      <c r="AT413" s="74" t="n">
        <v>50.25</v>
      </c>
      <c r="AU413" s="74" t="n">
        <v>48.4</v>
      </c>
      <c r="AV413" s="74" t="n">
        <v>12.266168571</v>
      </c>
      <c r="AW413" s="74" t="n">
        <v>10.492320923</v>
      </c>
      <c r="AX413" s="75" t="n">
        <v>100</v>
      </c>
      <c r="AY413" s="71" t="n">
        <v>10250000</v>
      </c>
      <c r="AZ413" s="71" t="n">
        <v>10250000</v>
      </c>
      <c r="BA413" s="71" t="n">
        <v>815700.21</v>
      </c>
      <c r="BB413" s="71" t="n">
        <v>522551.6</v>
      </c>
      <c r="BC413" s="69" t="inlineStr">
        <is>
          <t>Refinance</t>
        </is>
      </c>
      <c r="BD413" s="69" t="inlineStr">
        <is>
          <t>N</t>
        </is>
      </c>
      <c r="BE413" s="71" t="n"/>
      <c r="BF413" s="71" t="n"/>
      <c r="BG413" s="71" t="n"/>
      <c r="BH413" s="71" t="n">
        <v>0</v>
      </c>
      <c r="BI413" s="71" t="n">
        <v>0</v>
      </c>
      <c r="BJ413" s="69" t="inlineStr">
        <is>
          <t>N</t>
        </is>
      </c>
      <c r="BK413" s="69" t="inlineStr">
        <is>
          <t>Nooter Construction Company a Missouri corporation Sherwin Jarol</t>
        </is>
      </c>
      <c r="BL413" s="75" t="n">
        <v>100</v>
      </c>
      <c r="BM413" s="73" t="n">
        <v>46568</v>
      </c>
      <c r="BN413" s="69" t="inlineStr">
        <is>
          <t>Sherwin Jarol</t>
        </is>
      </c>
      <c r="BO413" s="69" t="inlineStr">
        <is>
          <t>Societe Generale</t>
        </is>
      </c>
      <c r="BP413" s="69" t="inlineStr">
        <is>
          <t>Midland Loan Services</t>
        </is>
      </c>
      <c r="BQ413" s="69" t="inlineStr">
        <is>
          <t>Midland Loan Services</t>
        </is>
      </c>
      <c r="BR413" s="69" t="n"/>
      <c r="BS413" s="73" t="n">
        <v>46276</v>
      </c>
      <c r="BU413" s="76">
        <f>IF($C413="","",IFERROR(INDEX(dmName,MATCH($C413,dmID,0)),"Unmapped"))</f>
        <v/>
      </c>
      <c r="BV413" s="76">
        <f>IF($C413="","",IFERROR(INDEX(dmEntity,MATCH($C413,dmID,0)),"Unmapped"))</f>
        <v/>
      </c>
      <c r="BW413" s="77">
        <f>IF($C413="","",IFERROR(INDEX(dmVintage,MATCH($C413,dmID,0)),""))</f>
        <v/>
      </c>
      <c r="BX413" s="78">
        <f>IFERROR(INDEX(dmInclude,MATCH($C413,dmID,0)),0)</f>
        <v/>
      </c>
      <c r="BY413" s="78">
        <f>IF(N($I413)&gt;0,1,0)</f>
        <v/>
      </c>
      <c r="BZ413" s="76">
        <f>IF($AJ413="","Other / Leased Fee",IFERROR(INDEX(mapPTGroup,MATCH(LEFT(TRIM($AJ413),2),mapPTCode,0)),"Other / Leased Fee"))</f>
        <v/>
      </c>
      <c r="CA413" s="76">
        <f>IF(TRIM($AF413&amp;"")="","NR",LEFT(TRIM($AF413),2))</f>
        <v/>
      </c>
      <c r="CB413" s="76">
        <f>IFERROR(LOOKUP(2,1/(LEFT(TRIM($AI413&amp;""),LEN(mapRegion))=mapRegion),mapRegion),"Not Reported")</f>
        <v/>
      </c>
      <c r="CC413" s="76">
        <f>IF($BY413=0,"",IF(TRIM($W413&amp;"")="REO","REO",IF(TRIM($W413&amp;"")="FC","Foreclosure",IF(TRIM($W413&amp;"")="90+","90+ Days Delinquent",IF(TRIM($W413&amp;"")="60","60 Days Delinquent",IF(TRIM($W413&amp;"")="30","30 Days Delinquent",IF($X413="Non-Performing Matured Balloon","Non-Performing Matured Balloon",IF(OR($X413="Late Payment But Less Than 30 Days Delinquent",LEFT($X413&amp;"",20)="Payment Not Received"),"Late / In Grace (&lt;30 Days)",IF($X413="Performing Matured Balloon","Performing Matured Balloon","Current")))))))))</f>
        <v/>
      </c>
      <c r="CD413" s="78">
        <f>IF(OR($CC413="REO",$CC413="Foreclosure",$CC413="90+ Days Delinquent",$CC413="60 Days Delinquent",$CC413="30 Days Delinquent",$CC413="Non-Performing Matured Balloon"),1,0)</f>
        <v/>
      </c>
      <c r="CE413" s="76">
        <f>IF($AB413="Currently special serv","Currently Specially Serviced",IF($AB413="Returned to master serv","Previously Specially Serviced","Never Specially Serviced"))</f>
        <v/>
      </c>
      <c r="CF413" s="78">
        <f>IF($CE413="Currently Specially Serviced",1,0)</f>
        <v/>
      </c>
      <c r="CG413" s="76">
        <f>IF($AA413="Yes","Currently on Watchlist",IF($AA413="Previously","Previously on Watchlist","Never on Watchlist"))</f>
        <v/>
      </c>
      <c r="CH413" s="78">
        <f>IF($CG413="Currently on Watchlist",1,0)</f>
        <v/>
      </c>
      <c r="CI413" s="76">
        <f>IF($Z413="Full Defeasance","Fully Defeased",IF($Z413="Portion Of Loan Previously Defeased","Partially Defeased",IF($Z413="Defeasance Not Allowable","Not Defeased (Not Permitted)","Not Defeased")))</f>
        <v/>
      </c>
      <c r="CJ413" s="78">
        <f>IF($CI413="Fully Defeased",1,0)</f>
        <v/>
      </c>
      <c r="CK413" s="76">
        <f>IF($R413="IO","Full IO",IF(LEFT($R413&amp;"",7)="IO then","Partial IO","Amortizing"))</f>
        <v/>
      </c>
      <c r="CL413" s="78">
        <f>IF($CK413="Full IO",1,0)</f>
        <v/>
      </c>
      <c r="CM413" s="78">
        <f>IF($CK413="Partial IO",1,0)</f>
        <v/>
      </c>
      <c r="CN413" s="76">
        <f>IF(LEFT($F413&amp;"",10)="SPLIT_LOAN","Pari Passu Split","Standalone")</f>
        <v/>
      </c>
      <c r="CO413" s="78">
        <f>IF($CN413="Pari Passu Split",1,0)</f>
        <v/>
      </c>
      <c r="CP413" s="77">
        <f>IF(ISNUMBER($T413),YEAR($T413),"")</f>
        <v/>
      </c>
      <c r="CQ413" s="79">
        <f>IF(ISNUMBER($V413),$V413,IF(ISNUMBER($U413),$U413,""))</f>
        <v/>
      </c>
      <c r="CR413" s="77">
        <f>IF(ISNUMBER($CQ413),YEAR($CQ413),"")</f>
        <v/>
      </c>
      <c r="CS413" s="78">
        <f>IF(ISNUMBER($M413),MAX(0,$M413),IF(TRIM($M413&amp;"")="matured",0,""))</f>
        <v/>
      </c>
      <c r="CT413" s="78">
        <f>IF(AND(ISNUMBER($CS413),N($CS413)&lt;=mMatWindow),1,0)</f>
        <v/>
      </c>
      <c r="CU413" s="80">
        <f>IF(ISNUMBER($J413),$J413/100,"")</f>
        <v/>
      </c>
      <c r="CV413" s="81">
        <f>IF(ISNUMBER($AQ413),$AQ413,"")</f>
        <v/>
      </c>
      <c r="CW413" s="81">
        <f>IF(ISNUMBER($AR413),$AR413,"")</f>
        <v/>
      </c>
      <c r="CX413" s="82">
        <f>IF(ISNUMBER($AS413),$AS413/100,"")</f>
        <v/>
      </c>
      <c r="CY413" s="82">
        <f>IF(ISNUMBER($AT413),$AT413/100,"")</f>
        <v/>
      </c>
      <c r="CZ413" s="82">
        <f>IF(ISNUMBER($AU413),$AU413/100,"")</f>
        <v/>
      </c>
      <c r="DA413" s="82">
        <f>IF(ISNUMBER($AV413),$AV413/100,"")</f>
        <v/>
      </c>
      <c r="DB413" s="82">
        <f>IF(ISNUMBER($AW413),$AW413/100,"")</f>
        <v/>
      </c>
      <c r="DC413" s="82">
        <f>IF(ISNUMBER($AX413),$AX413/100,"")</f>
        <v/>
      </c>
      <c r="DD413" s="77">
        <f>IFERROR(VALUE(LEFT(TRIM($AO413&amp;""),4)),"")</f>
        <v/>
      </c>
      <c r="DE413" s="78">
        <f>IF(AND($BY413=1,$BX413=1,OR(fDeal="All Deals",$BU413=fDeal),OR(fEntity="All Entities",$BV413=fEntity),OR(fPType="All Property Types",$BZ413=fPType),OR(fDefeased="Include",$CJ413=0)),1,0)</f>
        <v/>
      </c>
      <c r="DF413" s="83">
        <f>$DE413*N($I413)</f>
        <v/>
      </c>
      <c r="DG413" s="78">
        <f>IF($DE413=1,IF(COUNTIFS($F$8:$F413,$F413,$DE$8:$DE413,1)=1,1,0),0)</f>
        <v/>
      </c>
      <c r="DH413" s="83">
        <f>IF($DG413=1,SUMIFS($DF$8:$DF$1600,$F$8:$F$1600,$F413),0)</f>
        <v/>
      </c>
      <c r="DI413" s="78">
        <f>IF($DG413=1,COUNTIFS($F$8:$F$1600,$F413,$DE$8:$DE$1600,1),0)</f>
        <v/>
      </c>
      <c r="DJ413" s="84">
        <f>IF($DG413=1,$DH413+(100000-ROW())/mTieBreak,0)</f>
        <v/>
      </c>
    </row>
    <row r="414">
      <c r="B414" s="68" t="n">
        <v>28</v>
      </c>
      <c r="C414" s="69" t="inlineStr">
        <is>
          <t>UBS17C03</t>
        </is>
      </c>
      <c r="D414" s="69" t="inlineStr">
        <is>
          <t>28.000</t>
        </is>
      </c>
      <c r="E414" s="69" t="inlineStr">
        <is>
          <t>Two Rivers MHC</t>
        </is>
      </c>
      <c r="F414" s="69" t="inlineStr">
        <is>
          <t>LNUBS17C03-28.000</t>
        </is>
      </c>
      <c r="G414" s="70" t="n"/>
      <c r="H414" s="71" t="n">
        <v>6350000</v>
      </c>
      <c r="I414" s="71" t="n">
        <v>5544361.46999885</v>
      </c>
      <c r="J414" s="72" t="n">
        <v>4.55</v>
      </c>
      <c r="K414" s="69" t="inlineStr">
        <is>
          <t>Fixed rate</t>
        </is>
      </c>
      <c r="L414" s="68" t="n">
        <v>120</v>
      </c>
      <c r="M414" s="68" t="n">
        <v>10</v>
      </c>
      <c r="N414" s="68" t="n">
        <v>384</v>
      </c>
      <c r="O414" s="68" t="n">
        <v>24</v>
      </c>
      <c r="P414" s="68" t="n">
        <v>0</v>
      </c>
      <c r="Q414" s="68" t="n">
        <v>110</v>
      </c>
      <c r="R414" s="69" t="inlineStr">
        <is>
          <t>IO then Amort</t>
        </is>
      </c>
      <c r="S414" s="69" t="inlineStr">
        <is>
          <t>No</t>
        </is>
      </c>
      <c r="T414" s="73" t="n">
        <v>42917</v>
      </c>
      <c r="U414" s="73" t="n">
        <v>46569</v>
      </c>
      <c r="V414" s="73" t="n"/>
      <c r="W414" s="69" t="n"/>
      <c r="X414" s="69" t="inlineStr">
        <is>
          <t>Current</t>
        </is>
      </c>
      <c r="Y414" s="68" t="n"/>
      <c r="Z414" s="69" t="inlineStr">
        <is>
          <t>No Defeasance Occurred</t>
        </is>
      </c>
      <c r="AA414" s="69" t="inlineStr">
        <is>
          <t>Previously</t>
        </is>
      </c>
      <c r="AB414" s="69" t="inlineStr">
        <is>
          <t>Never special serv</t>
        </is>
      </c>
      <c r="AC414" s="73" t="n"/>
      <c r="AD414" s="69" t="n"/>
      <c r="AE414" s="69" t="n"/>
      <c r="AF414" s="69" t="inlineStr">
        <is>
          <t>FL</t>
        </is>
      </c>
      <c r="AG414" s="69" t="inlineStr">
        <is>
          <t>Bradenton</t>
        </is>
      </c>
      <c r="AH414" s="69" t="inlineStr">
        <is>
          <t>North Port-Bradenton-Sarasota, FL</t>
        </is>
      </c>
      <c r="AI414" s="69" t="inlineStr">
        <is>
          <t>South / Atlantic</t>
        </is>
      </c>
      <c r="AJ414" s="69" t="inlineStr">
        <is>
          <t>MH</t>
        </is>
      </c>
      <c r="AK414" s="69" t="n"/>
      <c r="AL414" s="68" t="n">
        <v>1</v>
      </c>
      <c r="AM414" s="68" t="n">
        <v>130</v>
      </c>
      <c r="AN414" s="68" t="n"/>
      <c r="AO414" s="69" t="inlineStr">
        <is>
          <t>1957</t>
        </is>
      </c>
      <c r="AP414" s="70" t="n">
        <v>2016</v>
      </c>
      <c r="AQ414" s="74" t="n">
        <v>1.34</v>
      </c>
      <c r="AR414" s="74" t="n">
        <v>1.74</v>
      </c>
      <c r="AS414" s="74" t="n">
        <v>70</v>
      </c>
      <c r="AT414" s="74" t="n">
        <v>61.13</v>
      </c>
      <c r="AU414" s="74" t="n">
        <v>59.9</v>
      </c>
      <c r="AV414" s="74" t="n">
        <v>8.175574803</v>
      </c>
      <c r="AW414" s="74" t="n">
        <v>12.207302927</v>
      </c>
      <c r="AX414" s="75" t="n">
        <v>92</v>
      </c>
      <c r="AY414" s="71" t="n">
        <v>9070000</v>
      </c>
      <c r="AZ414" s="71" t="n">
        <v>9070000</v>
      </c>
      <c r="BA414" s="71" t="n">
        <v>519149</v>
      </c>
      <c r="BB414" s="71" t="n">
        <v>676817</v>
      </c>
      <c r="BC414" s="69" t="inlineStr">
        <is>
          <t>Refinance</t>
        </is>
      </c>
      <c r="BD414" s="69" t="n"/>
      <c r="BE414" s="71" t="n"/>
      <c r="BF414" s="71" t="n"/>
      <c r="BG414" s="71" t="n"/>
      <c r="BH414" s="71" t="n">
        <v>0</v>
      </c>
      <c r="BI414" s="71" t="n">
        <v>0</v>
      </c>
      <c r="BJ414" s="69" t="inlineStr">
        <is>
          <t>N</t>
        </is>
      </c>
      <c r="BK414" s="69" t="n"/>
      <c r="BL414" s="75" t="n"/>
      <c r="BM414" s="73" t="n"/>
      <c r="BN414" s="69" t="inlineStr">
        <is>
          <t>Charles A. Ellis III</t>
        </is>
      </c>
      <c r="BO414" s="69" t="inlineStr">
        <is>
          <t>KeyBank</t>
        </is>
      </c>
      <c r="BP414" s="69" t="inlineStr">
        <is>
          <t>Midland Loan Services</t>
        </is>
      </c>
      <c r="BQ414" s="69" t="inlineStr">
        <is>
          <t>Midland Loan Services</t>
        </is>
      </c>
      <c r="BR414" s="69" t="n"/>
      <c r="BS414" s="73" t="n">
        <v>46276</v>
      </c>
      <c r="BU414" s="76">
        <f>IF($C414="","",IFERROR(INDEX(dmName,MATCH($C414,dmID,0)),"Unmapped"))</f>
        <v/>
      </c>
      <c r="BV414" s="76">
        <f>IF($C414="","",IFERROR(INDEX(dmEntity,MATCH($C414,dmID,0)),"Unmapped"))</f>
        <v/>
      </c>
      <c r="BW414" s="77">
        <f>IF($C414="","",IFERROR(INDEX(dmVintage,MATCH($C414,dmID,0)),""))</f>
        <v/>
      </c>
      <c r="BX414" s="78">
        <f>IFERROR(INDEX(dmInclude,MATCH($C414,dmID,0)),0)</f>
        <v/>
      </c>
      <c r="BY414" s="78">
        <f>IF(N($I414)&gt;0,1,0)</f>
        <v/>
      </c>
      <c r="BZ414" s="76">
        <f>IF($AJ414="","Other / Leased Fee",IFERROR(INDEX(mapPTGroup,MATCH(LEFT(TRIM($AJ414),2),mapPTCode,0)),"Other / Leased Fee"))</f>
        <v/>
      </c>
      <c r="CA414" s="76">
        <f>IF(TRIM($AF414&amp;"")="","NR",LEFT(TRIM($AF414),2))</f>
        <v/>
      </c>
      <c r="CB414" s="76">
        <f>IFERROR(LOOKUP(2,1/(LEFT(TRIM($AI414&amp;""),LEN(mapRegion))=mapRegion),mapRegion),"Not Reported")</f>
        <v/>
      </c>
      <c r="CC414" s="76">
        <f>IF($BY414=0,"",IF(TRIM($W414&amp;"")="REO","REO",IF(TRIM($W414&amp;"")="FC","Foreclosure",IF(TRIM($W414&amp;"")="90+","90+ Days Delinquent",IF(TRIM($W414&amp;"")="60","60 Days Delinquent",IF(TRIM($W414&amp;"")="30","30 Days Delinquent",IF($X414="Non-Performing Matured Balloon","Non-Performing Matured Balloon",IF(OR($X414="Late Payment But Less Than 30 Days Delinquent",LEFT($X414&amp;"",20)="Payment Not Received"),"Late / In Grace (&lt;30 Days)",IF($X414="Performing Matured Balloon","Performing Matured Balloon","Current")))))))))</f>
        <v/>
      </c>
      <c r="CD414" s="78">
        <f>IF(OR($CC414="REO",$CC414="Foreclosure",$CC414="90+ Days Delinquent",$CC414="60 Days Delinquent",$CC414="30 Days Delinquent",$CC414="Non-Performing Matured Balloon"),1,0)</f>
        <v/>
      </c>
      <c r="CE414" s="76">
        <f>IF($AB414="Currently special serv","Currently Specially Serviced",IF($AB414="Returned to master serv","Previously Specially Serviced","Never Specially Serviced"))</f>
        <v/>
      </c>
      <c r="CF414" s="78">
        <f>IF($CE414="Currently Specially Serviced",1,0)</f>
        <v/>
      </c>
      <c r="CG414" s="76">
        <f>IF($AA414="Yes","Currently on Watchlist",IF($AA414="Previously","Previously on Watchlist","Never on Watchlist"))</f>
        <v/>
      </c>
      <c r="CH414" s="78">
        <f>IF($CG414="Currently on Watchlist",1,0)</f>
        <v/>
      </c>
      <c r="CI414" s="76">
        <f>IF($Z414="Full Defeasance","Fully Defeased",IF($Z414="Portion Of Loan Previously Defeased","Partially Defeased",IF($Z414="Defeasance Not Allowable","Not Defeased (Not Permitted)","Not Defeased")))</f>
        <v/>
      </c>
      <c r="CJ414" s="78">
        <f>IF($CI414="Fully Defeased",1,0)</f>
        <v/>
      </c>
      <c r="CK414" s="76">
        <f>IF($R414="IO","Full IO",IF(LEFT($R414&amp;"",7)="IO then","Partial IO","Amortizing"))</f>
        <v/>
      </c>
      <c r="CL414" s="78">
        <f>IF($CK414="Full IO",1,0)</f>
        <v/>
      </c>
      <c r="CM414" s="78">
        <f>IF($CK414="Partial IO",1,0)</f>
        <v/>
      </c>
      <c r="CN414" s="76">
        <f>IF(LEFT($F414&amp;"",10)="SPLIT_LOAN","Pari Passu Split","Standalone")</f>
        <v/>
      </c>
      <c r="CO414" s="78">
        <f>IF($CN414="Pari Passu Split",1,0)</f>
        <v/>
      </c>
      <c r="CP414" s="77">
        <f>IF(ISNUMBER($T414),YEAR($T414),"")</f>
        <v/>
      </c>
      <c r="CQ414" s="79">
        <f>IF(ISNUMBER($V414),$V414,IF(ISNUMBER($U414),$U414,""))</f>
        <v/>
      </c>
      <c r="CR414" s="77">
        <f>IF(ISNUMBER($CQ414),YEAR($CQ414),"")</f>
        <v/>
      </c>
      <c r="CS414" s="78">
        <f>IF(ISNUMBER($M414),MAX(0,$M414),IF(TRIM($M414&amp;"")="matured",0,""))</f>
        <v/>
      </c>
      <c r="CT414" s="78">
        <f>IF(AND(ISNUMBER($CS414),N($CS414)&lt;=mMatWindow),1,0)</f>
        <v/>
      </c>
      <c r="CU414" s="80">
        <f>IF(ISNUMBER($J414),$J414/100,"")</f>
        <v/>
      </c>
      <c r="CV414" s="81">
        <f>IF(ISNUMBER($AQ414),$AQ414,"")</f>
        <v/>
      </c>
      <c r="CW414" s="81">
        <f>IF(ISNUMBER($AR414),$AR414,"")</f>
        <v/>
      </c>
      <c r="CX414" s="82">
        <f>IF(ISNUMBER($AS414),$AS414/100,"")</f>
        <v/>
      </c>
      <c r="CY414" s="82">
        <f>IF(ISNUMBER($AT414),$AT414/100,"")</f>
        <v/>
      </c>
      <c r="CZ414" s="82">
        <f>IF(ISNUMBER($AU414),$AU414/100,"")</f>
        <v/>
      </c>
      <c r="DA414" s="82">
        <f>IF(ISNUMBER($AV414),$AV414/100,"")</f>
        <v/>
      </c>
      <c r="DB414" s="82">
        <f>IF(ISNUMBER($AW414),$AW414/100,"")</f>
        <v/>
      </c>
      <c r="DC414" s="82">
        <f>IF(ISNUMBER($AX414),$AX414/100,"")</f>
        <v/>
      </c>
      <c r="DD414" s="77">
        <f>IFERROR(VALUE(LEFT(TRIM($AO414&amp;""),4)),"")</f>
        <v/>
      </c>
      <c r="DE414" s="78">
        <f>IF(AND($BY414=1,$BX414=1,OR(fDeal="All Deals",$BU414=fDeal),OR(fEntity="All Entities",$BV414=fEntity),OR(fPType="All Property Types",$BZ414=fPType),OR(fDefeased="Include",$CJ414=0)),1,0)</f>
        <v/>
      </c>
      <c r="DF414" s="83">
        <f>$DE414*N($I414)</f>
        <v/>
      </c>
      <c r="DG414" s="78">
        <f>IF($DE414=1,IF(COUNTIFS($F$8:$F414,$F414,$DE$8:$DE414,1)=1,1,0),0)</f>
        <v/>
      </c>
      <c r="DH414" s="83">
        <f>IF($DG414=1,SUMIFS($DF$8:$DF$1600,$F$8:$F$1600,$F414),0)</f>
        <v/>
      </c>
      <c r="DI414" s="78">
        <f>IF($DG414=1,COUNTIFS($F$8:$F$1600,$F414,$DE$8:$DE$1600,1),0)</f>
        <v/>
      </c>
      <c r="DJ414" s="84">
        <f>IF($DG414=1,$DH414+(100000-ROW())/mTieBreak,0)</f>
        <v/>
      </c>
    </row>
    <row r="415">
      <c r="B415" s="68" t="n">
        <v>29</v>
      </c>
      <c r="C415" s="69" t="inlineStr">
        <is>
          <t>UBS17C03</t>
        </is>
      </c>
      <c r="D415" s="69" t="inlineStr">
        <is>
          <t>29.000</t>
        </is>
      </c>
      <c r="E415" s="69" t="inlineStr">
        <is>
          <t>West Carmel Shoppes</t>
        </is>
      </c>
      <c r="F415" s="69" t="inlineStr">
        <is>
          <t>LNUBS17C03-29.000</t>
        </is>
      </c>
      <c r="G415" s="70" t="n"/>
      <c r="H415" s="71" t="n">
        <v>5940000</v>
      </c>
      <c r="I415" s="71" t="n">
        <v>4966982.0799984</v>
      </c>
      <c r="J415" s="72" t="n">
        <v>4.96</v>
      </c>
      <c r="K415" s="69" t="inlineStr">
        <is>
          <t>Fixed rate</t>
        </is>
      </c>
      <c r="L415" s="68" t="n">
        <v>120</v>
      </c>
      <c r="M415" s="68" t="n">
        <v>8</v>
      </c>
      <c r="N415" s="68" t="n">
        <v>360</v>
      </c>
      <c r="O415" s="68" t="n"/>
      <c r="P415" s="68" t="n"/>
      <c r="Q415" s="68" t="n">
        <v>112</v>
      </c>
      <c r="R415" s="69" t="n"/>
      <c r="S415" s="69" t="inlineStr">
        <is>
          <t>No</t>
        </is>
      </c>
      <c r="T415" s="73" t="n">
        <v>42856</v>
      </c>
      <c r="U415" s="73" t="n">
        <v>46508</v>
      </c>
      <c r="V415" s="73" t="n"/>
      <c r="W415" s="69" t="n"/>
      <c r="X415" s="69" t="inlineStr">
        <is>
          <t>Current</t>
        </is>
      </c>
      <c r="Y415" s="68" t="n"/>
      <c r="Z415" s="69" t="inlineStr">
        <is>
          <t>Full Defeasance</t>
        </is>
      </c>
      <c r="AA415" s="69" t="inlineStr">
        <is>
          <t>Previously</t>
        </is>
      </c>
      <c r="AB415" s="69" t="inlineStr">
        <is>
          <t>Never special serv</t>
        </is>
      </c>
      <c r="AC415" s="73" t="n"/>
      <c r="AD415" s="69" t="n"/>
      <c r="AE415" s="69" t="n"/>
      <c r="AF415" s="69" t="inlineStr">
        <is>
          <t>IN</t>
        </is>
      </c>
      <c r="AG415" s="69" t="inlineStr">
        <is>
          <t>Carmel</t>
        </is>
      </c>
      <c r="AH415" s="69" t="inlineStr">
        <is>
          <t>Indianapolis-Carmel-Greenwood, IN</t>
        </is>
      </c>
      <c r="AI415" s="69" t="inlineStr">
        <is>
          <t>Midwest / Central East</t>
        </is>
      </c>
      <c r="AJ415" s="69" t="inlineStr">
        <is>
          <t>RT</t>
        </is>
      </c>
      <c r="AK415" s="69" t="inlineStr">
        <is>
          <t>Shadow Anchored</t>
        </is>
      </c>
      <c r="AL415" s="68" t="n">
        <v>1</v>
      </c>
      <c r="AM415" s="68" t="n"/>
      <c r="AN415" s="68" t="n">
        <v>31541</v>
      </c>
      <c r="AO415" s="69" t="inlineStr">
        <is>
          <t>2006</t>
        </is>
      </c>
      <c r="AP415" s="70" t="n">
        <v>2006</v>
      </c>
      <c r="AQ415" s="74" t="n">
        <v>1.34</v>
      </c>
      <c r="AR415" s="74" t="n">
        <v>1.79</v>
      </c>
      <c r="AS415" s="74" t="n">
        <v>74.7</v>
      </c>
      <c r="AT415" s="74" t="n">
        <v>62.71</v>
      </c>
      <c r="AU415" s="74" t="n">
        <v>61.6</v>
      </c>
      <c r="AV415" s="74" t="n">
        <v>8.618299663</v>
      </c>
      <c r="AW415" s="74" t="n">
        <v>13.699083046</v>
      </c>
      <c r="AX415" s="75" t="n">
        <v>100</v>
      </c>
      <c r="AY415" s="71" t="n">
        <v>7920000</v>
      </c>
      <c r="AZ415" s="71" t="n">
        <v>7920000</v>
      </c>
      <c r="BA415" s="71" t="n">
        <v>511927</v>
      </c>
      <c r="BB415" s="71" t="n">
        <v>680431</v>
      </c>
      <c r="BC415" s="69" t="inlineStr">
        <is>
          <t>Refinance</t>
        </is>
      </c>
      <c r="BD415" s="69" t="n"/>
      <c r="BE415" s="71" t="n"/>
      <c r="BF415" s="71" t="n"/>
      <c r="BG415" s="71" t="n"/>
      <c r="BH415" s="71" t="n">
        <v>0</v>
      </c>
      <c r="BI415" s="71" t="n">
        <v>0</v>
      </c>
      <c r="BJ415" s="69" t="inlineStr">
        <is>
          <t>N</t>
        </is>
      </c>
      <c r="BK415" s="69" t="inlineStr">
        <is>
          <t>VISIONWORKS</t>
        </is>
      </c>
      <c r="BL415" s="75" t="n">
        <v>12.51</v>
      </c>
      <c r="BM415" s="73" t="n">
        <v>47149</v>
      </c>
      <c r="BN415" s="69" t="inlineStr">
        <is>
          <t>Casto Ventures, Ltd.</t>
        </is>
      </c>
      <c r="BO415" s="69" t="inlineStr">
        <is>
          <t>KeyBank</t>
        </is>
      </c>
      <c r="BP415" s="69" t="inlineStr">
        <is>
          <t>Midland Loan Services</t>
        </is>
      </c>
      <c r="BQ415" s="69" t="inlineStr">
        <is>
          <t>Midland Loan Services</t>
        </is>
      </c>
      <c r="BR415" s="69" t="n"/>
      <c r="BS415" s="73" t="n">
        <v>46276</v>
      </c>
      <c r="BU415" s="76">
        <f>IF($C415="","",IFERROR(INDEX(dmName,MATCH($C415,dmID,0)),"Unmapped"))</f>
        <v/>
      </c>
      <c r="BV415" s="76">
        <f>IF($C415="","",IFERROR(INDEX(dmEntity,MATCH($C415,dmID,0)),"Unmapped"))</f>
        <v/>
      </c>
      <c r="BW415" s="77">
        <f>IF($C415="","",IFERROR(INDEX(dmVintage,MATCH($C415,dmID,0)),""))</f>
        <v/>
      </c>
      <c r="BX415" s="78">
        <f>IFERROR(INDEX(dmInclude,MATCH($C415,dmID,0)),0)</f>
        <v/>
      </c>
      <c r="BY415" s="78">
        <f>IF(N($I415)&gt;0,1,0)</f>
        <v/>
      </c>
      <c r="BZ415" s="76">
        <f>IF($AJ415="","Other / Leased Fee",IFERROR(INDEX(mapPTGroup,MATCH(LEFT(TRIM($AJ415),2),mapPTCode,0)),"Other / Leased Fee"))</f>
        <v/>
      </c>
      <c r="CA415" s="76">
        <f>IF(TRIM($AF415&amp;"")="","NR",LEFT(TRIM($AF415),2))</f>
        <v/>
      </c>
      <c r="CB415" s="76">
        <f>IFERROR(LOOKUP(2,1/(LEFT(TRIM($AI415&amp;""),LEN(mapRegion))=mapRegion),mapRegion),"Not Reported")</f>
        <v/>
      </c>
      <c r="CC415" s="76">
        <f>IF($BY415=0,"",IF(TRIM($W415&amp;"")="REO","REO",IF(TRIM($W415&amp;"")="FC","Foreclosure",IF(TRIM($W415&amp;"")="90+","90+ Days Delinquent",IF(TRIM($W415&amp;"")="60","60 Days Delinquent",IF(TRIM($W415&amp;"")="30","30 Days Delinquent",IF($X415="Non-Performing Matured Balloon","Non-Performing Matured Balloon",IF(OR($X415="Late Payment But Less Than 30 Days Delinquent",LEFT($X415&amp;"",20)="Payment Not Received"),"Late / In Grace (&lt;30 Days)",IF($X415="Performing Matured Balloon","Performing Matured Balloon","Current")))))))))</f>
        <v/>
      </c>
      <c r="CD415" s="78">
        <f>IF(OR($CC415="REO",$CC415="Foreclosure",$CC415="90+ Days Delinquent",$CC415="60 Days Delinquent",$CC415="30 Days Delinquent",$CC415="Non-Performing Matured Balloon"),1,0)</f>
        <v/>
      </c>
      <c r="CE415" s="76">
        <f>IF($AB415="Currently special serv","Currently Specially Serviced",IF($AB415="Returned to master serv","Previously Specially Serviced","Never Specially Serviced"))</f>
        <v/>
      </c>
      <c r="CF415" s="78">
        <f>IF($CE415="Currently Specially Serviced",1,0)</f>
        <v/>
      </c>
      <c r="CG415" s="76">
        <f>IF($AA415="Yes","Currently on Watchlist",IF($AA415="Previously","Previously on Watchlist","Never on Watchlist"))</f>
        <v/>
      </c>
      <c r="CH415" s="78">
        <f>IF($CG415="Currently on Watchlist",1,0)</f>
        <v/>
      </c>
      <c r="CI415" s="76">
        <f>IF($Z415="Full Defeasance","Fully Defeased",IF($Z415="Portion Of Loan Previously Defeased","Partially Defeased",IF($Z415="Defeasance Not Allowable","Not Defeased (Not Permitted)","Not Defeased")))</f>
        <v/>
      </c>
      <c r="CJ415" s="78">
        <f>IF($CI415="Fully Defeased",1,0)</f>
        <v/>
      </c>
      <c r="CK415" s="76">
        <f>IF($R415="IO","Full IO",IF(LEFT($R415&amp;"",7)="IO then","Partial IO","Amortizing"))</f>
        <v/>
      </c>
      <c r="CL415" s="78">
        <f>IF($CK415="Full IO",1,0)</f>
        <v/>
      </c>
      <c r="CM415" s="78">
        <f>IF($CK415="Partial IO",1,0)</f>
        <v/>
      </c>
      <c r="CN415" s="76">
        <f>IF(LEFT($F415&amp;"",10)="SPLIT_LOAN","Pari Passu Split","Standalone")</f>
        <v/>
      </c>
      <c r="CO415" s="78">
        <f>IF($CN415="Pari Passu Split",1,0)</f>
        <v/>
      </c>
      <c r="CP415" s="77">
        <f>IF(ISNUMBER($T415),YEAR($T415),"")</f>
        <v/>
      </c>
      <c r="CQ415" s="79">
        <f>IF(ISNUMBER($V415),$V415,IF(ISNUMBER($U415),$U415,""))</f>
        <v/>
      </c>
      <c r="CR415" s="77">
        <f>IF(ISNUMBER($CQ415),YEAR($CQ415),"")</f>
        <v/>
      </c>
      <c r="CS415" s="78">
        <f>IF(ISNUMBER($M415),MAX(0,$M415),IF(TRIM($M415&amp;"")="matured",0,""))</f>
        <v/>
      </c>
      <c r="CT415" s="78">
        <f>IF(AND(ISNUMBER($CS415),N($CS415)&lt;=mMatWindow),1,0)</f>
        <v/>
      </c>
      <c r="CU415" s="80">
        <f>IF(ISNUMBER($J415),$J415/100,"")</f>
        <v/>
      </c>
      <c r="CV415" s="81">
        <f>IF(ISNUMBER($AQ415),$AQ415,"")</f>
        <v/>
      </c>
      <c r="CW415" s="81">
        <f>IF(ISNUMBER($AR415),$AR415,"")</f>
        <v/>
      </c>
      <c r="CX415" s="82">
        <f>IF(ISNUMBER($AS415),$AS415/100,"")</f>
        <v/>
      </c>
      <c r="CY415" s="82">
        <f>IF(ISNUMBER($AT415),$AT415/100,"")</f>
        <v/>
      </c>
      <c r="CZ415" s="82">
        <f>IF(ISNUMBER($AU415),$AU415/100,"")</f>
        <v/>
      </c>
      <c r="DA415" s="82">
        <f>IF(ISNUMBER($AV415),$AV415/100,"")</f>
        <v/>
      </c>
      <c r="DB415" s="82">
        <f>IF(ISNUMBER($AW415),$AW415/100,"")</f>
        <v/>
      </c>
      <c r="DC415" s="82">
        <f>IF(ISNUMBER($AX415),$AX415/100,"")</f>
        <v/>
      </c>
      <c r="DD415" s="77">
        <f>IFERROR(VALUE(LEFT(TRIM($AO415&amp;""),4)),"")</f>
        <v/>
      </c>
      <c r="DE415" s="78">
        <f>IF(AND($BY415=1,$BX415=1,OR(fDeal="All Deals",$BU415=fDeal),OR(fEntity="All Entities",$BV415=fEntity),OR(fPType="All Property Types",$BZ415=fPType),OR(fDefeased="Include",$CJ415=0)),1,0)</f>
        <v/>
      </c>
      <c r="DF415" s="83">
        <f>$DE415*N($I415)</f>
        <v/>
      </c>
      <c r="DG415" s="78">
        <f>IF($DE415=1,IF(COUNTIFS($F$8:$F415,$F415,$DE$8:$DE415,1)=1,1,0),0)</f>
        <v/>
      </c>
      <c r="DH415" s="83">
        <f>IF($DG415=1,SUMIFS($DF$8:$DF$1600,$F$8:$F$1600,$F415),0)</f>
        <v/>
      </c>
      <c r="DI415" s="78">
        <f>IF($DG415=1,COUNTIFS($F$8:$F$1600,$F415,$DE$8:$DE$1600,1),0)</f>
        <v/>
      </c>
      <c r="DJ415" s="84">
        <f>IF($DG415=1,$DH415+(100000-ROW())/mTieBreak,0)</f>
        <v/>
      </c>
    </row>
    <row r="416">
      <c r="B416" s="68" t="n">
        <v>30</v>
      </c>
      <c r="C416" s="69" t="inlineStr">
        <is>
          <t>UBS17C03</t>
        </is>
      </c>
      <c r="D416" s="69" t="inlineStr">
        <is>
          <t>30.000</t>
        </is>
      </c>
      <c r="E416" s="69" t="inlineStr">
        <is>
          <t>Nadlan Industrial Portfolio</t>
        </is>
      </c>
      <c r="F416" s="69" t="inlineStr">
        <is>
          <t>LNUBS17C03-30.000</t>
        </is>
      </c>
      <c r="G416" s="70" t="n"/>
      <c r="H416" s="71" t="n">
        <v>5925000</v>
      </c>
      <c r="I416" s="71" t="n">
        <v>4932542.540002201</v>
      </c>
      <c r="J416" s="72" t="n">
        <v>4.67</v>
      </c>
      <c r="K416" s="69" t="inlineStr">
        <is>
          <t>Fixed rate</t>
        </is>
      </c>
      <c r="L416" s="68" t="n">
        <v>120</v>
      </c>
      <c r="M416" s="68" t="n">
        <v>10</v>
      </c>
      <c r="N416" s="68" t="n">
        <v>360</v>
      </c>
      <c r="O416" s="68" t="n"/>
      <c r="P416" s="68" t="n"/>
      <c r="Q416" s="68" t="n">
        <v>110</v>
      </c>
      <c r="R416" s="69" t="n"/>
      <c r="S416" s="69" t="inlineStr">
        <is>
          <t>No</t>
        </is>
      </c>
      <c r="T416" s="73" t="n">
        <v>42917</v>
      </c>
      <c r="U416" s="73" t="n">
        <v>46569</v>
      </c>
      <c r="V416" s="73" t="n"/>
      <c r="W416" s="69" t="n"/>
      <c r="X416" s="69" t="inlineStr">
        <is>
          <t>Current</t>
        </is>
      </c>
      <c r="Y416" s="68" t="n"/>
      <c r="Z416" s="69" t="inlineStr">
        <is>
          <t>No Defeasance Occurred</t>
        </is>
      </c>
      <c r="AA416" s="69" t="inlineStr">
        <is>
          <t>Previously</t>
        </is>
      </c>
      <c r="AB416" s="69" t="inlineStr">
        <is>
          <t>Never special serv</t>
        </is>
      </c>
      <c r="AC416" s="73" t="n"/>
      <c r="AD416" s="69" t="n"/>
      <c r="AE416" s="69" t="n"/>
      <c r="AF416" s="69" t="inlineStr">
        <is>
          <t>MI</t>
        </is>
      </c>
      <c r="AG416" s="69" t="n"/>
      <c r="AH416" s="69" t="inlineStr">
        <is>
          <t>Detroit-Warren-Dearborn, MI</t>
        </is>
      </c>
      <c r="AI416" s="69" t="inlineStr">
        <is>
          <t>Midwest / Central East</t>
        </is>
      </c>
      <c r="AJ416" s="69" t="inlineStr">
        <is>
          <t>IN</t>
        </is>
      </c>
      <c r="AK416" s="69" t="n"/>
      <c r="AL416" s="68" t="n">
        <v>3</v>
      </c>
      <c r="AM416" s="68" t="n"/>
      <c r="AN416" s="68" t="n">
        <v>82160</v>
      </c>
      <c r="AO416" s="69" t="n"/>
      <c r="AP416" s="70" t="n">
        <v>2008</v>
      </c>
      <c r="AQ416" s="74" t="n">
        <v>1.37</v>
      </c>
      <c r="AR416" s="74" t="n">
        <v>1.25</v>
      </c>
      <c r="AS416" s="74" t="n">
        <v>74.90000000000001</v>
      </c>
      <c r="AT416" s="74" t="n">
        <v>62.44</v>
      </c>
      <c r="AU416" s="74" t="n">
        <v>61</v>
      </c>
      <c r="AV416" s="74" t="n">
        <v>8.499021097</v>
      </c>
      <c r="AW416" s="74" t="n">
        <v>9.347856532</v>
      </c>
      <c r="AX416" s="75" t="n">
        <v>100</v>
      </c>
      <c r="AY416" s="71" t="n">
        <v>7900000</v>
      </c>
      <c r="AZ416" s="71" t="n">
        <v>7900000</v>
      </c>
      <c r="BA416" s="71" t="n">
        <v>503567</v>
      </c>
      <c r="BB416" s="71" t="n">
        <v>461087</v>
      </c>
      <c r="BC416" s="69" t="inlineStr">
        <is>
          <t>Refinance</t>
        </is>
      </c>
      <c r="BD416" s="69" t="inlineStr">
        <is>
          <t>N</t>
        </is>
      </c>
      <c r="BE416" s="71" t="n"/>
      <c r="BF416" s="71" t="n"/>
      <c r="BG416" s="71" t="n"/>
      <c r="BH416" s="71" t="n">
        <v>0</v>
      </c>
      <c r="BI416" s="71" t="n">
        <v>0</v>
      </c>
      <c r="BJ416" s="69" t="inlineStr">
        <is>
          <t>N</t>
        </is>
      </c>
      <c r="BK416" s="69" t="n"/>
      <c r="BL416" s="75" t="n"/>
      <c r="BM416" s="73" t="n"/>
      <c r="BN416" s="69" t="inlineStr">
        <is>
          <t>Dembs Development, Inc.</t>
        </is>
      </c>
      <c r="BO416" s="69" t="inlineStr">
        <is>
          <t>KeyBank</t>
        </is>
      </c>
      <c r="BP416" s="69" t="inlineStr">
        <is>
          <t>Midland Loan Services</t>
        </is>
      </c>
      <c r="BQ416" s="69" t="inlineStr">
        <is>
          <t>Midland Loan Services</t>
        </is>
      </c>
      <c r="BR416" s="69" t="n"/>
      <c r="BS416" s="73" t="n">
        <v>46276</v>
      </c>
      <c r="BU416" s="76">
        <f>IF($C416="","",IFERROR(INDEX(dmName,MATCH($C416,dmID,0)),"Unmapped"))</f>
        <v/>
      </c>
      <c r="BV416" s="76">
        <f>IF($C416="","",IFERROR(INDEX(dmEntity,MATCH($C416,dmID,0)),"Unmapped"))</f>
        <v/>
      </c>
      <c r="BW416" s="77">
        <f>IF($C416="","",IFERROR(INDEX(dmVintage,MATCH($C416,dmID,0)),""))</f>
        <v/>
      </c>
      <c r="BX416" s="78">
        <f>IFERROR(INDEX(dmInclude,MATCH($C416,dmID,0)),0)</f>
        <v/>
      </c>
      <c r="BY416" s="78">
        <f>IF(N($I416)&gt;0,1,0)</f>
        <v/>
      </c>
      <c r="BZ416" s="76">
        <f>IF($AJ416="","Other / Leased Fee",IFERROR(INDEX(mapPTGroup,MATCH(LEFT(TRIM($AJ416),2),mapPTCode,0)),"Other / Leased Fee"))</f>
        <v/>
      </c>
      <c r="CA416" s="76">
        <f>IF(TRIM($AF416&amp;"")="","NR",LEFT(TRIM($AF416),2))</f>
        <v/>
      </c>
      <c r="CB416" s="76">
        <f>IFERROR(LOOKUP(2,1/(LEFT(TRIM($AI416&amp;""),LEN(mapRegion))=mapRegion),mapRegion),"Not Reported")</f>
        <v/>
      </c>
      <c r="CC416" s="76">
        <f>IF($BY416=0,"",IF(TRIM($W416&amp;"")="REO","REO",IF(TRIM($W416&amp;"")="FC","Foreclosure",IF(TRIM($W416&amp;"")="90+","90+ Days Delinquent",IF(TRIM($W416&amp;"")="60","60 Days Delinquent",IF(TRIM($W416&amp;"")="30","30 Days Delinquent",IF($X416="Non-Performing Matured Balloon","Non-Performing Matured Balloon",IF(OR($X416="Late Payment But Less Than 30 Days Delinquent",LEFT($X416&amp;"",20)="Payment Not Received"),"Late / In Grace (&lt;30 Days)",IF($X416="Performing Matured Balloon","Performing Matured Balloon","Current")))))))))</f>
        <v/>
      </c>
      <c r="CD416" s="78">
        <f>IF(OR($CC416="REO",$CC416="Foreclosure",$CC416="90+ Days Delinquent",$CC416="60 Days Delinquent",$CC416="30 Days Delinquent",$CC416="Non-Performing Matured Balloon"),1,0)</f>
        <v/>
      </c>
      <c r="CE416" s="76">
        <f>IF($AB416="Currently special serv","Currently Specially Serviced",IF($AB416="Returned to master serv","Previously Specially Serviced","Never Specially Serviced"))</f>
        <v/>
      </c>
      <c r="CF416" s="78">
        <f>IF($CE416="Currently Specially Serviced",1,0)</f>
        <v/>
      </c>
      <c r="CG416" s="76">
        <f>IF($AA416="Yes","Currently on Watchlist",IF($AA416="Previously","Previously on Watchlist","Never on Watchlist"))</f>
        <v/>
      </c>
      <c r="CH416" s="78">
        <f>IF($CG416="Currently on Watchlist",1,0)</f>
        <v/>
      </c>
      <c r="CI416" s="76">
        <f>IF($Z416="Full Defeasance","Fully Defeased",IF($Z416="Portion Of Loan Previously Defeased","Partially Defeased",IF($Z416="Defeasance Not Allowable","Not Defeased (Not Permitted)","Not Defeased")))</f>
        <v/>
      </c>
      <c r="CJ416" s="78">
        <f>IF($CI416="Fully Defeased",1,0)</f>
        <v/>
      </c>
      <c r="CK416" s="76">
        <f>IF($R416="IO","Full IO",IF(LEFT($R416&amp;"",7)="IO then","Partial IO","Amortizing"))</f>
        <v/>
      </c>
      <c r="CL416" s="78">
        <f>IF($CK416="Full IO",1,0)</f>
        <v/>
      </c>
      <c r="CM416" s="78">
        <f>IF($CK416="Partial IO",1,0)</f>
        <v/>
      </c>
      <c r="CN416" s="76">
        <f>IF(LEFT($F416&amp;"",10)="SPLIT_LOAN","Pari Passu Split","Standalone")</f>
        <v/>
      </c>
      <c r="CO416" s="78">
        <f>IF($CN416="Pari Passu Split",1,0)</f>
        <v/>
      </c>
      <c r="CP416" s="77">
        <f>IF(ISNUMBER($T416),YEAR($T416),"")</f>
        <v/>
      </c>
      <c r="CQ416" s="79">
        <f>IF(ISNUMBER($V416),$V416,IF(ISNUMBER($U416),$U416,""))</f>
        <v/>
      </c>
      <c r="CR416" s="77">
        <f>IF(ISNUMBER($CQ416),YEAR($CQ416),"")</f>
        <v/>
      </c>
      <c r="CS416" s="78">
        <f>IF(ISNUMBER($M416),MAX(0,$M416),IF(TRIM($M416&amp;"")="matured",0,""))</f>
        <v/>
      </c>
      <c r="CT416" s="78">
        <f>IF(AND(ISNUMBER($CS416),N($CS416)&lt;=mMatWindow),1,0)</f>
        <v/>
      </c>
      <c r="CU416" s="80">
        <f>IF(ISNUMBER($J416),$J416/100,"")</f>
        <v/>
      </c>
      <c r="CV416" s="81">
        <f>IF(ISNUMBER($AQ416),$AQ416,"")</f>
        <v/>
      </c>
      <c r="CW416" s="81">
        <f>IF(ISNUMBER($AR416),$AR416,"")</f>
        <v/>
      </c>
      <c r="CX416" s="82">
        <f>IF(ISNUMBER($AS416),$AS416/100,"")</f>
        <v/>
      </c>
      <c r="CY416" s="82">
        <f>IF(ISNUMBER($AT416),$AT416/100,"")</f>
        <v/>
      </c>
      <c r="CZ416" s="82">
        <f>IF(ISNUMBER($AU416),$AU416/100,"")</f>
        <v/>
      </c>
      <c r="DA416" s="82">
        <f>IF(ISNUMBER($AV416),$AV416/100,"")</f>
        <v/>
      </c>
      <c r="DB416" s="82">
        <f>IF(ISNUMBER($AW416),$AW416/100,"")</f>
        <v/>
      </c>
      <c r="DC416" s="82">
        <f>IF(ISNUMBER($AX416),$AX416/100,"")</f>
        <v/>
      </c>
      <c r="DD416" s="77">
        <f>IFERROR(VALUE(LEFT(TRIM($AO416&amp;""),4)),"")</f>
        <v/>
      </c>
      <c r="DE416" s="78">
        <f>IF(AND($BY416=1,$BX416=1,OR(fDeal="All Deals",$BU416=fDeal),OR(fEntity="All Entities",$BV416=fEntity),OR(fPType="All Property Types",$BZ416=fPType),OR(fDefeased="Include",$CJ416=0)),1,0)</f>
        <v/>
      </c>
      <c r="DF416" s="83">
        <f>$DE416*N($I416)</f>
        <v/>
      </c>
      <c r="DG416" s="78">
        <f>IF($DE416=1,IF(COUNTIFS($F$8:$F416,$F416,$DE$8:$DE416,1)=1,1,0),0)</f>
        <v/>
      </c>
      <c r="DH416" s="83">
        <f>IF($DG416=1,SUMIFS($DF$8:$DF$1600,$F$8:$F$1600,$F416),0)</f>
        <v/>
      </c>
      <c r="DI416" s="78">
        <f>IF($DG416=1,COUNTIFS($F$8:$F$1600,$F416,$DE$8:$DE$1600,1),0)</f>
        <v/>
      </c>
      <c r="DJ416" s="84">
        <f>IF($DG416=1,$DH416+(100000-ROW())/mTieBreak,0)</f>
        <v/>
      </c>
    </row>
    <row r="417">
      <c r="B417" s="68" t="n">
        <v>31</v>
      </c>
      <c r="C417" s="69" t="inlineStr">
        <is>
          <t>UBS17C03</t>
        </is>
      </c>
      <c r="D417" s="69" t="inlineStr">
        <is>
          <t>31.000</t>
        </is>
      </c>
      <c r="E417" s="69" t="inlineStr">
        <is>
          <t>Walmart Plaza</t>
        </is>
      </c>
      <c r="F417" s="69" t="inlineStr">
        <is>
          <t>LNUBS17C03-31.000</t>
        </is>
      </c>
      <c r="G417" s="70" t="n"/>
      <c r="H417" s="71" t="n">
        <v>5800000</v>
      </c>
      <c r="I417" s="71" t="n">
        <v>4875013.329999</v>
      </c>
      <c r="J417" s="72" t="n">
        <v>4.92</v>
      </c>
      <c r="K417" s="69" t="inlineStr">
        <is>
          <t>Fixed rate</t>
        </is>
      </c>
      <c r="L417" s="68" t="n">
        <v>120</v>
      </c>
      <c r="M417" s="68" t="n">
        <v>11</v>
      </c>
      <c r="N417" s="68" t="n">
        <v>360</v>
      </c>
      <c r="O417" s="68" t="n"/>
      <c r="P417" s="68" t="n"/>
      <c r="Q417" s="68" t="n">
        <v>109</v>
      </c>
      <c r="R417" s="69" t="n"/>
      <c r="S417" s="69" t="inlineStr">
        <is>
          <t>No</t>
        </is>
      </c>
      <c r="T417" s="73" t="n">
        <v>42948</v>
      </c>
      <c r="U417" s="73" t="n">
        <v>46600</v>
      </c>
      <c r="V417" s="73" t="n"/>
      <c r="W417" s="69" t="n"/>
      <c r="X417" s="69" t="inlineStr">
        <is>
          <t>Current</t>
        </is>
      </c>
      <c r="Y417" s="68" t="n"/>
      <c r="Z417" s="69" t="inlineStr">
        <is>
          <t>No Defeasance Occurred</t>
        </is>
      </c>
      <c r="AA417" s="69" t="inlineStr">
        <is>
          <t>Yes</t>
        </is>
      </c>
      <c r="AB417" s="69" t="inlineStr">
        <is>
          <t>Never special serv</t>
        </is>
      </c>
      <c r="AC417" s="73" t="n"/>
      <c r="AD417" s="69" t="n"/>
      <c r="AE417" s="69" t="n"/>
      <c r="AF417" s="69" t="inlineStr">
        <is>
          <t>LA</t>
        </is>
      </c>
      <c r="AG417" s="69" t="inlineStr">
        <is>
          <t>Natchitoches</t>
        </is>
      </c>
      <c r="AH417" s="69" t="inlineStr">
        <is>
          <t>Natchitoches, LA</t>
        </is>
      </c>
      <c r="AI417" s="69" t="inlineStr">
        <is>
          <t>South / Central West</t>
        </is>
      </c>
      <c r="AJ417" s="69" t="inlineStr">
        <is>
          <t>RT</t>
        </is>
      </c>
      <c r="AK417" s="69" t="inlineStr">
        <is>
          <t>Shadow Anchored</t>
        </is>
      </c>
      <c r="AL417" s="68" t="n">
        <v>1</v>
      </c>
      <c r="AM417" s="68" t="n"/>
      <c r="AN417" s="68" t="n">
        <v>45910</v>
      </c>
      <c r="AO417" s="69" t="inlineStr">
        <is>
          <t>2001</t>
        </is>
      </c>
      <c r="AP417" s="70" t="n">
        <v>2001</v>
      </c>
      <c r="AQ417" s="74" t="n">
        <v>1.34</v>
      </c>
      <c r="AR417" s="74" t="n">
        <v>1.26</v>
      </c>
      <c r="AS417" s="74" t="n">
        <v>69.5</v>
      </c>
      <c r="AT417" s="74" t="n">
        <v>58.38</v>
      </c>
      <c r="AU417" s="74" t="n">
        <v>57</v>
      </c>
      <c r="AV417" s="74" t="n">
        <v>8.563947931</v>
      </c>
      <c r="AW417" s="74" t="n">
        <v>7.688869848</v>
      </c>
      <c r="AX417" s="75" t="n">
        <v>70</v>
      </c>
      <c r="AY417" s="71" t="n">
        <v>8350000</v>
      </c>
      <c r="AZ417" s="71" t="n">
        <v>8350000</v>
      </c>
      <c r="BA417" s="71" t="n">
        <v>496708.98</v>
      </c>
      <c r="BB417" s="71" t="n">
        <v>117041.34</v>
      </c>
      <c r="BC417" s="69" t="inlineStr">
        <is>
          <t>Refinance</t>
        </is>
      </c>
      <c r="BD417" s="69" t="inlineStr">
        <is>
          <t>N</t>
        </is>
      </c>
      <c r="BE417" s="71" t="n"/>
      <c r="BF417" s="71" t="n"/>
      <c r="BG417" s="71" t="n"/>
      <c r="BH417" s="71" t="n">
        <v>0</v>
      </c>
      <c r="BI417" s="71" t="n">
        <v>0</v>
      </c>
      <c r="BJ417" s="69" t="inlineStr">
        <is>
          <t>N</t>
        </is>
      </c>
      <c r="BK417" s="69" t="inlineStr">
        <is>
          <t>The Shoe Dept. #88818390002</t>
        </is>
      </c>
      <c r="BL417" s="75" t="n">
        <v>13.09</v>
      </c>
      <c r="BM417" s="73" t="n">
        <v>47452</v>
      </c>
      <c r="BN417" s="69" t="inlineStr">
        <is>
          <t>Gershon Bassman; E. Michael Loboda; Stephen Gary Darrison</t>
        </is>
      </c>
      <c r="BO417" s="69" t="inlineStr">
        <is>
          <t>Societe Generale</t>
        </is>
      </c>
      <c r="BP417" s="69" t="inlineStr">
        <is>
          <t>Midland Loan Services</t>
        </is>
      </c>
      <c r="BQ417" s="69" t="inlineStr">
        <is>
          <t>Midland Loan Services</t>
        </is>
      </c>
      <c r="BR417" s="69" t="n"/>
      <c r="BS417" s="73" t="n">
        <v>46276</v>
      </c>
      <c r="BU417" s="76">
        <f>IF($C417="","",IFERROR(INDEX(dmName,MATCH($C417,dmID,0)),"Unmapped"))</f>
        <v/>
      </c>
      <c r="BV417" s="76">
        <f>IF($C417="","",IFERROR(INDEX(dmEntity,MATCH($C417,dmID,0)),"Unmapped"))</f>
        <v/>
      </c>
      <c r="BW417" s="77">
        <f>IF($C417="","",IFERROR(INDEX(dmVintage,MATCH($C417,dmID,0)),""))</f>
        <v/>
      </c>
      <c r="BX417" s="78">
        <f>IFERROR(INDEX(dmInclude,MATCH($C417,dmID,0)),0)</f>
        <v/>
      </c>
      <c r="BY417" s="78">
        <f>IF(N($I417)&gt;0,1,0)</f>
        <v/>
      </c>
      <c r="BZ417" s="76">
        <f>IF($AJ417="","Other / Leased Fee",IFERROR(INDEX(mapPTGroup,MATCH(LEFT(TRIM($AJ417),2),mapPTCode,0)),"Other / Leased Fee"))</f>
        <v/>
      </c>
      <c r="CA417" s="76">
        <f>IF(TRIM($AF417&amp;"")="","NR",LEFT(TRIM($AF417),2))</f>
        <v/>
      </c>
      <c r="CB417" s="76">
        <f>IFERROR(LOOKUP(2,1/(LEFT(TRIM($AI417&amp;""),LEN(mapRegion))=mapRegion),mapRegion),"Not Reported")</f>
        <v/>
      </c>
      <c r="CC417" s="76">
        <f>IF($BY417=0,"",IF(TRIM($W417&amp;"")="REO","REO",IF(TRIM($W417&amp;"")="FC","Foreclosure",IF(TRIM($W417&amp;"")="90+","90+ Days Delinquent",IF(TRIM($W417&amp;"")="60","60 Days Delinquent",IF(TRIM($W417&amp;"")="30","30 Days Delinquent",IF($X417="Non-Performing Matured Balloon","Non-Performing Matured Balloon",IF(OR($X417="Late Payment But Less Than 30 Days Delinquent",LEFT($X417&amp;"",20)="Payment Not Received"),"Late / In Grace (&lt;30 Days)",IF($X417="Performing Matured Balloon","Performing Matured Balloon","Current")))))))))</f>
        <v/>
      </c>
      <c r="CD417" s="78">
        <f>IF(OR($CC417="REO",$CC417="Foreclosure",$CC417="90+ Days Delinquent",$CC417="60 Days Delinquent",$CC417="30 Days Delinquent",$CC417="Non-Performing Matured Balloon"),1,0)</f>
        <v/>
      </c>
      <c r="CE417" s="76">
        <f>IF($AB417="Currently special serv","Currently Specially Serviced",IF($AB417="Returned to master serv","Previously Specially Serviced","Never Specially Serviced"))</f>
        <v/>
      </c>
      <c r="CF417" s="78">
        <f>IF($CE417="Currently Specially Serviced",1,0)</f>
        <v/>
      </c>
      <c r="CG417" s="76">
        <f>IF($AA417="Yes","Currently on Watchlist",IF($AA417="Previously","Previously on Watchlist","Never on Watchlist"))</f>
        <v/>
      </c>
      <c r="CH417" s="78">
        <f>IF($CG417="Currently on Watchlist",1,0)</f>
        <v/>
      </c>
      <c r="CI417" s="76">
        <f>IF($Z417="Full Defeasance","Fully Defeased",IF($Z417="Portion Of Loan Previously Defeased","Partially Defeased",IF($Z417="Defeasance Not Allowable","Not Defeased (Not Permitted)","Not Defeased")))</f>
        <v/>
      </c>
      <c r="CJ417" s="78">
        <f>IF($CI417="Fully Defeased",1,0)</f>
        <v/>
      </c>
      <c r="CK417" s="76">
        <f>IF($R417="IO","Full IO",IF(LEFT($R417&amp;"",7)="IO then","Partial IO","Amortizing"))</f>
        <v/>
      </c>
      <c r="CL417" s="78">
        <f>IF($CK417="Full IO",1,0)</f>
        <v/>
      </c>
      <c r="CM417" s="78">
        <f>IF($CK417="Partial IO",1,0)</f>
        <v/>
      </c>
      <c r="CN417" s="76">
        <f>IF(LEFT($F417&amp;"",10)="SPLIT_LOAN","Pari Passu Split","Standalone")</f>
        <v/>
      </c>
      <c r="CO417" s="78">
        <f>IF($CN417="Pari Passu Split",1,0)</f>
        <v/>
      </c>
      <c r="CP417" s="77">
        <f>IF(ISNUMBER($T417),YEAR($T417),"")</f>
        <v/>
      </c>
      <c r="CQ417" s="79">
        <f>IF(ISNUMBER($V417),$V417,IF(ISNUMBER($U417),$U417,""))</f>
        <v/>
      </c>
      <c r="CR417" s="77">
        <f>IF(ISNUMBER($CQ417),YEAR($CQ417),"")</f>
        <v/>
      </c>
      <c r="CS417" s="78">
        <f>IF(ISNUMBER($M417),MAX(0,$M417),IF(TRIM($M417&amp;"")="matured",0,""))</f>
        <v/>
      </c>
      <c r="CT417" s="78">
        <f>IF(AND(ISNUMBER($CS417),N($CS417)&lt;=mMatWindow),1,0)</f>
        <v/>
      </c>
      <c r="CU417" s="80">
        <f>IF(ISNUMBER($J417),$J417/100,"")</f>
        <v/>
      </c>
      <c r="CV417" s="81">
        <f>IF(ISNUMBER($AQ417),$AQ417,"")</f>
        <v/>
      </c>
      <c r="CW417" s="81">
        <f>IF(ISNUMBER($AR417),$AR417,"")</f>
        <v/>
      </c>
      <c r="CX417" s="82">
        <f>IF(ISNUMBER($AS417),$AS417/100,"")</f>
        <v/>
      </c>
      <c r="CY417" s="82">
        <f>IF(ISNUMBER($AT417),$AT417/100,"")</f>
        <v/>
      </c>
      <c r="CZ417" s="82">
        <f>IF(ISNUMBER($AU417),$AU417/100,"")</f>
        <v/>
      </c>
      <c r="DA417" s="82">
        <f>IF(ISNUMBER($AV417),$AV417/100,"")</f>
        <v/>
      </c>
      <c r="DB417" s="82">
        <f>IF(ISNUMBER($AW417),$AW417/100,"")</f>
        <v/>
      </c>
      <c r="DC417" s="82">
        <f>IF(ISNUMBER($AX417),$AX417/100,"")</f>
        <v/>
      </c>
      <c r="DD417" s="77">
        <f>IFERROR(VALUE(LEFT(TRIM($AO417&amp;""),4)),"")</f>
        <v/>
      </c>
      <c r="DE417" s="78">
        <f>IF(AND($BY417=1,$BX417=1,OR(fDeal="All Deals",$BU417=fDeal),OR(fEntity="All Entities",$BV417=fEntity),OR(fPType="All Property Types",$BZ417=fPType),OR(fDefeased="Include",$CJ417=0)),1,0)</f>
        <v/>
      </c>
      <c r="DF417" s="83">
        <f>$DE417*N($I417)</f>
        <v/>
      </c>
      <c r="DG417" s="78">
        <f>IF($DE417=1,IF(COUNTIFS($F$8:$F417,$F417,$DE$8:$DE417,1)=1,1,0),0)</f>
        <v/>
      </c>
      <c r="DH417" s="83">
        <f>IF($DG417=1,SUMIFS($DF$8:$DF$1600,$F$8:$F$1600,$F417),0)</f>
        <v/>
      </c>
      <c r="DI417" s="78">
        <f>IF($DG417=1,COUNTIFS($F$8:$F$1600,$F417,$DE$8:$DE$1600,1),0)</f>
        <v/>
      </c>
      <c r="DJ417" s="84">
        <f>IF($DG417=1,$DH417+(100000-ROW())/mTieBreak,0)</f>
        <v/>
      </c>
    </row>
    <row r="418">
      <c r="B418" s="68" t="n">
        <v>32</v>
      </c>
      <c r="C418" s="69" t="inlineStr">
        <is>
          <t>UBS17C03</t>
        </is>
      </c>
      <c r="D418" s="69" t="inlineStr">
        <is>
          <t>32.000</t>
        </is>
      </c>
      <c r="E418" s="69" t="inlineStr">
        <is>
          <t>North Parkway Mini Storage</t>
        </is>
      </c>
      <c r="F418" s="69" t="inlineStr">
        <is>
          <t>LNUBS17C03-32.000</t>
        </is>
      </c>
      <c r="G418" s="70" t="n"/>
      <c r="H418" s="71" t="n">
        <v>5750000</v>
      </c>
      <c r="I418" s="71" t="n">
        <v>4772120.01000225</v>
      </c>
      <c r="J418" s="72" t="n">
        <v>4.5</v>
      </c>
      <c r="K418" s="69" t="inlineStr">
        <is>
          <t>Fixed rate</t>
        </is>
      </c>
      <c r="L418" s="68" t="n">
        <v>120</v>
      </c>
      <c r="M418" s="68" t="n">
        <v>11</v>
      </c>
      <c r="N418" s="68" t="n">
        <v>360</v>
      </c>
      <c r="O418" s="68" t="n"/>
      <c r="P418" s="68" t="n"/>
      <c r="Q418" s="68" t="n">
        <v>109</v>
      </c>
      <c r="R418" s="69" t="n"/>
      <c r="S418" s="69" t="inlineStr">
        <is>
          <t>No</t>
        </is>
      </c>
      <c r="T418" s="73" t="n">
        <v>42948</v>
      </c>
      <c r="U418" s="73" t="n">
        <v>46600</v>
      </c>
      <c r="V418" s="73" t="n"/>
      <c r="W418" s="69" t="n"/>
      <c r="X418" s="69" t="inlineStr">
        <is>
          <t>Current</t>
        </is>
      </c>
      <c r="Y418" s="68" t="n"/>
      <c r="Z418" s="69" t="inlineStr">
        <is>
          <t>No Defeasance Occurred</t>
        </is>
      </c>
      <c r="AA418" s="69" t="inlineStr">
        <is>
          <t>Previously</t>
        </is>
      </c>
      <c r="AB418" s="69" t="inlineStr">
        <is>
          <t>Never special serv</t>
        </is>
      </c>
      <c r="AC418" s="73" t="n"/>
      <c r="AD418" s="69" t="n"/>
      <c r="AE418" s="69" t="n"/>
      <c r="AF418" s="69" t="inlineStr">
        <is>
          <t>AL</t>
        </is>
      </c>
      <c r="AG418" s="69" t="inlineStr">
        <is>
          <t>Huntsville</t>
        </is>
      </c>
      <c r="AH418" s="69" t="inlineStr">
        <is>
          <t>Huntsville, AL</t>
        </is>
      </c>
      <c r="AI418" s="69" t="inlineStr">
        <is>
          <t>South / Central East</t>
        </is>
      </c>
      <c r="AJ418" s="69" t="inlineStr">
        <is>
          <t>SS</t>
        </is>
      </c>
      <c r="AK418" s="69" t="n"/>
      <c r="AL418" s="68" t="n">
        <v>1</v>
      </c>
      <c r="AM418" s="68" t="n"/>
      <c r="AN418" s="68" t="n">
        <v>152760</v>
      </c>
      <c r="AO418" s="69" t="inlineStr">
        <is>
          <t>2002</t>
        </is>
      </c>
      <c r="AP418" s="70" t="n">
        <v>2006</v>
      </c>
      <c r="AQ418" s="74" t="n">
        <v>1.63</v>
      </c>
      <c r="AR418" s="74" t="n">
        <v>1.48</v>
      </c>
      <c r="AS418" s="74" t="n">
        <v>72.8</v>
      </c>
      <c r="AT418" s="74" t="n">
        <v>60.41</v>
      </c>
      <c r="AU418" s="74" t="n">
        <v>58.8</v>
      </c>
      <c r="AV418" s="74" t="n">
        <v>9.8992</v>
      </c>
      <c r="AW418" s="74" t="n">
        <v>10.845892369</v>
      </c>
      <c r="AX418" s="75" t="n">
        <v>75</v>
      </c>
      <c r="AY418" s="71" t="n">
        <v>7900000</v>
      </c>
      <c r="AZ418" s="71" t="n">
        <v>7900000</v>
      </c>
      <c r="BA418" s="71" t="n">
        <v>569204</v>
      </c>
      <c r="BB418" s="71" t="n">
        <v>517579</v>
      </c>
      <c r="BC418" s="69" t="inlineStr">
        <is>
          <t>Refinance</t>
        </is>
      </c>
      <c r="BD418" s="69" t="n"/>
      <c r="BE418" s="71" t="n"/>
      <c r="BF418" s="71" t="n"/>
      <c r="BG418" s="71" t="n"/>
      <c r="BH418" s="71" t="n">
        <v>0</v>
      </c>
      <c r="BI418" s="71" t="n">
        <v>0</v>
      </c>
      <c r="BJ418" s="69" t="inlineStr">
        <is>
          <t>N</t>
        </is>
      </c>
      <c r="BK418" s="69" t="n"/>
      <c r="BL418" s="75" t="n"/>
      <c r="BM418" s="73" t="n"/>
      <c r="BN418" s="69" t="inlineStr">
        <is>
          <t>Brown Holding Company, LLC</t>
        </is>
      </c>
      <c r="BO418" s="69" t="inlineStr">
        <is>
          <t>KeyBank</t>
        </is>
      </c>
      <c r="BP418" s="69" t="inlineStr">
        <is>
          <t>Midland Loan Services</t>
        </is>
      </c>
      <c r="BQ418" s="69" t="inlineStr">
        <is>
          <t>Midland Loan Services</t>
        </is>
      </c>
      <c r="BR418" s="69" t="n"/>
      <c r="BS418" s="73" t="n">
        <v>46276</v>
      </c>
      <c r="BU418" s="76">
        <f>IF($C418="","",IFERROR(INDEX(dmName,MATCH($C418,dmID,0)),"Unmapped"))</f>
        <v/>
      </c>
      <c r="BV418" s="76">
        <f>IF($C418="","",IFERROR(INDEX(dmEntity,MATCH($C418,dmID,0)),"Unmapped"))</f>
        <v/>
      </c>
      <c r="BW418" s="77">
        <f>IF($C418="","",IFERROR(INDEX(dmVintage,MATCH($C418,dmID,0)),""))</f>
        <v/>
      </c>
      <c r="BX418" s="78">
        <f>IFERROR(INDEX(dmInclude,MATCH($C418,dmID,0)),0)</f>
        <v/>
      </c>
      <c r="BY418" s="78">
        <f>IF(N($I418)&gt;0,1,0)</f>
        <v/>
      </c>
      <c r="BZ418" s="76">
        <f>IF($AJ418="","Other / Leased Fee",IFERROR(INDEX(mapPTGroup,MATCH(LEFT(TRIM($AJ418),2),mapPTCode,0)),"Other / Leased Fee"))</f>
        <v/>
      </c>
      <c r="CA418" s="76">
        <f>IF(TRIM($AF418&amp;"")="","NR",LEFT(TRIM($AF418),2))</f>
        <v/>
      </c>
      <c r="CB418" s="76">
        <f>IFERROR(LOOKUP(2,1/(LEFT(TRIM($AI418&amp;""),LEN(mapRegion))=mapRegion),mapRegion),"Not Reported")</f>
        <v/>
      </c>
      <c r="CC418" s="76">
        <f>IF($BY418=0,"",IF(TRIM($W418&amp;"")="REO","REO",IF(TRIM($W418&amp;"")="FC","Foreclosure",IF(TRIM($W418&amp;"")="90+","90+ Days Delinquent",IF(TRIM($W418&amp;"")="60","60 Days Delinquent",IF(TRIM($W418&amp;"")="30","30 Days Delinquent",IF($X418="Non-Performing Matured Balloon","Non-Performing Matured Balloon",IF(OR($X418="Late Payment But Less Than 30 Days Delinquent",LEFT($X418&amp;"",20)="Payment Not Received"),"Late / In Grace (&lt;30 Days)",IF($X418="Performing Matured Balloon","Performing Matured Balloon","Current")))))))))</f>
        <v/>
      </c>
      <c r="CD418" s="78">
        <f>IF(OR($CC418="REO",$CC418="Foreclosure",$CC418="90+ Days Delinquent",$CC418="60 Days Delinquent",$CC418="30 Days Delinquent",$CC418="Non-Performing Matured Balloon"),1,0)</f>
        <v/>
      </c>
      <c r="CE418" s="76">
        <f>IF($AB418="Currently special serv","Currently Specially Serviced",IF($AB418="Returned to master serv","Previously Specially Serviced","Never Specially Serviced"))</f>
        <v/>
      </c>
      <c r="CF418" s="78">
        <f>IF($CE418="Currently Specially Serviced",1,0)</f>
        <v/>
      </c>
      <c r="CG418" s="76">
        <f>IF($AA418="Yes","Currently on Watchlist",IF($AA418="Previously","Previously on Watchlist","Never on Watchlist"))</f>
        <v/>
      </c>
      <c r="CH418" s="78">
        <f>IF($CG418="Currently on Watchlist",1,0)</f>
        <v/>
      </c>
      <c r="CI418" s="76">
        <f>IF($Z418="Full Defeasance","Fully Defeased",IF($Z418="Portion Of Loan Previously Defeased","Partially Defeased",IF($Z418="Defeasance Not Allowable","Not Defeased (Not Permitted)","Not Defeased")))</f>
        <v/>
      </c>
      <c r="CJ418" s="78">
        <f>IF($CI418="Fully Defeased",1,0)</f>
        <v/>
      </c>
      <c r="CK418" s="76">
        <f>IF($R418="IO","Full IO",IF(LEFT($R418&amp;"",7)="IO then","Partial IO","Amortizing"))</f>
        <v/>
      </c>
      <c r="CL418" s="78">
        <f>IF($CK418="Full IO",1,0)</f>
        <v/>
      </c>
      <c r="CM418" s="78">
        <f>IF($CK418="Partial IO",1,0)</f>
        <v/>
      </c>
      <c r="CN418" s="76">
        <f>IF(LEFT($F418&amp;"",10)="SPLIT_LOAN","Pari Passu Split","Standalone")</f>
        <v/>
      </c>
      <c r="CO418" s="78">
        <f>IF($CN418="Pari Passu Split",1,0)</f>
        <v/>
      </c>
      <c r="CP418" s="77">
        <f>IF(ISNUMBER($T418),YEAR($T418),"")</f>
        <v/>
      </c>
      <c r="CQ418" s="79">
        <f>IF(ISNUMBER($V418),$V418,IF(ISNUMBER($U418),$U418,""))</f>
        <v/>
      </c>
      <c r="CR418" s="77">
        <f>IF(ISNUMBER($CQ418),YEAR($CQ418),"")</f>
        <v/>
      </c>
      <c r="CS418" s="78">
        <f>IF(ISNUMBER($M418),MAX(0,$M418),IF(TRIM($M418&amp;"")="matured",0,""))</f>
        <v/>
      </c>
      <c r="CT418" s="78">
        <f>IF(AND(ISNUMBER($CS418),N($CS418)&lt;=mMatWindow),1,0)</f>
        <v/>
      </c>
      <c r="CU418" s="80">
        <f>IF(ISNUMBER($J418),$J418/100,"")</f>
        <v/>
      </c>
      <c r="CV418" s="81">
        <f>IF(ISNUMBER($AQ418),$AQ418,"")</f>
        <v/>
      </c>
      <c r="CW418" s="81">
        <f>IF(ISNUMBER($AR418),$AR418,"")</f>
        <v/>
      </c>
      <c r="CX418" s="82">
        <f>IF(ISNUMBER($AS418),$AS418/100,"")</f>
        <v/>
      </c>
      <c r="CY418" s="82">
        <f>IF(ISNUMBER($AT418),$AT418/100,"")</f>
        <v/>
      </c>
      <c r="CZ418" s="82">
        <f>IF(ISNUMBER($AU418),$AU418/100,"")</f>
        <v/>
      </c>
      <c r="DA418" s="82">
        <f>IF(ISNUMBER($AV418),$AV418/100,"")</f>
        <v/>
      </c>
      <c r="DB418" s="82">
        <f>IF(ISNUMBER($AW418),$AW418/100,"")</f>
        <v/>
      </c>
      <c r="DC418" s="82">
        <f>IF(ISNUMBER($AX418),$AX418/100,"")</f>
        <v/>
      </c>
      <c r="DD418" s="77">
        <f>IFERROR(VALUE(LEFT(TRIM($AO418&amp;""),4)),"")</f>
        <v/>
      </c>
      <c r="DE418" s="78">
        <f>IF(AND($BY418=1,$BX418=1,OR(fDeal="All Deals",$BU418=fDeal),OR(fEntity="All Entities",$BV418=fEntity),OR(fPType="All Property Types",$BZ418=fPType),OR(fDefeased="Include",$CJ418=0)),1,0)</f>
        <v/>
      </c>
      <c r="DF418" s="83">
        <f>$DE418*N($I418)</f>
        <v/>
      </c>
      <c r="DG418" s="78">
        <f>IF($DE418=1,IF(COUNTIFS($F$8:$F418,$F418,$DE$8:$DE418,1)=1,1,0),0)</f>
        <v/>
      </c>
      <c r="DH418" s="83">
        <f>IF($DG418=1,SUMIFS($DF$8:$DF$1600,$F$8:$F$1600,$F418),0)</f>
        <v/>
      </c>
      <c r="DI418" s="78">
        <f>IF($DG418=1,COUNTIFS($F$8:$F$1600,$F418,$DE$8:$DE$1600,1),0)</f>
        <v/>
      </c>
      <c r="DJ418" s="84">
        <f>IF($DG418=1,$DH418+(100000-ROW())/mTieBreak,0)</f>
        <v/>
      </c>
    </row>
    <row r="419">
      <c r="B419" s="68" t="n">
        <v>33</v>
      </c>
      <c r="C419" s="69" t="inlineStr">
        <is>
          <t>UBS17C03</t>
        </is>
      </c>
      <c r="D419" s="69" t="inlineStr">
        <is>
          <t>33.000</t>
        </is>
      </c>
      <c r="E419" s="69" t="inlineStr">
        <is>
          <t>South Park Shopping Center</t>
        </is>
      </c>
      <c r="F419" s="69" t="inlineStr">
        <is>
          <t>LNUBS17C03-33.000</t>
        </is>
      </c>
      <c r="G419" s="70" t="n"/>
      <c r="H419" s="71" t="n">
        <v>5450000</v>
      </c>
      <c r="I419" s="71" t="n">
        <v>4509838.4999984</v>
      </c>
      <c r="J419" s="72" t="n">
        <v>4.405</v>
      </c>
      <c r="K419" s="69" t="inlineStr">
        <is>
          <t>Fixed rate</t>
        </is>
      </c>
      <c r="L419" s="68" t="n">
        <v>120</v>
      </c>
      <c r="M419" s="68" t="n">
        <v>11</v>
      </c>
      <c r="N419" s="68" t="n">
        <v>360</v>
      </c>
      <c r="O419" s="68" t="n"/>
      <c r="P419" s="68" t="n"/>
      <c r="Q419" s="68" t="n">
        <v>109</v>
      </c>
      <c r="R419" s="69" t="n"/>
      <c r="S419" s="69" t="inlineStr">
        <is>
          <t>No</t>
        </is>
      </c>
      <c r="T419" s="73" t="n">
        <v>42948</v>
      </c>
      <c r="U419" s="73" t="n">
        <v>46600</v>
      </c>
      <c r="V419" s="73" t="n"/>
      <c r="W419" s="69" t="n"/>
      <c r="X419" s="69" t="inlineStr">
        <is>
          <t>Current</t>
        </is>
      </c>
      <c r="Y419" s="68" t="n"/>
      <c r="Z419" s="69" t="inlineStr">
        <is>
          <t>Full Defeasance</t>
        </is>
      </c>
      <c r="AA419" s="69" t="inlineStr">
        <is>
          <t>Previously</t>
        </is>
      </c>
      <c r="AB419" s="69" t="inlineStr">
        <is>
          <t>Never special serv</t>
        </is>
      </c>
      <c r="AC419" s="73" t="n"/>
      <c r="AD419" s="69" t="n"/>
      <c r="AE419" s="69" t="n"/>
      <c r="AF419" s="69" t="inlineStr">
        <is>
          <t>NC</t>
        </is>
      </c>
      <c r="AG419" s="69" t="inlineStr">
        <is>
          <t>Winston-Salem</t>
        </is>
      </c>
      <c r="AH419" s="69" t="inlineStr">
        <is>
          <t>Winston-Salem, NC</t>
        </is>
      </c>
      <c r="AI419" s="69" t="inlineStr">
        <is>
          <t>South / Atlantic</t>
        </is>
      </c>
      <c r="AJ419" s="69" t="inlineStr">
        <is>
          <t>RT</t>
        </is>
      </c>
      <c r="AK419" s="69" t="inlineStr">
        <is>
          <t>Anchored</t>
        </is>
      </c>
      <c r="AL419" s="68" t="n">
        <v>1</v>
      </c>
      <c r="AM419" s="68" t="n"/>
      <c r="AN419" s="68" t="n">
        <v>112422</v>
      </c>
      <c r="AO419" s="69" t="inlineStr">
        <is>
          <t>1986</t>
        </is>
      </c>
      <c r="AP419" s="70" t="n">
        <v>1986</v>
      </c>
      <c r="AQ419" s="74" t="n">
        <v>1.72</v>
      </c>
      <c r="AR419" s="74" t="n">
        <v>1.79</v>
      </c>
      <c r="AS419" s="74" t="n">
        <v>58.9</v>
      </c>
      <c r="AT419" s="74" t="n">
        <v>48.76</v>
      </c>
      <c r="AU419" s="74" t="n">
        <v>47.5</v>
      </c>
      <c r="AV419" s="74" t="n">
        <v>10.315131927</v>
      </c>
      <c r="AW419" s="74" t="n">
        <v>8.096072176</v>
      </c>
      <c r="AX419" s="75" t="n">
        <v>100</v>
      </c>
      <c r="AY419" s="71" t="n">
        <v>9250000</v>
      </c>
      <c r="AZ419" s="71" t="n">
        <v>9250000</v>
      </c>
      <c r="BA419" s="71" t="n">
        <v>562174.6899999999</v>
      </c>
      <c r="BB419" s="71" t="n">
        <v>585608.8</v>
      </c>
      <c r="BC419" s="69" t="inlineStr">
        <is>
          <t>Refinance</t>
        </is>
      </c>
      <c r="BD419" s="69" t="inlineStr">
        <is>
          <t>N</t>
        </is>
      </c>
      <c r="BE419" s="71" t="n"/>
      <c r="BF419" s="71" t="n"/>
      <c r="BG419" s="71" t="n"/>
      <c r="BH419" s="71" t="n">
        <v>0</v>
      </c>
      <c r="BI419" s="71" t="n">
        <v>0</v>
      </c>
      <c r="BJ419" s="69" t="inlineStr">
        <is>
          <t>N</t>
        </is>
      </c>
      <c r="BK419" s="69" t="inlineStr">
        <is>
          <t>TROSA Inc.</t>
        </is>
      </c>
      <c r="BL419" s="75" t="n">
        <v>33.54</v>
      </c>
      <c r="BM419" s="73" t="n">
        <v>48304</v>
      </c>
      <c r="BN419" s="69" t="inlineStr">
        <is>
          <t>Thomas Taft, Sr.</t>
        </is>
      </c>
      <c r="BO419" s="69" t="inlineStr">
        <is>
          <t>Societe Generale</t>
        </is>
      </c>
      <c r="BP419" s="69" t="inlineStr">
        <is>
          <t>Midland Loan Services</t>
        </is>
      </c>
      <c r="BQ419" s="69" t="inlineStr">
        <is>
          <t>Midland Loan Services</t>
        </is>
      </c>
      <c r="BR419" s="69" t="n"/>
      <c r="BS419" s="73" t="n">
        <v>46276</v>
      </c>
      <c r="BU419" s="76">
        <f>IF($C419="","",IFERROR(INDEX(dmName,MATCH($C419,dmID,0)),"Unmapped"))</f>
        <v/>
      </c>
      <c r="BV419" s="76">
        <f>IF($C419="","",IFERROR(INDEX(dmEntity,MATCH($C419,dmID,0)),"Unmapped"))</f>
        <v/>
      </c>
      <c r="BW419" s="77">
        <f>IF($C419="","",IFERROR(INDEX(dmVintage,MATCH($C419,dmID,0)),""))</f>
        <v/>
      </c>
      <c r="BX419" s="78">
        <f>IFERROR(INDEX(dmInclude,MATCH($C419,dmID,0)),0)</f>
        <v/>
      </c>
      <c r="BY419" s="78">
        <f>IF(N($I419)&gt;0,1,0)</f>
        <v/>
      </c>
      <c r="BZ419" s="76">
        <f>IF($AJ419="","Other / Leased Fee",IFERROR(INDEX(mapPTGroup,MATCH(LEFT(TRIM($AJ419),2),mapPTCode,0)),"Other / Leased Fee"))</f>
        <v/>
      </c>
      <c r="CA419" s="76">
        <f>IF(TRIM($AF419&amp;"")="","NR",LEFT(TRIM($AF419),2))</f>
        <v/>
      </c>
      <c r="CB419" s="76">
        <f>IFERROR(LOOKUP(2,1/(LEFT(TRIM($AI419&amp;""),LEN(mapRegion))=mapRegion),mapRegion),"Not Reported")</f>
        <v/>
      </c>
      <c r="CC419" s="76">
        <f>IF($BY419=0,"",IF(TRIM($W419&amp;"")="REO","REO",IF(TRIM($W419&amp;"")="FC","Foreclosure",IF(TRIM($W419&amp;"")="90+","90+ Days Delinquent",IF(TRIM($W419&amp;"")="60","60 Days Delinquent",IF(TRIM($W419&amp;"")="30","30 Days Delinquent",IF($X419="Non-Performing Matured Balloon","Non-Performing Matured Balloon",IF(OR($X419="Late Payment But Less Than 30 Days Delinquent",LEFT($X419&amp;"",20)="Payment Not Received"),"Late / In Grace (&lt;30 Days)",IF($X419="Performing Matured Balloon","Performing Matured Balloon","Current")))))))))</f>
        <v/>
      </c>
      <c r="CD419" s="78">
        <f>IF(OR($CC419="REO",$CC419="Foreclosure",$CC419="90+ Days Delinquent",$CC419="60 Days Delinquent",$CC419="30 Days Delinquent",$CC419="Non-Performing Matured Balloon"),1,0)</f>
        <v/>
      </c>
      <c r="CE419" s="76">
        <f>IF($AB419="Currently special serv","Currently Specially Serviced",IF($AB419="Returned to master serv","Previously Specially Serviced","Never Specially Serviced"))</f>
        <v/>
      </c>
      <c r="CF419" s="78">
        <f>IF($CE419="Currently Specially Serviced",1,0)</f>
        <v/>
      </c>
      <c r="CG419" s="76">
        <f>IF($AA419="Yes","Currently on Watchlist",IF($AA419="Previously","Previously on Watchlist","Never on Watchlist"))</f>
        <v/>
      </c>
      <c r="CH419" s="78">
        <f>IF($CG419="Currently on Watchlist",1,0)</f>
        <v/>
      </c>
      <c r="CI419" s="76">
        <f>IF($Z419="Full Defeasance","Fully Defeased",IF($Z419="Portion Of Loan Previously Defeased","Partially Defeased",IF($Z419="Defeasance Not Allowable","Not Defeased (Not Permitted)","Not Defeased")))</f>
        <v/>
      </c>
      <c r="CJ419" s="78">
        <f>IF($CI419="Fully Defeased",1,0)</f>
        <v/>
      </c>
      <c r="CK419" s="76">
        <f>IF($R419="IO","Full IO",IF(LEFT($R419&amp;"",7)="IO then","Partial IO","Amortizing"))</f>
        <v/>
      </c>
      <c r="CL419" s="78">
        <f>IF($CK419="Full IO",1,0)</f>
        <v/>
      </c>
      <c r="CM419" s="78">
        <f>IF($CK419="Partial IO",1,0)</f>
        <v/>
      </c>
      <c r="CN419" s="76">
        <f>IF(LEFT($F419&amp;"",10)="SPLIT_LOAN","Pari Passu Split","Standalone")</f>
        <v/>
      </c>
      <c r="CO419" s="78">
        <f>IF($CN419="Pari Passu Split",1,0)</f>
        <v/>
      </c>
      <c r="CP419" s="77">
        <f>IF(ISNUMBER($T419),YEAR($T419),"")</f>
        <v/>
      </c>
      <c r="CQ419" s="79">
        <f>IF(ISNUMBER($V419),$V419,IF(ISNUMBER($U419),$U419,""))</f>
        <v/>
      </c>
      <c r="CR419" s="77">
        <f>IF(ISNUMBER($CQ419),YEAR($CQ419),"")</f>
        <v/>
      </c>
      <c r="CS419" s="78">
        <f>IF(ISNUMBER($M419),MAX(0,$M419),IF(TRIM($M419&amp;"")="matured",0,""))</f>
        <v/>
      </c>
      <c r="CT419" s="78">
        <f>IF(AND(ISNUMBER($CS419),N($CS419)&lt;=mMatWindow),1,0)</f>
        <v/>
      </c>
      <c r="CU419" s="80">
        <f>IF(ISNUMBER($J419),$J419/100,"")</f>
        <v/>
      </c>
      <c r="CV419" s="81">
        <f>IF(ISNUMBER($AQ419),$AQ419,"")</f>
        <v/>
      </c>
      <c r="CW419" s="81">
        <f>IF(ISNUMBER($AR419),$AR419,"")</f>
        <v/>
      </c>
      <c r="CX419" s="82">
        <f>IF(ISNUMBER($AS419),$AS419/100,"")</f>
        <v/>
      </c>
      <c r="CY419" s="82">
        <f>IF(ISNUMBER($AT419),$AT419/100,"")</f>
        <v/>
      </c>
      <c r="CZ419" s="82">
        <f>IF(ISNUMBER($AU419),$AU419/100,"")</f>
        <v/>
      </c>
      <c r="DA419" s="82">
        <f>IF(ISNUMBER($AV419),$AV419/100,"")</f>
        <v/>
      </c>
      <c r="DB419" s="82">
        <f>IF(ISNUMBER($AW419),$AW419/100,"")</f>
        <v/>
      </c>
      <c r="DC419" s="82">
        <f>IF(ISNUMBER($AX419),$AX419/100,"")</f>
        <v/>
      </c>
      <c r="DD419" s="77">
        <f>IFERROR(VALUE(LEFT(TRIM($AO419&amp;""),4)),"")</f>
        <v/>
      </c>
      <c r="DE419" s="78">
        <f>IF(AND($BY419=1,$BX419=1,OR(fDeal="All Deals",$BU419=fDeal),OR(fEntity="All Entities",$BV419=fEntity),OR(fPType="All Property Types",$BZ419=fPType),OR(fDefeased="Include",$CJ419=0)),1,0)</f>
        <v/>
      </c>
      <c r="DF419" s="83">
        <f>$DE419*N($I419)</f>
        <v/>
      </c>
      <c r="DG419" s="78">
        <f>IF($DE419=1,IF(COUNTIFS($F$8:$F419,$F419,$DE$8:$DE419,1)=1,1,0),0)</f>
        <v/>
      </c>
      <c r="DH419" s="83">
        <f>IF($DG419=1,SUMIFS($DF$8:$DF$1600,$F$8:$F$1600,$F419),0)</f>
        <v/>
      </c>
      <c r="DI419" s="78">
        <f>IF($DG419=1,COUNTIFS($F$8:$F$1600,$F419,$DE$8:$DE$1600,1),0)</f>
        <v/>
      </c>
      <c r="DJ419" s="84">
        <f>IF($DG419=1,$DH419+(100000-ROW())/mTieBreak,0)</f>
        <v/>
      </c>
    </row>
    <row r="420">
      <c r="B420" s="68" t="n">
        <v>34</v>
      </c>
      <c r="C420" s="69" t="inlineStr">
        <is>
          <t>UBS17C03</t>
        </is>
      </c>
      <c r="D420" s="69" t="inlineStr">
        <is>
          <t>34.000</t>
        </is>
      </c>
      <c r="E420" s="69" t="inlineStr">
        <is>
          <t>La Quinta Inn &amp; Suites Fayetteville</t>
        </is>
      </c>
      <c r="F420" s="69" t="inlineStr">
        <is>
          <t>LNUBS17C03-34.000</t>
        </is>
      </c>
      <c r="G420" s="70" t="n"/>
      <c r="H420" s="71" t="n">
        <v>4750000</v>
      </c>
      <c r="I420" s="71" t="n">
        <v>3672803.82999825</v>
      </c>
      <c r="J420" s="72" t="n">
        <v>4.87</v>
      </c>
      <c r="K420" s="69" t="inlineStr">
        <is>
          <t>Fixed rate</t>
        </is>
      </c>
      <c r="L420" s="68" t="n">
        <v>120</v>
      </c>
      <c r="M420" s="68" t="n">
        <v>11</v>
      </c>
      <c r="N420" s="68" t="n">
        <v>300</v>
      </c>
      <c r="O420" s="68" t="n"/>
      <c r="P420" s="68" t="n"/>
      <c r="Q420" s="68" t="n">
        <v>109</v>
      </c>
      <c r="R420" s="69" t="n"/>
      <c r="S420" s="69" t="inlineStr">
        <is>
          <t>No</t>
        </is>
      </c>
      <c r="T420" s="73" t="n">
        <v>42948</v>
      </c>
      <c r="U420" s="73" t="n">
        <v>46600</v>
      </c>
      <c r="V420" s="73" t="n"/>
      <c r="W420" s="69" t="n"/>
      <c r="X420" s="69" t="inlineStr">
        <is>
          <t>Current</t>
        </is>
      </c>
      <c r="Y420" s="68" t="n"/>
      <c r="Z420" s="69" t="inlineStr">
        <is>
          <t>Full Defeasance</t>
        </is>
      </c>
      <c r="AA420" s="69" t="inlineStr">
        <is>
          <t>Previously</t>
        </is>
      </c>
      <c r="AB420" s="69" t="inlineStr">
        <is>
          <t>Never special serv</t>
        </is>
      </c>
      <c r="AC420" s="73" t="n"/>
      <c r="AD420" s="69" t="n"/>
      <c r="AE420" s="69" t="n"/>
      <c r="AF420" s="69" t="inlineStr">
        <is>
          <t>AR</t>
        </is>
      </c>
      <c r="AG420" s="69" t="inlineStr">
        <is>
          <t>Fayetteville</t>
        </is>
      </c>
      <c r="AH420" s="69" t="inlineStr">
        <is>
          <t>Fayetteville-Springdale-Rogers, AR</t>
        </is>
      </c>
      <c r="AI420" s="69" t="inlineStr">
        <is>
          <t>South / Central West</t>
        </is>
      </c>
      <c r="AJ420" s="69" t="inlineStr">
        <is>
          <t>HT</t>
        </is>
      </c>
      <c r="AK420" s="69" t="inlineStr">
        <is>
          <t>Limited Service</t>
        </is>
      </c>
      <c r="AL420" s="68" t="n">
        <v>1</v>
      </c>
      <c r="AM420" s="68" t="n">
        <v>58</v>
      </c>
      <c r="AN420" s="68" t="n"/>
      <c r="AO420" s="69" t="inlineStr">
        <is>
          <t>1995</t>
        </is>
      </c>
      <c r="AP420" s="70" t="n">
        <v>2015</v>
      </c>
      <c r="AQ420" s="74" t="n">
        <v>1.94</v>
      </c>
      <c r="AR420" s="74" t="n">
        <v>1.2</v>
      </c>
      <c r="AS420" s="74" t="n">
        <v>63.3</v>
      </c>
      <c r="AT420" s="74" t="n">
        <v>48.97</v>
      </c>
      <c r="AU420" s="74" t="n">
        <v>47.1</v>
      </c>
      <c r="AV420" s="74" t="n">
        <v>13.440391158</v>
      </c>
      <c r="AW420" s="74" t="n">
        <v>11.01732542</v>
      </c>
      <c r="AX420" s="75" t="n">
        <v>72</v>
      </c>
      <c r="AY420" s="71" t="n">
        <v>7500000</v>
      </c>
      <c r="AZ420" s="71" t="n">
        <v>7500000</v>
      </c>
      <c r="BA420" s="71" t="n">
        <v>638418.58</v>
      </c>
      <c r="BB420" s="71" t="n">
        <v>393668.38</v>
      </c>
      <c r="BC420" s="69" t="inlineStr">
        <is>
          <t>Refinance</t>
        </is>
      </c>
      <c r="BD420" s="69" t="inlineStr">
        <is>
          <t>N</t>
        </is>
      </c>
      <c r="BE420" s="71" t="n"/>
      <c r="BF420" s="71" t="n"/>
      <c r="BG420" s="71" t="n"/>
      <c r="BH420" s="71" t="n">
        <v>0</v>
      </c>
      <c r="BI420" s="71" t="n">
        <v>0</v>
      </c>
      <c r="BJ420" s="69" t="inlineStr">
        <is>
          <t>N</t>
        </is>
      </c>
      <c r="BK420" s="69" t="n"/>
      <c r="BL420" s="75" t="n"/>
      <c r="BM420" s="73" t="n"/>
      <c r="BN420" s="69" t="inlineStr">
        <is>
          <t>Ramesh J. Patel; Ishver Govind; Balubhai L. Patel</t>
        </is>
      </c>
      <c r="BO420" s="69" t="inlineStr">
        <is>
          <t>Societe Generale</t>
        </is>
      </c>
      <c r="BP420" s="69" t="inlineStr">
        <is>
          <t>Midland Loan Services</t>
        </is>
      </c>
      <c r="BQ420" s="69" t="inlineStr">
        <is>
          <t>Midland Loan Services</t>
        </is>
      </c>
      <c r="BR420" s="69" t="n"/>
      <c r="BS420" s="73" t="n">
        <v>46276</v>
      </c>
      <c r="BU420" s="76">
        <f>IF($C420="","",IFERROR(INDEX(dmName,MATCH($C420,dmID,0)),"Unmapped"))</f>
        <v/>
      </c>
      <c r="BV420" s="76">
        <f>IF($C420="","",IFERROR(INDEX(dmEntity,MATCH($C420,dmID,0)),"Unmapped"))</f>
        <v/>
      </c>
      <c r="BW420" s="77">
        <f>IF($C420="","",IFERROR(INDEX(dmVintage,MATCH($C420,dmID,0)),""))</f>
        <v/>
      </c>
      <c r="BX420" s="78">
        <f>IFERROR(INDEX(dmInclude,MATCH($C420,dmID,0)),0)</f>
        <v/>
      </c>
      <c r="BY420" s="78">
        <f>IF(N($I420)&gt;0,1,0)</f>
        <v/>
      </c>
      <c r="BZ420" s="76">
        <f>IF($AJ420="","Other / Leased Fee",IFERROR(INDEX(mapPTGroup,MATCH(LEFT(TRIM($AJ420),2),mapPTCode,0)),"Other / Leased Fee"))</f>
        <v/>
      </c>
      <c r="CA420" s="76">
        <f>IF(TRIM($AF420&amp;"")="","NR",LEFT(TRIM($AF420),2))</f>
        <v/>
      </c>
      <c r="CB420" s="76">
        <f>IFERROR(LOOKUP(2,1/(LEFT(TRIM($AI420&amp;""),LEN(mapRegion))=mapRegion),mapRegion),"Not Reported")</f>
        <v/>
      </c>
      <c r="CC420" s="76">
        <f>IF($BY420=0,"",IF(TRIM($W420&amp;"")="REO","REO",IF(TRIM($W420&amp;"")="FC","Foreclosure",IF(TRIM($W420&amp;"")="90+","90+ Days Delinquent",IF(TRIM($W420&amp;"")="60","60 Days Delinquent",IF(TRIM($W420&amp;"")="30","30 Days Delinquent",IF($X420="Non-Performing Matured Balloon","Non-Performing Matured Balloon",IF(OR($X420="Late Payment But Less Than 30 Days Delinquent",LEFT($X420&amp;"",20)="Payment Not Received"),"Late / In Grace (&lt;30 Days)",IF($X420="Performing Matured Balloon","Performing Matured Balloon","Current")))))))))</f>
        <v/>
      </c>
      <c r="CD420" s="78">
        <f>IF(OR($CC420="REO",$CC420="Foreclosure",$CC420="90+ Days Delinquent",$CC420="60 Days Delinquent",$CC420="30 Days Delinquent",$CC420="Non-Performing Matured Balloon"),1,0)</f>
        <v/>
      </c>
      <c r="CE420" s="76">
        <f>IF($AB420="Currently special serv","Currently Specially Serviced",IF($AB420="Returned to master serv","Previously Specially Serviced","Never Specially Serviced"))</f>
        <v/>
      </c>
      <c r="CF420" s="78">
        <f>IF($CE420="Currently Specially Serviced",1,0)</f>
        <v/>
      </c>
      <c r="CG420" s="76">
        <f>IF($AA420="Yes","Currently on Watchlist",IF($AA420="Previously","Previously on Watchlist","Never on Watchlist"))</f>
        <v/>
      </c>
      <c r="CH420" s="78">
        <f>IF($CG420="Currently on Watchlist",1,0)</f>
        <v/>
      </c>
      <c r="CI420" s="76">
        <f>IF($Z420="Full Defeasance","Fully Defeased",IF($Z420="Portion Of Loan Previously Defeased","Partially Defeased",IF($Z420="Defeasance Not Allowable","Not Defeased (Not Permitted)","Not Defeased")))</f>
        <v/>
      </c>
      <c r="CJ420" s="78">
        <f>IF($CI420="Fully Defeased",1,0)</f>
        <v/>
      </c>
      <c r="CK420" s="76">
        <f>IF($R420="IO","Full IO",IF(LEFT($R420&amp;"",7)="IO then","Partial IO","Amortizing"))</f>
        <v/>
      </c>
      <c r="CL420" s="78">
        <f>IF($CK420="Full IO",1,0)</f>
        <v/>
      </c>
      <c r="CM420" s="78">
        <f>IF($CK420="Partial IO",1,0)</f>
        <v/>
      </c>
      <c r="CN420" s="76">
        <f>IF(LEFT($F420&amp;"",10)="SPLIT_LOAN","Pari Passu Split","Standalone")</f>
        <v/>
      </c>
      <c r="CO420" s="78">
        <f>IF($CN420="Pari Passu Split",1,0)</f>
        <v/>
      </c>
      <c r="CP420" s="77">
        <f>IF(ISNUMBER($T420),YEAR($T420),"")</f>
        <v/>
      </c>
      <c r="CQ420" s="79">
        <f>IF(ISNUMBER($V420),$V420,IF(ISNUMBER($U420),$U420,""))</f>
        <v/>
      </c>
      <c r="CR420" s="77">
        <f>IF(ISNUMBER($CQ420),YEAR($CQ420),"")</f>
        <v/>
      </c>
      <c r="CS420" s="78">
        <f>IF(ISNUMBER($M420),MAX(0,$M420),IF(TRIM($M420&amp;"")="matured",0,""))</f>
        <v/>
      </c>
      <c r="CT420" s="78">
        <f>IF(AND(ISNUMBER($CS420),N($CS420)&lt;=mMatWindow),1,0)</f>
        <v/>
      </c>
      <c r="CU420" s="80">
        <f>IF(ISNUMBER($J420),$J420/100,"")</f>
        <v/>
      </c>
      <c r="CV420" s="81">
        <f>IF(ISNUMBER($AQ420),$AQ420,"")</f>
        <v/>
      </c>
      <c r="CW420" s="81">
        <f>IF(ISNUMBER($AR420),$AR420,"")</f>
        <v/>
      </c>
      <c r="CX420" s="82">
        <f>IF(ISNUMBER($AS420),$AS420/100,"")</f>
        <v/>
      </c>
      <c r="CY420" s="82">
        <f>IF(ISNUMBER($AT420),$AT420/100,"")</f>
        <v/>
      </c>
      <c r="CZ420" s="82">
        <f>IF(ISNUMBER($AU420),$AU420/100,"")</f>
        <v/>
      </c>
      <c r="DA420" s="82">
        <f>IF(ISNUMBER($AV420),$AV420/100,"")</f>
        <v/>
      </c>
      <c r="DB420" s="82">
        <f>IF(ISNUMBER($AW420),$AW420/100,"")</f>
        <v/>
      </c>
      <c r="DC420" s="82">
        <f>IF(ISNUMBER($AX420),$AX420/100,"")</f>
        <v/>
      </c>
      <c r="DD420" s="77">
        <f>IFERROR(VALUE(LEFT(TRIM($AO420&amp;""),4)),"")</f>
        <v/>
      </c>
      <c r="DE420" s="78">
        <f>IF(AND($BY420=1,$BX420=1,OR(fDeal="All Deals",$BU420=fDeal),OR(fEntity="All Entities",$BV420=fEntity),OR(fPType="All Property Types",$BZ420=fPType),OR(fDefeased="Include",$CJ420=0)),1,0)</f>
        <v/>
      </c>
      <c r="DF420" s="83">
        <f>$DE420*N($I420)</f>
        <v/>
      </c>
      <c r="DG420" s="78">
        <f>IF($DE420=1,IF(COUNTIFS($F$8:$F420,$F420,$DE$8:$DE420,1)=1,1,0),0)</f>
        <v/>
      </c>
      <c r="DH420" s="83">
        <f>IF($DG420=1,SUMIFS($DF$8:$DF$1600,$F$8:$F$1600,$F420),0)</f>
        <v/>
      </c>
      <c r="DI420" s="78">
        <f>IF($DG420=1,COUNTIFS($F$8:$F$1600,$F420,$DE$8:$DE$1600,1),0)</f>
        <v/>
      </c>
      <c r="DJ420" s="84">
        <f>IF($DG420=1,$DH420+(100000-ROW())/mTieBreak,0)</f>
        <v/>
      </c>
    </row>
    <row r="421">
      <c r="B421" s="68" t="n">
        <v>35</v>
      </c>
      <c r="C421" s="69" t="inlineStr">
        <is>
          <t>UBS17C03</t>
        </is>
      </c>
      <c r="D421" s="69" t="inlineStr">
        <is>
          <t>35.000</t>
        </is>
      </c>
      <c r="E421" s="69" t="inlineStr">
        <is>
          <t>Redlands University Plaza</t>
        </is>
      </c>
      <c r="F421" s="69" t="inlineStr">
        <is>
          <t>LNUBS17C03-35.000</t>
        </is>
      </c>
      <c r="G421" s="70" t="n"/>
      <c r="H421" s="71" t="n">
        <v>4100000</v>
      </c>
      <c r="I421" s="71" t="n">
        <v>0</v>
      </c>
      <c r="J421" s="72" t="n">
        <v>4.75</v>
      </c>
      <c r="K421" s="69" t="inlineStr">
        <is>
          <t>Fixed rate</t>
        </is>
      </c>
      <c r="L421" s="68" t="n">
        <v>120</v>
      </c>
      <c r="M421" s="68" t="n"/>
      <c r="N421" s="68" t="n">
        <v>300</v>
      </c>
      <c r="O421" s="68" t="n"/>
      <c r="P421" s="68" t="n"/>
      <c r="Q421" s="68" t="n"/>
      <c r="R421" s="69" t="n"/>
      <c r="S421" s="69" t="inlineStr">
        <is>
          <t>No</t>
        </is>
      </c>
      <c r="T421" s="73" t="n">
        <v>42887</v>
      </c>
      <c r="U421" s="73" t="n">
        <v>46539</v>
      </c>
      <c r="V421" s="73" t="n"/>
      <c r="W421" s="69" t="n"/>
      <c r="X421" s="69" t="inlineStr">
        <is>
          <t>Current</t>
        </is>
      </c>
      <c r="Y421" s="68" t="n"/>
      <c r="Z421" s="69" t="inlineStr">
        <is>
          <t>Defeasance Not Allowable</t>
        </is>
      </c>
      <c r="AA421" s="69" t="inlineStr">
        <is>
          <t>Previously</t>
        </is>
      </c>
      <c r="AB421" s="69" t="inlineStr">
        <is>
          <t>Never special serv</t>
        </is>
      </c>
      <c r="AC421" s="73" t="n"/>
      <c r="AD421" s="69" t="n"/>
      <c r="AE421" s="69" t="n"/>
      <c r="AF421" s="69" t="inlineStr">
        <is>
          <t>CA</t>
        </is>
      </c>
      <c r="AG421" s="69" t="inlineStr">
        <is>
          <t>Redlands</t>
        </is>
      </c>
      <c r="AH421" s="69" t="inlineStr">
        <is>
          <t>Riverside-San Bernardino-Ontario, CA</t>
        </is>
      </c>
      <c r="AI421" s="69" t="inlineStr">
        <is>
          <t>West / Pacific South</t>
        </is>
      </c>
      <c r="AJ421" s="69" t="inlineStr">
        <is>
          <t>RT</t>
        </is>
      </c>
      <c r="AK421" s="69" t="inlineStr">
        <is>
          <t>Anchored</t>
        </is>
      </c>
      <c r="AL421" s="68" t="n">
        <v>1</v>
      </c>
      <c r="AM421" s="68" t="n"/>
      <c r="AN421" s="68" t="n">
        <v>61978</v>
      </c>
      <c r="AO421" s="69" t="inlineStr">
        <is>
          <t>1964</t>
        </is>
      </c>
      <c r="AP421" s="70" t="n">
        <v>2006</v>
      </c>
      <c r="AQ421" s="74" t="n">
        <v>1.38</v>
      </c>
      <c r="AR421" s="74" t="n">
        <v>0.9399999999999999</v>
      </c>
      <c r="AS421" s="74" t="n">
        <v>44.6</v>
      </c>
      <c r="AT421" s="74" t="n"/>
      <c r="AU421" s="74" t="n">
        <v>33.1</v>
      </c>
      <c r="AV421" s="74" t="n">
        <v>9.46804878</v>
      </c>
      <c r="AW421" s="74" t="n"/>
      <c r="AX421" s="75" t="n">
        <v>96</v>
      </c>
      <c r="AY421" s="71" t="n">
        <v>9170000</v>
      </c>
      <c r="AZ421" s="71" t="n">
        <v>9170000</v>
      </c>
      <c r="BA421" s="71" t="n">
        <v>388190</v>
      </c>
      <c r="BB421" s="71" t="n">
        <v>264710</v>
      </c>
      <c r="BC421" s="69" t="inlineStr">
        <is>
          <t>Refinance</t>
        </is>
      </c>
      <c r="BD421" s="69" t="inlineStr">
        <is>
          <t>N</t>
        </is>
      </c>
      <c r="BE421" s="71" t="n"/>
      <c r="BF421" s="71" t="n"/>
      <c r="BG421" s="71" t="n"/>
      <c r="BH421" s="71" t="n">
        <v>0</v>
      </c>
      <c r="BI421" s="71" t="n">
        <v>0</v>
      </c>
      <c r="BJ421" s="69" t="inlineStr">
        <is>
          <t>N</t>
        </is>
      </c>
      <c r="BK421" s="69" t="inlineStr">
        <is>
          <t>Redlands Ranch Market</t>
        </is>
      </c>
      <c r="BL421" s="75" t="n">
        <v>48.57</v>
      </c>
      <c r="BM421" s="73" t="n">
        <v>45596</v>
      </c>
      <c r="BN421" s="69" t="inlineStr">
        <is>
          <t>Yoon Ja Han</t>
        </is>
      </c>
      <c r="BO421" s="69" t="inlineStr">
        <is>
          <t>KeyBank</t>
        </is>
      </c>
      <c r="BP421" s="69" t="inlineStr">
        <is>
          <t>Midland Loan Services</t>
        </is>
      </c>
      <c r="BQ421" s="69" t="inlineStr">
        <is>
          <t>Midland Loan Services</t>
        </is>
      </c>
      <c r="BR421" s="69" t="inlineStr">
        <is>
          <t>Payoff With Yield Maintenance</t>
        </is>
      </c>
      <c r="BS421" s="73" t="n">
        <v>46034</v>
      </c>
      <c r="BU421" s="76">
        <f>IF($C421="","",IFERROR(INDEX(dmName,MATCH($C421,dmID,0)),"Unmapped"))</f>
        <v/>
      </c>
      <c r="BV421" s="76">
        <f>IF($C421="","",IFERROR(INDEX(dmEntity,MATCH($C421,dmID,0)),"Unmapped"))</f>
        <v/>
      </c>
      <c r="BW421" s="77">
        <f>IF($C421="","",IFERROR(INDEX(dmVintage,MATCH($C421,dmID,0)),""))</f>
        <v/>
      </c>
      <c r="BX421" s="78">
        <f>IFERROR(INDEX(dmInclude,MATCH($C421,dmID,0)),0)</f>
        <v/>
      </c>
      <c r="BY421" s="78">
        <f>IF(N($I421)&gt;0,1,0)</f>
        <v/>
      </c>
      <c r="BZ421" s="76">
        <f>IF($AJ421="","Other / Leased Fee",IFERROR(INDEX(mapPTGroup,MATCH(LEFT(TRIM($AJ421),2),mapPTCode,0)),"Other / Leased Fee"))</f>
        <v/>
      </c>
      <c r="CA421" s="76">
        <f>IF(TRIM($AF421&amp;"")="","NR",LEFT(TRIM($AF421),2))</f>
        <v/>
      </c>
      <c r="CB421" s="76">
        <f>IFERROR(LOOKUP(2,1/(LEFT(TRIM($AI421&amp;""),LEN(mapRegion))=mapRegion),mapRegion),"Not Reported")</f>
        <v/>
      </c>
      <c r="CC421" s="76">
        <f>IF($BY421=0,"",IF(TRIM($W421&amp;"")="REO","REO",IF(TRIM($W421&amp;"")="FC","Foreclosure",IF(TRIM($W421&amp;"")="90+","90+ Days Delinquent",IF(TRIM($W421&amp;"")="60","60 Days Delinquent",IF(TRIM($W421&amp;"")="30","30 Days Delinquent",IF($X421="Non-Performing Matured Balloon","Non-Performing Matured Balloon",IF(OR($X421="Late Payment But Less Than 30 Days Delinquent",LEFT($X421&amp;"",20)="Payment Not Received"),"Late / In Grace (&lt;30 Days)",IF($X421="Performing Matured Balloon","Performing Matured Balloon","Current")))))))))</f>
        <v/>
      </c>
      <c r="CD421" s="78">
        <f>IF(OR($CC421="REO",$CC421="Foreclosure",$CC421="90+ Days Delinquent",$CC421="60 Days Delinquent",$CC421="30 Days Delinquent",$CC421="Non-Performing Matured Balloon"),1,0)</f>
        <v/>
      </c>
      <c r="CE421" s="76">
        <f>IF($AB421="Currently special serv","Currently Specially Serviced",IF($AB421="Returned to master serv","Previously Specially Serviced","Never Specially Serviced"))</f>
        <v/>
      </c>
      <c r="CF421" s="78">
        <f>IF($CE421="Currently Specially Serviced",1,0)</f>
        <v/>
      </c>
      <c r="CG421" s="76">
        <f>IF($AA421="Yes","Currently on Watchlist",IF($AA421="Previously","Previously on Watchlist","Never on Watchlist"))</f>
        <v/>
      </c>
      <c r="CH421" s="78">
        <f>IF($CG421="Currently on Watchlist",1,0)</f>
        <v/>
      </c>
      <c r="CI421" s="76">
        <f>IF($Z421="Full Defeasance","Fully Defeased",IF($Z421="Portion Of Loan Previously Defeased","Partially Defeased",IF($Z421="Defeasance Not Allowable","Not Defeased (Not Permitted)","Not Defeased")))</f>
        <v/>
      </c>
      <c r="CJ421" s="78">
        <f>IF($CI421="Fully Defeased",1,0)</f>
        <v/>
      </c>
      <c r="CK421" s="76">
        <f>IF($R421="IO","Full IO",IF(LEFT($R421&amp;"",7)="IO then","Partial IO","Amortizing"))</f>
        <v/>
      </c>
      <c r="CL421" s="78">
        <f>IF($CK421="Full IO",1,0)</f>
        <v/>
      </c>
      <c r="CM421" s="78">
        <f>IF($CK421="Partial IO",1,0)</f>
        <v/>
      </c>
      <c r="CN421" s="76">
        <f>IF(LEFT($F421&amp;"",10)="SPLIT_LOAN","Pari Passu Split","Standalone")</f>
        <v/>
      </c>
      <c r="CO421" s="78">
        <f>IF($CN421="Pari Passu Split",1,0)</f>
        <v/>
      </c>
      <c r="CP421" s="77">
        <f>IF(ISNUMBER($T421),YEAR($T421),"")</f>
        <v/>
      </c>
      <c r="CQ421" s="79">
        <f>IF(ISNUMBER($V421),$V421,IF(ISNUMBER($U421),$U421,""))</f>
        <v/>
      </c>
      <c r="CR421" s="77">
        <f>IF(ISNUMBER($CQ421),YEAR($CQ421),"")</f>
        <v/>
      </c>
      <c r="CS421" s="78">
        <f>IF(ISNUMBER($M421),MAX(0,$M421),IF(TRIM($M421&amp;"")="matured",0,""))</f>
        <v/>
      </c>
      <c r="CT421" s="78">
        <f>IF(AND(ISNUMBER($CS421),N($CS421)&lt;=mMatWindow),1,0)</f>
        <v/>
      </c>
      <c r="CU421" s="80">
        <f>IF(ISNUMBER($J421),$J421/100,"")</f>
        <v/>
      </c>
      <c r="CV421" s="81">
        <f>IF(ISNUMBER($AQ421),$AQ421,"")</f>
        <v/>
      </c>
      <c r="CW421" s="81">
        <f>IF(ISNUMBER($AR421),$AR421,"")</f>
        <v/>
      </c>
      <c r="CX421" s="82">
        <f>IF(ISNUMBER($AS421),$AS421/100,"")</f>
        <v/>
      </c>
      <c r="CY421" s="82">
        <f>IF(ISNUMBER($AT421),$AT421/100,"")</f>
        <v/>
      </c>
      <c r="CZ421" s="82">
        <f>IF(ISNUMBER($AU421),$AU421/100,"")</f>
        <v/>
      </c>
      <c r="DA421" s="82">
        <f>IF(ISNUMBER($AV421),$AV421/100,"")</f>
        <v/>
      </c>
      <c r="DB421" s="82">
        <f>IF(ISNUMBER($AW421),$AW421/100,"")</f>
        <v/>
      </c>
      <c r="DC421" s="82">
        <f>IF(ISNUMBER($AX421),$AX421/100,"")</f>
        <v/>
      </c>
      <c r="DD421" s="77">
        <f>IFERROR(VALUE(LEFT(TRIM($AO421&amp;""),4)),"")</f>
        <v/>
      </c>
      <c r="DE421" s="78">
        <f>IF(AND($BY421=1,$BX421=1,OR(fDeal="All Deals",$BU421=fDeal),OR(fEntity="All Entities",$BV421=fEntity),OR(fPType="All Property Types",$BZ421=fPType),OR(fDefeased="Include",$CJ421=0)),1,0)</f>
        <v/>
      </c>
      <c r="DF421" s="83">
        <f>$DE421*N($I421)</f>
        <v/>
      </c>
      <c r="DG421" s="78">
        <f>IF($DE421=1,IF(COUNTIFS($F$8:$F421,$F421,$DE$8:$DE421,1)=1,1,0),0)</f>
        <v/>
      </c>
      <c r="DH421" s="83">
        <f>IF($DG421=1,SUMIFS($DF$8:$DF$1600,$F$8:$F$1600,$F421),0)</f>
        <v/>
      </c>
      <c r="DI421" s="78">
        <f>IF($DG421=1,COUNTIFS($F$8:$F$1600,$F421,$DE$8:$DE$1600,1),0)</f>
        <v/>
      </c>
      <c r="DJ421" s="84">
        <f>IF($DG421=1,$DH421+(100000-ROW())/mTieBreak,0)</f>
        <v/>
      </c>
    </row>
    <row r="422">
      <c r="B422" s="68" t="n">
        <v>36</v>
      </c>
      <c r="C422" s="69" t="inlineStr">
        <is>
          <t>UBS17C03</t>
        </is>
      </c>
      <c r="D422" s="69" t="inlineStr">
        <is>
          <t>36.000</t>
        </is>
      </c>
      <c r="E422" s="69" t="inlineStr">
        <is>
          <t>Westar MHC</t>
        </is>
      </c>
      <c r="F422" s="69" t="inlineStr">
        <is>
          <t>LNUBS17C03-36.000</t>
        </is>
      </c>
      <c r="G422" s="70" t="n"/>
      <c r="H422" s="71" t="n">
        <v>4000000</v>
      </c>
      <c r="I422" s="71" t="n">
        <v>3341074.870000001</v>
      </c>
      <c r="J422" s="72" t="n">
        <v>4.71</v>
      </c>
      <c r="K422" s="69" t="inlineStr">
        <is>
          <t>Fixed rate</t>
        </is>
      </c>
      <c r="L422" s="68" t="n">
        <v>120</v>
      </c>
      <c r="M422" s="68" t="n">
        <v>11</v>
      </c>
      <c r="N422" s="68" t="n">
        <v>360</v>
      </c>
      <c r="O422" s="68" t="n"/>
      <c r="P422" s="68" t="n"/>
      <c r="Q422" s="68" t="n">
        <v>109</v>
      </c>
      <c r="R422" s="69" t="n"/>
      <c r="S422" s="69" t="inlineStr">
        <is>
          <t>No</t>
        </is>
      </c>
      <c r="T422" s="73" t="n">
        <v>42948</v>
      </c>
      <c r="U422" s="73" t="n">
        <v>46600</v>
      </c>
      <c r="V422" s="73" t="n"/>
      <c r="W422" s="69" t="n"/>
      <c r="X422" s="69" t="inlineStr">
        <is>
          <t>Current</t>
        </is>
      </c>
      <c r="Y422" s="68" t="n"/>
      <c r="Z422" s="69" t="inlineStr">
        <is>
          <t>Full Defeasance</t>
        </is>
      </c>
      <c r="AA422" s="69" t="n"/>
      <c r="AB422" s="69" t="inlineStr">
        <is>
          <t>Never special serv</t>
        </is>
      </c>
      <c r="AC422" s="73" t="n"/>
      <c r="AD422" s="69" t="n"/>
      <c r="AE422" s="69" t="n"/>
      <c r="AF422" s="69" t="inlineStr">
        <is>
          <t>IN</t>
        </is>
      </c>
      <c r="AG422" s="69" t="inlineStr">
        <is>
          <t>Shelbyville</t>
        </is>
      </c>
      <c r="AH422" s="69" t="inlineStr">
        <is>
          <t>Indianapolis-Carmel-Greenwood, IN</t>
        </is>
      </c>
      <c r="AI422" s="69" t="inlineStr">
        <is>
          <t>Midwest / Central East</t>
        </is>
      </c>
      <c r="AJ422" s="69" t="inlineStr">
        <is>
          <t>MH</t>
        </is>
      </c>
      <c r="AK422" s="69" t="n"/>
      <c r="AL422" s="68" t="n">
        <v>1</v>
      </c>
      <c r="AM422" s="68" t="n">
        <v>197</v>
      </c>
      <c r="AN422" s="68" t="n"/>
      <c r="AO422" s="69" t="inlineStr">
        <is>
          <t>1989</t>
        </is>
      </c>
      <c r="AP422" s="70" t="n">
        <v>1989</v>
      </c>
      <c r="AQ422" s="74" t="n">
        <v>1.38</v>
      </c>
      <c r="AR422" s="74" t="n">
        <v>1.73</v>
      </c>
      <c r="AS422" s="74" t="n">
        <v>68.5</v>
      </c>
      <c r="AT422" s="74" t="n">
        <v>57.21</v>
      </c>
      <c r="AU422" s="74" t="n">
        <v>55.8</v>
      </c>
      <c r="AV422" s="74" t="n">
        <v>8.62505</v>
      </c>
      <c r="AW422" s="74" t="n">
        <v>12.886117994</v>
      </c>
      <c r="AX422" s="75" t="n">
        <v>97</v>
      </c>
      <c r="AY422" s="71" t="n">
        <v>5840000</v>
      </c>
      <c r="AZ422" s="71" t="n">
        <v>5840000</v>
      </c>
      <c r="BA422" s="71" t="n">
        <v>345002</v>
      </c>
      <c r="BB422" s="71" t="n">
        <v>430534.85</v>
      </c>
      <c r="BC422" s="69" t="inlineStr">
        <is>
          <t>Refinance</t>
        </is>
      </c>
      <c r="BD422" s="69" t="n"/>
      <c r="BE422" s="71" t="n"/>
      <c r="BF422" s="71" t="n"/>
      <c r="BG422" s="71" t="n"/>
      <c r="BH422" s="71" t="n">
        <v>0</v>
      </c>
      <c r="BI422" s="71" t="n">
        <v>0</v>
      </c>
      <c r="BJ422" s="69" t="inlineStr">
        <is>
          <t>N</t>
        </is>
      </c>
      <c r="BK422" s="69" t="n"/>
      <c r="BL422" s="75" t="n"/>
      <c r="BM422" s="73" t="n"/>
      <c r="BN422" s="69" t="inlineStr">
        <is>
          <t>James W. Soboleski; Benjamin Kadish</t>
        </is>
      </c>
      <c r="BO422" s="69" t="inlineStr">
        <is>
          <t>KeyBank</t>
        </is>
      </c>
      <c r="BP422" s="69" t="inlineStr">
        <is>
          <t>Midland Loan Services</t>
        </is>
      </c>
      <c r="BQ422" s="69" t="inlineStr">
        <is>
          <t>Midland Loan Services</t>
        </is>
      </c>
      <c r="BR422" s="69" t="n"/>
      <c r="BS422" s="73" t="n">
        <v>46276</v>
      </c>
      <c r="BU422" s="76">
        <f>IF($C422="","",IFERROR(INDEX(dmName,MATCH($C422,dmID,0)),"Unmapped"))</f>
        <v/>
      </c>
      <c r="BV422" s="76">
        <f>IF($C422="","",IFERROR(INDEX(dmEntity,MATCH($C422,dmID,0)),"Unmapped"))</f>
        <v/>
      </c>
      <c r="BW422" s="77">
        <f>IF($C422="","",IFERROR(INDEX(dmVintage,MATCH($C422,dmID,0)),""))</f>
        <v/>
      </c>
      <c r="BX422" s="78">
        <f>IFERROR(INDEX(dmInclude,MATCH($C422,dmID,0)),0)</f>
        <v/>
      </c>
      <c r="BY422" s="78">
        <f>IF(N($I422)&gt;0,1,0)</f>
        <v/>
      </c>
      <c r="BZ422" s="76">
        <f>IF($AJ422="","Other / Leased Fee",IFERROR(INDEX(mapPTGroup,MATCH(LEFT(TRIM($AJ422),2),mapPTCode,0)),"Other / Leased Fee"))</f>
        <v/>
      </c>
      <c r="CA422" s="76">
        <f>IF(TRIM($AF422&amp;"")="","NR",LEFT(TRIM($AF422),2))</f>
        <v/>
      </c>
      <c r="CB422" s="76">
        <f>IFERROR(LOOKUP(2,1/(LEFT(TRIM($AI422&amp;""),LEN(mapRegion))=mapRegion),mapRegion),"Not Reported")</f>
        <v/>
      </c>
      <c r="CC422" s="76">
        <f>IF($BY422=0,"",IF(TRIM($W422&amp;"")="REO","REO",IF(TRIM($W422&amp;"")="FC","Foreclosure",IF(TRIM($W422&amp;"")="90+","90+ Days Delinquent",IF(TRIM($W422&amp;"")="60","60 Days Delinquent",IF(TRIM($W422&amp;"")="30","30 Days Delinquent",IF($X422="Non-Performing Matured Balloon","Non-Performing Matured Balloon",IF(OR($X422="Late Payment But Less Than 30 Days Delinquent",LEFT($X422&amp;"",20)="Payment Not Received"),"Late / In Grace (&lt;30 Days)",IF($X422="Performing Matured Balloon","Performing Matured Balloon","Current")))))))))</f>
        <v/>
      </c>
      <c r="CD422" s="78">
        <f>IF(OR($CC422="REO",$CC422="Foreclosure",$CC422="90+ Days Delinquent",$CC422="60 Days Delinquent",$CC422="30 Days Delinquent",$CC422="Non-Performing Matured Balloon"),1,0)</f>
        <v/>
      </c>
      <c r="CE422" s="76">
        <f>IF($AB422="Currently special serv","Currently Specially Serviced",IF($AB422="Returned to master serv","Previously Specially Serviced","Never Specially Serviced"))</f>
        <v/>
      </c>
      <c r="CF422" s="78">
        <f>IF($CE422="Currently Specially Serviced",1,0)</f>
        <v/>
      </c>
      <c r="CG422" s="76">
        <f>IF($AA422="Yes","Currently on Watchlist",IF($AA422="Previously","Previously on Watchlist","Never on Watchlist"))</f>
        <v/>
      </c>
      <c r="CH422" s="78">
        <f>IF($CG422="Currently on Watchlist",1,0)</f>
        <v/>
      </c>
      <c r="CI422" s="76">
        <f>IF($Z422="Full Defeasance","Fully Defeased",IF($Z422="Portion Of Loan Previously Defeased","Partially Defeased",IF($Z422="Defeasance Not Allowable","Not Defeased (Not Permitted)","Not Defeased")))</f>
        <v/>
      </c>
      <c r="CJ422" s="78">
        <f>IF($CI422="Fully Defeased",1,0)</f>
        <v/>
      </c>
      <c r="CK422" s="76">
        <f>IF($R422="IO","Full IO",IF(LEFT($R422&amp;"",7)="IO then","Partial IO","Amortizing"))</f>
        <v/>
      </c>
      <c r="CL422" s="78">
        <f>IF($CK422="Full IO",1,0)</f>
        <v/>
      </c>
      <c r="CM422" s="78">
        <f>IF($CK422="Partial IO",1,0)</f>
        <v/>
      </c>
      <c r="CN422" s="76">
        <f>IF(LEFT($F422&amp;"",10)="SPLIT_LOAN","Pari Passu Split","Standalone")</f>
        <v/>
      </c>
      <c r="CO422" s="78">
        <f>IF($CN422="Pari Passu Split",1,0)</f>
        <v/>
      </c>
      <c r="CP422" s="77">
        <f>IF(ISNUMBER($T422),YEAR($T422),"")</f>
        <v/>
      </c>
      <c r="CQ422" s="79">
        <f>IF(ISNUMBER($V422),$V422,IF(ISNUMBER($U422),$U422,""))</f>
        <v/>
      </c>
      <c r="CR422" s="77">
        <f>IF(ISNUMBER($CQ422),YEAR($CQ422),"")</f>
        <v/>
      </c>
      <c r="CS422" s="78">
        <f>IF(ISNUMBER($M422),MAX(0,$M422),IF(TRIM($M422&amp;"")="matured",0,""))</f>
        <v/>
      </c>
      <c r="CT422" s="78">
        <f>IF(AND(ISNUMBER($CS422),N($CS422)&lt;=mMatWindow),1,0)</f>
        <v/>
      </c>
      <c r="CU422" s="80">
        <f>IF(ISNUMBER($J422),$J422/100,"")</f>
        <v/>
      </c>
      <c r="CV422" s="81">
        <f>IF(ISNUMBER($AQ422),$AQ422,"")</f>
        <v/>
      </c>
      <c r="CW422" s="81">
        <f>IF(ISNUMBER($AR422),$AR422,"")</f>
        <v/>
      </c>
      <c r="CX422" s="82">
        <f>IF(ISNUMBER($AS422),$AS422/100,"")</f>
        <v/>
      </c>
      <c r="CY422" s="82">
        <f>IF(ISNUMBER($AT422),$AT422/100,"")</f>
        <v/>
      </c>
      <c r="CZ422" s="82">
        <f>IF(ISNUMBER($AU422),$AU422/100,"")</f>
        <v/>
      </c>
      <c r="DA422" s="82">
        <f>IF(ISNUMBER($AV422),$AV422/100,"")</f>
        <v/>
      </c>
      <c r="DB422" s="82">
        <f>IF(ISNUMBER($AW422),$AW422/100,"")</f>
        <v/>
      </c>
      <c r="DC422" s="82">
        <f>IF(ISNUMBER($AX422),$AX422/100,"")</f>
        <v/>
      </c>
      <c r="DD422" s="77">
        <f>IFERROR(VALUE(LEFT(TRIM($AO422&amp;""),4)),"")</f>
        <v/>
      </c>
      <c r="DE422" s="78">
        <f>IF(AND($BY422=1,$BX422=1,OR(fDeal="All Deals",$BU422=fDeal),OR(fEntity="All Entities",$BV422=fEntity),OR(fPType="All Property Types",$BZ422=fPType),OR(fDefeased="Include",$CJ422=0)),1,0)</f>
        <v/>
      </c>
      <c r="DF422" s="83">
        <f>$DE422*N($I422)</f>
        <v/>
      </c>
      <c r="DG422" s="78">
        <f>IF($DE422=1,IF(COUNTIFS($F$8:$F422,$F422,$DE$8:$DE422,1)=1,1,0),0)</f>
        <v/>
      </c>
      <c r="DH422" s="83">
        <f>IF($DG422=1,SUMIFS($DF$8:$DF$1600,$F$8:$F$1600,$F422),0)</f>
        <v/>
      </c>
      <c r="DI422" s="78">
        <f>IF($DG422=1,COUNTIFS($F$8:$F$1600,$F422,$DE$8:$DE$1600,1),0)</f>
        <v/>
      </c>
      <c r="DJ422" s="84">
        <f>IF($DG422=1,$DH422+(100000-ROW())/mTieBreak,0)</f>
        <v/>
      </c>
    </row>
    <row r="423">
      <c r="B423" s="68" t="n">
        <v>37</v>
      </c>
      <c r="C423" s="69" t="inlineStr">
        <is>
          <t>UBS17C03</t>
        </is>
      </c>
      <c r="D423" s="69" t="inlineStr">
        <is>
          <t>37.000</t>
        </is>
      </c>
      <c r="E423" s="69" t="inlineStr">
        <is>
          <t>La Quinta Fort Worth</t>
        </is>
      </c>
      <c r="F423" s="69" t="inlineStr">
        <is>
          <t>LNUBS17C03-37.000</t>
        </is>
      </c>
      <c r="G423" s="70" t="n"/>
      <c r="H423" s="71" t="n">
        <v>3800000</v>
      </c>
      <c r="I423" s="71" t="n">
        <v>2965215.6899998</v>
      </c>
      <c r="J423" s="72" t="n">
        <v>5.15</v>
      </c>
      <c r="K423" s="69" t="inlineStr">
        <is>
          <t>Fixed rate</t>
        </is>
      </c>
      <c r="L423" s="68" t="n">
        <v>120</v>
      </c>
      <c r="M423" s="68" t="n">
        <v>11</v>
      </c>
      <c r="N423" s="68" t="n">
        <v>300</v>
      </c>
      <c r="O423" s="68" t="n"/>
      <c r="P423" s="68" t="n"/>
      <c r="Q423" s="68" t="n">
        <v>109</v>
      </c>
      <c r="R423" s="69" t="n"/>
      <c r="S423" s="69" t="inlineStr">
        <is>
          <t>No</t>
        </is>
      </c>
      <c r="T423" s="73" t="n">
        <v>42948</v>
      </c>
      <c r="U423" s="73" t="n">
        <v>46600</v>
      </c>
      <c r="V423" s="73" t="n"/>
      <c r="W423" s="69" t="n"/>
      <c r="X423" s="69" t="inlineStr">
        <is>
          <t>Current</t>
        </is>
      </c>
      <c r="Y423" s="68" t="n"/>
      <c r="Z423" s="69" t="inlineStr">
        <is>
          <t>Full Defeasance</t>
        </is>
      </c>
      <c r="AA423" s="69" t="inlineStr">
        <is>
          <t>Yes</t>
        </is>
      </c>
      <c r="AB423" s="69" t="inlineStr">
        <is>
          <t>Returned to master serv</t>
        </is>
      </c>
      <c r="AC423" s="73" t="n"/>
      <c r="AD423" s="69" t="inlineStr">
        <is>
          <t>Other</t>
        </is>
      </c>
      <c r="AE423" s="69" t="inlineStr">
        <is>
          <t>Resolved</t>
        </is>
      </c>
      <c r="AF423" s="69" t="inlineStr">
        <is>
          <t>TX</t>
        </is>
      </c>
      <c r="AG423" s="69" t="inlineStr">
        <is>
          <t>Fort Worth</t>
        </is>
      </c>
      <c r="AH423" s="69" t="inlineStr">
        <is>
          <t>Dallas-Fort Worth-Arlington, TX</t>
        </is>
      </c>
      <c r="AI423" s="69" t="inlineStr">
        <is>
          <t>South / Central West</t>
        </is>
      </c>
      <c r="AJ423" s="69" t="inlineStr">
        <is>
          <t>HT</t>
        </is>
      </c>
      <c r="AK423" s="69" t="inlineStr">
        <is>
          <t>Limited Service</t>
        </is>
      </c>
      <c r="AL423" s="68" t="n">
        <v>1</v>
      </c>
      <c r="AM423" s="68" t="n">
        <v>71</v>
      </c>
      <c r="AN423" s="68" t="n"/>
      <c r="AO423" s="69" t="inlineStr">
        <is>
          <t>2009</t>
        </is>
      </c>
      <c r="AP423" s="70" t="n">
        <v>2017</v>
      </c>
      <c r="AQ423" s="74" t="n">
        <v>1.76</v>
      </c>
      <c r="AR423" s="74" t="n">
        <v>0.27</v>
      </c>
      <c r="AS423" s="74" t="n">
        <v>59.4</v>
      </c>
      <c r="AT423" s="74" t="n">
        <v>46.33</v>
      </c>
      <c r="AU423" s="74" t="n">
        <v>44.6</v>
      </c>
      <c r="AV423" s="74" t="n">
        <v>12.531115263</v>
      </c>
      <c r="AW423" s="74" t="n">
        <v>2.45725902</v>
      </c>
      <c r="AX423" s="75" t="n">
        <v>40</v>
      </c>
      <c r="AY423" s="71" t="n">
        <v>6400000</v>
      </c>
      <c r="AZ423" s="71" t="n">
        <v>6400000</v>
      </c>
      <c r="BA423" s="71" t="n">
        <v>476182.38</v>
      </c>
      <c r="BB423" s="71" t="n">
        <v>72863.03</v>
      </c>
      <c r="BC423" s="69" t="inlineStr">
        <is>
          <t>Refinance</t>
        </is>
      </c>
      <c r="BD423" s="69" t="inlineStr">
        <is>
          <t>N</t>
        </is>
      </c>
      <c r="BE423" s="71" t="n"/>
      <c r="BF423" s="71" t="n"/>
      <c r="BG423" s="71" t="n"/>
      <c r="BH423" s="71" t="n">
        <v>0</v>
      </c>
      <c r="BI423" s="71" t="n">
        <v>0</v>
      </c>
      <c r="BJ423" s="69" t="inlineStr">
        <is>
          <t>N</t>
        </is>
      </c>
      <c r="BK423" s="69" t="n"/>
      <c r="BL423" s="75" t="n"/>
      <c r="BM423" s="73" t="n"/>
      <c r="BN423" s="69" t="inlineStr">
        <is>
          <t>Nirmal N. Patel; BL Patel; Kishan Amin</t>
        </is>
      </c>
      <c r="BO423" s="69" t="inlineStr">
        <is>
          <t>Societe Generale</t>
        </is>
      </c>
      <c r="BP423" s="69" t="inlineStr">
        <is>
          <t>Midland Loan Services</t>
        </is>
      </c>
      <c r="BQ423" s="69" t="inlineStr">
        <is>
          <t>Midland Loan Services</t>
        </is>
      </c>
      <c r="BR423" s="69" t="n"/>
      <c r="BS423" s="73" t="n">
        <v>46276</v>
      </c>
      <c r="BU423" s="76">
        <f>IF($C423="","",IFERROR(INDEX(dmName,MATCH($C423,dmID,0)),"Unmapped"))</f>
        <v/>
      </c>
      <c r="BV423" s="76">
        <f>IF($C423="","",IFERROR(INDEX(dmEntity,MATCH($C423,dmID,0)),"Unmapped"))</f>
        <v/>
      </c>
      <c r="BW423" s="77">
        <f>IF($C423="","",IFERROR(INDEX(dmVintage,MATCH($C423,dmID,0)),""))</f>
        <v/>
      </c>
      <c r="BX423" s="78">
        <f>IFERROR(INDEX(dmInclude,MATCH($C423,dmID,0)),0)</f>
        <v/>
      </c>
      <c r="BY423" s="78">
        <f>IF(N($I423)&gt;0,1,0)</f>
        <v/>
      </c>
      <c r="BZ423" s="76">
        <f>IF($AJ423="","Other / Leased Fee",IFERROR(INDEX(mapPTGroup,MATCH(LEFT(TRIM($AJ423),2),mapPTCode,0)),"Other / Leased Fee"))</f>
        <v/>
      </c>
      <c r="CA423" s="76">
        <f>IF(TRIM($AF423&amp;"")="","NR",LEFT(TRIM($AF423),2))</f>
        <v/>
      </c>
      <c r="CB423" s="76">
        <f>IFERROR(LOOKUP(2,1/(LEFT(TRIM($AI423&amp;""),LEN(mapRegion))=mapRegion),mapRegion),"Not Reported")</f>
        <v/>
      </c>
      <c r="CC423" s="76">
        <f>IF($BY423=0,"",IF(TRIM($W423&amp;"")="REO","REO",IF(TRIM($W423&amp;"")="FC","Foreclosure",IF(TRIM($W423&amp;"")="90+","90+ Days Delinquent",IF(TRIM($W423&amp;"")="60","60 Days Delinquent",IF(TRIM($W423&amp;"")="30","30 Days Delinquent",IF($X423="Non-Performing Matured Balloon","Non-Performing Matured Balloon",IF(OR($X423="Late Payment But Less Than 30 Days Delinquent",LEFT($X423&amp;"",20)="Payment Not Received"),"Late / In Grace (&lt;30 Days)",IF($X423="Performing Matured Balloon","Performing Matured Balloon","Current")))))))))</f>
        <v/>
      </c>
      <c r="CD423" s="78">
        <f>IF(OR($CC423="REO",$CC423="Foreclosure",$CC423="90+ Days Delinquent",$CC423="60 Days Delinquent",$CC423="30 Days Delinquent",$CC423="Non-Performing Matured Balloon"),1,0)</f>
        <v/>
      </c>
      <c r="CE423" s="76">
        <f>IF($AB423="Currently special serv","Currently Specially Serviced",IF($AB423="Returned to master serv","Previously Specially Serviced","Never Specially Serviced"))</f>
        <v/>
      </c>
      <c r="CF423" s="78">
        <f>IF($CE423="Currently Specially Serviced",1,0)</f>
        <v/>
      </c>
      <c r="CG423" s="76">
        <f>IF($AA423="Yes","Currently on Watchlist",IF($AA423="Previously","Previously on Watchlist","Never on Watchlist"))</f>
        <v/>
      </c>
      <c r="CH423" s="78">
        <f>IF($CG423="Currently on Watchlist",1,0)</f>
        <v/>
      </c>
      <c r="CI423" s="76">
        <f>IF($Z423="Full Defeasance","Fully Defeased",IF($Z423="Portion Of Loan Previously Defeased","Partially Defeased",IF($Z423="Defeasance Not Allowable","Not Defeased (Not Permitted)","Not Defeased")))</f>
        <v/>
      </c>
      <c r="CJ423" s="78">
        <f>IF($CI423="Fully Defeased",1,0)</f>
        <v/>
      </c>
      <c r="CK423" s="76">
        <f>IF($R423="IO","Full IO",IF(LEFT($R423&amp;"",7)="IO then","Partial IO","Amortizing"))</f>
        <v/>
      </c>
      <c r="CL423" s="78">
        <f>IF($CK423="Full IO",1,0)</f>
        <v/>
      </c>
      <c r="CM423" s="78">
        <f>IF($CK423="Partial IO",1,0)</f>
        <v/>
      </c>
      <c r="CN423" s="76">
        <f>IF(LEFT($F423&amp;"",10)="SPLIT_LOAN","Pari Passu Split","Standalone")</f>
        <v/>
      </c>
      <c r="CO423" s="78">
        <f>IF($CN423="Pari Passu Split",1,0)</f>
        <v/>
      </c>
      <c r="CP423" s="77">
        <f>IF(ISNUMBER($T423),YEAR($T423),"")</f>
        <v/>
      </c>
      <c r="CQ423" s="79">
        <f>IF(ISNUMBER($V423),$V423,IF(ISNUMBER($U423),$U423,""))</f>
        <v/>
      </c>
      <c r="CR423" s="77">
        <f>IF(ISNUMBER($CQ423),YEAR($CQ423),"")</f>
        <v/>
      </c>
      <c r="CS423" s="78">
        <f>IF(ISNUMBER($M423),MAX(0,$M423),IF(TRIM($M423&amp;"")="matured",0,""))</f>
        <v/>
      </c>
      <c r="CT423" s="78">
        <f>IF(AND(ISNUMBER($CS423),N($CS423)&lt;=mMatWindow),1,0)</f>
        <v/>
      </c>
      <c r="CU423" s="80">
        <f>IF(ISNUMBER($J423),$J423/100,"")</f>
        <v/>
      </c>
      <c r="CV423" s="81">
        <f>IF(ISNUMBER($AQ423),$AQ423,"")</f>
        <v/>
      </c>
      <c r="CW423" s="81">
        <f>IF(ISNUMBER($AR423),$AR423,"")</f>
        <v/>
      </c>
      <c r="CX423" s="82">
        <f>IF(ISNUMBER($AS423),$AS423/100,"")</f>
        <v/>
      </c>
      <c r="CY423" s="82">
        <f>IF(ISNUMBER($AT423),$AT423/100,"")</f>
        <v/>
      </c>
      <c r="CZ423" s="82">
        <f>IF(ISNUMBER($AU423),$AU423/100,"")</f>
        <v/>
      </c>
      <c r="DA423" s="82">
        <f>IF(ISNUMBER($AV423),$AV423/100,"")</f>
        <v/>
      </c>
      <c r="DB423" s="82">
        <f>IF(ISNUMBER($AW423),$AW423/100,"")</f>
        <v/>
      </c>
      <c r="DC423" s="82">
        <f>IF(ISNUMBER($AX423),$AX423/100,"")</f>
        <v/>
      </c>
      <c r="DD423" s="77">
        <f>IFERROR(VALUE(LEFT(TRIM($AO423&amp;""),4)),"")</f>
        <v/>
      </c>
      <c r="DE423" s="78">
        <f>IF(AND($BY423=1,$BX423=1,OR(fDeal="All Deals",$BU423=fDeal),OR(fEntity="All Entities",$BV423=fEntity),OR(fPType="All Property Types",$BZ423=fPType),OR(fDefeased="Include",$CJ423=0)),1,0)</f>
        <v/>
      </c>
      <c r="DF423" s="83">
        <f>$DE423*N($I423)</f>
        <v/>
      </c>
      <c r="DG423" s="78">
        <f>IF($DE423=1,IF(COUNTIFS($F$8:$F423,$F423,$DE$8:$DE423,1)=1,1,0),0)</f>
        <v/>
      </c>
      <c r="DH423" s="83">
        <f>IF($DG423=1,SUMIFS($DF$8:$DF$1600,$F$8:$F$1600,$F423),0)</f>
        <v/>
      </c>
      <c r="DI423" s="78">
        <f>IF($DG423=1,COUNTIFS($F$8:$F$1600,$F423,$DE$8:$DE$1600,1),0)</f>
        <v/>
      </c>
      <c r="DJ423" s="84">
        <f>IF($DG423=1,$DH423+(100000-ROW())/mTieBreak,0)</f>
        <v/>
      </c>
    </row>
    <row r="424">
      <c r="B424" s="68" t="n">
        <v>38</v>
      </c>
      <c r="C424" s="69" t="inlineStr">
        <is>
          <t>UBS17C03</t>
        </is>
      </c>
      <c r="D424" s="69" t="inlineStr">
        <is>
          <t>38.000</t>
        </is>
      </c>
      <c r="E424" s="69" t="inlineStr">
        <is>
          <t>Shops at Oro Vista</t>
        </is>
      </c>
      <c r="F424" s="69" t="inlineStr">
        <is>
          <t>LNUBS17C03-38.000</t>
        </is>
      </c>
      <c r="G424" s="70" t="n"/>
      <c r="H424" s="71" t="n">
        <v>3500000</v>
      </c>
      <c r="I424" s="71" t="n">
        <v>2929708.3299995</v>
      </c>
      <c r="J424" s="72" t="n">
        <v>4.85</v>
      </c>
      <c r="K424" s="69" t="inlineStr">
        <is>
          <t>Fixed rate</t>
        </is>
      </c>
      <c r="L424" s="68" t="n">
        <v>120</v>
      </c>
      <c r="M424" s="68" t="n">
        <v>10</v>
      </c>
      <c r="N424" s="68" t="n">
        <v>360</v>
      </c>
      <c r="O424" s="68" t="n"/>
      <c r="P424" s="68" t="n"/>
      <c r="Q424" s="68" t="n">
        <v>110</v>
      </c>
      <c r="R424" s="69" t="n"/>
      <c r="S424" s="69" t="inlineStr">
        <is>
          <t>No</t>
        </is>
      </c>
      <c r="T424" s="73" t="n">
        <v>42917</v>
      </c>
      <c r="U424" s="73" t="n">
        <v>46569</v>
      </c>
      <c r="V424" s="73" t="n"/>
      <c r="W424" s="69" t="n"/>
      <c r="X424" s="69" t="inlineStr">
        <is>
          <t>Current</t>
        </is>
      </c>
      <c r="Y424" s="68" t="n"/>
      <c r="Z424" s="69" t="inlineStr">
        <is>
          <t>Defeasance Not Allowable</t>
        </is>
      </c>
      <c r="AA424" s="69" t="inlineStr">
        <is>
          <t>Previously</t>
        </is>
      </c>
      <c r="AB424" s="69" t="inlineStr">
        <is>
          <t>Never special serv</t>
        </is>
      </c>
      <c r="AC424" s="73" t="n"/>
      <c r="AD424" s="69" t="n"/>
      <c r="AE424" s="69" t="n"/>
      <c r="AF424" s="69" t="inlineStr">
        <is>
          <t>AZ</t>
        </is>
      </c>
      <c r="AG424" s="69" t="inlineStr">
        <is>
          <t>Oro Valley</t>
        </is>
      </c>
      <c r="AH424" s="69" t="inlineStr">
        <is>
          <t>Tucson, AZ</t>
        </is>
      </c>
      <c r="AI424" s="69" t="inlineStr">
        <is>
          <t>West / Mountain</t>
        </is>
      </c>
      <c r="AJ424" s="69" t="inlineStr">
        <is>
          <t>RT</t>
        </is>
      </c>
      <c r="AK424" s="69" t="inlineStr">
        <is>
          <t>Unanchored</t>
        </is>
      </c>
      <c r="AL424" s="68" t="n">
        <v>1</v>
      </c>
      <c r="AM424" s="68" t="n"/>
      <c r="AN424" s="68" t="n">
        <v>24672</v>
      </c>
      <c r="AO424" s="69" t="inlineStr">
        <is>
          <t>2006</t>
        </is>
      </c>
      <c r="AP424" s="70" t="n">
        <v>2006</v>
      </c>
      <c r="AQ424" s="74" t="n">
        <v>1.71</v>
      </c>
      <c r="AR424" s="74" t="n">
        <v>2.54</v>
      </c>
      <c r="AS424" s="74" t="n">
        <v>57.6</v>
      </c>
      <c r="AT424" s="74" t="n">
        <v>48.27</v>
      </c>
      <c r="AU424" s="74" t="n">
        <v>47.2</v>
      </c>
      <c r="AV424" s="74" t="n">
        <v>10.832142857</v>
      </c>
      <c r="AW424" s="74" t="n">
        <v>19.210444748</v>
      </c>
      <c r="AX424" s="75" t="n">
        <v>89</v>
      </c>
      <c r="AY424" s="71" t="n">
        <v>6070000</v>
      </c>
      <c r="AZ424" s="71" t="n">
        <v>6070000</v>
      </c>
      <c r="BA424" s="71" t="n">
        <v>379125</v>
      </c>
      <c r="BB424" s="71" t="n">
        <v>562810</v>
      </c>
      <c r="BC424" s="69" t="inlineStr">
        <is>
          <t>Refinance</t>
        </is>
      </c>
      <c r="BD424" s="69" t="n"/>
      <c r="BE424" s="71" t="n"/>
      <c r="BF424" s="71" t="n"/>
      <c r="BG424" s="71" t="n"/>
      <c r="BH424" s="71" t="n">
        <v>0</v>
      </c>
      <c r="BI424" s="71" t="n">
        <v>0</v>
      </c>
      <c r="BJ424" s="69" t="inlineStr">
        <is>
          <t>N</t>
        </is>
      </c>
      <c r="BK424" s="69" t="inlineStr">
        <is>
          <t>NORTHWEST ALLIED PHYSICIANS</t>
        </is>
      </c>
      <c r="BL424" s="75" t="n">
        <v>25.36</v>
      </c>
      <c r="BM424" s="73" t="n">
        <v>47483</v>
      </c>
      <c r="BN424" s="69" t="inlineStr">
        <is>
          <t>Norman Beznos and the Norman Beznos Revocable Trust</t>
        </is>
      </c>
      <c r="BO424" s="69" t="inlineStr">
        <is>
          <t>KeyBank</t>
        </is>
      </c>
      <c r="BP424" s="69" t="inlineStr">
        <is>
          <t>Midland Loan Services</t>
        </is>
      </c>
      <c r="BQ424" s="69" t="inlineStr">
        <is>
          <t>Midland Loan Services</t>
        </is>
      </c>
      <c r="BR424" s="69" t="n"/>
      <c r="BS424" s="73" t="n">
        <v>46276</v>
      </c>
      <c r="BU424" s="76">
        <f>IF($C424="","",IFERROR(INDEX(dmName,MATCH($C424,dmID,0)),"Unmapped"))</f>
        <v/>
      </c>
      <c r="BV424" s="76">
        <f>IF($C424="","",IFERROR(INDEX(dmEntity,MATCH($C424,dmID,0)),"Unmapped"))</f>
        <v/>
      </c>
      <c r="BW424" s="77">
        <f>IF($C424="","",IFERROR(INDEX(dmVintage,MATCH($C424,dmID,0)),""))</f>
        <v/>
      </c>
      <c r="BX424" s="78">
        <f>IFERROR(INDEX(dmInclude,MATCH($C424,dmID,0)),0)</f>
        <v/>
      </c>
      <c r="BY424" s="78">
        <f>IF(N($I424)&gt;0,1,0)</f>
        <v/>
      </c>
      <c r="BZ424" s="76">
        <f>IF($AJ424="","Other / Leased Fee",IFERROR(INDEX(mapPTGroup,MATCH(LEFT(TRIM($AJ424),2),mapPTCode,0)),"Other / Leased Fee"))</f>
        <v/>
      </c>
      <c r="CA424" s="76">
        <f>IF(TRIM($AF424&amp;"")="","NR",LEFT(TRIM($AF424),2))</f>
        <v/>
      </c>
      <c r="CB424" s="76">
        <f>IFERROR(LOOKUP(2,1/(LEFT(TRIM($AI424&amp;""),LEN(mapRegion))=mapRegion),mapRegion),"Not Reported")</f>
        <v/>
      </c>
      <c r="CC424" s="76">
        <f>IF($BY424=0,"",IF(TRIM($W424&amp;"")="REO","REO",IF(TRIM($W424&amp;"")="FC","Foreclosure",IF(TRIM($W424&amp;"")="90+","90+ Days Delinquent",IF(TRIM($W424&amp;"")="60","60 Days Delinquent",IF(TRIM($W424&amp;"")="30","30 Days Delinquent",IF($X424="Non-Performing Matured Balloon","Non-Performing Matured Balloon",IF(OR($X424="Late Payment But Less Than 30 Days Delinquent",LEFT($X424&amp;"",20)="Payment Not Received"),"Late / In Grace (&lt;30 Days)",IF($X424="Performing Matured Balloon","Performing Matured Balloon","Current")))))))))</f>
        <v/>
      </c>
      <c r="CD424" s="78">
        <f>IF(OR($CC424="REO",$CC424="Foreclosure",$CC424="90+ Days Delinquent",$CC424="60 Days Delinquent",$CC424="30 Days Delinquent",$CC424="Non-Performing Matured Balloon"),1,0)</f>
        <v/>
      </c>
      <c r="CE424" s="76">
        <f>IF($AB424="Currently special serv","Currently Specially Serviced",IF($AB424="Returned to master serv","Previously Specially Serviced","Never Specially Serviced"))</f>
        <v/>
      </c>
      <c r="CF424" s="78">
        <f>IF($CE424="Currently Specially Serviced",1,0)</f>
        <v/>
      </c>
      <c r="CG424" s="76">
        <f>IF($AA424="Yes","Currently on Watchlist",IF($AA424="Previously","Previously on Watchlist","Never on Watchlist"))</f>
        <v/>
      </c>
      <c r="CH424" s="78">
        <f>IF($CG424="Currently on Watchlist",1,0)</f>
        <v/>
      </c>
      <c r="CI424" s="76">
        <f>IF($Z424="Full Defeasance","Fully Defeased",IF($Z424="Portion Of Loan Previously Defeased","Partially Defeased",IF($Z424="Defeasance Not Allowable","Not Defeased (Not Permitted)","Not Defeased")))</f>
        <v/>
      </c>
      <c r="CJ424" s="78">
        <f>IF($CI424="Fully Defeased",1,0)</f>
        <v/>
      </c>
      <c r="CK424" s="76">
        <f>IF($R424="IO","Full IO",IF(LEFT($R424&amp;"",7)="IO then","Partial IO","Amortizing"))</f>
        <v/>
      </c>
      <c r="CL424" s="78">
        <f>IF($CK424="Full IO",1,0)</f>
        <v/>
      </c>
      <c r="CM424" s="78">
        <f>IF($CK424="Partial IO",1,0)</f>
        <v/>
      </c>
      <c r="CN424" s="76">
        <f>IF(LEFT($F424&amp;"",10)="SPLIT_LOAN","Pari Passu Split","Standalone")</f>
        <v/>
      </c>
      <c r="CO424" s="78">
        <f>IF($CN424="Pari Passu Split",1,0)</f>
        <v/>
      </c>
      <c r="CP424" s="77">
        <f>IF(ISNUMBER($T424),YEAR($T424),"")</f>
        <v/>
      </c>
      <c r="CQ424" s="79">
        <f>IF(ISNUMBER($V424),$V424,IF(ISNUMBER($U424),$U424,""))</f>
        <v/>
      </c>
      <c r="CR424" s="77">
        <f>IF(ISNUMBER($CQ424),YEAR($CQ424),"")</f>
        <v/>
      </c>
      <c r="CS424" s="78">
        <f>IF(ISNUMBER($M424),MAX(0,$M424),IF(TRIM($M424&amp;"")="matured",0,""))</f>
        <v/>
      </c>
      <c r="CT424" s="78">
        <f>IF(AND(ISNUMBER($CS424),N($CS424)&lt;=mMatWindow),1,0)</f>
        <v/>
      </c>
      <c r="CU424" s="80">
        <f>IF(ISNUMBER($J424),$J424/100,"")</f>
        <v/>
      </c>
      <c r="CV424" s="81">
        <f>IF(ISNUMBER($AQ424),$AQ424,"")</f>
        <v/>
      </c>
      <c r="CW424" s="81">
        <f>IF(ISNUMBER($AR424),$AR424,"")</f>
        <v/>
      </c>
      <c r="CX424" s="82">
        <f>IF(ISNUMBER($AS424),$AS424/100,"")</f>
        <v/>
      </c>
      <c r="CY424" s="82">
        <f>IF(ISNUMBER($AT424),$AT424/100,"")</f>
        <v/>
      </c>
      <c r="CZ424" s="82">
        <f>IF(ISNUMBER($AU424),$AU424/100,"")</f>
        <v/>
      </c>
      <c r="DA424" s="82">
        <f>IF(ISNUMBER($AV424),$AV424/100,"")</f>
        <v/>
      </c>
      <c r="DB424" s="82">
        <f>IF(ISNUMBER($AW424),$AW424/100,"")</f>
        <v/>
      </c>
      <c r="DC424" s="82">
        <f>IF(ISNUMBER($AX424),$AX424/100,"")</f>
        <v/>
      </c>
      <c r="DD424" s="77">
        <f>IFERROR(VALUE(LEFT(TRIM($AO424&amp;""),4)),"")</f>
        <v/>
      </c>
      <c r="DE424" s="78">
        <f>IF(AND($BY424=1,$BX424=1,OR(fDeal="All Deals",$BU424=fDeal),OR(fEntity="All Entities",$BV424=fEntity),OR(fPType="All Property Types",$BZ424=fPType),OR(fDefeased="Include",$CJ424=0)),1,0)</f>
        <v/>
      </c>
      <c r="DF424" s="83">
        <f>$DE424*N($I424)</f>
        <v/>
      </c>
      <c r="DG424" s="78">
        <f>IF($DE424=1,IF(COUNTIFS($F$8:$F424,$F424,$DE$8:$DE424,1)=1,1,0),0)</f>
        <v/>
      </c>
      <c r="DH424" s="83">
        <f>IF($DG424=1,SUMIFS($DF$8:$DF$1600,$F$8:$F$1600,$F424),0)</f>
        <v/>
      </c>
      <c r="DI424" s="78">
        <f>IF($DG424=1,COUNTIFS($F$8:$F$1600,$F424,$DE$8:$DE$1600,1),0)</f>
        <v/>
      </c>
      <c r="DJ424" s="84">
        <f>IF($DG424=1,$DH424+(100000-ROW())/mTieBreak,0)</f>
        <v/>
      </c>
    </row>
    <row r="425">
      <c r="B425" s="68" t="n">
        <v>39</v>
      </c>
      <c r="C425" s="69" t="inlineStr">
        <is>
          <t>UBS17C03</t>
        </is>
      </c>
      <c r="D425" s="69" t="inlineStr">
        <is>
          <t>39.000</t>
        </is>
      </c>
      <c r="E425" s="69" t="inlineStr">
        <is>
          <t>5544 Greenwich Road</t>
        </is>
      </c>
      <c r="F425" s="69" t="inlineStr">
        <is>
          <t>LNUBS17C03-39.000</t>
        </is>
      </c>
      <c r="G425" s="70" t="n"/>
      <c r="H425" s="71" t="n">
        <v>3175000</v>
      </c>
      <c r="I425" s="71" t="n">
        <v>2471187.859998825</v>
      </c>
      <c r="J425" s="72" t="n">
        <v>5.071</v>
      </c>
      <c r="K425" s="69" t="inlineStr">
        <is>
          <t>Fixed rate</t>
        </is>
      </c>
      <c r="L425" s="68" t="n">
        <v>120</v>
      </c>
      <c r="M425" s="68" t="n">
        <v>11</v>
      </c>
      <c r="N425" s="68" t="n">
        <v>300</v>
      </c>
      <c r="O425" s="68" t="n"/>
      <c r="P425" s="68" t="n"/>
      <c r="Q425" s="68" t="n">
        <v>109</v>
      </c>
      <c r="R425" s="69" t="n"/>
      <c r="S425" s="69" t="inlineStr">
        <is>
          <t>No</t>
        </is>
      </c>
      <c r="T425" s="73" t="n">
        <v>42948</v>
      </c>
      <c r="U425" s="73" t="n">
        <v>46600</v>
      </c>
      <c r="V425" s="73" t="n"/>
      <c r="W425" s="69" t="n"/>
      <c r="X425" s="69" t="inlineStr">
        <is>
          <t>Current</t>
        </is>
      </c>
      <c r="Y425" s="68" t="n"/>
      <c r="Z425" s="69" t="inlineStr">
        <is>
          <t>No Defeasance Occurred</t>
        </is>
      </c>
      <c r="AA425" s="69" t="inlineStr">
        <is>
          <t>Yes</t>
        </is>
      </c>
      <c r="AB425" s="69" t="inlineStr">
        <is>
          <t>Never special serv</t>
        </is>
      </c>
      <c r="AC425" s="73" t="n"/>
      <c r="AD425" s="69" t="n"/>
      <c r="AE425" s="69" t="n"/>
      <c r="AF425" s="69" t="inlineStr">
        <is>
          <t>VA</t>
        </is>
      </c>
      <c r="AG425" s="69" t="inlineStr">
        <is>
          <t>Virginia Beach</t>
        </is>
      </c>
      <c r="AH425" s="69" t="inlineStr">
        <is>
          <t>Virginia Beach-Chesapeake-Norfolk, VA-NC</t>
        </is>
      </c>
      <c r="AI425" s="69" t="inlineStr">
        <is>
          <t>South / Atlantic</t>
        </is>
      </c>
      <c r="AJ425" s="69" t="inlineStr">
        <is>
          <t>OF</t>
        </is>
      </c>
      <c r="AK425" s="69" t="inlineStr">
        <is>
          <t>Suburban</t>
        </is>
      </c>
      <c r="AL425" s="68" t="n">
        <v>1</v>
      </c>
      <c r="AM425" s="68" t="n"/>
      <c r="AN425" s="68" t="n">
        <v>46710</v>
      </c>
      <c r="AO425" s="69" t="inlineStr">
        <is>
          <t>1989</t>
        </is>
      </c>
      <c r="AP425" s="70" t="n">
        <v>1989</v>
      </c>
      <c r="AQ425" s="74" t="n">
        <v>1.35</v>
      </c>
      <c r="AR425" s="74" t="n">
        <v>0.9</v>
      </c>
      <c r="AS425" s="74" t="n">
        <v>67.59999999999999</v>
      </c>
      <c r="AT425" s="74" t="n">
        <v>52.58</v>
      </c>
      <c r="AU425" s="74" t="n">
        <v>50.6</v>
      </c>
      <c r="AV425" s="74" t="n">
        <v>9.537090708999999</v>
      </c>
      <c r="AW425" s="74" t="n">
        <v>8.435922391</v>
      </c>
      <c r="AX425" s="75" t="n">
        <v>85</v>
      </c>
      <c r="AY425" s="71" t="n">
        <v>4700000</v>
      </c>
      <c r="AZ425" s="71" t="n">
        <v>4700000</v>
      </c>
      <c r="BA425" s="71" t="n">
        <v>302802.63</v>
      </c>
      <c r="BB425" s="71" t="n">
        <v>201498.17</v>
      </c>
      <c r="BC425" s="69" t="inlineStr">
        <is>
          <t>Refinance</t>
        </is>
      </c>
      <c r="BD425" s="69" t="inlineStr">
        <is>
          <t>Y</t>
        </is>
      </c>
      <c r="BE425" s="71" t="n"/>
      <c r="BF425" s="71" t="n"/>
      <c r="BG425" s="71" t="n"/>
      <c r="BH425" s="71" t="n">
        <v>0</v>
      </c>
      <c r="BI425" s="71" t="n">
        <v>0</v>
      </c>
      <c r="BJ425" s="69" t="inlineStr">
        <is>
          <t>N</t>
        </is>
      </c>
      <c r="BK425" s="69" t="inlineStr">
        <is>
          <t>Choice Financial Gro</t>
        </is>
      </c>
      <c r="BL425" s="75" t="n">
        <v>26.61</v>
      </c>
      <c r="BM425" s="73" t="n">
        <v>47695</v>
      </c>
      <c r="BN425" s="69" t="inlineStr">
        <is>
          <t>Thomas E. Robinson</t>
        </is>
      </c>
      <c r="BO425" s="69" t="inlineStr">
        <is>
          <t>Societe Generale</t>
        </is>
      </c>
      <c r="BP425" s="69" t="inlineStr">
        <is>
          <t>Midland Loan Services</t>
        </is>
      </c>
      <c r="BQ425" s="69" t="inlineStr">
        <is>
          <t>Midland Loan Services</t>
        </is>
      </c>
      <c r="BR425" s="69" t="n"/>
      <c r="BS425" s="73" t="n">
        <v>46276</v>
      </c>
      <c r="BU425" s="76">
        <f>IF($C425="","",IFERROR(INDEX(dmName,MATCH($C425,dmID,0)),"Unmapped"))</f>
        <v/>
      </c>
      <c r="BV425" s="76">
        <f>IF($C425="","",IFERROR(INDEX(dmEntity,MATCH($C425,dmID,0)),"Unmapped"))</f>
        <v/>
      </c>
      <c r="BW425" s="77">
        <f>IF($C425="","",IFERROR(INDEX(dmVintage,MATCH($C425,dmID,0)),""))</f>
        <v/>
      </c>
      <c r="BX425" s="78">
        <f>IFERROR(INDEX(dmInclude,MATCH($C425,dmID,0)),0)</f>
        <v/>
      </c>
      <c r="BY425" s="78">
        <f>IF(N($I425)&gt;0,1,0)</f>
        <v/>
      </c>
      <c r="BZ425" s="76">
        <f>IF($AJ425="","Other / Leased Fee",IFERROR(INDEX(mapPTGroup,MATCH(LEFT(TRIM($AJ425),2),mapPTCode,0)),"Other / Leased Fee"))</f>
        <v/>
      </c>
      <c r="CA425" s="76">
        <f>IF(TRIM($AF425&amp;"")="","NR",LEFT(TRIM($AF425),2))</f>
        <v/>
      </c>
      <c r="CB425" s="76">
        <f>IFERROR(LOOKUP(2,1/(LEFT(TRIM($AI425&amp;""),LEN(mapRegion))=mapRegion),mapRegion),"Not Reported")</f>
        <v/>
      </c>
      <c r="CC425" s="76">
        <f>IF($BY425=0,"",IF(TRIM($W425&amp;"")="REO","REO",IF(TRIM($W425&amp;"")="FC","Foreclosure",IF(TRIM($W425&amp;"")="90+","90+ Days Delinquent",IF(TRIM($W425&amp;"")="60","60 Days Delinquent",IF(TRIM($W425&amp;"")="30","30 Days Delinquent",IF($X425="Non-Performing Matured Balloon","Non-Performing Matured Balloon",IF(OR($X425="Late Payment But Less Than 30 Days Delinquent",LEFT($X425&amp;"",20)="Payment Not Received"),"Late / In Grace (&lt;30 Days)",IF($X425="Performing Matured Balloon","Performing Matured Balloon","Current")))))))))</f>
        <v/>
      </c>
      <c r="CD425" s="78">
        <f>IF(OR($CC425="REO",$CC425="Foreclosure",$CC425="90+ Days Delinquent",$CC425="60 Days Delinquent",$CC425="30 Days Delinquent",$CC425="Non-Performing Matured Balloon"),1,0)</f>
        <v/>
      </c>
      <c r="CE425" s="76">
        <f>IF($AB425="Currently special serv","Currently Specially Serviced",IF($AB425="Returned to master serv","Previously Specially Serviced","Never Specially Serviced"))</f>
        <v/>
      </c>
      <c r="CF425" s="78">
        <f>IF($CE425="Currently Specially Serviced",1,0)</f>
        <v/>
      </c>
      <c r="CG425" s="76">
        <f>IF($AA425="Yes","Currently on Watchlist",IF($AA425="Previously","Previously on Watchlist","Never on Watchlist"))</f>
        <v/>
      </c>
      <c r="CH425" s="78">
        <f>IF($CG425="Currently on Watchlist",1,0)</f>
        <v/>
      </c>
      <c r="CI425" s="76">
        <f>IF($Z425="Full Defeasance","Fully Defeased",IF($Z425="Portion Of Loan Previously Defeased","Partially Defeased",IF($Z425="Defeasance Not Allowable","Not Defeased (Not Permitted)","Not Defeased")))</f>
        <v/>
      </c>
      <c r="CJ425" s="78">
        <f>IF($CI425="Fully Defeased",1,0)</f>
        <v/>
      </c>
      <c r="CK425" s="76">
        <f>IF($R425="IO","Full IO",IF(LEFT($R425&amp;"",7)="IO then","Partial IO","Amortizing"))</f>
        <v/>
      </c>
      <c r="CL425" s="78">
        <f>IF($CK425="Full IO",1,0)</f>
        <v/>
      </c>
      <c r="CM425" s="78">
        <f>IF($CK425="Partial IO",1,0)</f>
        <v/>
      </c>
      <c r="CN425" s="76">
        <f>IF(LEFT($F425&amp;"",10)="SPLIT_LOAN","Pari Passu Split","Standalone")</f>
        <v/>
      </c>
      <c r="CO425" s="78">
        <f>IF($CN425="Pari Passu Split",1,0)</f>
        <v/>
      </c>
      <c r="CP425" s="77">
        <f>IF(ISNUMBER($T425),YEAR($T425),"")</f>
        <v/>
      </c>
      <c r="CQ425" s="79">
        <f>IF(ISNUMBER($V425),$V425,IF(ISNUMBER($U425),$U425,""))</f>
        <v/>
      </c>
      <c r="CR425" s="77">
        <f>IF(ISNUMBER($CQ425),YEAR($CQ425),"")</f>
        <v/>
      </c>
      <c r="CS425" s="78">
        <f>IF(ISNUMBER($M425),MAX(0,$M425),IF(TRIM($M425&amp;"")="matured",0,""))</f>
        <v/>
      </c>
      <c r="CT425" s="78">
        <f>IF(AND(ISNUMBER($CS425),N($CS425)&lt;=mMatWindow),1,0)</f>
        <v/>
      </c>
      <c r="CU425" s="80">
        <f>IF(ISNUMBER($J425),$J425/100,"")</f>
        <v/>
      </c>
      <c r="CV425" s="81">
        <f>IF(ISNUMBER($AQ425),$AQ425,"")</f>
        <v/>
      </c>
      <c r="CW425" s="81">
        <f>IF(ISNUMBER($AR425),$AR425,"")</f>
        <v/>
      </c>
      <c r="CX425" s="82">
        <f>IF(ISNUMBER($AS425),$AS425/100,"")</f>
        <v/>
      </c>
      <c r="CY425" s="82">
        <f>IF(ISNUMBER($AT425),$AT425/100,"")</f>
        <v/>
      </c>
      <c r="CZ425" s="82">
        <f>IF(ISNUMBER($AU425),$AU425/100,"")</f>
        <v/>
      </c>
      <c r="DA425" s="82">
        <f>IF(ISNUMBER($AV425),$AV425/100,"")</f>
        <v/>
      </c>
      <c r="DB425" s="82">
        <f>IF(ISNUMBER($AW425),$AW425/100,"")</f>
        <v/>
      </c>
      <c r="DC425" s="82">
        <f>IF(ISNUMBER($AX425),$AX425/100,"")</f>
        <v/>
      </c>
      <c r="DD425" s="77">
        <f>IFERROR(VALUE(LEFT(TRIM($AO425&amp;""),4)),"")</f>
        <v/>
      </c>
      <c r="DE425" s="78">
        <f>IF(AND($BY425=1,$BX425=1,OR(fDeal="All Deals",$BU425=fDeal),OR(fEntity="All Entities",$BV425=fEntity),OR(fPType="All Property Types",$BZ425=fPType),OR(fDefeased="Include",$CJ425=0)),1,0)</f>
        <v/>
      </c>
      <c r="DF425" s="83">
        <f>$DE425*N($I425)</f>
        <v/>
      </c>
      <c r="DG425" s="78">
        <f>IF($DE425=1,IF(COUNTIFS($F$8:$F425,$F425,$DE$8:$DE425,1)=1,1,0),0)</f>
        <v/>
      </c>
      <c r="DH425" s="83">
        <f>IF($DG425=1,SUMIFS($DF$8:$DF$1600,$F$8:$F$1600,$F425),0)</f>
        <v/>
      </c>
      <c r="DI425" s="78">
        <f>IF($DG425=1,COUNTIFS($F$8:$F$1600,$F425,$DE$8:$DE$1600,1),0)</f>
        <v/>
      </c>
      <c r="DJ425" s="84">
        <f>IF($DG425=1,$DH425+(100000-ROW())/mTieBreak,0)</f>
        <v/>
      </c>
    </row>
    <row r="426">
      <c r="B426" s="68" t="n">
        <v>40</v>
      </c>
      <c r="C426" s="69" t="inlineStr">
        <is>
          <t>UBS17C03</t>
        </is>
      </c>
      <c r="D426" s="69" t="inlineStr">
        <is>
          <t>40.000</t>
        </is>
      </c>
      <c r="E426" s="69" t="inlineStr">
        <is>
          <t>Sunrise Apartments</t>
        </is>
      </c>
      <c r="F426" s="69" t="inlineStr">
        <is>
          <t>LNUBS17C03-40.000</t>
        </is>
      </c>
      <c r="G426" s="70" t="n"/>
      <c r="H426" s="71" t="n">
        <v>2700000</v>
      </c>
      <c r="I426" s="71" t="n">
        <v>2379348.0999999</v>
      </c>
      <c r="J426" s="72" t="n">
        <v>4.95</v>
      </c>
      <c r="K426" s="69" t="inlineStr">
        <is>
          <t>Fixed rate</t>
        </is>
      </c>
      <c r="L426" s="68" t="n">
        <v>120</v>
      </c>
      <c r="M426" s="68" t="n">
        <v>10</v>
      </c>
      <c r="N426" s="68" t="n">
        <v>384</v>
      </c>
      <c r="O426" s="68" t="n">
        <v>24</v>
      </c>
      <c r="P426" s="68" t="n">
        <v>0</v>
      </c>
      <c r="Q426" s="68" t="n">
        <v>110</v>
      </c>
      <c r="R426" s="69" t="inlineStr">
        <is>
          <t>IO then Amort</t>
        </is>
      </c>
      <c r="S426" s="69" t="inlineStr">
        <is>
          <t>No</t>
        </is>
      </c>
      <c r="T426" s="73" t="n">
        <v>42917</v>
      </c>
      <c r="U426" s="73" t="n">
        <v>46574</v>
      </c>
      <c r="V426" s="73" t="n"/>
      <c r="W426" s="69" t="n"/>
      <c r="X426" s="69" t="inlineStr">
        <is>
          <t>Current</t>
        </is>
      </c>
      <c r="Y426" s="68" t="n"/>
      <c r="Z426" s="69" t="inlineStr">
        <is>
          <t>Full Defeasance</t>
        </is>
      </c>
      <c r="AA426" s="69" t="inlineStr">
        <is>
          <t>Previously</t>
        </is>
      </c>
      <c r="AB426" s="69" t="inlineStr">
        <is>
          <t>Never special serv</t>
        </is>
      </c>
      <c r="AC426" s="73" t="n"/>
      <c r="AD426" s="69" t="n"/>
      <c r="AE426" s="69" t="n"/>
      <c r="AF426" s="69" t="inlineStr">
        <is>
          <t>AL</t>
        </is>
      </c>
      <c r="AG426" s="69" t="inlineStr">
        <is>
          <t>Montgomery</t>
        </is>
      </c>
      <c r="AH426" s="69" t="inlineStr">
        <is>
          <t>Montgomery, AL</t>
        </is>
      </c>
      <c r="AI426" s="69" t="inlineStr">
        <is>
          <t>South / Central East</t>
        </is>
      </c>
      <c r="AJ426" s="69" t="inlineStr">
        <is>
          <t>MF</t>
        </is>
      </c>
      <c r="AK426" s="69" t="inlineStr">
        <is>
          <t>Garden</t>
        </is>
      </c>
      <c r="AL426" s="68" t="n">
        <v>1</v>
      </c>
      <c r="AM426" s="68" t="n">
        <v>84</v>
      </c>
      <c r="AN426" s="68" t="n"/>
      <c r="AO426" s="69" t="inlineStr">
        <is>
          <t>1978</t>
        </is>
      </c>
      <c r="AP426" s="70" t="n">
        <v>1978</v>
      </c>
      <c r="AQ426" s="74" t="n">
        <v>1.54</v>
      </c>
      <c r="AR426" s="74" t="n">
        <v>1.37</v>
      </c>
      <c r="AS426" s="74" t="n">
        <v>64.3</v>
      </c>
      <c r="AT426" s="74" t="n">
        <v>56.65</v>
      </c>
      <c r="AU426" s="74" t="n">
        <v>55.6</v>
      </c>
      <c r="AV426" s="74" t="n">
        <v>9.856925926000001</v>
      </c>
      <c r="AW426" s="74" t="n">
        <v>6.032408625</v>
      </c>
      <c r="AX426" s="75" t="n">
        <v>83</v>
      </c>
      <c r="AY426" s="71" t="n">
        <v>4200000</v>
      </c>
      <c r="AZ426" s="71" t="n">
        <v>4200000</v>
      </c>
      <c r="BA426" s="71" t="n">
        <v>266137</v>
      </c>
      <c r="BB426" s="71" t="n">
        <v>236452.03</v>
      </c>
      <c r="BC426" s="69" t="inlineStr">
        <is>
          <t>Refinance</t>
        </is>
      </c>
      <c r="BD426" s="69" t="inlineStr">
        <is>
          <t>N</t>
        </is>
      </c>
      <c r="BE426" s="71" t="n"/>
      <c r="BF426" s="71" t="n"/>
      <c r="BG426" s="71" t="n"/>
      <c r="BH426" s="71" t="n">
        <v>0</v>
      </c>
      <c r="BI426" s="71" t="n">
        <v>0</v>
      </c>
      <c r="BJ426" s="69" t="inlineStr">
        <is>
          <t>N</t>
        </is>
      </c>
      <c r="BK426" s="69" t="n"/>
      <c r="BL426" s="75" t="n"/>
      <c r="BM426" s="73" t="n"/>
      <c r="BN426" s="69" t="inlineStr">
        <is>
          <t>Neville Isaacson; Clyde Isaacson; Lee Weisner</t>
        </is>
      </c>
      <c r="BO426" s="69" t="inlineStr">
        <is>
          <t>RMF</t>
        </is>
      </c>
      <c r="BP426" s="69" t="inlineStr">
        <is>
          <t>Midland Loan Services</t>
        </is>
      </c>
      <c r="BQ426" s="69" t="inlineStr">
        <is>
          <t>Midland Loan Services</t>
        </is>
      </c>
      <c r="BR426" s="69" t="n"/>
      <c r="BS426" s="73" t="n">
        <v>46276</v>
      </c>
      <c r="BU426" s="76">
        <f>IF($C426="","",IFERROR(INDEX(dmName,MATCH($C426,dmID,0)),"Unmapped"))</f>
        <v/>
      </c>
      <c r="BV426" s="76">
        <f>IF($C426="","",IFERROR(INDEX(dmEntity,MATCH($C426,dmID,0)),"Unmapped"))</f>
        <v/>
      </c>
      <c r="BW426" s="77">
        <f>IF($C426="","",IFERROR(INDEX(dmVintage,MATCH($C426,dmID,0)),""))</f>
        <v/>
      </c>
      <c r="BX426" s="78">
        <f>IFERROR(INDEX(dmInclude,MATCH($C426,dmID,0)),0)</f>
        <v/>
      </c>
      <c r="BY426" s="78">
        <f>IF(N($I426)&gt;0,1,0)</f>
        <v/>
      </c>
      <c r="BZ426" s="76">
        <f>IF($AJ426="","Other / Leased Fee",IFERROR(INDEX(mapPTGroup,MATCH(LEFT(TRIM($AJ426),2),mapPTCode,0)),"Other / Leased Fee"))</f>
        <v/>
      </c>
      <c r="CA426" s="76">
        <f>IF(TRIM($AF426&amp;"")="","NR",LEFT(TRIM($AF426),2))</f>
        <v/>
      </c>
      <c r="CB426" s="76">
        <f>IFERROR(LOOKUP(2,1/(LEFT(TRIM($AI426&amp;""),LEN(mapRegion))=mapRegion),mapRegion),"Not Reported")</f>
        <v/>
      </c>
      <c r="CC426" s="76">
        <f>IF($BY426=0,"",IF(TRIM($W426&amp;"")="REO","REO",IF(TRIM($W426&amp;"")="FC","Foreclosure",IF(TRIM($W426&amp;"")="90+","90+ Days Delinquent",IF(TRIM($W426&amp;"")="60","60 Days Delinquent",IF(TRIM($W426&amp;"")="30","30 Days Delinquent",IF($X426="Non-Performing Matured Balloon","Non-Performing Matured Balloon",IF(OR($X426="Late Payment But Less Than 30 Days Delinquent",LEFT($X426&amp;"",20)="Payment Not Received"),"Late / In Grace (&lt;30 Days)",IF($X426="Performing Matured Balloon","Performing Matured Balloon","Current")))))))))</f>
        <v/>
      </c>
      <c r="CD426" s="78">
        <f>IF(OR($CC426="REO",$CC426="Foreclosure",$CC426="90+ Days Delinquent",$CC426="60 Days Delinquent",$CC426="30 Days Delinquent",$CC426="Non-Performing Matured Balloon"),1,0)</f>
        <v/>
      </c>
      <c r="CE426" s="76">
        <f>IF($AB426="Currently special serv","Currently Specially Serviced",IF($AB426="Returned to master serv","Previously Specially Serviced","Never Specially Serviced"))</f>
        <v/>
      </c>
      <c r="CF426" s="78">
        <f>IF($CE426="Currently Specially Serviced",1,0)</f>
        <v/>
      </c>
      <c r="CG426" s="76">
        <f>IF($AA426="Yes","Currently on Watchlist",IF($AA426="Previously","Previously on Watchlist","Never on Watchlist"))</f>
        <v/>
      </c>
      <c r="CH426" s="78">
        <f>IF($CG426="Currently on Watchlist",1,0)</f>
        <v/>
      </c>
      <c r="CI426" s="76">
        <f>IF($Z426="Full Defeasance","Fully Defeased",IF($Z426="Portion Of Loan Previously Defeased","Partially Defeased",IF($Z426="Defeasance Not Allowable","Not Defeased (Not Permitted)","Not Defeased")))</f>
        <v/>
      </c>
      <c r="CJ426" s="78">
        <f>IF($CI426="Fully Defeased",1,0)</f>
        <v/>
      </c>
      <c r="CK426" s="76">
        <f>IF($R426="IO","Full IO",IF(LEFT($R426&amp;"",7)="IO then","Partial IO","Amortizing"))</f>
        <v/>
      </c>
      <c r="CL426" s="78">
        <f>IF($CK426="Full IO",1,0)</f>
        <v/>
      </c>
      <c r="CM426" s="78">
        <f>IF($CK426="Partial IO",1,0)</f>
        <v/>
      </c>
      <c r="CN426" s="76">
        <f>IF(LEFT($F426&amp;"",10)="SPLIT_LOAN","Pari Passu Split","Standalone")</f>
        <v/>
      </c>
      <c r="CO426" s="78">
        <f>IF($CN426="Pari Passu Split",1,0)</f>
        <v/>
      </c>
      <c r="CP426" s="77">
        <f>IF(ISNUMBER($T426),YEAR($T426),"")</f>
        <v/>
      </c>
      <c r="CQ426" s="79">
        <f>IF(ISNUMBER($V426),$V426,IF(ISNUMBER($U426),$U426,""))</f>
        <v/>
      </c>
      <c r="CR426" s="77">
        <f>IF(ISNUMBER($CQ426),YEAR($CQ426),"")</f>
        <v/>
      </c>
      <c r="CS426" s="78">
        <f>IF(ISNUMBER($M426),MAX(0,$M426),IF(TRIM($M426&amp;"")="matured",0,""))</f>
        <v/>
      </c>
      <c r="CT426" s="78">
        <f>IF(AND(ISNUMBER($CS426),N($CS426)&lt;=mMatWindow),1,0)</f>
        <v/>
      </c>
      <c r="CU426" s="80">
        <f>IF(ISNUMBER($J426),$J426/100,"")</f>
        <v/>
      </c>
      <c r="CV426" s="81">
        <f>IF(ISNUMBER($AQ426),$AQ426,"")</f>
        <v/>
      </c>
      <c r="CW426" s="81">
        <f>IF(ISNUMBER($AR426),$AR426,"")</f>
        <v/>
      </c>
      <c r="CX426" s="82">
        <f>IF(ISNUMBER($AS426),$AS426/100,"")</f>
        <v/>
      </c>
      <c r="CY426" s="82">
        <f>IF(ISNUMBER($AT426),$AT426/100,"")</f>
        <v/>
      </c>
      <c r="CZ426" s="82">
        <f>IF(ISNUMBER($AU426),$AU426/100,"")</f>
        <v/>
      </c>
      <c r="DA426" s="82">
        <f>IF(ISNUMBER($AV426),$AV426/100,"")</f>
        <v/>
      </c>
      <c r="DB426" s="82">
        <f>IF(ISNUMBER($AW426),$AW426/100,"")</f>
        <v/>
      </c>
      <c r="DC426" s="82">
        <f>IF(ISNUMBER($AX426),$AX426/100,"")</f>
        <v/>
      </c>
      <c r="DD426" s="77">
        <f>IFERROR(VALUE(LEFT(TRIM($AO426&amp;""),4)),"")</f>
        <v/>
      </c>
      <c r="DE426" s="78">
        <f>IF(AND($BY426=1,$BX426=1,OR(fDeal="All Deals",$BU426=fDeal),OR(fEntity="All Entities",$BV426=fEntity),OR(fPType="All Property Types",$BZ426=fPType),OR(fDefeased="Include",$CJ426=0)),1,0)</f>
        <v/>
      </c>
      <c r="DF426" s="83">
        <f>$DE426*N($I426)</f>
        <v/>
      </c>
      <c r="DG426" s="78">
        <f>IF($DE426=1,IF(COUNTIFS($F$8:$F426,$F426,$DE$8:$DE426,1)=1,1,0),0)</f>
        <v/>
      </c>
      <c r="DH426" s="83">
        <f>IF($DG426=1,SUMIFS($DF$8:$DF$1600,$F$8:$F$1600,$F426),0)</f>
        <v/>
      </c>
      <c r="DI426" s="78">
        <f>IF($DG426=1,COUNTIFS($F$8:$F$1600,$F426,$DE$8:$DE$1600,1),0)</f>
        <v/>
      </c>
      <c r="DJ426" s="84">
        <f>IF($DG426=1,$DH426+(100000-ROW())/mTieBreak,0)</f>
        <v/>
      </c>
    </row>
    <row r="427">
      <c r="B427" s="68" t="n">
        <v>41</v>
      </c>
      <c r="C427" s="69" t="inlineStr">
        <is>
          <t>UBS17C03</t>
        </is>
      </c>
      <c r="D427" s="69" t="inlineStr">
        <is>
          <t>41.000</t>
        </is>
      </c>
      <c r="E427" s="69" t="inlineStr">
        <is>
          <t>Woodville Plaza Apartments</t>
        </is>
      </c>
      <c r="F427" s="69" t="inlineStr">
        <is>
          <t>LNUBS17C03-41.000</t>
        </is>
      </c>
      <c r="G427" s="70" t="n"/>
      <c r="H427" s="71" t="n">
        <v>2500000</v>
      </c>
      <c r="I427" s="71" t="n">
        <v>2157722.73</v>
      </c>
      <c r="J427" s="72" t="n">
        <v>5.207</v>
      </c>
      <c r="K427" s="69" t="inlineStr">
        <is>
          <t>Fixed rate</t>
        </is>
      </c>
      <c r="L427" s="68" t="n">
        <v>120</v>
      </c>
      <c r="M427" s="68" t="n">
        <v>11</v>
      </c>
      <c r="N427" s="68" t="n">
        <v>360</v>
      </c>
      <c r="O427" s="68" t="n"/>
      <c r="P427" s="68" t="n"/>
      <c r="Q427" s="68" t="n">
        <v>109</v>
      </c>
      <c r="R427" s="69" t="n"/>
      <c r="S427" s="69" t="inlineStr">
        <is>
          <t>No</t>
        </is>
      </c>
      <c r="T427" s="73" t="n">
        <v>42948</v>
      </c>
      <c r="U427" s="73" t="n">
        <v>46605</v>
      </c>
      <c r="V427" s="73" t="n"/>
      <c r="W427" s="69" t="inlineStr">
        <is>
          <t>90+</t>
        </is>
      </c>
      <c r="X427" s="69" t="inlineStr">
        <is>
          <t>121+ Days Delinquent</t>
        </is>
      </c>
      <c r="Y427" s="68" t="n">
        <v>17</v>
      </c>
      <c r="Z427" s="69" t="inlineStr">
        <is>
          <t>Defeasance Not Allowable</t>
        </is>
      </c>
      <c r="AA427" s="69" t="inlineStr">
        <is>
          <t>Previously</t>
        </is>
      </c>
      <c r="AB427" s="69" t="inlineStr">
        <is>
          <t>Currently special serv</t>
        </is>
      </c>
      <c r="AC427" s="73" t="n">
        <v>45435</v>
      </c>
      <c r="AD427" s="69" t="inlineStr">
        <is>
          <t>Imminent Monetary Default (excluding Balloon/Maturity Default &amp; Single Tenant Bankruptcy/Vacate)</t>
        </is>
      </c>
      <c r="AE427" s="69" t="inlineStr">
        <is>
          <t>Foreclosure</t>
        </is>
      </c>
      <c r="AF427" s="69" t="inlineStr">
        <is>
          <t>MS</t>
        </is>
      </c>
      <c r="AG427" s="69" t="inlineStr">
        <is>
          <t>Jackson</t>
        </is>
      </c>
      <c r="AH427" s="69" t="inlineStr">
        <is>
          <t>Jackson, MS</t>
        </is>
      </c>
      <c r="AI427" s="69" t="inlineStr">
        <is>
          <t>South / Central East</t>
        </is>
      </c>
      <c r="AJ427" s="69" t="inlineStr">
        <is>
          <t>MF</t>
        </is>
      </c>
      <c r="AK427" s="69" t="inlineStr">
        <is>
          <t>Garden</t>
        </is>
      </c>
      <c r="AL427" s="68" t="n">
        <v>1</v>
      </c>
      <c r="AM427" s="68" t="n">
        <v>96</v>
      </c>
      <c r="AN427" s="68" t="n"/>
      <c r="AO427" s="69" t="inlineStr">
        <is>
          <t>1970</t>
        </is>
      </c>
      <c r="AP427" s="70" t="n">
        <v>1970</v>
      </c>
      <c r="AQ427" s="74" t="n">
        <v>1.48</v>
      </c>
      <c r="AR427" s="74" t="n">
        <v>0.36</v>
      </c>
      <c r="AS427" s="74" t="n">
        <v>67.59999999999999</v>
      </c>
      <c r="AT427" s="74" t="n">
        <v>67.43000000000001</v>
      </c>
      <c r="AU427" s="74" t="n">
        <v>55.9</v>
      </c>
      <c r="AV427" s="74" t="n">
        <v>9.785080000000001</v>
      </c>
      <c r="AW427" s="74" t="n">
        <v>2.742413062</v>
      </c>
      <c r="AX427" s="75" t="n">
        <v>93</v>
      </c>
      <c r="AY427" s="71" t="n">
        <v>3700000</v>
      </c>
      <c r="AZ427" s="71" t="n">
        <v>3200000</v>
      </c>
      <c r="BA427" s="71" t="n">
        <v>244627</v>
      </c>
      <c r="BB427" s="71" t="n">
        <v>59173.67</v>
      </c>
      <c r="BC427" s="69" t="inlineStr">
        <is>
          <t>Refinance</t>
        </is>
      </c>
      <c r="BD427" s="69" t="inlineStr">
        <is>
          <t>N</t>
        </is>
      </c>
      <c r="BE427" s="71" t="n"/>
      <c r="BF427" s="71" t="n"/>
      <c r="BG427" s="71" t="n"/>
      <c r="BH427" s="71" t="n">
        <v>0</v>
      </c>
      <c r="BI427" s="71" t="n">
        <v>111385.52</v>
      </c>
      <c r="BJ427" s="69" t="inlineStr">
        <is>
          <t>N</t>
        </is>
      </c>
      <c r="BK427" s="69" t="n"/>
      <c r="BL427" s="75" t="n"/>
      <c r="BM427" s="73" t="n"/>
      <c r="BN427" s="69" t="inlineStr">
        <is>
          <t>Chaim Puretz</t>
        </is>
      </c>
      <c r="BO427" s="69" t="inlineStr">
        <is>
          <t>UBS</t>
        </is>
      </c>
      <c r="BP427" s="69" t="inlineStr">
        <is>
          <t>Midland Loan Services</t>
        </is>
      </c>
      <c r="BQ427" s="69" t="inlineStr">
        <is>
          <t>Midland Loan Services</t>
        </is>
      </c>
      <c r="BR427" s="69" t="n"/>
      <c r="BS427" s="73" t="n">
        <v>46276</v>
      </c>
      <c r="BU427" s="76">
        <f>IF($C427="","",IFERROR(INDEX(dmName,MATCH($C427,dmID,0)),"Unmapped"))</f>
        <v/>
      </c>
      <c r="BV427" s="76">
        <f>IF($C427="","",IFERROR(INDEX(dmEntity,MATCH($C427,dmID,0)),"Unmapped"))</f>
        <v/>
      </c>
      <c r="BW427" s="77">
        <f>IF($C427="","",IFERROR(INDEX(dmVintage,MATCH($C427,dmID,0)),""))</f>
        <v/>
      </c>
      <c r="BX427" s="78">
        <f>IFERROR(INDEX(dmInclude,MATCH($C427,dmID,0)),0)</f>
        <v/>
      </c>
      <c r="BY427" s="78">
        <f>IF(N($I427)&gt;0,1,0)</f>
        <v/>
      </c>
      <c r="BZ427" s="76">
        <f>IF($AJ427="","Other / Leased Fee",IFERROR(INDEX(mapPTGroup,MATCH(LEFT(TRIM($AJ427),2),mapPTCode,0)),"Other / Leased Fee"))</f>
        <v/>
      </c>
      <c r="CA427" s="76">
        <f>IF(TRIM($AF427&amp;"")="","NR",LEFT(TRIM($AF427),2))</f>
        <v/>
      </c>
      <c r="CB427" s="76">
        <f>IFERROR(LOOKUP(2,1/(LEFT(TRIM($AI427&amp;""),LEN(mapRegion))=mapRegion),mapRegion),"Not Reported")</f>
        <v/>
      </c>
      <c r="CC427" s="76">
        <f>IF($BY427=0,"",IF(TRIM($W427&amp;"")="REO","REO",IF(TRIM($W427&amp;"")="FC","Foreclosure",IF(TRIM($W427&amp;"")="90+","90+ Days Delinquent",IF(TRIM($W427&amp;"")="60","60 Days Delinquent",IF(TRIM($W427&amp;"")="30","30 Days Delinquent",IF($X427="Non-Performing Matured Balloon","Non-Performing Matured Balloon",IF(OR($X427="Late Payment But Less Than 30 Days Delinquent",LEFT($X427&amp;"",20)="Payment Not Received"),"Late / In Grace (&lt;30 Days)",IF($X427="Performing Matured Balloon","Performing Matured Balloon","Current")))))))))</f>
        <v/>
      </c>
      <c r="CD427" s="78">
        <f>IF(OR($CC427="REO",$CC427="Foreclosure",$CC427="90+ Days Delinquent",$CC427="60 Days Delinquent",$CC427="30 Days Delinquent",$CC427="Non-Performing Matured Balloon"),1,0)</f>
        <v/>
      </c>
      <c r="CE427" s="76">
        <f>IF($AB427="Currently special serv","Currently Specially Serviced",IF($AB427="Returned to master serv","Previously Specially Serviced","Never Specially Serviced"))</f>
        <v/>
      </c>
      <c r="CF427" s="78">
        <f>IF($CE427="Currently Specially Serviced",1,0)</f>
        <v/>
      </c>
      <c r="CG427" s="76">
        <f>IF($AA427="Yes","Currently on Watchlist",IF($AA427="Previously","Previously on Watchlist","Never on Watchlist"))</f>
        <v/>
      </c>
      <c r="CH427" s="78">
        <f>IF($CG427="Currently on Watchlist",1,0)</f>
        <v/>
      </c>
      <c r="CI427" s="76">
        <f>IF($Z427="Full Defeasance","Fully Defeased",IF($Z427="Portion Of Loan Previously Defeased","Partially Defeased",IF($Z427="Defeasance Not Allowable","Not Defeased (Not Permitted)","Not Defeased")))</f>
        <v/>
      </c>
      <c r="CJ427" s="78">
        <f>IF($CI427="Fully Defeased",1,0)</f>
        <v/>
      </c>
      <c r="CK427" s="76">
        <f>IF($R427="IO","Full IO",IF(LEFT($R427&amp;"",7)="IO then","Partial IO","Amortizing"))</f>
        <v/>
      </c>
      <c r="CL427" s="78">
        <f>IF($CK427="Full IO",1,0)</f>
        <v/>
      </c>
      <c r="CM427" s="78">
        <f>IF($CK427="Partial IO",1,0)</f>
        <v/>
      </c>
      <c r="CN427" s="76">
        <f>IF(LEFT($F427&amp;"",10)="SPLIT_LOAN","Pari Passu Split","Standalone")</f>
        <v/>
      </c>
      <c r="CO427" s="78">
        <f>IF($CN427="Pari Passu Split",1,0)</f>
        <v/>
      </c>
      <c r="CP427" s="77">
        <f>IF(ISNUMBER($T427),YEAR($T427),"")</f>
        <v/>
      </c>
      <c r="CQ427" s="79">
        <f>IF(ISNUMBER($V427),$V427,IF(ISNUMBER($U427),$U427,""))</f>
        <v/>
      </c>
      <c r="CR427" s="77">
        <f>IF(ISNUMBER($CQ427),YEAR($CQ427),"")</f>
        <v/>
      </c>
      <c r="CS427" s="78">
        <f>IF(ISNUMBER($M427),MAX(0,$M427),IF(TRIM($M427&amp;"")="matured",0,""))</f>
        <v/>
      </c>
      <c r="CT427" s="78">
        <f>IF(AND(ISNUMBER($CS427),N($CS427)&lt;=mMatWindow),1,0)</f>
        <v/>
      </c>
      <c r="CU427" s="80">
        <f>IF(ISNUMBER($J427),$J427/100,"")</f>
        <v/>
      </c>
      <c r="CV427" s="81">
        <f>IF(ISNUMBER($AQ427),$AQ427,"")</f>
        <v/>
      </c>
      <c r="CW427" s="81">
        <f>IF(ISNUMBER($AR427),$AR427,"")</f>
        <v/>
      </c>
      <c r="CX427" s="82">
        <f>IF(ISNUMBER($AS427),$AS427/100,"")</f>
        <v/>
      </c>
      <c r="CY427" s="82">
        <f>IF(ISNUMBER($AT427),$AT427/100,"")</f>
        <v/>
      </c>
      <c r="CZ427" s="82">
        <f>IF(ISNUMBER($AU427),$AU427/100,"")</f>
        <v/>
      </c>
      <c r="DA427" s="82">
        <f>IF(ISNUMBER($AV427),$AV427/100,"")</f>
        <v/>
      </c>
      <c r="DB427" s="82">
        <f>IF(ISNUMBER($AW427),$AW427/100,"")</f>
        <v/>
      </c>
      <c r="DC427" s="82">
        <f>IF(ISNUMBER($AX427),$AX427/100,"")</f>
        <v/>
      </c>
      <c r="DD427" s="77">
        <f>IFERROR(VALUE(LEFT(TRIM($AO427&amp;""),4)),"")</f>
        <v/>
      </c>
      <c r="DE427" s="78">
        <f>IF(AND($BY427=1,$BX427=1,OR(fDeal="All Deals",$BU427=fDeal),OR(fEntity="All Entities",$BV427=fEntity),OR(fPType="All Property Types",$BZ427=fPType),OR(fDefeased="Include",$CJ427=0)),1,0)</f>
        <v/>
      </c>
      <c r="DF427" s="83">
        <f>$DE427*N($I427)</f>
        <v/>
      </c>
      <c r="DG427" s="78">
        <f>IF($DE427=1,IF(COUNTIFS($F$8:$F427,$F427,$DE$8:$DE427,1)=1,1,0),0)</f>
        <v/>
      </c>
      <c r="DH427" s="83">
        <f>IF($DG427=1,SUMIFS($DF$8:$DF$1600,$F$8:$F$1600,$F427),0)</f>
        <v/>
      </c>
      <c r="DI427" s="78">
        <f>IF($DG427=1,COUNTIFS($F$8:$F$1600,$F427,$DE$8:$DE$1600,1),0)</f>
        <v/>
      </c>
      <c r="DJ427" s="84">
        <f>IF($DG427=1,$DH427+(100000-ROW())/mTieBreak,0)</f>
        <v/>
      </c>
    </row>
    <row r="428">
      <c r="B428" s="68" t="n">
        <v>42</v>
      </c>
      <c r="C428" s="69" t="inlineStr">
        <is>
          <t>UBS17C03</t>
        </is>
      </c>
      <c r="D428" s="69" t="inlineStr">
        <is>
          <t>42.000</t>
        </is>
      </c>
      <c r="E428" s="69" t="inlineStr">
        <is>
          <t>Clay Plaza</t>
        </is>
      </c>
      <c r="F428" s="69" t="inlineStr">
        <is>
          <t>LNUBS17C03-42.000</t>
        </is>
      </c>
      <c r="G428" s="70" t="n"/>
      <c r="H428" s="71" t="n">
        <v>1825000</v>
      </c>
      <c r="I428" s="71" t="n">
        <v>1409015.22999995</v>
      </c>
      <c r="J428" s="72" t="n">
        <v>5.12</v>
      </c>
      <c r="K428" s="69" t="inlineStr">
        <is>
          <t>Fixed rate</t>
        </is>
      </c>
      <c r="L428" s="68" t="n">
        <v>120</v>
      </c>
      <c r="M428" s="68" t="n">
        <v>8</v>
      </c>
      <c r="N428" s="68" t="n">
        <v>300</v>
      </c>
      <c r="O428" s="68" t="n"/>
      <c r="P428" s="68" t="n"/>
      <c r="Q428" s="68" t="n">
        <v>112</v>
      </c>
      <c r="R428" s="69" t="n"/>
      <c r="S428" s="69" t="inlineStr">
        <is>
          <t>No</t>
        </is>
      </c>
      <c r="T428" s="73" t="n">
        <v>42856</v>
      </c>
      <c r="U428" s="73" t="n">
        <v>46508</v>
      </c>
      <c r="V428" s="73" t="n"/>
      <c r="W428" s="69" t="n"/>
      <c r="X428" s="69" t="inlineStr">
        <is>
          <t>Current</t>
        </is>
      </c>
      <c r="Y428" s="68" t="n"/>
      <c r="Z428" s="69" t="inlineStr">
        <is>
          <t>Defeasance Not Allowable</t>
        </is>
      </c>
      <c r="AA428" s="69" t="inlineStr">
        <is>
          <t>Yes</t>
        </is>
      </c>
      <c r="AB428" s="69" t="inlineStr">
        <is>
          <t>Never special serv</t>
        </is>
      </c>
      <c r="AC428" s="73" t="n"/>
      <c r="AD428" s="69" t="n"/>
      <c r="AE428" s="69" t="n"/>
      <c r="AF428" s="69" t="inlineStr">
        <is>
          <t>FL</t>
        </is>
      </c>
      <c r="AG428" s="69" t="inlineStr">
        <is>
          <t>Orange Park</t>
        </is>
      </c>
      <c r="AH428" s="69" t="inlineStr">
        <is>
          <t>Jacksonville, FL</t>
        </is>
      </c>
      <c r="AI428" s="69" t="inlineStr">
        <is>
          <t>South / Atlantic</t>
        </is>
      </c>
      <c r="AJ428" s="69" t="inlineStr">
        <is>
          <t>RT</t>
        </is>
      </c>
      <c r="AK428" s="69" t="inlineStr">
        <is>
          <t>Anchored</t>
        </is>
      </c>
      <c r="AL428" s="68" t="n">
        <v>1</v>
      </c>
      <c r="AM428" s="68" t="n"/>
      <c r="AN428" s="68" t="n">
        <v>61960</v>
      </c>
      <c r="AO428" s="69" t="inlineStr">
        <is>
          <t>1978</t>
        </is>
      </c>
      <c r="AP428" s="70" t="n">
        <v>2016</v>
      </c>
      <c r="AQ428" s="74" t="n">
        <v>1.31</v>
      </c>
      <c r="AR428" s="74" t="n">
        <v>1.86</v>
      </c>
      <c r="AS428" s="74" t="n">
        <v>59.6</v>
      </c>
      <c r="AT428" s="74" t="n">
        <v>46.2</v>
      </c>
      <c r="AU428" s="74" t="n">
        <v>44.9</v>
      </c>
      <c r="AV428" s="74" t="n">
        <v>9.297730411</v>
      </c>
      <c r="AW428" s="74" t="n">
        <v>17.13239111</v>
      </c>
      <c r="AX428" s="75" t="n">
        <v>100</v>
      </c>
      <c r="AY428" s="71" t="n">
        <v>3050000</v>
      </c>
      <c r="AZ428" s="71" t="n">
        <v>3050000</v>
      </c>
      <c r="BA428" s="71" t="n">
        <v>169683.58</v>
      </c>
      <c r="BB428" s="71" t="n">
        <v>241398</v>
      </c>
      <c r="BC428" s="69" t="inlineStr">
        <is>
          <t>Refinance</t>
        </is>
      </c>
      <c r="BD428" s="69" t="n"/>
      <c r="BE428" s="71" t="n"/>
      <c r="BF428" s="71" t="n"/>
      <c r="BG428" s="71" t="n"/>
      <c r="BH428" s="71" t="n">
        <v>0</v>
      </c>
      <c r="BI428" s="71" t="n">
        <v>0</v>
      </c>
      <c r="BJ428" s="69" t="inlineStr">
        <is>
          <t>N</t>
        </is>
      </c>
      <c r="BK428" s="69" t="inlineStr">
        <is>
          <t>Winn Dixie</t>
        </is>
      </c>
      <c r="BL428" s="75" t="n">
        <v>73</v>
      </c>
      <c r="BM428" s="73" t="n">
        <v>46393</v>
      </c>
      <c r="BN428" s="69" t="inlineStr">
        <is>
          <t>Victory Real Estate Investments, LLC</t>
        </is>
      </c>
      <c r="BO428" s="69" t="inlineStr">
        <is>
          <t>KeyBank</t>
        </is>
      </c>
      <c r="BP428" s="69" t="inlineStr">
        <is>
          <t>Midland Loan Services</t>
        </is>
      </c>
      <c r="BQ428" s="69" t="inlineStr">
        <is>
          <t>Midland Loan Services</t>
        </is>
      </c>
      <c r="BR428" s="69" t="n"/>
      <c r="BS428" s="73" t="n">
        <v>46276</v>
      </c>
      <c r="BU428" s="76">
        <f>IF($C428="","",IFERROR(INDEX(dmName,MATCH($C428,dmID,0)),"Unmapped"))</f>
        <v/>
      </c>
      <c r="BV428" s="76">
        <f>IF($C428="","",IFERROR(INDEX(dmEntity,MATCH($C428,dmID,0)),"Unmapped"))</f>
        <v/>
      </c>
      <c r="BW428" s="77">
        <f>IF($C428="","",IFERROR(INDEX(dmVintage,MATCH($C428,dmID,0)),""))</f>
        <v/>
      </c>
      <c r="BX428" s="78">
        <f>IFERROR(INDEX(dmInclude,MATCH($C428,dmID,0)),0)</f>
        <v/>
      </c>
      <c r="BY428" s="78">
        <f>IF(N($I428)&gt;0,1,0)</f>
        <v/>
      </c>
      <c r="BZ428" s="76">
        <f>IF($AJ428="","Other / Leased Fee",IFERROR(INDEX(mapPTGroup,MATCH(LEFT(TRIM($AJ428),2),mapPTCode,0)),"Other / Leased Fee"))</f>
        <v/>
      </c>
      <c r="CA428" s="76">
        <f>IF(TRIM($AF428&amp;"")="","NR",LEFT(TRIM($AF428),2))</f>
        <v/>
      </c>
      <c r="CB428" s="76">
        <f>IFERROR(LOOKUP(2,1/(LEFT(TRIM($AI428&amp;""),LEN(mapRegion))=mapRegion),mapRegion),"Not Reported")</f>
        <v/>
      </c>
      <c r="CC428" s="76">
        <f>IF($BY428=0,"",IF(TRIM($W428&amp;"")="REO","REO",IF(TRIM($W428&amp;"")="FC","Foreclosure",IF(TRIM($W428&amp;"")="90+","90+ Days Delinquent",IF(TRIM($W428&amp;"")="60","60 Days Delinquent",IF(TRIM($W428&amp;"")="30","30 Days Delinquent",IF($X428="Non-Performing Matured Balloon","Non-Performing Matured Balloon",IF(OR($X428="Late Payment But Less Than 30 Days Delinquent",LEFT($X428&amp;"",20)="Payment Not Received"),"Late / In Grace (&lt;30 Days)",IF($X428="Performing Matured Balloon","Performing Matured Balloon","Current")))))))))</f>
        <v/>
      </c>
      <c r="CD428" s="78">
        <f>IF(OR($CC428="REO",$CC428="Foreclosure",$CC428="90+ Days Delinquent",$CC428="60 Days Delinquent",$CC428="30 Days Delinquent",$CC428="Non-Performing Matured Balloon"),1,0)</f>
        <v/>
      </c>
      <c r="CE428" s="76">
        <f>IF($AB428="Currently special serv","Currently Specially Serviced",IF($AB428="Returned to master serv","Previously Specially Serviced","Never Specially Serviced"))</f>
        <v/>
      </c>
      <c r="CF428" s="78">
        <f>IF($CE428="Currently Specially Serviced",1,0)</f>
        <v/>
      </c>
      <c r="CG428" s="76">
        <f>IF($AA428="Yes","Currently on Watchlist",IF($AA428="Previously","Previously on Watchlist","Never on Watchlist"))</f>
        <v/>
      </c>
      <c r="CH428" s="78">
        <f>IF($CG428="Currently on Watchlist",1,0)</f>
        <v/>
      </c>
      <c r="CI428" s="76">
        <f>IF($Z428="Full Defeasance","Fully Defeased",IF($Z428="Portion Of Loan Previously Defeased","Partially Defeased",IF($Z428="Defeasance Not Allowable","Not Defeased (Not Permitted)","Not Defeased")))</f>
        <v/>
      </c>
      <c r="CJ428" s="78">
        <f>IF($CI428="Fully Defeased",1,0)</f>
        <v/>
      </c>
      <c r="CK428" s="76">
        <f>IF($R428="IO","Full IO",IF(LEFT($R428&amp;"",7)="IO then","Partial IO","Amortizing"))</f>
        <v/>
      </c>
      <c r="CL428" s="78">
        <f>IF($CK428="Full IO",1,0)</f>
        <v/>
      </c>
      <c r="CM428" s="78">
        <f>IF($CK428="Partial IO",1,0)</f>
        <v/>
      </c>
      <c r="CN428" s="76">
        <f>IF(LEFT($F428&amp;"",10)="SPLIT_LOAN","Pari Passu Split","Standalone")</f>
        <v/>
      </c>
      <c r="CO428" s="78">
        <f>IF($CN428="Pari Passu Split",1,0)</f>
        <v/>
      </c>
      <c r="CP428" s="77">
        <f>IF(ISNUMBER($T428),YEAR($T428),"")</f>
        <v/>
      </c>
      <c r="CQ428" s="79">
        <f>IF(ISNUMBER($V428),$V428,IF(ISNUMBER($U428),$U428,""))</f>
        <v/>
      </c>
      <c r="CR428" s="77">
        <f>IF(ISNUMBER($CQ428),YEAR($CQ428),"")</f>
        <v/>
      </c>
      <c r="CS428" s="78">
        <f>IF(ISNUMBER($M428),MAX(0,$M428),IF(TRIM($M428&amp;"")="matured",0,""))</f>
        <v/>
      </c>
      <c r="CT428" s="78">
        <f>IF(AND(ISNUMBER($CS428),N($CS428)&lt;=mMatWindow),1,0)</f>
        <v/>
      </c>
      <c r="CU428" s="80">
        <f>IF(ISNUMBER($J428),$J428/100,"")</f>
        <v/>
      </c>
      <c r="CV428" s="81">
        <f>IF(ISNUMBER($AQ428),$AQ428,"")</f>
        <v/>
      </c>
      <c r="CW428" s="81">
        <f>IF(ISNUMBER($AR428),$AR428,"")</f>
        <v/>
      </c>
      <c r="CX428" s="82">
        <f>IF(ISNUMBER($AS428),$AS428/100,"")</f>
        <v/>
      </c>
      <c r="CY428" s="82">
        <f>IF(ISNUMBER($AT428),$AT428/100,"")</f>
        <v/>
      </c>
      <c r="CZ428" s="82">
        <f>IF(ISNUMBER($AU428),$AU428/100,"")</f>
        <v/>
      </c>
      <c r="DA428" s="82">
        <f>IF(ISNUMBER($AV428),$AV428/100,"")</f>
        <v/>
      </c>
      <c r="DB428" s="82">
        <f>IF(ISNUMBER($AW428),$AW428/100,"")</f>
        <v/>
      </c>
      <c r="DC428" s="82">
        <f>IF(ISNUMBER($AX428),$AX428/100,"")</f>
        <v/>
      </c>
      <c r="DD428" s="77">
        <f>IFERROR(VALUE(LEFT(TRIM($AO428&amp;""),4)),"")</f>
        <v/>
      </c>
      <c r="DE428" s="78">
        <f>IF(AND($BY428=1,$BX428=1,OR(fDeal="All Deals",$BU428=fDeal),OR(fEntity="All Entities",$BV428=fEntity),OR(fPType="All Property Types",$BZ428=fPType),OR(fDefeased="Include",$CJ428=0)),1,0)</f>
        <v/>
      </c>
      <c r="DF428" s="83">
        <f>$DE428*N($I428)</f>
        <v/>
      </c>
      <c r="DG428" s="78">
        <f>IF($DE428=1,IF(COUNTIFS($F$8:$F428,$F428,$DE$8:$DE428,1)=1,1,0),0)</f>
        <v/>
      </c>
      <c r="DH428" s="83">
        <f>IF($DG428=1,SUMIFS($DF$8:$DF$1600,$F$8:$F$1600,$F428),0)</f>
        <v/>
      </c>
      <c r="DI428" s="78">
        <f>IF($DG428=1,COUNTIFS($F$8:$F$1600,$F428,$DE$8:$DE$1600,1),0)</f>
        <v/>
      </c>
      <c r="DJ428" s="84">
        <f>IF($DG428=1,$DH428+(100000-ROW())/mTieBreak,0)</f>
        <v/>
      </c>
    </row>
    <row r="429">
      <c r="B429" s="68" t="n">
        <v>1</v>
      </c>
      <c r="C429" s="69" t="inlineStr">
        <is>
          <t>UBS17C05</t>
        </is>
      </c>
      <c r="D429" s="69" t="inlineStr">
        <is>
          <t>1.TR</t>
        </is>
      </c>
      <c r="E429" s="69" t="inlineStr">
        <is>
          <t>Burbank Office Portfolio - Trust</t>
        </is>
      </c>
      <c r="F429" s="69" t="inlineStr">
        <is>
          <t>SPLIT_LOAN_01114</t>
        </is>
      </c>
      <c r="G429" s="70" t="n">
        <v>1114</v>
      </c>
      <c r="H429" s="71" t="n">
        <v>40000000</v>
      </c>
      <c r="I429" s="71" t="n">
        <v>0</v>
      </c>
      <c r="J429" s="72" t="n">
        <v>3.541</v>
      </c>
      <c r="K429" s="69" t="inlineStr">
        <is>
          <t>Fixed rate</t>
        </is>
      </c>
      <c r="L429" s="68" t="n">
        <v>84</v>
      </c>
      <c r="M429" s="68" t="n"/>
      <c r="N429" s="68" t="n">
        <v>84</v>
      </c>
      <c r="O429" s="68" t="n">
        <v>84</v>
      </c>
      <c r="P429" s="68" t="n"/>
      <c r="Q429" s="68" t="n"/>
      <c r="R429" s="69" t="inlineStr">
        <is>
          <t>IO</t>
        </is>
      </c>
      <c r="S429" s="69" t="inlineStr">
        <is>
          <t>Yes</t>
        </is>
      </c>
      <c r="T429" s="73" t="n">
        <v>43040</v>
      </c>
      <c r="U429" s="73" t="n">
        <v>45571</v>
      </c>
      <c r="V429" s="73" t="n"/>
      <c r="W429" s="69" t="n"/>
      <c r="X429" s="69" t="inlineStr">
        <is>
          <t>Current</t>
        </is>
      </c>
      <c r="Y429" s="68" t="n"/>
      <c r="Z429" s="69" t="inlineStr">
        <is>
          <t>Defeasance Not Allowable</t>
        </is>
      </c>
      <c r="AA429" s="69" t="inlineStr">
        <is>
          <t>Previously</t>
        </is>
      </c>
      <c r="AB429" s="69" t="inlineStr">
        <is>
          <t>Never special serv</t>
        </is>
      </c>
      <c r="AC429" s="73" t="n"/>
      <c r="AD429" s="69" t="n"/>
      <c r="AE429" s="69" t="n"/>
      <c r="AF429" s="69" t="inlineStr">
        <is>
          <t>CA</t>
        </is>
      </c>
      <c r="AG429" s="69" t="inlineStr">
        <is>
          <t>Burbank</t>
        </is>
      </c>
      <c r="AH429" s="69" t="inlineStr">
        <is>
          <t>Los Angeles-Long Beach-Anaheim, CA</t>
        </is>
      </c>
      <c r="AI429" s="69" t="inlineStr">
        <is>
          <t>West / Pacific South</t>
        </is>
      </c>
      <c r="AJ429" s="69" t="inlineStr">
        <is>
          <t>OF</t>
        </is>
      </c>
      <c r="AK429" s="69" t="inlineStr">
        <is>
          <t>CBD</t>
        </is>
      </c>
      <c r="AL429" s="68" t="n">
        <v>1</v>
      </c>
      <c r="AM429" s="68" t="n"/>
      <c r="AN429" s="68" t="n">
        <v>2087579</v>
      </c>
      <c r="AO429" s="69" t="n"/>
      <c r="AP429" s="70" t="n">
        <v>2009</v>
      </c>
      <c r="AQ429" s="74" t="n">
        <v>4.64</v>
      </c>
      <c r="AR429" s="74" t="n">
        <v>4.18</v>
      </c>
      <c r="AS429" s="74" t="n">
        <v>36.5</v>
      </c>
      <c r="AT429" s="74" t="n"/>
      <c r="AU429" s="74" t="n">
        <v>36.5</v>
      </c>
      <c r="AV429" s="74" t="n">
        <v>16.66467658</v>
      </c>
      <c r="AW429" s="74" t="n"/>
      <c r="AX429" s="75" t="n">
        <v>92.40000000000001</v>
      </c>
      <c r="AY429" s="71" t="n">
        <v>1038000000</v>
      </c>
      <c r="AZ429" s="71" t="n">
        <v>1038000000</v>
      </c>
      <c r="BA429" s="71" t="n">
        <v>63159124.24</v>
      </c>
      <c r="BB429" s="71" t="n">
        <v>14204473.81</v>
      </c>
      <c r="BC429" s="69" t="inlineStr">
        <is>
          <t>Acquisition</t>
        </is>
      </c>
      <c r="BD429" s="69" t="inlineStr">
        <is>
          <t>N</t>
        </is>
      </c>
      <c r="BE429" s="71" t="n">
        <v>0</v>
      </c>
      <c r="BF429" s="71" t="n">
        <v>0</v>
      </c>
      <c r="BG429" s="71" t="n"/>
      <c r="BH429" s="71" t="n">
        <v>0</v>
      </c>
      <c r="BI429" s="71" t="n">
        <v>0</v>
      </c>
      <c r="BJ429" s="69" t="inlineStr">
        <is>
          <t>N</t>
        </is>
      </c>
      <c r="BK429" s="69" t="inlineStr">
        <is>
          <t>ABC Cable Networks Group</t>
        </is>
      </c>
      <c r="BL429" s="75" t="n">
        <v>20.21</v>
      </c>
      <c r="BM429" s="73" t="n">
        <v>47934</v>
      </c>
      <c r="BN429" s="69" t="inlineStr">
        <is>
          <t>Blackstone Property Partners; The Worthe Real Estate Group, Inc.</t>
        </is>
      </c>
      <c r="BO429" s="69" t="inlineStr">
        <is>
          <t>GACC/UBS</t>
        </is>
      </c>
      <c r="BP429" s="69" t="inlineStr">
        <is>
          <t>Midland Loan Services</t>
        </is>
      </c>
      <c r="BQ429" s="69" t="inlineStr">
        <is>
          <t>Aegon USA Realty</t>
        </is>
      </c>
      <c r="BR429" s="69" t="inlineStr">
        <is>
          <t>Full Payoff At Maturity</t>
        </is>
      </c>
      <c r="BS429" s="73" t="n">
        <v>45576</v>
      </c>
      <c r="BU429" s="76">
        <f>IF($C429="","",IFERROR(INDEX(dmName,MATCH($C429,dmID,0)),"Unmapped"))</f>
        <v/>
      </c>
      <c r="BV429" s="76">
        <f>IF($C429="","",IFERROR(INDEX(dmEntity,MATCH($C429,dmID,0)),"Unmapped"))</f>
        <v/>
      </c>
      <c r="BW429" s="77">
        <f>IF($C429="","",IFERROR(INDEX(dmVintage,MATCH($C429,dmID,0)),""))</f>
        <v/>
      </c>
      <c r="BX429" s="78">
        <f>IFERROR(INDEX(dmInclude,MATCH($C429,dmID,0)),0)</f>
        <v/>
      </c>
      <c r="BY429" s="78">
        <f>IF(N($I429)&gt;0,1,0)</f>
        <v/>
      </c>
      <c r="BZ429" s="76">
        <f>IF($AJ429="","Other / Leased Fee",IFERROR(INDEX(mapPTGroup,MATCH(LEFT(TRIM($AJ429),2),mapPTCode,0)),"Other / Leased Fee"))</f>
        <v/>
      </c>
      <c r="CA429" s="76">
        <f>IF(TRIM($AF429&amp;"")="","NR",LEFT(TRIM($AF429),2))</f>
        <v/>
      </c>
      <c r="CB429" s="76">
        <f>IFERROR(LOOKUP(2,1/(LEFT(TRIM($AI429&amp;""),LEN(mapRegion))=mapRegion),mapRegion),"Not Reported")</f>
        <v/>
      </c>
      <c r="CC429" s="76">
        <f>IF($BY429=0,"",IF(TRIM($W429&amp;"")="REO","REO",IF(TRIM($W429&amp;"")="FC","Foreclosure",IF(TRIM($W429&amp;"")="90+","90+ Days Delinquent",IF(TRIM($W429&amp;"")="60","60 Days Delinquent",IF(TRIM($W429&amp;"")="30","30 Days Delinquent",IF($X429="Non-Performing Matured Balloon","Non-Performing Matured Balloon",IF(OR($X429="Late Payment But Less Than 30 Days Delinquent",LEFT($X429&amp;"",20)="Payment Not Received"),"Late / In Grace (&lt;30 Days)",IF($X429="Performing Matured Balloon","Performing Matured Balloon","Current")))))))))</f>
        <v/>
      </c>
      <c r="CD429" s="78">
        <f>IF(OR($CC429="REO",$CC429="Foreclosure",$CC429="90+ Days Delinquent",$CC429="60 Days Delinquent",$CC429="30 Days Delinquent",$CC429="Non-Performing Matured Balloon"),1,0)</f>
        <v/>
      </c>
      <c r="CE429" s="76">
        <f>IF($AB429="Currently special serv","Currently Specially Serviced",IF($AB429="Returned to master serv","Previously Specially Serviced","Never Specially Serviced"))</f>
        <v/>
      </c>
      <c r="CF429" s="78">
        <f>IF($CE429="Currently Specially Serviced",1,0)</f>
        <v/>
      </c>
      <c r="CG429" s="76">
        <f>IF($AA429="Yes","Currently on Watchlist",IF($AA429="Previously","Previously on Watchlist","Never on Watchlist"))</f>
        <v/>
      </c>
      <c r="CH429" s="78">
        <f>IF($CG429="Currently on Watchlist",1,0)</f>
        <v/>
      </c>
      <c r="CI429" s="76">
        <f>IF($Z429="Full Defeasance","Fully Defeased",IF($Z429="Portion Of Loan Previously Defeased","Partially Defeased",IF($Z429="Defeasance Not Allowable","Not Defeased (Not Permitted)","Not Defeased")))</f>
        <v/>
      </c>
      <c r="CJ429" s="78">
        <f>IF($CI429="Fully Defeased",1,0)</f>
        <v/>
      </c>
      <c r="CK429" s="76">
        <f>IF($R429="IO","Full IO",IF(LEFT($R429&amp;"",7)="IO then","Partial IO","Amortizing"))</f>
        <v/>
      </c>
      <c r="CL429" s="78">
        <f>IF($CK429="Full IO",1,0)</f>
        <v/>
      </c>
      <c r="CM429" s="78">
        <f>IF($CK429="Partial IO",1,0)</f>
        <v/>
      </c>
      <c r="CN429" s="76">
        <f>IF(LEFT($F429&amp;"",10)="SPLIT_LOAN","Pari Passu Split","Standalone")</f>
        <v/>
      </c>
      <c r="CO429" s="78">
        <f>IF($CN429="Pari Passu Split",1,0)</f>
        <v/>
      </c>
      <c r="CP429" s="77">
        <f>IF(ISNUMBER($T429),YEAR($T429),"")</f>
        <v/>
      </c>
      <c r="CQ429" s="79">
        <f>IF(ISNUMBER($V429),$V429,IF(ISNUMBER($U429),$U429,""))</f>
        <v/>
      </c>
      <c r="CR429" s="77">
        <f>IF(ISNUMBER($CQ429),YEAR($CQ429),"")</f>
        <v/>
      </c>
      <c r="CS429" s="78">
        <f>IF(ISNUMBER($M429),MAX(0,$M429),IF(TRIM($M429&amp;"")="matured",0,""))</f>
        <v/>
      </c>
      <c r="CT429" s="78">
        <f>IF(AND(ISNUMBER($CS429),N($CS429)&lt;=mMatWindow),1,0)</f>
        <v/>
      </c>
      <c r="CU429" s="80">
        <f>IF(ISNUMBER($J429),$J429/100,"")</f>
        <v/>
      </c>
      <c r="CV429" s="81">
        <f>IF(ISNUMBER($AQ429),$AQ429,"")</f>
        <v/>
      </c>
      <c r="CW429" s="81">
        <f>IF(ISNUMBER($AR429),$AR429,"")</f>
        <v/>
      </c>
      <c r="CX429" s="82">
        <f>IF(ISNUMBER($AS429),$AS429/100,"")</f>
        <v/>
      </c>
      <c r="CY429" s="82">
        <f>IF(ISNUMBER($AT429),$AT429/100,"")</f>
        <v/>
      </c>
      <c r="CZ429" s="82">
        <f>IF(ISNUMBER($AU429),$AU429/100,"")</f>
        <v/>
      </c>
      <c r="DA429" s="82">
        <f>IF(ISNUMBER($AV429),$AV429/100,"")</f>
        <v/>
      </c>
      <c r="DB429" s="82">
        <f>IF(ISNUMBER($AW429),$AW429/100,"")</f>
        <v/>
      </c>
      <c r="DC429" s="82">
        <f>IF(ISNUMBER($AX429),$AX429/100,"")</f>
        <v/>
      </c>
      <c r="DD429" s="77">
        <f>IFERROR(VALUE(LEFT(TRIM($AO429&amp;""),4)),"")</f>
        <v/>
      </c>
      <c r="DE429" s="78">
        <f>IF(AND($BY429=1,$BX429=1,OR(fDeal="All Deals",$BU429=fDeal),OR(fEntity="All Entities",$BV429=fEntity),OR(fPType="All Property Types",$BZ429=fPType),OR(fDefeased="Include",$CJ429=0)),1,0)</f>
        <v/>
      </c>
      <c r="DF429" s="83">
        <f>$DE429*N($I429)</f>
        <v/>
      </c>
      <c r="DG429" s="78">
        <f>IF($DE429=1,IF(COUNTIFS($F$8:$F429,$F429,$DE$8:$DE429,1)=1,1,0),0)</f>
        <v/>
      </c>
      <c r="DH429" s="83">
        <f>IF($DG429=1,SUMIFS($DF$8:$DF$1600,$F$8:$F$1600,$F429),0)</f>
        <v/>
      </c>
      <c r="DI429" s="78">
        <f>IF($DG429=1,COUNTIFS($F$8:$F$1600,$F429,$DE$8:$DE$1600,1),0)</f>
        <v/>
      </c>
      <c r="DJ429" s="84">
        <f>IF($DG429=1,$DH429+(100000-ROW())/mTieBreak,0)</f>
        <v/>
      </c>
    </row>
    <row r="430">
      <c r="B430" s="68" t="n">
        <v>2</v>
      </c>
      <c r="C430" s="69" t="inlineStr">
        <is>
          <t>UBS17C05</t>
        </is>
      </c>
      <c r="D430" s="69" t="inlineStr">
        <is>
          <t>2.TR</t>
        </is>
      </c>
      <c r="E430" s="69" t="inlineStr">
        <is>
          <t>Yorkshire &amp; Lexington Towers - Trust</t>
        </is>
      </c>
      <c r="F430" s="69" t="inlineStr">
        <is>
          <t>SPLIT_LOAN_01115</t>
        </is>
      </c>
      <c r="G430" s="70" t="n">
        <v>1115</v>
      </c>
      <c r="H430" s="71" t="n">
        <v>40000000</v>
      </c>
      <c r="I430" s="71" t="n">
        <v>0</v>
      </c>
      <c r="J430" s="72" t="n">
        <v>2.74</v>
      </c>
      <c r="K430" s="69" t="inlineStr">
        <is>
          <t>Fixed rate</t>
        </is>
      </c>
      <c r="L430" s="68" t="n">
        <v>60</v>
      </c>
      <c r="M430" s="68" t="n"/>
      <c r="N430" s="68" t="n">
        <v>60</v>
      </c>
      <c r="O430" s="68" t="n">
        <v>60</v>
      </c>
      <c r="P430" s="68" t="n"/>
      <c r="Q430" s="68" t="n"/>
      <c r="R430" s="69" t="inlineStr">
        <is>
          <t>IO</t>
        </is>
      </c>
      <c r="S430" s="69" t="inlineStr">
        <is>
          <t>Yes</t>
        </is>
      </c>
      <c r="T430" s="73" t="n">
        <v>43040</v>
      </c>
      <c r="U430" s="73" t="n">
        <v>44840</v>
      </c>
      <c r="V430" s="73" t="n"/>
      <c r="W430" s="69" t="n"/>
      <c r="X430" s="69" t="inlineStr">
        <is>
          <t>Current</t>
        </is>
      </c>
      <c r="Y430" s="68" t="n"/>
      <c r="Z430" s="69" t="inlineStr">
        <is>
          <t>Defeasance Not Allowable</t>
        </is>
      </c>
      <c r="AA430" s="69" t="inlineStr">
        <is>
          <t>Previously</t>
        </is>
      </c>
      <c r="AB430" s="69" t="inlineStr">
        <is>
          <t>Never special serv</t>
        </is>
      </c>
      <c r="AC430" s="73" t="n"/>
      <c r="AD430" s="69" t="n"/>
      <c r="AE430" s="69" t="n"/>
      <c r="AF430" s="69" t="inlineStr">
        <is>
          <t>NY</t>
        </is>
      </c>
      <c r="AG430" s="69" t="inlineStr">
        <is>
          <t>New York</t>
        </is>
      </c>
      <c r="AH430" s="69" t="inlineStr">
        <is>
          <t>New York-Newark-Jersey City, NY-NJ</t>
        </is>
      </c>
      <c r="AI430" s="69" t="inlineStr">
        <is>
          <t>Northeast / Mid-Atlantic</t>
        </is>
      </c>
      <c r="AJ430" s="69" t="inlineStr">
        <is>
          <t>MF</t>
        </is>
      </c>
      <c r="AK430" s="69" t="inlineStr">
        <is>
          <t>High Rise</t>
        </is>
      </c>
      <c r="AL430" s="68" t="n">
        <v>1</v>
      </c>
      <c r="AM430" s="68" t="n">
        <v>827</v>
      </c>
      <c r="AN430" s="68" t="n"/>
      <c r="AO430" s="69" t="n"/>
      <c r="AP430" s="70" t="n">
        <v>2017</v>
      </c>
      <c r="AQ430" s="74" t="n">
        <v>4.28</v>
      </c>
      <c r="AR430" s="74" t="n">
        <v>3.31</v>
      </c>
      <c r="AS430" s="74" t="n">
        <v>22.5</v>
      </c>
      <c r="AT430" s="74" t="n"/>
      <c r="AU430" s="74" t="n">
        <v>22.5</v>
      </c>
      <c r="AV430" s="74" t="n">
        <v>11.8824925</v>
      </c>
      <c r="AW430" s="74" t="n"/>
      <c r="AX430" s="75" t="n">
        <v>81</v>
      </c>
      <c r="AY430" s="71" t="n">
        <v>890000000</v>
      </c>
      <c r="AZ430" s="71" t="n">
        <v>890000000</v>
      </c>
      <c r="BA430" s="71" t="n">
        <v>23764985</v>
      </c>
      <c r="BB430" s="71" t="n">
        <v>18318008.68</v>
      </c>
      <c r="BC430" s="69" t="inlineStr">
        <is>
          <t>Refinance</t>
        </is>
      </c>
      <c r="BD430" s="69" t="inlineStr">
        <is>
          <t>N</t>
        </is>
      </c>
      <c r="BE430" s="71" t="n">
        <v>0</v>
      </c>
      <c r="BF430" s="71" t="n">
        <v>0</v>
      </c>
      <c r="BG430" s="71" t="n">
        <v>150000000</v>
      </c>
      <c r="BH430" s="71" t="n">
        <v>0</v>
      </c>
      <c r="BI430" s="71" t="n">
        <v>0</v>
      </c>
      <c r="BJ430" s="69" t="inlineStr">
        <is>
          <t>N</t>
        </is>
      </c>
      <c r="BK430" s="69" t="n"/>
      <c r="BL430" s="75" t="n"/>
      <c r="BM430" s="73" t="n"/>
      <c r="BN430" s="69" t="inlineStr">
        <is>
          <t>The Chetrit Group LLC; Stellar Management LLC</t>
        </is>
      </c>
      <c r="BO430" s="69" t="inlineStr">
        <is>
          <t>Natixis / UBS</t>
        </is>
      </c>
      <c r="BP430" s="69" t="inlineStr">
        <is>
          <t>Midland Loan Services</t>
        </is>
      </c>
      <c r="BQ430" s="69" t="inlineStr">
        <is>
          <t>CWCapital</t>
        </is>
      </c>
      <c r="BR430" s="69" t="inlineStr">
        <is>
          <t>Payoff Prior To Maturity</t>
        </is>
      </c>
      <c r="BS430" s="73" t="n">
        <v>44725</v>
      </c>
      <c r="BU430" s="76">
        <f>IF($C430="","",IFERROR(INDEX(dmName,MATCH($C430,dmID,0)),"Unmapped"))</f>
        <v/>
      </c>
      <c r="BV430" s="76">
        <f>IF($C430="","",IFERROR(INDEX(dmEntity,MATCH($C430,dmID,0)),"Unmapped"))</f>
        <v/>
      </c>
      <c r="BW430" s="77">
        <f>IF($C430="","",IFERROR(INDEX(dmVintage,MATCH($C430,dmID,0)),""))</f>
        <v/>
      </c>
      <c r="BX430" s="78">
        <f>IFERROR(INDEX(dmInclude,MATCH($C430,dmID,0)),0)</f>
        <v/>
      </c>
      <c r="BY430" s="78">
        <f>IF(N($I430)&gt;0,1,0)</f>
        <v/>
      </c>
      <c r="BZ430" s="76">
        <f>IF($AJ430="","Other / Leased Fee",IFERROR(INDEX(mapPTGroup,MATCH(LEFT(TRIM($AJ430),2),mapPTCode,0)),"Other / Leased Fee"))</f>
        <v/>
      </c>
      <c r="CA430" s="76">
        <f>IF(TRIM($AF430&amp;"")="","NR",LEFT(TRIM($AF430),2))</f>
        <v/>
      </c>
      <c r="CB430" s="76">
        <f>IFERROR(LOOKUP(2,1/(LEFT(TRIM($AI430&amp;""),LEN(mapRegion))=mapRegion),mapRegion),"Not Reported")</f>
        <v/>
      </c>
      <c r="CC430" s="76">
        <f>IF($BY430=0,"",IF(TRIM($W430&amp;"")="REO","REO",IF(TRIM($W430&amp;"")="FC","Foreclosure",IF(TRIM($W430&amp;"")="90+","90+ Days Delinquent",IF(TRIM($W430&amp;"")="60","60 Days Delinquent",IF(TRIM($W430&amp;"")="30","30 Days Delinquent",IF($X430="Non-Performing Matured Balloon","Non-Performing Matured Balloon",IF(OR($X430="Late Payment But Less Than 30 Days Delinquent",LEFT($X430&amp;"",20)="Payment Not Received"),"Late / In Grace (&lt;30 Days)",IF($X430="Performing Matured Balloon","Performing Matured Balloon","Current")))))))))</f>
        <v/>
      </c>
      <c r="CD430" s="78">
        <f>IF(OR($CC430="REO",$CC430="Foreclosure",$CC430="90+ Days Delinquent",$CC430="60 Days Delinquent",$CC430="30 Days Delinquent",$CC430="Non-Performing Matured Balloon"),1,0)</f>
        <v/>
      </c>
      <c r="CE430" s="76">
        <f>IF($AB430="Currently special serv","Currently Specially Serviced",IF($AB430="Returned to master serv","Previously Specially Serviced","Never Specially Serviced"))</f>
        <v/>
      </c>
      <c r="CF430" s="78">
        <f>IF($CE430="Currently Specially Serviced",1,0)</f>
        <v/>
      </c>
      <c r="CG430" s="76">
        <f>IF($AA430="Yes","Currently on Watchlist",IF($AA430="Previously","Previously on Watchlist","Never on Watchlist"))</f>
        <v/>
      </c>
      <c r="CH430" s="78">
        <f>IF($CG430="Currently on Watchlist",1,0)</f>
        <v/>
      </c>
      <c r="CI430" s="76">
        <f>IF($Z430="Full Defeasance","Fully Defeased",IF($Z430="Portion Of Loan Previously Defeased","Partially Defeased",IF($Z430="Defeasance Not Allowable","Not Defeased (Not Permitted)","Not Defeased")))</f>
        <v/>
      </c>
      <c r="CJ430" s="78">
        <f>IF($CI430="Fully Defeased",1,0)</f>
        <v/>
      </c>
      <c r="CK430" s="76">
        <f>IF($R430="IO","Full IO",IF(LEFT($R430&amp;"",7)="IO then","Partial IO","Amortizing"))</f>
        <v/>
      </c>
      <c r="CL430" s="78">
        <f>IF($CK430="Full IO",1,0)</f>
        <v/>
      </c>
      <c r="CM430" s="78">
        <f>IF($CK430="Partial IO",1,0)</f>
        <v/>
      </c>
      <c r="CN430" s="76">
        <f>IF(LEFT($F430&amp;"",10)="SPLIT_LOAN","Pari Passu Split","Standalone")</f>
        <v/>
      </c>
      <c r="CO430" s="78">
        <f>IF($CN430="Pari Passu Split",1,0)</f>
        <v/>
      </c>
      <c r="CP430" s="77">
        <f>IF(ISNUMBER($T430),YEAR($T430),"")</f>
        <v/>
      </c>
      <c r="CQ430" s="79">
        <f>IF(ISNUMBER($V430),$V430,IF(ISNUMBER($U430),$U430,""))</f>
        <v/>
      </c>
      <c r="CR430" s="77">
        <f>IF(ISNUMBER($CQ430),YEAR($CQ430),"")</f>
        <v/>
      </c>
      <c r="CS430" s="78">
        <f>IF(ISNUMBER($M430),MAX(0,$M430),IF(TRIM($M430&amp;"")="matured",0,""))</f>
        <v/>
      </c>
      <c r="CT430" s="78">
        <f>IF(AND(ISNUMBER($CS430),N($CS430)&lt;=mMatWindow),1,0)</f>
        <v/>
      </c>
      <c r="CU430" s="80">
        <f>IF(ISNUMBER($J430),$J430/100,"")</f>
        <v/>
      </c>
      <c r="CV430" s="81">
        <f>IF(ISNUMBER($AQ430),$AQ430,"")</f>
        <v/>
      </c>
      <c r="CW430" s="81">
        <f>IF(ISNUMBER($AR430),$AR430,"")</f>
        <v/>
      </c>
      <c r="CX430" s="82">
        <f>IF(ISNUMBER($AS430),$AS430/100,"")</f>
        <v/>
      </c>
      <c r="CY430" s="82">
        <f>IF(ISNUMBER($AT430),$AT430/100,"")</f>
        <v/>
      </c>
      <c r="CZ430" s="82">
        <f>IF(ISNUMBER($AU430),$AU430/100,"")</f>
        <v/>
      </c>
      <c r="DA430" s="82">
        <f>IF(ISNUMBER($AV430),$AV430/100,"")</f>
        <v/>
      </c>
      <c r="DB430" s="82">
        <f>IF(ISNUMBER($AW430),$AW430/100,"")</f>
        <v/>
      </c>
      <c r="DC430" s="82">
        <f>IF(ISNUMBER($AX430),$AX430/100,"")</f>
        <v/>
      </c>
      <c r="DD430" s="77">
        <f>IFERROR(VALUE(LEFT(TRIM($AO430&amp;""),4)),"")</f>
        <v/>
      </c>
      <c r="DE430" s="78">
        <f>IF(AND($BY430=1,$BX430=1,OR(fDeal="All Deals",$BU430=fDeal),OR(fEntity="All Entities",$BV430=fEntity),OR(fPType="All Property Types",$BZ430=fPType),OR(fDefeased="Include",$CJ430=0)),1,0)</f>
        <v/>
      </c>
      <c r="DF430" s="83">
        <f>$DE430*N($I430)</f>
        <v/>
      </c>
      <c r="DG430" s="78">
        <f>IF($DE430=1,IF(COUNTIFS($F$8:$F430,$F430,$DE$8:$DE430,1)=1,1,0),0)</f>
        <v/>
      </c>
      <c r="DH430" s="83">
        <f>IF($DG430=1,SUMIFS($DF$8:$DF$1600,$F$8:$F$1600,$F430),0)</f>
        <v/>
      </c>
      <c r="DI430" s="78">
        <f>IF($DG430=1,COUNTIFS($F$8:$F$1600,$F430,$DE$8:$DE$1600,1),0)</f>
        <v/>
      </c>
      <c r="DJ430" s="84">
        <f>IF($DG430=1,$DH430+(100000-ROW())/mTieBreak,0)</f>
        <v/>
      </c>
    </row>
    <row r="431">
      <c r="B431" s="68" t="n">
        <v>3</v>
      </c>
      <c r="C431" s="69" t="inlineStr">
        <is>
          <t>UBS17C05</t>
        </is>
      </c>
      <c r="D431" s="69" t="inlineStr">
        <is>
          <t>3.000</t>
        </is>
      </c>
      <c r="E431" s="69" t="inlineStr">
        <is>
          <t>Griffin Portfolio</t>
        </is>
      </c>
      <c r="F431" s="69" t="inlineStr">
        <is>
          <t>SPLIT_LOAN_01108</t>
        </is>
      </c>
      <c r="G431" s="70" t="n">
        <v>1108</v>
      </c>
      <c r="H431" s="71" t="n">
        <v>40000000</v>
      </c>
      <c r="I431" s="71" t="n">
        <v>0</v>
      </c>
      <c r="J431" s="72" t="n">
        <v>3.77</v>
      </c>
      <c r="K431" s="69" t="inlineStr">
        <is>
          <t>Fixed rate</t>
        </is>
      </c>
      <c r="L431" s="68" t="n">
        <v>120</v>
      </c>
      <c r="M431" s="68" t="n"/>
      <c r="N431" s="68" t="n">
        <v>120</v>
      </c>
      <c r="O431" s="68" t="n">
        <v>120</v>
      </c>
      <c r="P431" s="68" t="n"/>
      <c r="Q431" s="68" t="n"/>
      <c r="R431" s="69" t="inlineStr">
        <is>
          <t>IO</t>
        </is>
      </c>
      <c r="S431" s="69" t="inlineStr">
        <is>
          <t>Yes</t>
        </is>
      </c>
      <c r="T431" s="73" t="n">
        <v>43009</v>
      </c>
      <c r="U431" s="73" t="n">
        <v>46661</v>
      </c>
      <c r="V431" s="73" t="n"/>
      <c r="W431" s="69" t="n"/>
      <c r="X431" s="69" t="inlineStr">
        <is>
          <t>Current</t>
        </is>
      </c>
      <c r="Y431" s="68" t="n"/>
      <c r="Z431" s="69" t="inlineStr">
        <is>
          <t>Defeasance Not Allowable</t>
        </is>
      </c>
      <c r="AA431" s="69" t="n"/>
      <c r="AB431" s="69" t="inlineStr">
        <is>
          <t>Never special serv</t>
        </is>
      </c>
      <c r="AC431" s="73" t="n"/>
      <c r="AD431" s="69" t="n"/>
      <c r="AE431" s="69" t="n"/>
      <c r="AF431" s="69" t="inlineStr">
        <is>
          <t>TX-22.682400006% CA-20.800000005% GA-18.522933330% OH-10.573333328% AZ-10.400000003% NC-7.193333327% IL-6.066666677% WA-3.761333326%</t>
        </is>
      </c>
      <c r="AG431" s="69" t="n"/>
      <c r="AH431" s="69" t="inlineStr">
        <is>
          <t>Dallas-Fort Worth-Arlington, TX-22.682400006% Modesto, CA-20.800000005% Atlanta-Sandy Springs-Roswell, GA-18.522933330% Cincinnati, OH-KY-IN-10.573333328% Phoenix-Mesa-Chandler, AZ-10.400000003% Charlotte-Concord-Gastonia, NC-SC-7.193333327% Chicago-Naperville-Elgin, IL-IN-6.066666677% Seattle-Tacoma-Bellevue, WA-3.761333326%</t>
        </is>
      </c>
      <c r="AI431" s="69" t="inlineStr">
        <is>
          <t>South / Atlantic-25.716266656% West / Pacific North-24.561333331% South / Central West-22.682400006% Midwest / Central East-16.640000004% West / Mountain-10.400000003%</t>
        </is>
      </c>
      <c r="AJ431" s="69" t="inlineStr">
        <is>
          <t>OF-79.199999995% IN-20.800000005%</t>
        </is>
      </c>
      <c r="AK431" s="69" t="n"/>
      <c r="AL431" s="68" t="n">
        <v>10</v>
      </c>
      <c r="AM431" s="68" t="n"/>
      <c r="AN431" s="68" t="n">
        <v>3708698</v>
      </c>
      <c r="AO431" s="69" t="n"/>
      <c r="AP431" s="70" t="n">
        <v>2015</v>
      </c>
      <c r="AQ431" s="74" t="n">
        <v>2.49</v>
      </c>
      <c r="AR431" s="74" t="n">
        <v>2.73</v>
      </c>
      <c r="AS431" s="74" t="n">
        <v>61.5</v>
      </c>
      <c r="AT431" s="74" t="n"/>
      <c r="AU431" s="74" t="n">
        <v>61.5</v>
      </c>
      <c r="AV431" s="74" t="n">
        <v>9.507467162999999</v>
      </c>
      <c r="AW431" s="74" t="n"/>
      <c r="AX431" s="75" t="n">
        <v>98.40000000000001</v>
      </c>
      <c r="AY431" s="71" t="n">
        <v>610000000</v>
      </c>
      <c r="AZ431" s="71" t="n">
        <v>592060000</v>
      </c>
      <c r="BA431" s="71" t="n">
        <v>35653001.86</v>
      </c>
      <c r="BB431" s="71" t="n">
        <v>19482032.86</v>
      </c>
      <c r="BC431" s="69" t="inlineStr">
        <is>
          <t>Recapitalization</t>
        </is>
      </c>
      <c r="BD431" s="69" t="inlineStr">
        <is>
          <t>N</t>
        </is>
      </c>
      <c r="BE431" s="71" t="n">
        <v>0</v>
      </c>
      <c r="BF431" s="71" t="n"/>
      <c r="BG431" s="71" t="n"/>
      <c r="BH431" s="71" t="n">
        <v>0</v>
      </c>
      <c r="BI431" s="71" t="n">
        <v>0</v>
      </c>
      <c r="BJ431" s="69" t="inlineStr">
        <is>
          <t>N</t>
        </is>
      </c>
      <c r="BK431" s="69" t="inlineStr">
        <is>
          <t>RESTORATION</t>
        </is>
      </c>
      <c r="BL431" s="75" t="n">
        <v>40.48</v>
      </c>
      <c r="BM431" s="73" t="n">
        <v>47726</v>
      </c>
      <c r="BN431" s="69" t="inlineStr">
        <is>
          <t>Griffin Capital Essential Asset REIT Inc.</t>
        </is>
      </c>
      <c r="BO431" s="69" t="inlineStr">
        <is>
          <t>Bank of America</t>
        </is>
      </c>
      <c r="BP431" s="69" t="inlineStr">
        <is>
          <t>Midland Loan Services</t>
        </is>
      </c>
      <c r="BQ431" s="69" t="inlineStr">
        <is>
          <t>Midland Loan Services</t>
        </is>
      </c>
      <c r="BR431" s="69" t="inlineStr">
        <is>
          <t>Payoff With Yield Maintenance</t>
        </is>
      </c>
      <c r="BS431" s="73" t="n">
        <v>44816</v>
      </c>
      <c r="BU431" s="76">
        <f>IF($C431="","",IFERROR(INDEX(dmName,MATCH($C431,dmID,0)),"Unmapped"))</f>
        <v/>
      </c>
      <c r="BV431" s="76">
        <f>IF($C431="","",IFERROR(INDEX(dmEntity,MATCH($C431,dmID,0)),"Unmapped"))</f>
        <v/>
      </c>
      <c r="BW431" s="77">
        <f>IF($C431="","",IFERROR(INDEX(dmVintage,MATCH($C431,dmID,0)),""))</f>
        <v/>
      </c>
      <c r="BX431" s="78">
        <f>IFERROR(INDEX(dmInclude,MATCH($C431,dmID,0)),0)</f>
        <v/>
      </c>
      <c r="BY431" s="78">
        <f>IF(N($I431)&gt;0,1,0)</f>
        <v/>
      </c>
      <c r="BZ431" s="76">
        <f>IF($AJ431="","Other / Leased Fee",IFERROR(INDEX(mapPTGroup,MATCH(LEFT(TRIM($AJ431),2),mapPTCode,0)),"Other / Leased Fee"))</f>
        <v/>
      </c>
      <c r="CA431" s="76">
        <f>IF(TRIM($AF431&amp;"")="","NR",LEFT(TRIM($AF431),2))</f>
        <v/>
      </c>
      <c r="CB431" s="76">
        <f>IFERROR(LOOKUP(2,1/(LEFT(TRIM($AI431&amp;""),LEN(mapRegion))=mapRegion),mapRegion),"Not Reported")</f>
        <v/>
      </c>
      <c r="CC431" s="76">
        <f>IF($BY431=0,"",IF(TRIM($W431&amp;"")="REO","REO",IF(TRIM($W431&amp;"")="FC","Foreclosure",IF(TRIM($W431&amp;"")="90+","90+ Days Delinquent",IF(TRIM($W431&amp;"")="60","60 Days Delinquent",IF(TRIM($W431&amp;"")="30","30 Days Delinquent",IF($X431="Non-Performing Matured Balloon","Non-Performing Matured Balloon",IF(OR($X431="Late Payment But Less Than 30 Days Delinquent",LEFT($X431&amp;"",20)="Payment Not Received"),"Late / In Grace (&lt;30 Days)",IF($X431="Performing Matured Balloon","Performing Matured Balloon","Current")))))))))</f>
        <v/>
      </c>
      <c r="CD431" s="78">
        <f>IF(OR($CC431="REO",$CC431="Foreclosure",$CC431="90+ Days Delinquent",$CC431="60 Days Delinquent",$CC431="30 Days Delinquent",$CC431="Non-Performing Matured Balloon"),1,0)</f>
        <v/>
      </c>
      <c r="CE431" s="76">
        <f>IF($AB431="Currently special serv","Currently Specially Serviced",IF($AB431="Returned to master serv","Previously Specially Serviced","Never Specially Serviced"))</f>
        <v/>
      </c>
      <c r="CF431" s="78">
        <f>IF($CE431="Currently Specially Serviced",1,0)</f>
        <v/>
      </c>
      <c r="CG431" s="76">
        <f>IF($AA431="Yes","Currently on Watchlist",IF($AA431="Previously","Previously on Watchlist","Never on Watchlist"))</f>
        <v/>
      </c>
      <c r="CH431" s="78">
        <f>IF($CG431="Currently on Watchlist",1,0)</f>
        <v/>
      </c>
      <c r="CI431" s="76">
        <f>IF($Z431="Full Defeasance","Fully Defeased",IF($Z431="Portion Of Loan Previously Defeased","Partially Defeased",IF($Z431="Defeasance Not Allowable","Not Defeased (Not Permitted)","Not Defeased")))</f>
        <v/>
      </c>
      <c r="CJ431" s="78">
        <f>IF($CI431="Fully Defeased",1,0)</f>
        <v/>
      </c>
      <c r="CK431" s="76">
        <f>IF($R431="IO","Full IO",IF(LEFT($R431&amp;"",7)="IO then","Partial IO","Amortizing"))</f>
        <v/>
      </c>
      <c r="CL431" s="78">
        <f>IF($CK431="Full IO",1,0)</f>
        <v/>
      </c>
      <c r="CM431" s="78">
        <f>IF($CK431="Partial IO",1,0)</f>
        <v/>
      </c>
      <c r="CN431" s="76">
        <f>IF(LEFT($F431&amp;"",10)="SPLIT_LOAN","Pari Passu Split","Standalone")</f>
        <v/>
      </c>
      <c r="CO431" s="78">
        <f>IF($CN431="Pari Passu Split",1,0)</f>
        <v/>
      </c>
      <c r="CP431" s="77">
        <f>IF(ISNUMBER($T431),YEAR($T431),"")</f>
        <v/>
      </c>
      <c r="CQ431" s="79">
        <f>IF(ISNUMBER($V431),$V431,IF(ISNUMBER($U431),$U431,""))</f>
        <v/>
      </c>
      <c r="CR431" s="77">
        <f>IF(ISNUMBER($CQ431),YEAR($CQ431),"")</f>
        <v/>
      </c>
      <c r="CS431" s="78">
        <f>IF(ISNUMBER($M431),MAX(0,$M431),IF(TRIM($M431&amp;"")="matured",0,""))</f>
        <v/>
      </c>
      <c r="CT431" s="78">
        <f>IF(AND(ISNUMBER($CS431),N($CS431)&lt;=mMatWindow),1,0)</f>
        <v/>
      </c>
      <c r="CU431" s="80">
        <f>IF(ISNUMBER($J431),$J431/100,"")</f>
        <v/>
      </c>
      <c r="CV431" s="81">
        <f>IF(ISNUMBER($AQ431),$AQ431,"")</f>
        <v/>
      </c>
      <c r="CW431" s="81">
        <f>IF(ISNUMBER($AR431),$AR431,"")</f>
        <v/>
      </c>
      <c r="CX431" s="82">
        <f>IF(ISNUMBER($AS431),$AS431/100,"")</f>
        <v/>
      </c>
      <c r="CY431" s="82">
        <f>IF(ISNUMBER($AT431),$AT431/100,"")</f>
        <v/>
      </c>
      <c r="CZ431" s="82">
        <f>IF(ISNUMBER($AU431),$AU431/100,"")</f>
        <v/>
      </c>
      <c r="DA431" s="82">
        <f>IF(ISNUMBER($AV431),$AV431/100,"")</f>
        <v/>
      </c>
      <c r="DB431" s="82">
        <f>IF(ISNUMBER($AW431),$AW431/100,"")</f>
        <v/>
      </c>
      <c r="DC431" s="82">
        <f>IF(ISNUMBER($AX431),$AX431/100,"")</f>
        <v/>
      </c>
      <c r="DD431" s="77">
        <f>IFERROR(VALUE(LEFT(TRIM($AO431&amp;""),4)),"")</f>
        <v/>
      </c>
      <c r="DE431" s="78">
        <f>IF(AND($BY431=1,$BX431=1,OR(fDeal="All Deals",$BU431=fDeal),OR(fEntity="All Entities",$BV431=fEntity),OR(fPType="All Property Types",$BZ431=fPType),OR(fDefeased="Include",$CJ431=0)),1,0)</f>
        <v/>
      </c>
      <c r="DF431" s="83">
        <f>$DE431*N($I431)</f>
        <v/>
      </c>
      <c r="DG431" s="78">
        <f>IF($DE431=1,IF(COUNTIFS($F$8:$F431,$F431,$DE$8:$DE431,1)=1,1,0),0)</f>
        <v/>
      </c>
      <c r="DH431" s="83">
        <f>IF($DG431=1,SUMIFS($DF$8:$DF$1600,$F$8:$F$1600,$F431),0)</f>
        <v/>
      </c>
      <c r="DI431" s="78">
        <f>IF($DG431=1,COUNTIFS($F$8:$F$1600,$F431,$DE$8:$DE$1600,1),0)</f>
        <v/>
      </c>
      <c r="DJ431" s="84">
        <f>IF($DG431=1,$DH431+(100000-ROW())/mTieBreak,0)</f>
        <v/>
      </c>
    </row>
    <row r="432">
      <c r="B432" s="68" t="n">
        <v>4</v>
      </c>
      <c r="C432" s="69" t="inlineStr">
        <is>
          <t>UBS17C05</t>
        </is>
      </c>
      <c r="D432" s="69" t="inlineStr">
        <is>
          <t>4.TR</t>
        </is>
      </c>
      <c r="E432" s="69" t="inlineStr">
        <is>
          <t>Centre 425 Bellevue - Pooled</t>
        </is>
      </c>
      <c r="F432" s="69" t="inlineStr">
        <is>
          <t>SPLIT_LOAN_01116</t>
        </is>
      </c>
      <c r="G432" s="70" t="n">
        <v>1116</v>
      </c>
      <c r="H432" s="71" t="n">
        <v>40000000</v>
      </c>
      <c r="I432" s="71" t="n">
        <v>40000000</v>
      </c>
      <c r="J432" s="72" t="n">
        <v>4.151</v>
      </c>
      <c r="K432" s="69" t="inlineStr">
        <is>
          <t>Fixed rate</t>
        </is>
      </c>
      <c r="L432" s="68" t="n">
        <v>120</v>
      </c>
      <c r="M432" s="68" t="n">
        <v>14</v>
      </c>
      <c r="N432" s="68" t="n">
        <v>120</v>
      </c>
      <c r="O432" s="68" t="n">
        <v>120</v>
      </c>
      <c r="P432" s="68" t="n">
        <v>14</v>
      </c>
      <c r="Q432" s="68" t="n">
        <v>106</v>
      </c>
      <c r="R432" s="69" t="inlineStr">
        <is>
          <t>IO</t>
        </is>
      </c>
      <c r="S432" s="69" t="inlineStr">
        <is>
          <t>Yes</t>
        </is>
      </c>
      <c r="T432" s="73" t="n">
        <v>43040</v>
      </c>
      <c r="U432" s="73" t="n">
        <v>48609</v>
      </c>
      <c r="V432" s="73" t="n">
        <v>46698</v>
      </c>
      <c r="W432" s="69" t="n"/>
      <c r="X432" s="69" t="inlineStr">
        <is>
          <t>Current</t>
        </is>
      </c>
      <c r="Y432" s="68" t="n"/>
      <c r="Z432" s="69" t="inlineStr">
        <is>
          <t>No Defeasance Occurred</t>
        </is>
      </c>
      <c r="AA432" s="69" t="n"/>
      <c r="AB432" s="69" t="inlineStr">
        <is>
          <t>Never special serv</t>
        </is>
      </c>
      <c r="AC432" s="73" t="n"/>
      <c r="AD432" s="69" t="n"/>
      <c r="AE432" s="69" t="n"/>
      <c r="AF432" s="69" t="inlineStr">
        <is>
          <t>WA</t>
        </is>
      </c>
      <c r="AG432" s="69" t="inlineStr">
        <is>
          <t>Bellevue</t>
        </is>
      </c>
      <c r="AH432" s="69" t="inlineStr">
        <is>
          <t>Seattle-Tacoma-Bellevue, WA</t>
        </is>
      </c>
      <c r="AI432" s="69" t="inlineStr">
        <is>
          <t>West / Pacific North</t>
        </is>
      </c>
      <c r="AJ432" s="69" t="inlineStr">
        <is>
          <t>OF</t>
        </is>
      </c>
      <c r="AK432" s="69" t="inlineStr">
        <is>
          <t>CBD</t>
        </is>
      </c>
      <c r="AL432" s="68" t="n">
        <v>1</v>
      </c>
      <c r="AM432" s="68" t="n"/>
      <c r="AN432" s="68" t="n">
        <v>356909</v>
      </c>
      <c r="AO432" s="69" t="inlineStr">
        <is>
          <t>2017</t>
        </is>
      </c>
      <c r="AP432" s="70" t="n">
        <v>2017</v>
      </c>
      <c r="AQ432" s="74" t="n">
        <v>3.85</v>
      </c>
      <c r="AR432" s="74" t="n">
        <v>4.52</v>
      </c>
      <c r="AS432" s="74" t="n">
        <v>29.7</v>
      </c>
      <c r="AT432" s="74" t="n">
        <v>29.75</v>
      </c>
      <c r="AU432" s="74" t="n">
        <v>29.7</v>
      </c>
      <c r="AV432" s="74" t="n">
        <v>16.202154819</v>
      </c>
      <c r="AW432" s="74" t="n">
        <v>18.570015957</v>
      </c>
      <c r="AX432" s="75" t="n">
        <v>100</v>
      </c>
      <c r="AY432" s="71" t="n">
        <v>316000000</v>
      </c>
      <c r="AZ432" s="71" t="n">
        <v>316000000</v>
      </c>
      <c r="BA432" s="71" t="n">
        <v>15230025.53</v>
      </c>
      <c r="BB432" s="71" t="n">
        <v>17730586.94</v>
      </c>
      <c r="BC432" s="69" t="inlineStr">
        <is>
          <t>Acquisition</t>
        </is>
      </c>
      <c r="BD432" s="69" t="inlineStr">
        <is>
          <t>N</t>
        </is>
      </c>
      <c r="BE432" s="71" t="n">
        <v>54000000</v>
      </c>
      <c r="BF432" s="71" t="n">
        <v>114450000</v>
      </c>
      <c r="BG432" s="71" t="n">
        <v>57600000</v>
      </c>
      <c r="BH432" s="71" t="n">
        <v>0</v>
      </c>
      <c r="BI432" s="71" t="n">
        <v>0</v>
      </c>
      <c r="BJ432" s="69" t="inlineStr">
        <is>
          <t>N</t>
        </is>
      </c>
      <c r="BK432" s="69" t="inlineStr">
        <is>
          <t>Amazon.com Services LLC PAR KG</t>
        </is>
      </c>
      <c r="BL432" s="75" t="n">
        <v>99.45</v>
      </c>
      <c r="BM432" s="73" t="n">
        <v>48852</v>
      </c>
      <c r="BN432" s="69" t="inlineStr">
        <is>
          <t>Aby Rosen; Michael Fuchs; David Edelstein</t>
        </is>
      </c>
      <c r="BO432" s="69" t="inlineStr">
        <is>
          <t>Natixis</t>
        </is>
      </c>
      <c r="BP432" s="69" t="inlineStr">
        <is>
          <t>Midland Loan Services</t>
        </is>
      </c>
      <c r="BQ432" s="69" t="inlineStr">
        <is>
          <t>Aegon USA Realty</t>
        </is>
      </c>
      <c r="BR432" s="69" t="n"/>
      <c r="BS432" s="73" t="n">
        <v>46276</v>
      </c>
      <c r="BU432" s="76">
        <f>IF($C432="","",IFERROR(INDEX(dmName,MATCH($C432,dmID,0)),"Unmapped"))</f>
        <v/>
      </c>
      <c r="BV432" s="76">
        <f>IF($C432="","",IFERROR(INDEX(dmEntity,MATCH($C432,dmID,0)),"Unmapped"))</f>
        <v/>
      </c>
      <c r="BW432" s="77">
        <f>IF($C432="","",IFERROR(INDEX(dmVintage,MATCH($C432,dmID,0)),""))</f>
        <v/>
      </c>
      <c r="BX432" s="78">
        <f>IFERROR(INDEX(dmInclude,MATCH($C432,dmID,0)),0)</f>
        <v/>
      </c>
      <c r="BY432" s="78">
        <f>IF(N($I432)&gt;0,1,0)</f>
        <v/>
      </c>
      <c r="BZ432" s="76">
        <f>IF($AJ432="","Other / Leased Fee",IFERROR(INDEX(mapPTGroup,MATCH(LEFT(TRIM($AJ432),2),mapPTCode,0)),"Other / Leased Fee"))</f>
        <v/>
      </c>
      <c r="CA432" s="76">
        <f>IF(TRIM($AF432&amp;"")="","NR",LEFT(TRIM($AF432),2))</f>
        <v/>
      </c>
      <c r="CB432" s="76">
        <f>IFERROR(LOOKUP(2,1/(LEFT(TRIM($AI432&amp;""),LEN(mapRegion))=mapRegion),mapRegion),"Not Reported")</f>
        <v/>
      </c>
      <c r="CC432" s="76">
        <f>IF($BY432=0,"",IF(TRIM($W432&amp;"")="REO","REO",IF(TRIM($W432&amp;"")="FC","Foreclosure",IF(TRIM($W432&amp;"")="90+","90+ Days Delinquent",IF(TRIM($W432&amp;"")="60","60 Days Delinquent",IF(TRIM($W432&amp;"")="30","30 Days Delinquent",IF($X432="Non-Performing Matured Balloon","Non-Performing Matured Balloon",IF(OR($X432="Late Payment But Less Than 30 Days Delinquent",LEFT($X432&amp;"",20)="Payment Not Received"),"Late / In Grace (&lt;30 Days)",IF($X432="Performing Matured Balloon","Performing Matured Balloon","Current")))))))))</f>
        <v/>
      </c>
      <c r="CD432" s="78">
        <f>IF(OR($CC432="REO",$CC432="Foreclosure",$CC432="90+ Days Delinquent",$CC432="60 Days Delinquent",$CC432="30 Days Delinquent",$CC432="Non-Performing Matured Balloon"),1,0)</f>
        <v/>
      </c>
      <c r="CE432" s="76">
        <f>IF($AB432="Currently special serv","Currently Specially Serviced",IF($AB432="Returned to master serv","Previously Specially Serviced","Never Specially Serviced"))</f>
        <v/>
      </c>
      <c r="CF432" s="78">
        <f>IF($CE432="Currently Specially Serviced",1,0)</f>
        <v/>
      </c>
      <c r="CG432" s="76">
        <f>IF($AA432="Yes","Currently on Watchlist",IF($AA432="Previously","Previously on Watchlist","Never on Watchlist"))</f>
        <v/>
      </c>
      <c r="CH432" s="78">
        <f>IF($CG432="Currently on Watchlist",1,0)</f>
        <v/>
      </c>
      <c r="CI432" s="76">
        <f>IF($Z432="Full Defeasance","Fully Defeased",IF($Z432="Portion Of Loan Previously Defeased","Partially Defeased",IF($Z432="Defeasance Not Allowable","Not Defeased (Not Permitted)","Not Defeased")))</f>
        <v/>
      </c>
      <c r="CJ432" s="78">
        <f>IF($CI432="Fully Defeased",1,0)</f>
        <v/>
      </c>
      <c r="CK432" s="76">
        <f>IF($R432="IO","Full IO",IF(LEFT($R432&amp;"",7)="IO then","Partial IO","Amortizing"))</f>
        <v/>
      </c>
      <c r="CL432" s="78">
        <f>IF($CK432="Full IO",1,0)</f>
        <v/>
      </c>
      <c r="CM432" s="78">
        <f>IF($CK432="Partial IO",1,0)</f>
        <v/>
      </c>
      <c r="CN432" s="76">
        <f>IF(LEFT($F432&amp;"",10)="SPLIT_LOAN","Pari Passu Split","Standalone")</f>
        <v/>
      </c>
      <c r="CO432" s="78">
        <f>IF($CN432="Pari Passu Split",1,0)</f>
        <v/>
      </c>
      <c r="CP432" s="77">
        <f>IF(ISNUMBER($T432),YEAR($T432),"")</f>
        <v/>
      </c>
      <c r="CQ432" s="79">
        <f>IF(ISNUMBER($V432),$V432,IF(ISNUMBER($U432),$U432,""))</f>
        <v/>
      </c>
      <c r="CR432" s="77">
        <f>IF(ISNUMBER($CQ432),YEAR($CQ432),"")</f>
        <v/>
      </c>
      <c r="CS432" s="78">
        <f>IF(ISNUMBER($M432),MAX(0,$M432),IF(TRIM($M432&amp;"")="matured",0,""))</f>
        <v/>
      </c>
      <c r="CT432" s="78">
        <f>IF(AND(ISNUMBER($CS432),N($CS432)&lt;=mMatWindow),1,0)</f>
        <v/>
      </c>
      <c r="CU432" s="80">
        <f>IF(ISNUMBER($J432),$J432/100,"")</f>
        <v/>
      </c>
      <c r="CV432" s="81">
        <f>IF(ISNUMBER($AQ432),$AQ432,"")</f>
        <v/>
      </c>
      <c r="CW432" s="81">
        <f>IF(ISNUMBER($AR432),$AR432,"")</f>
        <v/>
      </c>
      <c r="CX432" s="82">
        <f>IF(ISNUMBER($AS432),$AS432/100,"")</f>
        <v/>
      </c>
      <c r="CY432" s="82">
        <f>IF(ISNUMBER($AT432),$AT432/100,"")</f>
        <v/>
      </c>
      <c r="CZ432" s="82">
        <f>IF(ISNUMBER($AU432),$AU432/100,"")</f>
        <v/>
      </c>
      <c r="DA432" s="82">
        <f>IF(ISNUMBER($AV432),$AV432/100,"")</f>
        <v/>
      </c>
      <c r="DB432" s="82">
        <f>IF(ISNUMBER($AW432),$AW432/100,"")</f>
        <v/>
      </c>
      <c r="DC432" s="82">
        <f>IF(ISNUMBER($AX432),$AX432/100,"")</f>
        <v/>
      </c>
      <c r="DD432" s="77">
        <f>IFERROR(VALUE(LEFT(TRIM($AO432&amp;""),4)),"")</f>
        <v/>
      </c>
      <c r="DE432" s="78">
        <f>IF(AND($BY432=1,$BX432=1,OR(fDeal="All Deals",$BU432=fDeal),OR(fEntity="All Entities",$BV432=fEntity),OR(fPType="All Property Types",$BZ432=fPType),OR(fDefeased="Include",$CJ432=0)),1,0)</f>
        <v/>
      </c>
      <c r="DF432" s="83">
        <f>$DE432*N($I432)</f>
        <v/>
      </c>
      <c r="DG432" s="78">
        <f>IF($DE432=1,IF(COUNTIFS($F$8:$F432,$F432,$DE$8:$DE432,1)=1,1,0),0)</f>
        <v/>
      </c>
      <c r="DH432" s="83">
        <f>IF($DG432=1,SUMIFS($DF$8:$DF$1600,$F$8:$F$1600,$F432),0)</f>
        <v/>
      </c>
      <c r="DI432" s="78">
        <f>IF($DG432=1,COUNTIFS($F$8:$F$1600,$F432,$DE$8:$DE$1600,1),0)</f>
        <v/>
      </c>
      <c r="DJ432" s="84">
        <f>IF($DG432=1,$DH432+(100000-ROW())/mTieBreak,0)</f>
        <v/>
      </c>
    </row>
    <row r="433">
      <c r="B433" s="68" t="n">
        <v>5</v>
      </c>
      <c r="C433" s="69" t="inlineStr">
        <is>
          <t>UBS17C05</t>
        </is>
      </c>
      <c r="D433" s="69" t="inlineStr">
        <is>
          <t>5.000</t>
        </is>
      </c>
      <c r="E433" s="69" t="inlineStr">
        <is>
          <t>ExchangeRight Net Leased Portfolio 17</t>
        </is>
      </c>
      <c r="F433" s="69" t="inlineStr">
        <is>
          <t>LNUBS17C05-5.000</t>
        </is>
      </c>
      <c r="G433" s="70" t="n"/>
      <c r="H433" s="71" t="n">
        <v>36860000</v>
      </c>
      <c r="I433" s="71" t="n">
        <v>36860000</v>
      </c>
      <c r="J433" s="72" t="n">
        <v>3.993</v>
      </c>
      <c r="K433" s="69" t="inlineStr">
        <is>
          <t>Fixed rate</t>
        </is>
      </c>
      <c r="L433" s="68" t="n">
        <v>120</v>
      </c>
      <c r="M433" s="68" t="n">
        <v>12</v>
      </c>
      <c r="N433" s="68" t="n">
        <v>120</v>
      </c>
      <c r="O433" s="68" t="n">
        <v>120</v>
      </c>
      <c r="P433" s="68" t="n">
        <v>12</v>
      </c>
      <c r="Q433" s="68" t="n">
        <v>108</v>
      </c>
      <c r="R433" s="69" t="inlineStr">
        <is>
          <t>IO</t>
        </is>
      </c>
      <c r="S433" s="69" t="inlineStr">
        <is>
          <t>Yes</t>
        </is>
      </c>
      <c r="T433" s="73" t="n">
        <v>42979</v>
      </c>
      <c r="U433" s="73" t="n">
        <v>46631</v>
      </c>
      <c r="V433" s="73" t="n"/>
      <c r="W433" s="69" t="n"/>
      <c r="X433" s="69" t="inlineStr">
        <is>
          <t>Current</t>
        </is>
      </c>
      <c r="Y433" s="68" t="n"/>
      <c r="Z433" s="69" t="inlineStr">
        <is>
          <t>No Defeasance Occurred</t>
        </is>
      </c>
      <c r="AA433" s="69" t="inlineStr">
        <is>
          <t>Previously</t>
        </is>
      </c>
      <c r="AB433" s="69" t="inlineStr">
        <is>
          <t>Never special serv</t>
        </is>
      </c>
      <c r="AC433" s="73" t="n"/>
      <c r="AD433" s="69" t="n"/>
      <c r="AE433" s="69" t="n"/>
      <c r="AF433" s="69" t="inlineStr">
        <is>
          <t>WI-47.402840477% SC-23.234685296% OH-12.790303852% VA-9.003629951% LA-5.437354856% IL-2.131185567%</t>
        </is>
      </c>
      <c r="AG433" s="69" t="n"/>
      <c r="AH433" s="69" t="inlineStr">
        <is>
          <t>Milwaukee-Waukesha, WI-46.189517092% Columbia, SC-10.542856755% Staunton-Stuarts Draft, VA-9.003629951% Myrtle Beach-Conway-North Myrtle Beach, SC-8.713754748% Columbus, OH-8.183106348% Baton Rouge, LA-5.437354856% Akron, OH-2.311991319% Zanesville, OH-2.295206186% St. Louis, MO-IL-2.131185567% Greenville-Anderson-Greer, SC-2.015830168% Augusta-Richmond County, GA-SC-1.962243625% Madison, WI-1.213323386%</t>
        </is>
      </c>
      <c r="AI433" s="69" t="inlineStr">
        <is>
          <t>Midwest / Central East-60.193144330% South / Atlantic-32.238315247% South / Central West-5.437354856% Midwest / Central West-2.131185567%</t>
        </is>
      </c>
      <c r="AJ433" s="69" t="inlineStr">
        <is>
          <t>RT</t>
        </is>
      </c>
      <c r="AK433" s="69" t="inlineStr">
        <is>
          <t>Single Tenant</t>
        </is>
      </c>
      <c r="AL433" s="68" t="n">
        <v>16</v>
      </c>
      <c r="AM433" s="68" t="n"/>
      <c r="AN433" s="68" t="n">
        <v>248882</v>
      </c>
      <c r="AO433" s="69" t="n"/>
      <c r="AP433" s="70" t="n">
        <v>2017</v>
      </c>
      <c r="AQ433" s="74" t="n">
        <v>2.23</v>
      </c>
      <c r="AR433" s="74" t="n">
        <v>2.5</v>
      </c>
      <c r="AS433" s="74" t="n">
        <v>61.2</v>
      </c>
      <c r="AT433" s="74" t="n">
        <v>61.15</v>
      </c>
      <c r="AU433" s="74" t="n">
        <v>61.2</v>
      </c>
      <c r="AV433" s="74" t="n">
        <v>9.022219072</v>
      </c>
      <c r="AW433" s="74" t="n">
        <v>10.038996283</v>
      </c>
      <c r="AX433" s="75" t="n">
        <v>100</v>
      </c>
      <c r="AY433" s="71" t="n">
        <v>60275000</v>
      </c>
      <c r="AZ433" s="71" t="n">
        <v>60275000</v>
      </c>
      <c r="BA433" s="71" t="n">
        <v>3325589.95</v>
      </c>
      <c r="BB433" s="71" t="n">
        <v>3724780.58</v>
      </c>
      <c r="BC433" s="69" t="inlineStr">
        <is>
          <t>Acquisition</t>
        </is>
      </c>
      <c r="BD433" s="69" t="inlineStr">
        <is>
          <t>N</t>
        </is>
      </c>
      <c r="BE433" s="71" t="n"/>
      <c r="BF433" s="71" t="n"/>
      <c r="BG433" s="71" t="n"/>
      <c r="BH433" s="71" t="n">
        <v>0</v>
      </c>
      <c r="BI433" s="71" t="n">
        <v>0</v>
      </c>
      <c r="BJ433" s="69" t="inlineStr">
        <is>
          <t>Y</t>
        </is>
      </c>
      <c r="BK433" s="69" t="inlineStr">
        <is>
          <t>Dollar General</t>
        </is>
      </c>
      <c r="BL433" s="75" t="n">
        <v>27.22</v>
      </c>
      <c r="BM433" s="73" t="n">
        <v>46934</v>
      </c>
      <c r="BN433" s="69" t="inlineStr">
        <is>
          <t>ExchangeRight Real Estate, LLC; David Fisher; Joshua Ungerecht; Warren Thomas</t>
        </is>
      </c>
      <c r="BO433" s="69" t="inlineStr">
        <is>
          <t>Societe Generale</t>
        </is>
      </c>
      <c r="BP433" s="69" t="inlineStr">
        <is>
          <t>Midland Loan Services</t>
        </is>
      </c>
      <c r="BQ433" s="69" t="inlineStr">
        <is>
          <t>K-Star Asset Management LLC</t>
        </is>
      </c>
      <c r="BR433" s="69" t="n"/>
      <c r="BS433" s="73" t="n">
        <v>46276</v>
      </c>
      <c r="BU433" s="76">
        <f>IF($C433="","",IFERROR(INDEX(dmName,MATCH($C433,dmID,0)),"Unmapped"))</f>
        <v/>
      </c>
      <c r="BV433" s="76">
        <f>IF($C433="","",IFERROR(INDEX(dmEntity,MATCH($C433,dmID,0)),"Unmapped"))</f>
        <v/>
      </c>
      <c r="BW433" s="77">
        <f>IF($C433="","",IFERROR(INDEX(dmVintage,MATCH($C433,dmID,0)),""))</f>
        <v/>
      </c>
      <c r="BX433" s="78">
        <f>IFERROR(INDEX(dmInclude,MATCH($C433,dmID,0)),0)</f>
        <v/>
      </c>
      <c r="BY433" s="78">
        <f>IF(N($I433)&gt;0,1,0)</f>
        <v/>
      </c>
      <c r="BZ433" s="76">
        <f>IF($AJ433="","Other / Leased Fee",IFERROR(INDEX(mapPTGroup,MATCH(LEFT(TRIM($AJ433),2),mapPTCode,0)),"Other / Leased Fee"))</f>
        <v/>
      </c>
      <c r="CA433" s="76">
        <f>IF(TRIM($AF433&amp;"")="","NR",LEFT(TRIM($AF433),2))</f>
        <v/>
      </c>
      <c r="CB433" s="76">
        <f>IFERROR(LOOKUP(2,1/(LEFT(TRIM($AI433&amp;""),LEN(mapRegion))=mapRegion),mapRegion),"Not Reported")</f>
        <v/>
      </c>
      <c r="CC433" s="76">
        <f>IF($BY433=0,"",IF(TRIM($W433&amp;"")="REO","REO",IF(TRIM($W433&amp;"")="FC","Foreclosure",IF(TRIM($W433&amp;"")="90+","90+ Days Delinquent",IF(TRIM($W433&amp;"")="60","60 Days Delinquent",IF(TRIM($W433&amp;"")="30","30 Days Delinquent",IF($X433="Non-Performing Matured Balloon","Non-Performing Matured Balloon",IF(OR($X433="Late Payment But Less Than 30 Days Delinquent",LEFT($X433&amp;"",20)="Payment Not Received"),"Late / In Grace (&lt;30 Days)",IF($X433="Performing Matured Balloon","Performing Matured Balloon","Current")))))))))</f>
        <v/>
      </c>
      <c r="CD433" s="78">
        <f>IF(OR($CC433="REO",$CC433="Foreclosure",$CC433="90+ Days Delinquent",$CC433="60 Days Delinquent",$CC433="30 Days Delinquent",$CC433="Non-Performing Matured Balloon"),1,0)</f>
        <v/>
      </c>
      <c r="CE433" s="76">
        <f>IF($AB433="Currently special serv","Currently Specially Serviced",IF($AB433="Returned to master serv","Previously Specially Serviced","Never Specially Serviced"))</f>
        <v/>
      </c>
      <c r="CF433" s="78">
        <f>IF($CE433="Currently Specially Serviced",1,0)</f>
        <v/>
      </c>
      <c r="CG433" s="76">
        <f>IF($AA433="Yes","Currently on Watchlist",IF($AA433="Previously","Previously on Watchlist","Never on Watchlist"))</f>
        <v/>
      </c>
      <c r="CH433" s="78">
        <f>IF($CG433="Currently on Watchlist",1,0)</f>
        <v/>
      </c>
      <c r="CI433" s="76">
        <f>IF($Z433="Full Defeasance","Fully Defeased",IF($Z433="Portion Of Loan Previously Defeased","Partially Defeased",IF($Z433="Defeasance Not Allowable","Not Defeased (Not Permitted)","Not Defeased")))</f>
        <v/>
      </c>
      <c r="CJ433" s="78">
        <f>IF($CI433="Fully Defeased",1,0)</f>
        <v/>
      </c>
      <c r="CK433" s="76">
        <f>IF($R433="IO","Full IO",IF(LEFT($R433&amp;"",7)="IO then","Partial IO","Amortizing"))</f>
        <v/>
      </c>
      <c r="CL433" s="78">
        <f>IF($CK433="Full IO",1,0)</f>
        <v/>
      </c>
      <c r="CM433" s="78">
        <f>IF($CK433="Partial IO",1,0)</f>
        <v/>
      </c>
      <c r="CN433" s="76">
        <f>IF(LEFT($F433&amp;"",10)="SPLIT_LOAN","Pari Passu Split","Standalone")</f>
        <v/>
      </c>
      <c r="CO433" s="78">
        <f>IF($CN433="Pari Passu Split",1,0)</f>
        <v/>
      </c>
      <c r="CP433" s="77">
        <f>IF(ISNUMBER($T433),YEAR($T433),"")</f>
        <v/>
      </c>
      <c r="CQ433" s="79">
        <f>IF(ISNUMBER($V433),$V433,IF(ISNUMBER($U433),$U433,""))</f>
        <v/>
      </c>
      <c r="CR433" s="77">
        <f>IF(ISNUMBER($CQ433),YEAR($CQ433),"")</f>
        <v/>
      </c>
      <c r="CS433" s="78">
        <f>IF(ISNUMBER($M433),MAX(0,$M433),IF(TRIM($M433&amp;"")="matured",0,""))</f>
        <v/>
      </c>
      <c r="CT433" s="78">
        <f>IF(AND(ISNUMBER($CS433),N($CS433)&lt;=mMatWindow),1,0)</f>
        <v/>
      </c>
      <c r="CU433" s="80">
        <f>IF(ISNUMBER($J433),$J433/100,"")</f>
        <v/>
      </c>
      <c r="CV433" s="81">
        <f>IF(ISNUMBER($AQ433),$AQ433,"")</f>
        <v/>
      </c>
      <c r="CW433" s="81">
        <f>IF(ISNUMBER($AR433),$AR433,"")</f>
        <v/>
      </c>
      <c r="CX433" s="82">
        <f>IF(ISNUMBER($AS433),$AS433/100,"")</f>
        <v/>
      </c>
      <c r="CY433" s="82">
        <f>IF(ISNUMBER($AT433),$AT433/100,"")</f>
        <v/>
      </c>
      <c r="CZ433" s="82">
        <f>IF(ISNUMBER($AU433),$AU433/100,"")</f>
        <v/>
      </c>
      <c r="DA433" s="82">
        <f>IF(ISNUMBER($AV433),$AV433/100,"")</f>
        <v/>
      </c>
      <c r="DB433" s="82">
        <f>IF(ISNUMBER($AW433),$AW433/100,"")</f>
        <v/>
      </c>
      <c r="DC433" s="82">
        <f>IF(ISNUMBER($AX433),$AX433/100,"")</f>
        <v/>
      </c>
      <c r="DD433" s="77">
        <f>IFERROR(VALUE(LEFT(TRIM($AO433&amp;""),4)),"")</f>
        <v/>
      </c>
      <c r="DE433" s="78">
        <f>IF(AND($BY433=1,$BX433=1,OR(fDeal="All Deals",$BU433=fDeal),OR(fEntity="All Entities",$BV433=fEntity),OR(fPType="All Property Types",$BZ433=fPType),OR(fDefeased="Include",$CJ433=0)),1,0)</f>
        <v/>
      </c>
      <c r="DF433" s="83">
        <f>$DE433*N($I433)</f>
        <v/>
      </c>
      <c r="DG433" s="78">
        <f>IF($DE433=1,IF(COUNTIFS($F$8:$F433,$F433,$DE$8:$DE433,1)=1,1,0),0)</f>
        <v/>
      </c>
      <c r="DH433" s="83">
        <f>IF($DG433=1,SUMIFS($DF$8:$DF$1600,$F$8:$F$1600,$F433),0)</f>
        <v/>
      </c>
      <c r="DI433" s="78">
        <f>IF($DG433=1,COUNTIFS($F$8:$F$1600,$F433,$DE$8:$DE$1600,1),0)</f>
        <v/>
      </c>
      <c r="DJ433" s="84">
        <f>IF($DG433=1,$DH433+(100000-ROW())/mTieBreak,0)</f>
        <v/>
      </c>
    </row>
    <row r="434">
      <c r="B434" s="68" t="n">
        <v>6</v>
      </c>
      <c r="C434" s="69" t="inlineStr">
        <is>
          <t>UBS17C05</t>
        </is>
      </c>
      <c r="D434" s="69" t="inlineStr">
        <is>
          <t>6.000</t>
        </is>
      </c>
      <c r="E434" s="69" t="inlineStr">
        <is>
          <t>National Office Portfolio</t>
        </is>
      </c>
      <c r="F434" s="69" t="inlineStr">
        <is>
          <t>SPLIT_LOAN_01124</t>
        </is>
      </c>
      <c r="G434" s="70" t="n">
        <v>1124</v>
      </c>
      <c r="H434" s="71" t="n">
        <v>35000000</v>
      </c>
      <c r="I434" s="71" t="n">
        <v>29276299.200015</v>
      </c>
      <c r="J434" s="72" t="n">
        <v>4.61</v>
      </c>
      <c r="K434" s="69" t="inlineStr">
        <is>
          <t>Fixed rate</t>
        </is>
      </c>
      <c r="L434" s="68" t="n">
        <v>120</v>
      </c>
      <c r="M434" s="68" t="n">
        <v>13</v>
      </c>
      <c r="N434" s="68" t="n">
        <v>360</v>
      </c>
      <c r="O434" s="68" t="n"/>
      <c r="P434" s="68" t="n"/>
      <c r="Q434" s="68" t="n">
        <v>107</v>
      </c>
      <c r="R434" s="69" t="n"/>
      <c r="S434" s="69" t="inlineStr">
        <is>
          <t>No</t>
        </is>
      </c>
      <c r="T434" s="73" t="n">
        <v>43009</v>
      </c>
      <c r="U434" s="73" t="n">
        <v>46666</v>
      </c>
      <c r="V434" s="73" t="n"/>
      <c r="W434" s="69" t="n"/>
      <c r="X434" s="69" t="inlineStr">
        <is>
          <t>Current</t>
        </is>
      </c>
      <c r="Y434" s="68" t="n"/>
      <c r="Z434" s="69" t="inlineStr">
        <is>
          <t>No Defeasance Occurred</t>
        </is>
      </c>
      <c r="AA434" s="69" t="inlineStr">
        <is>
          <t>Previously</t>
        </is>
      </c>
      <c r="AB434" s="69" t="inlineStr">
        <is>
          <t>Never special serv</t>
        </is>
      </c>
      <c r="AC434" s="73" t="n"/>
      <c r="AD434" s="69" t="n"/>
      <c r="AE434" s="69" t="n"/>
      <c r="AF434" s="69" t="inlineStr">
        <is>
          <t>TX-66.085406690% GA-17.696216638% IL-9.459459719% AZ-6.758916954%</t>
        </is>
      </c>
      <c r="AG434" s="69" t="n"/>
      <c r="AH434" s="69" t="inlineStr">
        <is>
          <t>Dallas-Fort Worth-Arlington, TX-66.085406690% Atlanta-Sandy Springs-Roswell, GA-17.696216638% Chicago-Naperville-Elgin, IL-IN-9.459459719% Phoenix-Mesa-Chandler, AZ-6.758916954%</t>
        </is>
      </c>
      <c r="AI434" s="69" t="inlineStr">
        <is>
          <t>South / Central West-66.085406690% South / Atlantic-17.696216638% Midwest / Central East-9.459459719% West / Mountain-6.758916954%</t>
        </is>
      </c>
      <c r="AJ434" s="69" t="inlineStr">
        <is>
          <t>OF</t>
        </is>
      </c>
      <c r="AK434" s="69" t="inlineStr">
        <is>
          <t>Suburban</t>
        </is>
      </c>
      <c r="AL434" s="68" t="n">
        <v>18</v>
      </c>
      <c r="AM434" s="68" t="n"/>
      <c r="AN434" s="68" t="n">
        <v>2572700</v>
      </c>
      <c r="AO434" s="69" t="n"/>
      <c r="AP434" s="70" t="n">
        <v>2015</v>
      </c>
      <c r="AQ434" s="74" t="n">
        <v>1.64</v>
      </c>
      <c r="AR434" s="74" t="n">
        <v>1.6</v>
      </c>
      <c r="AS434" s="74" t="n">
        <v>64.2</v>
      </c>
      <c r="AT434" s="74" t="n">
        <v>53.78</v>
      </c>
      <c r="AU434" s="74" t="n">
        <v>52.2</v>
      </c>
      <c r="AV434" s="74" t="n">
        <v>10.080349286</v>
      </c>
      <c r="AW434" s="74" t="n">
        <v>11.788664356</v>
      </c>
      <c r="AX434" s="75" t="n">
        <v>80</v>
      </c>
      <c r="AY434" s="71" t="n">
        <v>287750000</v>
      </c>
      <c r="AZ434" s="71" t="n">
        <v>287750000</v>
      </c>
      <c r="BA434" s="71" t="n">
        <v>18648646.18</v>
      </c>
      <c r="BB434" s="71" t="n">
        <v>18242504.57</v>
      </c>
      <c r="BC434" s="69" t="inlineStr">
        <is>
          <t>Refinance</t>
        </is>
      </c>
      <c r="BD434" s="69" t="inlineStr">
        <is>
          <t>N</t>
        </is>
      </c>
      <c r="BE434" s="71" t="n">
        <v>125469853.71</v>
      </c>
      <c r="BF434" s="71" t="n"/>
      <c r="BG434" s="71" t="n"/>
      <c r="BH434" s="71" t="n">
        <v>0</v>
      </c>
      <c r="BI434" s="71" t="n">
        <v>0</v>
      </c>
      <c r="BJ434" s="69" t="inlineStr">
        <is>
          <t>N</t>
        </is>
      </c>
      <c r="BK434" s="69" t="inlineStr">
        <is>
          <t>American Intercontinental University Inc</t>
        </is>
      </c>
      <c r="BL434" s="75" t="n">
        <v>1.89</v>
      </c>
      <c r="BM434" s="73" t="n">
        <v>48730</v>
      </c>
      <c r="BN434" s="69" t="inlineStr">
        <is>
          <t>Andrew J. Segal</t>
        </is>
      </c>
      <c r="BO434" s="69" t="inlineStr">
        <is>
          <t>Ladder Capital Finance</t>
        </is>
      </c>
      <c r="BP434" s="69" t="inlineStr">
        <is>
          <t>Midland Loan Services</t>
        </is>
      </c>
      <c r="BQ434" s="69" t="inlineStr">
        <is>
          <t>KeyBank National Association</t>
        </is>
      </c>
      <c r="BR434" s="69" t="n"/>
      <c r="BS434" s="73" t="n">
        <v>46276</v>
      </c>
      <c r="BU434" s="76">
        <f>IF($C434="","",IFERROR(INDEX(dmName,MATCH($C434,dmID,0)),"Unmapped"))</f>
        <v/>
      </c>
      <c r="BV434" s="76">
        <f>IF($C434="","",IFERROR(INDEX(dmEntity,MATCH($C434,dmID,0)),"Unmapped"))</f>
        <v/>
      </c>
      <c r="BW434" s="77">
        <f>IF($C434="","",IFERROR(INDEX(dmVintage,MATCH($C434,dmID,0)),""))</f>
        <v/>
      </c>
      <c r="BX434" s="78">
        <f>IFERROR(INDEX(dmInclude,MATCH($C434,dmID,0)),0)</f>
        <v/>
      </c>
      <c r="BY434" s="78">
        <f>IF(N($I434)&gt;0,1,0)</f>
        <v/>
      </c>
      <c r="BZ434" s="76">
        <f>IF($AJ434="","Other / Leased Fee",IFERROR(INDEX(mapPTGroup,MATCH(LEFT(TRIM($AJ434),2),mapPTCode,0)),"Other / Leased Fee"))</f>
        <v/>
      </c>
      <c r="CA434" s="76">
        <f>IF(TRIM($AF434&amp;"")="","NR",LEFT(TRIM($AF434),2))</f>
        <v/>
      </c>
      <c r="CB434" s="76">
        <f>IFERROR(LOOKUP(2,1/(LEFT(TRIM($AI434&amp;""),LEN(mapRegion))=mapRegion),mapRegion),"Not Reported")</f>
        <v/>
      </c>
      <c r="CC434" s="76">
        <f>IF($BY434=0,"",IF(TRIM($W434&amp;"")="REO","REO",IF(TRIM($W434&amp;"")="FC","Foreclosure",IF(TRIM($W434&amp;"")="90+","90+ Days Delinquent",IF(TRIM($W434&amp;"")="60","60 Days Delinquent",IF(TRIM($W434&amp;"")="30","30 Days Delinquent",IF($X434="Non-Performing Matured Balloon","Non-Performing Matured Balloon",IF(OR($X434="Late Payment But Less Than 30 Days Delinquent",LEFT($X434&amp;"",20)="Payment Not Received"),"Late / In Grace (&lt;30 Days)",IF($X434="Performing Matured Balloon","Performing Matured Balloon","Current")))))))))</f>
        <v/>
      </c>
      <c r="CD434" s="78">
        <f>IF(OR($CC434="REO",$CC434="Foreclosure",$CC434="90+ Days Delinquent",$CC434="60 Days Delinquent",$CC434="30 Days Delinquent",$CC434="Non-Performing Matured Balloon"),1,0)</f>
        <v/>
      </c>
      <c r="CE434" s="76">
        <f>IF($AB434="Currently special serv","Currently Specially Serviced",IF($AB434="Returned to master serv","Previously Specially Serviced","Never Specially Serviced"))</f>
        <v/>
      </c>
      <c r="CF434" s="78">
        <f>IF($CE434="Currently Specially Serviced",1,0)</f>
        <v/>
      </c>
      <c r="CG434" s="76">
        <f>IF($AA434="Yes","Currently on Watchlist",IF($AA434="Previously","Previously on Watchlist","Never on Watchlist"))</f>
        <v/>
      </c>
      <c r="CH434" s="78">
        <f>IF($CG434="Currently on Watchlist",1,0)</f>
        <v/>
      </c>
      <c r="CI434" s="76">
        <f>IF($Z434="Full Defeasance","Fully Defeased",IF($Z434="Portion Of Loan Previously Defeased","Partially Defeased",IF($Z434="Defeasance Not Allowable","Not Defeased (Not Permitted)","Not Defeased")))</f>
        <v/>
      </c>
      <c r="CJ434" s="78">
        <f>IF($CI434="Fully Defeased",1,0)</f>
        <v/>
      </c>
      <c r="CK434" s="76">
        <f>IF($R434="IO","Full IO",IF(LEFT($R434&amp;"",7)="IO then","Partial IO","Amortizing"))</f>
        <v/>
      </c>
      <c r="CL434" s="78">
        <f>IF($CK434="Full IO",1,0)</f>
        <v/>
      </c>
      <c r="CM434" s="78">
        <f>IF($CK434="Partial IO",1,0)</f>
        <v/>
      </c>
      <c r="CN434" s="76">
        <f>IF(LEFT($F434&amp;"",10)="SPLIT_LOAN","Pari Passu Split","Standalone")</f>
        <v/>
      </c>
      <c r="CO434" s="78">
        <f>IF($CN434="Pari Passu Split",1,0)</f>
        <v/>
      </c>
      <c r="CP434" s="77">
        <f>IF(ISNUMBER($T434),YEAR($T434),"")</f>
        <v/>
      </c>
      <c r="CQ434" s="79">
        <f>IF(ISNUMBER($V434),$V434,IF(ISNUMBER($U434),$U434,""))</f>
        <v/>
      </c>
      <c r="CR434" s="77">
        <f>IF(ISNUMBER($CQ434),YEAR($CQ434),"")</f>
        <v/>
      </c>
      <c r="CS434" s="78">
        <f>IF(ISNUMBER($M434),MAX(0,$M434),IF(TRIM($M434&amp;"")="matured",0,""))</f>
        <v/>
      </c>
      <c r="CT434" s="78">
        <f>IF(AND(ISNUMBER($CS434),N($CS434)&lt;=mMatWindow),1,0)</f>
        <v/>
      </c>
      <c r="CU434" s="80">
        <f>IF(ISNUMBER($J434),$J434/100,"")</f>
        <v/>
      </c>
      <c r="CV434" s="81">
        <f>IF(ISNUMBER($AQ434),$AQ434,"")</f>
        <v/>
      </c>
      <c r="CW434" s="81">
        <f>IF(ISNUMBER($AR434),$AR434,"")</f>
        <v/>
      </c>
      <c r="CX434" s="82">
        <f>IF(ISNUMBER($AS434),$AS434/100,"")</f>
        <v/>
      </c>
      <c r="CY434" s="82">
        <f>IF(ISNUMBER($AT434),$AT434/100,"")</f>
        <v/>
      </c>
      <c r="CZ434" s="82">
        <f>IF(ISNUMBER($AU434),$AU434/100,"")</f>
        <v/>
      </c>
      <c r="DA434" s="82">
        <f>IF(ISNUMBER($AV434),$AV434/100,"")</f>
        <v/>
      </c>
      <c r="DB434" s="82">
        <f>IF(ISNUMBER($AW434),$AW434/100,"")</f>
        <v/>
      </c>
      <c r="DC434" s="82">
        <f>IF(ISNUMBER($AX434),$AX434/100,"")</f>
        <v/>
      </c>
      <c r="DD434" s="77">
        <f>IFERROR(VALUE(LEFT(TRIM($AO434&amp;""),4)),"")</f>
        <v/>
      </c>
      <c r="DE434" s="78">
        <f>IF(AND($BY434=1,$BX434=1,OR(fDeal="All Deals",$BU434=fDeal),OR(fEntity="All Entities",$BV434=fEntity),OR(fPType="All Property Types",$BZ434=fPType),OR(fDefeased="Include",$CJ434=0)),1,0)</f>
        <v/>
      </c>
      <c r="DF434" s="83">
        <f>$DE434*N($I434)</f>
        <v/>
      </c>
      <c r="DG434" s="78">
        <f>IF($DE434=1,IF(COUNTIFS($F$8:$F434,$F434,$DE$8:$DE434,1)=1,1,0),0)</f>
        <v/>
      </c>
      <c r="DH434" s="83">
        <f>IF($DG434=1,SUMIFS($DF$8:$DF$1600,$F$8:$F$1600,$F434),0)</f>
        <v/>
      </c>
      <c r="DI434" s="78">
        <f>IF($DG434=1,COUNTIFS($F$8:$F$1600,$F434,$DE$8:$DE$1600,1),0)</f>
        <v/>
      </c>
      <c r="DJ434" s="84">
        <f>IF($DG434=1,$DH434+(100000-ROW())/mTieBreak,0)</f>
        <v/>
      </c>
    </row>
    <row r="435">
      <c r="B435" s="68" t="n">
        <v>7</v>
      </c>
      <c r="C435" s="69" t="inlineStr">
        <is>
          <t>UBS17C05</t>
        </is>
      </c>
      <c r="D435" s="69" t="inlineStr">
        <is>
          <t>7.000</t>
        </is>
      </c>
      <c r="E435" s="69" t="inlineStr">
        <is>
          <t>Delshah NYC Portfolio</t>
        </is>
      </c>
      <c r="F435" s="69" t="inlineStr">
        <is>
          <t>LNUBS17C05-7.000</t>
        </is>
      </c>
      <c r="G435" s="70" t="n"/>
      <c r="H435" s="71" t="n">
        <v>28000000</v>
      </c>
      <c r="I435" s="71" t="n">
        <v>0</v>
      </c>
      <c r="J435" s="72" t="n">
        <v>4.25</v>
      </c>
      <c r="K435" s="69" t="inlineStr">
        <is>
          <t>Fixed rate</t>
        </is>
      </c>
      <c r="L435" s="68" t="n">
        <v>60</v>
      </c>
      <c r="M435" s="68" t="n"/>
      <c r="N435" s="68" t="n">
        <v>60</v>
      </c>
      <c r="O435" s="68" t="n">
        <v>60</v>
      </c>
      <c r="P435" s="68" t="n"/>
      <c r="Q435" s="68" t="n"/>
      <c r="R435" s="69" t="inlineStr">
        <is>
          <t>IO</t>
        </is>
      </c>
      <c r="S435" s="69" t="inlineStr">
        <is>
          <t>Yes</t>
        </is>
      </c>
      <c r="T435" s="73" t="n">
        <v>42979</v>
      </c>
      <c r="U435" s="73" t="n">
        <v>44779</v>
      </c>
      <c r="V435" s="73" t="n"/>
      <c r="W435" s="69" t="n"/>
      <c r="X435" s="69" t="inlineStr">
        <is>
          <t>Current</t>
        </is>
      </c>
      <c r="Y435" s="68" t="n"/>
      <c r="Z435" s="69" t="inlineStr">
        <is>
          <t>No Defeasance Occurred</t>
        </is>
      </c>
      <c r="AA435" s="69" t="inlineStr">
        <is>
          <t>Previously</t>
        </is>
      </c>
      <c r="AB435" s="69" t="inlineStr">
        <is>
          <t>Currently special serv</t>
        </is>
      </c>
      <c r="AC435" s="73" t="n">
        <v>44743</v>
      </c>
      <c r="AD435" s="69" t="inlineStr">
        <is>
          <t>Imminent Monetary Default (Balloon/Maturity Default)</t>
        </is>
      </c>
      <c r="AE435" s="69" t="inlineStr">
        <is>
          <t>Bankruptcy</t>
        </is>
      </c>
      <c r="AF435" s="69" t="inlineStr">
        <is>
          <t>NY</t>
        </is>
      </c>
      <c r="AG435" s="69" t="inlineStr">
        <is>
          <t>New York</t>
        </is>
      </c>
      <c r="AH435" s="69" t="inlineStr">
        <is>
          <t>New York-Newark-Jersey City, NY-NJ</t>
        </is>
      </c>
      <c r="AI435" s="69" t="inlineStr">
        <is>
          <t>Northeast / Mid-Atlantic</t>
        </is>
      </c>
      <c r="AJ435" s="69" t="inlineStr">
        <is>
          <t>MX-69.642857143% RT-30.357142857%</t>
        </is>
      </c>
      <c r="AK435" s="69" t="n"/>
      <c r="AL435" s="68" t="n">
        <v>2</v>
      </c>
      <c r="AM435" s="68" t="n"/>
      <c r="AN435" s="68" t="n">
        <v>13250</v>
      </c>
      <c r="AO435" s="69" t="n"/>
      <c r="AP435" s="70" t="n">
        <v>2014</v>
      </c>
      <c r="AQ435" s="74" t="n">
        <v>1.7</v>
      </c>
      <c r="AR435" s="74" t="n">
        <v>-0.27</v>
      </c>
      <c r="AS435" s="74" t="n">
        <v>51.9</v>
      </c>
      <c r="AT435" s="74" t="n"/>
      <c r="AU435" s="74" t="n">
        <v>51.9</v>
      </c>
      <c r="AV435" s="74" t="n">
        <v>7.310357143</v>
      </c>
      <c r="AW435" s="74" t="n"/>
      <c r="AX435" s="75" t="n">
        <v>100</v>
      </c>
      <c r="AY435" s="71" t="n">
        <v>53900000</v>
      </c>
      <c r="AZ435" s="71" t="n">
        <v>29400000</v>
      </c>
      <c r="BA435" s="71" t="n">
        <v>2046900</v>
      </c>
      <c r="BB435" s="71" t="n">
        <v>-229711.39</v>
      </c>
      <c r="BC435" s="69" t="inlineStr">
        <is>
          <t>Refinance</t>
        </is>
      </c>
      <c r="BD435" s="69" t="inlineStr">
        <is>
          <t>N</t>
        </is>
      </c>
      <c r="BE435" s="71" t="n"/>
      <c r="BF435" s="71" t="n"/>
      <c r="BG435" s="71" t="n"/>
      <c r="BH435" s="71" t="n">
        <v>0</v>
      </c>
      <c r="BI435" s="71" t="n">
        <v>0</v>
      </c>
      <c r="BJ435" s="69" t="inlineStr">
        <is>
          <t>N</t>
        </is>
      </c>
      <c r="BK435" s="69" t="inlineStr">
        <is>
          <t>Free People</t>
        </is>
      </c>
      <c r="BL435" s="75" t="n">
        <v>51.32</v>
      </c>
      <c r="BM435" s="73" t="n">
        <v>46234</v>
      </c>
      <c r="BN435" s="69" t="inlineStr">
        <is>
          <t>Michael K. Shah</t>
        </is>
      </c>
      <c r="BO435" s="69" t="inlineStr">
        <is>
          <t>Cantor Commercial Real Estate Lending</t>
        </is>
      </c>
      <c r="BP435" s="69" t="inlineStr">
        <is>
          <t>Midland Loan Services</t>
        </is>
      </c>
      <c r="BQ435" s="69" t="inlineStr">
        <is>
          <t>K-Star Asset Management LLC</t>
        </is>
      </c>
      <c r="BR435" s="69" t="inlineStr">
        <is>
          <t>Full Payoff At Maturity</t>
        </is>
      </c>
      <c r="BS435" s="73" t="n">
        <v>45849</v>
      </c>
      <c r="BU435" s="76">
        <f>IF($C435="","",IFERROR(INDEX(dmName,MATCH($C435,dmID,0)),"Unmapped"))</f>
        <v/>
      </c>
      <c r="BV435" s="76">
        <f>IF($C435="","",IFERROR(INDEX(dmEntity,MATCH($C435,dmID,0)),"Unmapped"))</f>
        <v/>
      </c>
      <c r="BW435" s="77">
        <f>IF($C435="","",IFERROR(INDEX(dmVintage,MATCH($C435,dmID,0)),""))</f>
        <v/>
      </c>
      <c r="BX435" s="78">
        <f>IFERROR(INDEX(dmInclude,MATCH($C435,dmID,0)),0)</f>
        <v/>
      </c>
      <c r="BY435" s="78">
        <f>IF(N($I435)&gt;0,1,0)</f>
        <v/>
      </c>
      <c r="BZ435" s="76">
        <f>IF($AJ435="","Other / Leased Fee",IFERROR(INDEX(mapPTGroup,MATCH(LEFT(TRIM($AJ435),2),mapPTCode,0)),"Other / Leased Fee"))</f>
        <v/>
      </c>
      <c r="CA435" s="76">
        <f>IF(TRIM($AF435&amp;"")="","NR",LEFT(TRIM($AF435),2))</f>
        <v/>
      </c>
      <c r="CB435" s="76">
        <f>IFERROR(LOOKUP(2,1/(LEFT(TRIM($AI435&amp;""),LEN(mapRegion))=mapRegion),mapRegion),"Not Reported")</f>
        <v/>
      </c>
      <c r="CC435" s="76">
        <f>IF($BY435=0,"",IF(TRIM($W435&amp;"")="REO","REO",IF(TRIM($W435&amp;"")="FC","Foreclosure",IF(TRIM($W435&amp;"")="90+","90+ Days Delinquent",IF(TRIM($W435&amp;"")="60","60 Days Delinquent",IF(TRIM($W435&amp;"")="30","30 Days Delinquent",IF($X435="Non-Performing Matured Balloon","Non-Performing Matured Balloon",IF(OR($X435="Late Payment But Less Than 30 Days Delinquent",LEFT($X435&amp;"",20)="Payment Not Received"),"Late / In Grace (&lt;30 Days)",IF($X435="Performing Matured Balloon","Performing Matured Balloon","Current")))))))))</f>
        <v/>
      </c>
      <c r="CD435" s="78">
        <f>IF(OR($CC435="REO",$CC435="Foreclosure",$CC435="90+ Days Delinquent",$CC435="60 Days Delinquent",$CC435="30 Days Delinquent",$CC435="Non-Performing Matured Balloon"),1,0)</f>
        <v/>
      </c>
      <c r="CE435" s="76">
        <f>IF($AB435="Currently special serv","Currently Specially Serviced",IF($AB435="Returned to master serv","Previously Specially Serviced","Never Specially Serviced"))</f>
        <v/>
      </c>
      <c r="CF435" s="78">
        <f>IF($CE435="Currently Specially Serviced",1,0)</f>
        <v/>
      </c>
      <c r="CG435" s="76">
        <f>IF($AA435="Yes","Currently on Watchlist",IF($AA435="Previously","Previously on Watchlist","Never on Watchlist"))</f>
        <v/>
      </c>
      <c r="CH435" s="78">
        <f>IF($CG435="Currently on Watchlist",1,0)</f>
        <v/>
      </c>
      <c r="CI435" s="76">
        <f>IF($Z435="Full Defeasance","Fully Defeased",IF($Z435="Portion Of Loan Previously Defeased","Partially Defeased",IF($Z435="Defeasance Not Allowable","Not Defeased (Not Permitted)","Not Defeased")))</f>
        <v/>
      </c>
      <c r="CJ435" s="78">
        <f>IF($CI435="Fully Defeased",1,0)</f>
        <v/>
      </c>
      <c r="CK435" s="76">
        <f>IF($R435="IO","Full IO",IF(LEFT($R435&amp;"",7)="IO then","Partial IO","Amortizing"))</f>
        <v/>
      </c>
      <c r="CL435" s="78">
        <f>IF($CK435="Full IO",1,0)</f>
        <v/>
      </c>
      <c r="CM435" s="78">
        <f>IF($CK435="Partial IO",1,0)</f>
        <v/>
      </c>
      <c r="CN435" s="76">
        <f>IF(LEFT($F435&amp;"",10)="SPLIT_LOAN","Pari Passu Split","Standalone")</f>
        <v/>
      </c>
      <c r="CO435" s="78">
        <f>IF($CN435="Pari Passu Split",1,0)</f>
        <v/>
      </c>
      <c r="CP435" s="77">
        <f>IF(ISNUMBER($T435),YEAR($T435),"")</f>
        <v/>
      </c>
      <c r="CQ435" s="79">
        <f>IF(ISNUMBER($V435),$V435,IF(ISNUMBER($U435),$U435,""))</f>
        <v/>
      </c>
      <c r="CR435" s="77">
        <f>IF(ISNUMBER($CQ435),YEAR($CQ435),"")</f>
        <v/>
      </c>
      <c r="CS435" s="78">
        <f>IF(ISNUMBER($M435),MAX(0,$M435),IF(TRIM($M435&amp;"")="matured",0,""))</f>
        <v/>
      </c>
      <c r="CT435" s="78">
        <f>IF(AND(ISNUMBER($CS435),N($CS435)&lt;=mMatWindow),1,0)</f>
        <v/>
      </c>
      <c r="CU435" s="80">
        <f>IF(ISNUMBER($J435),$J435/100,"")</f>
        <v/>
      </c>
      <c r="CV435" s="81">
        <f>IF(ISNUMBER($AQ435),$AQ435,"")</f>
        <v/>
      </c>
      <c r="CW435" s="81">
        <f>IF(ISNUMBER($AR435),$AR435,"")</f>
        <v/>
      </c>
      <c r="CX435" s="82">
        <f>IF(ISNUMBER($AS435),$AS435/100,"")</f>
        <v/>
      </c>
      <c r="CY435" s="82">
        <f>IF(ISNUMBER($AT435),$AT435/100,"")</f>
        <v/>
      </c>
      <c r="CZ435" s="82">
        <f>IF(ISNUMBER($AU435),$AU435/100,"")</f>
        <v/>
      </c>
      <c r="DA435" s="82">
        <f>IF(ISNUMBER($AV435),$AV435/100,"")</f>
        <v/>
      </c>
      <c r="DB435" s="82">
        <f>IF(ISNUMBER($AW435),$AW435/100,"")</f>
        <v/>
      </c>
      <c r="DC435" s="82">
        <f>IF(ISNUMBER($AX435),$AX435/100,"")</f>
        <v/>
      </c>
      <c r="DD435" s="77">
        <f>IFERROR(VALUE(LEFT(TRIM($AO435&amp;""),4)),"")</f>
        <v/>
      </c>
      <c r="DE435" s="78">
        <f>IF(AND($BY435=1,$BX435=1,OR(fDeal="All Deals",$BU435=fDeal),OR(fEntity="All Entities",$BV435=fEntity),OR(fPType="All Property Types",$BZ435=fPType),OR(fDefeased="Include",$CJ435=0)),1,0)</f>
        <v/>
      </c>
      <c r="DF435" s="83">
        <f>$DE435*N($I435)</f>
        <v/>
      </c>
      <c r="DG435" s="78">
        <f>IF($DE435=1,IF(COUNTIFS($F$8:$F435,$F435,$DE$8:$DE435,1)=1,1,0),0)</f>
        <v/>
      </c>
      <c r="DH435" s="83">
        <f>IF($DG435=1,SUMIFS($DF$8:$DF$1600,$F$8:$F$1600,$F435),0)</f>
        <v/>
      </c>
      <c r="DI435" s="78">
        <f>IF($DG435=1,COUNTIFS($F$8:$F$1600,$F435,$DE$8:$DE$1600,1),0)</f>
        <v/>
      </c>
      <c r="DJ435" s="84">
        <f>IF($DG435=1,$DH435+(100000-ROW())/mTieBreak,0)</f>
        <v/>
      </c>
    </row>
    <row r="436">
      <c r="B436" s="68" t="n">
        <v>8</v>
      </c>
      <c r="C436" s="69" t="inlineStr">
        <is>
          <t>UBS17C05</t>
        </is>
      </c>
      <c r="D436" s="69" t="inlineStr">
        <is>
          <t>8.TR</t>
        </is>
      </c>
      <c r="E436" s="69" t="inlineStr">
        <is>
          <t>237 Park Avenue - Trust</t>
        </is>
      </c>
      <c r="F436" s="69" t="inlineStr">
        <is>
          <t>SPLIT_LOAN_01066</t>
        </is>
      </c>
      <c r="G436" s="70" t="n">
        <v>1066</v>
      </c>
      <c r="H436" s="71" t="n">
        <v>25390000</v>
      </c>
      <c r="I436" s="71" t="n">
        <v>25390000</v>
      </c>
      <c r="J436" s="72" t="n">
        <v>3.751544</v>
      </c>
      <c r="K436" s="69" t="inlineStr">
        <is>
          <t>Fixed rate</t>
        </is>
      </c>
      <c r="L436" s="68" t="n">
        <v>120</v>
      </c>
      <c r="M436" s="68" t="n">
        <v>11</v>
      </c>
      <c r="N436" s="68" t="n">
        <v>120</v>
      </c>
      <c r="O436" s="68" t="n">
        <v>120</v>
      </c>
      <c r="P436" s="68" t="n">
        <v>11</v>
      </c>
      <c r="Q436" s="68" t="n">
        <v>109</v>
      </c>
      <c r="R436" s="69" t="inlineStr">
        <is>
          <t>IO</t>
        </is>
      </c>
      <c r="S436" s="69" t="inlineStr">
        <is>
          <t>Yes</t>
        </is>
      </c>
      <c r="T436" s="73" t="n">
        <v>42948</v>
      </c>
      <c r="U436" s="73" t="n">
        <v>46608</v>
      </c>
      <c r="V436" s="73" t="n"/>
      <c r="W436" s="69" t="n"/>
      <c r="X436" s="69" t="inlineStr">
        <is>
          <t>Current</t>
        </is>
      </c>
      <c r="Y436" s="68" t="n"/>
      <c r="Z436" s="69" t="inlineStr">
        <is>
          <t>No Defeasance Occurred</t>
        </is>
      </c>
      <c r="AA436" s="69" t="inlineStr">
        <is>
          <t>Yes</t>
        </is>
      </c>
      <c r="AB436" s="69" t="inlineStr">
        <is>
          <t>Never special serv</t>
        </is>
      </c>
      <c r="AC436" s="73" t="n"/>
      <c r="AD436" s="69" t="n"/>
      <c r="AE436" s="69" t="n"/>
      <c r="AF436" s="69" t="inlineStr">
        <is>
          <t>NY</t>
        </is>
      </c>
      <c r="AG436" s="69" t="inlineStr">
        <is>
          <t>New York</t>
        </is>
      </c>
      <c r="AH436" s="69" t="inlineStr">
        <is>
          <t>New York-Newark-Jersey City, NY-NJ</t>
        </is>
      </c>
      <c r="AI436" s="69" t="inlineStr">
        <is>
          <t>Northeast / Mid-Atlantic</t>
        </is>
      </c>
      <c r="AJ436" s="69" t="inlineStr">
        <is>
          <t>OF</t>
        </is>
      </c>
      <c r="AK436" s="69" t="inlineStr">
        <is>
          <t>CBD</t>
        </is>
      </c>
      <c r="AL436" s="68" t="n">
        <v>1</v>
      </c>
      <c r="AM436" s="68" t="n"/>
      <c r="AN436" s="68" t="n">
        <v>1251717</v>
      </c>
      <c r="AO436" s="69" t="inlineStr">
        <is>
          <t>1914</t>
        </is>
      </c>
      <c r="AP436" s="70" t="n">
        <v>2017</v>
      </c>
      <c r="AQ436" s="74" t="n">
        <v>4.1</v>
      </c>
      <c r="AR436" s="74" t="n">
        <v>3.32</v>
      </c>
      <c r="AS436" s="74" t="n">
        <v>26.6</v>
      </c>
      <c r="AT436" s="74" t="n">
        <v>26.56</v>
      </c>
      <c r="AU436" s="74" t="n">
        <v>26.6</v>
      </c>
      <c r="AV436" s="74" t="n">
        <v>15.587653681</v>
      </c>
      <c r="AW436" s="74" t="n">
        <v>12.633102624</v>
      </c>
      <c r="AX436" s="75" t="n">
        <v>97</v>
      </c>
      <c r="AY436" s="71" t="n">
        <v>1310000000</v>
      </c>
      <c r="AZ436" s="71" t="n">
        <v>1310000000</v>
      </c>
      <c r="BA436" s="71" t="n">
        <v>54245034.81</v>
      </c>
      <c r="BB436" s="71" t="n">
        <v>43963197.13</v>
      </c>
      <c r="BC436" s="69" t="inlineStr">
        <is>
          <t>Refinance</t>
        </is>
      </c>
      <c r="BD436" s="69" t="inlineStr">
        <is>
          <t>N</t>
        </is>
      </c>
      <c r="BE436" s="71" t="n">
        <v>322610000</v>
      </c>
      <c r="BF436" s="71" t="n">
        <v>345200000</v>
      </c>
      <c r="BG436" s="71" t="n">
        <v>87800000</v>
      </c>
      <c r="BH436" s="71" t="n">
        <v>0</v>
      </c>
      <c r="BI436" s="71" t="n">
        <v>0</v>
      </c>
      <c r="BJ436" s="69" t="inlineStr">
        <is>
          <t>N</t>
        </is>
      </c>
      <c r="BK436" s="69" t="inlineStr">
        <is>
          <t>The New York and Presbyterian Hospital</t>
        </is>
      </c>
      <c r="BL436" s="75" t="n">
        <v>38.02</v>
      </c>
      <c r="BM436" s="73" t="n">
        <v>54421</v>
      </c>
      <c r="BN436" s="69" t="inlineStr">
        <is>
          <t>RXR Group; Walton Street Group</t>
        </is>
      </c>
      <c r="BO436" s="69" t="inlineStr">
        <is>
          <t>Morgan Stanley</t>
        </is>
      </c>
      <c r="BP436" s="69" t="inlineStr">
        <is>
          <t>Midland Loan Services</t>
        </is>
      </c>
      <c r="BQ436" s="69" t="inlineStr">
        <is>
          <t>Wells Fargo</t>
        </is>
      </c>
      <c r="BR436" s="69" t="n"/>
      <c r="BS436" s="73" t="n">
        <v>46276</v>
      </c>
      <c r="BU436" s="76">
        <f>IF($C436="","",IFERROR(INDEX(dmName,MATCH($C436,dmID,0)),"Unmapped"))</f>
        <v/>
      </c>
      <c r="BV436" s="76">
        <f>IF($C436="","",IFERROR(INDEX(dmEntity,MATCH($C436,dmID,0)),"Unmapped"))</f>
        <v/>
      </c>
      <c r="BW436" s="77">
        <f>IF($C436="","",IFERROR(INDEX(dmVintage,MATCH($C436,dmID,0)),""))</f>
        <v/>
      </c>
      <c r="BX436" s="78">
        <f>IFERROR(INDEX(dmInclude,MATCH($C436,dmID,0)),0)</f>
        <v/>
      </c>
      <c r="BY436" s="78">
        <f>IF(N($I436)&gt;0,1,0)</f>
        <v/>
      </c>
      <c r="BZ436" s="76">
        <f>IF($AJ436="","Other / Leased Fee",IFERROR(INDEX(mapPTGroup,MATCH(LEFT(TRIM($AJ436),2),mapPTCode,0)),"Other / Leased Fee"))</f>
        <v/>
      </c>
      <c r="CA436" s="76">
        <f>IF(TRIM($AF436&amp;"")="","NR",LEFT(TRIM($AF436),2))</f>
        <v/>
      </c>
      <c r="CB436" s="76">
        <f>IFERROR(LOOKUP(2,1/(LEFT(TRIM($AI436&amp;""),LEN(mapRegion))=mapRegion),mapRegion),"Not Reported")</f>
        <v/>
      </c>
      <c r="CC436" s="76">
        <f>IF($BY436=0,"",IF(TRIM($W436&amp;"")="REO","REO",IF(TRIM($W436&amp;"")="FC","Foreclosure",IF(TRIM($W436&amp;"")="90+","90+ Days Delinquent",IF(TRIM($W436&amp;"")="60","60 Days Delinquent",IF(TRIM($W436&amp;"")="30","30 Days Delinquent",IF($X436="Non-Performing Matured Balloon","Non-Performing Matured Balloon",IF(OR($X436="Late Payment But Less Than 30 Days Delinquent",LEFT($X436&amp;"",20)="Payment Not Received"),"Late / In Grace (&lt;30 Days)",IF($X436="Performing Matured Balloon","Performing Matured Balloon","Current")))))))))</f>
        <v/>
      </c>
      <c r="CD436" s="78">
        <f>IF(OR($CC436="REO",$CC436="Foreclosure",$CC436="90+ Days Delinquent",$CC436="60 Days Delinquent",$CC436="30 Days Delinquent",$CC436="Non-Performing Matured Balloon"),1,0)</f>
        <v/>
      </c>
      <c r="CE436" s="76">
        <f>IF($AB436="Currently special serv","Currently Specially Serviced",IF($AB436="Returned to master serv","Previously Specially Serviced","Never Specially Serviced"))</f>
        <v/>
      </c>
      <c r="CF436" s="78">
        <f>IF($CE436="Currently Specially Serviced",1,0)</f>
        <v/>
      </c>
      <c r="CG436" s="76">
        <f>IF($AA436="Yes","Currently on Watchlist",IF($AA436="Previously","Previously on Watchlist","Never on Watchlist"))</f>
        <v/>
      </c>
      <c r="CH436" s="78">
        <f>IF($CG436="Currently on Watchlist",1,0)</f>
        <v/>
      </c>
      <c r="CI436" s="76">
        <f>IF($Z436="Full Defeasance","Fully Defeased",IF($Z436="Portion Of Loan Previously Defeased","Partially Defeased",IF($Z436="Defeasance Not Allowable","Not Defeased (Not Permitted)","Not Defeased")))</f>
        <v/>
      </c>
      <c r="CJ436" s="78">
        <f>IF($CI436="Fully Defeased",1,0)</f>
        <v/>
      </c>
      <c r="CK436" s="76">
        <f>IF($R436="IO","Full IO",IF(LEFT($R436&amp;"",7)="IO then","Partial IO","Amortizing"))</f>
        <v/>
      </c>
      <c r="CL436" s="78">
        <f>IF($CK436="Full IO",1,0)</f>
        <v/>
      </c>
      <c r="CM436" s="78">
        <f>IF($CK436="Partial IO",1,0)</f>
        <v/>
      </c>
      <c r="CN436" s="76">
        <f>IF(LEFT($F436&amp;"",10)="SPLIT_LOAN","Pari Passu Split","Standalone")</f>
        <v/>
      </c>
      <c r="CO436" s="78">
        <f>IF($CN436="Pari Passu Split",1,0)</f>
        <v/>
      </c>
      <c r="CP436" s="77">
        <f>IF(ISNUMBER($T436),YEAR($T436),"")</f>
        <v/>
      </c>
      <c r="CQ436" s="79">
        <f>IF(ISNUMBER($V436),$V436,IF(ISNUMBER($U436),$U436,""))</f>
        <v/>
      </c>
      <c r="CR436" s="77">
        <f>IF(ISNUMBER($CQ436),YEAR($CQ436),"")</f>
        <v/>
      </c>
      <c r="CS436" s="78">
        <f>IF(ISNUMBER($M436),MAX(0,$M436),IF(TRIM($M436&amp;"")="matured",0,""))</f>
        <v/>
      </c>
      <c r="CT436" s="78">
        <f>IF(AND(ISNUMBER($CS436),N($CS436)&lt;=mMatWindow),1,0)</f>
        <v/>
      </c>
      <c r="CU436" s="80">
        <f>IF(ISNUMBER($J436),$J436/100,"")</f>
        <v/>
      </c>
      <c r="CV436" s="81">
        <f>IF(ISNUMBER($AQ436),$AQ436,"")</f>
        <v/>
      </c>
      <c r="CW436" s="81">
        <f>IF(ISNUMBER($AR436),$AR436,"")</f>
        <v/>
      </c>
      <c r="CX436" s="82">
        <f>IF(ISNUMBER($AS436),$AS436/100,"")</f>
        <v/>
      </c>
      <c r="CY436" s="82">
        <f>IF(ISNUMBER($AT436),$AT436/100,"")</f>
        <v/>
      </c>
      <c r="CZ436" s="82">
        <f>IF(ISNUMBER($AU436),$AU436/100,"")</f>
        <v/>
      </c>
      <c r="DA436" s="82">
        <f>IF(ISNUMBER($AV436),$AV436/100,"")</f>
        <v/>
      </c>
      <c r="DB436" s="82">
        <f>IF(ISNUMBER($AW436),$AW436/100,"")</f>
        <v/>
      </c>
      <c r="DC436" s="82">
        <f>IF(ISNUMBER($AX436),$AX436/100,"")</f>
        <v/>
      </c>
      <c r="DD436" s="77">
        <f>IFERROR(VALUE(LEFT(TRIM($AO436&amp;""),4)),"")</f>
        <v/>
      </c>
      <c r="DE436" s="78">
        <f>IF(AND($BY436=1,$BX436=1,OR(fDeal="All Deals",$BU436=fDeal),OR(fEntity="All Entities",$BV436=fEntity),OR(fPType="All Property Types",$BZ436=fPType),OR(fDefeased="Include",$CJ436=0)),1,0)</f>
        <v/>
      </c>
      <c r="DF436" s="83">
        <f>$DE436*N($I436)</f>
        <v/>
      </c>
      <c r="DG436" s="78">
        <f>IF($DE436=1,IF(COUNTIFS($F$8:$F436,$F436,$DE$8:$DE436,1)=1,1,0),0)</f>
        <v/>
      </c>
      <c r="DH436" s="83">
        <f>IF($DG436=1,SUMIFS($DF$8:$DF$1600,$F$8:$F$1600,$F436),0)</f>
        <v/>
      </c>
      <c r="DI436" s="78">
        <f>IF($DG436=1,COUNTIFS($F$8:$F$1600,$F436,$DE$8:$DE$1600,1),0)</f>
        <v/>
      </c>
      <c r="DJ436" s="84">
        <f>IF($DG436=1,$DH436+(100000-ROW())/mTieBreak,0)</f>
        <v/>
      </c>
    </row>
    <row r="437">
      <c r="B437" s="68" t="n">
        <v>9</v>
      </c>
      <c r="C437" s="69" t="inlineStr">
        <is>
          <t>UBS17C05</t>
        </is>
      </c>
      <c r="D437" s="69" t="inlineStr">
        <is>
          <t>9.000</t>
        </is>
      </c>
      <c r="E437" s="69" t="inlineStr">
        <is>
          <t>Totowa Commerce Center</t>
        </is>
      </c>
      <c r="F437" s="69" t="inlineStr">
        <is>
          <t>SPLIT_LOAN_01117</t>
        </is>
      </c>
      <c r="G437" s="70" t="n">
        <v>1117</v>
      </c>
      <c r="H437" s="71" t="n">
        <v>25000000</v>
      </c>
      <c r="I437" s="71" t="n">
        <v>23293653</v>
      </c>
      <c r="J437" s="72" t="n">
        <v>4.205</v>
      </c>
      <c r="K437" s="69" t="inlineStr">
        <is>
          <t>Fixed rate</t>
        </is>
      </c>
      <c r="L437" s="68" t="n">
        <v>120</v>
      </c>
      <c r="M437" s="68" t="n">
        <v>13</v>
      </c>
      <c r="N437" s="68" t="n">
        <v>420</v>
      </c>
      <c r="O437" s="68" t="n">
        <v>60</v>
      </c>
      <c r="P437" s="68" t="n">
        <v>0</v>
      </c>
      <c r="Q437" s="68" t="n">
        <v>107</v>
      </c>
      <c r="R437" s="69" t="inlineStr">
        <is>
          <t>IO then Amort</t>
        </is>
      </c>
      <c r="S437" s="69" t="inlineStr">
        <is>
          <t>No</t>
        </is>
      </c>
      <c r="T437" s="73" t="n">
        <v>43009</v>
      </c>
      <c r="U437" s="73" t="n">
        <v>46665</v>
      </c>
      <c r="V437" s="73" t="n"/>
      <c r="W437" s="69" t="n"/>
      <c r="X437" s="69" t="inlineStr">
        <is>
          <t>Current</t>
        </is>
      </c>
      <c r="Y437" s="68" t="n"/>
      <c r="Z437" s="69" t="inlineStr">
        <is>
          <t>Full Defeasance</t>
        </is>
      </c>
      <c r="AA437" s="69" t="n"/>
      <c r="AB437" s="69" t="inlineStr">
        <is>
          <t>Never special serv</t>
        </is>
      </c>
      <c r="AC437" s="73" t="n"/>
      <c r="AD437" s="69" t="n"/>
      <c r="AE437" s="69" t="n"/>
      <c r="AF437" s="69" t="inlineStr">
        <is>
          <t>NJ</t>
        </is>
      </c>
      <c r="AG437" s="69" t="inlineStr">
        <is>
          <t>Totowa</t>
        </is>
      </c>
      <c r="AH437" s="69" t="inlineStr">
        <is>
          <t>New York-Newark-Jersey City, NY-NJ</t>
        </is>
      </c>
      <c r="AI437" s="69" t="inlineStr">
        <is>
          <t>Northeast / Mid-Atlantic</t>
        </is>
      </c>
      <c r="AJ437" s="69" t="inlineStr">
        <is>
          <t>IN</t>
        </is>
      </c>
      <c r="AK437" s="69" t="n"/>
      <c r="AL437" s="68" t="n">
        <v>11</v>
      </c>
      <c r="AM437" s="68" t="n"/>
      <c r="AN437" s="68" t="n">
        <v>507779</v>
      </c>
      <c r="AO437" s="69" t="n"/>
      <c r="AP437" s="70" t="n">
        <v>2016</v>
      </c>
      <c r="AQ437" s="74" t="n">
        <v>1.55</v>
      </c>
      <c r="AR437" s="74" t="n">
        <v>2.59</v>
      </c>
      <c r="AS437" s="74" t="n">
        <v>74.8</v>
      </c>
      <c r="AT437" s="74" t="n">
        <v>69.73</v>
      </c>
      <c r="AU437" s="74" t="n">
        <v>68.2</v>
      </c>
      <c r="AV437" s="74" t="n">
        <v>9.075699052999999</v>
      </c>
      <c r="AW437" s="74" t="n">
        <v>11.866295595</v>
      </c>
      <c r="AX437" s="75" t="n">
        <v>100</v>
      </c>
      <c r="AY437" s="71" t="n">
        <v>69150000</v>
      </c>
      <c r="AZ437" s="71" t="n">
        <v>69149999</v>
      </c>
      <c r="BA437" s="71" t="n">
        <v>4696674.26</v>
      </c>
      <c r="BB437" s="71" t="n">
        <v>5721674</v>
      </c>
      <c r="BC437" s="69" t="inlineStr">
        <is>
          <t>Acquisition</t>
        </is>
      </c>
      <c r="BD437" s="69" t="inlineStr">
        <is>
          <t>N</t>
        </is>
      </c>
      <c r="BE437" s="71" t="n">
        <v>24924208.71</v>
      </c>
      <c r="BF437" s="71" t="n"/>
      <c r="BG437" s="71" t="n"/>
      <c r="BH437" s="71" t="n">
        <v>0</v>
      </c>
      <c r="BI437" s="71" t="n">
        <v>0</v>
      </c>
      <c r="BJ437" s="69" t="inlineStr">
        <is>
          <t>N</t>
        </is>
      </c>
      <c r="BK437" s="69" t="inlineStr">
        <is>
          <t>JJM Packaging LLC</t>
        </is>
      </c>
      <c r="BL437" s="75" t="n">
        <v>8.779999999999999</v>
      </c>
      <c r="BM437" s="73" t="n">
        <v>45565</v>
      </c>
      <c r="BN437" s="69" t="inlineStr">
        <is>
          <t>Jeffrey Greenberg; Steven Greenberg</t>
        </is>
      </c>
      <c r="BO437" s="69" t="inlineStr">
        <is>
          <t>Natixis</t>
        </is>
      </c>
      <c r="BP437" s="69" t="inlineStr">
        <is>
          <t>Midland Loan Services</t>
        </is>
      </c>
      <c r="BQ437" s="69" t="inlineStr">
        <is>
          <t>CWCapital</t>
        </is>
      </c>
      <c r="BR437" s="69" t="n"/>
      <c r="BS437" s="73" t="n">
        <v>46276</v>
      </c>
      <c r="BU437" s="76">
        <f>IF($C437="","",IFERROR(INDEX(dmName,MATCH($C437,dmID,0)),"Unmapped"))</f>
        <v/>
      </c>
      <c r="BV437" s="76">
        <f>IF($C437="","",IFERROR(INDEX(dmEntity,MATCH($C437,dmID,0)),"Unmapped"))</f>
        <v/>
      </c>
      <c r="BW437" s="77">
        <f>IF($C437="","",IFERROR(INDEX(dmVintage,MATCH($C437,dmID,0)),""))</f>
        <v/>
      </c>
      <c r="BX437" s="78">
        <f>IFERROR(INDEX(dmInclude,MATCH($C437,dmID,0)),0)</f>
        <v/>
      </c>
      <c r="BY437" s="78">
        <f>IF(N($I437)&gt;0,1,0)</f>
        <v/>
      </c>
      <c r="BZ437" s="76">
        <f>IF($AJ437="","Other / Leased Fee",IFERROR(INDEX(mapPTGroup,MATCH(LEFT(TRIM($AJ437),2),mapPTCode,0)),"Other / Leased Fee"))</f>
        <v/>
      </c>
      <c r="CA437" s="76">
        <f>IF(TRIM($AF437&amp;"")="","NR",LEFT(TRIM($AF437),2))</f>
        <v/>
      </c>
      <c r="CB437" s="76">
        <f>IFERROR(LOOKUP(2,1/(LEFT(TRIM($AI437&amp;""),LEN(mapRegion))=mapRegion),mapRegion),"Not Reported")</f>
        <v/>
      </c>
      <c r="CC437" s="76">
        <f>IF($BY437=0,"",IF(TRIM($W437&amp;"")="REO","REO",IF(TRIM($W437&amp;"")="FC","Foreclosure",IF(TRIM($W437&amp;"")="90+","90+ Days Delinquent",IF(TRIM($W437&amp;"")="60","60 Days Delinquent",IF(TRIM($W437&amp;"")="30","30 Days Delinquent",IF($X437="Non-Performing Matured Balloon","Non-Performing Matured Balloon",IF(OR($X437="Late Payment But Less Than 30 Days Delinquent",LEFT($X437&amp;"",20)="Payment Not Received"),"Late / In Grace (&lt;30 Days)",IF($X437="Performing Matured Balloon","Performing Matured Balloon","Current")))))))))</f>
        <v/>
      </c>
      <c r="CD437" s="78">
        <f>IF(OR($CC437="REO",$CC437="Foreclosure",$CC437="90+ Days Delinquent",$CC437="60 Days Delinquent",$CC437="30 Days Delinquent",$CC437="Non-Performing Matured Balloon"),1,0)</f>
        <v/>
      </c>
      <c r="CE437" s="76">
        <f>IF($AB437="Currently special serv","Currently Specially Serviced",IF($AB437="Returned to master serv","Previously Specially Serviced","Never Specially Serviced"))</f>
        <v/>
      </c>
      <c r="CF437" s="78">
        <f>IF($CE437="Currently Specially Serviced",1,0)</f>
        <v/>
      </c>
      <c r="CG437" s="76">
        <f>IF($AA437="Yes","Currently on Watchlist",IF($AA437="Previously","Previously on Watchlist","Never on Watchlist"))</f>
        <v/>
      </c>
      <c r="CH437" s="78">
        <f>IF($CG437="Currently on Watchlist",1,0)</f>
        <v/>
      </c>
      <c r="CI437" s="76">
        <f>IF($Z437="Full Defeasance","Fully Defeased",IF($Z437="Portion Of Loan Previously Defeased","Partially Defeased",IF($Z437="Defeasance Not Allowable","Not Defeased (Not Permitted)","Not Defeased")))</f>
        <v/>
      </c>
      <c r="CJ437" s="78">
        <f>IF($CI437="Fully Defeased",1,0)</f>
        <v/>
      </c>
      <c r="CK437" s="76">
        <f>IF($R437="IO","Full IO",IF(LEFT($R437&amp;"",7)="IO then","Partial IO","Amortizing"))</f>
        <v/>
      </c>
      <c r="CL437" s="78">
        <f>IF($CK437="Full IO",1,0)</f>
        <v/>
      </c>
      <c r="CM437" s="78">
        <f>IF($CK437="Partial IO",1,0)</f>
        <v/>
      </c>
      <c r="CN437" s="76">
        <f>IF(LEFT($F437&amp;"",10)="SPLIT_LOAN","Pari Passu Split","Standalone")</f>
        <v/>
      </c>
      <c r="CO437" s="78">
        <f>IF($CN437="Pari Passu Split",1,0)</f>
        <v/>
      </c>
      <c r="CP437" s="77">
        <f>IF(ISNUMBER($T437),YEAR($T437),"")</f>
        <v/>
      </c>
      <c r="CQ437" s="79">
        <f>IF(ISNUMBER($V437),$V437,IF(ISNUMBER($U437),$U437,""))</f>
        <v/>
      </c>
      <c r="CR437" s="77">
        <f>IF(ISNUMBER($CQ437),YEAR($CQ437),"")</f>
        <v/>
      </c>
      <c r="CS437" s="78">
        <f>IF(ISNUMBER($M437),MAX(0,$M437),IF(TRIM($M437&amp;"")="matured",0,""))</f>
        <v/>
      </c>
      <c r="CT437" s="78">
        <f>IF(AND(ISNUMBER($CS437),N($CS437)&lt;=mMatWindow),1,0)</f>
        <v/>
      </c>
      <c r="CU437" s="80">
        <f>IF(ISNUMBER($J437),$J437/100,"")</f>
        <v/>
      </c>
      <c r="CV437" s="81">
        <f>IF(ISNUMBER($AQ437),$AQ437,"")</f>
        <v/>
      </c>
      <c r="CW437" s="81">
        <f>IF(ISNUMBER($AR437),$AR437,"")</f>
        <v/>
      </c>
      <c r="CX437" s="82">
        <f>IF(ISNUMBER($AS437),$AS437/100,"")</f>
        <v/>
      </c>
      <c r="CY437" s="82">
        <f>IF(ISNUMBER($AT437),$AT437/100,"")</f>
        <v/>
      </c>
      <c r="CZ437" s="82">
        <f>IF(ISNUMBER($AU437),$AU437/100,"")</f>
        <v/>
      </c>
      <c r="DA437" s="82">
        <f>IF(ISNUMBER($AV437),$AV437/100,"")</f>
        <v/>
      </c>
      <c r="DB437" s="82">
        <f>IF(ISNUMBER($AW437),$AW437/100,"")</f>
        <v/>
      </c>
      <c r="DC437" s="82">
        <f>IF(ISNUMBER($AX437),$AX437/100,"")</f>
        <v/>
      </c>
      <c r="DD437" s="77">
        <f>IFERROR(VALUE(LEFT(TRIM($AO437&amp;""),4)),"")</f>
        <v/>
      </c>
      <c r="DE437" s="78">
        <f>IF(AND($BY437=1,$BX437=1,OR(fDeal="All Deals",$BU437=fDeal),OR(fEntity="All Entities",$BV437=fEntity),OR(fPType="All Property Types",$BZ437=fPType),OR(fDefeased="Include",$CJ437=0)),1,0)</f>
        <v/>
      </c>
      <c r="DF437" s="83">
        <f>$DE437*N($I437)</f>
        <v/>
      </c>
      <c r="DG437" s="78">
        <f>IF($DE437=1,IF(COUNTIFS($F$8:$F437,$F437,$DE$8:$DE437,1)=1,1,0),0)</f>
        <v/>
      </c>
      <c r="DH437" s="83">
        <f>IF($DG437=1,SUMIFS($DF$8:$DF$1600,$F$8:$F$1600,$F437),0)</f>
        <v/>
      </c>
      <c r="DI437" s="78">
        <f>IF($DG437=1,COUNTIFS($F$8:$F$1600,$F437,$DE$8:$DE$1600,1),0)</f>
        <v/>
      </c>
      <c r="DJ437" s="84">
        <f>IF($DG437=1,$DH437+(100000-ROW())/mTieBreak,0)</f>
        <v/>
      </c>
    </row>
    <row r="438">
      <c r="B438" s="68" t="n">
        <v>10</v>
      </c>
      <c r="C438" s="69" t="inlineStr">
        <is>
          <t>UBS17C05</t>
        </is>
      </c>
      <c r="D438" s="69" t="inlineStr">
        <is>
          <t>10.000</t>
        </is>
      </c>
      <c r="E438" s="69" t="inlineStr">
        <is>
          <t>Residence Inn Los Angeles Westlake Village</t>
        </is>
      </c>
      <c r="F438" s="69" t="inlineStr">
        <is>
          <t>LNUBS17C05-10.000</t>
        </is>
      </c>
      <c r="G438" s="70" t="n"/>
      <c r="H438" s="71" t="n">
        <v>25000000</v>
      </c>
      <c r="I438" s="71" t="n">
        <v>20362537.23</v>
      </c>
      <c r="J438" s="72" t="n">
        <v>4.06</v>
      </c>
      <c r="K438" s="69" t="inlineStr">
        <is>
          <t>Fixed rate</t>
        </is>
      </c>
      <c r="L438" s="68" t="n">
        <v>120</v>
      </c>
      <c r="M438" s="68" t="n">
        <v>9</v>
      </c>
      <c r="N438" s="68" t="n">
        <v>360</v>
      </c>
      <c r="O438" s="68" t="n"/>
      <c r="P438" s="68" t="n"/>
      <c r="Q438" s="68" t="n">
        <v>111</v>
      </c>
      <c r="R438" s="69" t="n"/>
      <c r="S438" s="69" t="inlineStr">
        <is>
          <t>No</t>
        </is>
      </c>
      <c r="T438" s="73" t="n">
        <v>42887</v>
      </c>
      <c r="U438" s="73" t="n">
        <v>46544</v>
      </c>
      <c r="V438" s="73" t="n"/>
      <c r="W438" s="69" t="n"/>
      <c r="X438" s="69" t="inlineStr">
        <is>
          <t>Current</t>
        </is>
      </c>
      <c r="Y438" s="68" t="n"/>
      <c r="Z438" s="69" t="inlineStr">
        <is>
          <t>Defeasance Not Allowable</t>
        </is>
      </c>
      <c r="AA438" s="69" t="inlineStr">
        <is>
          <t>Yes</t>
        </is>
      </c>
      <c r="AB438" s="69" t="inlineStr">
        <is>
          <t>Never special serv</t>
        </is>
      </c>
      <c r="AC438" s="73" t="n"/>
      <c r="AD438" s="69" t="n"/>
      <c r="AE438" s="69" t="n"/>
      <c r="AF438" s="69" t="inlineStr">
        <is>
          <t>CA</t>
        </is>
      </c>
      <c r="AG438" s="69" t="inlineStr">
        <is>
          <t>Westlake Village</t>
        </is>
      </c>
      <c r="AH438" s="69" t="inlineStr">
        <is>
          <t>Oxnard-Thousand Oaks-Ventura, CA</t>
        </is>
      </c>
      <c r="AI438" s="69" t="inlineStr">
        <is>
          <t>West / Pacific South</t>
        </is>
      </c>
      <c r="AJ438" s="69" t="inlineStr">
        <is>
          <t>HT</t>
        </is>
      </c>
      <c r="AK438" s="69" t="inlineStr">
        <is>
          <t>Extended Stay</t>
        </is>
      </c>
      <c r="AL438" s="68" t="n">
        <v>1</v>
      </c>
      <c r="AM438" s="68" t="n">
        <v>160</v>
      </c>
      <c r="AN438" s="68" t="n"/>
      <c r="AO438" s="69" t="inlineStr">
        <is>
          <t>2007</t>
        </is>
      </c>
      <c r="AP438" s="70" t="n">
        <v>2014</v>
      </c>
      <c r="AQ438" s="74" t="n">
        <v>3.15</v>
      </c>
      <c r="AR438" s="74" t="n">
        <v>0.98</v>
      </c>
      <c r="AS438" s="74" t="n">
        <v>43.4</v>
      </c>
      <c r="AT438" s="74" t="n">
        <v>35.6</v>
      </c>
      <c r="AU438" s="74" t="n">
        <v>34.8</v>
      </c>
      <c r="AV438" s="74" t="n">
        <v>18.1510208</v>
      </c>
      <c r="AW438" s="74" t="n">
        <v>11.939381142</v>
      </c>
      <c r="AX438" s="75" t="n">
        <v>74</v>
      </c>
      <c r="AY438" s="71" t="n">
        <v>57200000</v>
      </c>
      <c r="AZ438" s="71" t="n">
        <v>57200000</v>
      </c>
      <c r="BA438" s="71" t="n">
        <v>4537755.2</v>
      </c>
      <c r="BB438" s="71" t="n">
        <v>1419843.96</v>
      </c>
      <c r="BC438" s="69" t="inlineStr">
        <is>
          <t>Refinance</t>
        </is>
      </c>
      <c r="BD438" s="69" t="inlineStr">
        <is>
          <t>N</t>
        </is>
      </c>
      <c r="BE438" s="71" t="n"/>
      <c r="BF438" s="71" t="n"/>
      <c r="BG438" s="71" t="n"/>
      <c r="BH438" s="71" t="n">
        <v>0</v>
      </c>
      <c r="BI438" s="71" t="n">
        <v>0</v>
      </c>
      <c r="BJ438" s="69" t="inlineStr">
        <is>
          <t>N</t>
        </is>
      </c>
      <c r="BK438" s="69" t="n"/>
      <c r="BL438" s="75" t="n"/>
      <c r="BM438" s="73" t="n"/>
      <c r="BN438" s="69" t="inlineStr">
        <is>
          <t>Huntington Hotel Group, LP</t>
        </is>
      </c>
      <c r="BO438" s="69" t="inlineStr">
        <is>
          <t>RMF</t>
        </is>
      </c>
      <c r="BP438" s="69" t="inlineStr">
        <is>
          <t>Midland Loan Services</t>
        </is>
      </c>
      <c r="BQ438" s="69" t="inlineStr">
        <is>
          <t>K-Star Asset Management LLC</t>
        </is>
      </c>
      <c r="BR438" s="69" t="n"/>
      <c r="BS438" s="73" t="n">
        <v>46276</v>
      </c>
      <c r="BU438" s="76">
        <f>IF($C438="","",IFERROR(INDEX(dmName,MATCH($C438,dmID,0)),"Unmapped"))</f>
        <v/>
      </c>
      <c r="BV438" s="76">
        <f>IF($C438="","",IFERROR(INDEX(dmEntity,MATCH($C438,dmID,0)),"Unmapped"))</f>
        <v/>
      </c>
      <c r="BW438" s="77">
        <f>IF($C438="","",IFERROR(INDEX(dmVintage,MATCH($C438,dmID,0)),""))</f>
        <v/>
      </c>
      <c r="BX438" s="78">
        <f>IFERROR(INDEX(dmInclude,MATCH($C438,dmID,0)),0)</f>
        <v/>
      </c>
      <c r="BY438" s="78">
        <f>IF(N($I438)&gt;0,1,0)</f>
        <v/>
      </c>
      <c r="BZ438" s="76">
        <f>IF($AJ438="","Other / Leased Fee",IFERROR(INDEX(mapPTGroup,MATCH(LEFT(TRIM($AJ438),2),mapPTCode,0)),"Other / Leased Fee"))</f>
        <v/>
      </c>
      <c r="CA438" s="76">
        <f>IF(TRIM($AF438&amp;"")="","NR",LEFT(TRIM($AF438),2))</f>
        <v/>
      </c>
      <c r="CB438" s="76">
        <f>IFERROR(LOOKUP(2,1/(LEFT(TRIM($AI438&amp;""),LEN(mapRegion))=mapRegion),mapRegion),"Not Reported")</f>
        <v/>
      </c>
      <c r="CC438" s="76">
        <f>IF($BY438=0,"",IF(TRIM($W438&amp;"")="REO","REO",IF(TRIM($W438&amp;"")="FC","Foreclosure",IF(TRIM($W438&amp;"")="90+","90+ Days Delinquent",IF(TRIM($W438&amp;"")="60","60 Days Delinquent",IF(TRIM($W438&amp;"")="30","30 Days Delinquent",IF($X438="Non-Performing Matured Balloon","Non-Performing Matured Balloon",IF(OR($X438="Late Payment But Less Than 30 Days Delinquent",LEFT($X438&amp;"",20)="Payment Not Received"),"Late / In Grace (&lt;30 Days)",IF($X438="Performing Matured Balloon","Performing Matured Balloon","Current")))))))))</f>
        <v/>
      </c>
      <c r="CD438" s="78">
        <f>IF(OR($CC438="REO",$CC438="Foreclosure",$CC438="90+ Days Delinquent",$CC438="60 Days Delinquent",$CC438="30 Days Delinquent",$CC438="Non-Performing Matured Balloon"),1,0)</f>
        <v/>
      </c>
      <c r="CE438" s="76">
        <f>IF($AB438="Currently special serv","Currently Specially Serviced",IF($AB438="Returned to master serv","Previously Specially Serviced","Never Specially Serviced"))</f>
        <v/>
      </c>
      <c r="CF438" s="78">
        <f>IF($CE438="Currently Specially Serviced",1,0)</f>
        <v/>
      </c>
      <c r="CG438" s="76">
        <f>IF($AA438="Yes","Currently on Watchlist",IF($AA438="Previously","Previously on Watchlist","Never on Watchlist"))</f>
        <v/>
      </c>
      <c r="CH438" s="78">
        <f>IF($CG438="Currently on Watchlist",1,0)</f>
        <v/>
      </c>
      <c r="CI438" s="76">
        <f>IF($Z438="Full Defeasance","Fully Defeased",IF($Z438="Portion Of Loan Previously Defeased","Partially Defeased",IF($Z438="Defeasance Not Allowable","Not Defeased (Not Permitted)","Not Defeased")))</f>
        <v/>
      </c>
      <c r="CJ438" s="78">
        <f>IF($CI438="Fully Defeased",1,0)</f>
        <v/>
      </c>
      <c r="CK438" s="76">
        <f>IF($R438="IO","Full IO",IF(LEFT($R438&amp;"",7)="IO then","Partial IO","Amortizing"))</f>
        <v/>
      </c>
      <c r="CL438" s="78">
        <f>IF($CK438="Full IO",1,0)</f>
        <v/>
      </c>
      <c r="CM438" s="78">
        <f>IF($CK438="Partial IO",1,0)</f>
        <v/>
      </c>
      <c r="CN438" s="76">
        <f>IF(LEFT($F438&amp;"",10)="SPLIT_LOAN","Pari Passu Split","Standalone")</f>
        <v/>
      </c>
      <c r="CO438" s="78">
        <f>IF($CN438="Pari Passu Split",1,0)</f>
        <v/>
      </c>
      <c r="CP438" s="77">
        <f>IF(ISNUMBER($T438),YEAR($T438),"")</f>
        <v/>
      </c>
      <c r="CQ438" s="79">
        <f>IF(ISNUMBER($V438),$V438,IF(ISNUMBER($U438),$U438,""))</f>
        <v/>
      </c>
      <c r="CR438" s="77">
        <f>IF(ISNUMBER($CQ438),YEAR($CQ438),"")</f>
        <v/>
      </c>
      <c r="CS438" s="78">
        <f>IF(ISNUMBER($M438),MAX(0,$M438),IF(TRIM($M438&amp;"")="matured",0,""))</f>
        <v/>
      </c>
      <c r="CT438" s="78">
        <f>IF(AND(ISNUMBER($CS438),N($CS438)&lt;=mMatWindow),1,0)</f>
        <v/>
      </c>
      <c r="CU438" s="80">
        <f>IF(ISNUMBER($J438),$J438/100,"")</f>
        <v/>
      </c>
      <c r="CV438" s="81">
        <f>IF(ISNUMBER($AQ438),$AQ438,"")</f>
        <v/>
      </c>
      <c r="CW438" s="81">
        <f>IF(ISNUMBER($AR438),$AR438,"")</f>
        <v/>
      </c>
      <c r="CX438" s="82">
        <f>IF(ISNUMBER($AS438),$AS438/100,"")</f>
        <v/>
      </c>
      <c r="CY438" s="82">
        <f>IF(ISNUMBER($AT438),$AT438/100,"")</f>
        <v/>
      </c>
      <c r="CZ438" s="82">
        <f>IF(ISNUMBER($AU438),$AU438/100,"")</f>
        <v/>
      </c>
      <c r="DA438" s="82">
        <f>IF(ISNUMBER($AV438),$AV438/100,"")</f>
        <v/>
      </c>
      <c r="DB438" s="82">
        <f>IF(ISNUMBER($AW438),$AW438/100,"")</f>
        <v/>
      </c>
      <c r="DC438" s="82">
        <f>IF(ISNUMBER($AX438),$AX438/100,"")</f>
        <v/>
      </c>
      <c r="DD438" s="77">
        <f>IFERROR(VALUE(LEFT(TRIM($AO438&amp;""),4)),"")</f>
        <v/>
      </c>
      <c r="DE438" s="78">
        <f>IF(AND($BY438=1,$BX438=1,OR(fDeal="All Deals",$BU438=fDeal),OR(fEntity="All Entities",$BV438=fEntity),OR(fPType="All Property Types",$BZ438=fPType),OR(fDefeased="Include",$CJ438=0)),1,0)</f>
        <v/>
      </c>
      <c r="DF438" s="83">
        <f>$DE438*N($I438)</f>
        <v/>
      </c>
      <c r="DG438" s="78">
        <f>IF($DE438=1,IF(COUNTIFS($F$8:$F438,$F438,$DE$8:$DE438,1)=1,1,0),0)</f>
        <v/>
      </c>
      <c r="DH438" s="83">
        <f>IF($DG438=1,SUMIFS($DF$8:$DF$1600,$F$8:$F$1600,$F438),0)</f>
        <v/>
      </c>
      <c r="DI438" s="78">
        <f>IF($DG438=1,COUNTIFS($F$8:$F$1600,$F438,$DE$8:$DE$1600,1),0)</f>
        <v/>
      </c>
      <c r="DJ438" s="84">
        <f>IF($DG438=1,$DH438+(100000-ROW())/mTieBreak,0)</f>
        <v/>
      </c>
    </row>
    <row r="439">
      <c r="B439" s="68" t="n">
        <v>11</v>
      </c>
      <c r="C439" s="69" t="inlineStr">
        <is>
          <t>UBS17C05</t>
        </is>
      </c>
      <c r="D439" s="69" t="inlineStr">
        <is>
          <t>11.000</t>
        </is>
      </c>
      <c r="E439" s="69" t="inlineStr">
        <is>
          <t>DoubleTree Wilmington</t>
        </is>
      </c>
      <c r="F439" s="69" t="inlineStr">
        <is>
          <t>SPLIT_LOAN_01118</t>
        </is>
      </c>
      <c r="G439" s="70" t="n">
        <v>1118</v>
      </c>
      <c r="H439" s="71" t="n">
        <v>24000000</v>
      </c>
      <c r="I439" s="71" t="n">
        <v>20469770.380008</v>
      </c>
      <c r="J439" s="72" t="n">
        <v>5.218</v>
      </c>
      <c r="K439" s="69" t="inlineStr">
        <is>
          <t>Fixed rate</t>
        </is>
      </c>
      <c r="L439" s="68" t="n">
        <v>120</v>
      </c>
      <c r="M439" s="68" t="n">
        <v>14</v>
      </c>
      <c r="N439" s="68" t="n">
        <v>360</v>
      </c>
      <c r="O439" s="68" t="n"/>
      <c r="P439" s="68" t="n"/>
      <c r="Q439" s="68" t="n">
        <v>106</v>
      </c>
      <c r="R439" s="69" t="n"/>
      <c r="S439" s="69" t="inlineStr">
        <is>
          <t>No</t>
        </is>
      </c>
      <c r="T439" s="73" t="n">
        <v>43040</v>
      </c>
      <c r="U439" s="73" t="n">
        <v>46697</v>
      </c>
      <c r="V439" s="73" t="n"/>
      <c r="W439" s="69" t="n"/>
      <c r="X439" s="69" t="inlineStr">
        <is>
          <t>Current</t>
        </is>
      </c>
      <c r="Y439" s="68" t="n"/>
      <c r="Z439" s="69" t="inlineStr">
        <is>
          <t>No Defeasance Occurred</t>
        </is>
      </c>
      <c r="AA439" s="69" t="inlineStr">
        <is>
          <t>Yes</t>
        </is>
      </c>
      <c r="AB439" s="69" t="inlineStr">
        <is>
          <t>Returned to master serv</t>
        </is>
      </c>
      <c r="AC439" s="73" t="n"/>
      <c r="AD439" s="69" t="inlineStr">
        <is>
          <t>Other</t>
        </is>
      </c>
      <c r="AE439" s="69" t="inlineStr">
        <is>
          <t>Resolved</t>
        </is>
      </c>
      <c r="AF439" s="69" t="inlineStr">
        <is>
          <t>DE</t>
        </is>
      </c>
      <c r="AG439" s="69" t="inlineStr">
        <is>
          <t>Wilmington</t>
        </is>
      </c>
      <c r="AH439" s="69" t="inlineStr">
        <is>
          <t>Philadelphia-Camden-Wilmington, PA-NJ-DE-MD</t>
        </is>
      </c>
      <c r="AI439" s="69" t="inlineStr">
        <is>
          <t>Northeast / Mid-Atlantic</t>
        </is>
      </c>
      <c r="AJ439" s="69" t="inlineStr">
        <is>
          <t>HT</t>
        </is>
      </c>
      <c r="AK439" s="69" t="inlineStr">
        <is>
          <t>Full Service</t>
        </is>
      </c>
      <c r="AL439" s="68" t="n">
        <v>1</v>
      </c>
      <c r="AM439" s="68" t="n">
        <v>244</v>
      </c>
      <c r="AN439" s="68" t="n"/>
      <c r="AO439" s="69" t="inlineStr">
        <is>
          <t>1973</t>
        </is>
      </c>
      <c r="AP439" s="70" t="n">
        <v>2015</v>
      </c>
      <c r="AQ439" s="74" t="n">
        <v>1.68</v>
      </c>
      <c r="AR439" s="74" t="n">
        <v>-0.9</v>
      </c>
      <c r="AS439" s="74" t="n">
        <v>64.90000000000001</v>
      </c>
      <c r="AT439" s="74" t="n">
        <v>81.16</v>
      </c>
      <c r="AU439" s="74" t="n">
        <v>53.7</v>
      </c>
      <c r="AV439" s="74" t="n">
        <v>11.0988772</v>
      </c>
      <c r="AW439" s="74" t="n">
        <v>3.350944683</v>
      </c>
      <c r="AX439" s="75" t="n">
        <v>42</v>
      </c>
      <c r="AY439" s="71" t="n">
        <v>42400000</v>
      </c>
      <c r="AZ439" s="71" t="n">
        <v>28900000</v>
      </c>
      <c r="BA439" s="71" t="n">
        <v>3052191.23</v>
      </c>
      <c r="BB439" s="71" t="n">
        <v>-406356.49</v>
      </c>
      <c r="BC439" s="69" t="inlineStr">
        <is>
          <t>Acquisition</t>
        </is>
      </c>
      <c r="BD439" s="69" t="inlineStr">
        <is>
          <t>N</t>
        </is>
      </c>
      <c r="BE439" s="71" t="n">
        <v>2985174.85</v>
      </c>
      <c r="BF439" s="71" t="n"/>
      <c r="BG439" s="71" t="n">
        <v>2765000</v>
      </c>
      <c r="BH439" s="71" t="n">
        <v>0</v>
      </c>
      <c r="BI439" s="71" t="n">
        <v>0</v>
      </c>
      <c r="BJ439" s="69" t="inlineStr">
        <is>
          <t>Y</t>
        </is>
      </c>
      <c r="BK439" s="69" t="n"/>
      <c r="BL439" s="75" t="n"/>
      <c r="BM439" s="73" t="n"/>
      <c r="BN439" s="69" t="inlineStr">
        <is>
          <t>Christopher F. Buccini; Robert E. Buccini; David B. Pollin</t>
        </is>
      </c>
      <c r="BO439" s="69" t="inlineStr">
        <is>
          <t>Ladder Capital Finance</t>
        </is>
      </c>
      <c r="BP439" s="69" t="inlineStr">
        <is>
          <t>Midland Loan Services</t>
        </is>
      </c>
      <c r="BQ439" s="69" t="inlineStr">
        <is>
          <t>K-Star Asset Management LLC</t>
        </is>
      </c>
      <c r="BR439" s="69" t="n"/>
      <c r="BS439" s="73" t="n">
        <v>46276</v>
      </c>
      <c r="BU439" s="76">
        <f>IF($C439="","",IFERROR(INDEX(dmName,MATCH($C439,dmID,0)),"Unmapped"))</f>
        <v/>
      </c>
      <c r="BV439" s="76">
        <f>IF($C439="","",IFERROR(INDEX(dmEntity,MATCH($C439,dmID,0)),"Unmapped"))</f>
        <v/>
      </c>
      <c r="BW439" s="77">
        <f>IF($C439="","",IFERROR(INDEX(dmVintage,MATCH($C439,dmID,0)),""))</f>
        <v/>
      </c>
      <c r="BX439" s="78">
        <f>IFERROR(INDEX(dmInclude,MATCH($C439,dmID,0)),0)</f>
        <v/>
      </c>
      <c r="BY439" s="78">
        <f>IF(N($I439)&gt;0,1,0)</f>
        <v/>
      </c>
      <c r="BZ439" s="76">
        <f>IF($AJ439="","Other / Leased Fee",IFERROR(INDEX(mapPTGroup,MATCH(LEFT(TRIM($AJ439),2),mapPTCode,0)),"Other / Leased Fee"))</f>
        <v/>
      </c>
      <c r="CA439" s="76">
        <f>IF(TRIM($AF439&amp;"")="","NR",LEFT(TRIM($AF439),2))</f>
        <v/>
      </c>
      <c r="CB439" s="76">
        <f>IFERROR(LOOKUP(2,1/(LEFT(TRIM($AI439&amp;""),LEN(mapRegion))=mapRegion),mapRegion),"Not Reported")</f>
        <v/>
      </c>
      <c r="CC439" s="76">
        <f>IF($BY439=0,"",IF(TRIM($W439&amp;"")="REO","REO",IF(TRIM($W439&amp;"")="FC","Foreclosure",IF(TRIM($W439&amp;"")="90+","90+ Days Delinquent",IF(TRIM($W439&amp;"")="60","60 Days Delinquent",IF(TRIM($W439&amp;"")="30","30 Days Delinquent",IF($X439="Non-Performing Matured Balloon","Non-Performing Matured Balloon",IF(OR($X439="Late Payment But Less Than 30 Days Delinquent",LEFT($X439&amp;"",20)="Payment Not Received"),"Late / In Grace (&lt;30 Days)",IF($X439="Performing Matured Balloon","Performing Matured Balloon","Current")))))))))</f>
        <v/>
      </c>
      <c r="CD439" s="78">
        <f>IF(OR($CC439="REO",$CC439="Foreclosure",$CC439="90+ Days Delinquent",$CC439="60 Days Delinquent",$CC439="30 Days Delinquent",$CC439="Non-Performing Matured Balloon"),1,0)</f>
        <v/>
      </c>
      <c r="CE439" s="76">
        <f>IF($AB439="Currently special serv","Currently Specially Serviced",IF($AB439="Returned to master serv","Previously Specially Serviced","Never Specially Serviced"))</f>
        <v/>
      </c>
      <c r="CF439" s="78">
        <f>IF($CE439="Currently Specially Serviced",1,0)</f>
        <v/>
      </c>
      <c r="CG439" s="76">
        <f>IF($AA439="Yes","Currently on Watchlist",IF($AA439="Previously","Previously on Watchlist","Never on Watchlist"))</f>
        <v/>
      </c>
      <c r="CH439" s="78">
        <f>IF($CG439="Currently on Watchlist",1,0)</f>
        <v/>
      </c>
      <c r="CI439" s="76">
        <f>IF($Z439="Full Defeasance","Fully Defeased",IF($Z439="Portion Of Loan Previously Defeased","Partially Defeased",IF($Z439="Defeasance Not Allowable","Not Defeased (Not Permitted)","Not Defeased")))</f>
        <v/>
      </c>
      <c r="CJ439" s="78">
        <f>IF($CI439="Fully Defeased",1,0)</f>
        <v/>
      </c>
      <c r="CK439" s="76">
        <f>IF($R439="IO","Full IO",IF(LEFT($R439&amp;"",7)="IO then","Partial IO","Amortizing"))</f>
        <v/>
      </c>
      <c r="CL439" s="78">
        <f>IF($CK439="Full IO",1,0)</f>
        <v/>
      </c>
      <c r="CM439" s="78">
        <f>IF($CK439="Partial IO",1,0)</f>
        <v/>
      </c>
      <c r="CN439" s="76">
        <f>IF(LEFT($F439&amp;"",10)="SPLIT_LOAN","Pari Passu Split","Standalone")</f>
        <v/>
      </c>
      <c r="CO439" s="78">
        <f>IF($CN439="Pari Passu Split",1,0)</f>
        <v/>
      </c>
      <c r="CP439" s="77">
        <f>IF(ISNUMBER($T439),YEAR($T439),"")</f>
        <v/>
      </c>
      <c r="CQ439" s="79">
        <f>IF(ISNUMBER($V439),$V439,IF(ISNUMBER($U439),$U439,""))</f>
        <v/>
      </c>
      <c r="CR439" s="77">
        <f>IF(ISNUMBER($CQ439),YEAR($CQ439),"")</f>
        <v/>
      </c>
      <c r="CS439" s="78">
        <f>IF(ISNUMBER($M439),MAX(0,$M439),IF(TRIM($M439&amp;"")="matured",0,""))</f>
        <v/>
      </c>
      <c r="CT439" s="78">
        <f>IF(AND(ISNUMBER($CS439),N($CS439)&lt;=mMatWindow),1,0)</f>
        <v/>
      </c>
      <c r="CU439" s="80">
        <f>IF(ISNUMBER($J439),$J439/100,"")</f>
        <v/>
      </c>
      <c r="CV439" s="81">
        <f>IF(ISNUMBER($AQ439),$AQ439,"")</f>
        <v/>
      </c>
      <c r="CW439" s="81">
        <f>IF(ISNUMBER($AR439),$AR439,"")</f>
        <v/>
      </c>
      <c r="CX439" s="82">
        <f>IF(ISNUMBER($AS439),$AS439/100,"")</f>
        <v/>
      </c>
      <c r="CY439" s="82">
        <f>IF(ISNUMBER($AT439),$AT439/100,"")</f>
        <v/>
      </c>
      <c r="CZ439" s="82">
        <f>IF(ISNUMBER($AU439),$AU439/100,"")</f>
        <v/>
      </c>
      <c r="DA439" s="82">
        <f>IF(ISNUMBER($AV439),$AV439/100,"")</f>
        <v/>
      </c>
      <c r="DB439" s="82">
        <f>IF(ISNUMBER($AW439),$AW439/100,"")</f>
        <v/>
      </c>
      <c r="DC439" s="82">
        <f>IF(ISNUMBER($AX439),$AX439/100,"")</f>
        <v/>
      </c>
      <c r="DD439" s="77">
        <f>IFERROR(VALUE(LEFT(TRIM($AO439&amp;""),4)),"")</f>
        <v/>
      </c>
      <c r="DE439" s="78">
        <f>IF(AND($BY439=1,$BX439=1,OR(fDeal="All Deals",$BU439=fDeal),OR(fEntity="All Entities",$BV439=fEntity),OR(fPType="All Property Types",$BZ439=fPType),OR(fDefeased="Include",$CJ439=0)),1,0)</f>
        <v/>
      </c>
      <c r="DF439" s="83">
        <f>$DE439*N($I439)</f>
        <v/>
      </c>
      <c r="DG439" s="78">
        <f>IF($DE439=1,IF(COUNTIFS($F$8:$F439,$F439,$DE$8:$DE439,1)=1,1,0),0)</f>
        <v/>
      </c>
      <c r="DH439" s="83">
        <f>IF($DG439=1,SUMIFS($DF$8:$DF$1600,$F$8:$F$1600,$F439),0)</f>
        <v/>
      </c>
      <c r="DI439" s="78">
        <f>IF($DG439=1,COUNTIFS($F$8:$F$1600,$F439,$DE$8:$DE$1600,1),0)</f>
        <v/>
      </c>
      <c r="DJ439" s="84">
        <f>IF($DG439=1,$DH439+(100000-ROW())/mTieBreak,0)</f>
        <v/>
      </c>
    </row>
    <row r="440">
      <c r="B440" s="68" t="n">
        <v>12</v>
      </c>
      <c r="C440" s="69" t="inlineStr">
        <is>
          <t>UBS17C05</t>
        </is>
      </c>
      <c r="D440" s="69" t="inlineStr">
        <is>
          <t>12.000</t>
        </is>
      </c>
      <c r="E440" s="69" t="inlineStr">
        <is>
          <t>Cabela's Industrial Portfolio</t>
        </is>
      </c>
      <c r="F440" s="69" t="inlineStr">
        <is>
          <t>SPLIT_LOAN_01111</t>
        </is>
      </c>
      <c r="G440" s="70" t="n">
        <v>1111</v>
      </c>
      <c r="H440" s="71" t="n">
        <v>21300000</v>
      </c>
      <c r="I440" s="71" t="n">
        <v>21300000</v>
      </c>
      <c r="J440" s="72" t="n">
        <v>4.359</v>
      </c>
      <c r="K440" s="69" t="inlineStr">
        <is>
          <t>Fixed rate</t>
        </is>
      </c>
      <c r="L440" s="68" t="n">
        <v>120</v>
      </c>
      <c r="M440" s="68" t="n">
        <v>13</v>
      </c>
      <c r="N440" s="68" t="n">
        <v>120</v>
      </c>
      <c r="O440" s="68" t="n">
        <v>120</v>
      </c>
      <c r="P440" s="68" t="n">
        <v>13</v>
      </c>
      <c r="Q440" s="68" t="n">
        <v>107</v>
      </c>
      <c r="R440" s="69" t="inlineStr">
        <is>
          <t>IO</t>
        </is>
      </c>
      <c r="S440" s="69" t="inlineStr">
        <is>
          <t>Yes</t>
        </is>
      </c>
      <c r="T440" s="73" t="n">
        <v>43009</v>
      </c>
      <c r="U440" s="73" t="n">
        <v>46665</v>
      </c>
      <c r="V440" s="73" t="n"/>
      <c r="W440" s="69" t="n"/>
      <c r="X440" s="69" t="inlineStr">
        <is>
          <t>Current</t>
        </is>
      </c>
      <c r="Y440" s="68" t="n"/>
      <c r="Z440" s="69" t="inlineStr">
        <is>
          <t>Defeasance Not Allowable</t>
        </is>
      </c>
      <c r="AA440" s="69" t="inlineStr">
        <is>
          <t>Previously</t>
        </is>
      </c>
      <c r="AB440" s="69" t="inlineStr">
        <is>
          <t>Never special serv</t>
        </is>
      </c>
      <c r="AC440" s="73" t="n"/>
      <c r="AD440" s="69" t="n"/>
      <c r="AE440" s="69" t="n"/>
      <c r="AF440" s="69" t="inlineStr">
        <is>
          <t>WI-37.183098592% WV-35.070422582% UT-27.746478826%</t>
        </is>
      </c>
      <c r="AG440" s="69" t="n"/>
      <c r="AH440" s="69" t="inlineStr">
        <is>
          <t>Wheeling, WV-OH-35.070422582% Salt Lake City-Murray, UT-27.746478826%</t>
        </is>
      </c>
      <c r="AI440" s="69" t="inlineStr">
        <is>
          <t>Midwest / Central East-37.183098592% South / Atlantic-35.070422582% West / Mountain-27.746478826%</t>
        </is>
      </c>
      <c r="AJ440" s="69" t="inlineStr">
        <is>
          <t>IN</t>
        </is>
      </c>
      <c r="AK440" s="69" t="inlineStr">
        <is>
          <t>Warehouse</t>
        </is>
      </c>
      <c r="AL440" s="68" t="n">
        <v>3</v>
      </c>
      <c r="AM440" s="68" t="n"/>
      <c r="AN440" s="68" t="n">
        <v>2894885</v>
      </c>
      <c r="AO440" s="69" t="n"/>
      <c r="AP440" s="70" t="n">
        <v>2015</v>
      </c>
      <c r="AQ440" s="74" t="n">
        <v>2.63</v>
      </c>
      <c r="AR440" s="74" t="n">
        <v>3.22</v>
      </c>
      <c r="AS440" s="74" t="n">
        <v>53.4</v>
      </c>
      <c r="AT440" s="74" t="n">
        <v>53.38</v>
      </c>
      <c r="AU440" s="74" t="n">
        <v>53.4</v>
      </c>
      <c r="AV440" s="74" t="n">
        <v>11.602712915</v>
      </c>
      <c r="AW440" s="74" t="n">
        <v>14.208335211</v>
      </c>
      <c r="AX440" s="75" t="n">
        <v>100</v>
      </c>
      <c r="AY440" s="71" t="n">
        <v>133000000</v>
      </c>
      <c r="AZ440" s="71" t="n">
        <v>133000000</v>
      </c>
      <c r="BA440" s="71" t="n">
        <v>8237926.17</v>
      </c>
      <c r="BB440" s="71" t="n">
        <v>10087917</v>
      </c>
      <c r="BC440" s="69" t="inlineStr">
        <is>
          <t>Acquisition</t>
        </is>
      </c>
      <c r="BD440" s="69" t="inlineStr">
        <is>
          <t>N</t>
        </is>
      </c>
      <c r="BE440" s="71" t="n">
        <v>49700000</v>
      </c>
      <c r="BF440" s="71" t="n"/>
      <c r="BG440" s="71" t="n"/>
      <c r="BH440" s="71" t="n">
        <v>0</v>
      </c>
      <c r="BI440" s="71" t="n">
        <v>0</v>
      </c>
      <c r="BJ440" s="69" t="inlineStr">
        <is>
          <t>N</t>
        </is>
      </c>
      <c r="BK440" s="69" t="inlineStr">
        <is>
          <t>Cabela's</t>
        </is>
      </c>
      <c r="BL440" s="75" t="n">
        <v>60.99</v>
      </c>
      <c r="BM440" s="73" t="n">
        <v>51986</v>
      </c>
      <c r="BN440" s="69" t="inlineStr">
        <is>
          <t>Starwood Property Trust, Inc.</t>
        </is>
      </c>
      <c r="BO440" s="69" t="n"/>
      <c r="BP440" s="69" t="inlineStr">
        <is>
          <t>Midland Loan Services</t>
        </is>
      </c>
      <c r="BQ440" s="69" t="inlineStr">
        <is>
          <t>K-Star Asset Management LLC</t>
        </is>
      </c>
      <c r="BR440" s="69" t="n"/>
      <c r="BS440" s="73" t="n">
        <v>46276</v>
      </c>
      <c r="BU440" s="76">
        <f>IF($C440="","",IFERROR(INDEX(dmName,MATCH($C440,dmID,0)),"Unmapped"))</f>
        <v/>
      </c>
      <c r="BV440" s="76">
        <f>IF($C440="","",IFERROR(INDEX(dmEntity,MATCH($C440,dmID,0)),"Unmapped"))</f>
        <v/>
      </c>
      <c r="BW440" s="77">
        <f>IF($C440="","",IFERROR(INDEX(dmVintage,MATCH($C440,dmID,0)),""))</f>
        <v/>
      </c>
      <c r="BX440" s="78">
        <f>IFERROR(INDEX(dmInclude,MATCH($C440,dmID,0)),0)</f>
        <v/>
      </c>
      <c r="BY440" s="78">
        <f>IF(N($I440)&gt;0,1,0)</f>
        <v/>
      </c>
      <c r="BZ440" s="76">
        <f>IF($AJ440="","Other / Leased Fee",IFERROR(INDEX(mapPTGroup,MATCH(LEFT(TRIM($AJ440),2),mapPTCode,0)),"Other / Leased Fee"))</f>
        <v/>
      </c>
      <c r="CA440" s="76">
        <f>IF(TRIM($AF440&amp;"")="","NR",LEFT(TRIM($AF440),2))</f>
        <v/>
      </c>
      <c r="CB440" s="76">
        <f>IFERROR(LOOKUP(2,1/(LEFT(TRIM($AI440&amp;""),LEN(mapRegion))=mapRegion),mapRegion),"Not Reported")</f>
        <v/>
      </c>
      <c r="CC440" s="76">
        <f>IF($BY440=0,"",IF(TRIM($W440&amp;"")="REO","REO",IF(TRIM($W440&amp;"")="FC","Foreclosure",IF(TRIM($W440&amp;"")="90+","90+ Days Delinquent",IF(TRIM($W440&amp;"")="60","60 Days Delinquent",IF(TRIM($W440&amp;"")="30","30 Days Delinquent",IF($X440="Non-Performing Matured Balloon","Non-Performing Matured Balloon",IF(OR($X440="Late Payment But Less Than 30 Days Delinquent",LEFT($X440&amp;"",20)="Payment Not Received"),"Late / In Grace (&lt;30 Days)",IF($X440="Performing Matured Balloon","Performing Matured Balloon","Current")))))))))</f>
        <v/>
      </c>
      <c r="CD440" s="78">
        <f>IF(OR($CC440="REO",$CC440="Foreclosure",$CC440="90+ Days Delinquent",$CC440="60 Days Delinquent",$CC440="30 Days Delinquent",$CC440="Non-Performing Matured Balloon"),1,0)</f>
        <v/>
      </c>
      <c r="CE440" s="76">
        <f>IF($AB440="Currently special serv","Currently Specially Serviced",IF($AB440="Returned to master serv","Previously Specially Serviced","Never Specially Serviced"))</f>
        <v/>
      </c>
      <c r="CF440" s="78">
        <f>IF($CE440="Currently Specially Serviced",1,0)</f>
        <v/>
      </c>
      <c r="CG440" s="76">
        <f>IF($AA440="Yes","Currently on Watchlist",IF($AA440="Previously","Previously on Watchlist","Never on Watchlist"))</f>
        <v/>
      </c>
      <c r="CH440" s="78">
        <f>IF($CG440="Currently on Watchlist",1,0)</f>
        <v/>
      </c>
      <c r="CI440" s="76">
        <f>IF($Z440="Full Defeasance","Fully Defeased",IF($Z440="Portion Of Loan Previously Defeased","Partially Defeased",IF($Z440="Defeasance Not Allowable","Not Defeased (Not Permitted)","Not Defeased")))</f>
        <v/>
      </c>
      <c r="CJ440" s="78">
        <f>IF($CI440="Fully Defeased",1,0)</f>
        <v/>
      </c>
      <c r="CK440" s="76">
        <f>IF($R440="IO","Full IO",IF(LEFT($R440&amp;"",7)="IO then","Partial IO","Amortizing"))</f>
        <v/>
      </c>
      <c r="CL440" s="78">
        <f>IF($CK440="Full IO",1,0)</f>
        <v/>
      </c>
      <c r="CM440" s="78">
        <f>IF($CK440="Partial IO",1,0)</f>
        <v/>
      </c>
      <c r="CN440" s="76">
        <f>IF(LEFT($F440&amp;"",10)="SPLIT_LOAN","Pari Passu Split","Standalone")</f>
        <v/>
      </c>
      <c r="CO440" s="78">
        <f>IF($CN440="Pari Passu Split",1,0)</f>
        <v/>
      </c>
      <c r="CP440" s="77">
        <f>IF(ISNUMBER($T440),YEAR($T440),"")</f>
        <v/>
      </c>
      <c r="CQ440" s="79">
        <f>IF(ISNUMBER($V440),$V440,IF(ISNUMBER($U440),$U440,""))</f>
        <v/>
      </c>
      <c r="CR440" s="77">
        <f>IF(ISNUMBER($CQ440),YEAR($CQ440),"")</f>
        <v/>
      </c>
      <c r="CS440" s="78">
        <f>IF(ISNUMBER($M440),MAX(0,$M440),IF(TRIM($M440&amp;"")="matured",0,""))</f>
        <v/>
      </c>
      <c r="CT440" s="78">
        <f>IF(AND(ISNUMBER($CS440),N($CS440)&lt;=mMatWindow),1,0)</f>
        <v/>
      </c>
      <c r="CU440" s="80">
        <f>IF(ISNUMBER($J440),$J440/100,"")</f>
        <v/>
      </c>
      <c r="CV440" s="81">
        <f>IF(ISNUMBER($AQ440),$AQ440,"")</f>
        <v/>
      </c>
      <c r="CW440" s="81">
        <f>IF(ISNUMBER($AR440),$AR440,"")</f>
        <v/>
      </c>
      <c r="CX440" s="82">
        <f>IF(ISNUMBER($AS440),$AS440/100,"")</f>
        <v/>
      </c>
      <c r="CY440" s="82">
        <f>IF(ISNUMBER($AT440),$AT440/100,"")</f>
        <v/>
      </c>
      <c r="CZ440" s="82">
        <f>IF(ISNUMBER($AU440),$AU440/100,"")</f>
        <v/>
      </c>
      <c r="DA440" s="82">
        <f>IF(ISNUMBER($AV440),$AV440/100,"")</f>
        <v/>
      </c>
      <c r="DB440" s="82">
        <f>IF(ISNUMBER($AW440),$AW440/100,"")</f>
        <v/>
      </c>
      <c r="DC440" s="82">
        <f>IF(ISNUMBER($AX440),$AX440/100,"")</f>
        <v/>
      </c>
      <c r="DD440" s="77">
        <f>IFERROR(VALUE(LEFT(TRIM($AO440&amp;""),4)),"")</f>
        <v/>
      </c>
      <c r="DE440" s="78">
        <f>IF(AND($BY440=1,$BX440=1,OR(fDeal="All Deals",$BU440=fDeal),OR(fEntity="All Entities",$BV440=fEntity),OR(fPType="All Property Types",$BZ440=fPType),OR(fDefeased="Include",$CJ440=0)),1,0)</f>
        <v/>
      </c>
      <c r="DF440" s="83">
        <f>$DE440*N($I440)</f>
        <v/>
      </c>
      <c r="DG440" s="78">
        <f>IF($DE440=1,IF(COUNTIFS($F$8:$F440,$F440,$DE$8:$DE440,1)=1,1,0),0)</f>
        <v/>
      </c>
      <c r="DH440" s="83">
        <f>IF($DG440=1,SUMIFS($DF$8:$DF$1600,$F$8:$F$1600,$F440),0)</f>
        <v/>
      </c>
      <c r="DI440" s="78">
        <f>IF($DG440=1,COUNTIFS($F$8:$F$1600,$F440,$DE$8:$DE$1600,1),0)</f>
        <v/>
      </c>
      <c r="DJ440" s="84">
        <f>IF($DG440=1,$DH440+(100000-ROW())/mTieBreak,0)</f>
        <v/>
      </c>
    </row>
    <row r="441">
      <c r="B441" s="68" t="n">
        <v>13</v>
      </c>
      <c r="C441" s="69" t="inlineStr">
        <is>
          <t>UBS17C05</t>
        </is>
      </c>
      <c r="D441" s="69" t="inlineStr">
        <is>
          <t>13.000</t>
        </is>
      </c>
      <c r="E441" s="69" t="inlineStr">
        <is>
          <t>Marriott Grand Cayman</t>
        </is>
      </c>
      <c r="F441" s="69" t="inlineStr">
        <is>
          <t>SPLIT_LOAN_01063</t>
        </is>
      </c>
      <c r="G441" s="70" t="n">
        <v>1063</v>
      </c>
      <c r="H441" s="71" t="n">
        <v>21000000</v>
      </c>
      <c r="I441" s="71" t="n">
        <v>0</v>
      </c>
      <c r="J441" s="72" t="n">
        <v>5.4485</v>
      </c>
      <c r="K441" s="69" t="inlineStr">
        <is>
          <t>Fixed rate</t>
        </is>
      </c>
      <c r="L441" s="68" t="n">
        <v>96</v>
      </c>
      <c r="M441" s="68" t="n"/>
      <c r="N441" s="68" t="n">
        <v>360</v>
      </c>
      <c r="O441" s="68" t="n"/>
      <c r="P441" s="68" t="n"/>
      <c r="Q441" s="68" t="n"/>
      <c r="R441" s="69" t="n"/>
      <c r="S441" s="69" t="inlineStr">
        <is>
          <t>No</t>
        </is>
      </c>
      <c r="T441" s="73" t="n">
        <v>42917</v>
      </c>
      <c r="U441" s="73" t="n">
        <v>45844</v>
      </c>
      <c r="V441" s="73" t="n"/>
      <c r="W441" s="69" t="n"/>
      <c r="X441" s="69" t="inlineStr">
        <is>
          <t>Current</t>
        </is>
      </c>
      <c r="Y441" s="68" t="n"/>
      <c r="Z441" s="69" t="inlineStr">
        <is>
          <t>No Defeasance Occurred</t>
        </is>
      </c>
      <c r="AA441" s="69" t="inlineStr">
        <is>
          <t>Previously</t>
        </is>
      </c>
      <c r="AB441" s="69" t="inlineStr">
        <is>
          <t>Currently special serv</t>
        </is>
      </c>
      <c r="AC441" s="73" t="n">
        <v>44743</v>
      </c>
      <c r="AD441" s="69" t="inlineStr">
        <is>
          <t>Imminent Monetary Default (Balloon/Maturity Default)</t>
        </is>
      </c>
      <c r="AE441" s="69" t="inlineStr">
        <is>
          <t>Reps And Warranties</t>
        </is>
      </c>
      <c r="AF441" s="69" t="n"/>
      <c r="AG441" s="69" t="inlineStr">
        <is>
          <t>Grand Cayman</t>
        </is>
      </c>
      <c r="AH441" s="69" t="n"/>
      <c r="AI441" s="69" t="n"/>
      <c r="AJ441" s="69" t="inlineStr">
        <is>
          <t>HT</t>
        </is>
      </c>
      <c r="AK441" s="69" t="inlineStr">
        <is>
          <t>Full Service</t>
        </is>
      </c>
      <c r="AL441" s="68" t="n">
        <v>1</v>
      </c>
      <c r="AM441" s="68" t="n">
        <v>295</v>
      </c>
      <c r="AN441" s="68" t="n"/>
      <c r="AO441" s="69" t="inlineStr">
        <is>
          <t>1990</t>
        </is>
      </c>
      <c r="AP441" s="70" t="n">
        <v>2014</v>
      </c>
      <c r="AQ441" s="74" t="n">
        <v>1.91</v>
      </c>
      <c r="AR441" s="74" t="n">
        <v>0.99</v>
      </c>
      <c r="AS441" s="74" t="n">
        <v>56.1</v>
      </c>
      <c r="AT441" s="74" t="n"/>
      <c r="AU441" s="74" t="n">
        <v>52.3</v>
      </c>
      <c r="AV441" s="74" t="n">
        <v>12.92027125</v>
      </c>
      <c r="AW441" s="74" t="n"/>
      <c r="AX441" s="75" t="n">
        <v>55</v>
      </c>
      <c r="AY441" s="71" t="n">
        <v>142000000</v>
      </c>
      <c r="AZ441" s="71" t="n">
        <v>160300000</v>
      </c>
      <c r="BA441" s="71" t="n">
        <v>10336217</v>
      </c>
      <c r="BB441" s="71" t="n">
        <v>5382729.69</v>
      </c>
      <c r="BC441" s="69" t="inlineStr">
        <is>
          <t>Refinance</t>
        </is>
      </c>
      <c r="BD441" s="69" t="inlineStr">
        <is>
          <t>N</t>
        </is>
      </c>
      <c r="BE441" s="71" t="n">
        <v>0</v>
      </c>
      <c r="BF441" s="71" t="n"/>
      <c r="BG441" s="71" t="n"/>
      <c r="BH441" s="71" t="n">
        <v>0</v>
      </c>
      <c r="BI441" s="71" t="n">
        <v>0</v>
      </c>
      <c r="BJ441" s="69" t="inlineStr">
        <is>
          <t>Y</t>
        </is>
      </c>
      <c r="BK441" s="69" t="n"/>
      <c r="BL441" s="75" t="n"/>
      <c r="BM441" s="73" t="n"/>
      <c r="BN441" s="69" t="inlineStr">
        <is>
          <t>London &amp; Regional Group Holdings Limited</t>
        </is>
      </c>
      <c r="BO441" s="69" t="inlineStr">
        <is>
          <t>Cantor Commercial Real Estate Lending</t>
        </is>
      </c>
      <c r="BP441" s="69" t="inlineStr">
        <is>
          <t>Midland Loan Services</t>
        </is>
      </c>
      <c r="BQ441" s="69" t="inlineStr">
        <is>
          <t>Midland Loan Services</t>
        </is>
      </c>
      <c r="BR441" s="69" t="inlineStr">
        <is>
          <t>DPO</t>
        </is>
      </c>
      <c r="BS441" s="73" t="n">
        <v>46276</v>
      </c>
      <c r="BU441" s="76">
        <f>IF($C441="","",IFERROR(INDEX(dmName,MATCH($C441,dmID,0)),"Unmapped"))</f>
        <v/>
      </c>
      <c r="BV441" s="76">
        <f>IF($C441="","",IFERROR(INDEX(dmEntity,MATCH($C441,dmID,0)),"Unmapped"))</f>
        <v/>
      </c>
      <c r="BW441" s="77">
        <f>IF($C441="","",IFERROR(INDEX(dmVintage,MATCH($C441,dmID,0)),""))</f>
        <v/>
      </c>
      <c r="BX441" s="78">
        <f>IFERROR(INDEX(dmInclude,MATCH($C441,dmID,0)),0)</f>
        <v/>
      </c>
      <c r="BY441" s="78">
        <f>IF(N($I441)&gt;0,1,0)</f>
        <v/>
      </c>
      <c r="BZ441" s="76">
        <f>IF($AJ441="","Other / Leased Fee",IFERROR(INDEX(mapPTGroup,MATCH(LEFT(TRIM($AJ441),2),mapPTCode,0)),"Other / Leased Fee"))</f>
        <v/>
      </c>
      <c r="CA441" s="76">
        <f>IF(TRIM($AF441&amp;"")="","NR",LEFT(TRIM($AF441),2))</f>
        <v/>
      </c>
      <c r="CB441" s="76">
        <f>IFERROR(LOOKUP(2,1/(LEFT(TRIM($AI441&amp;""),LEN(mapRegion))=mapRegion),mapRegion),"Not Reported")</f>
        <v/>
      </c>
      <c r="CC441" s="76">
        <f>IF($BY441=0,"",IF(TRIM($W441&amp;"")="REO","REO",IF(TRIM($W441&amp;"")="FC","Foreclosure",IF(TRIM($W441&amp;"")="90+","90+ Days Delinquent",IF(TRIM($W441&amp;"")="60","60 Days Delinquent",IF(TRIM($W441&amp;"")="30","30 Days Delinquent",IF($X441="Non-Performing Matured Balloon","Non-Performing Matured Balloon",IF(OR($X441="Late Payment But Less Than 30 Days Delinquent",LEFT($X441&amp;"",20)="Payment Not Received"),"Late / In Grace (&lt;30 Days)",IF($X441="Performing Matured Balloon","Performing Matured Balloon","Current")))))))))</f>
        <v/>
      </c>
      <c r="CD441" s="78">
        <f>IF(OR($CC441="REO",$CC441="Foreclosure",$CC441="90+ Days Delinquent",$CC441="60 Days Delinquent",$CC441="30 Days Delinquent",$CC441="Non-Performing Matured Balloon"),1,0)</f>
        <v/>
      </c>
      <c r="CE441" s="76">
        <f>IF($AB441="Currently special serv","Currently Specially Serviced",IF($AB441="Returned to master serv","Previously Specially Serviced","Never Specially Serviced"))</f>
        <v/>
      </c>
      <c r="CF441" s="78">
        <f>IF($CE441="Currently Specially Serviced",1,0)</f>
        <v/>
      </c>
      <c r="CG441" s="76">
        <f>IF($AA441="Yes","Currently on Watchlist",IF($AA441="Previously","Previously on Watchlist","Never on Watchlist"))</f>
        <v/>
      </c>
      <c r="CH441" s="78">
        <f>IF($CG441="Currently on Watchlist",1,0)</f>
        <v/>
      </c>
      <c r="CI441" s="76">
        <f>IF($Z441="Full Defeasance","Fully Defeased",IF($Z441="Portion Of Loan Previously Defeased","Partially Defeased",IF($Z441="Defeasance Not Allowable","Not Defeased (Not Permitted)","Not Defeased")))</f>
        <v/>
      </c>
      <c r="CJ441" s="78">
        <f>IF($CI441="Fully Defeased",1,0)</f>
        <v/>
      </c>
      <c r="CK441" s="76">
        <f>IF($R441="IO","Full IO",IF(LEFT($R441&amp;"",7)="IO then","Partial IO","Amortizing"))</f>
        <v/>
      </c>
      <c r="CL441" s="78">
        <f>IF($CK441="Full IO",1,0)</f>
        <v/>
      </c>
      <c r="CM441" s="78">
        <f>IF($CK441="Partial IO",1,0)</f>
        <v/>
      </c>
      <c r="CN441" s="76">
        <f>IF(LEFT($F441&amp;"",10)="SPLIT_LOAN","Pari Passu Split","Standalone")</f>
        <v/>
      </c>
      <c r="CO441" s="78">
        <f>IF($CN441="Pari Passu Split",1,0)</f>
        <v/>
      </c>
      <c r="CP441" s="77">
        <f>IF(ISNUMBER($T441),YEAR($T441),"")</f>
        <v/>
      </c>
      <c r="CQ441" s="79">
        <f>IF(ISNUMBER($V441),$V441,IF(ISNUMBER($U441),$U441,""))</f>
        <v/>
      </c>
      <c r="CR441" s="77">
        <f>IF(ISNUMBER($CQ441),YEAR($CQ441),"")</f>
        <v/>
      </c>
      <c r="CS441" s="78">
        <f>IF(ISNUMBER($M441),MAX(0,$M441),IF(TRIM($M441&amp;"")="matured",0,""))</f>
        <v/>
      </c>
      <c r="CT441" s="78">
        <f>IF(AND(ISNUMBER($CS441),N($CS441)&lt;=mMatWindow),1,0)</f>
        <v/>
      </c>
      <c r="CU441" s="80">
        <f>IF(ISNUMBER($J441),$J441/100,"")</f>
        <v/>
      </c>
      <c r="CV441" s="81">
        <f>IF(ISNUMBER($AQ441),$AQ441,"")</f>
        <v/>
      </c>
      <c r="CW441" s="81">
        <f>IF(ISNUMBER($AR441),$AR441,"")</f>
        <v/>
      </c>
      <c r="CX441" s="82">
        <f>IF(ISNUMBER($AS441),$AS441/100,"")</f>
        <v/>
      </c>
      <c r="CY441" s="82">
        <f>IF(ISNUMBER($AT441),$AT441/100,"")</f>
        <v/>
      </c>
      <c r="CZ441" s="82">
        <f>IF(ISNUMBER($AU441),$AU441/100,"")</f>
        <v/>
      </c>
      <c r="DA441" s="82">
        <f>IF(ISNUMBER($AV441),$AV441/100,"")</f>
        <v/>
      </c>
      <c r="DB441" s="82">
        <f>IF(ISNUMBER($AW441),$AW441/100,"")</f>
        <v/>
      </c>
      <c r="DC441" s="82">
        <f>IF(ISNUMBER($AX441),$AX441/100,"")</f>
        <v/>
      </c>
      <c r="DD441" s="77">
        <f>IFERROR(VALUE(LEFT(TRIM($AO441&amp;""),4)),"")</f>
        <v/>
      </c>
      <c r="DE441" s="78">
        <f>IF(AND($BY441=1,$BX441=1,OR(fDeal="All Deals",$BU441=fDeal),OR(fEntity="All Entities",$BV441=fEntity),OR(fPType="All Property Types",$BZ441=fPType),OR(fDefeased="Include",$CJ441=0)),1,0)</f>
        <v/>
      </c>
      <c r="DF441" s="83">
        <f>$DE441*N($I441)</f>
        <v/>
      </c>
      <c r="DG441" s="78">
        <f>IF($DE441=1,IF(COUNTIFS($F$8:$F441,$F441,$DE$8:$DE441,1)=1,1,0),0)</f>
        <v/>
      </c>
      <c r="DH441" s="83">
        <f>IF($DG441=1,SUMIFS($DF$8:$DF$1600,$F$8:$F$1600,$F441),0)</f>
        <v/>
      </c>
      <c r="DI441" s="78">
        <f>IF($DG441=1,COUNTIFS($F$8:$F$1600,$F441,$DE$8:$DE$1600,1),0)</f>
        <v/>
      </c>
      <c r="DJ441" s="84">
        <f>IF($DG441=1,$DH441+(100000-ROW())/mTieBreak,0)</f>
        <v/>
      </c>
    </row>
    <row r="442">
      <c r="B442" s="68" t="n">
        <v>14</v>
      </c>
      <c r="C442" s="69" t="inlineStr">
        <is>
          <t>UBS17C05</t>
        </is>
      </c>
      <c r="D442" s="69" t="inlineStr">
        <is>
          <t>14.000</t>
        </is>
      </c>
      <c r="E442" s="69" t="inlineStr">
        <is>
          <t>Bass Pro &amp; Cabela's Portfolio</t>
        </is>
      </c>
      <c r="F442" s="69" t="inlineStr">
        <is>
          <t>SPLIT_LOAN_01119</t>
        </is>
      </c>
      <c r="G442" s="70" t="n">
        <v>1119</v>
      </c>
      <c r="H442" s="71" t="n">
        <v>20000000</v>
      </c>
      <c r="I442" s="71" t="n">
        <v>20000000</v>
      </c>
      <c r="J442" s="72" t="n">
        <v>4.379</v>
      </c>
      <c r="K442" s="69" t="inlineStr">
        <is>
          <t>Fixed rate</t>
        </is>
      </c>
      <c r="L442" s="68" t="n">
        <v>120</v>
      </c>
      <c r="M442" s="68" t="n">
        <v>13</v>
      </c>
      <c r="N442" s="68" t="n">
        <v>120</v>
      </c>
      <c r="O442" s="68" t="n">
        <v>120</v>
      </c>
      <c r="P442" s="68" t="n">
        <v>13</v>
      </c>
      <c r="Q442" s="68" t="n">
        <v>107</v>
      </c>
      <c r="R442" s="69" t="inlineStr">
        <is>
          <t>IO</t>
        </is>
      </c>
      <c r="S442" s="69" t="inlineStr">
        <is>
          <t>Yes</t>
        </is>
      </c>
      <c r="T442" s="73" t="n">
        <v>43009</v>
      </c>
      <c r="U442" s="73" t="n">
        <v>46666</v>
      </c>
      <c r="V442" s="73" t="n"/>
      <c r="W442" s="69" t="n"/>
      <c r="X442" s="69" t="inlineStr">
        <is>
          <t>Current</t>
        </is>
      </c>
      <c r="Y442" s="68" t="n"/>
      <c r="Z442" s="69" t="inlineStr">
        <is>
          <t>No Defeasance Occurred</t>
        </is>
      </c>
      <c r="AA442" s="69" t="inlineStr">
        <is>
          <t>Previously</t>
        </is>
      </c>
      <c r="AB442" s="69" t="inlineStr">
        <is>
          <t>Never special serv</t>
        </is>
      </c>
      <c r="AC442" s="73" t="n"/>
      <c r="AD442" s="69" t="n"/>
      <c r="AE442" s="69" t="n"/>
      <c r="AF442" s="69" t="inlineStr">
        <is>
          <t>TX-27.039507300% MN-17.752693250% FL-11.390458850% CO-9.030269100% UT-7.901489200% IN-6.670084350% SC-6.003079400% KS-5.387379450% OH-4.566444550% AL-4.258594550%</t>
        </is>
      </c>
      <c r="AG442" s="69" t="n"/>
      <c r="AH442" s="69" t="inlineStr">
        <is>
          <t>Minneapolis-St. Paul-Bloomington, MN-WI-10.620828950% Denver-Aurora-Centennial, CO-9.030269100% San Antonio-New Braunfels, TX-8.825039100% Dallas-Fort Worth-Arlington, TX-8.671114150% Provo-Orem-Lehi, UT-7.901489200% Tampa-St. Petersburg-Clearwater, FL-7.439714250% Chicago-Naperville-Elgin, IL-IN-6.670084350% Austin-Round Rock-San Marcos, TX-6.464854350% Charlotte-Concord-Gastonia, NC-SC-6.003079400% Wichita, KS-5.387379450% Owatonna, MN-4.925604500% Dayton-Kettering-Beavercreek, OH-4.566444550% Huntsville, AL-4.258594550% Port St. Lucie, FL-3.950744600% Waco, TX-3.078499700% Grand Forks, ND-MN-2.206259800%</t>
        </is>
      </c>
      <c r="AI442" s="69" t="inlineStr">
        <is>
          <t>South / Central West-27.039507300% Midwest / Central West-23.140072700% South / Atlantic-17.393538250% West / Mountain-16.931758300% Midwest / Central East-11.236528900% South / Central East-4.258594550%</t>
        </is>
      </c>
      <c r="AJ442" s="69" t="inlineStr">
        <is>
          <t>RT</t>
        </is>
      </c>
      <c r="AK442" s="69" t="inlineStr">
        <is>
          <t>Single Tenant</t>
        </is>
      </c>
      <c r="AL442" s="68" t="n">
        <v>16</v>
      </c>
      <c r="AM442" s="68" t="n"/>
      <c r="AN442" s="68" t="n">
        <v>1896527</v>
      </c>
      <c r="AO442" s="69" t="n"/>
      <c r="AP442" s="70" t="n">
        <v>2016</v>
      </c>
      <c r="AQ442" s="74" t="n">
        <v>2.72</v>
      </c>
      <c r="AR442" s="74" t="n">
        <v>3.84</v>
      </c>
      <c r="AS442" s="74" t="n">
        <v>50.4</v>
      </c>
      <c r="AT442" s="74" t="n">
        <v>50.4</v>
      </c>
      <c r="AU442" s="74" t="n">
        <v>50.4</v>
      </c>
      <c r="AV442" s="74" t="n">
        <v>12.065347583</v>
      </c>
      <c r="AW442" s="74" t="n">
        <v>17.04985492</v>
      </c>
      <c r="AX442" s="75" t="n">
        <v>100</v>
      </c>
      <c r="AY442" s="71" t="n">
        <v>386700000</v>
      </c>
      <c r="AZ442" s="71" t="n">
        <v>386700000</v>
      </c>
      <c r="BA442" s="71" t="n">
        <v>23515362.44</v>
      </c>
      <c r="BB442" s="71" t="n">
        <v>33230167.24</v>
      </c>
      <c r="BC442" s="69" t="inlineStr">
        <is>
          <t>Acquisition</t>
        </is>
      </c>
      <c r="BD442" s="69" t="inlineStr">
        <is>
          <t>N</t>
        </is>
      </c>
      <c r="BE442" s="71" t="n">
        <v>174900000</v>
      </c>
      <c r="BF442" s="71" t="n"/>
      <c r="BG442" s="71" t="n"/>
      <c r="BH442" s="71" t="n">
        <v>0</v>
      </c>
      <c r="BI442" s="71" t="n">
        <v>0</v>
      </c>
      <c r="BJ442" s="69" t="inlineStr">
        <is>
          <t>N</t>
        </is>
      </c>
      <c r="BK442" s="69" t="inlineStr">
        <is>
          <t>Cabela's</t>
        </is>
      </c>
      <c r="BL442" s="75" t="n">
        <v>55.67</v>
      </c>
      <c r="BM442" s="73" t="n">
        <v>51986</v>
      </c>
      <c r="BN442" s="69" t="inlineStr">
        <is>
          <t>Starwood Property Trust, Inc.</t>
        </is>
      </c>
      <c r="BO442" s="69" t="n"/>
      <c r="BP442" s="69" t="inlineStr">
        <is>
          <t>Midland Loan Services</t>
        </is>
      </c>
      <c r="BQ442" s="69" t="inlineStr">
        <is>
          <t>K-Star Asset Management LLC</t>
        </is>
      </c>
      <c r="BR442" s="69" t="n"/>
      <c r="BS442" s="73" t="n">
        <v>46276</v>
      </c>
      <c r="BU442" s="76">
        <f>IF($C442="","",IFERROR(INDEX(dmName,MATCH($C442,dmID,0)),"Unmapped"))</f>
        <v/>
      </c>
      <c r="BV442" s="76">
        <f>IF($C442="","",IFERROR(INDEX(dmEntity,MATCH($C442,dmID,0)),"Unmapped"))</f>
        <v/>
      </c>
      <c r="BW442" s="77">
        <f>IF($C442="","",IFERROR(INDEX(dmVintage,MATCH($C442,dmID,0)),""))</f>
        <v/>
      </c>
      <c r="BX442" s="78">
        <f>IFERROR(INDEX(dmInclude,MATCH($C442,dmID,0)),0)</f>
        <v/>
      </c>
      <c r="BY442" s="78">
        <f>IF(N($I442)&gt;0,1,0)</f>
        <v/>
      </c>
      <c r="BZ442" s="76">
        <f>IF($AJ442="","Other / Leased Fee",IFERROR(INDEX(mapPTGroup,MATCH(LEFT(TRIM($AJ442),2),mapPTCode,0)),"Other / Leased Fee"))</f>
        <v/>
      </c>
      <c r="CA442" s="76">
        <f>IF(TRIM($AF442&amp;"")="","NR",LEFT(TRIM($AF442),2))</f>
        <v/>
      </c>
      <c r="CB442" s="76">
        <f>IFERROR(LOOKUP(2,1/(LEFT(TRIM($AI442&amp;""),LEN(mapRegion))=mapRegion),mapRegion),"Not Reported")</f>
        <v/>
      </c>
      <c r="CC442" s="76">
        <f>IF($BY442=0,"",IF(TRIM($W442&amp;"")="REO","REO",IF(TRIM($W442&amp;"")="FC","Foreclosure",IF(TRIM($W442&amp;"")="90+","90+ Days Delinquent",IF(TRIM($W442&amp;"")="60","60 Days Delinquent",IF(TRIM($W442&amp;"")="30","30 Days Delinquent",IF($X442="Non-Performing Matured Balloon","Non-Performing Matured Balloon",IF(OR($X442="Late Payment But Less Than 30 Days Delinquent",LEFT($X442&amp;"",20)="Payment Not Received"),"Late / In Grace (&lt;30 Days)",IF($X442="Performing Matured Balloon","Performing Matured Balloon","Current")))))))))</f>
        <v/>
      </c>
      <c r="CD442" s="78">
        <f>IF(OR($CC442="REO",$CC442="Foreclosure",$CC442="90+ Days Delinquent",$CC442="60 Days Delinquent",$CC442="30 Days Delinquent",$CC442="Non-Performing Matured Balloon"),1,0)</f>
        <v/>
      </c>
      <c r="CE442" s="76">
        <f>IF($AB442="Currently special serv","Currently Specially Serviced",IF($AB442="Returned to master serv","Previously Specially Serviced","Never Specially Serviced"))</f>
        <v/>
      </c>
      <c r="CF442" s="78">
        <f>IF($CE442="Currently Specially Serviced",1,0)</f>
        <v/>
      </c>
      <c r="CG442" s="76">
        <f>IF($AA442="Yes","Currently on Watchlist",IF($AA442="Previously","Previously on Watchlist","Never on Watchlist"))</f>
        <v/>
      </c>
      <c r="CH442" s="78">
        <f>IF($CG442="Currently on Watchlist",1,0)</f>
        <v/>
      </c>
      <c r="CI442" s="76">
        <f>IF($Z442="Full Defeasance","Fully Defeased",IF($Z442="Portion Of Loan Previously Defeased","Partially Defeased",IF($Z442="Defeasance Not Allowable","Not Defeased (Not Permitted)","Not Defeased")))</f>
        <v/>
      </c>
      <c r="CJ442" s="78">
        <f>IF($CI442="Fully Defeased",1,0)</f>
        <v/>
      </c>
      <c r="CK442" s="76">
        <f>IF($R442="IO","Full IO",IF(LEFT($R442&amp;"",7)="IO then","Partial IO","Amortizing"))</f>
        <v/>
      </c>
      <c r="CL442" s="78">
        <f>IF($CK442="Full IO",1,0)</f>
        <v/>
      </c>
      <c r="CM442" s="78">
        <f>IF($CK442="Partial IO",1,0)</f>
        <v/>
      </c>
      <c r="CN442" s="76">
        <f>IF(LEFT($F442&amp;"",10)="SPLIT_LOAN","Pari Passu Split","Standalone")</f>
        <v/>
      </c>
      <c r="CO442" s="78">
        <f>IF($CN442="Pari Passu Split",1,0)</f>
        <v/>
      </c>
      <c r="CP442" s="77">
        <f>IF(ISNUMBER($T442),YEAR($T442),"")</f>
        <v/>
      </c>
      <c r="CQ442" s="79">
        <f>IF(ISNUMBER($V442),$V442,IF(ISNUMBER($U442),$U442,""))</f>
        <v/>
      </c>
      <c r="CR442" s="77">
        <f>IF(ISNUMBER($CQ442),YEAR($CQ442),"")</f>
        <v/>
      </c>
      <c r="CS442" s="78">
        <f>IF(ISNUMBER($M442),MAX(0,$M442),IF(TRIM($M442&amp;"")="matured",0,""))</f>
        <v/>
      </c>
      <c r="CT442" s="78">
        <f>IF(AND(ISNUMBER($CS442),N($CS442)&lt;=mMatWindow),1,0)</f>
        <v/>
      </c>
      <c r="CU442" s="80">
        <f>IF(ISNUMBER($J442),$J442/100,"")</f>
        <v/>
      </c>
      <c r="CV442" s="81">
        <f>IF(ISNUMBER($AQ442),$AQ442,"")</f>
        <v/>
      </c>
      <c r="CW442" s="81">
        <f>IF(ISNUMBER($AR442),$AR442,"")</f>
        <v/>
      </c>
      <c r="CX442" s="82">
        <f>IF(ISNUMBER($AS442),$AS442/100,"")</f>
        <v/>
      </c>
      <c r="CY442" s="82">
        <f>IF(ISNUMBER($AT442),$AT442/100,"")</f>
        <v/>
      </c>
      <c r="CZ442" s="82">
        <f>IF(ISNUMBER($AU442),$AU442/100,"")</f>
        <v/>
      </c>
      <c r="DA442" s="82">
        <f>IF(ISNUMBER($AV442),$AV442/100,"")</f>
        <v/>
      </c>
      <c r="DB442" s="82">
        <f>IF(ISNUMBER($AW442),$AW442/100,"")</f>
        <v/>
      </c>
      <c r="DC442" s="82">
        <f>IF(ISNUMBER($AX442),$AX442/100,"")</f>
        <v/>
      </c>
      <c r="DD442" s="77">
        <f>IFERROR(VALUE(LEFT(TRIM($AO442&amp;""),4)),"")</f>
        <v/>
      </c>
      <c r="DE442" s="78">
        <f>IF(AND($BY442=1,$BX442=1,OR(fDeal="All Deals",$BU442=fDeal),OR(fEntity="All Entities",$BV442=fEntity),OR(fPType="All Property Types",$BZ442=fPType),OR(fDefeased="Include",$CJ442=0)),1,0)</f>
        <v/>
      </c>
      <c r="DF442" s="83">
        <f>$DE442*N($I442)</f>
        <v/>
      </c>
      <c r="DG442" s="78">
        <f>IF($DE442=1,IF(COUNTIFS($F$8:$F442,$F442,$DE$8:$DE442,1)=1,1,0),0)</f>
        <v/>
      </c>
      <c r="DH442" s="83">
        <f>IF($DG442=1,SUMIFS($DF$8:$DF$1600,$F$8:$F$1600,$F442),0)</f>
        <v/>
      </c>
      <c r="DI442" s="78">
        <f>IF($DG442=1,COUNTIFS($F$8:$F$1600,$F442,$DE$8:$DE$1600,1),0)</f>
        <v/>
      </c>
      <c r="DJ442" s="84">
        <f>IF($DG442=1,$DH442+(100000-ROW())/mTieBreak,0)</f>
        <v/>
      </c>
    </row>
    <row r="443">
      <c r="B443" s="68" t="n">
        <v>15</v>
      </c>
      <c r="C443" s="69" t="inlineStr">
        <is>
          <t>UBS17C05</t>
        </is>
      </c>
      <c r="D443" s="69" t="inlineStr">
        <is>
          <t>15.000</t>
        </is>
      </c>
      <c r="E443" s="69" t="inlineStr">
        <is>
          <t>AHIP Northeast Portfolio III</t>
        </is>
      </c>
      <c r="F443" s="69" t="inlineStr">
        <is>
          <t>SPLIT_LOAN_01047</t>
        </is>
      </c>
      <c r="G443" s="70" t="n">
        <v>1047</v>
      </c>
      <c r="H443" s="71" t="n">
        <v>20000000</v>
      </c>
      <c r="I443" s="71" t="n">
        <v>0</v>
      </c>
      <c r="J443" s="72" t="n">
        <v>4.53</v>
      </c>
      <c r="K443" s="69" t="inlineStr">
        <is>
          <t>Fixed rate</t>
        </is>
      </c>
      <c r="L443" s="68" t="n">
        <v>120</v>
      </c>
      <c r="M443" s="68" t="n"/>
      <c r="N443" s="68" t="n">
        <v>420</v>
      </c>
      <c r="O443" s="68" t="n">
        <v>60</v>
      </c>
      <c r="P443" s="68" t="n"/>
      <c r="Q443" s="68" t="n"/>
      <c r="R443" s="69" t="inlineStr">
        <is>
          <t>IO then Amort</t>
        </is>
      </c>
      <c r="S443" s="69" t="inlineStr">
        <is>
          <t>No</t>
        </is>
      </c>
      <c r="T443" s="73" t="n">
        <v>42917</v>
      </c>
      <c r="U443" s="73" t="n">
        <v>46574</v>
      </c>
      <c r="V443" s="73" t="n"/>
      <c r="W443" s="69" t="n"/>
      <c r="X443" s="69" t="inlineStr">
        <is>
          <t>Current</t>
        </is>
      </c>
      <c r="Y443" s="68" t="n"/>
      <c r="Z443" s="69" t="inlineStr">
        <is>
          <t>No Defeasance Occurred</t>
        </is>
      </c>
      <c r="AA443" s="69" t="inlineStr">
        <is>
          <t>Previously</t>
        </is>
      </c>
      <c r="AB443" s="69" t="inlineStr">
        <is>
          <t>Currently special serv</t>
        </is>
      </c>
      <c r="AC443" s="73" t="n">
        <v>45317</v>
      </c>
      <c r="AD443" s="69" t="inlineStr">
        <is>
          <t>Imminent Monetary Default (excluding Balloon/Maturity Default &amp; Single Tenant Bankruptcy/Vacate)</t>
        </is>
      </c>
      <c r="AE443" s="69" t="inlineStr">
        <is>
          <t>TBD</t>
        </is>
      </c>
      <c r="AF443" s="69" t="inlineStr">
        <is>
          <t>MD-45.714284350% NY-30.285713750% NJ-24.000001900%</t>
        </is>
      </c>
      <c r="AG443" s="69" t="n"/>
      <c r="AH443" s="69" t="inlineStr">
        <is>
          <t>Baltimore-Columbia-Towson, MD-45.714284350% New York-Newark-Jersey City, NY-NJ-30.285713750% Atlantic City-Hammonton, NJ-24.000001900%</t>
        </is>
      </c>
      <c r="AI443" s="69" t="inlineStr">
        <is>
          <t>Northeast / Mid-Atlantic-54.285715650% South / Atlantic-45.714284350%</t>
        </is>
      </c>
      <c r="AJ443" s="69" t="inlineStr">
        <is>
          <t>HT</t>
        </is>
      </c>
      <c r="AK443" s="69" t="n"/>
      <c r="AL443" s="68" t="n">
        <v>4</v>
      </c>
      <c r="AM443" s="68" t="n">
        <v>491</v>
      </c>
      <c r="AN443" s="68" t="n"/>
      <c r="AO443" s="69" t="n"/>
      <c r="AP443" s="70" t="n">
        <v>2016</v>
      </c>
      <c r="AQ443" s="74" t="n">
        <v>1.94</v>
      </c>
      <c r="AR443" s="74" t="n">
        <v>0.53</v>
      </c>
      <c r="AS443" s="74" t="n">
        <v>59.9</v>
      </c>
      <c r="AT443" s="74" t="n"/>
      <c r="AU443" s="74" t="n">
        <v>54.8</v>
      </c>
      <c r="AV443" s="74" t="n">
        <v>11.828757634</v>
      </c>
      <c r="AW443" s="74" t="n"/>
      <c r="AX443" s="75" t="n">
        <v>71</v>
      </c>
      <c r="AY443" s="71" t="n">
        <v>87500000</v>
      </c>
      <c r="AZ443" s="71" t="n">
        <v>52000000</v>
      </c>
      <c r="BA443" s="71" t="n">
        <v>6198269</v>
      </c>
      <c r="BB443" s="71" t="n">
        <v>1706187.67</v>
      </c>
      <c r="BC443" s="69" t="inlineStr">
        <is>
          <t>Acquisition</t>
        </is>
      </c>
      <c r="BD443" s="69" t="inlineStr">
        <is>
          <t>N</t>
        </is>
      </c>
      <c r="BE443" s="71" t="n">
        <v>0</v>
      </c>
      <c r="BF443" s="71" t="n"/>
      <c r="BG443" s="71" t="n"/>
      <c r="BH443" s="71" t="n">
        <v>0</v>
      </c>
      <c r="BI443" s="71" t="n">
        <v>0</v>
      </c>
      <c r="BJ443" s="69" t="inlineStr">
        <is>
          <t>Y</t>
        </is>
      </c>
      <c r="BK443" s="69" t="n"/>
      <c r="BL443" s="75" t="n"/>
      <c r="BM443" s="73" t="n"/>
      <c r="BN443" s="69" t="inlineStr">
        <is>
          <t>American Hotel Income Properties REIT Inc.</t>
        </is>
      </c>
      <c r="BO443" s="69" t="inlineStr">
        <is>
          <t>GACC</t>
        </is>
      </c>
      <c r="BP443" s="69" t="inlineStr">
        <is>
          <t>Midland Loan Services</t>
        </is>
      </c>
      <c r="BQ443" s="69" t="inlineStr">
        <is>
          <t>Midland Loan Services</t>
        </is>
      </c>
      <c r="BR443" s="69" t="inlineStr">
        <is>
          <t>DPO</t>
        </is>
      </c>
      <c r="BS443" s="73" t="n">
        <v>46276</v>
      </c>
      <c r="BU443" s="76">
        <f>IF($C443="","",IFERROR(INDEX(dmName,MATCH($C443,dmID,0)),"Unmapped"))</f>
        <v/>
      </c>
      <c r="BV443" s="76">
        <f>IF($C443="","",IFERROR(INDEX(dmEntity,MATCH($C443,dmID,0)),"Unmapped"))</f>
        <v/>
      </c>
      <c r="BW443" s="77">
        <f>IF($C443="","",IFERROR(INDEX(dmVintage,MATCH($C443,dmID,0)),""))</f>
        <v/>
      </c>
      <c r="BX443" s="78">
        <f>IFERROR(INDEX(dmInclude,MATCH($C443,dmID,0)),0)</f>
        <v/>
      </c>
      <c r="BY443" s="78">
        <f>IF(N($I443)&gt;0,1,0)</f>
        <v/>
      </c>
      <c r="BZ443" s="76">
        <f>IF($AJ443="","Other / Leased Fee",IFERROR(INDEX(mapPTGroup,MATCH(LEFT(TRIM($AJ443),2),mapPTCode,0)),"Other / Leased Fee"))</f>
        <v/>
      </c>
      <c r="CA443" s="76">
        <f>IF(TRIM($AF443&amp;"")="","NR",LEFT(TRIM($AF443),2))</f>
        <v/>
      </c>
      <c r="CB443" s="76">
        <f>IFERROR(LOOKUP(2,1/(LEFT(TRIM($AI443&amp;""),LEN(mapRegion))=mapRegion),mapRegion),"Not Reported")</f>
        <v/>
      </c>
      <c r="CC443" s="76">
        <f>IF($BY443=0,"",IF(TRIM($W443&amp;"")="REO","REO",IF(TRIM($W443&amp;"")="FC","Foreclosure",IF(TRIM($W443&amp;"")="90+","90+ Days Delinquent",IF(TRIM($W443&amp;"")="60","60 Days Delinquent",IF(TRIM($W443&amp;"")="30","30 Days Delinquent",IF($X443="Non-Performing Matured Balloon","Non-Performing Matured Balloon",IF(OR($X443="Late Payment But Less Than 30 Days Delinquent",LEFT($X443&amp;"",20)="Payment Not Received"),"Late / In Grace (&lt;30 Days)",IF($X443="Performing Matured Balloon","Performing Matured Balloon","Current")))))))))</f>
        <v/>
      </c>
      <c r="CD443" s="78">
        <f>IF(OR($CC443="REO",$CC443="Foreclosure",$CC443="90+ Days Delinquent",$CC443="60 Days Delinquent",$CC443="30 Days Delinquent",$CC443="Non-Performing Matured Balloon"),1,0)</f>
        <v/>
      </c>
      <c r="CE443" s="76">
        <f>IF($AB443="Currently special serv","Currently Specially Serviced",IF($AB443="Returned to master serv","Previously Specially Serviced","Never Specially Serviced"))</f>
        <v/>
      </c>
      <c r="CF443" s="78">
        <f>IF($CE443="Currently Specially Serviced",1,0)</f>
        <v/>
      </c>
      <c r="CG443" s="76">
        <f>IF($AA443="Yes","Currently on Watchlist",IF($AA443="Previously","Previously on Watchlist","Never on Watchlist"))</f>
        <v/>
      </c>
      <c r="CH443" s="78">
        <f>IF($CG443="Currently on Watchlist",1,0)</f>
        <v/>
      </c>
      <c r="CI443" s="76">
        <f>IF($Z443="Full Defeasance","Fully Defeased",IF($Z443="Portion Of Loan Previously Defeased","Partially Defeased",IF($Z443="Defeasance Not Allowable","Not Defeased (Not Permitted)","Not Defeased")))</f>
        <v/>
      </c>
      <c r="CJ443" s="78">
        <f>IF($CI443="Fully Defeased",1,0)</f>
        <v/>
      </c>
      <c r="CK443" s="76">
        <f>IF($R443="IO","Full IO",IF(LEFT($R443&amp;"",7)="IO then","Partial IO","Amortizing"))</f>
        <v/>
      </c>
      <c r="CL443" s="78">
        <f>IF($CK443="Full IO",1,0)</f>
        <v/>
      </c>
      <c r="CM443" s="78">
        <f>IF($CK443="Partial IO",1,0)</f>
        <v/>
      </c>
      <c r="CN443" s="76">
        <f>IF(LEFT($F443&amp;"",10)="SPLIT_LOAN","Pari Passu Split","Standalone")</f>
        <v/>
      </c>
      <c r="CO443" s="78">
        <f>IF($CN443="Pari Passu Split",1,0)</f>
        <v/>
      </c>
      <c r="CP443" s="77">
        <f>IF(ISNUMBER($T443),YEAR($T443),"")</f>
        <v/>
      </c>
      <c r="CQ443" s="79">
        <f>IF(ISNUMBER($V443),$V443,IF(ISNUMBER($U443),$U443,""))</f>
        <v/>
      </c>
      <c r="CR443" s="77">
        <f>IF(ISNUMBER($CQ443),YEAR($CQ443),"")</f>
        <v/>
      </c>
      <c r="CS443" s="78">
        <f>IF(ISNUMBER($M443),MAX(0,$M443),IF(TRIM($M443&amp;"")="matured",0,""))</f>
        <v/>
      </c>
      <c r="CT443" s="78">
        <f>IF(AND(ISNUMBER($CS443),N($CS443)&lt;=mMatWindow),1,0)</f>
        <v/>
      </c>
      <c r="CU443" s="80">
        <f>IF(ISNUMBER($J443),$J443/100,"")</f>
        <v/>
      </c>
      <c r="CV443" s="81">
        <f>IF(ISNUMBER($AQ443),$AQ443,"")</f>
        <v/>
      </c>
      <c r="CW443" s="81">
        <f>IF(ISNUMBER($AR443),$AR443,"")</f>
        <v/>
      </c>
      <c r="CX443" s="82">
        <f>IF(ISNUMBER($AS443),$AS443/100,"")</f>
        <v/>
      </c>
      <c r="CY443" s="82">
        <f>IF(ISNUMBER($AT443),$AT443/100,"")</f>
        <v/>
      </c>
      <c r="CZ443" s="82">
        <f>IF(ISNUMBER($AU443),$AU443/100,"")</f>
        <v/>
      </c>
      <c r="DA443" s="82">
        <f>IF(ISNUMBER($AV443),$AV443/100,"")</f>
        <v/>
      </c>
      <c r="DB443" s="82">
        <f>IF(ISNUMBER($AW443),$AW443/100,"")</f>
        <v/>
      </c>
      <c r="DC443" s="82">
        <f>IF(ISNUMBER($AX443),$AX443/100,"")</f>
        <v/>
      </c>
      <c r="DD443" s="77">
        <f>IFERROR(VALUE(LEFT(TRIM($AO443&amp;""),4)),"")</f>
        <v/>
      </c>
      <c r="DE443" s="78">
        <f>IF(AND($BY443=1,$BX443=1,OR(fDeal="All Deals",$BU443=fDeal),OR(fEntity="All Entities",$BV443=fEntity),OR(fPType="All Property Types",$BZ443=fPType),OR(fDefeased="Include",$CJ443=0)),1,0)</f>
        <v/>
      </c>
      <c r="DF443" s="83">
        <f>$DE443*N($I443)</f>
        <v/>
      </c>
      <c r="DG443" s="78">
        <f>IF($DE443=1,IF(COUNTIFS($F$8:$F443,$F443,$DE$8:$DE443,1)=1,1,0),0)</f>
        <v/>
      </c>
      <c r="DH443" s="83">
        <f>IF($DG443=1,SUMIFS($DF$8:$DF$1600,$F$8:$F$1600,$F443),0)</f>
        <v/>
      </c>
      <c r="DI443" s="78">
        <f>IF($DG443=1,COUNTIFS($F$8:$F$1600,$F443,$DE$8:$DE$1600,1),0)</f>
        <v/>
      </c>
      <c r="DJ443" s="84">
        <f>IF($DG443=1,$DH443+(100000-ROW())/mTieBreak,0)</f>
        <v/>
      </c>
    </row>
    <row r="444">
      <c r="B444" s="68" t="n">
        <v>16</v>
      </c>
      <c r="C444" s="69" t="inlineStr">
        <is>
          <t>UBS17C05</t>
        </is>
      </c>
      <c r="D444" s="69" t="inlineStr">
        <is>
          <t>16.000</t>
        </is>
      </c>
      <c r="E444" s="69" t="inlineStr">
        <is>
          <t>DoubleTree Berkeley Marina</t>
        </is>
      </c>
      <c r="F444" s="69" t="inlineStr">
        <is>
          <t>SPLIT_LOAN_01093</t>
        </is>
      </c>
      <c r="G444" s="70" t="n">
        <v>1093</v>
      </c>
      <c r="H444" s="71" t="n">
        <v>18750000</v>
      </c>
      <c r="I444" s="71" t="n">
        <v>16719895.5</v>
      </c>
      <c r="J444" s="72" t="n">
        <v>4.82</v>
      </c>
      <c r="K444" s="69" t="inlineStr">
        <is>
          <t>Fixed rate</t>
        </is>
      </c>
      <c r="L444" s="68" t="n">
        <v>120</v>
      </c>
      <c r="M444" s="68" t="n">
        <v>12</v>
      </c>
      <c r="N444" s="68" t="n">
        <v>390</v>
      </c>
      <c r="O444" s="68" t="n">
        <v>30</v>
      </c>
      <c r="P444" s="68" t="n">
        <v>0</v>
      </c>
      <c r="Q444" s="68" t="n">
        <v>108</v>
      </c>
      <c r="R444" s="69" t="inlineStr">
        <is>
          <t>IO then Amort</t>
        </is>
      </c>
      <c r="S444" s="69" t="inlineStr">
        <is>
          <t>No</t>
        </is>
      </c>
      <c r="T444" s="73" t="n">
        <v>42979</v>
      </c>
      <c r="U444" s="73" t="n">
        <v>46636</v>
      </c>
      <c r="V444" s="73" t="n"/>
      <c r="W444" s="69" t="n"/>
      <c r="X444" s="69" t="inlineStr">
        <is>
          <t>Late Payment But Less Than 30 Days Delinquent</t>
        </is>
      </c>
      <c r="Y444" s="68" t="n"/>
      <c r="Z444" s="69" t="inlineStr">
        <is>
          <t>No Defeasance Occurred</t>
        </is>
      </c>
      <c r="AA444" s="69" t="inlineStr">
        <is>
          <t>Previously</t>
        </is>
      </c>
      <c r="AB444" s="69" t="inlineStr">
        <is>
          <t>Currently special serv</t>
        </is>
      </c>
      <c r="AC444" s="73" t="n">
        <v>45722</v>
      </c>
      <c r="AD444" s="69" t="inlineStr">
        <is>
          <t>Imminent Monetary Default (excluding Balloon/Maturity Default &amp; Single Tenant Bankruptcy/Vacate)</t>
        </is>
      </c>
      <c r="AE444" s="69" t="inlineStr">
        <is>
          <t>Deed In Lieu Of Foreclosure</t>
        </is>
      </c>
      <c r="AF444" s="69" t="inlineStr">
        <is>
          <t>CA</t>
        </is>
      </c>
      <c r="AG444" s="69" t="inlineStr">
        <is>
          <t>Berkeley</t>
        </is>
      </c>
      <c r="AH444" s="69" t="inlineStr">
        <is>
          <t>San Francisco-Oakland-Fremont, CA</t>
        </is>
      </c>
      <c r="AI444" s="69" t="inlineStr">
        <is>
          <t>West / Pacific North</t>
        </is>
      </c>
      <c r="AJ444" s="69" t="inlineStr">
        <is>
          <t>HT</t>
        </is>
      </c>
      <c r="AK444" s="69" t="inlineStr">
        <is>
          <t>Full Service</t>
        </is>
      </c>
      <c r="AL444" s="68" t="n">
        <v>1</v>
      </c>
      <c r="AM444" s="68" t="n">
        <v>378</v>
      </c>
      <c r="AN444" s="68" t="n"/>
      <c r="AO444" s="69" t="inlineStr">
        <is>
          <t>1972, 1985</t>
        </is>
      </c>
      <c r="AP444" s="70" t="n">
        <v>2016</v>
      </c>
      <c r="AQ444" s="74" t="n">
        <v>1.86</v>
      </c>
      <c r="AR444" s="74" t="n">
        <v>-0.48</v>
      </c>
      <c r="AS444" s="74" t="n">
        <v>52.3</v>
      </c>
      <c r="AT444" s="74" t="n">
        <v>46.68</v>
      </c>
      <c r="AU444" s="74" t="n">
        <v>45.6</v>
      </c>
      <c r="AV444" s="74" t="n">
        <v>11.707813333</v>
      </c>
      <c r="AW444" s="74" t="n">
        <v>0.9208704170000001</v>
      </c>
      <c r="AX444" s="75" t="n">
        <v>73</v>
      </c>
      <c r="AY444" s="71" t="n">
        <v>100300000</v>
      </c>
      <c r="AZ444" s="71" t="n">
        <v>100300000</v>
      </c>
      <c r="BA444" s="71" t="n">
        <v>6146602</v>
      </c>
      <c r="BB444" s="71" t="n">
        <v>-401655.75</v>
      </c>
      <c r="BC444" s="69" t="inlineStr">
        <is>
          <t>Recapitalization</t>
        </is>
      </c>
      <c r="BD444" s="69" t="inlineStr">
        <is>
          <t>N</t>
        </is>
      </c>
      <c r="BE444" s="71" t="n">
        <v>30095811.9</v>
      </c>
      <c r="BF444" s="71" t="n"/>
      <c r="BG444" s="71" t="n"/>
      <c r="BH444" s="71" t="n">
        <v>0</v>
      </c>
      <c r="BI444" s="71" t="n">
        <v>98529.42999999999</v>
      </c>
      <c r="BJ444" s="69" t="inlineStr">
        <is>
          <t>Y</t>
        </is>
      </c>
      <c r="BK444" s="69" t="n"/>
      <c r="BL444" s="75" t="n"/>
      <c r="BM444" s="73" t="n"/>
      <c r="BN444" s="69" t="inlineStr">
        <is>
          <t>Apollo Bright LLC</t>
        </is>
      </c>
      <c r="BO444" s="69" t="inlineStr">
        <is>
          <t>Cantor Commercial Real Estate Lending</t>
        </is>
      </c>
      <c r="BP444" s="69" t="inlineStr">
        <is>
          <t>Midland Loan Services</t>
        </is>
      </c>
      <c r="BQ444" s="69" t="inlineStr">
        <is>
          <t>Rialto Capital</t>
        </is>
      </c>
      <c r="BR444" s="69" t="n"/>
      <c r="BS444" s="73" t="n">
        <v>46276</v>
      </c>
      <c r="BU444" s="76">
        <f>IF($C444="","",IFERROR(INDEX(dmName,MATCH($C444,dmID,0)),"Unmapped"))</f>
        <v/>
      </c>
      <c r="BV444" s="76">
        <f>IF($C444="","",IFERROR(INDEX(dmEntity,MATCH($C444,dmID,0)),"Unmapped"))</f>
        <v/>
      </c>
      <c r="BW444" s="77">
        <f>IF($C444="","",IFERROR(INDEX(dmVintage,MATCH($C444,dmID,0)),""))</f>
        <v/>
      </c>
      <c r="BX444" s="78">
        <f>IFERROR(INDEX(dmInclude,MATCH($C444,dmID,0)),0)</f>
        <v/>
      </c>
      <c r="BY444" s="78">
        <f>IF(N($I444)&gt;0,1,0)</f>
        <v/>
      </c>
      <c r="BZ444" s="76">
        <f>IF($AJ444="","Other / Leased Fee",IFERROR(INDEX(mapPTGroup,MATCH(LEFT(TRIM($AJ444),2),mapPTCode,0)),"Other / Leased Fee"))</f>
        <v/>
      </c>
      <c r="CA444" s="76">
        <f>IF(TRIM($AF444&amp;"")="","NR",LEFT(TRIM($AF444),2))</f>
        <v/>
      </c>
      <c r="CB444" s="76">
        <f>IFERROR(LOOKUP(2,1/(LEFT(TRIM($AI444&amp;""),LEN(mapRegion))=mapRegion),mapRegion),"Not Reported")</f>
        <v/>
      </c>
      <c r="CC444" s="76">
        <f>IF($BY444=0,"",IF(TRIM($W444&amp;"")="REO","REO",IF(TRIM($W444&amp;"")="FC","Foreclosure",IF(TRIM($W444&amp;"")="90+","90+ Days Delinquent",IF(TRIM($W444&amp;"")="60","60 Days Delinquent",IF(TRIM($W444&amp;"")="30","30 Days Delinquent",IF($X444="Non-Performing Matured Balloon","Non-Performing Matured Balloon",IF(OR($X444="Late Payment But Less Than 30 Days Delinquent",LEFT($X444&amp;"",20)="Payment Not Received"),"Late / In Grace (&lt;30 Days)",IF($X444="Performing Matured Balloon","Performing Matured Balloon","Current")))))))))</f>
        <v/>
      </c>
      <c r="CD444" s="78">
        <f>IF(OR($CC444="REO",$CC444="Foreclosure",$CC444="90+ Days Delinquent",$CC444="60 Days Delinquent",$CC444="30 Days Delinquent",$CC444="Non-Performing Matured Balloon"),1,0)</f>
        <v/>
      </c>
      <c r="CE444" s="76">
        <f>IF($AB444="Currently special serv","Currently Specially Serviced",IF($AB444="Returned to master serv","Previously Specially Serviced","Never Specially Serviced"))</f>
        <v/>
      </c>
      <c r="CF444" s="78">
        <f>IF($CE444="Currently Specially Serviced",1,0)</f>
        <v/>
      </c>
      <c r="CG444" s="76">
        <f>IF($AA444="Yes","Currently on Watchlist",IF($AA444="Previously","Previously on Watchlist","Never on Watchlist"))</f>
        <v/>
      </c>
      <c r="CH444" s="78">
        <f>IF($CG444="Currently on Watchlist",1,0)</f>
        <v/>
      </c>
      <c r="CI444" s="76">
        <f>IF($Z444="Full Defeasance","Fully Defeased",IF($Z444="Portion Of Loan Previously Defeased","Partially Defeased",IF($Z444="Defeasance Not Allowable","Not Defeased (Not Permitted)","Not Defeased")))</f>
        <v/>
      </c>
      <c r="CJ444" s="78">
        <f>IF($CI444="Fully Defeased",1,0)</f>
        <v/>
      </c>
      <c r="CK444" s="76">
        <f>IF($R444="IO","Full IO",IF(LEFT($R444&amp;"",7)="IO then","Partial IO","Amortizing"))</f>
        <v/>
      </c>
      <c r="CL444" s="78">
        <f>IF($CK444="Full IO",1,0)</f>
        <v/>
      </c>
      <c r="CM444" s="78">
        <f>IF($CK444="Partial IO",1,0)</f>
        <v/>
      </c>
      <c r="CN444" s="76">
        <f>IF(LEFT($F444&amp;"",10)="SPLIT_LOAN","Pari Passu Split","Standalone")</f>
        <v/>
      </c>
      <c r="CO444" s="78">
        <f>IF($CN444="Pari Passu Split",1,0)</f>
        <v/>
      </c>
      <c r="CP444" s="77">
        <f>IF(ISNUMBER($T444),YEAR($T444),"")</f>
        <v/>
      </c>
      <c r="CQ444" s="79">
        <f>IF(ISNUMBER($V444),$V444,IF(ISNUMBER($U444),$U444,""))</f>
        <v/>
      </c>
      <c r="CR444" s="77">
        <f>IF(ISNUMBER($CQ444),YEAR($CQ444),"")</f>
        <v/>
      </c>
      <c r="CS444" s="78">
        <f>IF(ISNUMBER($M444),MAX(0,$M444),IF(TRIM($M444&amp;"")="matured",0,""))</f>
        <v/>
      </c>
      <c r="CT444" s="78">
        <f>IF(AND(ISNUMBER($CS444),N($CS444)&lt;=mMatWindow),1,0)</f>
        <v/>
      </c>
      <c r="CU444" s="80">
        <f>IF(ISNUMBER($J444),$J444/100,"")</f>
        <v/>
      </c>
      <c r="CV444" s="81">
        <f>IF(ISNUMBER($AQ444),$AQ444,"")</f>
        <v/>
      </c>
      <c r="CW444" s="81">
        <f>IF(ISNUMBER($AR444),$AR444,"")</f>
        <v/>
      </c>
      <c r="CX444" s="82">
        <f>IF(ISNUMBER($AS444),$AS444/100,"")</f>
        <v/>
      </c>
      <c r="CY444" s="82">
        <f>IF(ISNUMBER($AT444),$AT444/100,"")</f>
        <v/>
      </c>
      <c r="CZ444" s="82">
        <f>IF(ISNUMBER($AU444),$AU444/100,"")</f>
        <v/>
      </c>
      <c r="DA444" s="82">
        <f>IF(ISNUMBER($AV444),$AV444/100,"")</f>
        <v/>
      </c>
      <c r="DB444" s="82">
        <f>IF(ISNUMBER($AW444),$AW444/100,"")</f>
        <v/>
      </c>
      <c r="DC444" s="82">
        <f>IF(ISNUMBER($AX444),$AX444/100,"")</f>
        <v/>
      </c>
      <c r="DD444" s="77">
        <f>IFERROR(VALUE(LEFT(TRIM($AO444&amp;""),4)),"")</f>
        <v/>
      </c>
      <c r="DE444" s="78">
        <f>IF(AND($BY444=1,$BX444=1,OR(fDeal="All Deals",$BU444=fDeal),OR(fEntity="All Entities",$BV444=fEntity),OR(fPType="All Property Types",$BZ444=fPType),OR(fDefeased="Include",$CJ444=0)),1,0)</f>
        <v/>
      </c>
      <c r="DF444" s="83">
        <f>$DE444*N($I444)</f>
        <v/>
      </c>
      <c r="DG444" s="78">
        <f>IF($DE444=1,IF(COUNTIFS($F$8:$F444,$F444,$DE$8:$DE444,1)=1,1,0),0)</f>
        <v/>
      </c>
      <c r="DH444" s="83">
        <f>IF($DG444=1,SUMIFS($DF$8:$DF$1600,$F$8:$F$1600,$F444),0)</f>
        <v/>
      </c>
      <c r="DI444" s="78">
        <f>IF($DG444=1,COUNTIFS($F$8:$F$1600,$F444,$DE$8:$DE$1600,1),0)</f>
        <v/>
      </c>
      <c r="DJ444" s="84">
        <f>IF($DG444=1,$DH444+(100000-ROW())/mTieBreak,0)</f>
        <v/>
      </c>
    </row>
    <row r="445">
      <c r="B445" s="68" t="n">
        <v>17</v>
      </c>
      <c r="C445" s="69" t="inlineStr">
        <is>
          <t>UBS17C05</t>
        </is>
      </c>
      <c r="D445" s="69" t="inlineStr">
        <is>
          <t>17.000</t>
        </is>
      </c>
      <c r="E445" s="69" t="inlineStr">
        <is>
          <t>50 Varick Street</t>
        </is>
      </c>
      <c r="F445" s="69" t="inlineStr">
        <is>
          <t>SPLIT_LOAN_01089</t>
        </is>
      </c>
      <c r="G445" s="70" t="n">
        <v>1089</v>
      </c>
      <c r="H445" s="71" t="n">
        <v>17390000</v>
      </c>
      <c r="I445" s="71" t="n">
        <v>17390000</v>
      </c>
      <c r="J445" s="72" t="n">
        <v>4.15</v>
      </c>
      <c r="K445" s="69" t="inlineStr">
        <is>
          <t>Fixed rate</t>
        </is>
      </c>
      <c r="L445" s="68" t="n">
        <v>120</v>
      </c>
      <c r="M445" s="68" t="n">
        <v>12</v>
      </c>
      <c r="N445" s="68" t="n">
        <v>120</v>
      </c>
      <c r="O445" s="68" t="n">
        <v>120</v>
      </c>
      <c r="P445" s="68" t="n">
        <v>12</v>
      </c>
      <c r="Q445" s="68" t="n">
        <v>108</v>
      </c>
      <c r="R445" s="69" t="inlineStr">
        <is>
          <t>IO</t>
        </is>
      </c>
      <c r="S445" s="69" t="inlineStr">
        <is>
          <t>Yes</t>
        </is>
      </c>
      <c r="T445" s="73" t="n">
        <v>42979</v>
      </c>
      <c r="U445" s="73" t="n">
        <v>46636</v>
      </c>
      <c r="V445" s="73" t="n"/>
      <c r="W445" s="69" t="n"/>
      <c r="X445" s="69" t="inlineStr">
        <is>
          <t>Current</t>
        </is>
      </c>
      <c r="Y445" s="68" t="n"/>
      <c r="Z445" s="69" t="inlineStr">
        <is>
          <t>No Defeasance Occurred</t>
        </is>
      </c>
      <c r="AA445" s="69" t="inlineStr">
        <is>
          <t>Yes</t>
        </is>
      </c>
      <c r="AB445" s="69" t="inlineStr">
        <is>
          <t>Never special serv</t>
        </is>
      </c>
      <c r="AC445" s="73" t="n"/>
      <c r="AD445" s="69" t="n"/>
      <c r="AE445" s="69" t="n"/>
      <c r="AF445" s="69" t="inlineStr">
        <is>
          <t>NY</t>
        </is>
      </c>
      <c r="AG445" s="69" t="inlineStr">
        <is>
          <t>New York</t>
        </is>
      </c>
      <c r="AH445" s="69" t="inlineStr">
        <is>
          <t>New York-Newark-Jersey City, NY-NJ</t>
        </is>
      </c>
      <c r="AI445" s="69" t="inlineStr">
        <is>
          <t>Northeast / Mid-Atlantic</t>
        </is>
      </c>
      <c r="AJ445" s="69" t="inlineStr">
        <is>
          <t>OF</t>
        </is>
      </c>
      <c r="AK445" s="69" t="inlineStr">
        <is>
          <t>CBD</t>
        </is>
      </c>
      <c r="AL445" s="68" t="n">
        <v>1</v>
      </c>
      <c r="AM445" s="68" t="n"/>
      <c r="AN445" s="68" t="n">
        <v>158574</v>
      </c>
      <c r="AO445" s="69" t="inlineStr">
        <is>
          <t>1960</t>
        </is>
      </c>
      <c r="AP445" s="70" t="n">
        <v>2013</v>
      </c>
      <c r="AQ445" s="74" t="n">
        <v>2.01</v>
      </c>
      <c r="AR445" s="74" t="n">
        <v>1.04</v>
      </c>
      <c r="AS445" s="74" t="n">
        <v>55.6</v>
      </c>
      <c r="AT445" s="74" t="n">
        <v>55.64</v>
      </c>
      <c r="AU445" s="74" t="n">
        <v>55.6</v>
      </c>
      <c r="AV445" s="74" t="n">
        <v>8.469403890000001</v>
      </c>
      <c r="AW445" s="74" t="n">
        <v>3.880325587</v>
      </c>
      <c r="AX445" s="75" t="n">
        <v>100</v>
      </c>
      <c r="AY445" s="71" t="n">
        <v>140000000</v>
      </c>
      <c r="AZ445" s="71" t="n">
        <v>140000000</v>
      </c>
      <c r="BA445" s="71" t="n">
        <v>6596818.69</v>
      </c>
      <c r="BB445" s="71" t="n">
        <v>852041.8</v>
      </c>
      <c r="BC445" s="69" t="inlineStr">
        <is>
          <t>Acquisition</t>
        </is>
      </c>
      <c r="BD445" s="69" t="inlineStr">
        <is>
          <t>N</t>
        </is>
      </c>
      <c r="BE445" s="71" t="n">
        <v>60500000</v>
      </c>
      <c r="BF445" s="71" t="n"/>
      <c r="BG445" s="71" t="n"/>
      <c r="BH445" s="71" t="n">
        <v>0</v>
      </c>
      <c r="BI445" s="71" t="n">
        <v>0</v>
      </c>
      <c r="BJ445" s="69" t="inlineStr">
        <is>
          <t>Y</t>
        </is>
      </c>
      <c r="BK445" s="69" t="inlineStr">
        <is>
          <t>Spring Studios New York LLC</t>
        </is>
      </c>
      <c r="BL445" s="75" t="n">
        <v>53.76</v>
      </c>
      <c r="BM445" s="73" t="n">
        <v>47483</v>
      </c>
      <c r="BN445" s="69" t="inlineStr">
        <is>
          <t>Alessandro Cajrati Crivelli</t>
        </is>
      </c>
      <c r="BO445" s="69" t="inlineStr">
        <is>
          <t>Ladder Capital Finance</t>
        </is>
      </c>
      <c r="BP445" s="69" t="inlineStr">
        <is>
          <t>Midland Loan Services</t>
        </is>
      </c>
      <c r="BQ445" s="69" t="inlineStr">
        <is>
          <t>K-Star Asset Management LLC</t>
        </is>
      </c>
      <c r="BR445" s="69" t="n"/>
      <c r="BS445" s="73" t="n">
        <v>46276</v>
      </c>
      <c r="BU445" s="76">
        <f>IF($C445="","",IFERROR(INDEX(dmName,MATCH($C445,dmID,0)),"Unmapped"))</f>
        <v/>
      </c>
      <c r="BV445" s="76">
        <f>IF($C445="","",IFERROR(INDEX(dmEntity,MATCH($C445,dmID,0)),"Unmapped"))</f>
        <v/>
      </c>
      <c r="BW445" s="77">
        <f>IF($C445="","",IFERROR(INDEX(dmVintage,MATCH($C445,dmID,0)),""))</f>
        <v/>
      </c>
      <c r="BX445" s="78">
        <f>IFERROR(INDEX(dmInclude,MATCH($C445,dmID,0)),0)</f>
        <v/>
      </c>
      <c r="BY445" s="78">
        <f>IF(N($I445)&gt;0,1,0)</f>
        <v/>
      </c>
      <c r="BZ445" s="76">
        <f>IF($AJ445="","Other / Leased Fee",IFERROR(INDEX(mapPTGroup,MATCH(LEFT(TRIM($AJ445),2),mapPTCode,0)),"Other / Leased Fee"))</f>
        <v/>
      </c>
      <c r="CA445" s="76">
        <f>IF(TRIM($AF445&amp;"")="","NR",LEFT(TRIM($AF445),2))</f>
        <v/>
      </c>
      <c r="CB445" s="76">
        <f>IFERROR(LOOKUP(2,1/(LEFT(TRIM($AI445&amp;""),LEN(mapRegion))=mapRegion),mapRegion),"Not Reported")</f>
        <v/>
      </c>
      <c r="CC445" s="76">
        <f>IF($BY445=0,"",IF(TRIM($W445&amp;"")="REO","REO",IF(TRIM($W445&amp;"")="FC","Foreclosure",IF(TRIM($W445&amp;"")="90+","90+ Days Delinquent",IF(TRIM($W445&amp;"")="60","60 Days Delinquent",IF(TRIM($W445&amp;"")="30","30 Days Delinquent",IF($X445="Non-Performing Matured Balloon","Non-Performing Matured Balloon",IF(OR($X445="Late Payment But Less Than 30 Days Delinquent",LEFT($X445&amp;"",20)="Payment Not Received"),"Late / In Grace (&lt;30 Days)",IF($X445="Performing Matured Balloon","Performing Matured Balloon","Current")))))))))</f>
        <v/>
      </c>
      <c r="CD445" s="78">
        <f>IF(OR($CC445="REO",$CC445="Foreclosure",$CC445="90+ Days Delinquent",$CC445="60 Days Delinquent",$CC445="30 Days Delinquent",$CC445="Non-Performing Matured Balloon"),1,0)</f>
        <v/>
      </c>
      <c r="CE445" s="76">
        <f>IF($AB445="Currently special serv","Currently Specially Serviced",IF($AB445="Returned to master serv","Previously Specially Serviced","Never Specially Serviced"))</f>
        <v/>
      </c>
      <c r="CF445" s="78">
        <f>IF($CE445="Currently Specially Serviced",1,0)</f>
        <v/>
      </c>
      <c r="CG445" s="76">
        <f>IF($AA445="Yes","Currently on Watchlist",IF($AA445="Previously","Previously on Watchlist","Never on Watchlist"))</f>
        <v/>
      </c>
      <c r="CH445" s="78">
        <f>IF($CG445="Currently on Watchlist",1,0)</f>
        <v/>
      </c>
      <c r="CI445" s="76">
        <f>IF($Z445="Full Defeasance","Fully Defeased",IF($Z445="Portion Of Loan Previously Defeased","Partially Defeased",IF($Z445="Defeasance Not Allowable","Not Defeased (Not Permitted)","Not Defeased")))</f>
        <v/>
      </c>
      <c r="CJ445" s="78">
        <f>IF($CI445="Fully Defeased",1,0)</f>
        <v/>
      </c>
      <c r="CK445" s="76">
        <f>IF($R445="IO","Full IO",IF(LEFT($R445&amp;"",7)="IO then","Partial IO","Amortizing"))</f>
        <v/>
      </c>
      <c r="CL445" s="78">
        <f>IF($CK445="Full IO",1,0)</f>
        <v/>
      </c>
      <c r="CM445" s="78">
        <f>IF($CK445="Partial IO",1,0)</f>
        <v/>
      </c>
      <c r="CN445" s="76">
        <f>IF(LEFT($F445&amp;"",10)="SPLIT_LOAN","Pari Passu Split","Standalone")</f>
        <v/>
      </c>
      <c r="CO445" s="78">
        <f>IF($CN445="Pari Passu Split",1,0)</f>
        <v/>
      </c>
      <c r="CP445" s="77">
        <f>IF(ISNUMBER($T445),YEAR($T445),"")</f>
        <v/>
      </c>
      <c r="CQ445" s="79">
        <f>IF(ISNUMBER($V445),$V445,IF(ISNUMBER($U445),$U445,""))</f>
        <v/>
      </c>
      <c r="CR445" s="77">
        <f>IF(ISNUMBER($CQ445),YEAR($CQ445),"")</f>
        <v/>
      </c>
      <c r="CS445" s="78">
        <f>IF(ISNUMBER($M445),MAX(0,$M445),IF(TRIM($M445&amp;"")="matured",0,""))</f>
        <v/>
      </c>
      <c r="CT445" s="78">
        <f>IF(AND(ISNUMBER($CS445),N($CS445)&lt;=mMatWindow),1,0)</f>
        <v/>
      </c>
      <c r="CU445" s="80">
        <f>IF(ISNUMBER($J445),$J445/100,"")</f>
        <v/>
      </c>
      <c r="CV445" s="81">
        <f>IF(ISNUMBER($AQ445),$AQ445,"")</f>
        <v/>
      </c>
      <c r="CW445" s="81">
        <f>IF(ISNUMBER($AR445),$AR445,"")</f>
        <v/>
      </c>
      <c r="CX445" s="82">
        <f>IF(ISNUMBER($AS445),$AS445/100,"")</f>
        <v/>
      </c>
      <c r="CY445" s="82">
        <f>IF(ISNUMBER($AT445),$AT445/100,"")</f>
        <v/>
      </c>
      <c r="CZ445" s="82">
        <f>IF(ISNUMBER($AU445),$AU445/100,"")</f>
        <v/>
      </c>
      <c r="DA445" s="82">
        <f>IF(ISNUMBER($AV445),$AV445/100,"")</f>
        <v/>
      </c>
      <c r="DB445" s="82">
        <f>IF(ISNUMBER($AW445),$AW445/100,"")</f>
        <v/>
      </c>
      <c r="DC445" s="82">
        <f>IF(ISNUMBER($AX445),$AX445/100,"")</f>
        <v/>
      </c>
      <c r="DD445" s="77">
        <f>IFERROR(VALUE(LEFT(TRIM($AO445&amp;""),4)),"")</f>
        <v/>
      </c>
      <c r="DE445" s="78">
        <f>IF(AND($BY445=1,$BX445=1,OR(fDeal="All Deals",$BU445=fDeal),OR(fEntity="All Entities",$BV445=fEntity),OR(fPType="All Property Types",$BZ445=fPType),OR(fDefeased="Include",$CJ445=0)),1,0)</f>
        <v/>
      </c>
      <c r="DF445" s="83">
        <f>$DE445*N($I445)</f>
        <v/>
      </c>
      <c r="DG445" s="78">
        <f>IF($DE445=1,IF(COUNTIFS($F$8:$F445,$F445,$DE$8:$DE445,1)=1,1,0),0)</f>
        <v/>
      </c>
      <c r="DH445" s="83">
        <f>IF($DG445=1,SUMIFS($DF$8:$DF$1600,$F$8:$F$1600,$F445),0)</f>
        <v/>
      </c>
      <c r="DI445" s="78">
        <f>IF($DG445=1,COUNTIFS($F$8:$F$1600,$F445,$DE$8:$DE$1600,1),0)</f>
        <v/>
      </c>
      <c r="DJ445" s="84">
        <f>IF($DG445=1,$DH445+(100000-ROW())/mTieBreak,0)</f>
        <v/>
      </c>
    </row>
    <row r="446">
      <c r="B446" s="68" t="n">
        <v>18</v>
      </c>
      <c r="C446" s="69" t="inlineStr">
        <is>
          <t>UBS17C05</t>
        </is>
      </c>
      <c r="D446" s="69" t="inlineStr">
        <is>
          <t>18.000</t>
        </is>
      </c>
      <c r="E446" s="69" t="inlineStr">
        <is>
          <t>Crocker Block K &amp; Detroit</t>
        </is>
      </c>
      <c r="F446" s="69" t="inlineStr">
        <is>
          <t>LNUBS17C05-18.000</t>
        </is>
      </c>
      <c r="G446" s="70" t="n"/>
      <c r="H446" s="71" t="n">
        <v>15150000</v>
      </c>
      <c r="I446" s="71" t="n">
        <v>13063975.76999745</v>
      </c>
      <c r="J446" s="72" t="n">
        <v>4.71</v>
      </c>
      <c r="K446" s="69" t="inlineStr">
        <is>
          <t>Fixed rate</t>
        </is>
      </c>
      <c r="L446" s="68" t="n">
        <v>120</v>
      </c>
      <c r="M446" s="68" t="n">
        <v>14</v>
      </c>
      <c r="N446" s="68" t="n">
        <v>372</v>
      </c>
      <c r="O446" s="68" t="n">
        <v>12</v>
      </c>
      <c r="P446" s="68" t="n">
        <v>0</v>
      </c>
      <c r="Q446" s="68" t="n">
        <v>106</v>
      </c>
      <c r="R446" s="69" t="inlineStr">
        <is>
          <t>IO then Amort</t>
        </is>
      </c>
      <c r="S446" s="69" t="inlineStr">
        <is>
          <t>No</t>
        </is>
      </c>
      <c r="T446" s="73" t="n">
        <v>43040</v>
      </c>
      <c r="U446" s="73" t="n">
        <v>46697</v>
      </c>
      <c r="V446" s="73" t="n"/>
      <c r="W446" s="69" t="n"/>
      <c r="X446" s="69" t="inlineStr">
        <is>
          <t>Current</t>
        </is>
      </c>
      <c r="Y446" s="68" t="n"/>
      <c r="Z446" s="69" t="inlineStr">
        <is>
          <t>No Defeasance Occurred</t>
        </is>
      </c>
      <c r="AA446" s="69" t="inlineStr">
        <is>
          <t>Previously</t>
        </is>
      </c>
      <c r="AB446" s="69" t="inlineStr">
        <is>
          <t>Never special serv</t>
        </is>
      </c>
      <c r="AC446" s="73" t="n"/>
      <c r="AD446" s="69" t="n"/>
      <c r="AE446" s="69" t="n"/>
      <c r="AF446" s="69" t="inlineStr">
        <is>
          <t>OH</t>
        </is>
      </c>
      <c r="AG446" s="69" t="inlineStr">
        <is>
          <t>Westlake</t>
        </is>
      </c>
      <c r="AH446" s="69" t="inlineStr">
        <is>
          <t>Cleveland, OH</t>
        </is>
      </c>
      <c r="AI446" s="69" t="inlineStr">
        <is>
          <t>Midwest / Central East</t>
        </is>
      </c>
      <c r="AJ446" s="69" t="inlineStr">
        <is>
          <t>RT</t>
        </is>
      </c>
      <c r="AK446" s="69" t="inlineStr">
        <is>
          <t>Shadow Anchored</t>
        </is>
      </c>
      <c r="AL446" s="68" t="n">
        <v>1</v>
      </c>
      <c r="AM446" s="68" t="n"/>
      <c r="AN446" s="68" t="n">
        <v>40941</v>
      </c>
      <c r="AO446" s="69" t="inlineStr">
        <is>
          <t>1995</t>
        </is>
      </c>
      <c r="AP446" s="70" t="n">
        <v>2015</v>
      </c>
      <c r="AQ446" s="74" t="n">
        <v>1.47</v>
      </c>
      <c r="AR446" s="74" t="n">
        <v>1.8</v>
      </c>
      <c r="AS446" s="74" t="n">
        <v>66.40000000000001</v>
      </c>
      <c r="AT446" s="74" t="n">
        <v>57.3</v>
      </c>
      <c r="AU446" s="74" t="n">
        <v>55.6</v>
      </c>
      <c r="AV446" s="74" t="n">
        <v>9.150676766</v>
      </c>
      <c r="AW446" s="74" t="n">
        <v>13.001184861</v>
      </c>
      <c r="AX446" s="75" t="n">
        <v>100</v>
      </c>
      <c r="AY446" s="71" t="n">
        <v>22800000</v>
      </c>
      <c r="AZ446" s="71" t="n">
        <v>22800000</v>
      </c>
      <c r="BA446" s="71" t="n">
        <v>1386327.53</v>
      </c>
      <c r="BB446" s="71" t="n">
        <v>1698471.64</v>
      </c>
      <c r="BC446" s="69" t="inlineStr">
        <is>
          <t>Refinance</t>
        </is>
      </c>
      <c r="BD446" s="69" t="inlineStr">
        <is>
          <t>N</t>
        </is>
      </c>
      <c r="BE446" s="71" t="n"/>
      <c r="BF446" s="71" t="n"/>
      <c r="BG446" s="71" t="n"/>
      <c r="BH446" s="71" t="n">
        <v>0</v>
      </c>
      <c r="BI446" s="71" t="n">
        <v>0</v>
      </c>
      <c r="BJ446" s="69" t="inlineStr">
        <is>
          <t>N</t>
        </is>
      </c>
      <c r="BK446" s="69" t="inlineStr">
        <is>
          <t>Fidelity Brokerage ServicesLLC</t>
        </is>
      </c>
      <c r="BL446" s="75" t="n">
        <v>72</v>
      </c>
      <c r="BM446" s="73" t="n">
        <v>48579</v>
      </c>
      <c r="BN446" s="69" t="inlineStr">
        <is>
          <t>Robert L. Stark</t>
        </is>
      </c>
      <c r="BO446" s="69" t="inlineStr">
        <is>
          <t>Ladder Capital Finance</t>
        </is>
      </c>
      <c r="BP446" s="69" t="inlineStr">
        <is>
          <t>Midland Loan Services</t>
        </is>
      </c>
      <c r="BQ446" s="69" t="inlineStr">
        <is>
          <t>K-Star Asset Management LLC</t>
        </is>
      </c>
      <c r="BR446" s="69" t="n"/>
      <c r="BS446" s="73" t="n">
        <v>46276</v>
      </c>
      <c r="BU446" s="76">
        <f>IF($C446="","",IFERROR(INDEX(dmName,MATCH($C446,dmID,0)),"Unmapped"))</f>
        <v/>
      </c>
      <c r="BV446" s="76">
        <f>IF($C446="","",IFERROR(INDEX(dmEntity,MATCH($C446,dmID,0)),"Unmapped"))</f>
        <v/>
      </c>
      <c r="BW446" s="77">
        <f>IF($C446="","",IFERROR(INDEX(dmVintage,MATCH($C446,dmID,0)),""))</f>
        <v/>
      </c>
      <c r="BX446" s="78">
        <f>IFERROR(INDEX(dmInclude,MATCH($C446,dmID,0)),0)</f>
        <v/>
      </c>
      <c r="BY446" s="78">
        <f>IF(N($I446)&gt;0,1,0)</f>
        <v/>
      </c>
      <c r="BZ446" s="76">
        <f>IF($AJ446="","Other / Leased Fee",IFERROR(INDEX(mapPTGroup,MATCH(LEFT(TRIM($AJ446),2),mapPTCode,0)),"Other / Leased Fee"))</f>
        <v/>
      </c>
      <c r="CA446" s="76">
        <f>IF(TRIM($AF446&amp;"")="","NR",LEFT(TRIM($AF446),2))</f>
        <v/>
      </c>
      <c r="CB446" s="76">
        <f>IFERROR(LOOKUP(2,1/(LEFT(TRIM($AI446&amp;""),LEN(mapRegion))=mapRegion),mapRegion),"Not Reported")</f>
        <v/>
      </c>
      <c r="CC446" s="76">
        <f>IF($BY446=0,"",IF(TRIM($W446&amp;"")="REO","REO",IF(TRIM($W446&amp;"")="FC","Foreclosure",IF(TRIM($W446&amp;"")="90+","90+ Days Delinquent",IF(TRIM($W446&amp;"")="60","60 Days Delinquent",IF(TRIM($W446&amp;"")="30","30 Days Delinquent",IF($X446="Non-Performing Matured Balloon","Non-Performing Matured Balloon",IF(OR($X446="Late Payment But Less Than 30 Days Delinquent",LEFT($X446&amp;"",20)="Payment Not Received"),"Late / In Grace (&lt;30 Days)",IF($X446="Performing Matured Balloon","Performing Matured Balloon","Current")))))))))</f>
        <v/>
      </c>
      <c r="CD446" s="78">
        <f>IF(OR($CC446="REO",$CC446="Foreclosure",$CC446="90+ Days Delinquent",$CC446="60 Days Delinquent",$CC446="30 Days Delinquent",$CC446="Non-Performing Matured Balloon"),1,0)</f>
        <v/>
      </c>
      <c r="CE446" s="76">
        <f>IF($AB446="Currently special serv","Currently Specially Serviced",IF($AB446="Returned to master serv","Previously Specially Serviced","Never Specially Serviced"))</f>
        <v/>
      </c>
      <c r="CF446" s="78">
        <f>IF($CE446="Currently Specially Serviced",1,0)</f>
        <v/>
      </c>
      <c r="CG446" s="76">
        <f>IF($AA446="Yes","Currently on Watchlist",IF($AA446="Previously","Previously on Watchlist","Never on Watchlist"))</f>
        <v/>
      </c>
      <c r="CH446" s="78">
        <f>IF($CG446="Currently on Watchlist",1,0)</f>
        <v/>
      </c>
      <c r="CI446" s="76">
        <f>IF($Z446="Full Defeasance","Fully Defeased",IF($Z446="Portion Of Loan Previously Defeased","Partially Defeased",IF($Z446="Defeasance Not Allowable","Not Defeased (Not Permitted)","Not Defeased")))</f>
        <v/>
      </c>
      <c r="CJ446" s="78">
        <f>IF($CI446="Fully Defeased",1,0)</f>
        <v/>
      </c>
      <c r="CK446" s="76">
        <f>IF($R446="IO","Full IO",IF(LEFT($R446&amp;"",7)="IO then","Partial IO","Amortizing"))</f>
        <v/>
      </c>
      <c r="CL446" s="78">
        <f>IF($CK446="Full IO",1,0)</f>
        <v/>
      </c>
      <c r="CM446" s="78">
        <f>IF($CK446="Partial IO",1,0)</f>
        <v/>
      </c>
      <c r="CN446" s="76">
        <f>IF(LEFT($F446&amp;"",10)="SPLIT_LOAN","Pari Passu Split","Standalone")</f>
        <v/>
      </c>
      <c r="CO446" s="78">
        <f>IF($CN446="Pari Passu Split",1,0)</f>
        <v/>
      </c>
      <c r="CP446" s="77">
        <f>IF(ISNUMBER($T446),YEAR($T446),"")</f>
        <v/>
      </c>
      <c r="CQ446" s="79">
        <f>IF(ISNUMBER($V446),$V446,IF(ISNUMBER($U446),$U446,""))</f>
        <v/>
      </c>
      <c r="CR446" s="77">
        <f>IF(ISNUMBER($CQ446),YEAR($CQ446),"")</f>
        <v/>
      </c>
      <c r="CS446" s="78">
        <f>IF(ISNUMBER($M446),MAX(0,$M446),IF(TRIM($M446&amp;"")="matured",0,""))</f>
        <v/>
      </c>
      <c r="CT446" s="78">
        <f>IF(AND(ISNUMBER($CS446),N($CS446)&lt;=mMatWindow),1,0)</f>
        <v/>
      </c>
      <c r="CU446" s="80">
        <f>IF(ISNUMBER($J446),$J446/100,"")</f>
        <v/>
      </c>
      <c r="CV446" s="81">
        <f>IF(ISNUMBER($AQ446),$AQ446,"")</f>
        <v/>
      </c>
      <c r="CW446" s="81">
        <f>IF(ISNUMBER($AR446),$AR446,"")</f>
        <v/>
      </c>
      <c r="CX446" s="82">
        <f>IF(ISNUMBER($AS446),$AS446/100,"")</f>
        <v/>
      </c>
      <c r="CY446" s="82">
        <f>IF(ISNUMBER($AT446),$AT446/100,"")</f>
        <v/>
      </c>
      <c r="CZ446" s="82">
        <f>IF(ISNUMBER($AU446),$AU446/100,"")</f>
        <v/>
      </c>
      <c r="DA446" s="82">
        <f>IF(ISNUMBER($AV446),$AV446/100,"")</f>
        <v/>
      </c>
      <c r="DB446" s="82">
        <f>IF(ISNUMBER($AW446),$AW446/100,"")</f>
        <v/>
      </c>
      <c r="DC446" s="82">
        <f>IF(ISNUMBER($AX446),$AX446/100,"")</f>
        <v/>
      </c>
      <c r="DD446" s="77">
        <f>IFERROR(VALUE(LEFT(TRIM($AO446&amp;""),4)),"")</f>
        <v/>
      </c>
      <c r="DE446" s="78">
        <f>IF(AND($BY446=1,$BX446=1,OR(fDeal="All Deals",$BU446=fDeal),OR(fEntity="All Entities",$BV446=fEntity),OR(fPType="All Property Types",$BZ446=fPType),OR(fDefeased="Include",$CJ446=0)),1,0)</f>
        <v/>
      </c>
      <c r="DF446" s="83">
        <f>$DE446*N($I446)</f>
        <v/>
      </c>
      <c r="DG446" s="78">
        <f>IF($DE446=1,IF(COUNTIFS($F$8:$F446,$F446,$DE$8:$DE446,1)=1,1,0),0)</f>
        <v/>
      </c>
      <c r="DH446" s="83">
        <f>IF($DG446=1,SUMIFS($DF$8:$DF$1600,$F$8:$F$1600,$F446),0)</f>
        <v/>
      </c>
      <c r="DI446" s="78">
        <f>IF($DG446=1,COUNTIFS($F$8:$F$1600,$F446,$DE$8:$DE$1600,1),0)</f>
        <v/>
      </c>
      <c r="DJ446" s="84">
        <f>IF($DG446=1,$DH446+(100000-ROW())/mTieBreak,0)</f>
        <v/>
      </c>
    </row>
    <row r="447">
      <c r="B447" s="68" t="n">
        <v>19</v>
      </c>
      <c r="C447" s="69" t="inlineStr">
        <is>
          <t>UBS17C05</t>
        </is>
      </c>
      <c r="D447" s="69" t="inlineStr">
        <is>
          <t>19.000</t>
        </is>
      </c>
      <c r="E447" s="69" t="inlineStr">
        <is>
          <t>IGT Reno</t>
        </is>
      </c>
      <c r="F447" s="69" t="inlineStr">
        <is>
          <t>SPLIT_LOAN_01044</t>
        </is>
      </c>
      <c r="G447" s="70" t="n">
        <v>1044</v>
      </c>
      <c r="H447" s="71" t="n">
        <v>15000000</v>
      </c>
      <c r="I447" s="71" t="n">
        <v>0</v>
      </c>
      <c r="J447" s="72" t="n">
        <v>4.25906</v>
      </c>
      <c r="K447" s="69" t="inlineStr">
        <is>
          <t>Fixed rate</t>
        </is>
      </c>
      <c r="L447" s="68" t="n">
        <v>120</v>
      </c>
      <c r="M447" s="68" t="n"/>
      <c r="N447" s="68" t="n">
        <v>420</v>
      </c>
      <c r="O447" s="68" t="n">
        <v>60</v>
      </c>
      <c r="P447" s="68" t="n"/>
      <c r="Q447" s="68" t="n"/>
      <c r="R447" s="69" t="inlineStr">
        <is>
          <t>IO then Amort</t>
        </is>
      </c>
      <c r="S447" s="69" t="inlineStr">
        <is>
          <t>No</t>
        </is>
      </c>
      <c r="T447" s="73" t="n">
        <v>42917</v>
      </c>
      <c r="U447" s="73" t="n">
        <v>46574</v>
      </c>
      <c r="V447" s="73" t="n"/>
      <c r="W447" s="69" t="n"/>
      <c r="X447" s="69" t="inlineStr">
        <is>
          <t>Current</t>
        </is>
      </c>
      <c r="Y447" s="68" t="n"/>
      <c r="Z447" s="69" t="inlineStr">
        <is>
          <t>Defeasance Not Allowable</t>
        </is>
      </c>
      <c r="AA447" s="69" t="inlineStr">
        <is>
          <t>Previously</t>
        </is>
      </c>
      <c r="AB447" s="69" t="inlineStr">
        <is>
          <t>Never special serv</t>
        </is>
      </c>
      <c r="AC447" s="73" t="n"/>
      <c r="AD447" s="69" t="n"/>
      <c r="AE447" s="69" t="n"/>
      <c r="AF447" s="69" t="inlineStr">
        <is>
          <t>NV</t>
        </is>
      </c>
      <c r="AG447" s="69" t="inlineStr">
        <is>
          <t>Reno</t>
        </is>
      </c>
      <c r="AH447" s="69" t="inlineStr">
        <is>
          <t>Reno, NV</t>
        </is>
      </c>
      <c r="AI447" s="69" t="inlineStr">
        <is>
          <t>West / Mountain</t>
        </is>
      </c>
      <c r="AJ447" s="69" t="inlineStr">
        <is>
          <t>MX</t>
        </is>
      </c>
      <c r="AK447" s="69" t="inlineStr">
        <is>
          <t>Office/Industrial</t>
        </is>
      </c>
      <c r="AL447" s="68" t="n">
        <v>1</v>
      </c>
      <c r="AM447" s="68" t="n"/>
      <c r="AN447" s="68" t="n">
        <v>1251179</v>
      </c>
      <c r="AO447" s="69" t="inlineStr">
        <is>
          <t>1996</t>
        </is>
      </c>
      <c r="AP447" s="70" t="n">
        <v>2005</v>
      </c>
      <c r="AQ447" s="74" t="n">
        <v>2.05</v>
      </c>
      <c r="AR447" s="74" t="n">
        <v>2.56</v>
      </c>
      <c r="AS447" s="74" t="n">
        <v>50.9</v>
      </c>
      <c r="AT447" s="74" t="n"/>
      <c r="AU447" s="74" t="n">
        <v>46.4</v>
      </c>
      <c r="AV447" s="74" t="n">
        <v>12.12501625</v>
      </c>
      <c r="AW447" s="74" t="n"/>
      <c r="AX447" s="75" t="n">
        <v>100</v>
      </c>
      <c r="AY447" s="71" t="n">
        <v>157230000</v>
      </c>
      <c r="AZ447" s="71" t="n">
        <v>157230000</v>
      </c>
      <c r="BA447" s="71" t="n">
        <v>9700013</v>
      </c>
      <c r="BB447" s="71" t="n">
        <v>12126897.13</v>
      </c>
      <c r="BC447" s="69" t="inlineStr">
        <is>
          <t>Acquisition</t>
        </is>
      </c>
      <c r="BD447" s="69" t="inlineStr">
        <is>
          <t>N</t>
        </is>
      </c>
      <c r="BE447" s="71" t="n">
        <v>0</v>
      </c>
      <c r="BF447" s="71" t="n"/>
      <c r="BG447" s="71" t="n">
        <v>17500000</v>
      </c>
      <c r="BH447" s="71" t="n">
        <v>0</v>
      </c>
      <c r="BI447" s="71" t="n">
        <v>0</v>
      </c>
      <c r="BJ447" s="69" t="inlineStr">
        <is>
          <t>N</t>
        </is>
      </c>
      <c r="BK447" s="69" t="inlineStr">
        <is>
          <t>International Game Technology PLC</t>
        </is>
      </c>
      <c r="BL447" s="75" t="n">
        <v>100</v>
      </c>
      <c r="BM447" s="73" t="n">
        <v>48487</v>
      </c>
      <c r="BN447" s="69" t="inlineStr">
        <is>
          <t>AG Net Lease III Corp. and AG Net Lease III (SO) Corp.</t>
        </is>
      </c>
      <c r="BO447" s="69" t="n"/>
      <c r="BP447" s="69" t="inlineStr">
        <is>
          <t>Midland Loan Services</t>
        </is>
      </c>
      <c r="BQ447" s="69" t="inlineStr">
        <is>
          <t>Rialto Capital</t>
        </is>
      </c>
      <c r="BR447" s="69" t="inlineStr">
        <is>
          <t>Payoff With Yield Maintenance</t>
        </is>
      </c>
      <c r="BS447" s="73" t="n">
        <v>46184</v>
      </c>
      <c r="BU447" s="76">
        <f>IF($C447="","",IFERROR(INDEX(dmName,MATCH($C447,dmID,0)),"Unmapped"))</f>
        <v/>
      </c>
      <c r="BV447" s="76">
        <f>IF($C447="","",IFERROR(INDEX(dmEntity,MATCH($C447,dmID,0)),"Unmapped"))</f>
        <v/>
      </c>
      <c r="BW447" s="77">
        <f>IF($C447="","",IFERROR(INDEX(dmVintage,MATCH($C447,dmID,0)),""))</f>
        <v/>
      </c>
      <c r="BX447" s="78">
        <f>IFERROR(INDEX(dmInclude,MATCH($C447,dmID,0)),0)</f>
        <v/>
      </c>
      <c r="BY447" s="78">
        <f>IF(N($I447)&gt;0,1,0)</f>
        <v/>
      </c>
      <c r="BZ447" s="76">
        <f>IF($AJ447="","Other / Leased Fee",IFERROR(INDEX(mapPTGroup,MATCH(LEFT(TRIM($AJ447),2),mapPTCode,0)),"Other / Leased Fee"))</f>
        <v/>
      </c>
      <c r="CA447" s="76">
        <f>IF(TRIM($AF447&amp;"")="","NR",LEFT(TRIM($AF447),2))</f>
        <v/>
      </c>
      <c r="CB447" s="76">
        <f>IFERROR(LOOKUP(2,1/(LEFT(TRIM($AI447&amp;""),LEN(mapRegion))=mapRegion),mapRegion),"Not Reported")</f>
        <v/>
      </c>
      <c r="CC447" s="76">
        <f>IF($BY447=0,"",IF(TRIM($W447&amp;"")="REO","REO",IF(TRIM($W447&amp;"")="FC","Foreclosure",IF(TRIM($W447&amp;"")="90+","90+ Days Delinquent",IF(TRIM($W447&amp;"")="60","60 Days Delinquent",IF(TRIM($W447&amp;"")="30","30 Days Delinquent",IF($X447="Non-Performing Matured Balloon","Non-Performing Matured Balloon",IF(OR($X447="Late Payment But Less Than 30 Days Delinquent",LEFT($X447&amp;"",20)="Payment Not Received"),"Late / In Grace (&lt;30 Days)",IF($X447="Performing Matured Balloon","Performing Matured Balloon","Current")))))))))</f>
        <v/>
      </c>
      <c r="CD447" s="78">
        <f>IF(OR($CC447="REO",$CC447="Foreclosure",$CC447="90+ Days Delinquent",$CC447="60 Days Delinquent",$CC447="30 Days Delinquent",$CC447="Non-Performing Matured Balloon"),1,0)</f>
        <v/>
      </c>
      <c r="CE447" s="76">
        <f>IF($AB447="Currently special serv","Currently Specially Serviced",IF($AB447="Returned to master serv","Previously Specially Serviced","Never Specially Serviced"))</f>
        <v/>
      </c>
      <c r="CF447" s="78">
        <f>IF($CE447="Currently Specially Serviced",1,0)</f>
        <v/>
      </c>
      <c r="CG447" s="76">
        <f>IF($AA447="Yes","Currently on Watchlist",IF($AA447="Previously","Previously on Watchlist","Never on Watchlist"))</f>
        <v/>
      </c>
      <c r="CH447" s="78">
        <f>IF($CG447="Currently on Watchlist",1,0)</f>
        <v/>
      </c>
      <c r="CI447" s="76">
        <f>IF($Z447="Full Defeasance","Fully Defeased",IF($Z447="Portion Of Loan Previously Defeased","Partially Defeased",IF($Z447="Defeasance Not Allowable","Not Defeased (Not Permitted)","Not Defeased")))</f>
        <v/>
      </c>
      <c r="CJ447" s="78">
        <f>IF($CI447="Fully Defeased",1,0)</f>
        <v/>
      </c>
      <c r="CK447" s="76">
        <f>IF($R447="IO","Full IO",IF(LEFT($R447&amp;"",7)="IO then","Partial IO","Amortizing"))</f>
        <v/>
      </c>
      <c r="CL447" s="78">
        <f>IF($CK447="Full IO",1,0)</f>
        <v/>
      </c>
      <c r="CM447" s="78">
        <f>IF($CK447="Partial IO",1,0)</f>
        <v/>
      </c>
      <c r="CN447" s="76">
        <f>IF(LEFT($F447&amp;"",10)="SPLIT_LOAN","Pari Passu Split","Standalone")</f>
        <v/>
      </c>
      <c r="CO447" s="78">
        <f>IF($CN447="Pari Passu Split",1,0)</f>
        <v/>
      </c>
      <c r="CP447" s="77">
        <f>IF(ISNUMBER($T447),YEAR($T447),"")</f>
        <v/>
      </c>
      <c r="CQ447" s="79">
        <f>IF(ISNUMBER($V447),$V447,IF(ISNUMBER($U447),$U447,""))</f>
        <v/>
      </c>
      <c r="CR447" s="77">
        <f>IF(ISNUMBER($CQ447),YEAR($CQ447),"")</f>
        <v/>
      </c>
      <c r="CS447" s="78">
        <f>IF(ISNUMBER($M447),MAX(0,$M447),IF(TRIM($M447&amp;"")="matured",0,""))</f>
        <v/>
      </c>
      <c r="CT447" s="78">
        <f>IF(AND(ISNUMBER($CS447),N($CS447)&lt;=mMatWindow),1,0)</f>
        <v/>
      </c>
      <c r="CU447" s="80">
        <f>IF(ISNUMBER($J447),$J447/100,"")</f>
        <v/>
      </c>
      <c r="CV447" s="81">
        <f>IF(ISNUMBER($AQ447),$AQ447,"")</f>
        <v/>
      </c>
      <c r="CW447" s="81">
        <f>IF(ISNUMBER($AR447),$AR447,"")</f>
        <v/>
      </c>
      <c r="CX447" s="82">
        <f>IF(ISNUMBER($AS447),$AS447/100,"")</f>
        <v/>
      </c>
      <c r="CY447" s="82">
        <f>IF(ISNUMBER($AT447),$AT447/100,"")</f>
        <v/>
      </c>
      <c r="CZ447" s="82">
        <f>IF(ISNUMBER($AU447),$AU447/100,"")</f>
        <v/>
      </c>
      <c r="DA447" s="82">
        <f>IF(ISNUMBER($AV447),$AV447/100,"")</f>
        <v/>
      </c>
      <c r="DB447" s="82">
        <f>IF(ISNUMBER($AW447),$AW447/100,"")</f>
        <v/>
      </c>
      <c r="DC447" s="82">
        <f>IF(ISNUMBER($AX447),$AX447/100,"")</f>
        <v/>
      </c>
      <c r="DD447" s="77">
        <f>IFERROR(VALUE(LEFT(TRIM($AO447&amp;""),4)),"")</f>
        <v/>
      </c>
      <c r="DE447" s="78">
        <f>IF(AND($BY447=1,$BX447=1,OR(fDeal="All Deals",$BU447=fDeal),OR(fEntity="All Entities",$BV447=fEntity),OR(fPType="All Property Types",$BZ447=fPType),OR(fDefeased="Include",$CJ447=0)),1,0)</f>
        <v/>
      </c>
      <c r="DF447" s="83">
        <f>$DE447*N($I447)</f>
        <v/>
      </c>
      <c r="DG447" s="78">
        <f>IF($DE447=1,IF(COUNTIFS($F$8:$F447,$F447,$DE$8:$DE447,1)=1,1,0),0)</f>
        <v/>
      </c>
      <c r="DH447" s="83">
        <f>IF($DG447=1,SUMIFS($DF$8:$DF$1600,$F$8:$F$1600,$F447),0)</f>
        <v/>
      </c>
      <c r="DI447" s="78">
        <f>IF($DG447=1,COUNTIFS($F$8:$F$1600,$F447,$DE$8:$DE$1600,1),0)</f>
        <v/>
      </c>
      <c r="DJ447" s="84">
        <f>IF($DG447=1,$DH447+(100000-ROW())/mTieBreak,0)</f>
        <v/>
      </c>
    </row>
    <row r="448">
      <c r="B448" s="68" t="n">
        <v>20</v>
      </c>
      <c r="C448" s="69" t="inlineStr">
        <is>
          <t>UBS17C05</t>
        </is>
      </c>
      <c r="D448" s="69" t="inlineStr">
        <is>
          <t>20.000</t>
        </is>
      </c>
      <c r="E448" s="69" t="inlineStr">
        <is>
          <t>Manchester Financial Building</t>
        </is>
      </c>
      <c r="F448" s="69" t="inlineStr">
        <is>
          <t>SPLIT_LOAN_01120</t>
        </is>
      </c>
      <c r="G448" s="70" t="n">
        <v>1120</v>
      </c>
      <c r="H448" s="71" t="n">
        <v>15000000</v>
      </c>
      <c r="I448" s="71" t="n">
        <v>13459681.009995</v>
      </c>
      <c r="J448" s="72" t="n">
        <v>4.5</v>
      </c>
      <c r="K448" s="69" t="inlineStr">
        <is>
          <t>Fixed rate</t>
        </is>
      </c>
      <c r="L448" s="68" t="n">
        <v>120</v>
      </c>
      <c r="M448" s="68" t="n">
        <v>13</v>
      </c>
      <c r="N448" s="68" t="n">
        <v>396</v>
      </c>
      <c r="O448" s="68" t="n">
        <v>36</v>
      </c>
      <c r="P448" s="68" t="n">
        <v>0</v>
      </c>
      <c r="Q448" s="68" t="n">
        <v>107</v>
      </c>
      <c r="R448" s="69" t="inlineStr">
        <is>
          <t>IO then Amort</t>
        </is>
      </c>
      <c r="S448" s="69" t="inlineStr">
        <is>
          <t>No</t>
        </is>
      </c>
      <c r="T448" s="73" t="n">
        <v>43009</v>
      </c>
      <c r="U448" s="73" t="n">
        <v>46666</v>
      </c>
      <c r="V448" s="73" t="n"/>
      <c r="W448" s="69" t="n"/>
      <c r="X448" s="69" t="inlineStr">
        <is>
          <t>Current</t>
        </is>
      </c>
      <c r="Y448" s="68" t="n"/>
      <c r="Z448" s="69" t="inlineStr">
        <is>
          <t>No Defeasance Occurred</t>
        </is>
      </c>
      <c r="AA448" s="69" t="n"/>
      <c r="AB448" s="69" t="inlineStr">
        <is>
          <t>Never special serv</t>
        </is>
      </c>
      <c r="AC448" s="73" t="n"/>
      <c r="AD448" s="69" t="n"/>
      <c r="AE448" s="69" t="n"/>
      <c r="AF448" s="69" t="inlineStr">
        <is>
          <t>CA</t>
        </is>
      </c>
      <c r="AG448" s="69" t="inlineStr">
        <is>
          <t>San Diego</t>
        </is>
      </c>
      <c r="AH448" s="69" t="inlineStr">
        <is>
          <t>San Diego-Chula Vista-Carlsbad, CA</t>
        </is>
      </c>
      <c r="AI448" s="69" t="inlineStr">
        <is>
          <t>West / Pacific South</t>
        </is>
      </c>
      <c r="AJ448" s="69" t="inlineStr">
        <is>
          <t>MX</t>
        </is>
      </c>
      <c r="AK448" s="69" t="inlineStr">
        <is>
          <t>Office/Retail</t>
        </is>
      </c>
      <c r="AL448" s="68" t="n">
        <v>1</v>
      </c>
      <c r="AM448" s="68" t="n"/>
      <c r="AN448" s="68" t="n">
        <v>77659</v>
      </c>
      <c r="AO448" s="69" t="inlineStr">
        <is>
          <t>1974</t>
        </is>
      </c>
      <c r="AP448" s="70" t="n">
        <v>2017</v>
      </c>
      <c r="AQ448" s="74" t="n">
        <v>1.4</v>
      </c>
      <c r="AR448" s="74" t="n">
        <v>1.1</v>
      </c>
      <c r="AS448" s="74" t="n">
        <v>60.7</v>
      </c>
      <c r="AT448" s="74" t="n">
        <v>54.48</v>
      </c>
      <c r="AU448" s="74" t="n">
        <v>53.1</v>
      </c>
      <c r="AV448" s="74" t="n">
        <v>8.517580391999999</v>
      </c>
      <c r="AW448" s="74" t="n">
        <v>10.06005176</v>
      </c>
      <c r="AX448" s="75" t="n">
        <v>76</v>
      </c>
      <c r="AY448" s="71" t="n">
        <v>42000000</v>
      </c>
      <c r="AZ448" s="71" t="n">
        <v>42000000</v>
      </c>
      <c r="BA448" s="71" t="n">
        <v>2171983</v>
      </c>
      <c r="BB448" s="71" t="n">
        <v>1708826.52</v>
      </c>
      <c r="BC448" s="69" t="inlineStr">
        <is>
          <t>Refinance</t>
        </is>
      </c>
      <c r="BD448" s="69" t="inlineStr">
        <is>
          <t>N</t>
        </is>
      </c>
      <c r="BE448" s="71" t="n">
        <v>9421776.710000001</v>
      </c>
      <c r="BF448" s="71" t="n"/>
      <c r="BG448" s="71" t="n"/>
      <c r="BH448" s="71" t="n">
        <v>0</v>
      </c>
      <c r="BI448" s="71" t="n">
        <v>0</v>
      </c>
      <c r="BJ448" s="69" t="inlineStr">
        <is>
          <t>N</t>
        </is>
      </c>
      <c r="BK448" s="69" t="inlineStr">
        <is>
          <t>Palomar Specialty Insurance Co.</t>
        </is>
      </c>
      <c r="BL448" s="75" t="n">
        <v>18.78</v>
      </c>
      <c r="BM448" s="73" t="n">
        <v>49156</v>
      </c>
      <c r="BN448" s="69" t="inlineStr">
        <is>
          <t>Douglas F. Manchester</t>
        </is>
      </c>
      <c r="BO448" s="69" t="inlineStr">
        <is>
          <t>Cantor Commercial Real Estate Lending</t>
        </is>
      </c>
      <c r="BP448" s="69" t="inlineStr">
        <is>
          <t>Midland Loan Services</t>
        </is>
      </c>
      <c r="BQ448" s="69" t="inlineStr">
        <is>
          <t>K-Star Asset Management LLC</t>
        </is>
      </c>
      <c r="BR448" s="69" t="n"/>
      <c r="BS448" s="73" t="n">
        <v>46276</v>
      </c>
      <c r="BU448" s="76">
        <f>IF($C448="","",IFERROR(INDEX(dmName,MATCH($C448,dmID,0)),"Unmapped"))</f>
        <v/>
      </c>
      <c r="BV448" s="76">
        <f>IF($C448="","",IFERROR(INDEX(dmEntity,MATCH($C448,dmID,0)),"Unmapped"))</f>
        <v/>
      </c>
      <c r="BW448" s="77">
        <f>IF($C448="","",IFERROR(INDEX(dmVintage,MATCH($C448,dmID,0)),""))</f>
        <v/>
      </c>
      <c r="BX448" s="78">
        <f>IFERROR(INDEX(dmInclude,MATCH($C448,dmID,0)),0)</f>
        <v/>
      </c>
      <c r="BY448" s="78">
        <f>IF(N($I448)&gt;0,1,0)</f>
        <v/>
      </c>
      <c r="BZ448" s="76">
        <f>IF($AJ448="","Other / Leased Fee",IFERROR(INDEX(mapPTGroup,MATCH(LEFT(TRIM($AJ448),2),mapPTCode,0)),"Other / Leased Fee"))</f>
        <v/>
      </c>
      <c r="CA448" s="76">
        <f>IF(TRIM($AF448&amp;"")="","NR",LEFT(TRIM($AF448),2))</f>
        <v/>
      </c>
      <c r="CB448" s="76">
        <f>IFERROR(LOOKUP(2,1/(LEFT(TRIM($AI448&amp;""),LEN(mapRegion))=mapRegion),mapRegion),"Not Reported")</f>
        <v/>
      </c>
      <c r="CC448" s="76">
        <f>IF($BY448=0,"",IF(TRIM($W448&amp;"")="REO","REO",IF(TRIM($W448&amp;"")="FC","Foreclosure",IF(TRIM($W448&amp;"")="90+","90+ Days Delinquent",IF(TRIM($W448&amp;"")="60","60 Days Delinquent",IF(TRIM($W448&amp;"")="30","30 Days Delinquent",IF($X448="Non-Performing Matured Balloon","Non-Performing Matured Balloon",IF(OR($X448="Late Payment But Less Than 30 Days Delinquent",LEFT($X448&amp;"",20)="Payment Not Received"),"Late / In Grace (&lt;30 Days)",IF($X448="Performing Matured Balloon","Performing Matured Balloon","Current")))))))))</f>
        <v/>
      </c>
      <c r="CD448" s="78">
        <f>IF(OR($CC448="REO",$CC448="Foreclosure",$CC448="90+ Days Delinquent",$CC448="60 Days Delinquent",$CC448="30 Days Delinquent",$CC448="Non-Performing Matured Balloon"),1,0)</f>
        <v/>
      </c>
      <c r="CE448" s="76">
        <f>IF($AB448="Currently special serv","Currently Specially Serviced",IF($AB448="Returned to master serv","Previously Specially Serviced","Never Specially Serviced"))</f>
        <v/>
      </c>
      <c r="CF448" s="78">
        <f>IF($CE448="Currently Specially Serviced",1,0)</f>
        <v/>
      </c>
      <c r="CG448" s="76">
        <f>IF($AA448="Yes","Currently on Watchlist",IF($AA448="Previously","Previously on Watchlist","Never on Watchlist"))</f>
        <v/>
      </c>
      <c r="CH448" s="78">
        <f>IF($CG448="Currently on Watchlist",1,0)</f>
        <v/>
      </c>
      <c r="CI448" s="76">
        <f>IF($Z448="Full Defeasance","Fully Defeased",IF($Z448="Portion Of Loan Previously Defeased","Partially Defeased",IF($Z448="Defeasance Not Allowable","Not Defeased (Not Permitted)","Not Defeased")))</f>
        <v/>
      </c>
      <c r="CJ448" s="78">
        <f>IF($CI448="Fully Defeased",1,0)</f>
        <v/>
      </c>
      <c r="CK448" s="76">
        <f>IF($R448="IO","Full IO",IF(LEFT($R448&amp;"",7)="IO then","Partial IO","Amortizing"))</f>
        <v/>
      </c>
      <c r="CL448" s="78">
        <f>IF($CK448="Full IO",1,0)</f>
        <v/>
      </c>
      <c r="CM448" s="78">
        <f>IF($CK448="Partial IO",1,0)</f>
        <v/>
      </c>
      <c r="CN448" s="76">
        <f>IF(LEFT($F448&amp;"",10)="SPLIT_LOAN","Pari Passu Split","Standalone")</f>
        <v/>
      </c>
      <c r="CO448" s="78">
        <f>IF($CN448="Pari Passu Split",1,0)</f>
        <v/>
      </c>
      <c r="CP448" s="77">
        <f>IF(ISNUMBER($T448),YEAR($T448),"")</f>
        <v/>
      </c>
      <c r="CQ448" s="79">
        <f>IF(ISNUMBER($V448),$V448,IF(ISNUMBER($U448),$U448,""))</f>
        <v/>
      </c>
      <c r="CR448" s="77">
        <f>IF(ISNUMBER($CQ448),YEAR($CQ448),"")</f>
        <v/>
      </c>
      <c r="CS448" s="78">
        <f>IF(ISNUMBER($M448),MAX(0,$M448),IF(TRIM($M448&amp;"")="matured",0,""))</f>
        <v/>
      </c>
      <c r="CT448" s="78">
        <f>IF(AND(ISNUMBER($CS448),N($CS448)&lt;=mMatWindow),1,0)</f>
        <v/>
      </c>
      <c r="CU448" s="80">
        <f>IF(ISNUMBER($J448),$J448/100,"")</f>
        <v/>
      </c>
      <c r="CV448" s="81">
        <f>IF(ISNUMBER($AQ448),$AQ448,"")</f>
        <v/>
      </c>
      <c r="CW448" s="81">
        <f>IF(ISNUMBER($AR448),$AR448,"")</f>
        <v/>
      </c>
      <c r="CX448" s="82">
        <f>IF(ISNUMBER($AS448),$AS448/100,"")</f>
        <v/>
      </c>
      <c r="CY448" s="82">
        <f>IF(ISNUMBER($AT448),$AT448/100,"")</f>
        <v/>
      </c>
      <c r="CZ448" s="82">
        <f>IF(ISNUMBER($AU448),$AU448/100,"")</f>
        <v/>
      </c>
      <c r="DA448" s="82">
        <f>IF(ISNUMBER($AV448),$AV448/100,"")</f>
        <v/>
      </c>
      <c r="DB448" s="82">
        <f>IF(ISNUMBER($AW448),$AW448/100,"")</f>
        <v/>
      </c>
      <c r="DC448" s="82">
        <f>IF(ISNUMBER($AX448),$AX448/100,"")</f>
        <v/>
      </c>
      <c r="DD448" s="77">
        <f>IFERROR(VALUE(LEFT(TRIM($AO448&amp;""),4)),"")</f>
        <v/>
      </c>
      <c r="DE448" s="78">
        <f>IF(AND($BY448=1,$BX448=1,OR(fDeal="All Deals",$BU448=fDeal),OR(fEntity="All Entities",$BV448=fEntity),OR(fPType="All Property Types",$BZ448=fPType),OR(fDefeased="Include",$CJ448=0)),1,0)</f>
        <v/>
      </c>
      <c r="DF448" s="83">
        <f>$DE448*N($I448)</f>
        <v/>
      </c>
      <c r="DG448" s="78">
        <f>IF($DE448=1,IF(COUNTIFS($F$8:$F448,$F448,$DE$8:$DE448,1)=1,1,0),0)</f>
        <v/>
      </c>
      <c r="DH448" s="83">
        <f>IF($DG448=1,SUMIFS($DF$8:$DF$1600,$F$8:$F$1600,$F448),0)</f>
        <v/>
      </c>
      <c r="DI448" s="78">
        <f>IF($DG448=1,COUNTIFS($F$8:$F$1600,$F448,$DE$8:$DE$1600,1),0)</f>
        <v/>
      </c>
      <c r="DJ448" s="84">
        <f>IF($DG448=1,$DH448+(100000-ROW())/mTieBreak,0)</f>
        <v/>
      </c>
    </row>
    <row r="449">
      <c r="B449" s="68" t="n">
        <v>21</v>
      </c>
      <c r="C449" s="69" t="inlineStr">
        <is>
          <t>UBS17C05</t>
        </is>
      </c>
      <c r="D449" s="69" t="inlineStr">
        <is>
          <t>21.000</t>
        </is>
      </c>
      <c r="E449" s="69" t="inlineStr">
        <is>
          <t>Hyatt Regency Princeton</t>
        </is>
      </c>
      <c r="F449" s="69" t="inlineStr">
        <is>
          <t>SPLIT_LOAN_01121</t>
        </is>
      </c>
      <c r="G449" s="70" t="n">
        <v>1121</v>
      </c>
      <c r="H449" s="71" t="n">
        <v>15000000</v>
      </c>
      <c r="I449" s="71" t="n">
        <v>13971324.340005</v>
      </c>
      <c r="J449" s="72" t="n">
        <v>4.551</v>
      </c>
      <c r="K449" s="69" t="inlineStr">
        <is>
          <t>Fixed rate</t>
        </is>
      </c>
      <c r="L449" s="68" t="n">
        <v>120</v>
      </c>
      <c r="M449" s="68" t="n">
        <v>10</v>
      </c>
      <c r="N449" s="68" t="n">
        <v>420</v>
      </c>
      <c r="O449" s="68" t="n">
        <v>60</v>
      </c>
      <c r="P449" s="68" t="n">
        <v>0</v>
      </c>
      <c r="Q449" s="68" t="n">
        <v>110</v>
      </c>
      <c r="R449" s="69" t="inlineStr">
        <is>
          <t>IO then Amort</t>
        </is>
      </c>
      <c r="S449" s="69" t="inlineStr">
        <is>
          <t>No</t>
        </is>
      </c>
      <c r="T449" s="73" t="n">
        <v>42917</v>
      </c>
      <c r="U449" s="73" t="n">
        <v>46574</v>
      </c>
      <c r="V449" s="73" t="n"/>
      <c r="W449" s="69" t="n"/>
      <c r="X449" s="69" t="inlineStr">
        <is>
          <t>Current</t>
        </is>
      </c>
      <c r="Y449" s="68" t="n"/>
      <c r="Z449" s="69" t="inlineStr">
        <is>
          <t>No Defeasance Occurred</t>
        </is>
      </c>
      <c r="AA449" s="69" t="inlineStr">
        <is>
          <t>Yes</t>
        </is>
      </c>
      <c r="AB449" s="69" t="inlineStr">
        <is>
          <t>Never special serv</t>
        </is>
      </c>
      <c r="AC449" s="73" t="n"/>
      <c r="AD449" s="69" t="n"/>
      <c r="AE449" s="69" t="n"/>
      <c r="AF449" s="69" t="inlineStr">
        <is>
          <t>NJ</t>
        </is>
      </c>
      <c r="AG449" s="69" t="inlineStr">
        <is>
          <t>Princeton</t>
        </is>
      </c>
      <c r="AH449" s="69" t="inlineStr">
        <is>
          <t>Trenton-Princeton, NJ</t>
        </is>
      </c>
      <c r="AI449" s="69" t="inlineStr">
        <is>
          <t>Northeast / Mid-Atlantic</t>
        </is>
      </c>
      <c r="AJ449" s="69" t="inlineStr">
        <is>
          <t>HT</t>
        </is>
      </c>
      <c r="AK449" s="69" t="inlineStr">
        <is>
          <t>Full Service</t>
        </is>
      </c>
      <c r="AL449" s="68" t="n">
        <v>1</v>
      </c>
      <c r="AM449" s="68" t="n">
        <v>330</v>
      </c>
      <c r="AN449" s="68" t="n"/>
      <c r="AO449" s="69" t="inlineStr">
        <is>
          <t>1982</t>
        </is>
      </c>
      <c r="AP449" s="70" t="n">
        <v>2014</v>
      </c>
      <c r="AQ449" s="74" t="n">
        <v>1.88</v>
      </c>
      <c r="AR449" s="74" t="n">
        <v>1.27</v>
      </c>
      <c r="AS449" s="74" t="n">
        <v>68.8</v>
      </c>
      <c r="AT449" s="74" t="n">
        <v>64.04000000000001</v>
      </c>
      <c r="AU449" s="74" t="n">
        <v>63</v>
      </c>
      <c r="AV449" s="74" t="n">
        <v>11.491515152</v>
      </c>
      <c r="AW449" s="74" t="n">
        <v>8.334191121</v>
      </c>
      <c r="AX449" s="75" t="n">
        <v>59</v>
      </c>
      <c r="AY449" s="71" t="n">
        <v>48000000</v>
      </c>
      <c r="AZ449" s="71" t="n">
        <v>48000000</v>
      </c>
      <c r="BA449" s="71" t="n">
        <v>3792200</v>
      </c>
      <c r="BB449" s="71" t="n">
        <v>2561673.12</v>
      </c>
      <c r="BC449" s="69" t="inlineStr">
        <is>
          <t>Acquisition</t>
        </is>
      </c>
      <c r="BD449" s="69" t="inlineStr">
        <is>
          <t>N</t>
        </is>
      </c>
      <c r="BE449" s="71" t="n">
        <v>16765589.21</v>
      </c>
      <c r="BF449" s="71" t="n"/>
      <c r="BG449" s="71" t="n"/>
      <c r="BH449" s="71" t="n">
        <v>0</v>
      </c>
      <c r="BI449" s="71" t="n">
        <v>0</v>
      </c>
      <c r="BJ449" s="69" t="inlineStr">
        <is>
          <t>Y</t>
        </is>
      </c>
      <c r="BK449" s="69" t="n"/>
      <c r="BL449" s="75" t="n"/>
      <c r="BM449" s="73" t="n"/>
      <c r="BN449" s="69" t="inlineStr">
        <is>
          <t>Allan V. Rose</t>
        </is>
      </c>
      <c r="BO449" s="69" t="inlineStr">
        <is>
          <t>Cantor Commercial Real Estate Lending</t>
        </is>
      </c>
      <c r="BP449" s="69" t="inlineStr">
        <is>
          <t>Midland Loan Services</t>
        </is>
      </c>
      <c r="BQ449" s="69" t="inlineStr">
        <is>
          <t>Midland Loan Services</t>
        </is>
      </c>
      <c r="BR449" s="69" t="n"/>
      <c r="BS449" s="73" t="n">
        <v>46276</v>
      </c>
      <c r="BU449" s="76">
        <f>IF($C449="","",IFERROR(INDEX(dmName,MATCH($C449,dmID,0)),"Unmapped"))</f>
        <v/>
      </c>
      <c r="BV449" s="76">
        <f>IF($C449="","",IFERROR(INDEX(dmEntity,MATCH($C449,dmID,0)),"Unmapped"))</f>
        <v/>
      </c>
      <c r="BW449" s="77">
        <f>IF($C449="","",IFERROR(INDEX(dmVintage,MATCH($C449,dmID,0)),""))</f>
        <v/>
      </c>
      <c r="BX449" s="78">
        <f>IFERROR(INDEX(dmInclude,MATCH($C449,dmID,0)),0)</f>
        <v/>
      </c>
      <c r="BY449" s="78">
        <f>IF(N($I449)&gt;0,1,0)</f>
        <v/>
      </c>
      <c r="BZ449" s="76">
        <f>IF($AJ449="","Other / Leased Fee",IFERROR(INDEX(mapPTGroup,MATCH(LEFT(TRIM($AJ449),2),mapPTCode,0)),"Other / Leased Fee"))</f>
        <v/>
      </c>
      <c r="CA449" s="76">
        <f>IF(TRIM($AF449&amp;"")="","NR",LEFT(TRIM($AF449),2))</f>
        <v/>
      </c>
      <c r="CB449" s="76">
        <f>IFERROR(LOOKUP(2,1/(LEFT(TRIM($AI449&amp;""),LEN(mapRegion))=mapRegion),mapRegion),"Not Reported")</f>
        <v/>
      </c>
      <c r="CC449" s="76">
        <f>IF($BY449=0,"",IF(TRIM($W449&amp;"")="REO","REO",IF(TRIM($W449&amp;"")="FC","Foreclosure",IF(TRIM($W449&amp;"")="90+","90+ Days Delinquent",IF(TRIM($W449&amp;"")="60","60 Days Delinquent",IF(TRIM($W449&amp;"")="30","30 Days Delinquent",IF($X449="Non-Performing Matured Balloon","Non-Performing Matured Balloon",IF(OR($X449="Late Payment But Less Than 30 Days Delinquent",LEFT($X449&amp;"",20)="Payment Not Received"),"Late / In Grace (&lt;30 Days)",IF($X449="Performing Matured Balloon","Performing Matured Balloon","Current")))))))))</f>
        <v/>
      </c>
      <c r="CD449" s="78">
        <f>IF(OR($CC449="REO",$CC449="Foreclosure",$CC449="90+ Days Delinquent",$CC449="60 Days Delinquent",$CC449="30 Days Delinquent",$CC449="Non-Performing Matured Balloon"),1,0)</f>
        <v/>
      </c>
      <c r="CE449" s="76">
        <f>IF($AB449="Currently special serv","Currently Specially Serviced",IF($AB449="Returned to master serv","Previously Specially Serviced","Never Specially Serviced"))</f>
        <v/>
      </c>
      <c r="CF449" s="78">
        <f>IF($CE449="Currently Specially Serviced",1,0)</f>
        <v/>
      </c>
      <c r="CG449" s="76">
        <f>IF($AA449="Yes","Currently on Watchlist",IF($AA449="Previously","Previously on Watchlist","Never on Watchlist"))</f>
        <v/>
      </c>
      <c r="CH449" s="78">
        <f>IF($CG449="Currently on Watchlist",1,0)</f>
        <v/>
      </c>
      <c r="CI449" s="76">
        <f>IF($Z449="Full Defeasance","Fully Defeased",IF($Z449="Portion Of Loan Previously Defeased","Partially Defeased",IF($Z449="Defeasance Not Allowable","Not Defeased (Not Permitted)","Not Defeased")))</f>
        <v/>
      </c>
      <c r="CJ449" s="78">
        <f>IF($CI449="Fully Defeased",1,0)</f>
        <v/>
      </c>
      <c r="CK449" s="76">
        <f>IF($R449="IO","Full IO",IF(LEFT($R449&amp;"",7)="IO then","Partial IO","Amortizing"))</f>
        <v/>
      </c>
      <c r="CL449" s="78">
        <f>IF($CK449="Full IO",1,0)</f>
        <v/>
      </c>
      <c r="CM449" s="78">
        <f>IF($CK449="Partial IO",1,0)</f>
        <v/>
      </c>
      <c r="CN449" s="76">
        <f>IF(LEFT($F449&amp;"",10)="SPLIT_LOAN","Pari Passu Split","Standalone")</f>
        <v/>
      </c>
      <c r="CO449" s="78">
        <f>IF($CN449="Pari Passu Split",1,0)</f>
        <v/>
      </c>
      <c r="CP449" s="77">
        <f>IF(ISNUMBER($T449),YEAR($T449),"")</f>
        <v/>
      </c>
      <c r="CQ449" s="79">
        <f>IF(ISNUMBER($V449),$V449,IF(ISNUMBER($U449),$U449,""))</f>
        <v/>
      </c>
      <c r="CR449" s="77">
        <f>IF(ISNUMBER($CQ449),YEAR($CQ449),"")</f>
        <v/>
      </c>
      <c r="CS449" s="78">
        <f>IF(ISNUMBER($M449),MAX(0,$M449),IF(TRIM($M449&amp;"")="matured",0,""))</f>
        <v/>
      </c>
      <c r="CT449" s="78">
        <f>IF(AND(ISNUMBER($CS449),N($CS449)&lt;=mMatWindow),1,0)</f>
        <v/>
      </c>
      <c r="CU449" s="80">
        <f>IF(ISNUMBER($J449),$J449/100,"")</f>
        <v/>
      </c>
      <c r="CV449" s="81">
        <f>IF(ISNUMBER($AQ449),$AQ449,"")</f>
        <v/>
      </c>
      <c r="CW449" s="81">
        <f>IF(ISNUMBER($AR449),$AR449,"")</f>
        <v/>
      </c>
      <c r="CX449" s="82">
        <f>IF(ISNUMBER($AS449),$AS449/100,"")</f>
        <v/>
      </c>
      <c r="CY449" s="82">
        <f>IF(ISNUMBER($AT449),$AT449/100,"")</f>
        <v/>
      </c>
      <c r="CZ449" s="82">
        <f>IF(ISNUMBER($AU449),$AU449/100,"")</f>
        <v/>
      </c>
      <c r="DA449" s="82">
        <f>IF(ISNUMBER($AV449),$AV449/100,"")</f>
        <v/>
      </c>
      <c r="DB449" s="82">
        <f>IF(ISNUMBER($AW449),$AW449/100,"")</f>
        <v/>
      </c>
      <c r="DC449" s="82">
        <f>IF(ISNUMBER($AX449),$AX449/100,"")</f>
        <v/>
      </c>
      <c r="DD449" s="77">
        <f>IFERROR(VALUE(LEFT(TRIM($AO449&amp;""),4)),"")</f>
        <v/>
      </c>
      <c r="DE449" s="78">
        <f>IF(AND($BY449=1,$BX449=1,OR(fDeal="All Deals",$BU449=fDeal),OR(fEntity="All Entities",$BV449=fEntity),OR(fPType="All Property Types",$BZ449=fPType),OR(fDefeased="Include",$CJ449=0)),1,0)</f>
        <v/>
      </c>
      <c r="DF449" s="83">
        <f>$DE449*N($I449)</f>
        <v/>
      </c>
      <c r="DG449" s="78">
        <f>IF($DE449=1,IF(COUNTIFS($F$8:$F449,$F449,$DE$8:$DE449,1)=1,1,0),0)</f>
        <v/>
      </c>
      <c r="DH449" s="83">
        <f>IF($DG449=1,SUMIFS($DF$8:$DF$1600,$F$8:$F$1600,$F449),0)</f>
        <v/>
      </c>
      <c r="DI449" s="78">
        <f>IF($DG449=1,COUNTIFS($F$8:$F$1600,$F449,$DE$8:$DE$1600,1),0)</f>
        <v/>
      </c>
      <c r="DJ449" s="84">
        <f>IF($DG449=1,$DH449+(100000-ROW())/mTieBreak,0)</f>
        <v/>
      </c>
    </row>
    <row r="450">
      <c r="B450" s="68" t="n">
        <v>22</v>
      </c>
      <c r="C450" s="69" t="inlineStr">
        <is>
          <t>UBS17C05</t>
        </is>
      </c>
      <c r="D450" s="69" t="inlineStr">
        <is>
          <t>22.000</t>
        </is>
      </c>
      <c r="E450" s="69" t="inlineStr">
        <is>
          <t>At Home Portfolio</t>
        </is>
      </c>
      <c r="F450" s="69" t="inlineStr">
        <is>
          <t>SPLIT_LOAN_01122</t>
        </is>
      </c>
      <c r="G450" s="70" t="n">
        <v>1122</v>
      </c>
      <c r="H450" s="71" t="n">
        <v>15000000</v>
      </c>
      <c r="I450" s="71" t="n">
        <v>12474994.429995</v>
      </c>
      <c r="J450" s="72" t="n">
        <v>4.4192</v>
      </c>
      <c r="K450" s="69" t="inlineStr">
        <is>
          <t>Fixed rate</t>
        </is>
      </c>
      <c r="L450" s="68" t="n">
        <v>120</v>
      </c>
      <c r="M450" s="68" t="n">
        <v>13</v>
      </c>
      <c r="N450" s="68" t="n">
        <v>360</v>
      </c>
      <c r="O450" s="68" t="n"/>
      <c r="P450" s="68" t="n"/>
      <c r="Q450" s="68" t="n">
        <v>107</v>
      </c>
      <c r="R450" s="69" t="n"/>
      <c r="S450" s="69" t="inlineStr">
        <is>
          <t>No</t>
        </is>
      </c>
      <c r="T450" s="73" t="n">
        <v>43009</v>
      </c>
      <c r="U450" s="73" t="n">
        <v>46666</v>
      </c>
      <c r="V450" s="73" t="n"/>
      <c r="W450" s="69" t="n"/>
      <c r="X450" s="69" t="inlineStr">
        <is>
          <t>Current</t>
        </is>
      </c>
      <c r="Y450" s="68" t="n"/>
      <c r="Z450" s="69" t="inlineStr">
        <is>
          <t>Defeasance Not Allowable</t>
        </is>
      </c>
      <c r="AA450" s="69" t="inlineStr">
        <is>
          <t>Previously</t>
        </is>
      </c>
      <c r="AB450" s="69" t="inlineStr">
        <is>
          <t>Never special serv</t>
        </is>
      </c>
      <c r="AC450" s="73" t="n"/>
      <c r="AD450" s="69" t="n"/>
      <c r="AE450" s="69" t="n"/>
      <c r="AF450" s="69" t="inlineStr">
        <is>
          <t>KS-27.785698120% FL-23.519291803% OK-16.367658944% LA-16.261978897% AL-16.065372236%</t>
        </is>
      </c>
      <c r="AG450" s="69" t="n"/>
      <c r="AH450" s="69" t="inlineStr">
        <is>
          <t>Jacksonville, FL-23.519291803% Oklahoma City, OK-16.367658944% Lafayette, LA-16.261978897% Birmingham, AL-16.065372236% Wichita, KS-13.922339053% Kansas City, MO-KS-13.863359067%</t>
        </is>
      </c>
      <c r="AI450" s="69" t="inlineStr">
        <is>
          <t>South / Central West-32.629637842% Midwest / Central West-27.785698120% South / Atlantic-23.519291803% South / Central East-16.065372236%</t>
        </is>
      </c>
      <c r="AJ450" s="69" t="inlineStr">
        <is>
          <t>RT</t>
        </is>
      </c>
      <c r="AK450" s="69" t="inlineStr">
        <is>
          <t>Single Tenant</t>
        </is>
      </c>
      <c r="AL450" s="68" t="n">
        <v>6</v>
      </c>
      <c r="AM450" s="68" t="n"/>
      <c r="AN450" s="68" t="n">
        <v>704529</v>
      </c>
      <c r="AO450" s="69" t="n"/>
      <c r="AP450" s="70" t="n">
        <v>2016</v>
      </c>
      <c r="AQ450" s="74" t="n">
        <v>1.5</v>
      </c>
      <c r="AR450" s="74" t="n">
        <v>1.85</v>
      </c>
      <c r="AS450" s="74" t="n">
        <v>61.7</v>
      </c>
      <c r="AT450" s="74" t="n">
        <v>51.38</v>
      </c>
      <c r="AU450" s="74" t="n">
        <v>49.8</v>
      </c>
      <c r="AV450" s="74" t="n">
        <v>9.051413124</v>
      </c>
      <c r="AW450" s="74" t="n">
        <v>13.420164568</v>
      </c>
      <c r="AX450" s="75" t="n">
        <v>100</v>
      </c>
      <c r="AY450" s="71" t="n">
        <v>65860000</v>
      </c>
      <c r="AZ450" s="71" t="n">
        <v>65860000</v>
      </c>
      <c r="BA450" s="71" t="n">
        <v>3683020</v>
      </c>
      <c r="BB450" s="71" t="n">
        <v>4521802</v>
      </c>
      <c r="BC450" s="69" t="inlineStr">
        <is>
          <t>Acquisition</t>
        </is>
      </c>
      <c r="BD450" s="69" t="inlineStr">
        <is>
          <t>N</t>
        </is>
      </c>
      <c r="BE450" s="71" t="n">
        <v>21365507.13</v>
      </c>
      <c r="BF450" s="71" t="n"/>
      <c r="BG450" s="71" t="n"/>
      <c r="BH450" s="71" t="n">
        <v>0</v>
      </c>
      <c r="BI450" s="71" t="n">
        <v>0</v>
      </c>
      <c r="BJ450" s="69" t="inlineStr">
        <is>
          <t>N</t>
        </is>
      </c>
      <c r="BK450" s="69" t="inlineStr">
        <is>
          <t>Moore OK</t>
        </is>
      </c>
      <c r="BL450" s="75" t="n">
        <v>100</v>
      </c>
      <c r="BM450" s="73" t="n">
        <v>48487</v>
      </c>
      <c r="BN450" s="69" t="inlineStr">
        <is>
          <t>LCN North American Fund II REIT</t>
        </is>
      </c>
      <c r="BO450" s="69" t="inlineStr">
        <is>
          <t>UBS</t>
        </is>
      </c>
      <c r="BP450" s="69" t="inlineStr">
        <is>
          <t>Midland Loan Services</t>
        </is>
      </c>
      <c r="BQ450" s="69" t="inlineStr">
        <is>
          <t>Midland Loan Services</t>
        </is>
      </c>
      <c r="BR450" s="69" t="n"/>
      <c r="BS450" s="73" t="n">
        <v>46276</v>
      </c>
      <c r="BU450" s="76">
        <f>IF($C450="","",IFERROR(INDEX(dmName,MATCH($C450,dmID,0)),"Unmapped"))</f>
        <v/>
      </c>
      <c r="BV450" s="76">
        <f>IF($C450="","",IFERROR(INDEX(dmEntity,MATCH($C450,dmID,0)),"Unmapped"))</f>
        <v/>
      </c>
      <c r="BW450" s="77">
        <f>IF($C450="","",IFERROR(INDEX(dmVintage,MATCH($C450,dmID,0)),""))</f>
        <v/>
      </c>
      <c r="BX450" s="78">
        <f>IFERROR(INDEX(dmInclude,MATCH($C450,dmID,0)),0)</f>
        <v/>
      </c>
      <c r="BY450" s="78">
        <f>IF(N($I450)&gt;0,1,0)</f>
        <v/>
      </c>
      <c r="BZ450" s="76">
        <f>IF($AJ450="","Other / Leased Fee",IFERROR(INDEX(mapPTGroup,MATCH(LEFT(TRIM($AJ450),2),mapPTCode,0)),"Other / Leased Fee"))</f>
        <v/>
      </c>
      <c r="CA450" s="76">
        <f>IF(TRIM($AF450&amp;"")="","NR",LEFT(TRIM($AF450),2))</f>
        <v/>
      </c>
      <c r="CB450" s="76">
        <f>IFERROR(LOOKUP(2,1/(LEFT(TRIM($AI450&amp;""),LEN(mapRegion))=mapRegion),mapRegion),"Not Reported")</f>
        <v/>
      </c>
      <c r="CC450" s="76">
        <f>IF($BY450=0,"",IF(TRIM($W450&amp;"")="REO","REO",IF(TRIM($W450&amp;"")="FC","Foreclosure",IF(TRIM($W450&amp;"")="90+","90+ Days Delinquent",IF(TRIM($W450&amp;"")="60","60 Days Delinquent",IF(TRIM($W450&amp;"")="30","30 Days Delinquent",IF($X450="Non-Performing Matured Balloon","Non-Performing Matured Balloon",IF(OR($X450="Late Payment But Less Than 30 Days Delinquent",LEFT($X450&amp;"",20)="Payment Not Received"),"Late / In Grace (&lt;30 Days)",IF($X450="Performing Matured Balloon","Performing Matured Balloon","Current")))))))))</f>
        <v/>
      </c>
      <c r="CD450" s="78">
        <f>IF(OR($CC450="REO",$CC450="Foreclosure",$CC450="90+ Days Delinquent",$CC450="60 Days Delinquent",$CC450="30 Days Delinquent",$CC450="Non-Performing Matured Balloon"),1,0)</f>
        <v/>
      </c>
      <c r="CE450" s="76">
        <f>IF($AB450="Currently special serv","Currently Specially Serviced",IF($AB450="Returned to master serv","Previously Specially Serviced","Never Specially Serviced"))</f>
        <v/>
      </c>
      <c r="CF450" s="78">
        <f>IF($CE450="Currently Specially Serviced",1,0)</f>
        <v/>
      </c>
      <c r="CG450" s="76">
        <f>IF($AA450="Yes","Currently on Watchlist",IF($AA450="Previously","Previously on Watchlist","Never on Watchlist"))</f>
        <v/>
      </c>
      <c r="CH450" s="78">
        <f>IF($CG450="Currently on Watchlist",1,0)</f>
        <v/>
      </c>
      <c r="CI450" s="76">
        <f>IF($Z450="Full Defeasance","Fully Defeased",IF($Z450="Portion Of Loan Previously Defeased","Partially Defeased",IF($Z450="Defeasance Not Allowable","Not Defeased (Not Permitted)","Not Defeased")))</f>
        <v/>
      </c>
      <c r="CJ450" s="78">
        <f>IF($CI450="Fully Defeased",1,0)</f>
        <v/>
      </c>
      <c r="CK450" s="76">
        <f>IF($R450="IO","Full IO",IF(LEFT($R450&amp;"",7)="IO then","Partial IO","Amortizing"))</f>
        <v/>
      </c>
      <c r="CL450" s="78">
        <f>IF($CK450="Full IO",1,0)</f>
        <v/>
      </c>
      <c r="CM450" s="78">
        <f>IF($CK450="Partial IO",1,0)</f>
        <v/>
      </c>
      <c r="CN450" s="76">
        <f>IF(LEFT($F450&amp;"",10)="SPLIT_LOAN","Pari Passu Split","Standalone")</f>
        <v/>
      </c>
      <c r="CO450" s="78">
        <f>IF($CN450="Pari Passu Split",1,0)</f>
        <v/>
      </c>
      <c r="CP450" s="77">
        <f>IF(ISNUMBER($T450),YEAR($T450),"")</f>
        <v/>
      </c>
      <c r="CQ450" s="79">
        <f>IF(ISNUMBER($V450),$V450,IF(ISNUMBER($U450),$U450,""))</f>
        <v/>
      </c>
      <c r="CR450" s="77">
        <f>IF(ISNUMBER($CQ450),YEAR($CQ450),"")</f>
        <v/>
      </c>
      <c r="CS450" s="78">
        <f>IF(ISNUMBER($M450),MAX(0,$M450),IF(TRIM($M450&amp;"")="matured",0,""))</f>
        <v/>
      </c>
      <c r="CT450" s="78">
        <f>IF(AND(ISNUMBER($CS450),N($CS450)&lt;=mMatWindow),1,0)</f>
        <v/>
      </c>
      <c r="CU450" s="80">
        <f>IF(ISNUMBER($J450),$J450/100,"")</f>
        <v/>
      </c>
      <c r="CV450" s="81">
        <f>IF(ISNUMBER($AQ450),$AQ450,"")</f>
        <v/>
      </c>
      <c r="CW450" s="81">
        <f>IF(ISNUMBER($AR450),$AR450,"")</f>
        <v/>
      </c>
      <c r="CX450" s="82">
        <f>IF(ISNUMBER($AS450),$AS450/100,"")</f>
        <v/>
      </c>
      <c r="CY450" s="82">
        <f>IF(ISNUMBER($AT450),$AT450/100,"")</f>
        <v/>
      </c>
      <c r="CZ450" s="82">
        <f>IF(ISNUMBER($AU450),$AU450/100,"")</f>
        <v/>
      </c>
      <c r="DA450" s="82">
        <f>IF(ISNUMBER($AV450),$AV450/100,"")</f>
        <v/>
      </c>
      <c r="DB450" s="82">
        <f>IF(ISNUMBER($AW450),$AW450/100,"")</f>
        <v/>
      </c>
      <c r="DC450" s="82">
        <f>IF(ISNUMBER($AX450),$AX450/100,"")</f>
        <v/>
      </c>
      <c r="DD450" s="77">
        <f>IFERROR(VALUE(LEFT(TRIM($AO450&amp;""),4)),"")</f>
        <v/>
      </c>
      <c r="DE450" s="78">
        <f>IF(AND($BY450=1,$BX450=1,OR(fDeal="All Deals",$BU450=fDeal),OR(fEntity="All Entities",$BV450=fEntity),OR(fPType="All Property Types",$BZ450=fPType),OR(fDefeased="Include",$CJ450=0)),1,0)</f>
        <v/>
      </c>
      <c r="DF450" s="83">
        <f>$DE450*N($I450)</f>
        <v/>
      </c>
      <c r="DG450" s="78">
        <f>IF($DE450=1,IF(COUNTIFS($F$8:$F450,$F450,$DE$8:$DE450,1)=1,1,0),0)</f>
        <v/>
      </c>
      <c r="DH450" s="83">
        <f>IF($DG450=1,SUMIFS($DF$8:$DF$1600,$F$8:$F$1600,$F450),0)</f>
        <v/>
      </c>
      <c r="DI450" s="78">
        <f>IF($DG450=1,COUNTIFS($F$8:$F$1600,$F450,$DE$8:$DE$1600,1),0)</f>
        <v/>
      </c>
      <c r="DJ450" s="84">
        <f>IF($DG450=1,$DH450+(100000-ROW())/mTieBreak,0)</f>
        <v/>
      </c>
    </row>
    <row r="451">
      <c r="B451" s="68" t="n">
        <v>23</v>
      </c>
      <c r="C451" s="69" t="inlineStr">
        <is>
          <t>UBS17C05</t>
        </is>
      </c>
      <c r="D451" s="69" t="inlineStr">
        <is>
          <t>23.000</t>
        </is>
      </c>
      <c r="E451" s="69" t="inlineStr">
        <is>
          <t>The District</t>
        </is>
      </c>
      <c r="F451" s="69" t="inlineStr">
        <is>
          <t>SPLIT_LOAN_01073</t>
        </is>
      </c>
      <c r="G451" s="70" t="n">
        <v>1073</v>
      </c>
      <c r="H451" s="71" t="n">
        <v>15000000</v>
      </c>
      <c r="I451" s="71" t="n">
        <v>12482007.39</v>
      </c>
      <c r="J451" s="72" t="n">
        <v>4.5862</v>
      </c>
      <c r="K451" s="69" t="inlineStr">
        <is>
          <t>Fixed rate</t>
        </is>
      </c>
      <c r="L451" s="68" t="n">
        <v>120</v>
      </c>
      <c r="M451" s="68" t="n">
        <v>11</v>
      </c>
      <c r="N451" s="68" t="n">
        <v>360</v>
      </c>
      <c r="O451" s="68" t="n"/>
      <c r="P451" s="68" t="n"/>
      <c r="Q451" s="68" t="n">
        <v>109</v>
      </c>
      <c r="R451" s="69" t="n"/>
      <c r="S451" s="69" t="inlineStr">
        <is>
          <t>No</t>
        </is>
      </c>
      <c r="T451" s="73" t="n">
        <v>42948</v>
      </c>
      <c r="U451" s="73" t="n">
        <v>46605</v>
      </c>
      <c r="V451" s="73" t="n"/>
      <c r="W451" s="69" t="n"/>
      <c r="X451" s="69" t="inlineStr">
        <is>
          <t>Current</t>
        </is>
      </c>
      <c r="Y451" s="68" t="n"/>
      <c r="Z451" s="69" t="inlineStr">
        <is>
          <t>No Defeasance Occurred</t>
        </is>
      </c>
      <c r="AA451" s="69" t="inlineStr">
        <is>
          <t>Previously</t>
        </is>
      </c>
      <c r="AB451" s="69" t="inlineStr">
        <is>
          <t>Never special serv</t>
        </is>
      </c>
      <c r="AC451" s="73" t="n"/>
      <c r="AD451" s="69" t="n"/>
      <c r="AE451" s="69" t="n"/>
      <c r="AF451" s="69" t="inlineStr">
        <is>
          <t>UT</t>
        </is>
      </c>
      <c r="AG451" s="69" t="inlineStr">
        <is>
          <t>South Jordan</t>
        </is>
      </c>
      <c r="AH451" s="69" t="inlineStr">
        <is>
          <t>Salt Lake City-Murray, UT</t>
        </is>
      </c>
      <c r="AI451" s="69" t="inlineStr">
        <is>
          <t>West / Mountain</t>
        </is>
      </c>
      <c r="AJ451" s="69" t="inlineStr">
        <is>
          <t>RT</t>
        </is>
      </c>
      <c r="AK451" s="69" t="inlineStr">
        <is>
          <t>Anchored</t>
        </is>
      </c>
      <c r="AL451" s="68" t="n">
        <v>1</v>
      </c>
      <c r="AM451" s="68" t="n"/>
      <c r="AN451" s="68" t="n">
        <v>612102</v>
      </c>
      <c r="AO451" s="69" t="inlineStr">
        <is>
          <t>2006-2014</t>
        </is>
      </c>
      <c r="AP451" s="70" t="n">
        <v>2014</v>
      </c>
      <c r="AQ451" s="74" t="n">
        <v>1.34</v>
      </c>
      <c r="AR451" s="74" t="n">
        <v>4.18</v>
      </c>
      <c r="AS451" s="74" t="n">
        <v>61.3</v>
      </c>
      <c r="AT451" s="74" t="n">
        <v>51.21</v>
      </c>
      <c r="AU451" s="74" t="n">
        <v>49.9</v>
      </c>
      <c r="AV451" s="74" t="n">
        <v>8.250658749999999</v>
      </c>
      <c r="AW451" s="74" t="n">
        <v>9.6379149</v>
      </c>
      <c r="AX451" s="75" t="n">
        <v>95</v>
      </c>
      <c r="AY451" s="71" t="n">
        <v>130000000</v>
      </c>
      <c r="AZ451" s="71" t="n">
        <v>130000000</v>
      </c>
      <c r="BA451" s="71" t="n">
        <v>6600527</v>
      </c>
      <c r="BB451" s="71" t="n">
        <v>6416028</v>
      </c>
      <c r="BC451" s="69" t="inlineStr">
        <is>
          <t>Refinance</t>
        </is>
      </c>
      <c r="BD451" s="69" t="inlineStr">
        <is>
          <t>N</t>
        </is>
      </c>
      <c r="BE451" s="71" t="n">
        <v>54088698.69</v>
      </c>
      <c r="BF451" s="71" t="n"/>
      <c r="BG451" s="71" t="n"/>
      <c r="BH451" s="71" t="n">
        <v>0</v>
      </c>
      <c r="BI451" s="71" t="n">
        <v>0</v>
      </c>
      <c r="BJ451" s="69" t="inlineStr">
        <is>
          <t>N</t>
        </is>
      </c>
      <c r="BK451" s="69" t="inlineStr">
        <is>
          <t>MEGA PLEX THEATRES/MILLER</t>
        </is>
      </c>
      <c r="BL451" s="75" t="n">
        <v>16.94</v>
      </c>
      <c r="BM451" s="73" t="n">
        <v>38856</v>
      </c>
      <c r="BN451" s="69" t="inlineStr">
        <is>
          <t>The Boyer Company, L.C.; Gardner Property Holdings, L.C.; Arbor Commercial Real Estate L.L.C.</t>
        </is>
      </c>
      <c r="BO451" s="69" t="inlineStr">
        <is>
          <t>UBS</t>
        </is>
      </c>
      <c r="BP451" s="69" t="inlineStr">
        <is>
          <t>Midland Loan Services</t>
        </is>
      </c>
      <c r="BQ451" s="69" t="inlineStr">
        <is>
          <t>Rialto Capital</t>
        </is>
      </c>
      <c r="BR451" s="69" t="n"/>
      <c r="BS451" s="73" t="n">
        <v>46276</v>
      </c>
      <c r="BU451" s="76">
        <f>IF($C451="","",IFERROR(INDEX(dmName,MATCH($C451,dmID,0)),"Unmapped"))</f>
        <v/>
      </c>
      <c r="BV451" s="76">
        <f>IF($C451="","",IFERROR(INDEX(dmEntity,MATCH($C451,dmID,0)),"Unmapped"))</f>
        <v/>
      </c>
      <c r="BW451" s="77">
        <f>IF($C451="","",IFERROR(INDEX(dmVintage,MATCH($C451,dmID,0)),""))</f>
        <v/>
      </c>
      <c r="BX451" s="78">
        <f>IFERROR(INDEX(dmInclude,MATCH($C451,dmID,0)),0)</f>
        <v/>
      </c>
      <c r="BY451" s="78">
        <f>IF(N($I451)&gt;0,1,0)</f>
        <v/>
      </c>
      <c r="BZ451" s="76">
        <f>IF($AJ451="","Other / Leased Fee",IFERROR(INDEX(mapPTGroup,MATCH(LEFT(TRIM($AJ451),2),mapPTCode,0)),"Other / Leased Fee"))</f>
        <v/>
      </c>
      <c r="CA451" s="76">
        <f>IF(TRIM($AF451&amp;"")="","NR",LEFT(TRIM($AF451),2))</f>
        <v/>
      </c>
      <c r="CB451" s="76">
        <f>IFERROR(LOOKUP(2,1/(LEFT(TRIM($AI451&amp;""),LEN(mapRegion))=mapRegion),mapRegion),"Not Reported")</f>
        <v/>
      </c>
      <c r="CC451" s="76">
        <f>IF($BY451=0,"",IF(TRIM($W451&amp;"")="REO","REO",IF(TRIM($W451&amp;"")="FC","Foreclosure",IF(TRIM($W451&amp;"")="90+","90+ Days Delinquent",IF(TRIM($W451&amp;"")="60","60 Days Delinquent",IF(TRIM($W451&amp;"")="30","30 Days Delinquent",IF($X451="Non-Performing Matured Balloon","Non-Performing Matured Balloon",IF(OR($X451="Late Payment But Less Than 30 Days Delinquent",LEFT($X451&amp;"",20)="Payment Not Received"),"Late / In Grace (&lt;30 Days)",IF($X451="Performing Matured Balloon","Performing Matured Balloon","Current")))))))))</f>
        <v/>
      </c>
      <c r="CD451" s="78">
        <f>IF(OR($CC451="REO",$CC451="Foreclosure",$CC451="90+ Days Delinquent",$CC451="60 Days Delinquent",$CC451="30 Days Delinquent",$CC451="Non-Performing Matured Balloon"),1,0)</f>
        <v/>
      </c>
      <c r="CE451" s="76">
        <f>IF($AB451="Currently special serv","Currently Specially Serviced",IF($AB451="Returned to master serv","Previously Specially Serviced","Never Specially Serviced"))</f>
        <v/>
      </c>
      <c r="CF451" s="78">
        <f>IF($CE451="Currently Specially Serviced",1,0)</f>
        <v/>
      </c>
      <c r="CG451" s="76">
        <f>IF($AA451="Yes","Currently on Watchlist",IF($AA451="Previously","Previously on Watchlist","Never on Watchlist"))</f>
        <v/>
      </c>
      <c r="CH451" s="78">
        <f>IF($CG451="Currently on Watchlist",1,0)</f>
        <v/>
      </c>
      <c r="CI451" s="76">
        <f>IF($Z451="Full Defeasance","Fully Defeased",IF($Z451="Portion Of Loan Previously Defeased","Partially Defeased",IF($Z451="Defeasance Not Allowable","Not Defeased (Not Permitted)","Not Defeased")))</f>
        <v/>
      </c>
      <c r="CJ451" s="78">
        <f>IF($CI451="Fully Defeased",1,0)</f>
        <v/>
      </c>
      <c r="CK451" s="76">
        <f>IF($R451="IO","Full IO",IF(LEFT($R451&amp;"",7)="IO then","Partial IO","Amortizing"))</f>
        <v/>
      </c>
      <c r="CL451" s="78">
        <f>IF($CK451="Full IO",1,0)</f>
        <v/>
      </c>
      <c r="CM451" s="78">
        <f>IF($CK451="Partial IO",1,0)</f>
        <v/>
      </c>
      <c r="CN451" s="76">
        <f>IF(LEFT($F451&amp;"",10)="SPLIT_LOAN","Pari Passu Split","Standalone")</f>
        <v/>
      </c>
      <c r="CO451" s="78">
        <f>IF($CN451="Pari Passu Split",1,0)</f>
        <v/>
      </c>
      <c r="CP451" s="77">
        <f>IF(ISNUMBER($T451),YEAR($T451),"")</f>
        <v/>
      </c>
      <c r="CQ451" s="79">
        <f>IF(ISNUMBER($V451),$V451,IF(ISNUMBER($U451),$U451,""))</f>
        <v/>
      </c>
      <c r="CR451" s="77">
        <f>IF(ISNUMBER($CQ451),YEAR($CQ451),"")</f>
        <v/>
      </c>
      <c r="CS451" s="78">
        <f>IF(ISNUMBER($M451),MAX(0,$M451),IF(TRIM($M451&amp;"")="matured",0,""))</f>
        <v/>
      </c>
      <c r="CT451" s="78">
        <f>IF(AND(ISNUMBER($CS451),N($CS451)&lt;=mMatWindow),1,0)</f>
        <v/>
      </c>
      <c r="CU451" s="80">
        <f>IF(ISNUMBER($J451),$J451/100,"")</f>
        <v/>
      </c>
      <c r="CV451" s="81">
        <f>IF(ISNUMBER($AQ451),$AQ451,"")</f>
        <v/>
      </c>
      <c r="CW451" s="81">
        <f>IF(ISNUMBER($AR451),$AR451,"")</f>
        <v/>
      </c>
      <c r="CX451" s="82">
        <f>IF(ISNUMBER($AS451),$AS451/100,"")</f>
        <v/>
      </c>
      <c r="CY451" s="82">
        <f>IF(ISNUMBER($AT451),$AT451/100,"")</f>
        <v/>
      </c>
      <c r="CZ451" s="82">
        <f>IF(ISNUMBER($AU451),$AU451/100,"")</f>
        <v/>
      </c>
      <c r="DA451" s="82">
        <f>IF(ISNUMBER($AV451),$AV451/100,"")</f>
        <v/>
      </c>
      <c r="DB451" s="82">
        <f>IF(ISNUMBER($AW451),$AW451/100,"")</f>
        <v/>
      </c>
      <c r="DC451" s="82">
        <f>IF(ISNUMBER($AX451),$AX451/100,"")</f>
        <v/>
      </c>
      <c r="DD451" s="77">
        <f>IFERROR(VALUE(LEFT(TRIM($AO451&amp;""),4)),"")</f>
        <v/>
      </c>
      <c r="DE451" s="78">
        <f>IF(AND($BY451=1,$BX451=1,OR(fDeal="All Deals",$BU451=fDeal),OR(fEntity="All Entities",$BV451=fEntity),OR(fPType="All Property Types",$BZ451=fPType),OR(fDefeased="Include",$CJ451=0)),1,0)</f>
        <v/>
      </c>
      <c r="DF451" s="83">
        <f>$DE451*N($I451)</f>
        <v/>
      </c>
      <c r="DG451" s="78">
        <f>IF($DE451=1,IF(COUNTIFS($F$8:$F451,$F451,$DE$8:$DE451,1)=1,1,0),0)</f>
        <v/>
      </c>
      <c r="DH451" s="83">
        <f>IF($DG451=1,SUMIFS($DF$8:$DF$1600,$F$8:$F$1600,$F451),0)</f>
        <v/>
      </c>
      <c r="DI451" s="78">
        <f>IF($DG451=1,COUNTIFS($F$8:$F$1600,$F451,$DE$8:$DE$1600,1),0)</f>
        <v/>
      </c>
      <c r="DJ451" s="84">
        <f>IF($DG451=1,$DH451+(100000-ROW())/mTieBreak,0)</f>
        <v/>
      </c>
    </row>
    <row r="452">
      <c r="B452" s="68" t="n">
        <v>24</v>
      </c>
      <c r="C452" s="69" t="inlineStr">
        <is>
          <t>UBS17C05</t>
        </is>
      </c>
      <c r="D452" s="69" t="inlineStr">
        <is>
          <t>24.000</t>
        </is>
      </c>
      <c r="E452" s="69" t="inlineStr">
        <is>
          <t>Atrisco Plaza Shopping Center</t>
        </is>
      </c>
      <c r="F452" s="69" t="inlineStr">
        <is>
          <t>SPLIT_LOAN_01094</t>
        </is>
      </c>
      <c r="G452" s="70" t="n">
        <v>1094</v>
      </c>
      <c r="H452" s="71" t="n">
        <v>14750000</v>
      </c>
      <c r="I452" s="71" t="n">
        <v>12881354.64999975</v>
      </c>
      <c r="J452" s="72" t="n">
        <v>4.99</v>
      </c>
      <c r="K452" s="69" t="inlineStr">
        <is>
          <t>Fixed rate</t>
        </is>
      </c>
      <c r="L452" s="68" t="n">
        <v>120</v>
      </c>
      <c r="M452" s="68" t="n">
        <v>11</v>
      </c>
      <c r="N452" s="68" t="n">
        <v>378</v>
      </c>
      <c r="O452" s="68" t="n">
        <v>18</v>
      </c>
      <c r="P452" s="68" t="n">
        <v>0</v>
      </c>
      <c r="Q452" s="68" t="n">
        <v>109</v>
      </c>
      <c r="R452" s="69" t="inlineStr">
        <is>
          <t>IO then Amort</t>
        </is>
      </c>
      <c r="S452" s="69" t="inlineStr">
        <is>
          <t>No</t>
        </is>
      </c>
      <c r="T452" s="73" t="n">
        <v>42948</v>
      </c>
      <c r="U452" s="73" t="n">
        <v>46605</v>
      </c>
      <c r="V452" s="73" t="n"/>
      <c r="W452" s="69" t="n"/>
      <c r="X452" s="69" t="inlineStr">
        <is>
          <t>Current</t>
        </is>
      </c>
      <c r="Y452" s="68" t="n"/>
      <c r="Z452" s="69" t="inlineStr">
        <is>
          <t>Defeasance Not Allowable</t>
        </is>
      </c>
      <c r="AA452" s="69" t="inlineStr">
        <is>
          <t>Previously</t>
        </is>
      </c>
      <c r="AB452" s="69" t="inlineStr">
        <is>
          <t>Never special serv</t>
        </is>
      </c>
      <c r="AC452" s="73" t="n"/>
      <c r="AD452" s="69" t="n"/>
      <c r="AE452" s="69" t="n"/>
      <c r="AF452" s="69" t="inlineStr">
        <is>
          <t>NM</t>
        </is>
      </c>
      <c r="AG452" s="69" t="inlineStr">
        <is>
          <t>Albuquerque</t>
        </is>
      </c>
      <c r="AH452" s="69" t="inlineStr">
        <is>
          <t>Albuquerque, NM</t>
        </is>
      </c>
      <c r="AI452" s="69" t="inlineStr">
        <is>
          <t>West / Mountain</t>
        </is>
      </c>
      <c r="AJ452" s="69" t="inlineStr">
        <is>
          <t>RT</t>
        </is>
      </c>
      <c r="AK452" s="69" t="inlineStr">
        <is>
          <t>Anchored</t>
        </is>
      </c>
      <c r="AL452" s="68" t="n">
        <v>1</v>
      </c>
      <c r="AM452" s="68" t="n"/>
      <c r="AN452" s="68" t="n">
        <v>213169</v>
      </c>
      <c r="AO452" s="69" t="inlineStr">
        <is>
          <t>1975, 1980</t>
        </is>
      </c>
      <c r="AP452" s="70" t="n">
        <v>2008</v>
      </c>
      <c r="AQ452" s="74" t="n">
        <v>1.35</v>
      </c>
      <c r="AR452" s="74" t="n">
        <v>1.1</v>
      </c>
      <c r="AS452" s="74" t="n">
        <v>67.40000000000001</v>
      </c>
      <c r="AT452" s="74" t="n">
        <v>58.87</v>
      </c>
      <c r="AU452" s="74" t="n">
        <v>57.6</v>
      </c>
      <c r="AV452" s="74" t="n">
        <v>8.705772152</v>
      </c>
      <c r="AW452" s="74" t="n">
        <v>10.429613392</v>
      </c>
      <c r="AX452" s="75" t="n">
        <v>86</v>
      </c>
      <c r="AY452" s="71" t="n">
        <v>29300000</v>
      </c>
      <c r="AZ452" s="71" t="n">
        <v>29300000</v>
      </c>
      <c r="BA452" s="71" t="n">
        <v>1719390</v>
      </c>
      <c r="BB452" s="71" t="n">
        <v>327999.92</v>
      </c>
      <c r="BC452" s="69" t="inlineStr">
        <is>
          <t>Refinance</t>
        </is>
      </c>
      <c r="BD452" s="69" t="inlineStr">
        <is>
          <t>N</t>
        </is>
      </c>
      <c r="BE452" s="71" t="n">
        <v>4366560.9</v>
      </c>
      <c r="BF452" s="71" t="n"/>
      <c r="BG452" s="71" t="n"/>
      <c r="BH452" s="71" t="n">
        <v>0</v>
      </c>
      <c r="BI452" s="71" t="n">
        <v>0</v>
      </c>
      <c r="BJ452" s="69" t="inlineStr">
        <is>
          <t>N</t>
        </is>
      </c>
      <c r="BK452" s="69" t="inlineStr">
        <is>
          <t>El Super</t>
        </is>
      </c>
      <c r="BL452" s="75" t="n">
        <v>37.21</v>
      </c>
      <c r="BM452" s="73" t="n">
        <v>48121</v>
      </c>
      <c r="BN452" s="69" t="inlineStr">
        <is>
          <t>Michael A. Provenzano Jr.; Michael A. Provenzano III; Richard S. Provenzano; Steven R. Provenzano; Jeffrey C. Provenzano; MAP III 2003 Trust; RSP 2003 Trust; SRP 2003 Trust; JCP 2003 Trust</t>
        </is>
      </c>
      <c r="BO452" s="69" t="inlineStr">
        <is>
          <t>RMF</t>
        </is>
      </c>
      <c r="BP452" s="69" t="inlineStr">
        <is>
          <t>Midland Loan Services</t>
        </is>
      </c>
      <c r="BQ452" s="69" t="inlineStr">
        <is>
          <t>K-Star Asset Management LLC</t>
        </is>
      </c>
      <c r="BR452" s="69" t="n"/>
      <c r="BS452" s="73" t="n">
        <v>46276</v>
      </c>
      <c r="BU452" s="76">
        <f>IF($C452="","",IFERROR(INDEX(dmName,MATCH($C452,dmID,0)),"Unmapped"))</f>
        <v/>
      </c>
      <c r="BV452" s="76">
        <f>IF($C452="","",IFERROR(INDEX(dmEntity,MATCH($C452,dmID,0)),"Unmapped"))</f>
        <v/>
      </c>
      <c r="BW452" s="77">
        <f>IF($C452="","",IFERROR(INDEX(dmVintage,MATCH($C452,dmID,0)),""))</f>
        <v/>
      </c>
      <c r="BX452" s="78">
        <f>IFERROR(INDEX(dmInclude,MATCH($C452,dmID,0)),0)</f>
        <v/>
      </c>
      <c r="BY452" s="78">
        <f>IF(N($I452)&gt;0,1,0)</f>
        <v/>
      </c>
      <c r="BZ452" s="76">
        <f>IF($AJ452="","Other / Leased Fee",IFERROR(INDEX(mapPTGroup,MATCH(LEFT(TRIM($AJ452),2),mapPTCode,0)),"Other / Leased Fee"))</f>
        <v/>
      </c>
      <c r="CA452" s="76">
        <f>IF(TRIM($AF452&amp;"")="","NR",LEFT(TRIM($AF452),2))</f>
        <v/>
      </c>
      <c r="CB452" s="76">
        <f>IFERROR(LOOKUP(2,1/(LEFT(TRIM($AI452&amp;""),LEN(mapRegion))=mapRegion),mapRegion),"Not Reported")</f>
        <v/>
      </c>
      <c r="CC452" s="76">
        <f>IF($BY452=0,"",IF(TRIM($W452&amp;"")="REO","REO",IF(TRIM($W452&amp;"")="FC","Foreclosure",IF(TRIM($W452&amp;"")="90+","90+ Days Delinquent",IF(TRIM($W452&amp;"")="60","60 Days Delinquent",IF(TRIM($W452&amp;"")="30","30 Days Delinquent",IF($X452="Non-Performing Matured Balloon","Non-Performing Matured Balloon",IF(OR($X452="Late Payment But Less Than 30 Days Delinquent",LEFT($X452&amp;"",20)="Payment Not Received"),"Late / In Grace (&lt;30 Days)",IF($X452="Performing Matured Balloon","Performing Matured Balloon","Current")))))))))</f>
        <v/>
      </c>
      <c r="CD452" s="78">
        <f>IF(OR($CC452="REO",$CC452="Foreclosure",$CC452="90+ Days Delinquent",$CC452="60 Days Delinquent",$CC452="30 Days Delinquent",$CC452="Non-Performing Matured Balloon"),1,0)</f>
        <v/>
      </c>
      <c r="CE452" s="76">
        <f>IF($AB452="Currently special serv","Currently Specially Serviced",IF($AB452="Returned to master serv","Previously Specially Serviced","Never Specially Serviced"))</f>
        <v/>
      </c>
      <c r="CF452" s="78">
        <f>IF($CE452="Currently Specially Serviced",1,0)</f>
        <v/>
      </c>
      <c r="CG452" s="76">
        <f>IF($AA452="Yes","Currently on Watchlist",IF($AA452="Previously","Previously on Watchlist","Never on Watchlist"))</f>
        <v/>
      </c>
      <c r="CH452" s="78">
        <f>IF($CG452="Currently on Watchlist",1,0)</f>
        <v/>
      </c>
      <c r="CI452" s="76">
        <f>IF($Z452="Full Defeasance","Fully Defeased",IF($Z452="Portion Of Loan Previously Defeased","Partially Defeased",IF($Z452="Defeasance Not Allowable","Not Defeased (Not Permitted)","Not Defeased")))</f>
        <v/>
      </c>
      <c r="CJ452" s="78">
        <f>IF($CI452="Fully Defeased",1,0)</f>
        <v/>
      </c>
      <c r="CK452" s="76">
        <f>IF($R452="IO","Full IO",IF(LEFT($R452&amp;"",7)="IO then","Partial IO","Amortizing"))</f>
        <v/>
      </c>
      <c r="CL452" s="78">
        <f>IF($CK452="Full IO",1,0)</f>
        <v/>
      </c>
      <c r="CM452" s="78">
        <f>IF($CK452="Partial IO",1,0)</f>
        <v/>
      </c>
      <c r="CN452" s="76">
        <f>IF(LEFT($F452&amp;"",10)="SPLIT_LOAN","Pari Passu Split","Standalone")</f>
        <v/>
      </c>
      <c r="CO452" s="78">
        <f>IF($CN452="Pari Passu Split",1,0)</f>
        <v/>
      </c>
      <c r="CP452" s="77">
        <f>IF(ISNUMBER($T452),YEAR($T452),"")</f>
        <v/>
      </c>
      <c r="CQ452" s="79">
        <f>IF(ISNUMBER($V452),$V452,IF(ISNUMBER($U452),$U452,""))</f>
        <v/>
      </c>
      <c r="CR452" s="77">
        <f>IF(ISNUMBER($CQ452),YEAR($CQ452),"")</f>
        <v/>
      </c>
      <c r="CS452" s="78">
        <f>IF(ISNUMBER($M452),MAX(0,$M452),IF(TRIM($M452&amp;"")="matured",0,""))</f>
        <v/>
      </c>
      <c r="CT452" s="78">
        <f>IF(AND(ISNUMBER($CS452),N($CS452)&lt;=mMatWindow),1,0)</f>
        <v/>
      </c>
      <c r="CU452" s="80">
        <f>IF(ISNUMBER($J452),$J452/100,"")</f>
        <v/>
      </c>
      <c r="CV452" s="81">
        <f>IF(ISNUMBER($AQ452),$AQ452,"")</f>
        <v/>
      </c>
      <c r="CW452" s="81">
        <f>IF(ISNUMBER($AR452),$AR452,"")</f>
        <v/>
      </c>
      <c r="CX452" s="82">
        <f>IF(ISNUMBER($AS452),$AS452/100,"")</f>
        <v/>
      </c>
      <c r="CY452" s="82">
        <f>IF(ISNUMBER($AT452),$AT452/100,"")</f>
        <v/>
      </c>
      <c r="CZ452" s="82">
        <f>IF(ISNUMBER($AU452),$AU452/100,"")</f>
        <v/>
      </c>
      <c r="DA452" s="82">
        <f>IF(ISNUMBER($AV452),$AV452/100,"")</f>
        <v/>
      </c>
      <c r="DB452" s="82">
        <f>IF(ISNUMBER($AW452),$AW452/100,"")</f>
        <v/>
      </c>
      <c r="DC452" s="82">
        <f>IF(ISNUMBER($AX452),$AX452/100,"")</f>
        <v/>
      </c>
      <c r="DD452" s="77">
        <f>IFERROR(VALUE(LEFT(TRIM($AO452&amp;""),4)),"")</f>
        <v/>
      </c>
      <c r="DE452" s="78">
        <f>IF(AND($BY452=1,$BX452=1,OR(fDeal="All Deals",$BU452=fDeal),OR(fEntity="All Entities",$BV452=fEntity),OR(fPType="All Property Types",$BZ452=fPType),OR(fDefeased="Include",$CJ452=0)),1,0)</f>
        <v/>
      </c>
      <c r="DF452" s="83">
        <f>$DE452*N($I452)</f>
        <v/>
      </c>
      <c r="DG452" s="78">
        <f>IF($DE452=1,IF(COUNTIFS($F$8:$F452,$F452,$DE$8:$DE452,1)=1,1,0),0)</f>
        <v/>
      </c>
      <c r="DH452" s="83">
        <f>IF($DG452=1,SUMIFS($DF$8:$DF$1600,$F$8:$F$1600,$F452),0)</f>
        <v/>
      </c>
      <c r="DI452" s="78">
        <f>IF($DG452=1,COUNTIFS($F$8:$F$1600,$F452,$DE$8:$DE$1600,1),0)</f>
        <v/>
      </c>
      <c r="DJ452" s="84">
        <f>IF($DG452=1,$DH452+(100000-ROW())/mTieBreak,0)</f>
        <v/>
      </c>
    </row>
    <row r="453">
      <c r="B453" s="68" t="n">
        <v>25</v>
      </c>
      <c r="C453" s="69" t="inlineStr">
        <is>
          <t>UBS17C05</t>
        </is>
      </c>
      <c r="D453" s="69" t="inlineStr">
        <is>
          <t>25.000</t>
        </is>
      </c>
      <c r="E453" s="69" t="inlineStr">
        <is>
          <t>Centennial Highlands</t>
        </is>
      </c>
      <c r="F453" s="69" t="inlineStr">
        <is>
          <t>LNUBS17C05-25.000</t>
        </is>
      </c>
      <c r="G453" s="70" t="n"/>
      <c r="H453" s="71" t="n">
        <v>12650000</v>
      </c>
      <c r="I453" s="71" t="n">
        <v>11392760.15000145</v>
      </c>
      <c r="J453" s="72" t="n">
        <v>4.693</v>
      </c>
      <c r="K453" s="69" t="inlineStr">
        <is>
          <t>Fixed rate</t>
        </is>
      </c>
      <c r="L453" s="68" t="n">
        <v>120</v>
      </c>
      <c r="M453" s="68" t="n">
        <v>13</v>
      </c>
      <c r="N453" s="68" t="n">
        <v>396</v>
      </c>
      <c r="O453" s="68" t="n">
        <v>36</v>
      </c>
      <c r="P453" s="68" t="n">
        <v>0</v>
      </c>
      <c r="Q453" s="68" t="n">
        <v>107</v>
      </c>
      <c r="R453" s="69" t="inlineStr">
        <is>
          <t>IO then Amort</t>
        </is>
      </c>
      <c r="S453" s="69" t="inlineStr">
        <is>
          <t>No</t>
        </is>
      </c>
      <c r="T453" s="73" t="n">
        <v>43009</v>
      </c>
      <c r="U453" s="73" t="n">
        <v>46666</v>
      </c>
      <c r="V453" s="73" t="n"/>
      <c r="W453" s="69" t="n"/>
      <c r="X453" s="69" t="inlineStr">
        <is>
          <t>Current</t>
        </is>
      </c>
      <c r="Y453" s="68" t="n"/>
      <c r="Z453" s="69" t="inlineStr">
        <is>
          <t>No Defeasance Occurred</t>
        </is>
      </c>
      <c r="AA453" s="69" t="n"/>
      <c r="AB453" s="69" t="inlineStr">
        <is>
          <t>Never special serv</t>
        </is>
      </c>
      <c r="AC453" s="73" t="n"/>
      <c r="AD453" s="69" t="n"/>
      <c r="AE453" s="69" t="n"/>
      <c r="AF453" s="69" t="inlineStr">
        <is>
          <t>IN</t>
        </is>
      </c>
      <c r="AG453" s="69" t="inlineStr">
        <is>
          <t>Fort Wayne</t>
        </is>
      </c>
      <c r="AH453" s="69" t="inlineStr">
        <is>
          <t>Fort Wayne, IN</t>
        </is>
      </c>
      <c r="AI453" s="69" t="inlineStr">
        <is>
          <t>Midwest / Central East</t>
        </is>
      </c>
      <c r="AJ453" s="69" t="inlineStr">
        <is>
          <t>MF</t>
        </is>
      </c>
      <c r="AK453" s="69" t="inlineStr">
        <is>
          <t>Garden</t>
        </is>
      </c>
      <c r="AL453" s="68" t="n">
        <v>1</v>
      </c>
      <c r="AM453" s="68" t="n">
        <v>97</v>
      </c>
      <c r="AN453" s="68" t="n"/>
      <c r="AO453" s="69" t="inlineStr">
        <is>
          <t>2015</t>
        </is>
      </c>
      <c r="AP453" s="70" t="n">
        <v>2015</v>
      </c>
      <c r="AQ453" s="74" t="n">
        <v>1.39</v>
      </c>
      <c r="AR453" s="74" t="n">
        <v>1.85</v>
      </c>
      <c r="AS453" s="74" t="n">
        <v>68.2</v>
      </c>
      <c r="AT453" s="74" t="n">
        <v>61.42</v>
      </c>
      <c r="AU453" s="74" t="n">
        <v>60</v>
      </c>
      <c r="AV453" s="74" t="n">
        <v>8.647389644</v>
      </c>
      <c r="AW453" s="74" t="n">
        <v>12.50419162</v>
      </c>
      <c r="AX453" s="75" t="n">
        <v>97</v>
      </c>
      <c r="AY453" s="71" t="n">
        <v>18550000</v>
      </c>
      <c r="AZ453" s="71" t="n">
        <v>18550000</v>
      </c>
      <c r="BA453" s="71" t="n">
        <v>1093894.79</v>
      </c>
      <c r="BB453" s="71" t="n">
        <v>1458932.46</v>
      </c>
      <c r="BC453" s="69" t="inlineStr">
        <is>
          <t>Refinance</t>
        </is>
      </c>
      <c r="BD453" s="69" t="inlineStr">
        <is>
          <t>N</t>
        </is>
      </c>
      <c r="BE453" s="71" t="n"/>
      <c r="BF453" s="71" t="n"/>
      <c r="BG453" s="71" t="n"/>
      <c r="BH453" s="71" t="n">
        <v>0</v>
      </c>
      <c r="BI453" s="71" t="n">
        <v>0</v>
      </c>
      <c r="BJ453" s="69" t="inlineStr">
        <is>
          <t>N</t>
        </is>
      </c>
      <c r="BK453" s="69" t="n"/>
      <c r="BL453" s="75" t="n"/>
      <c r="BM453" s="73" t="n"/>
      <c r="BN453" s="69" t="inlineStr">
        <is>
          <t>David M. Conwill; Steven B. Kimmelman; Leslie Leohr</t>
        </is>
      </c>
      <c r="BO453" s="69" t="inlineStr">
        <is>
          <t>Ladder Capital Finance</t>
        </is>
      </c>
      <c r="BP453" s="69" t="inlineStr">
        <is>
          <t>Midland Loan Services</t>
        </is>
      </c>
      <c r="BQ453" s="69" t="inlineStr">
        <is>
          <t>K-Star Asset Management LLC</t>
        </is>
      </c>
      <c r="BR453" s="69" t="n"/>
      <c r="BS453" s="73" t="n">
        <v>46276</v>
      </c>
      <c r="BU453" s="76">
        <f>IF($C453="","",IFERROR(INDEX(dmName,MATCH($C453,dmID,0)),"Unmapped"))</f>
        <v/>
      </c>
      <c r="BV453" s="76">
        <f>IF($C453="","",IFERROR(INDEX(dmEntity,MATCH($C453,dmID,0)),"Unmapped"))</f>
        <v/>
      </c>
      <c r="BW453" s="77">
        <f>IF($C453="","",IFERROR(INDEX(dmVintage,MATCH($C453,dmID,0)),""))</f>
        <v/>
      </c>
      <c r="BX453" s="78">
        <f>IFERROR(INDEX(dmInclude,MATCH($C453,dmID,0)),0)</f>
        <v/>
      </c>
      <c r="BY453" s="78">
        <f>IF(N($I453)&gt;0,1,0)</f>
        <v/>
      </c>
      <c r="BZ453" s="76">
        <f>IF($AJ453="","Other / Leased Fee",IFERROR(INDEX(mapPTGroup,MATCH(LEFT(TRIM($AJ453),2),mapPTCode,0)),"Other / Leased Fee"))</f>
        <v/>
      </c>
      <c r="CA453" s="76">
        <f>IF(TRIM($AF453&amp;"")="","NR",LEFT(TRIM($AF453),2))</f>
        <v/>
      </c>
      <c r="CB453" s="76">
        <f>IFERROR(LOOKUP(2,1/(LEFT(TRIM($AI453&amp;""),LEN(mapRegion))=mapRegion),mapRegion),"Not Reported")</f>
        <v/>
      </c>
      <c r="CC453" s="76">
        <f>IF($BY453=0,"",IF(TRIM($W453&amp;"")="REO","REO",IF(TRIM($W453&amp;"")="FC","Foreclosure",IF(TRIM($W453&amp;"")="90+","90+ Days Delinquent",IF(TRIM($W453&amp;"")="60","60 Days Delinquent",IF(TRIM($W453&amp;"")="30","30 Days Delinquent",IF($X453="Non-Performing Matured Balloon","Non-Performing Matured Balloon",IF(OR($X453="Late Payment But Less Than 30 Days Delinquent",LEFT($X453&amp;"",20)="Payment Not Received"),"Late / In Grace (&lt;30 Days)",IF($X453="Performing Matured Balloon","Performing Matured Balloon","Current")))))))))</f>
        <v/>
      </c>
      <c r="CD453" s="78">
        <f>IF(OR($CC453="REO",$CC453="Foreclosure",$CC453="90+ Days Delinquent",$CC453="60 Days Delinquent",$CC453="30 Days Delinquent",$CC453="Non-Performing Matured Balloon"),1,0)</f>
        <v/>
      </c>
      <c r="CE453" s="76">
        <f>IF($AB453="Currently special serv","Currently Specially Serviced",IF($AB453="Returned to master serv","Previously Specially Serviced","Never Specially Serviced"))</f>
        <v/>
      </c>
      <c r="CF453" s="78">
        <f>IF($CE453="Currently Specially Serviced",1,0)</f>
        <v/>
      </c>
      <c r="CG453" s="76">
        <f>IF($AA453="Yes","Currently on Watchlist",IF($AA453="Previously","Previously on Watchlist","Never on Watchlist"))</f>
        <v/>
      </c>
      <c r="CH453" s="78">
        <f>IF($CG453="Currently on Watchlist",1,0)</f>
        <v/>
      </c>
      <c r="CI453" s="76">
        <f>IF($Z453="Full Defeasance","Fully Defeased",IF($Z453="Portion Of Loan Previously Defeased","Partially Defeased",IF($Z453="Defeasance Not Allowable","Not Defeased (Not Permitted)","Not Defeased")))</f>
        <v/>
      </c>
      <c r="CJ453" s="78">
        <f>IF($CI453="Fully Defeased",1,0)</f>
        <v/>
      </c>
      <c r="CK453" s="76">
        <f>IF($R453="IO","Full IO",IF(LEFT($R453&amp;"",7)="IO then","Partial IO","Amortizing"))</f>
        <v/>
      </c>
      <c r="CL453" s="78">
        <f>IF($CK453="Full IO",1,0)</f>
        <v/>
      </c>
      <c r="CM453" s="78">
        <f>IF($CK453="Partial IO",1,0)</f>
        <v/>
      </c>
      <c r="CN453" s="76">
        <f>IF(LEFT($F453&amp;"",10)="SPLIT_LOAN","Pari Passu Split","Standalone")</f>
        <v/>
      </c>
      <c r="CO453" s="78">
        <f>IF($CN453="Pari Passu Split",1,0)</f>
        <v/>
      </c>
      <c r="CP453" s="77">
        <f>IF(ISNUMBER($T453),YEAR($T453),"")</f>
        <v/>
      </c>
      <c r="CQ453" s="79">
        <f>IF(ISNUMBER($V453),$V453,IF(ISNUMBER($U453),$U453,""))</f>
        <v/>
      </c>
      <c r="CR453" s="77">
        <f>IF(ISNUMBER($CQ453),YEAR($CQ453),"")</f>
        <v/>
      </c>
      <c r="CS453" s="78">
        <f>IF(ISNUMBER($M453),MAX(0,$M453),IF(TRIM($M453&amp;"")="matured",0,""))</f>
        <v/>
      </c>
      <c r="CT453" s="78">
        <f>IF(AND(ISNUMBER($CS453),N($CS453)&lt;=mMatWindow),1,0)</f>
        <v/>
      </c>
      <c r="CU453" s="80">
        <f>IF(ISNUMBER($J453),$J453/100,"")</f>
        <v/>
      </c>
      <c r="CV453" s="81">
        <f>IF(ISNUMBER($AQ453),$AQ453,"")</f>
        <v/>
      </c>
      <c r="CW453" s="81">
        <f>IF(ISNUMBER($AR453),$AR453,"")</f>
        <v/>
      </c>
      <c r="CX453" s="82">
        <f>IF(ISNUMBER($AS453),$AS453/100,"")</f>
        <v/>
      </c>
      <c r="CY453" s="82">
        <f>IF(ISNUMBER($AT453),$AT453/100,"")</f>
        <v/>
      </c>
      <c r="CZ453" s="82">
        <f>IF(ISNUMBER($AU453),$AU453/100,"")</f>
        <v/>
      </c>
      <c r="DA453" s="82">
        <f>IF(ISNUMBER($AV453),$AV453/100,"")</f>
        <v/>
      </c>
      <c r="DB453" s="82">
        <f>IF(ISNUMBER($AW453),$AW453/100,"")</f>
        <v/>
      </c>
      <c r="DC453" s="82">
        <f>IF(ISNUMBER($AX453),$AX453/100,"")</f>
        <v/>
      </c>
      <c r="DD453" s="77">
        <f>IFERROR(VALUE(LEFT(TRIM($AO453&amp;""),4)),"")</f>
        <v/>
      </c>
      <c r="DE453" s="78">
        <f>IF(AND($BY453=1,$BX453=1,OR(fDeal="All Deals",$BU453=fDeal),OR(fEntity="All Entities",$BV453=fEntity),OR(fPType="All Property Types",$BZ453=fPType),OR(fDefeased="Include",$CJ453=0)),1,0)</f>
        <v/>
      </c>
      <c r="DF453" s="83">
        <f>$DE453*N($I453)</f>
        <v/>
      </c>
      <c r="DG453" s="78">
        <f>IF($DE453=1,IF(COUNTIFS($F$8:$F453,$F453,$DE$8:$DE453,1)=1,1,0),0)</f>
        <v/>
      </c>
      <c r="DH453" s="83">
        <f>IF($DG453=1,SUMIFS($DF$8:$DF$1600,$F$8:$F$1600,$F453),0)</f>
        <v/>
      </c>
      <c r="DI453" s="78">
        <f>IF($DG453=1,COUNTIFS($F$8:$F$1600,$F453,$DE$8:$DE$1600,1),0)</f>
        <v/>
      </c>
      <c r="DJ453" s="84">
        <f>IF($DG453=1,$DH453+(100000-ROW())/mTieBreak,0)</f>
        <v/>
      </c>
    </row>
    <row r="454">
      <c r="B454" s="68" t="n">
        <v>26</v>
      </c>
      <c r="C454" s="69" t="inlineStr">
        <is>
          <t>UBS17C05</t>
        </is>
      </c>
      <c r="D454" s="69" t="inlineStr">
        <is>
          <t>26.000</t>
        </is>
      </c>
      <c r="E454" s="69" t="inlineStr">
        <is>
          <t>50 Republic &amp; 40 Marcus Drive</t>
        </is>
      </c>
      <c r="F454" s="69" t="inlineStr">
        <is>
          <t>LNUBS17C05-26.000</t>
        </is>
      </c>
      <c r="G454" s="70" t="n"/>
      <c r="H454" s="71" t="n">
        <v>12550000</v>
      </c>
      <c r="I454" s="71" t="n">
        <v>10655174.079999</v>
      </c>
      <c r="J454" s="72" t="n">
        <v>5.2</v>
      </c>
      <c r="K454" s="69" t="inlineStr">
        <is>
          <t>Fixed rate</t>
        </is>
      </c>
      <c r="L454" s="68" t="n">
        <v>120</v>
      </c>
      <c r="M454" s="68" t="n">
        <v>12</v>
      </c>
      <c r="N454" s="68" t="n">
        <v>360</v>
      </c>
      <c r="O454" s="68" t="n"/>
      <c r="P454" s="68" t="n"/>
      <c r="Q454" s="68" t="n">
        <v>108</v>
      </c>
      <c r="R454" s="69" t="n"/>
      <c r="S454" s="69" t="inlineStr">
        <is>
          <t>No</t>
        </is>
      </c>
      <c r="T454" s="73" t="n">
        <v>42979</v>
      </c>
      <c r="U454" s="73" t="n">
        <v>46635</v>
      </c>
      <c r="V454" s="73" t="n"/>
      <c r="W454" s="69" t="n"/>
      <c r="X454" s="69" t="inlineStr">
        <is>
          <t>Current</t>
        </is>
      </c>
      <c r="Y454" s="68" t="n"/>
      <c r="Z454" s="69" t="inlineStr">
        <is>
          <t>No Defeasance Occurred</t>
        </is>
      </c>
      <c r="AA454" s="69" t="inlineStr">
        <is>
          <t>Yes</t>
        </is>
      </c>
      <c r="AB454" s="69" t="inlineStr">
        <is>
          <t>Never special serv</t>
        </is>
      </c>
      <c r="AC454" s="73" t="n"/>
      <c r="AD454" s="69" t="n"/>
      <c r="AE454" s="69" t="n"/>
      <c r="AF454" s="69" t="inlineStr">
        <is>
          <t>NY</t>
        </is>
      </c>
      <c r="AG454" s="69" t="inlineStr">
        <is>
          <t>Melville</t>
        </is>
      </c>
      <c r="AH454" s="69" t="inlineStr">
        <is>
          <t>New York-Newark-Jersey City, NY-NJ</t>
        </is>
      </c>
      <c r="AI454" s="69" t="inlineStr">
        <is>
          <t>Northeast / Mid-Atlantic</t>
        </is>
      </c>
      <c r="AJ454" s="69" t="inlineStr">
        <is>
          <t>OF</t>
        </is>
      </c>
      <c r="AK454" s="69" t="inlineStr">
        <is>
          <t>Suburban</t>
        </is>
      </c>
      <c r="AL454" s="68" t="n">
        <v>1</v>
      </c>
      <c r="AM454" s="68" t="n"/>
      <c r="AN454" s="68" t="n">
        <v>89380</v>
      </c>
      <c r="AO454" s="69" t="inlineStr">
        <is>
          <t>1999</t>
        </is>
      </c>
      <c r="AP454" s="70" t="n">
        <v>2005</v>
      </c>
      <c r="AQ454" s="74" t="n">
        <v>1.27</v>
      </c>
      <c r="AR454" s="74" t="n">
        <v>1.39</v>
      </c>
      <c r="AS454" s="74" t="n">
        <v>75</v>
      </c>
      <c r="AT454" s="74" t="n">
        <v>63.8</v>
      </c>
      <c r="AU454" s="74" t="n">
        <v>62.2</v>
      </c>
      <c r="AV454" s="74" t="n">
        <v>8.368377769</v>
      </c>
      <c r="AW454" s="74" t="n">
        <v>10.774735367</v>
      </c>
      <c r="AX454" s="75" t="n">
        <v>100</v>
      </c>
      <c r="AY454" s="71" t="n">
        <v>16700000</v>
      </c>
      <c r="AZ454" s="71" t="n">
        <v>16700000</v>
      </c>
      <c r="BA454" s="71" t="n">
        <v>1050231.41</v>
      </c>
      <c r="BB454" s="71" t="n">
        <v>1148066.81</v>
      </c>
      <c r="BC454" s="69" t="inlineStr">
        <is>
          <t>Refinance</t>
        </is>
      </c>
      <c r="BD454" s="69" t="inlineStr">
        <is>
          <t>N</t>
        </is>
      </c>
      <c r="BE454" s="71" t="n"/>
      <c r="BF454" s="71" t="n"/>
      <c r="BG454" s="71" t="n"/>
      <c r="BH454" s="71" t="n">
        <v>0</v>
      </c>
      <c r="BI454" s="71" t="n">
        <v>0</v>
      </c>
      <c r="BJ454" s="69" t="inlineStr">
        <is>
          <t>N</t>
        </is>
      </c>
      <c r="BK454" s="69" t="inlineStr">
        <is>
          <t>Epic Insurance</t>
        </is>
      </c>
      <c r="BL454" s="75" t="n">
        <v>23.05</v>
      </c>
      <c r="BM454" s="73" t="n">
        <v>46418</v>
      </c>
      <c r="BN454" s="69" t="inlineStr">
        <is>
          <t>Itzhak Levi; David Fine</t>
        </is>
      </c>
      <c r="BO454" s="69" t="inlineStr">
        <is>
          <t>Natixis</t>
        </is>
      </c>
      <c r="BP454" s="69" t="inlineStr">
        <is>
          <t>Midland Loan Services</t>
        </is>
      </c>
      <c r="BQ454" s="69" t="inlineStr">
        <is>
          <t>K-Star Asset Management LLC</t>
        </is>
      </c>
      <c r="BR454" s="69" t="n"/>
      <c r="BS454" s="73" t="n">
        <v>46276</v>
      </c>
      <c r="BU454" s="76">
        <f>IF($C454="","",IFERROR(INDEX(dmName,MATCH($C454,dmID,0)),"Unmapped"))</f>
        <v/>
      </c>
      <c r="BV454" s="76">
        <f>IF($C454="","",IFERROR(INDEX(dmEntity,MATCH($C454,dmID,0)),"Unmapped"))</f>
        <v/>
      </c>
      <c r="BW454" s="77">
        <f>IF($C454="","",IFERROR(INDEX(dmVintage,MATCH($C454,dmID,0)),""))</f>
        <v/>
      </c>
      <c r="BX454" s="78">
        <f>IFERROR(INDEX(dmInclude,MATCH($C454,dmID,0)),0)</f>
        <v/>
      </c>
      <c r="BY454" s="78">
        <f>IF(N($I454)&gt;0,1,0)</f>
        <v/>
      </c>
      <c r="BZ454" s="76">
        <f>IF($AJ454="","Other / Leased Fee",IFERROR(INDEX(mapPTGroup,MATCH(LEFT(TRIM($AJ454),2),mapPTCode,0)),"Other / Leased Fee"))</f>
        <v/>
      </c>
      <c r="CA454" s="76">
        <f>IF(TRIM($AF454&amp;"")="","NR",LEFT(TRIM($AF454),2))</f>
        <v/>
      </c>
      <c r="CB454" s="76">
        <f>IFERROR(LOOKUP(2,1/(LEFT(TRIM($AI454&amp;""),LEN(mapRegion))=mapRegion),mapRegion),"Not Reported")</f>
        <v/>
      </c>
      <c r="CC454" s="76">
        <f>IF($BY454=0,"",IF(TRIM($W454&amp;"")="REO","REO",IF(TRIM($W454&amp;"")="FC","Foreclosure",IF(TRIM($W454&amp;"")="90+","90+ Days Delinquent",IF(TRIM($W454&amp;"")="60","60 Days Delinquent",IF(TRIM($W454&amp;"")="30","30 Days Delinquent",IF($X454="Non-Performing Matured Balloon","Non-Performing Matured Balloon",IF(OR($X454="Late Payment But Less Than 30 Days Delinquent",LEFT($X454&amp;"",20)="Payment Not Received"),"Late / In Grace (&lt;30 Days)",IF($X454="Performing Matured Balloon","Performing Matured Balloon","Current")))))))))</f>
        <v/>
      </c>
      <c r="CD454" s="78">
        <f>IF(OR($CC454="REO",$CC454="Foreclosure",$CC454="90+ Days Delinquent",$CC454="60 Days Delinquent",$CC454="30 Days Delinquent",$CC454="Non-Performing Matured Balloon"),1,0)</f>
        <v/>
      </c>
      <c r="CE454" s="76">
        <f>IF($AB454="Currently special serv","Currently Specially Serviced",IF($AB454="Returned to master serv","Previously Specially Serviced","Never Specially Serviced"))</f>
        <v/>
      </c>
      <c r="CF454" s="78">
        <f>IF($CE454="Currently Specially Serviced",1,0)</f>
        <v/>
      </c>
      <c r="CG454" s="76">
        <f>IF($AA454="Yes","Currently on Watchlist",IF($AA454="Previously","Previously on Watchlist","Never on Watchlist"))</f>
        <v/>
      </c>
      <c r="CH454" s="78">
        <f>IF($CG454="Currently on Watchlist",1,0)</f>
        <v/>
      </c>
      <c r="CI454" s="76">
        <f>IF($Z454="Full Defeasance","Fully Defeased",IF($Z454="Portion Of Loan Previously Defeased","Partially Defeased",IF($Z454="Defeasance Not Allowable","Not Defeased (Not Permitted)","Not Defeased")))</f>
        <v/>
      </c>
      <c r="CJ454" s="78">
        <f>IF($CI454="Fully Defeased",1,0)</f>
        <v/>
      </c>
      <c r="CK454" s="76">
        <f>IF($R454="IO","Full IO",IF(LEFT($R454&amp;"",7)="IO then","Partial IO","Amortizing"))</f>
        <v/>
      </c>
      <c r="CL454" s="78">
        <f>IF($CK454="Full IO",1,0)</f>
        <v/>
      </c>
      <c r="CM454" s="78">
        <f>IF($CK454="Partial IO",1,0)</f>
        <v/>
      </c>
      <c r="CN454" s="76">
        <f>IF(LEFT($F454&amp;"",10)="SPLIT_LOAN","Pari Passu Split","Standalone")</f>
        <v/>
      </c>
      <c r="CO454" s="78">
        <f>IF($CN454="Pari Passu Split",1,0)</f>
        <v/>
      </c>
      <c r="CP454" s="77">
        <f>IF(ISNUMBER($T454),YEAR($T454),"")</f>
        <v/>
      </c>
      <c r="CQ454" s="79">
        <f>IF(ISNUMBER($V454),$V454,IF(ISNUMBER($U454),$U454,""))</f>
        <v/>
      </c>
      <c r="CR454" s="77">
        <f>IF(ISNUMBER($CQ454),YEAR($CQ454),"")</f>
        <v/>
      </c>
      <c r="CS454" s="78">
        <f>IF(ISNUMBER($M454),MAX(0,$M454),IF(TRIM($M454&amp;"")="matured",0,""))</f>
        <v/>
      </c>
      <c r="CT454" s="78">
        <f>IF(AND(ISNUMBER($CS454),N($CS454)&lt;=mMatWindow),1,0)</f>
        <v/>
      </c>
      <c r="CU454" s="80">
        <f>IF(ISNUMBER($J454),$J454/100,"")</f>
        <v/>
      </c>
      <c r="CV454" s="81">
        <f>IF(ISNUMBER($AQ454),$AQ454,"")</f>
        <v/>
      </c>
      <c r="CW454" s="81">
        <f>IF(ISNUMBER($AR454),$AR454,"")</f>
        <v/>
      </c>
      <c r="CX454" s="82">
        <f>IF(ISNUMBER($AS454),$AS454/100,"")</f>
        <v/>
      </c>
      <c r="CY454" s="82">
        <f>IF(ISNUMBER($AT454),$AT454/100,"")</f>
        <v/>
      </c>
      <c r="CZ454" s="82">
        <f>IF(ISNUMBER($AU454),$AU454/100,"")</f>
        <v/>
      </c>
      <c r="DA454" s="82">
        <f>IF(ISNUMBER($AV454),$AV454/100,"")</f>
        <v/>
      </c>
      <c r="DB454" s="82">
        <f>IF(ISNUMBER($AW454),$AW454/100,"")</f>
        <v/>
      </c>
      <c r="DC454" s="82">
        <f>IF(ISNUMBER($AX454),$AX454/100,"")</f>
        <v/>
      </c>
      <c r="DD454" s="77">
        <f>IFERROR(VALUE(LEFT(TRIM($AO454&amp;""),4)),"")</f>
        <v/>
      </c>
      <c r="DE454" s="78">
        <f>IF(AND($BY454=1,$BX454=1,OR(fDeal="All Deals",$BU454=fDeal),OR(fEntity="All Entities",$BV454=fEntity),OR(fPType="All Property Types",$BZ454=fPType),OR(fDefeased="Include",$CJ454=0)),1,0)</f>
        <v/>
      </c>
      <c r="DF454" s="83">
        <f>$DE454*N($I454)</f>
        <v/>
      </c>
      <c r="DG454" s="78">
        <f>IF($DE454=1,IF(COUNTIFS($F$8:$F454,$F454,$DE$8:$DE454,1)=1,1,0),0)</f>
        <v/>
      </c>
      <c r="DH454" s="83">
        <f>IF($DG454=1,SUMIFS($DF$8:$DF$1600,$F$8:$F$1600,$F454),0)</f>
        <v/>
      </c>
      <c r="DI454" s="78">
        <f>IF($DG454=1,COUNTIFS($F$8:$F$1600,$F454,$DE$8:$DE$1600,1),0)</f>
        <v/>
      </c>
      <c r="DJ454" s="84">
        <f>IF($DG454=1,$DH454+(100000-ROW())/mTieBreak,0)</f>
        <v/>
      </c>
    </row>
    <row r="455">
      <c r="B455" s="68" t="n">
        <v>27</v>
      </c>
      <c r="C455" s="69" t="inlineStr">
        <is>
          <t>UBS17C05</t>
        </is>
      </c>
      <c r="D455" s="69" t="inlineStr">
        <is>
          <t>27.000</t>
        </is>
      </c>
      <c r="E455" s="69" t="inlineStr">
        <is>
          <t>GlobalFoundries Industrial Portfolio</t>
        </is>
      </c>
      <c r="F455" s="69" t="inlineStr">
        <is>
          <t>LNUBS17C05-27.000</t>
        </is>
      </c>
      <c r="G455" s="70" t="n"/>
      <c r="H455" s="71" t="n">
        <v>12250000</v>
      </c>
      <c r="I455" s="71" t="n">
        <v>0</v>
      </c>
      <c r="J455" s="72" t="n">
        <v>5</v>
      </c>
      <c r="K455" s="69" t="inlineStr">
        <is>
          <t>Fixed rate</t>
        </is>
      </c>
      <c r="L455" s="68" t="n">
        <v>60</v>
      </c>
      <c r="M455" s="68" t="n"/>
      <c r="N455" s="68" t="n">
        <v>300</v>
      </c>
      <c r="O455" s="68" t="n"/>
      <c r="P455" s="68" t="n"/>
      <c r="Q455" s="68" t="n"/>
      <c r="R455" s="69" t="n"/>
      <c r="S455" s="69" t="inlineStr">
        <is>
          <t>No</t>
        </is>
      </c>
      <c r="T455" s="73" t="n">
        <v>42979</v>
      </c>
      <c r="U455" s="73" t="n">
        <v>44810</v>
      </c>
      <c r="V455" s="73" t="n"/>
      <c r="W455" s="69" t="n"/>
      <c r="X455" s="69" t="inlineStr">
        <is>
          <t>Current</t>
        </is>
      </c>
      <c r="Y455" s="68" t="n"/>
      <c r="Z455" s="69" t="inlineStr">
        <is>
          <t>Full Defeasance</t>
        </is>
      </c>
      <c r="AA455" s="69" t="n"/>
      <c r="AB455" s="69" t="inlineStr">
        <is>
          <t>Never special serv</t>
        </is>
      </c>
      <c r="AC455" s="73" t="n"/>
      <c r="AD455" s="69" t="n"/>
      <c r="AE455" s="69" t="n"/>
      <c r="AF455" s="69" t="inlineStr">
        <is>
          <t>NY</t>
        </is>
      </c>
      <c r="AG455" s="69" t="inlineStr">
        <is>
          <t>Hopewell Junction</t>
        </is>
      </c>
      <c r="AH455" s="69" t="inlineStr">
        <is>
          <t>Kiryas Joel-Poughkeepsie-Newburgh, NY</t>
        </is>
      </c>
      <c r="AI455" s="69" t="inlineStr">
        <is>
          <t>Northeast / Mid-Atlantic</t>
        </is>
      </c>
      <c r="AJ455" s="69" t="inlineStr">
        <is>
          <t>IN</t>
        </is>
      </c>
      <c r="AK455" s="69" t="inlineStr">
        <is>
          <t>Warehouse/Distribution</t>
        </is>
      </c>
      <c r="AL455" s="68" t="n">
        <v>1</v>
      </c>
      <c r="AM455" s="68" t="n"/>
      <c r="AN455" s="68" t="n">
        <v>223224</v>
      </c>
      <c r="AO455" s="69" t="inlineStr">
        <is>
          <t>1985</t>
        </is>
      </c>
      <c r="AP455" s="70" t="n">
        <v>1985</v>
      </c>
      <c r="AQ455" s="74" t="n">
        <v>1.44</v>
      </c>
      <c r="AR455" s="74" t="n">
        <v>1.56</v>
      </c>
      <c r="AS455" s="74" t="n">
        <v>65.59999999999999</v>
      </c>
      <c r="AT455" s="74" t="n"/>
      <c r="AU455" s="74" t="n">
        <v>58.6</v>
      </c>
      <c r="AV455" s="74" t="n">
        <v>10.118612245</v>
      </c>
      <c r="AW455" s="74" t="n"/>
      <c r="AX455" s="75" t="n">
        <v>100</v>
      </c>
      <c r="AY455" s="71" t="n">
        <v>18600000</v>
      </c>
      <c r="AZ455" s="71" t="n">
        <v>18600000</v>
      </c>
      <c r="BA455" s="71" t="n">
        <v>1239530</v>
      </c>
      <c r="BB455" s="71" t="n">
        <v>1339703.25</v>
      </c>
      <c r="BC455" s="69" t="inlineStr">
        <is>
          <t>Acquisition</t>
        </is>
      </c>
      <c r="BD455" s="69" t="inlineStr">
        <is>
          <t>N</t>
        </is>
      </c>
      <c r="BE455" s="71" t="n"/>
      <c r="BF455" s="71" t="n"/>
      <c r="BG455" s="71" t="n"/>
      <c r="BH455" s="71" t="n">
        <v>0</v>
      </c>
      <c r="BI455" s="71" t="n">
        <v>0</v>
      </c>
      <c r="BJ455" s="69" t="inlineStr">
        <is>
          <t>N</t>
        </is>
      </c>
      <c r="BK455" s="69" t="inlineStr">
        <is>
          <t>GlobalFoundries</t>
        </is>
      </c>
      <c r="BL455" s="75" t="n">
        <v>100</v>
      </c>
      <c r="BM455" s="73" t="n">
        <v>46600</v>
      </c>
      <c r="BN455" s="69" t="inlineStr">
        <is>
          <t>Joseph Cotter</t>
        </is>
      </c>
      <c r="BO455" s="69" t="inlineStr">
        <is>
          <t>Cantor Commercial Real Estate Lending</t>
        </is>
      </c>
      <c r="BP455" s="69" t="inlineStr">
        <is>
          <t>Midland Loan Services</t>
        </is>
      </c>
      <c r="BQ455" s="69" t="inlineStr">
        <is>
          <t>Midland Loan Services</t>
        </is>
      </c>
      <c r="BR455" s="69" t="inlineStr">
        <is>
          <t>Payoff Prior To Maturity</t>
        </is>
      </c>
      <c r="BS455" s="73" t="n">
        <v>44725</v>
      </c>
      <c r="BU455" s="76">
        <f>IF($C455="","",IFERROR(INDEX(dmName,MATCH($C455,dmID,0)),"Unmapped"))</f>
        <v/>
      </c>
      <c r="BV455" s="76">
        <f>IF($C455="","",IFERROR(INDEX(dmEntity,MATCH($C455,dmID,0)),"Unmapped"))</f>
        <v/>
      </c>
      <c r="BW455" s="77">
        <f>IF($C455="","",IFERROR(INDEX(dmVintage,MATCH($C455,dmID,0)),""))</f>
        <v/>
      </c>
      <c r="BX455" s="78">
        <f>IFERROR(INDEX(dmInclude,MATCH($C455,dmID,0)),0)</f>
        <v/>
      </c>
      <c r="BY455" s="78">
        <f>IF(N($I455)&gt;0,1,0)</f>
        <v/>
      </c>
      <c r="BZ455" s="76">
        <f>IF($AJ455="","Other / Leased Fee",IFERROR(INDEX(mapPTGroup,MATCH(LEFT(TRIM($AJ455),2),mapPTCode,0)),"Other / Leased Fee"))</f>
        <v/>
      </c>
      <c r="CA455" s="76">
        <f>IF(TRIM($AF455&amp;"")="","NR",LEFT(TRIM($AF455),2))</f>
        <v/>
      </c>
      <c r="CB455" s="76">
        <f>IFERROR(LOOKUP(2,1/(LEFT(TRIM($AI455&amp;""),LEN(mapRegion))=mapRegion),mapRegion),"Not Reported")</f>
        <v/>
      </c>
      <c r="CC455" s="76">
        <f>IF($BY455=0,"",IF(TRIM($W455&amp;"")="REO","REO",IF(TRIM($W455&amp;"")="FC","Foreclosure",IF(TRIM($W455&amp;"")="90+","90+ Days Delinquent",IF(TRIM($W455&amp;"")="60","60 Days Delinquent",IF(TRIM($W455&amp;"")="30","30 Days Delinquent",IF($X455="Non-Performing Matured Balloon","Non-Performing Matured Balloon",IF(OR($X455="Late Payment But Less Than 30 Days Delinquent",LEFT($X455&amp;"",20)="Payment Not Received"),"Late / In Grace (&lt;30 Days)",IF($X455="Performing Matured Balloon","Performing Matured Balloon","Current")))))))))</f>
        <v/>
      </c>
      <c r="CD455" s="78">
        <f>IF(OR($CC455="REO",$CC455="Foreclosure",$CC455="90+ Days Delinquent",$CC455="60 Days Delinquent",$CC455="30 Days Delinquent",$CC455="Non-Performing Matured Balloon"),1,0)</f>
        <v/>
      </c>
      <c r="CE455" s="76">
        <f>IF($AB455="Currently special serv","Currently Specially Serviced",IF($AB455="Returned to master serv","Previously Specially Serviced","Never Specially Serviced"))</f>
        <v/>
      </c>
      <c r="CF455" s="78">
        <f>IF($CE455="Currently Specially Serviced",1,0)</f>
        <v/>
      </c>
      <c r="CG455" s="76">
        <f>IF($AA455="Yes","Currently on Watchlist",IF($AA455="Previously","Previously on Watchlist","Never on Watchlist"))</f>
        <v/>
      </c>
      <c r="CH455" s="78">
        <f>IF($CG455="Currently on Watchlist",1,0)</f>
        <v/>
      </c>
      <c r="CI455" s="76">
        <f>IF($Z455="Full Defeasance","Fully Defeased",IF($Z455="Portion Of Loan Previously Defeased","Partially Defeased",IF($Z455="Defeasance Not Allowable","Not Defeased (Not Permitted)","Not Defeased")))</f>
        <v/>
      </c>
      <c r="CJ455" s="78">
        <f>IF($CI455="Fully Defeased",1,0)</f>
        <v/>
      </c>
      <c r="CK455" s="76">
        <f>IF($R455="IO","Full IO",IF(LEFT($R455&amp;"",7)="IO then","Partial IO","Amortizing"))</f>
        <v/>
      </c>
      <c r="CL455" s="78">
        <f>IF($CK455="Full IO",1,0)</f>
        <v/>
      </c>
      <c r="CM455" s="78">
        <f>IF($CK455="Partial IO",1,0)</f>
        <v/>
      </c>
      <c r="CN455" s="76">
        <f>IF(LEFT($F455&amp;"",10)="SPLIT_LOAN","Pari Passu Split","Standalone")</f>
        <v/>
      </c>
      <c r="CO455" s="78">
        <f>IF($CN455="Pari Passu Split",1,0)</f>
        <v/>
      </c>
      <c r="CP455" s="77">
        <f>IF(ISNUMBER($T455),YEAR($T455),"")</f>
        <v/>
      </c>
      <c r="CQ455" s="79">
        <f>IF(ISNUMBER($V455),$V455,IF(ISNUMBER($U455),$U455,""))</f>
        <v/>
      </c>
      <c r="CR455" s="77">
        <f>IF(ISNUMBER($CQ455),YEAR($CQ455),"")</f>
        <v/>
      </c>
      <c r="CS455" s="78">
        <f>IF(ISNUMBER($M455),MAX(0,$M455),IF(TRIM($M455&amp;"")="matured",0,""))</f>
        <v/>
      </c>
      <c r="CT455" s="78">
        <f>IF(AND(ISNUMBER($CS455),N($CS455)&lt;=mMatWindow),1,0)</f>
        <v/>
      </c>
      <c r="CU455" s="80">
        <f>IF(ISNUMBER($J455),$J455/100,"")</f>
        <v/>
      </c>
      <c r="CV455" s="81">
        <f>IF(ISNUMBER($AQ455),$AQ455,"")</f>
        <v/>
      </c>
      <c r="CW455" s="81">
        <f>IF(ISNUMBER($AR455),$AR455,"")</f>
        <v/>
      </c>
      <c r="CX455" s="82">
        <f>IF(ISNUMBER($AS455),$AS455/100,"")</f>
        <v/>
      </c>
      <c r="CY455" s="82">
        <f>IF(ISNUMBER($AT455),$AT455/100,"")</f>
        <v/>
      </c>
      <c r="CZ455" s="82">
        <f>IF(ISNUMBER($AU455),$AU455/100,"")</f>
        <v/>
      </c>
      <c r="DA455" s="82">
        <f>IF(ISNUMBER($AV455),$AV455/100,"")</f>
        <v/>
      </c>
      <c r="DB455" s="82">
        <f>IF(ISNUMBER($AW455),$AW455/100,"")</f>
        <v/>
      </c>
      <c r="DC455" s="82">
        <f>IF(ISNUMBER($AX455),$AX455/100,"")</f>
        <v/>
      </c>
      <c r="DD455" s="77">
        <f>IFERROR(VALUE(LEFT(TRIM($AO455&amp;""),4)),"")</f>
        <v/>
      </c>
      <c r="DE455" s="78">
        <f>IF(AND($BY455=1,$BX455=1,OR(fDeal="All Deals",$BU455=fDeal),OR(fEntity="All Entities",$BV455=fEntity),OR(fPType="All Property Types",$BZ455=fPType),OR(fDefeased="Include",$CJ455=0)),1,0)</f>
        <v/>
      </c>
      <c r="DF455" s="83">
        <f>$DE455*N($I455)</f>
        <v/>
      </c>
      <c r="DG455" s="78">
        <f>IF($DE455=1,IF(COUNTIFS($F$8:$F455,$F455,$DE$8:$DE455,1)=1,1,0),0)</f>
        <v/>
      </c>
      <c r="DH455" s="83">
        <f>IF($DG455=1,SUMIFS($DF$8:$DF$1600,$F$8:$F$1600,$F455),0)</f>
        <v/>
      </c>
      <c r="DI455" s="78">
        <f>IF($DG455=1,COUNTIFS($F$8:$F$1600,$F455,$DE$8:$DE$1600,1),0)</f>
        <v/>
      </c>
      <c r="DJ455" s="84">
        <f>IF($DG455=1,$DH455+(100000-ROW())/mTieBreak,0)</f>
        <v/>
      </c>
    </row>
    <row r="456">
      <c r="B456" s="68" t="n">
        <v>28</v>
      </c>
      <c r="C456" s="69" t="inlineStr">
        <is>
          <t>UBS17C05</t>
        </is>
      </c>
      <c r="D456" s="69" t="inlineStr">
        <is>
          <t>28.000</t>
        </is>
      </c>
      <c r="E456" s="69" t="inlineStr">
        <is>
          <t>Loyalty and Hamilton</t>
        </is>
      </c>
      <c r="F456" s="69" t="inlineStr">
        <is>
          <t>LNUBS17C05-28.000</t>
        </is>
      </c>
      <c r="G456" s="70" t="n"/>
      <c r="H456" s="71" t="n">
        <v>11750000</v>
      </c>
      <c r="I456" s="71" t="n">
        <v>0</v>
      </c>
      <c r="J456" s="72" t="n">
        <v>4.45</v>
      </c>
      <c r="K456" s="69" t="inlineStr">
        <is>
          <t>Fixed rate</t>
        </is>
      </c>
      <c r="L456" s="68" t="n">
        <v>120</v>
      </c>
      <c r="M456" s="68" t="n"/>
      <c r="N456" s="68" t="n">
        <v>396</v>
      </c>
      <c r="O456" s="68" t="n">
        <v>36</v>
      </c>
      <c r="P456" s="68" t="n"/>
      <c r="Q456" s="68" t="n"/>
      <c r="R456" s="69" t="inlineStr">
        <is>
          <t>IO then Amort</t>
        </is>
      </c>
      <c r="S456" s="69" t="inlineStr">
        <is>
          <t>No</t>
        </is>
      </c>
      <c r="T456" s="73" t="n">
        <v>43009</v>
      </c>
      <c r="U456" s="73" t="n">
        <v>46666</v>
      </c>
      <c r="V456" s="73" t="n"/>
      <c r="W456" s="69" t="n"/>
      <c r="X456" s="69" t="inlineStr">
        <is>
          <t>Current</t>
        </is>
      </c>
      <c r="Y456" s="68" t="n"/>
      <c r="Z456" s="69" t="inlineStr">
        <is>
          <t>No Defeasance Occurred</t>
        </is>
      </c>
      <c r="AA456" s="69" t="inlineStr">
        <is>
          <t>Previously</t>
        </is>
      </c>
      <c r="AB456" s="69" t="inlineStr">
        <is>
          <t>Currently special serv</t>
        </is>
      </c>
      <c r="AC456" s="73" t="n">
        <v>44562</v>
      </c>
      <c r="AD456" s="69" t="inlineStr">
        <is>
          <t>Imminent Monetary Default (excluding Balloon/Maturity Default &amp; Single Tenant Bankruptcy/Vacate)</t>
        </is>
      </c>
      <c r="AE456" s="69" t="inlineStr">
        <is>
          <t>Other</t>
        </is>
      </c>
      <c r="AF456" s="69" t="inlineStr">
        <is>
          <t>OR</t>
        </is>
      </c>
      <c r="AG456" s="69" t="inlineStr">
        <is>
          <t>Portland</t>
        </is>
      </c>
      <c r="AH456" s="69" t="inlineStr">
        <is>
          <t>Portland-Vancouver-Hillsboro, OR-WA</t>
        </is>
      </c>
      <c r="AI456" s="69" t="inlineStr">
        <is>
          <t>West / Pacific North</t>
        </is>
      </c>
      <c r="AJ456" s="69" t="inlineStr">
        <is>
          <t>OF</t>
        </is>
      </c>
      <c r="AK456" s="69" t="inlineStr">
        <is>
          <t>CBD</t>
        </is>
      </c>
      <c r="AL456" s="68" t="n">
        <v>1</v>
      </c>
      <c r="AM456" s="68" t="n"/>
      <c r="AN456" s="68" t="n">
        <v>76370</v>
      </c>
      <c r="AO456" s="69" t="inlineStr">
        <is>
          <t>1893, 1928</t>
        </is>
      </c>
      <c r="AP456" s="70" t="n">
        <v>2011</v>
      </c>
      <c r="AQ456" s="74" t="n">
        <v>1.5</v>
      </c>
      <c r="AR456" s="74" t="n">
        <v>-0.14</v>
      </c>
      <c r="AS456" s="74" t="n">
        <v>58.3</v>
      </c>
      <c r="AT456" s="74" t="n"/>
      <c r="AU456" s="74" t="n">
        <v>51</v>
      </c>
      <c r="AV456" s="74" t="n">
        <v>9.08226383</v>
      </c>
      <c r="AW456" s="74" t="n"/>
      <c r="AX456" s="75" t="n">
        <v>38</v>
      </c>
      <c r="AY456" s="71" t="n">
        <v>20150000</v>
      </c>
      <c r="AZ456" s="71" t="n">
        <v>3000000</v>
      </c>
      <c r="BA456" s="71" t="n">
        <v>1067166</v>
      </c>
      <c r="BB456" s="71" t="n">
        <v>-101514.67</v>
      </c>
      <c r="BC456" s="69" t="inlineStr">
        <is>
          <t>Recapitalization</t>
        </is>
      </c>
      <c r="BD456" s="69" t="inlineStr">
        <is>
          <t>N</t>
        </is>
      </c>
      <c r="BE456" s="71" t="n"/>
      <c r="BF456" s="71" t="n"/>
      <c r="BG456" s="71" t="n"/>
      <c r="BH456" s="71" t="n">
        <v>0</v>
      </c>
      <c r="BI456" s="71" t="n">
        <v>0</v>
      </c>
      <c r="BJ456" s="69" t="inlineStr">
        <is>
          <t>N</t>
        </is>
      </c>
      <c r="BK456" s="69" t="inlineStr">
        <is>
          <t>Rentrak Corporation</t>
        </is>
      </c>
      <c r="BL456" s="75" t="n">
        <v>17.93</v>
      </c>
      <c r="BM456" s="73" t="n">
        <v>45504</v>
      </c>
      <c r="BN456" s="69" t="inlineStr">
        <is>
          <t>John F. Swift</t>
        </is>
      </c>
      <c r="BO456" s="69" t="inlineStr">
        <is>
          <t>Cantor Commercial Real Estate Lending</t>
        </is>
      </c>
      <c r="BP456" s="69" t="inlineStr">
        <is>
          <t>Midland Loan Services</t>
        </is>
      </c>
      <c r="BQ456" s="69" t="inlineStr">
        <is>
          <t>K-Star Asset Management LLC</t>
        </is>
      </c>
      <c r="BR456" s="69" t="inlineStr">
        <is>
          <t>DPO</t>
        </is>
      </c>
      <c r="BS456" s="73" t="n">
        <v>46276</v>
      </c>
      <c r="BU456" s="76">
        <f>IF($C456="","",IFERROR(INDEX(dmName,MATCH($C456,dmID,0)),"Unmapped"))</f>
        <v/>
      </c>
      <c r="BV456" s="76">
        <f>IF($C456="","",IFERROR(INDEX(dmEntity,MATCH($C456,dmID,0)),"Unmapped"))</f>
        <v/>
      </c>
      <c r="BW456" s="77">
        <f>IF($C456="","",IFERROR(INDEX(dmVintage,MATCH($C456,dmID,0)),""))</f>
        <v/>
      </c>
      <c r="BX456" s="78">
        <f>IFERROR(INDEX(dmInclude,MATCH($C456,dmID,0)),0)</f>
        <v/>
      </c>
      <c r="BY456" s="78">
        <f>IF(N($I456)&gt;0,1,0)</f>
        <v/>
      </c>
      <c r="BZ456" s="76">
        <f>IF($AJ456="","Other / Leased Fee",IFERROR(INDEX(mapPTGroup,MATCH(LEFT(TRIM($AJ456),2),mapPTCode,0)),"Other / Leased Fee"))</f>
        <v/>
      </c>
      <c r="CA456" s="76">
        <f>IF(TRIM($AF456&amp;"")="","NR",LEFT(TRIM($AF456),2))</f>
        <v/>
      </c>
      <c r="CB456" s="76">
        <f>IFERROR(LOOKUP(2,1/(LEFT(TRIM($AI456&amp;""),LEN(mapRegion))=mapRegion),mapRegion),"Not Reported")</f>
        <v/>
      </c>
      <c r="CC456" s="76">
        <f>IF($BY456=0,"",IF(TRIM($W456&amp;"")="REO","REO",IF(TRIM($W456&amp;"")="FC","Foreclosure",IF(TRIM($W456&amp;"")="90+","90+ Days Delinquent",IF(TRIM($W456&amp;"")="60","60 Days Delinquent",IF(TRIM($W456&amp;"")="30","30 Days Delinquent",IF($X456="Non-Performing Matured Balloon","Non-Performing Matured Balloon",IF(OR($X456="Late Payment But Less Than 30 Days Delinquent",LEFT($X456&amp;"",20)="Payment Not Received"),"Late / In Grace (&lt;30 Days)",IF($X456="Performing Matured Balloon","Performing Matured Balloon","Current")))))))))</f>
        <v/>
      </c>
      <c r="CD456" s="78">
        <f>IF(OR($CC456="REO",$CC456="Foreclosure",$CC456="90+ Days Delinquent",$CC456="60 Days Delinquent",$CC456="30 Days Delinquent",$CC456="Non-Performing Matured Balloon"),1,0)</f>
        <v/>
      </c>
      <c r="CE456" s="76">
        <f>IF($AB456="Currently special serv","Currently Specially Serviced",IF($AB456="Returned to master serv","Previously Specially Serviced","Never Specially Serviced"))</f>
        <v/>
      </c>
      <c r="CF456" s="78">
        <f>IF($CE456="Currently Specially Serviced",1,0)</f>
        <v/>
      </c>
      <c r="CG456" s="76">
        <f>IF($AA456="Yes","Currently on Watchlist",IF($AA456="Previously","Previously on Watchlist","Never on Watchlist"))</f>
        <v/>
      </c>
      <c r="CH456" s="78">
        <f>IF($CG456="Currently on Watchlist",1,0)</f>
        <v/>
      </c>
      <c r="CI456" s="76">
        <f>IF($Z456="Full Defeasance","Fully Defeased",IF($Z456="Portion Of Loan Previously Defeased","Partially Defeased",IF($Z456="Defeasance Not Allowable","Not Defeased (Not Permitted)","Not Defeased")))</f>
        <v/>
      </c>
      <c r="CJ456" s="78">
        <f>IF($CI456="Fully Defeased",1,0)</f>
        <v/>
      </c>
      <c r="CK456" s="76">
        <f>IF($R456="IO","Full IO",IF(LEFT($R456&amp;"",7)="IO then","Partial IO","Amortizing"))</f>
        <v/>
      </c>
      <c r="CL456" s="78">
        <f>IF($CK456="Full IO",1,0)</f>
        <v/>
      </c>
      <c r="CM456" s="78">
        <f>IF($CK456="Partial IO",1,0)</f>
        <v/>
      </c>
      <c r="CN456" s="76">
        <f>IF(LEFT($F456&amp;"",10)="SPLIT_LOAN","Pari Passu Split","Standalone")</f>
        <v/>
      </c>
      <c r="CO456" s="78">
        <f>IF($CN456="Pari Passu Split",1,0)</f>
        <v/>
      </c>
      <c r="CP456" s="77">
        <f>IF(ISNUMBER($T456),YEAR($T456),"")</f>
        <v/>
      </c>
      <c r="CQ456" s="79">
        <f>IF(ISNUMBER($V456),$V456,IF(ISNUMBER($U456),$U456,""))</f>
        <v/>
      </c>
      <c r="CR456" s="77">
        <f>IF(ISNUMBER($CQ456),YEAR($CQ456),"")</f>
        <v/>
      </c>
      <c r="CS456" s="78">
        <f>IF(ISNUMBER($M456),MAX(0,$M456),IF(TRIM($M456&amp;"")="matured",0,""))</f>
        <v/>
      </c>
      <c r="CT456" s="78">
        <f>IF(AND(ISNUMBER($CS456),N($CS456)&lt;=mMatWindow),1,0)</f>
        <v/>
      </c>
      <c r="CU456" s="80">
        <f>IF(ISNUMBER($J456),$J456/100,"")</f>
        <v/>
      </c>
      <c r="CV456" s="81">
        <f>IF(ISNUMBER($AQ456),$AQ456,"")</f>
        <v/>
      </c>
      <c r="CW456" s="81">
        <f>IF(ISNUMBER($AR456),$AR456,"")</f>
        <v/>
      </c>
      <c r="CX456" s="82">
        <f>IF(ISNUMBER($AS456),$AS456/100,"")</f>
        <v/>
      </c>
      <c r="CY456" s="82">
        <f>IF(ISNUMBER($AT456),$AT456/100,"")</f>
        <v/>
      </c>
      <c r="CZ456" s="82">
        <f>IF(ISNUMBER($AU456),$AU456/100,"")</f>
        <v/>
      </c>
      <c r="DA456" s="82">
        <f>IF(ISNUMBER($AV456),$AV456/100,"")</f>
        <v/>
      </c>
      <c r="DB456" s="82">
        <f>IF(ISNUMBER($AW456),$AW456/100,"")</f>
        <v/>
      </c>
      <c r="DC456" s="82">
        <f>IF(ISNUMBER($AX456),$AX456/100,"")</f>
        <v/>
      </c>
      <c r="DD456" s="77">
        <f>IFERROR(VALUE(LEFT(TRIM($AO456&amp;""),4)),"")</f>
        <v/>
      </c>
      <c r="DE456" s="78">
        <f>IF(AND($BY456=1,$BX456=1,OR(fDeal="All Deals",$BU456=fDeal),OR(fEntity="All Entities",$BV456=fEntity),OR(fPType="All Property Types",$BZ456=fPType),OR(fDefeased="Include",$CJ456=0)),1,0)</f>
        <v/>
      </c>
      <c r="DF456" s="83">
        <f>$DE456*N($I456)</f>
        <v/>
      </c>
      <c r="DG456" s="78">
        <f>IF($DE456=1,IF(COUNTIFS($F$8:$F456,$F456,$DE$8:$DE456,1)=1,1,0),0)</f>
        <v/>
      </c>
      <c r="DH456" s="83">
        <f>IF($DG456=1,SUMIFS($DF$8:$DF$1600,$F$8:$F$1600,$F456),0)</f>
        <v/>
      </c>
      <c r="DI456" s="78">
        <f>IF($DG456=1,COUNTIFS($F$8:$F$1600,$F456,$DE$8:$DE$1600,1),0)</f>
        <v/>
      </c>
      <c r="DJ456" s="84">
        <f>IF($DG456=1,$DH456+(100000-ROW())/mTieBreak,0)</f>
        <v/>
      </c>
    </row>
    <row r="457">
      <c r="B457" s="68" t="n">
        <v>29</v>
      </c>
      <c r="C457" s="69" t="inlineStr">
        <is>
          <t>UBS17C05</t>
        </is>
      </c>
      <c r="D457" s="69" t="inlineStr">
        <is>
          <t>29.000</t>
        </is>
      </c>
      <c r="E457" s="69" t="inlineStr">
        <is>
          <t>Murrieta Plaza</t>
        </is>
      </c>
      <c r="F457" s="69" t="inlineStr">
        <is>
          <t>SPLIT_LOAN_01123</t>
        </is>
      </c>
      <c r="G457" s="70" t="n">
        <v>1123</v>
      </c>
      <c r="H457" s="71" t="n">
        <v>10000000</v>
      </c>
      <c r="I457" s="71" t="n">
        <v>9375229.199999999</v>
      </c>
      <c r="J457" s="72" t="n">
        <v>4.577</v>
      </c>
      <c r="K457" s="69" t="inlineStr">
        <is>
          <t>Fixed rate</t>
        </is>
      </c>
      <c r="L457" s="68" t="n">
        <v>120</v>
      </c>
      <c r="M457" s="68" t="n">
        <v>14</v>
      </c>
      <c r="N457" s="68" t="n">
        <v>420</v>
      </c>
      <c r="O457" s="68" t="n">
        <v>60</v>
      </c>
      <c r="P457" s="68" t="n">
        <v>0</v>
      </c>
      <c r="Q457" s="68" t="n">
        <v>106</v>
      </c>
      <c r="R457" s="69" t="inlineStr">
        <is>
          <t>IO then Amort</t>
        </is>
      </c>
      <c r="S457" s="69" t="inlineStr">
        <is>
          <t>No</t>
        </is>
      </c>
      <c r="T457" s="73" t="n">
        <v>43040</v>
      </c>
      <c r="U457" s="73" t="n">
        <v>46692</v>
      </c>
      <c r="V457" s="73" t="n"/>
      <c r="W457" s="69" t="n"/>
      <c r="X457" s="69" t="inlineStr">
        <is>
          <t>Current</t>
        </is>
      </c>
      <c r="Y457" s="68" t="n"/>
      <c r="Z457" s="69" t="inlineStr">
        <is>
          <t>Defeasance Not Allowable</t>
        </is>
      </c>
      <c r="AA457" s="69" t="inlineStr">
        <is>
          <t>Yes</t>
        </is>
      </c>
      <c r="AB457" s="69" t="inlineStr">
        <is>
          <t>Never special serv</t>
        </is>
      </c>
      <c r="AC457" s="73" t="n"/>
      <c r="AD457" s="69" t="n"/>
      <c r="AE457" s="69" t="n"/>
      <c r="AF457" s="69" t="inlineStr">
        <is>
          <t>CA</t>
        </is>
      </c>
      <c r="AG457" s="69" t="inlineStr">
        <is>
          <t>Murrieta</t>
        </is>
      </c>
      <c r="AH457" s="69" t="inlineStr">
        <is>
          <t>Riverside-San Bernardino-Ontario, CA</t>
        </is>
      </c>
      <c r="AI457" s="69" t="inlineStr">
        <is>
          <t>West / Pacific South</t>
        </is>
      </c>
      <c r="AJ457" s="69" t="inlineStr">
        <is>
          <t>RT</t>
        </is>
      </c>
      <c r="AK457" s="69" t="inlineStr">
        <is>
          <t>Anchored</t>
        </is>
      </c>
      <c r="AL457" s="68" t="n">
        <v>1</v>
      </c>
      <c r="AM457" s="68" t="n"/>
      <c r="AN457" s="68" t="n">
        <v>141122</v>
      </c>
      <c r="AO457" s="69" t="inlineStr">
        <is>
          <t>2005-2008</t>
        </is>
      </c>
      <c r="AP457" s="70" t="n">
        <v>2008</v>
      </c>
      <c r="AQ457" s="74" t="n">
        <v>1.37</v>
      </c>
      <c r="AR457" s="74" t="n">
        <v>0.71</v>
      </c>
      <c r="AS457" s="74" t="n">
        <v>65</v>
      </c>
      <c r="AT457" s="74" t="n">
        <v>60.9</v>
      </c>
      <c r="AU457" s="74" t="n">
        <v>59.5</v>
      </c>
      <c r="AV457" s="74" t="n">
        <v>8.377666211999999</v>
      </c>
      <c r="AW457" s="74" t="n">
        <v>4.631643275</v>
      </c>
      <c r="AX457" s="75" t="n">
        <v>57</v>
      </c>
      <c r="AY457" s="71" t="n">
        <v>50800000</v>
      </c>
      <c r="AZ457" s="71" t="n">
        <v>50800000</v>
      </c>
      <c r="BA457" s="71" t="n">
        <v>2764629.85</v>
      </c>
      <c r="BB457" s="71" t="n">
        <v>1432949.67</v>
      </c>
      <c r="BC457" s="69" t="inlineStr">
        <is>
          <t>Refinance</t>
        </is>
      </c>
      <c r="BD457" s="69" t="inlineStr">
        <is>
          <t>N</t>
        </is>
      </c>
      <c r="BE457" s="71" t="n">
        <v>21563027.16</v>
      </c>
      <c r="BF457" s="71" t="n"/>
      <c r="BG457" s="71" t="n"/>
      <c r="BH457" s="71" t="n">
        <v>0</v>
      </c>
      <c r="BI457" s="71" t="n">
        <v>0</v>
      </c>
      <c r="BJ457" s="69" t="inlineStr">
        <is>
          <t>N</t>
        </is>
      </c>
      <c r="BK457" s="69" t="inlineStr">
        <is>
          <t>SAM'S CLUB #4822 SALE</t>
        </is>
      </c>
      <c r="BL457" s="75" t="n">
        <v>110.01</v>
      </c>
      <c r="BM457" s="73" t="n">
        <v>55153</v>
      </c>
      <c r="BN457" s="69" t="inlineStr">
        <is>
          <t>E. Stanley Kroenke</t>
        </is>
      </c>
      <c r="BO457" s="69" t="inlineStr">
        <is>
          <t>Regions Bank</t>
        </is>
      </c>
      <c r="BP457" s="69" t="inlineStr">
        <is>
          <t>Midland Loan Services</t>
        </is>
      </c>
      <c r="BQ457" s="69" t="inlineStr">
        <is>
          <t>Rialto Capital</t>
        </is>
      </c>
      <c r="BR457" s="69" t="n"/>
      <c r="BS457" s="73" t="n">
        <v>46276</v>
      </c>
      <c r="BU457" s="76">
        <f>IF($C457="","",IFERROR(INDEX(dmName,MATCH($C457,dmID,0)),"Unmapped"))</f>
        <v/>
      </c>
      <c r="BV457" s="76">
        <f>IF($C457="","",IFERROR(INDEX(dmEntity,MATCH($C457,dmID,0)),"Unmapped"))</f>
        <v/>
      </c>
      <c r="BW457" s="77">
        <f>IF($C457="","",IFERROR(INDEX(dmVintage,MATCH($C457,dmID,0)),""))</f>
        <v/>
      </c>
      <c r="BX457" s="78">
        <f>IFERROR(INDEX(dmInclude,MATCH($C457,dmID,0)),0)</f>
        <v/>
      </c>
      <c r="BY457" s="78">
        <f>IF(N($I457)&gt;0,1,0)</f>
        <v/>
      </c>
      <c r="BZ457" s="76">
        <f>IF($AJ457="","Other / Leased Fee",IFERROR(INDEX(mapPTGroup,MATCH(LEFT(TRIM($AJ457),2),mapPTCode,0)),"Other / Leased Fee"))</f>
        <v/>
      </c>
      <c r="CA457" s="76">
        <f>IF(TRIM($AF457&amp;"")="","NR",LEFT(TRIM($AF457),2))</f>
        <v/>
      </c>
      <c r="CB457" s="76">
        <f>IFERROR(LOOKUP(2,1/(LEFT(TRIM($AI457&amp;""),LEN(mapRegion))=mapRegion),mapRegion),"Not Reported")</f>
        <v/>
      </c>
      <c r="CC457" s="76">
        <f>IF($BY457=0,"",IF(TRIM($W457&amp;"")="REO","REO",IF(TRIM($W457&amp;"")="FC","Foreclosure",IF(TRIM($W457&amp;"")="90+","90+ Days Delinquent",IF(TRIM($W457&amp;"")="60","60 Days Delinquent",IF(TRIM($W457&amp;"")="30","30 Days Delinquent",IF($X457="Non-Performing Matured Balloon","Non-Performing Matured Balloon",IF(OR($X457="Late Payment But Less Than 30 Days Delinquent",LEFT($X457&amp;"",20)="Payment Not Received"),"Late / In Grace (&lt;30 Days)",IF($X457="Performing Matured Balloon","Performing Matured Balloon","Current")))))))))</f>
        <v/>
      </c>
      <c r="CD457" s="78">
        <f>IF(OR($CC457="REO",$CC457="Foreclosure",$CC457="90+ Days Delinquent",$CC457="60 Days Delinquent",$CC457="30 Days Delinquent",$CC457="Non-Performing Matured Balloon"),1,0)</f>
        <v/>
      </c>
      <c r="CE457" s="76">
        <f>IF($AB457="Currently special serv","Currently Specially Serviced",IF($AB457="Returned to master serv","Previously Specially Serviced","Never Specially Serviced"))</f>
        <v/>
      </c>
      <c r="CF457" s="78">
        <f>IF($CE457="Currently Specially Serviced",1,0)</f>
        <v/>
      </c>
      <c r="CG457" s="76">
        <f>IF($AA457="Yes","Currently on Watchlist",IF($AA457="Previously","Previously on Watchlist","Never on Watchlist"))</f>
        <v/>
      </c>
      <c r="CH457" s="78">
        <f>IF($CG457="Currently on Watchlist",1,0)</f>
        <v/>
      </c>
      <c r="CI457" s="76">
        <f>IF($Z457="Full Defeasance","Fully Defeased",IF($Z457="Portion Of Loan Previously Defeased","Partially Defeased",IF($Z457="Defeasance Not Allowable","Not Defeased (Not Permitted)","Not Defeased")))</f>
        <v/>
      </c>
      <c r="CJ457" s="78">
        <f>IF($CI457="Fully Defeased",1,0)</f>
        <v/>
      </c>
      <c r="CK457" s="76">
        <f>IF($R457="IO","Full IO",IF(LEFT($R457&amp;"",7)="IO then","Partial IO","Amortizing"))</f>
        <v/>
      </c>
      <c r="CL457" s="78">
        <f>IF($CK457="Full IO",1,0)</f>
        <v/>
      </c>
      <c r="CM457" s="78">
        <f>IF($CK457="Partial IO",1,0)</f>
        <v/>
      </c>
      <c r="CN457" s="76">
        <f>IF(LEFT($F457&amp;"",10)="SPLIT_LOAN","Pari Passu Split","Standalone")</f>
        <v/>
      </c>
      <c r="CO457" s="78">
        <f>IF($CN457="Pari Passu Split",1,0)</f>
        <v/>
      </c>
      <c r="CP457" s="77">
        <f>IF(ISNUMBER($T457),YEAR($T457),"")</f>
        <v/>
      </c>
      <c r="CQ457" s="79">
        <f>IF(ISNUMBER($V457),$V457,IF(ISNUMBER($U457),$U457,""))</f>
        <v/>
      </c>
      <c r="CR457" s="77">
        <f>IF(ISNUMBER($CQ457),YEAR($CQ457),"")</f>
        <v/>
      </c>
      <c r="CS457" s="78">
        <f>IF(ISNUMBER($M457),MAX(0,$M457),IF(TRIM($M457&amp;"")="matured",0,""))</f>
        <v/>
      </c>
      <c r="CT457" s="78">
        <f>IF(AND(ISNUMBER($CS457),N($CS457)&lt;=mMatWindow),1,0)</f>
        <v/>
      </c>
      <c r="CU457" s="80">
        <f>IF(ISNUMBER($J457),$J457/100,"")</f>
        <v/>
      </c>
      <c r="CV457" s="81">
        <f>IF(ISNUMBER($AQ457),$AQ457,"")</f>
        <v/>
      </c>
      <c r="CW457" s="81">
        <f>IF(ISNUMBER($AR457),$AR457,"")</f>
        <v/>
      </c>
      <c r="CX457" s="82">
        <f>IF(ISNUMBER($AS457),$AS457/100,"")</f>
        <v/>
      </c>
      <c r="CY457" s="82">
        <f>IF(ISNUMBER($AT457),$AT457/100,"")</f>
        <v/>
      </c>
      <c r="CZ457" s="82">
        <f>IF(ISNUMBER($AU457),$AU457/100,"")</f>
        <v/>
      </c>
      <c r="DA457" s="82">
        <f>IF(ISNUMBER($AV457),$AV457/100,"")</f>
        <v/>
      </c>
      <c r="DB457" s="82">
        <f>IF(ISNUMBER($AW457),$AW457/100,"")</f>
        <v/>
      </c>
      <c r="DC457" s="82">
        <f>IF(ISNUMBER($AX457),$AX457/100,"")</f>
        <v/>
      </c>
      <c r="DD457" s="77">
        <f>IFERROR(VALUE(LEFT(TRIM($AO457&amp;""),4)),"")</f>
        <v/>
      </c>
      <c r="DE457" s="78">
        <f>IF(AND($BY457=1,$BX457=1,OR(fDeal="All Deals",$BU457=fDeal),OR(fEntity="All Entities",$BV457=fEntity),OR(fPType="All Property Types",$BZ457=fPType),OR(fDefeased="Include",$CJ457=0)),1,0)</f>
        <v/>
      </c>
      <c r="DF457" s="83">
        <f>$DE457*N($I457)</f>
        <v/>
      </c>
      <c r="DG457" s="78">
        <f>IF($DE457=1,IF(COUNTIFS($F$8:$F457,$F457,$DE$8:$DE457,1)=1,1,0),0)</f>
        <v/>
      </c>
      <c r="DH457" s="83">
        <f>IF($DG457=1,SUMIFS($DF$8:$DF$1600,$F$8:$F$1600,$F457),0)</f>
        <v/>
      </c>
      <c r="DI457" s="78">
        <f>IF($DG457=1,COUNTIFS($F$8:$F$1600,$F457,$DE$8:$DE$1600,1),0)</f>
        <v/>
      </c>
      <c r="DJ457" s="84">
        <f>IF($DG457=1,$DH457+(100000-ROW())/mTieBreak,0)</f>
        <v/>
      </c>
    </row>
    <row r="458">
      <c r="B458" s="68" t="n">
        <v>30</v>
      </c>
      <c r="C458" s="69" t="inlineStr">
        <is>
          <t>UBS17C05</t>
        </is>
      </c>
      <c r="D458" s="69" t="inlineStr">
        <is>
          <t>30.000</t>
        </is>
      </c>
      <c r="E458" s="69" t="inlineStr">
        <is>
          <t>Holiday Inn Express Tallahassee</t>
        </is>
      </c>
      <c r="F458" s="69" t="inlineStr">
        <is>
          <t>LNUBS17C05-30.000</t>
        </is>
      </c>
      <c r="G458" s="70" t="n"/>
      <c r="H458" s="71" t="n">
        <v>9400000</v>
      </c>
      <c r="I458" s="71" t="n">
        <v>7300430.269999001</v>
      </c>
      <c r="J458" s="72" t="n">
        <v>5.1</v>
      </c>
      <c r="K458" s="69" t="inlineStr">
        <is>
          <t>Fixed rate</t>
        </is>
      </c>
      <c r="L458" s="68" t="n">
        <v>120</v>
      </c>
      <c r="M458" s="68" t="n">
        <v>10</v>
      </c>
      <c r="N458" s="68" t="n">
        <v>300</v>
      </c>
      <c r="O458" s="68" t="n"/>
      <c r="P458" s="68" t="n"/>
      <c r="Q458" s="68" t="n">
        <v>110</v>
      </c>
      <c r="R458" s="69" t="n"/>
      <c r="S458" s="69" t="inlineStr">
        <is>
          <t>No</t>
        </is>
      </c>
      <c r="T458" s="73" t="n">
        <v>42917</v>
      </c>
      <c r="U458" s="73" t="n">
        <v>46574</v>
      </c>
      <c r="V458" s="73" t="n"/>
      <c r="W458" s="69" t="n"/>
      <c r="X458" s="69" t="inlineStr">
        <is>
          <t>Current</t>
        </is>
      </c>
      <c r="Y458" s="68" t="n"/>
      <c r="Z458" s="69" t="inlineStr">
        <is>
          <t>No Defeasance Occurred</t>
        </is>
      </c>
      <c r="AA458" s="69" t="inlineStr">
        <is>
          <t>Yes</t>
        </is>
      </c>
      <c r="AB458" s="69" t="inlineStr">
        <is>
          <t>Returned to master serv</t>
        </is>
      </c>
      <c r="AC458" s="73" t="n"/>
      <c r="AD458" s="69" t="inlineStr">
        <is>
          <t>Other</t>
        </is>
      </c>
      <c r="AE458" s="69" t="inlineStr">
        <is>
          <t>Resolved</t>
        </is>
      </c>
      <c r="AF458" s="69" t="inlineStr">
        <is>
          <t>FL</t>
        </is>
      </c>
      <c r="AG458" s="69" t="inlineStr">
        <is>
          <t>Tallahassee</t>
        </is>
      </c>
      <c r="AH458" s="69" t="inlineStr">
        <is>
          <t>Tallahassee, FL</t>
        </is>
      </c>
      <c r="AI458" s="69" t="inlineStr">
        <is>
          <t>South / Atlantic</t>
        </is>
      </c>
      <c r="AJ458" s="69" t="inlineStr">
        <is>
          <t>HT</t>
        </is>
      </c>
      <c r="AK458" s="69" t="inlineStr">
        <is>
          <t>Limited Service</t>
        </is>
      </c>
      <c r="AL458" s="68" t="n">
        <v>1</v>
      </c>
      <c r="AM458" s="68" t="n">
        <v>135</v>
      </c>
      <c r="AN458" s="68" t="n"/>
      <c r="AO458" s="69" t="inlineStr">
        <is>
          <t>1991</t>
        </is>
      </c>
      <c r="AP458" s="70" t="n">
        <v>2014</v>
      </c>
      <c r="AQ458" s="74" t="n">
        <v>1.92</v>
      </c>
      <c r="AR458" s="74" t="n">
        <v>0.9</v>
      </c>
      <c r="AS458" s="74" t="n">
        <v>66.7</v>
      </c>
      <c r="AT458" s="74" t="n">
        <v>64.04000000000001</v>
      </c>
      <c r="AU458" s="74" t="n">
        <v>50.4</v>
      </c>
      <c r="AV458" s="74" t="n">
        <v>13.598659574</v>
      </c>
      <c r="AW458" s="74" t="n">
        <v>7.659329784</v>
      </c>
      <c r="AX458" s="75" t="n">
        <v>68</v>
      </c>
      <c r="AY458" s="71" t="n">
        <v>14000000</v>
      </c>
      <c r="AZ458" s="71" t="n">
        <v>11400000</v>
      </c>
      <c r="BA458" s="71" t="n">
        <v>1278274</v>
      </c>
      <c r="BB458" s="71" t="n">
        <v>598336.46</v>
      </c>
      <c r="BC458" s="69" t="inlineStr">
        <is>
          <t>Acquisition</t>
        </is>
      </c>
      <c r="BD458" s="69" t="inlineStr">
        <is>
          <t>N</t>
        </is>
      </c>
      <c r="BE458" s="71" t="n"/>
      <c r="BF458" s="71" t="n"/>
      <c r="BG458" s="71" t="n"/>
      <c r="BH458" s="71" t="n">
        <v>0</v>
      </c>
      <c r="BI458" s="71" t="n">
        <v>0</v>
      </c>
      <c r="BJ458" s="69" t="inlineStr">
        <is>
          <t>Y</t>
        </is>
      </c>
      <c r="BK458" s="69" t="n"/>
      <c r="BL458" s="75" t="n"/>
      <c r="BM458" s="73" t="n"/>
      <c r="BN458" s="69" t="inlineStr">
        <is>
          <t>John D. Forbess and Elayne K. Garber, M.D.</t>
        </is>
      </c>
      <c r="BO458" s="69" t="inlineStr">
        <is>
          <t>Cantor Commercial Real Estate Lending</t>
        </is>
      </c>
      <c r="BP458" s="69" t="inlineStr">
        <is>
          <t>Midland Loan Services</t>
        </is>
      </c>
      <c r="BQ458" s="69" t="inlineStr">
        <is>
          <t>K-Star Asset Management LLC</t>
        </is>
      </c>
      <c r="BR458" s="69" t="n"/>
      <c r="BS458" s="73" t="n">
        <v>46276</v>
      </c>
      <c r="BU458" s="76">
        <f>IF($C458="","",IFERROR(INDEX(dmName,MATCH($C458,dmID,0)),"Unmapped"))</f>
        <v/>
      </c>
      <c r="BV458" s="76">
        <f>IF($C458="","",IFERROR(INDEX(dmEntity,MATCH($C458,dmID,0)),"Unmapped"))</f>
        <v/>
      </c>
      <c r="BW458" s="77">
        <f>IF($C458="","",IFERROR(INDEX(dmVintage,MATCH($C458,dmID,0)),""))</f>
        <v/>
      </c>
      <c r="BX458" s="78">
        <f>IFERROR(INDEX(dmInclude,MATCH($C458,dmID,0)),0)</f>
        <v/>
      </c>
      <c r="BY458" s="78">
        <f>IF(N($I458)&gt;0,1,0)</f>
        <v/>
      </c>
      <c r="BZ458" s="76">
        <f>IF($AJ458="","Other / Leased Fee",IFERROR(INDEX(mapPTGroup,MATCH(LEFT(TRIM($AJ458),2),mapPTCode,0)),"Other / Leased Fee"))</f>
        <v/>
      </c>
      <c r="CA458" s="76">
        <f>IF(TRIM($AF458&amp;"")="","NR",LEFT(TRIM($AF458),2))</f>
        <v/>
      </c>
      <c r="CB458" s="76">
        <f>IFERROR(LOOKUP(2,1/(LEFT(TRIM($AI458&amp;""),LEN(mapRegion))=mapRegion),mapRegion),"Not Reported")</f>
        <v/>
      </c>
      <c r="CC458" s="76">
        <f>IF($BY458=0,"",IF(TRIM($W458&amp;"")="REO","REO",IF(TRIM($W458&amp;"")="FC","Foreclosure",IF(TRIM($W458&amp;"")="90+","90+ Days Delinquent",IF(TRIM($W458&amp;"")="60","60 Days Delinquent",IF(TRIM($W458&amp;"")="30","30 Days Delinquent",IF($X458="Non-Performing Matured Balloon","Non-Performing Matured Balloon",IF(OR($X458="Late Payment But Less Than 30 Days Delinquent",LEFT($X458&amp;"",20)="Payment Not Received"),"Late / In Grace (&lt;30 Days)",IF($X458="Performing Matured Balloon","Performing Matured Balloon","Current")))))))))</f>
        <v/>
      </c>
      <c r="CD458" s="78">
        <f>IF(OR($CC458="REO",$CC458="Foreclosure",$CC458="90+ Days Delinquent",$CC458="60 Days Delinquent",$CC458="30 Days Delinquent",$CC458="Non-Performing Matured Balloon"),1,0)</f>
        <v/>
      </c>
      <c r="CE458" s="76">
        <f>IF($AB458="Currently special serv","Currently Specially Serviced",IF($AB458="Returned to master serv","Previously Specially Serviced","Never Specially Serviced"))</f>
        <v/>
      </c>
      <c r="CF458" s="78">
        <f>IF($CE458="Currently Specially Serviced",1,0)</f>
        <v/>
      </c>
      <c r="CG458" s="76">
        <f>IF($AA458="Yes","Currently on Watchlist",IF($AA458="Previously","Previously on Watchlist","Never on Watchlist"))</f>
        <v/>
      </c>
      <c r="CH458" s="78">
        <f>IF($CG458="Currently on Watchlist",1,0)</f>
        <v/>
      </c>
      <c r="CI458" s="76">
        <f>IF($Z458="Full Defeasance","Fully Defeased",IF($Z458="Portion Of Loan Previously Defeased","Partially Defeased",IF($Z458="Defeasance Not Allowable","Not Defeased (Not Permitted)","Not Defeased")))</f>
        <v/>
      </c>
      <c r="CJ458" s="78">
        <f>IF($CI458="Fully Defeased",1,0)</f>
        <v/>
      </c>
      <c r="CK458" s="76">
        <f>IF($R458="IO","Full IO",IF(LEFT($R458&amp;"",7)="IO then","Partial IO","Amortizing"))</f>
        <v/>
      </c>
      <c r="CL458" s="78">
        <f>IF($CK458="Full IO",1,0)</f>
        <v/>
      </c>
      <c r="CM458" s="78">
        <f>IF($CK458="Partial IO",1,0)</f>
        <v/>
      </c>
      <c r="CN458" s="76">
        <f>IF(LEFT($F458&amp;"",10)="SPLIT_LOAN","Pari Passu Split","Standalone")</f>
        <v/>
      </c>
      <c r="CO458" s="78">
        <f>IF($CN458="Pari Passu Split",1,0)</f>
        <v/>
      </c>
      <c r="CP458" s="77">
        <f>IF(ISNUMBER($T458),YEAR($T458),"")</f>
        <v/>
      </c>
      <c r="CQ458" s="79">
        <f>IF(ISNUMBER($V458),$V458,IF(ISNUMBER($U458),$U458,""))</f>
        <v/>
      </c>
      <c r="CR458" s="77">
        <f>IF(ISNUMBER($CQ458),YEAR($CQ458),"")</f>
        <v/>
      </c>
      <c r="CS458" s="78">
        <f>IF(ISNUMBER($M458),MAX(0,$M458),IF(TRIM($M458&amp;"")="matured",0,""))</f>
        <v/>
      </c>
      <c r="CT458" s="78">
        <f>IF(AND(ISNUMBER($CS458),N($CS458)&lt;=mMatWindow),1,0)</f>
        <v/>
      </c>
      <c r="CU458" s="80">
        <f>IF(ISNUMBER($J458),$J458/100,"")</f>
        <v/>
      </c>
      <c r="CV458" s="81">
        <f>IF(ISNUMBER($AQ458),$AQ458,"")</f>
        <v/>
      </c>
      <c r="CW458" s="81">
        <f>IF(ISNUMBER($AR458),$AR458,"")</f>
        <v/>
      </c>
      <c r="CX458" s="82">
        <f>IF(ISNUMBER($AS458),$AS458/100,"")</f>
        <v/>
      </c>
      <c r="CY458" s="82">
        <f>IF(ISNUMBER($AT458),$AT458/100,"")</f>
        <v/>
      </c>
      <c r="CZ458" s="82">
        <f>IF(ISNUMBER($AU458),$AU458/100,"")</f>
        <v/>
      </c>
      <c r="DA458" s="82">
        <f>IF(ISNUMBER($AV458),$AV458/100,"")</f>
        <v/>
      </c>
      <c r="DB458" s="82">
        <f>IF(ISNUMBER($AW458),$AW458/100,"")</f>
        <v/>
      </c>
      <c r="DC458" s="82">
        <f>IF(ISNUMBER($AX458),$AX458/100,"")</f>
        <v/>
      </c>
      <c r="DD458" s="77">
        <f>IFERROR(VALUE(LEFT(TRIM($AO458&amp;""),4)),"")</f>
        <v/>
      </c>
      <c r="DE458" s="78">
        <f>IF(AND($BY458=1,$BX458=1,OR(fDeal="All Deals",$BU458=fDeal),OR(fEntity="All Entities",$BV458=fEntity),OR(fPType="All Property Types",$BZ458=fPType),OR(fDefeased="Include",$CJ458=0)),1,0)</f>
        <v/>
      </c>
      <c r="DF458" s="83">
        <f>$DE458*N($I458)</f>
        <v/>
      </c>
      <c r="DG458" s="78">
        <f>IF($DE458=1,IF(COUNTIFS($F$8:$F458,$F458,$DE$8:$DE458,1)=1,1,0),0)</f>
        <v/>
      </c>
      <c r="DH458" s="83">
        <f>IF($DG458=1,SUMIFS($DF$8:$DF$1600,$F$8:$F$1600,$F458),0)</f>
        <v/>
      </c>
      <c r="DI458" s="78">
        <f>IF($DG458=1,COUNTIFS($F$8:$F$1600,$F458,$DE$8:$DE$1600,1),0)</f>
        <v/>
      </c>
      <c r="DJ458" s="84">
        <f>IF($DG458=1,$DH458+(100000-ROW())/mTieBreak,0)</f>
        <v/>
      </c>
    </row>
    <row r="459">
      <c r="B459" s="68" t="n">
        <v>31</v>
      </c>
      <c r="C459" s="69" t="inlineStr">
        <is>
          <t>UBS17C05</t>
        </is>
      </c>
      <c r="D459" s="69" t="inlineStr">
        <is>
          <t>31.000</t>
        </is>
      </c>
      <c r="E459" s="69" t="inlineStr">
        <is>
          <t>Winn Dixie Covington</t>
        </is>
      </c>
      <c r="F459" s="69" t="inlineStr">
        <is>
          <t>LNUBS17C05-31.000</t>
        </is>
      </c>
      <c r="G459" s="70" t="n"/>
      <c r="H459" s="71" t="n">
        <v>8800000</v>
      </c>
      <c r="I459" s="71" t="n">
        <v>7914511.059998401</v>
      </c>
      <c r="J459" s="72" t="n">
        <v>4.53</v>
      </c>
      <c r="K459" s="69" t="inlineStr">
        <is>
          <t>Fixed rate</t>
        </is>
      </c>
      <c r="L459" s="68" t="n">
        <v>120</v>
      </c>
      <c r="M459" s="68" t="n">
        <v>14</v>
      </c>
      <c r="N459" s="68" t="n">
        <v>396</v>
      </c>
      <c r="O459" s="68" t="n">
        <v>36</v>
      </c>
      <c r="P459" s="68" t="n">
        <v>0</v>
      </c>
      <c r="Q459" s="68" t="n">
        <v>106</v>
      </c>
      <c r="R459" s="69" t="inlineStr">
        <is>
          <t>IO then Amort</t>
        </is>
      </c>
      <c r="S459" s="69" t="inlineStr">
        <is>
          <t>No</t>
        </is>
      </c>
      <c r="T459" s="73" t="n">
        <v>43040</v>
      </c>
      <c r="U459" s="73" t="n">
        <v>46692</v>
      </c>
      <c r="V459" s="73" t="n"/>
      <c r="W459" s="69" t="n"/>
      <c r="X459" s="69" t="inlineStr">
        <is>
          <t>Current</t>
        </is>
      </c>
      <c r="Y459" s="68" t="n"/>
      <c r="Z459" s="69" t="inlineStr">
        <is>
          <t>No Defeasance Occurred</t>
        </is>
      </c>
      <c r="AA459" s="69" t="inlineStr">
        <is>
          <t>Yes</t>
        </is>
      </c>
      <c r="AB459" s="69" t="inlineStr">
        <is>
          <t>Never special serv</t>
        </is>
      </c>
      <c r="AC459" s="73" t="n"/>
      <c r="AD459" s="69" t="n"/>
      <c r="AE459" s="69" t="n"/>
      <c r="AF459" s="69" t="inlineStr">
        <is>
          <t>LA</t>
        </is>
      </c>
      <c r="AG459" s="69" t="inlineStr">
        <is>
          <t>Covington</t>
        </is>
      </c>
      <c r="AH459" s="69" t="inlineStr">
        <is>
          <t>Slidell-Mandeville-Covington, LA</t>
        </is>
      </c>
      <c r="AI459" s="69" t="inlineStr">
        <is>
          <t>South / Central West</t>
        </is>
      </c>
      <c r="AJ459" s="69" t="inlineStr">
        <is>
          <t>RT</t>
        </is>
      </c>
      <c r="AK459" s="69" t="inlineStr">
        <is>
          <t>Single Tenant</t>
        </is>
      </c>
      <c r="AL459" s="68" t="n">
        <v>1</v>
      </c>
      <c r="AM459" s="68" t="n"/>
      <c r="AN459" s="68" t="n">
        <v>53000</v>
      </c>
      <c r="AO459" s="69" t="inlineStr">
        <is>
          <t>2010</t>
        </is>
      </c>
      <c r="AP459" s="70" t="n">
        <v>2010</v>
      </c>
      <c r="AQ459" s="74" t="n">
        <v>1.46</v>
      </c>
      <c r="AR459" s="74" t="n">
        <v>1.31</v>
      </c>
      <c r="AS459" s="74" t="n">
        <v>71</v>
      </c>
      <c r="AT459" s="74" t="n">
        <v>63.83</v>
      </c>
      <c r="AU459" s="74" t="n">
        <v>62.2</v>
      </c>
      <c r="AV459" s="74" t="n">
        <v>8.885068522999999</v>
      </c>
      <c r="AW459" s="74" t="n">
        <v>8.806142979000001</v>
      </c>
      <c r="AX459" s="75" t="n">
        <v>100</v>
      </c>
      <c r="AY459" s="71" t="n">
        <v>12400000</v>
      </c>
      <c r="AZ459" s="71" t="n">
        <v>12400000</v>
      </c>
      <c r="BA459" s="71" t="n">
        <v>781886.03</v>
      </c>
      <c r="BB459" s="71" t="n">
        <v>702005.86</v>
      </c>
      <c r="BC459" s="69" t="inlineStr">
        <is>
          <t>Acquisition</t>
        </is>
      </c>
      <c r="BD459" s="69" t="inlineStr">
        <is>
          <t>N</t>
        </is>
      </c>
      <c r="BE459" s="71" t="n"/>
      <c r="BF459" s="71" t="n"/>
      <c r="BG459" s="71" t="n"/>
      <c r="BH459" s="71" t="n">
        <v>0</v>
      </c>
      <c r="BI459" s="71" t="n">
        <v>0</v>
      </c>
      <c r="BJ459" s="69" t="inlineStr">
        <is>
          <t>N</t>
        </is>
      </c>
      <c r="BK459" s="69" t="inlineStr">
        <is>
          <t>Winn Dixie</t>
        </is>
      </c>
      <c r="BL459" s="75" t="n">
        <v>100</v>
      </c>
      <c r="BM459" s="73" t="n">
        <v>47848</v>
      </c>
      <c r="BN459" s="69" t="inlineStr">
        <is>
          <t>Donald M. Jarreau, Jr.; Donnie Jarreau Developments, L.L.C.; Donnie Jarreau Properties, L.L.C.</t>
        </is>
      </c>
      <c r="BO459" s="69" t="inlineStr">
        <is>
          <t>Societe Generale</t>
        </is>
      </c>
      <c r="BP459" s="69" t="inlineStr">
        <is>
          <t>Midland Loan Services</t>
        </is>
      </c>
      <c r="BQ459" s="69" t="inlineStr">
        <is>
          <t>K-Star Asset Management LLC</t>
        </is>
      </c>
      <c r="BR459" s="69" t="n"/>
      <c r="BS459" s="73" t="n">
        <v>46276</v>
      </c>
      <c r="BU459" s="76">
        <f>IF($C459="","",IFERROR(INDEX(dmName,MATCH($C459,dmID,0)),"Unmapped"))</f>
        <v/>
      </c>
      <c r="BV459" s="76">
        <f>IF($C459="","",IFERROR(INDEX(dmEntity,MATCH($C459,dmID,0)),"Unmapped"))</f>
        <v/>
      </c>
      <c r="BW459" s="77">
        <f>IF($C459="","",IFERROR(INDEX(dmVintage,MATCH($C459,dmID,0)),""))</f>
        <v/>
      </c>
      <c r="BX459" s="78">
        <f>IFERROR(INDEX(dmInclude,MATCH($C459,dmID,0)),0)</f>
        <v/>
      </c>
      <c r="BY459" s="78">
        <f>IF(N($I459)&gt;0,1,0)</f>
        <v/>
      </c>
      <c r="BZ459" s="76">
        <f>IF($AJ459="","Other / Leased Fee",IFERROR(INDEX(mapPTGroup,MATCH(LEFT(TRIM($AJ459),2),mapPTCode,0)),"Other / Leased Fee"))</f>
        <v/>
      </c>
      <c r="CA459" s="76">
        <f>IF(TRIM($AF459&amp;"")="","NR",LEFT(TRIM($AF459),2))</f>
        <v/>
      </c>
      <c r="CB459" s="76">
        <f>IFERROR(LOOKUP(2,1/(LEFT(TRIM($AI459&amp;""),LEN(mapRegion))=mapRegion),mapRegion),"Not Reported")</f>
        <v/>
      </c>
      <c r="CC459" s="76">
        <f>IF($BY459=0,"",IF(TRIM($W459&amp;"")="REO","REO",IF(TRIM($W459&amp;"")="FC","Foreclosure",IF(TRIM($W459&amp;"")="90+","90+ Days Delinquent",IF(TRIM($W459&amp;"")="60","60 Days Delinquent",IF(TRIM($W459&amp;"")="30","30 Days Delinquent",IF($X459="Non-Performing Matured Balloon","Non-Performing Matured Balloon",IF(OR($X459="Late Payment But Less Than 30 Days Delinquent",LEFT($X459&amp;"",20)="Payment Not Received"),"Late / In Grace (&lt;30 Days)",IF($X459="Performing Matured Balloon","Performing Matured Balloon","Current")))))))))</f>
        <v/>
      </c>
      <c r="CD459" s="78">
        <f>IF(OR($CC459="REO",$CC459="Foreclosure",$CC459="90+ Days Delinquent",$CC459="60 Days Delinquent",$CC459="30 Days Delinquent",$CC459="Non-Performing Matured Balloon"),1,0)</f>
        <v/>
      </c>
      <c r="CE459" s="76">
        <f>IF($AB459="Currently special serv","Currently Specially Serviced",IF($AB459="Returned to master serv","Previously Specially Serviced","Never Specially Serviced"))</f>
        <v/>
      </c>
      <c r="CF459" s="78">
        <f>IF($CE459="Currently Specially Serviced",1,0)</f>
        <v/>
      </c>
      <c r="CG459" s="76">
        <f>IF($AA459="Yes","Currently on Watchlist",IF($AA459="Previously","Previously on Watchlist","Never on Watchlist"))</f>
        <v/>
      </c>
      <c r="CH459" s="78">
        <f>IF($CG459="Currently on Watchlist",1,0)</f>
        <v/>
      </c>
      <c r="CI459" s="76">
        <f>IF($Z459="Full Defeasance","Fully Defeased",IF($Z459="Portion Of Loan Previously Defeased","Partially Defeased",IF($Z459="Defeasance Not Allowable","Not Defeased (Not Permitted)","Not Defeased")))</f>
        <v/>
      </c>
      <c r="CJ459" s="78">
        <f>IF($CI459="Fully Defeased",1,0)</f>
        <v/>
      </c>
      <c r="CK459" s="76">
        <f>IF($R459="IO","Full IO",IF(LEFT($R459&amp;"",7)="IO then","Partial IO","Amortizing"))</f>
        <v/>
      </c>
      <c r="CL459" s="78">
        <f>IF($CK459="Full IO",1,0)</f>
        <v/>
      </c>
      <c r="CM459" s="78">
        <f>IF($CK459="Partial IO",1,0)</f>
        <v/>
      </c>
      <c r="CN459" s="76">
        <f>IF(LEFT($F459&amp;"",10)="SPLIT_LOAN","Pari Passu Split","Standalone")</f>
        <v/>
      </c>
      <c r="CO459" s="78">
        <f>IF($CN459="Pari Passu Split",1,0)</f>
        <v/>
      </c>
      <c r="CP459" s="77">
        <f>IF(ISNUMBER($T459),YEAR($T459),"")</f>
        <v/>
      </c>
      <c r="CQ459" s="79">
        <f>IF(ISNUMBER($V459),$V459,IF(ISNUMBER($U459),$U459,""))</f>
        <v/>
      </c>
      <c r="CR459" s="77">
        <f>IF(ISNUMBER($CQ459),YEAR($CQ459),"")</f>
        <v/>
      </c>
      <c r="CS459" s="78">
        <f>IF(ISNUMBER($M459),MAX(0,$M459),IF(TRIM($M459&amp;"")="matured",0,""))</f>
        <v/>
      </c>
      <c r="CT459" s="78">
        <f>IF(AND(ISNUMBER($CS459),N($CS459)&lt;=mMatWindow),1,0)</f>
        <v/>
      </c>
      <c r="CU459" s="80">
        <f>IF(ISNUMBER($J459),$J459/100,"")</f>
        <v/>
      </c>
      <c r="CV459" s="81">
        <f>IF(ISNUMBER($AQ459),$AQ459,"")</f>
        <v/>
      </c>
      <c r="CW459" s="81">
        <f>IF(ISNUMBER($AR459),$AR459,"")</f>
        <v/>
      </c>
      <c r="CX459" s="82">
        <f>IF(ISNUMBER($AS459),$AS459/100,"")</f>
        <v/>
      </c>
      <c r="CY459" s="82">
        <f>IF(ISNUMBER($AT459),$AT459/100,"")</f>
        <v/>
      </c>
      <c r="CZ459" s="82">
        <f>IF(ISNUMBER($AU459),$AU459/100,"")</f>
        <v/>
      </c>
      <c r="DA459" s="82">
        <f>IF(ISNUMBER($AV459),$AV459/100,"")</f>
        <v/>
      </c>
      <c r="DB459" s="82">
        <f>IF(ISNUMBER($AW459),$AW459/100,"")</f>
        <v/>
      </c>
      <c r="DC459" s="82">
        <f>IF(ISNUMBER($AX459),$AX459/100,"")</f>
        <v/>
      </c>
      <c r="DD459" s="77">
        <f>IFERROR(VALUE(LEFT(TRIM($AO459&amp;""),4)),"")</f>
        <v/>
      </c>
      <c r="DE459" s="78">
        <f>IF(AND($BY459=1,$BX459=1,OR(fDeal="All Deals",$BU459=fDeal),OR(fEntity="All Entities",$BV459=fEntity),OR(fPType="All Property Types",$BZ459=fPType),OR(fDefeased="Include",$CJ459=0)),1,0)</f>
        <v/>
      </c>
      <c r="DF459" s="83">
        <f>$DE459*N($I459)</f>
        <v/>
      </c>
      <c r="DG459" s="78">
        <f>IF($DE459=1,IF(COUNTIFS($F$8:$F459,$F459,$DE$8:$DE459,1)=1,1,0),0)</f>
        <v/>
      </c>
      <c r="DH459" s="83">
        <f>IF($DG459=1,SUMIFS($DF$8:$DF$1600,$F$8:$F$1600,$F459),0)</f>
        <v/>
      </c>
      <c r="DI459" s="78">
        <f>IF($DG459=1,COUNTIFS($F$8:$F$1600,$F459,$DE$8:$DE$1600,1),0)</f>
        <v/>
      </c>
      <c r="DJ459" s="84">
        <f>IF($DG459=1,$DH459+(100000-ROW())/mTieBreak,0)</f>
        <v/>
      </c>
    </row>
    <row r="460">
      <c r="B460" s="68" t="n">
        <v>32</v>
      </c>
      <c r="C460" s="69" t="inlineStr">
        <is>
          <t>UBS17C05</t>
        </is>
      </c>
      <c r="D460" s="69" t="inlineStr">
        <is>
          <t>32.000</t>
        </is>
      </c>
      <c r="E460" s="69" t="inlineStr">
        <is>
          <t>SNP Portfolio</t>
        </is>
      </c>
      <c r="F460" s="69" t="inlineStr">
        <is>
          <t>LNUBS17C05-32.000</t>
        </is>
      </c>
      <c r="G460" s="70" t="n"/>
      <c r="H460" s="71" t="n">
        <v>8800000</v>
      </c>
      <c r="I460" s="71" t="n">
        <v>7492723.590000002</v>
      </c>
      <c r="J460" s="72" t="n">
        <v>5.2242</v>
      </c>
      <c r="K460" s="69" t="inlineStr">
        <is>
          <t>Fixed rate</t>
        </is>
      </c>
      <c r="L460" s="68" t="n">
        <v>120</v>
      </c>
      <c r="M460" s="68" t="n">
        <v>13</v>
      </c>
      <c r="N460" s="68" t="n">
        <v>360</v>
      </c>
      <c r="O460" s="68" t="n"/>
      <c r="P460" s="68" t="n"/>
      <c r="Q460" s="68" t="n">
        <v>107</v>
      </c>
      <c r="R460" s="69" t="n"/>
      <c r="S460" s="69" t="inlineStr">
        <is>
          <t>No</t>
        </is>
      </c>
      <c r="T460" s="73" t="n">
        <v>43009</v>
      </c>
      <c r="U460" s="73" t="n">
        <v>46666</v>
      </c>
      <c r="V460" s="73" t="n"/>
      <c r="W460" s="69" t="n"/>
      <c r="X460" s="69" t="inlineStr">
        <is>
          <t>Current</t>
        </is>
      </c>
      <c r="Y460" s="68" t="n"/>
      <c r="Z460" s="69" t="inlineStr">
        <is>
          <t>Defeasance Not Allowable</t>
        </is>
      </c>
      <c r="AA460" s="69" t="inlineStr">
        <is>
          <t>Yes</t>
        </is>
      </c>
      <c r="AB460" s="69" t="inlineStr">
        <is>
          <t>Never special serv</t>
        </is>
      </c>
      <c r="AC460" s="73" t="n"/>
      <c r="AD460" s="69" t="n"/>
      <c r="AE460" s="69" t="n"/>
      <c r="AF460" s="69" t="inlineStr">
        <is>
          <t>LA</t>
        </is>
      </c>
      <c r="AG460" s="69" t="inlineStr">
        <is>
          <t>Baton Rouge</t>
        </is>
      </c>
      <c r="AH460" s="69" t="inlineStr">
        <is>
          <t>Baton Rouge, LA</t>
        </is>
      </c>
      <c r="AI460" s="69" t="inlineStr">
        <is>
          <t>South / Central West</t>
        </is>
      </c>
      <c r="AJ460" s="69" t="inlineStr">
        <is>
          <t>OF</t>
        </is>
      </c>
      <c r="AK460" s="69" t="inlineStr">
        <is>
          <t>Suburban</t>
        </is>
      </c>
      <c r="AL460" s="68" t="n">
        <v>2</v>
      </c>
      <c r="AM460" s="68" t="n"/>
      <c r="AN460" s="68" t="n">
        <v>113066</v>
      </c>
      <c r="AO460" s="69" t="n"/>
      <c r="AP460" s="70" t="n">
        <v>2006</v>
      </c>
      <c r="AQ460" s="74" t="n">
        <v>1.52</v>
      </c>
      <c r="AR460" s="74" t="n">
        <v>0.89</v>
      </c>
      <c r="AS460" s="74" t="n">
        <v>63</v>
      </c>
      <c r="AT460" s="74" t="n">
        <v>53.71</v>
      </c>
      <c r="AU460" s="74" t="n">
        <v>52.2</v>
      </c>
      <c r="AV460" s="74" t="n">
        <v>10.034261364</v>
      </c>
      <c r="AW460" s="74" t="n">
        <v>9.598290146</v>
      </c>
      <c r="AX460" s="75" t="n">
        <v>100</v>
      </c>
      <c r="AY460" s="71" t="n">
        <v>13950000</v>
      </c>
      <c r="AZ460" s="71" t="n">
        <v>13950000</v>
      </c>
      <c r="BA460" s="71" t="n">
        <v>883015</v>
      </c>
      <c r="BB460" s="71" t="n">
        <v>519293.68</v>
      </c>
      <c r="BC460" s="69" t="inlineStr">
        <is>
          <t>Refinance</t>
        </is>
      </c>
      <c r="BD460" s="69" t="inlineStr">
        <is>
          <t>N</t>
        </is>
      </c>
      <c r="BE460" s="71" t="n"/>
      <c r="BF460" s="71" t="n"/>
      <c r="BG460" s="71" t="n"/>
      <c r="BH460" s="71" t="n">
        <v>0</v>
      </c>
      <c r="BI460" s="71" t="n">
        <v>0</v>
      </c>
      <c r="BJ460" s="69" t="inlineStr">
        <is>
          <t>N</t>
        </is>
      </c>
      <c r="BK460" s="69" t="inlineStr">
        <is>
          <t>Hargrove Engineers + Constructors</t>
        </is>
      </c>
      <c r="BL460" s="75" t="n">
        <v>47.31</v>
      </c>
      <c r="BM460" s="73" t="n">
        <v>46843</v>
      </c>
      <c r="BN460" s="69" t="inlineStr">
        <is>
          <t>Robin P. Arkley, II</t>
        </is>
      </c>
      <c r="BO460" s="69" t="inlineStr">
        <is>
          <t>UBS</t>
        </is>
      </c>
      <c r="BP460" s="69" t="inlineStr">
        <is>
          <t>Midland Loan Services</t>
        </is>
      </c>
      <c r="BQ460" s="69" t="inlineStr">
        <is>
          <t>K-Star Asset Management LLC</t>
        </is>
      </c>
      <c r="BR460" s="69" t="n"/>
      <c r="BS460" s="73" t="n">
        <v>46276</v>
      </c>
      <c r="BU460" s="76">
        <f>IF($C460="","",IFERROR(INDEX(dmName,MATCH($C460,dmID,0)),"Unmapped"))</f>
        <v/>
      </c>
      <c r="BV460" s="76">
        <f>IF($C460="","",IFERROR(INDEX(dmEntity,MATCH($C460,dmID,0)),"Unmapped"))</f>
        <v/>
      </c>
      <c r="BW460" s="77">
        <f>IF($C460="","",IFERROR(INDEX(dmVintage,MATCH($C460,dmID,0)),""))</f>
        <v/>
      </c>
      <c r="BX460" s="78">
        <f>IFERROR(INDEX(dmInclude,MATCH($C460,dmID,0)),0)</f>
        <v/>
      </c>
      <c r="BY460" s="78">
        <f>IF(N($I460)&gt;0,1,0)</f>
        <v/>
      </c>
      <c r="BZ460" s="76">
        <f>IF($AJ460="","Other / Leased Fee",IFERROR(INDEX(mapPTGroup,MATCH(LEFT(TRIM($AJ460),2),mapPTCode,0)),"Other / Leased Fee"))</f>
        <v/>
      </c>
      <c r="CA460" s="76">
        <f>IF(TRIM($AF460&amp;"")="","NR",LEFT(TRIM($AF460),2))</f>
        <v/>
      </c>
      <c r="CB460" s="76">
        <f>IFERROR(LOOKUP(2,1/(LEFT(TRIM($AI460&amp;""),LEN(mapRegion))=mapRegion),mapRegion),"Not Reported")</f>
        <v/>
      </c>
      <c r="CC460" s="76">
        <f>IF($BY460=0,"",IF(TRIM($W460&amp;"")="REO","REO",IF(TRIM($W460&amp;"")="FC","Foreclosure",IF(TRIM($W460&amp;"")="90+","90+ Days Delinquent",IF(TRIM($W460&amp;"")="60","60 Days Delinquent",IF(TRIM($W460&amp;"")="30","30 Days Delinquent",IF($X460="Non-Performing Matured Balloon","Non-Performing Matured Balloon",IF(OR($X460="Late Payment But Less Than 30 Days Delinquent",LEFT($X460&amp;"",20)="Payment Not Received"),"Late / In Grace (&lt;30 Days)",IF($X460="Performing Matured Balloon","Performing Matured Balloon","Current")))))))))</f>
        <v/>
      </c>
      <c r="CD460" s="78">
        <f>IF(OR($CC460="REO",$CC460="Foreclosure",$CC460="90+ Days Delinquent",$CC460="60 Days Delinquent",$CC460="30 Days Delinquent",$CC460="Non-Performing Matured Balloon"),1,0)</f>
        <v/>
      </c>
      <c r="CE460" s="76">
        <f>IF($AB460="Currently special serv","Currently Specially Serviced",IF($AB460="Returned to master serv","Previously Specially Serviced","Never Specially Serviced"))</f>
        <v/>
      </c>
      <c r="CF460" s="78">
        <f>IF($CE460="Currently Specially Serviced",1,0)</f>
        <v/>
      </c>
      <c r="CG460" s="76">
        <f>IF($AA460="Yes","Currently on Watchlist",IF($AA460="Previously","Previously on Watchlist","Never on Watchlist"))</f>
        <v/>
      </c>
      <c r="CH460" s="78">
        <f>IF($CG460="Currently on Watchlist",1,0)</f>
        <v/>
      </c>
      <c r="CI460" s="76">
        <f>IF($Z460="Full Defeasance","Fully Defeased",IF($Z460="Portion Of Loan Previously Defeased","Partially Defeased",IF($Z460="Defeasance Not Allowable","Not Defeased (Not Permitted)","Not Defeased")))</f>
        <v/>
      </c>
      <c r="CJ460" s="78">
        <f>IF($CI460="Fully Defeased",1,0)</f>
        <v/>
      </c>
      <c r="CK460" s="76">
        <f>IF($R460="IO","Full IO",IF(LEFT($R460&amp;"",7)="IO then","Partial IO","Amortizing"))</f>
        <v/>
      </c>
      <c r="CL460" s="78">
        <f>IF($CK460="Full IO",1,0)</f>
        <v/>
      </c>
      <c r="CM460" s="78">
        <f>IF($CK460="Partial IO",1,0)</f>
        <v/>
      </c>
      <c r="CN460" s="76">
        <f>IF(LEFT($F460&amp;"",10)="SPLIT_LOAN","Pari Passu Split","Standalone")</f>
        <v/>
      </c>
      <c r="CO460" s="78">
        <f>IF($CN460="Pari Passu Split",1,0)</f>
        <v/>
      </c>
      <c r="CP460" s="77">
        <f>IF(ISNUMBER($T460),YEAR($T460),"")</f>
        <v/>
      </c>
      <c r="CQ460" s="79">
        <f>IF(ISNUMBER($V460),$V460,IF(ISNUMBER($U460),$U460,""))</f>
        <v/>
      </c>
      <c r="CR460" s="77">
        <f>IF(ISNUMBER($CQ460),YEAR($CQ460),"")</f>
        <v/>
      </c>
      <c r="CS460" s="78">
        <f>IF(ISNUMBER($M460),MAX(0,$M460),IF(TRIM($M460&amp;"")="matured",0,""))</f>
        <v/>
      </c>
      <c r="CT460" s="78">
        <f>IF(AND(ISNUMBER($CS460),N($CS460)&lt;=mMatWindow),1,0)</f>
        <v/>
      </c>
      <c r="CU460" s="80">
        <f>IF(ISNUMBER($J460),$J460/100,"")</f>
        <v/>
      </c>
      <c r="CV460" s="81">
        <f>IF(ISNUMBER($AQ460),$AQ460,"")</f>
        <v/>
      </c>
      <c r="CW460" s="81">
        <f>IF(ISNUMBER($AR460),$AR460,"")</f>
        <v/>
      </c>
      <c r="CX460" s="82">
        <f>IF(ISNUMBER($AS460),$AS460/100,"")</f>
        <v/>
      </c>
      <c r="CY460" s="82">
        <f>IF(ISNUMBER($AT460),$AT460/100,"")</f>
        <v/>
      </c>
      <c r="CZ460" s="82">
        <f>IF(ISNUMBER($AU460),$AU460/100,"")</f>
        <v/>
      </c>
      <c r="DA460" s="82">
        <f>IF(ISNUMBER($AV460),$AV460/100,"")</f>
        <v/>
      </c>
      <c r="DB460" s="82">
        <f>IF(ISNUMBER($AW460),$AW460/100,"")</f>
        <v/>
      </c>
      <c r="DC460" s="82">
        <f>IF(ISNUMBER($AX460),$AX460/100,"")</f>
        <v/>
      </c>
      <c r="DD460" s="77">
        <f>IFERROR(VALUE(LEFT(TRIM($AO460&amp;""),4)),"")</f>
        <v/>
      </c>
      <c r="DE460" s="78">
        <f>IF(AND($BY460=1,$BX460=1,OR(fDeal="All Deals",$BU460=fDeal),OR(fEntity="All Entities",$BV460=fEntity),OR(fPType="All Property Types",$BZ460=fPType),OR(fDefeased="Include",$CJ460=0)),1,0)</f>
        <v/>
      </c>
      <c r="DF460" s="83">
        <f>$DE460*N($I460)</f>
        <v/>
      </c>
      <c r="DG460" s="78">
        <f>IF($DE460=1,IF(COUNTIFS($F$8:$F460,$F460,$DE$8:$DE460,1)=1,1,0),0)</f>
        <v/>
      </c>
      <c r="DH460" s="83">
        <f>IF($DG460=1,SUMIFS($DF$8:$DF$1600,$F$8:$F$1600,$F460),0)</f>
        <v/>
      </c>
      <c r="DI460" s="78">
        <f>IF($DG460=1,COUNTIFS($F$8:$F$1600,$F460,$DE$8:$DE$1600,1),0)</f>
        <v/>
      </c>
      <c r="DJ460" s="84">
        <f>IF($DG460=1,$DH460+(100000-ROW())/mTieBreak,0)</f>
        <v/>
      </c>
    </row>
    <row r="461">
      <c r="B461" s="68" t="n">
        <v>33</v>
      </c>
      <c r="C461" s="69" t="inlineStr">
        <is>
          <t>UBS17C05</t>
        </is>
      </c>
      <c r="D461" s="69" t="inlineStr">
        <is>
          <t>33.000</t>
        </is>
      </c>
      <c r="E461" s="69" t="inlineStr">
        <is>
          <t>Candlewood Suites Nashville</t>
        </is>
      </c>
      <c r="F461" s="69" t="inlineStr">
        <is>
          <t>LNUBS17C05-33.000</t>
        </is>
      </c>
      <c r="G461" s="70" t="n"/>
      <c r="H461" s="71" t="n">
        <v>8000000</v>
      </c>
      <c r="I461" s="71" t="n">
        <v>6315047.429999999</v>
      </c>
      <c r="J461" s="72" t="n">
        <v>5.314</v>
      </c>
      <c r="K461" s="69" t="inlineStr">
        <is>
          <t>Fixed rate</t>
        </is>
      </c>
      <c r="L461" s="68" t="n">
        <v>120</v>
      </c>
      <c r="M461" s="68" t="n">
        <v>13</v>
      </c>
      <c r="N461" s="68" t="n">
        <v>300</v>
      </c>
      <c r="O461" s="68" t="n"/>
      <c r="P461" s="68" t="n"/>
      <c r="Q461" s="68" t="n">
        <v>107</v>
      </c>
      <c r="R461" s="69" t="n"/>
      <c r="S461" s="69" t="inlineStr">
        <is>
          <t>No</t>
        </is>
      </c>
      <c r="T461" s="73" t="n">
        <v>43009</v>
      </c>
      <c r="U461" s="73" t="n">
        <v>46666</v>
      </c>
      <c r="V461" s="73" t="n"/>
      <c r="W461" s="69" t="n"/>
      <c r="X461" s="69" t="inlineStr">
        <is>
          <t>Current</t>
        </is>
      </c>
      <c r="Y461" s="68" t="n"/>
      <c r="Z461" s="69" t="inlineStr">
        <is>
          <t>Full Defeasance</t>
        </is>
      </c>
      <c r="AA461" s="69" t="inlineStr">
        <is>
          <t>Yes</t>
        </is>
      </c>
      <c r="AB461" s="69" t="inlineStr">
        <is>
          <t>Never special serv</t>
        </is>
      </c>
      <c r="AC461" s="73" t="n"/>
      <c r="AD461" s="69" t="n"/>
      <c r="AE461" s="69" t="n"/>
      <c r="AF461" s="69" t="inlineStr">
        <is>
          <t>TN</t>
        </is>
      </c>
      <c r="AG461" s="69" t="inlineStr">
        <is>
          <t>Smyrna</t>
        </is>
      </c>
      <c r="AH461" s="69" t="inlineStr">
        <is>
          <t>Nashville-Davidson--Murfreesboro--Franklin, TN</t>
        </is>
      </c>
      <c r="AI461" s="69" t="inlineStr">
        <is>
          <t>South / Central East</t>
        </is>
      </c>
      <c r="AJ461" s="69" t="inlineStr">
        <is>
          <t>HT</t>
        </is>
      </c>
      <c r="AK461" s="69" t="inlineStr">
        <is>
          <t>Extended Stay</t>
        </is>
      </c>
      <c r="AL461" s="68" t="n">
        <v>1</v>
      </c>
      <c r="AM461" s="68" t="n">
        <v>87</v>
      </c>
      <c r="AN461" s="68" t="n"/>
      <c r="AO461" s="69" t="inlineStr">
        <is>
          <t>2015</t>
        </is>
      </c>
      <c r="AP461" s="70" t="n">
        <v>2015</v>
      </c>
      <c r="AQ461" s="74" t="n">
        <v>1.85</v>
      </c>
      <c r="AR461" s="74" t="n">
        <v>0.46</v>
      </c>
      <c r="AS461" s="74" t="n">
        <v>69.5</v>
      </c>
      <c r="AT461" s="74" t="n">
        <v>54.91</v>
      </c>
      <c r="AU461" s="74" t="n">
        <v>52.6</v>
      </c>
      <c r="AV461" s="74" t="n">
        <v>13.3802375</v>
      </c>
      <c r="AW461" s="74" t="n">
        <v>3.413360903</v>
      </c>
      <c r="AX461" s="75" t="n">
        <v>78</v>
      </c>
      <c r="AY461" s="71" t="n">
        <v>11500000</v>
      </c>
      <c r="AZ461" s="71" t="n">
        <v>11500000</v>
      </c>
      <c r="BA461" s="71" t="n">
        <v>1070419</v>
      </c>
      <c r="BB461" s="71" t="n">
        <v>66282.37</v>
      </c>
      <c r="BC461" s="69" t="inlineStr">
        <is>
          <t>Refinance</t>
        </is>
      </c>
      <c r="BD461" s="69" t="inlineStr">
        <is>
          <t>N</t>
        </is>
      </c>
      <c r="BE461" s="71" t="n"/>
      <c r="BF461" s="71" t="n"/>
      <c r="BG461" s="71" t="n"/>
      <c r="BH461" s="71" t="n">
        <v>0</v>
      </c>
      <c r="BI461" s="71" t="n">
        <v>0</v>
      </c>
      <c r="BJ461" s="69" t="inlineStr">
        <is>
          <t>N</t>
        </is>
      </c>
      <c r="BK461" s="69" t="n"/>
      <c r="BL461" s="75" t="n"/>
      <c r="BM461" s="73" t="n"/>
      <c r="BN461" s="69" t="inlineStr">
        <is>
          <t>Dilip Shantilal Shah; Deven Dilipkumar Shah; Mikulkumar Shah</t>
        </is>
      </c>
      <c r="BO461" s="69" t="inlineStr">
        <is>
          <t>UBS</t>
        </is>
      </c>
      <c r="BP461" s="69" t="inlineStr">
        <is>
          <t>Midland Loan Services</t>
        </is>
      </c>
      <c r="BQ461" s="69" t="inlineStr">
        <is>
          <t>K-Star Asset Management LLC</t>
        </is>
      </c>
      <c r="BR461" s="69" t="n"/>
      <c r="BS461" s="73" t="n">
        <v>46276</v>
      </c>
      <c r="BU461" s="76">
        <f>IF($C461="","",IFERROR(INDEX(dmName,MATCH($C461,dmID,0)),"Unmapped"))</f>
        <v/>
      </c>
      <c r="BV461" s="76">
        <f>IF($C461="","",IFERROR(INDEX(dmEntity,MATCH($C461,dmID,0)),"Unmapped"))</f>
        <v/>
      </c>
      <c r="BW461" s="77">
        <f>IF($C461="","",IFERROR(INDEX(dmVintage,MATCH($C461,dmID,0)),""))</f>
        <v/>
      </c>
      <c r="BX461" s="78">
        <f>IFERROR(INDEX(dmInclude,MATCH($C461,dmID,0)),0)</f>
        <v/>
      </c>
      <c r="BY461" s="78">
        <f>IF(N($I461)&gt;0,1,0)</f>
        <v/>
      </c>
      <c r="BZ461" s="76">
        <f>IF($AJ461="","Other / Leased Fee",IFERROR(INDEX(mapPTGroup,MATCH(LEFT(TRIM($AJ461),2),mapPTCode,0)),"Other / Leased Fee"))</f>
        <v/>
      </c>
      <c r="CA461" s="76">
        <f>IF(TRIM($AF461&amp;"")="","NR",LEFT(TRIM($AF461),2))</f>
        <v/>
      </c>
      <c r="CB461" s="76">
        <f>IFERROR(LOOKUP(2,1/(LEFT(TRIM($AI461&amp;""),LEN(mapRegion))=mapRegion),mapRegion),"Not Reported")</f>
        <v/>
      </c>
      <c r="CC461" s="76">
        <f>IF($BY461=0,"",IF(TRIM($W461&amp;"")="REO","REO",IF(TRIM($W461&amp;"")="FC","Foreclosure",IF(TRIM($W461&amp;"")="90+","90+ Days Delinquent",IF(TRIM($W461&amp;"")="60","60 Days Delinquent",IF(TRIM($W461&amp;"")="30","30 Days Delinquent",IF($X461="Non-Performing Matured Balloon","Non-Performing Matured Balloon",IF(OR($X461="Late Payment But Less Than 30 Days Delinquent",LEFT($X461&amp;"",20)="Payment Not Received"),"Late / In Grace (&lt;30 Days)",IF($X461="Performing Matured Balloon","Performing Matured Balloon","Current")))))))))</f>
        <v/>
      </c>
      <c r="CD461" s="78">
        <f>IF(OR($CC461="REO",$CC461="Foreclosure",$CC461="90+ Days Delinquent",$CC461="60 Days Delinquent",$CC461="30 Days Delinquent",$CC461="Non-Performing Matured Balloon"),1,0)</f>
        <v/>
      </c>
      <c r="CE461" s="76">
        <f>IF($AB461="Currently special serv","Currently Specially Serviced",IF($AB461="Returned to master serv","Previously Specially Serviced","Never Specially Serviced"))</f>
        <v/>
      </c>
      <c r="CF461" s="78">
        <f>IF($CE461="Currently Specially Serviced",1,0)</f>
        <v/>
      </c>
      <c r="CG461" s="76">
        <f>IF($AA461="Yes","Currently on Watchlist",IF($AA461="Previously","Previously on Watchlist","Never on Watchlist"))</f>
        <v/>
      </c>
      <c r="CH461" s="78">
        <f>IF($CG461="Currently on Watchlist",1,0)</f>
        <v/>
      </c>
      <c r="CI461" s="76">
        <f>IF($Z461="Full Defeasance","Fully Defeased",IF($Z461="Portion Of Loan Previously Defeased","Partially Defeased",IF($Z461="Defeasance Not Allowable","Not Defeased (Not Permitted)","Not Defeased")))</f>
        <v/>
      </c>
      <c r="CJ461" s="78">
        <f>IF($CI461="Fully Defeased",1,0)</f>
        <v/>
      </c>
      <c r="CK461" s="76">
        <f>IF($R461="IO","Full IO",IF(LEFT($R461&amp;"",7)="IO then","Partial IO","Amortizing"))</f>
        <v/>
      </c>
      <c r="CL461" s="78">
        <f>IF($CK461="Full IO",1,0)</f>
        <v/>
      </c>
      <c r="CM461" s="78">
        <f>IF($CK461="Partial IO",1,0)</f>
        <v/>
      </c>
      <c r="CN461" s="76">
        <f>IF(LEFT($F461&amp;"",10)="SPLIT_LOAN","Pari Passu Split","Standalone")</f>
        <v/>
      </c>
      <c r="CO461" s="78">
        <f>IF($CN461="Pari Passu Split",1,0)</f>
        <v/>
      </c>
      <c r="CP461" s="77">
        <f>IF(ISNUMBER($T461),YEAR($T461),"")</f>
        <v/>
      </c>
      <c r="CQ461" s="79">
        <f>IF(ISNUMBER($V461),$V461,IF(ISNUMBER($U461),$U461,""))</f>
        <v/>
      </c>
      <c r="CR461" s="77">
        <f>IF(ISNUMBER($CQ461),YEAR($CQ461),"")</f>
        <v/>
      </c>
      <c r="CS461" s="78">
        <f>IF(ISNUMBER($M461),MAX(0,$M461),IF(TRIM($M461&amp;"")="matured",0,""))</f>
        <v/>
      </c>
      <c r="CT461" s="78">
        <f>IF(AND(ISNUMBER($CS461),N($CS461)&lt;=mMatWindow),1,0)</f>
        <v/>
      </c>
      <c r="CU461" s="80">
        <f>IF(ISNUMBER($J461),$J461/100,"")</f>
        <v/>
      </c>
      <c r="CV461" s="81">
        <f>IF(ISNUMBER($AQ461),$AQ461,"")</f>
        <v/>
      </c>
      <c r="CW461" s="81">
        <f>IF(ISNUMBER($AR461),$AR461,"")</f>
        <v/>
      </c>
      <c r="CX461" s="82">
        <f>IF(ISNUMBER($AS461),$AS461/100,"")</f>
        <v/>
      </c>
      <c r="CY461" s="82">
        <f>IF(ISNUMBER($AT461),$AT461/100,"")</f>
        <v/>
      </c>
      <c r="CZ461" s="82">
        <f>IF(ISNUMBER($AU461),$AU461/100,"")</f>
        <v/>
      </c>
      <c r="DA461" s="82">
        <f>IF(ISNUMBER($AV461),$AV461/100,"")</f>
        <v/>
      </c>
      <c r="DB461" s="82">
        <f>IF(ISNUMBER($AW461),$AW461/100,"")</f>
        <v/>
      </c>
      <c r="DC461" s="82">
        <f>IF(ISNUMBER($AX461),$AX461/100,"")</f>
        <v/>
      </c>
      <c r="DD461" s="77">
        <f>IFERROR(VALUE(LEFT(TRIM($AO461&amp;""),4)),"")</f>
        <v/>
      </c>
      <c r="DE461" s="78">
        <f>IF(AND($BY461=1,$BX461=1,OR(fDeal="All Deals",$BU461=fDeal),OR(fEntity="All Entities",$BV461=fEntity),OR(fPType="All Property Types",$BZ461=fPType),OR(fDefeased="Include",$CJ461=0)),1,0)</f>
        <v/>
      </c>
      <c r="DF461" s="83">
        <f>$DE461*N($I461)</f>
        <v/>
      </c>
      <c r="DG461" s="78">
        <f>IF($DE461=1,IF(COUNTIFS($F$8:$F461,$F461,$DE$8:$DE461,1)=1,1,0),0)</f>
        <v/>
      </c>
      <c r="DH461" s="83">
        <f>IF($DG461=1,SUMIFS($DF$8:$DF$1600,$F$8:$F$1600,$F461),0)</f>
        <v/>
      </c>
      <c r="DI461" s="78">
        <f>IF($DG461=1,COUNTIFS($F$8:$F$1600,$F461,$DE$8:$DE$1600,1),0)</f>
        <v/>
      </c>
      <c r="DJ461" s="84">
        <f>IF($DG461=1,$DH461+(100000-ROW())/mTieBreak,0)</f>
        <v/>
      </c>
    </row>
    <row r="462">
      <c r="B462" s="68" t="n">
        <v>34</v>
      </c>
      <c r="C462" s="69" t="inlineStr">
        <is>
          <t>UBS17C05</t>
        </is>
      </c>
      <c r="D462" s="69" t="inlineStr">
        <is>
          <t>34.000</t>
        </is>
      </c>
      <c r="E462" s="69" t="inlineStr">
        <is>
          <t>Whispering Lakes</t>
        </is>
      </c>
      <c r="F462" s="69" t="inlineStr">
        <is>
          <t>LNUBS17C05-34.000</t>
        </is>
      </c>
      <c r="G462" s="70" t="n"/>
      <c r="H462" s="71" t="n">
        <v>7500000</v>
      </c>
      <c r="I462" s="71" t="n">
        <v>7500000</v>
      </c>
      <c r="J462" s="72" t="n">
        <v>3.67</v>
      </c>
      <c r="K462" s="69" t="inlineStr">
        <is>
          <t>Fixed rate</t>
        </is>
      </c>
      <c r="L462" s="68" t="n">
        <v>120</v>
      </c>
      <c r="M462" s="68" t="n">
        <v>14</v>
      </c>
      <c r="N462" s="68" t="n">
        <v>120</v>
      </c>
      <c r="O462" s="68" t="n">
        <v>120</v>
      </c>
      <c r="P462" s="68" t="n">
        <v>14</v>
      </c>
      <c r="Q462" s="68" t="n">
        <v>106</v>
      </c>
      <c r="R462" s="69" t="inlineStr">
        <is>
          <t>IO</t>
        </is>
      </c>
      <c r="S462" s="69" t="inlineStr">
        <is>
          <t>Yes</t>
        </is>
      </c>
      <c r="T462" s="73" t="n">
        <v>43040</v>
      </c>
      <c r="U462" s="73" t="n">
        <v>46692</v>
      </c>
      <c r="V462" s="73" t="n"/>
      <c r="W462" s="69" t="n"/>
      <c r="X462" s="69" t="inlineStr">
        <is>
          <t>Current</t>
        </is>
      </c>
      <c r="Y462" s="68" t="n"/>
      <c r="Z462" s="69" t="inlineStr">
        <is>
          <t>No Defeasance Occurred</t>
        </is>
      </c>
      <c r="AA462" s="69" t="n"/>
      <c r="AB462" s="69" t="inlineStr">
        <is>
          <t>Never special serv</t>
        </is>
      </c>
      <c r="AC462" s="73" t="n"/>
      <c r="AD462" s="69" t="n"/>
      <c r="AE462" s="69" t="n"/>
      <c r="AF462" s="69" t="inlineStr">
        <is>
          <t>MI</t>
        </is>
      </c>
      <c r="AG462" s="69" t="inlineStr">
        <is>
          <t>Shelby Township</t>
        </is>
      </c>
      <c r="AH462" s="69" t="inlineStr">
        <is>
          <t>Detroit-Warren-Dearborn, MI</t>
        </is>
      </c>
      <c r="AI462" s="69" t="inlineStr">
        <is>
          <t>Midwest / Central East</t>
        </is>
      </c>
      <c r="AJ462" s="69" t="inlineStr">
        <is>
          <t>MF</t>
        </is>
      </c>
      <c r="AK462" s="69" t="inlineStr">
        <is>
          <t>Garden</t>
        </is>
      </c>
      <c r="AL462" s="68" t="n">
        <v>1</v>
      </c>
      <c r="AM462" s="68" t="n">
        <v>184</v>
      </c>
      <c r="AN462" s="68" t="n"/>
      <c r="AO462" s="69" t="inlineStr">
        <is>
          <t>1997</t>
        </is>
      </c>
      <c r="AP462" s="70" t="n">
        <v>1997</v>
      </c>
      <c r="AQ462" s="74" t="n">
        <v>4.32</v>
      </c>
      <c r="AR462" s="74" t="n">
        <v>3.79</v>
      </c>
      <c r="AS462" s="74" t="n">
        <v>41.7</v>
      </c>
      <c r="AT462" s="74" t="n">
        <v>41.67</v>
      </c>
      <c r="AU462" s="74" t="n">
        <v>41.7</v>
      </c>
      <c r="AV462" s="74" t="n">
        <v>16.083909067</v>
      </c>
      <c r="AW462" s="74" t="n">
        <v>14.100335467</v>
      </c>
      <c r="AX462" s="75" t="n">
        <v>98</v>
      </c>
      <c r="AY462" s="71" t="n">
        <v>18000000</v>
      </c>
      <c r="AZ462" s="71" t="n">
        <v>18000000</v>
      </c>
      <c r="BA462" s="71" t="n">
        <v>1206293.18</v>
      </c>
      <c r="BB462" s="71" t="n">
        <v>1057525.16</v>
      </c>
      <c r="BC462" s="69" t="inlineStr">
        <is>
          <t>Refinance</t>
        </is>
      </c>
      <c r="BD462" s="69" t="inlineStr">
        <is>
          <t>N</t>
        </is>
      </c>
      <c r="BE462" s="71" t="n"/>
      <c r="BF462" s="71" t="n"/>
      <c r="BG462" s="71" t="n"/>
      <c r="BH462" s="71" t="n">
        <v>0</v>
      </c>
      <c r="BI462" s="71" t="n">
        <v>0</v>
      </c>
      <c r="BJ462" s="69" t="inlineStr">
        <is>
          <t>N</t>
        </is>
      </c>
      <c r="BK462" s="69" t="n"/>
      <c r="BL462" s="75" t="n"/>
      <c r="BM462" s="73" t="n"/>
      <c r="BN462" s="69" t="inlineStr">
        <is>
          <t>Gregory A. Carnago</t>
        </is>
      </c>
      <c r="BO462" s="69" t="inlineStr">
        <is>
          <t>Societe Generale</t>
        </is>
      </c>
      <c r="BP462" s="69" t="inlineStr">
        <is>
          <t>Midland Loan Services</t>
        </is>
      </c>
      <c r="BQ462" s="69" t="inlineStr">
        <is>
          <t>K-Star Asset Management LLC</t>
        </is>
      </c>
      <c r="BR462" s="69" t="n"/>
      <c r="BS462" s="73" t="n">
        <v>46276</v>
      </c>
      <c r="BU462" s="76">
        <f>IF($C462="","",IFERROR(INDEX(dmName,MATCH($C462,dmID,0)),"Unmapped"))</f>
        <v/>
      </c>
      <c r="BV462" s="76">
        <f>IF($C462="","",IFERROR(INDEX(dmEntity,MATCH($C462,dmID,0)),"Unmapped"))</f>
        <v/>
      </c>
      <c r="BW462" s="77">
        <f>IF($C462="","",IFERROR(INDEX(dmVintage,MATCH($C462,dmID,0)),""))</f>
        <v/>
      </c>
      <c r="BX462" s="78">
        <f>IFERROR(INDEX(dmInclude,MATCH($C462,dmID,0)),0)</f>
        <v/>
      </c>
      <c r="BY462" s="78">
        <f>IF(N($I462)&gt;0,1,0)</f>
        <v/>
      </c>
      <c r="BZ462" s="76">
        <f>IF($AJ462="","Other / Leased Fee",IFERROR(INDEX(mapPTGroup,MATCH(LEFT(TRIM($AJ462),2),mapPTCode,0)),"Other / Leased Fee"))</f>
        <v/>
      </c>
      <c r="CA462" s="76">
        <f>IF(TRIM($AF462&amp;"")="","NR",LEFT(TRIM($AF462),2))</f>
        <v/>
      </c>
      <c r="CB462" s="76">
        <f>IFERROR(LOOKUP(2,1/(LEFT(TRIM($AI462&amp;""),LEN(mapRegion))=mapRegion),mapRegion),"Not Reported")</f>
        <v/>
      </c>
      <c r="CC462" s="76">
        <f>IF($BY462=0,"",IF(TRIM($W462&amp;"")="REO","REO",IF(TRIM($W462&amp;"")="FC","Foreclosure",IF(TRIM($W462&amp;"")="90+","90+ Days Delinquent",IF(TRIM($W462&amp;"")="60","60 Days Delinquent",IF(TRIM($W462&amp;"")="30","30 Days Delinquent",IF($X462="Non-Performing Matured Balloon","Non-Performing Matured Balloon",IF(OR($X462="Late Payment But Less Than 30 Days Delinquent",LEFT($X462&amp;"",20)="Payment Not Received"),"Late / In Grace (&lt;30 Days)",IF($X462="Performing Matured Balloon","Performing Matured Balloon","Current")))))))))</f>
        <v/>
      </c>
      <c r="CD462" s="78">
        <f>IF(OR($CC462="REO",$CC462="Foreclosure",$CC462="90+ Days Delinquent",$CC462="60 Days Delinquent",$CC462="30 Days Delinquent",$CC462="Non-Performing Matured Balloon"),1,0)</f>
        <v/>
      </c>
      <c r="CE462" s="76">
        <f>IF($AB462="Currently special serv","Currently Specially Serviced",IF($AB462="Returned to master serv","Previously Specially Serviced","Never Specially Serviced"))</f>
        <v/>
      </c>
      <c r="CF462" s="78">
        <f>IF($CE462="Currently Specially Serviced",1,0)</f>
        <v/>
      </c>
      <c r="CG462" s="76">
        <f>IF($AA462="Yes","Currently on Watchlist",IF($AA462="Previously","Previously on Watchlist","Never on Watchlist"))</f>
        <v/>
      </c>
      <c r="CH462" s="78">
        <f>IF($CG462="Currently on Watchlist",1,0)</f>
        <v/>
      </c>
      <c r="CI462" s="76">
        <f>IF($Z462="Full Defeasance","Fully Defeased",IF($Z462="Portion Of Loan Previously Defeased","Partially Defeased",IF($Z462="Defeasance Not Allowable","Not Defeased (Not Permitted)","Not Defeased")))</f>
        <v/>
      </c>
      <c r="CJ462" s="78">
        <f>IF($CI462="Fully Defeased",1,0)</f>
        <v/>
      </c>
      <c r="CK462" s="76">
        <f>IF($R462="IO","Full IO",IF(LEFT($R462&amp;"",7)="IO then","Partial IO","Amortizing"))</f>
        <v/>
      </c>
      <c r="CL462" s="78">
        <f>IF($CK462="Full IO",1,0)</f>
        <v/>
      </c>
      <c r="CM462" s="78">
        <f>IF($CK462="Partial IO",1,0)</f>
        <v/>
      </c>
      <c r="CN462" s="76">
        <f>IF(LEFT($F462&amp;"",10)="SPLIT_LOAN","Pari Passu Split","Standalone")</f>
        <v/>
      </c>
      <c r="CO462" s="78">
        <f>IF($CN462="Pari Passu Split",1,0)</f>
        <v/>
      </c>
      <c r="CP462" s="77">
        <f>IF(ISNUMBER($T462),YEAR($T462),"")</f>
        <v/>
      </c>
      <c r="CQ462" s="79">
        <f>IF(ISNUMBER($V462),$V462,IF(ISNUMBER($U462),$U462,""))</f>
        <v/>
      </c>
      <c r="CR462" s="77">
        <f>IF(ISNUMBER($CQ462),YEAR($CQ462),"")</f>
        <v/>
      </c>
      <c r="CS462" s="78">
        <f>IF(ISNUMBER($M462),MAX(0,$M462),IF(TRIM($M462&amp;"")="matured",0,""))</f>
        <v/>
      </c>
      <c r="CT462" s="78">
        <f>IF(AND(ISNUMBER($CS462),N($CS462)&lt;=mMatWindow),1,0)</f>
        <v/>
      </c>
      <c r="CU462" s="80">
        <f>IF(ISNUMBER($J462),$J462/100,"")</f>
        <v/>
      </c>
      <c r="CV462" s="81">
        <f>IF(ISNUMBER($AQ462),$AQ462,"")</f>
        <v/>
      </c>
      <c r="CW462" s="81">
        <f>IF(ISNUMBER($AR462),$AR462,"")</f>
        <v/>
      </c>
      <c r="CX462" s="82">
        <f>IF(ISNUMBER($AS462),$AS462/100,"")</f>
        <v/>
      </c>
      <c r="CY462" s="82">
        <f>IF(ISNUMBER($AT462),$AT462/100,"")</f>
        <v/>
      </c>
      <c r="CZ462" s="82">
        <f>IF(ISNUMBER($AU462),$AU462/100,"")</f>
        <v/>
      </c>
      <c r="DA462" s="82">
        <f>IF(ISNUMBER($AV462),$AV462/100,"")</f>
        <v/>
      </c>
      <c r="DB462" s="82">
        <f>IF(ISNUMBER($AW462),$AW462/100,"")</f>
        <v/>
      </c>
      <c r="DC462" s="82">
        <f>IF(ISNUMBER($AX462),$AX462/100,"")</f>
        <v/>
      </c>
      <c r="DD462" s="77">
        <f>IFERROR(VALUE(LEFT(TRIM($AO462&amp;""),4)),"")</f>
        <v/>
      </c>
      <c r="DE462" s="78">
        <f>IF(AND($BY462=1,$BX462=1,OR(fDeal="All Deals",$BU462=fDeal),OR(fEntity="All Entities",$BV462=fEntity),OR(fPType="All Property Types",$BZ462=fPType),OR(fDefeased="Include",$CJ462=0)),1,0)</f>
        <v/>
      </c>
      <c r="DF462" s="83">
        <f>$DE462*N($I462)</f>
        <v/>
      </c>
      <c r="DG462" s="78">
        <f>IF($DE462=1,IF(COUNTIFS($F$8:$F462,$F462,$DE$8:$DE462,1)=1,1,0),0)</f>
        <v/>
      </c>
      <c r="DH462" s="83">
        <f>IF($DG462=1,SUMIFS($DF$8:$DF$1600,$F$8:$F$1600,$F462),0)</f>
        <v/>
      </c>
      <c r="DI462" s="78">
        <f>IF($DG462=1,COUNTIFS($F$8:$F$1600,$F462,$DE$8:$DE$1600,1),0)</f>
        <v/>
      </c>
      <c r="DJ462" s="84">
        <f>IF($DG462=1,$DH462+(100000-ROW())/mTieBreak,0)</f>
        <v/>
      </c>
    </row>
    <row r="463">
      <c r="B463" s="68" t="n">
        <v>35</v>
      </c>
      <c r="C463" s="69" t="inlineStr">
        <is>
          <t>UBS17C05</t>
        </is>
      </c>
      <c r="D463" s="69" t="inlineStr">
        <is>
          <t>35.000</t>
        </is>
      </c>
      <c r="E463" s="69" t="inlineStr">
        <is>
          <t>Frisco Market Center</t>
        </is>
      </c>
      <c r="F463" s="69" t="inlineStr">
        <is>
          <t>LNUBS17C05-35.000</t>
        </is>
      </c>
      <c r="G463" s="70" t="n"/>
      <c r="H463" s="71" t="n">
        <v>6800000</v>
      </c>
      <c r="I463" s="71" t="n">
        <v>6800000</v>
      </c>
      <c r="J463" s="72" t="n">
        <v>4.4525</v>
      </c>
      <c r="K463" s="69" t="inlineStr">
        <is>
          <t>Fixed rate</t>
        </is>
      </c>
      <c r="L463" s="68" t="n">
        <v>120</v>
      </c>
      <c r="M463" s="68" t="n">
        <v>14</v>
      </c>
      <c r="N463" s="68" t="n">
        <v>120</v>
      </c>
      <c r="O463" s="68" t="n">
        <v>120</v>
      </c>
      <c r="P463" s="68" t="n">
        <v>14</v>
      </c>
      <c r="Q463" s="68" t="n">
        <v>106</v>
      </c>
      <c r="R463" s="69" t="inlineStr">
        <is>
          <t>IO</t>
        </is>
      </c>
      <c r="S463" s="69" t="inlineStr">
        <is>
          <t>Yes</t>
        </is>
      </c>
      <c r="T463" s="73" t="n">
        <v>43040</v>
      </c>
      <c r="U463" s="73" t="n">
        <v>46692</v>
      </c>
      <c r="V463" s="73" t="n"/>
      <c r="W463" s="69" t="n"/>
      <c r="X463" s="69" t="inlineStr">
        <is>
          <t>Current</t>
        </is>
      </c>
      <c r="Y463" s="68" t="n"/>
      <c r="Z463" s="69" t="inlineStr">
        <is>
          <t>No Defeasance Occurred</t>
        </is>
      </c>
      <c r="AA463" s="69" t="inlineStr">
        <is>
          <t>Previously</t>
        </is>
      </c>
      <c r="AB463" s="69" t="inlineStr">
        <is>
          <t>Never special serv</t>
        </is>
      </c>
      <c r="AC463" s="73" t="n"/>
      <c r="AD463" s="69" t="n"/>
      <c r="AE463" s="69" t="n"/>
      <c r="AF463" s="69" t="inlineStr">
        <is>
          <t>TX</t>
        </is>
      </c>
      <c r="AG463" s="69" t="inlineStr">
        <is>
          <t>Frisco</t>
        </is>
      </c>
      <c r="AH463" s="69" t="inlineStr">
        <is>
          <t>Dallas-Fort Worth-Arlington, TX</t>
        </is>
      </c>
      <c r="AI463" s="69" t="inlineStr">
        <is>
          <t>South / Central West</t>
        </is>
      </c>
      <c r="AJ463" s="69" t="inlineStr">
        <is>
          <t>RT</t>
        </is>
      </c>
      <c r="AK463" s="69" t="inlineStr">
        <is>
          <t>Shadow Anchored</t>
        </is>
      </c>
      <c r="AL463" s="68" t="n">
        <v>1</v>
      </c>
      <c r="AM463" s="68" t="n"/>
      <c r="AN463" s="68" t="n">
        <v>20823</v>
      </c>
      <c r="AO463" s="69" t="inlineStr">
        <is>
          <t>2015-2016</t>
        </is>
      </c>
      <c r="AP463" s="70" t="n">
        <v>2016</v>
      </c>
      <c r="AQ463" s="74" t="n">
        <v>2.21</v>
      </c>
      <c r="AR463" s="74" t="n">
        <v>2.64</v>
      </c>
      <c r="AS463" s="74" t="n">
        <v>58.1</v>
      </c>
      <c r="AT463" s="74" t="n">
        <v>58.07</v>
      </c>
      <c r="AU463" s="74" t="n">
        <v>58.1</v>
      </c>
      <c r="AV463" s="74" t="n">
        <v>9.975852940999999</v>
      </c>
      <c r="AW463" s="74" t="n">
        <v>12.133481912</v>
      </c>
      <c r="AX463" s="75" t="n">
        <v>100</v>
      </c>
      <c r="AY463" s="71" t="n">
        <v>11710000</v>
      </c>
      <c r="AZ463" s="71" t="n">
        <v>11710000</v>
      </c>
      <c r="BA463" s="71" t="n">
        <v>678358</v>
      </c>
      <c r="BB463" s="71" t="n">
        <v>809249.72</v>
      </c>
      <c r="BC463" s="69" t="inlineStr">
        <is>
          <t>Acquisition</t>
        </is>
      </c>
      <c r="BD463" s="69" t="inlineStr">
        <is>
          <t>N</t>
        </is>
      </c>
      <c r="BE463" s="71" t="n"/>
      <c r="BF463" s="71" t="n"/>
      <c r="BG463" s="71" t="n"/>
      <c r="BH463" s="71" t="n">
        <v>0</v>
      </c>
      <c r="BI463" s="71" t="n">
        <v>0</v>
      </c>
      <c r="BJ463" s="69" t="inlineStr">
        <is>
          <t>N</t>
        </is>
      </c>
      <c r="BK463" s="69" t="inlineStr">
        <is>
          <t>Onyx Nail</t>
        </is>
      </c>
      <c r="BL463" s="75" t="n">
        <v>23.77</v>
      </c>
      <c r="BM463" s="73" t="n">
        <v>48336</v>
      </c>
      <c r="BN463" s="69" t="inlineStr">
        <is>
          <t>Charles R. Bourland, III</t>
        </is>
      </c>
      <c r="BO463" s="69" t="inlineStr">
        <is>
          <t>Regions Bank</t>
        </is>
      </c>
      <c r="BP463" s="69" t="inlineStr">
        <is>
          <t>Midland Loan Services</t>
        </is>
      </c>
      <c r="BQ463" s="69" t="inlineStr">
        <is>
          <t>K-Star Asset Management LLC</t>
        </is>
      </c>
      <c r="BR463" s="69" t="n"/>
      <c r="BS463" s="73" t="n">
        <v>46276</v>
      </c>
      <c r="BU463" s="76">
        <f>IF($C463="","",IFERROR(INDEX(dmName,MATCH($C463,dmID,0)),"Unmapped"))</f>
        <v/>
      </c>
      <c r="BV463" s="76">
        <f>IF($C463="","",IFERROR(INDEX(dmEntity,MATCH($C463,dmID,0)),"Unmapped"))</f>
        <v/>
      </c>
      <c r="BW463" s="77">
        <f>IF($C463="","",IFERROR(INDEX(dmVintage,MATCH($C463,dmID,0)),""))</f>
        <v/>
      </c>
      <c r="BX463" s="78">
        <f>IFERROR(INDEX(dmInclude,MATCH($C463,dmID,0)),0)</f>
        <v/>
      </c>
      <c r="BY463" s="78">
        <f>IF(N($I463)&gt;0,1,0)</f>
        <v/>
      </c>
      <c r="BZ463" s="76">
        <f>IF($AJ463="","Other / Leased Fee",IFERROR(INDEX(mapPTGroup,MATCH(LEFT(TRIM($AJ463),2),mapPTCode,0)),"Other / Leased Fee"))</f>
        <v/>
      </c>
      <c r="CA463" s="76">
        <f>IF(TRIM($AF463&amp;"")="","NR",LEFT(TRIM($AF463),2))</f>
        <v/>
      </c>
      <c r="CB463" s="76">
        <f>IFERROR(LOOKUP(2,1/(LEFT(TRIM($AI463&amp;""),LEN(mapRegion))=mapRegion),mapRegion),"Not Reported")</f>
        <v/>
      </c>
      <c r="CC463" s="76">
        <f>IF($BY463=0,"",IF(TRIM($W463&amp;"")="REO","REO",IF(TRIM($W463&amp;"")="FC","Foreclosure",IF(TRIM($W463&amp;"")="90+","90+ Days Delinquent",IF(TRIM($W463&amp;"")="60","60 Days Delinquent",IF(TRIM($W463&amp;"")="30","30 Days Delinquent",IF($X463="Non-Performing Matured Balloon","Non-Performing Matured Balloon",IF(OR($X463="Late Payment But Less Than 30 Days Delinquent",LEFT($X463&amp;"",20)="Payment Not Received"),"Late / In Grace (&lt;30 Days)",IF($X463="Performing Matured Balloon","Performing Matured Balloon","Current")))))))))</f>
        <v/>
      </c>
      <c r="CD463" s="78">
        <f>IF(OR($CC463="REO",$CC463="Foreclosure",$CC463="90+ Days Delinquent",$CC463="60 Days Delinquent",$CC463="30 Days Delinquent",$CC463="Non-Performing Matured Balloon"),1,0)</f>
        <v/>
      </c>
      <c r="CE463" s="76">
        <f>IF($AB463="Currently special serv","Currently Specially Serviced",IF($AB463="Returned to master serv","Previously Specially Serviced","Never Specially Serviced"))</f>
        <v/>
      </c>
      <c r="CF463" s="78">
        <f>IF($CE463="Currently Specially Serviced",1,0)</f>
        <v/>
      </c>
      <c r="CG463" s="76">
        <f>IF($AA463="Yes","Currently on Watchlist",IF($AA463="Previously","Previously on Watchlist","Never on Watchlist"))</f>
        <v/>
      </c>
      <c r="CH463" s="78">
        <f>IF($CG463="Currently on Watchlist",1,0)</f>
        <v/>
      </c>
      <c r="CI463" s="76">
        <f>IF($Z463="Full Defeasance","Fully Defeased",IF($Z463="Portion Of Loan Previously Defeased","Partially Defeased",IF($Z463="Defeasance Not Allowable","Not Defeased (Not Permitted)","Not Defeased")))</f>
        <v/>
      </c>
      <c r="CJ463" s="78">
        <f>IF($CI463="Fully Defeased",1,0)</f>
        <v/>
      </c>
      <c r="CK463" s="76">
        <f>IF($R463="IO","Full IO",IF(LEFT($R463&amp;"",7)="IO then","Partial IO","Amortizing"))</f>
        <v/>
      </c>
      <c r="CL463" s="78">
        <f>IF($CK463="Full IO",1,0)</f>
        <v/>
      </c>
      <c r="CM463" s="78">
        <f>IF($CK463="Partial IO",1,0)</f>
        <v/>
      </c>
      <c r="CN463" s="76">
        <f>IF(LEFT($F463&amp;"",10)="SPLIT_LOAN","Pari Passu Split","Standalone")</f>
        <v/>
      </c>
      <c r="CO463" s="78">
        <f>IF($CN463="Pari Passu Split",1,0)</f>
        <v/>
      </c>
      <c r="CP463" s="77">
        <f>IF(ISNUMBER($T463),YEAR($T463),"")</f>
        <v/>
      </c>
      <c r="CQ463" s="79">
        <f>IF(ISNUMBER($V463),$V463,IF(ISNUMBER($U463),$U463,""))</f>
        <v/>
      </c>
      <c r="CR463" s="77">
        <f>IF(ISNUMBER($CQ463),YEAR($CQ463),"")</f>
        <v/>
      </c>
      <c r="CS463" s="78">
        <f>IF(ISNUMBER($M463),MAX(0,$M463),IF(TRIM($M463&amp;"")="matured",0,""))</f>
        <v/>
      </c>
      <c r="CT463" s="78">
        <f>IF(AND(ISNUMBER($CS463),N($CS463)&lt;=mMatWindow),1,0)</f>
        <v/>
      </c>
      <c r="CU463" s="80">
        <f>IF(ISNUMBER($J463),$J463/100,"")</f>
        <v/>
      </c>
      <c r="CV463" s="81">
        <f>IF(ISNUMBER($AQ463),$AQ463,"")</f>
        <v/>
      </c>
      <c r="CW463" s="81">
        <f>IF(ISNUMBER($AR463),$AR463,"")</f>
        <v/>
      </c>
      <c r="CX463" s="82">
        <f>IF(ISNUMBER($AS463),$AS463/100,"")</f>
        <v/>
      </c>
      <c r="CY463" s="82">
        <f>IF(ISNUMBER($AT463),$AT463/100,"")</f>
        <v/>
      </c>
      <c r="CZ463" s="82">
        <f>IF(ISNUMBER($AU463),$AU463/100,"")</f>
        <v/>
      </c>
      <c r="DA463" s="82">
        <f>IF(ISNUMBER($AV463),$AV463/100,"")</f>
        <v/>
      </c>
      <c r="DB463" s="82">
        <f>IF(ISNUMBER($AW463),$AW463/100,"")</f>
        <v/>
      </c>
      <c r="DC463" s="82">
        <f>IF(ISNUMBER($AX463),$AX463/100,"")</f>
        <v/>
      </c>
      <c r="DD463" s="77">
        <f>IFERROR(VALUE(LEFT(TRIM($AO463&amp;""),4)),"")</f>
        <v/>
      </c>
      <c r="DE463" s="78">
        <f>IF(AND($BY463=1,$BX463=1,OR(fDeal="All Deals",$BU463=fDeal),OR(fEntity="All Entities",$BV463=fEntity),OR(fPType="All Property Types",$BZ463=fPType),OR(fDefeased="Include",$CJ463=0)),1,0)</f>
        <v/>
      </c>
      <c r="DF463" s="83">
        <f>$DE463*N($I463)</f>
        <v/>
      </c>
      <c r="DG463" s="78">
        <f>IF($DE463=1,IF(COUNTIFS($F$8:$F463,$F463,$DE$8:$DE463,1)=1,1,0),0)</f>
        <v/>
      </c>
      <c r="DH463" s="83">
        <f>IF($DG463=1,SUMIFS($DF$8:$DF$1600,$F$8:$F$1600,$F463),0)</f>
        <v/>
      </c>
      <c r="DI463" s="78">
        <f>IF($DG463=1,COUNTIFS($F$8:$F$1600,$F463,$DE$8:$DE$1600,1),0)</f>
        <v/>
      </c>
      <c r="DJ463" s="84">
        <f>IF($DG463=1,$DH463+(100000-ROW())/mTieBreak,0)</f>
        <v/>
      </c>
    </row>
    <row r="464">
      <c r="B464" s="68" t="n">
        <v>36</v>
      </c>
      <c r="C464" s="69" t="inlineStr">
        <is>
          <t>UBS17C05</t>
        </is>
      </c>
      <c r="D464" s="69" t="inlineStr">
        <is>
          <t>36.000</t>
        </is>
      </c>
      <c r="E464" s="69" t="inlineStr">
        <is>
          <t>Triangle Square Shopping Center</t>
        </is>
      </c>
      <c r="F464" s="69" t="inlineStr">
        <is>
          <t>LNUBS17C05-36.000</t>
        </is>
      </c>
      <c r="G464" s="70" t="n"/>
      <c r="H464" s="71" t="n">
        <v>6100000</v>
      </c>
      <c r="I464" s="71" t="n">
        <v>5112201.2099991</v>
      </c>
      <c r="J464" s="72" t="n">
        <v>4.6037</v>
      </c>
      <c r="K464" s="69" t="inlineStr">
        <is>
          <t>Fixed rate</t>
        </is>
      </c>
      <c r="L464" s="68" t="n">
        <v>120</v>
      </c>
      <c r="M464" s="68" t="n">
        <v>14</v>
      </c>
      <c r="N464" s="68" t="n">
        <v>360</v>
      </c>
      <c r="O464" s="68" t="n"/>
      <c r="P464" s="68" t="n"/>
      <c r="Q464" s="68" t="n">
        <v>106</v>
      </c>
      <c r="R464" s="69" t="n"/>
      <c r="S464" s="69" t="inlineStr">
        <is>
          <t>No</t>
        </is>
      </c>
      <c r="T464" s="73" t="n">
        <v>43040</v>
      </c>
      <c r="U464" s="73" t="n">
        <v>46697</v>
      </c>
      <c r="V464" s="73" t="n"/>
      <c r="W464" s="69" t="n"/>
      <c r="X464" s="69" t="inlineStr">
        <is>
          <t>Current</t>
        </is>
      </c>
      <c r="Y464" s="68" t="n"/>
      <c r="Z464" s="69" t="inlineStr">
        <is>
          <t>Full Defeasance</t>
        </is>
      </c>
      <c r="AA464" s="69" t="inlineStr">
        <is>
          <t>Yes</t>
        </is>
      </c>
      <c r="AB464" s="69" t="inlineStr">
        <is>
          <t>Never special serv</t>
        </is>
      </c>
      <c r="AC464" s="73" t="n"/>
      <c r="AD464" s="69" t="n"/>
      <c r="AE464" s="69" t="n"/>
      <c r="AF464" s="69" t="inlineStr">
        <is>
          <t>NC</t>
        </is>
      </c>
      <c r="AG464" s="69" t="inlineStr">
        <is>
          <t>Durham</t>
        </is>
      </c>
      <c r="AH464" s="69" t="inlineStr">
        <is>
          <t>Durham-Chapel Hill, NC</t>
        </is>
      </c>
      <c r="AI464" s="69" t="inlineStr">
        <is>
          <t>South / Atlantic</t>
        </is>
      </c>
      <c r="AJ464" s="69" t="inlineStr">
        <is>
          <t>RT</t>
        </is>
      </c>
      <c r="AK464" s="69" t="inlineStr">
        <is>
          <t>Anchored</t>
        </is>
      </c>
      <c r="AL464" s="68" t="n">
        <v>1</v>
      </c>
      <c r="AM464" s="68" t="n"/>
      <c r="AN464" s="68" t="n">
        <v>69325</v>
      </c>
      <c r="AO464" s="69" t="inlineStr">
        <is>
          <t>1981</t>
        </is>
      </c>
      <c r="AP464" s="70" t="n">
        <v>1981</v>
      </c>
      <c r="AQ464" s="74" t="n">
        <v>1.49</v>
      </c>
      <c r="AR464" s="74" t="n">
        <v>1.42</v>
      </c>
      <c r="AS464" s="74" t="n">
        <v>73.5</v>
      </c>
      <c r="AT464" s="74" t="n">
        <v>61.59</v>
      </c>
      <c r="AU464" s="74" t="n">
        <v>59.6</v>
      </c>
      <c r="AV464" s="74" t="n">
        <v>9.199098361000001</v>
      </c>
      <c r="AW464" s="74" t="n">
        <v>11.845726237</v>
      </c>
      <c r="AX464" s="75" t="n">
        <v>96</v>
      </c>
      <c r="AY464" s="71" t="n">
        <v>8300000</v>
      </c>
      <c r="AZ464" s="71" t="n">
        <v>8300000</v>
      </c>
      <c r="BA464" s="71" t="n">
        <v>561145</v>
      </c>
      <c r="BB464" s="71" t="n">
        <v>532879.88</v>
      </c>
      <c r="BC464" s="69" t="inlineStr">
        <is>
          <t>Refinance</t>
        </is>
      </c>
      <c r="BD464" s="69" t="inlineStr">
        <is>
          <t>N</t>
        </is>
      </c>
      <c r="BE464" s="71" t="n"/>
      <c r="BF464" s="71" t="n"/>
      <c r="BG464" s="71" t="n"/>
      <c r="BH464" s="71" t="n">
        <v>0</v>
      </c>
      <c r="BI464" s="71" t="n">
        <v>0</v>
      </c>
      <c r="BJ464" s="69" t="inlineStr">
        <is>
          <t>N</t>
        </is>
      </c>
      <c r="BK464" s="69" t="inlineStr">
        <is>
          <t>Big Lots</t>
        </is>
      </c>
      <c r="BL464" s="75" t="n">
        <v>50.78</v>
      </c>
      <c r="BM464" s="73" t="n">
        <v>46783</v>
      </c>
      <c r="BN464" s="69" t="inlineStr">
        <is>
          <t>Edward Sasson; Linda Sasson; Elliot Sasson</t>
        </is>
      </c>
      <c r="BO464" s="69" t="inlineStr">
        <is>
          <t>UBS</t>
        </is>
      </c>
      <c r="BP464" s="69" t="inlineStr">
        <is>
          <t>Midland Loan Services</t>
        </is>
      </c>
      <c r="BQ464" s="69" t="inlineStr">
        <is>
          <t>K-Star Asset Management LLC</t>
        </is>
      </c>
      <c r="BR464" s="69" t="n"/>
      <c r="BS464" s="73" t="n">
        <v>46276</v>
      </c>
      <c r="BU464" s="76">
        <f>IF($C464="","",IFERROR(INDEX(dmName,MATCH($C464,dmID,0)),"Unmapped"))</f>
        <v/>
      </c>
      <c r="BV464" s="76">
        <f>IF($C464="","",IFERROR(INDEX(dmEntity,MATCH($C464,dmID,0)),"Unmapped"))</f>
        <v/>
      </c>
      <c r="BW464" s="77">
        <f>IF($C464="","",IFERROR(INDEX(dmVintage,MATCH($C464,dmID,0)),""))</f>
        <v/>
      </c>
      <c r="BX464" s="78">
        <f>IFERROR(INDEX(dmInclude,MATCH($C464,dmID,0)),0)</f>
        <v/>
      </c>
      <c r="BY464" s="78">
        <f>IF(N($I464)&gt;0,1,0)</f>
        <v/>
      </c>
      <c r="BZ464" s="76">
        <f>IF($AJ464="","Other / Leased Fee",IFERROR(INDEX(mapPTGroup,MATCH(LEFT(TRIM($AJ464),2),mapPTCode,0)),"Other / Leased Fee"))</f>
        <v/>
      </c>
      <c r="CA464" s="76">
        <f>IF(TRIM($AF464&amp;"")="","NR",LEFT(TRIM($AF464),2))</f>
        <v/>
      </c>
      <c r="CB464" s="76">
        <f>IFERROR(LOOKUP(2,1/(LEFT(TRIM($AI464&amp;""),LEN(mapRegion))=mapRegion),mapRegion),"Not Reported")</f>
        <v/>
      </c>
      <c r="CC464" s="76">
        <f>IF($BY464=0,"",IF(TRIM($W464&amp;"")="REO","REO",IF(TRIM($W464&amp;"")="FC","Foreclosure",IF(TRIM($W464&amp;"")="90+","90+ Days Delinquent",IF(TRIM($W464&amp;"")="60","60 Days Delinquent",IF(TRIM($W464&amp;"")="30","30 Days Delinquent",IF($X464="Non-Performing Matured Balloon","Non-Performing Matured Balloon",IF(OR($X464="Late Payment But Less Than 30 Days Delinquent",LEFT($X464&amp;"",20)="Payment Not Received"),"Late / In Grace (&lt;30 Days)",IF($X464="Performing Matured Balloon","Performing Matured Balloon","Current")))))))))</f>
        <v/>
      </c>
      <c r="CD464" s="78">
        <f>IF(OR($CC464="REO",$CC464="Foreclosure",$CC464="90+ Days Delinquent",$CC464="60 Days Delinquent",$CC464="30 Days Delinquent",$CC464="Non-Performing Matured Balloon"),1,0)</f>
        <v/>
      </c>
      <c r="CE464" s="76">
        <f>IF($AB464="Currently special serv","Currently Specially Serviced",IF($AB464="Returned to master serv","Previously Specially Serviced","Never Specially Serviced"))</f>
        <v/>
      </c>
      <c r="CF464" s="78">
        <f>IF($CE464="Currently Specially Serviced",1,0)</f>
        <v/>
      </c>
      <c r="CG464" s="76">
        <f>IF($AA464="Yes","Currently on Watchlist",IF($AA464="Previously","Previously on Watchlist","Never on Watchlist"))</f>
        <v/>
      </c>
      <c r="CH464" s="78">
        <f>IF($CG464="Currently on Watchlist",1,0)</f>
        <v/>
      </c>
      <c r="CI464" s="76">
        <f>IF($Z464="Full Defeasance","Fully Defeased",IF($Z464="Portion Of Loan Previously Defeased","Partially Defeased",IF($Z464="Defeasance Not Allowable","Not Defeased (Not Permitted)","Not Defeased")))</f>
        <v/>
      </c>
      <c r="CJ464" s="78">
        <f>IF($CI464="Fully Defeased",1,0)</f>
        <v/>
      </c>
      <c r="CK464" s="76">
        <f>IF($R464="IO","Full IO",IF(LEFT($R464&amp;"",7)="IO then","Partial IO","Amortizing"))</f>
        <v/>
      </c>
      <c r="CL464" s="78">
        <f>IF($CK464="Full IO",1,0)</f>
        <v/>
      </c>
      <c r="CM464" s="78">
        <f>IF($CK464="Partial IO",1,0)</f>
        <v/>
      </c>
      <c r="CN464" s="76">
        <f>IF(LEFT($F464&amp;"",10)="SPLIT_LOAN","Pari Passu Split","Standalone")</f>
        <v/>
      </c>
      <c r="CO464" s="78">
        <f>IF($CN464="Pari Passu Split",1,0)</f>
        <v/>
      </c>
      <c r="CP464" s="77">
        <f>IF(ISNUMBER($T464),YEAR($T464),"")</f>
        <v/>
      </c>
      <c r="CQ464" s="79">
        <f>IF(ISNUMBER($V464),$V464,IF(ISNUMBER($U464),$U464,""))</f>
        <v/>
      </c>
      <c r="CR464" s="77">
        <f>IF(ISNUMBER($CQ464),YEAR($CQ464),"")</f>
        <v/>
      </c>
      <c r="CS464" s="78">
        <f>IF(ISNUMBER($M464),MAX(0,$M464),IF(TRIM($M464&amp;"")="matured",0,""))</f>
        <v/>
      </c>
      <c r="CT464" s="78">
        <f>IF(AND(ISNUMBER($CS464),N($CS464)&lt;=mMatWindow),1,0)</f>
        <v/>
      </c>
      <c r="CU464" s="80">
        <f>IF(ISNUMBER($J464),$J464/100,"")</f>
        <v/>
      </c>
      <c r="CV464" s="81">
        <f>IF(ISNUMBER($AQ464),$AQ464,"")</f>
        <v/>
      </c>
      <c r="CW464" s="81">
        <f>IF(ISNUMBER($AR464),$AR464,"")</f>
        <v/>
      </c>
      <c r="CX464" s="82">
        <f>IF(ISNUMBER($AS464),$AS464/100,"")</f>
        <v/>
      </c>
      <c r="CY464" s="82">
        <f>IF(ISNUMBER($AT464),$AT464/100,"")</f>
        <v/>
      </c>
      <c r="CZ464" s="82">
        <f>IF(ISNUMBER($AU464),$AU464/100,"")</f>
        <v/>
      </c>
      <c r="DA464" s="82">
        <f>IF(ISNUMBER($AV464),$AV464/100,"")</f>
        <v/>
      </c>
      <c r="DB464" s="82">
        <f>IF(ISNUMBER($AW464),$AW464/100,"")</f>
        <v/>
      </c>
      <c r="DC464" s="82">
        <f>IF(ISNUMBER($AX464),$AX464/100,"")</f>
        <v/>
      </c>
      <c r="DD464" s="77">
        <f>IFERROR(VALUE(LEFT(TRIM($AO464&amp;""),4)),"")</f>
        <v/>
      </c>
      <c r="DE464" s="78">
        <f>IF(AND($BY464=1,$BX464=1,OR(fDeal="All Deals",$BU464=fDeal),OR(fEntity="All Entities",$BV464=fEntity),OR(fPType="All Property Types",$BZ464=fPType),OR(fDefeased="Include",$CJ464=0)),1,0)</f>
        <v/>
      </c>
      <c r="DF464" s="83">
        <f>$DE464*N($I464)</f>
        <v/>
      </c>
      <c r="DG464" s="78">
        <f>IF($DE464=1,IF(COUNTIFS($F$8:$F464,$F464,$DE$8:$DE464,1)=1,1,0),0)</f>
        <v/>
      </c>
      <c r="DH464" s="83">
        <f>IF($DG464=1,SUMIFS($DF$8:$DF$1600,$F$8:$F$1600,$F464),0)</f>
        <v/>
      </c>
      <c r="DI464" s="78">
        <f>IF($DG464=1,COUNTIFS($F$8:$F$1600,$F464,$DE$8:$DE$1600,1),0)</f>
        <v/>
      </c>
      <c r="DJ464" s="84">
        <f>IF($DG464=1,$DH464+(100000-ROW())/mTieBreak,0)</f>
        <v/>
      </c>
    </row>
    <row r="465">
      <c r="B465" s="68" t="n">
        <v>37</v>
      </c>
      <c r="C465" s="69" t="inlineStr">
        <is>
          <t>UBS17C05</t>
        </is>
      </c>
      <c r="D465" s="69" t="inlineStr">
        <is>
          <t>37.000</t>
        </is>
      </c>
      <c r="E465" s="69" t="inlineStr">
        <is>
          <t>TransUnion Office Building</t>
        </is>
      </c>
      <c r="F465" s="69" t="inlineStr">
        <is>
          <t>LNUBS17C05-37.000</t>
        </is>
      </c>
      <c r="G465" s="70" t="n"/>
      <c r="H465" s="71" t="n">
        <v>6000000</v>
      </c>
      <c r="I465" s="71" t="n">
        <v>6000000</v>
      </c>
      <c r="J465" s="72" t="n">
        <v>4.94</v>
      </c>
      <c r="K465" s="69" t="inlineStr">
        <is>
          <t>Fixed rate</t>
        </is>
      </c>
      <c r="L465" s="68" t="n">
        <v>120</v>
      </c>
      <c r="M465" s="68" t="n">
        <v>14</v>
      </c>
      <c r="N465" s="68" t="n">
        <v>120</v>
      </c>
      <c r="O465" s="68" t="n">
        <v>120</v>
      </c>
      <c r="P465" s="68" t="n">
        <v>14</v>
      </c>
      <c r="Q465" s="68" t="n">
        <v>106</v>
      </c>
      <c r="R465" s="69" t="inlineStr">
        <is>
          <t>IO</t>
        </is>
      </c>
      <c r="S465" s="69" t="inlineStr">
        <is>
          <t>Yes</t>
        </is>
      </c>
      <c r="T465" s="73" t="n">
        <v>43040</v>
      </c>
      <c r="U465" s="73" t="n">
        <v>48463</v>
      </c>
      <c r="V465" s="73" t="n">
        <v>46697</v>
      </c>
      <c r="W465" s="69" t="n"/>
      <c r="X465" s="69" t="inlineStr">
        <is>
          <t>Current</t>
        </is>
      </c>
      <c r="Y465" s="68" t="n"/>
      <c r="Z465" s="69" t="inlineStr">
        <is>
          <t>No Defeasance Occurred</t>
        </is>
      </c>
      <c r="AA465" s="69" t="n"/>
      <c r="AB465" s="69" t="inlineStr">
        <is>
          <t>Never special serv</t>
        </is>
      </c>
      <c r="AC465" s="73" t="n"/>
      <c r="AD465" s="69" t="n"/>
      <c r="AE465" s="69" t="n"/>
      <c r="AF465" s="69" t="inlineStr">
        <is>
          <t>PA</t>
        </is>
      </c>
      <c r="AG465" s="69" t="inlineStr">
        <is>
          <t>Ridley Township</t>
        </is>
      </c>
      <c r="AH465" s="69" t="inlineStr">
        <is>
          <t>Philadelphia-Camden-Wilmington, PA-NJ-DE-MD</t>
        </is>
      </c>
      <c r="AI465" s="69" t="inlineStr">
        <is>
          <t>Northeast / Mid-Atlantic</t>
        </is>
      </c>
      <c r="AJ465" s="69" t="inlineStr">
        <is>
          <t>OF</t>
        </is>
      </c>
      <c r="AK465" s="69" t="inlineStr">
        <is>
          <t>Suburban</t>
        </is>
      </c>
      <c r="AL465" s="68" t="n">
        <v>1</v>
      </c>
      <c r="AM465" s="68" t="n"/>
      <c r="AN465" s="68" t="n">
        <v>56320</v>
      </c>
      <c r="AO465" s="69" t="inlineStr">
        <is>
          <t>1999</t>
        </is>
      </c>
      <c r="AP465" s="70" t="n">
        <v>2014</v>
      </c>
      <c r="AQ465" s="74" t="n">
        <v>2.02</v>
      </c>
      <c r="AR465" s="74" t="n">
        <v>2.16</v>
      </c>
      <c r="AS465" s="74" t="n">
        <v>62.2</v>
      </c>
      <c r="AT465" s="74" t="n">
        <v>62.18</v>
      </c>
      <c r="AU465" s="74" t="n">
        <v>62.2</v>
      </c>
      <c r="AV465" s="74" t="n">
        <v>10.132208333</v>
      </c>
      <c r="AW465" s="74" t="n">
        <v>10.797213667</v>
      </c>
      <c r="AX465" s="75" t="n">
        <v>100</v>
      </c>
      <c r="AY465" s="71" t="n">
        <v>9650000</v>
      </c>
      <c r="AZ465" s="71" t="n">
        <v>9650000</v>
      </c>
      <c r="BA465" s="71" t="n">
        <v>607932.5</v>
      </c>
      <c r="BB465" s="71" t="n">
        <v>647832.8199999999</v>
      </c>
      <c r="BC465" s="69" t="inlineStr">
        <is>
          <t>Acquisition</t>
        </is>
      </c>
      <c r="BD465" s="69" t="inlineStr">
        <is>
          <t>N</t>
        </is>
      </c>
      <c r="BE465" s="71" t="n"/>
      <c r="BF465" s="71" t="n"/>
      <c r="BG465" s="71" t="n"/>
      <c r="BH465" s="71" t="n">
        <v>0</v>
      </c>
      <c r="BI465" s="71" t="n">
        <v>0</v>
      </c>
      <c r="BJ465" s="69" t="inlineStr">
        <is>
          <t>N</t>
        </is>
      </c>
      <c r="BK465" s="69" t="inlineStr">
        <is>
          <t>Transunion</t>
        </is>
      </c>
      <c r="BL465" s="75" t="n">
        <v>100</v>
      </c>
      <c r="BM465" s="73" t="n">
        <v>48487</v>
      </c>
      <c r="BN465" s="69" t="inlineStr">
        <is>
          <t>Ladder Capital CRE Equity LLC</t>
        </is>
      </c>
      <c r="BO465" s="69" t="inlineStr">
        <is>
          <t>Ladder Capital Finance</t>
        </is>
      </c>
      <c r="BP465" s="69" t="inlineStr">
        <is>
          <t>Midland Loan Services</t>
        </is>
      </c>
      <c r="BQ465" s="69" t="inlineStr">
        <is>
          <t>K-Star Asset Management LLC</t>
        </is>
      </c>
      <c r="BR465" s="69" t="n"/>
      <c r="BS465" s="73" t="n">
        <v>46276</v>
      </c>
      <c r="BU465" s="76">
        <f>IF($C465="","",IFERROR(INDEX(dmName,MATCH($C465,dmID,0)),"Unmapped"))</f>
        <v/>
      </c>
      <c r="BV465" s="76">
        <f>IF($C465="","",IFERROR(INDEX(dmEntity,MATCH($C465,dmID,0)),"Unmapped"))</f>
        <v/>
      </c>
      <c r="BW465" s="77">
        <f>IF($C465="","",IFERROR(INDEX(dmVintage,MATCH($C465,dmID,0)),""))</f>
        <v/>
      </c>
      <c r="BX465" s="78">
        <f>IFERROR(INDEX(dmInclude,MATCH($C465,dmID,0)),0)</f>
        <v/>
      </c>
      <c r="BY465" s="78">
        <f>IF(N($I465)&gt;0,1,0)</f>
        <v/>
      </c>
      <c r="BZ465" s="76">
        <f>IF($AJ465="","Other / Leased Fee",IFERROR(INDEX(mapPTGroup,MATCH(LEFT(TRIM($AJ465),2),mapPTCode,0)),"Other / Leased Fee"))</f>
        <v/>
      </c>
      <c r="CA465" s="76">
        <f>IF(TRIM($AF465&amp;"")="","NR",LEFT(TRIM($AF465),2))</f>
        <v/>
      </c>
      <c r="CB465" s="76">
        <f>IFERROR(LOOKUP(2,1/(LEFT(TRIM($AI465&amp;""),LEN(mapRegion))=mapRegion),mapRegion),"Not Reported")</f>
        <v/>
      </c>
      <c r="CC465" s="76">
        <f>IF($BY465=0,"",IF(TRIM($W465&amp;"")="REO","REO",IF(TRIM($W465&amp;"")="FC","Foreclosure",IF(TRIM($W465&amp;"")="90+","90+ Days Delinquent",IF(TRIM($W465&amp;"")="60","60 Days Delinquent",IF(TRIM($W465&amp;"")="30","30 Days Delinquent",IF($X465="Non-Performing Matured Balloon","Non-Performing Matured Balloon",IF(OR($X465="Late Payment But Less Than 30 Days Delinquent",LEFT($X465&amp;"",20)="Payment Not Received"),"Late / In Grace (&lt;30 Days)",IF($X465="Performing Matured Balloon","Performing Matured Balloon","Current")))))))))</f>
        <v/>
      </c>
      <c r="CD465" s="78">
        <f>IF(OR($CC465="REO",$CC465="Foreclosure",$CC465="90+ Days Delinquent",$CC465="60 Days Delinquent",$CC465="30 Days Delinquent",$CC465="Non-Performing Matured Balloon"),1,0)</f>
        <v/>
      </c>
      <c r="CE465" s="76">
        <f>IF($AB465="Currently special serv","Currently Specially Serviced",IF($AB465="Returned to master serv","Previously Specially Serviced","Never Specially Serviced"))</f>
        <v/>
      </c>
      <c r="CF465" s="78">
        <f>IF($CE465="Currently Specially Serviced",1,0)</f>
        <v/>
      </c>
      <c r="CG465" s="76">
        <f>IF($AA465="Yes","Currently on Watchlist",IF($AA465="Previously","Previously on Watchlist","Never on Watchlist"))</f>
        <v/>
      </c>
      <c r="CH465" s="78">
        <f>IF($CG465="Currently on Watchlist",1,0)</f>
        <v/>
      </c>
      <c r="CI465" s="76">
        <f>IF($Z465="Full Defeasance","Fully Defeased",IF($Z465="Portion Of Loan Previously Defeased","Partially Defeased",IF($Z465="Defeasance Not Allowable","Not Defeased (Not Permitted)","Not Defeased")))</f>
        <v/>
      </c>
      <c r="CJ465" s="78">
        <f>IF($CI465="Fully Defeased",1,0)</f>
        <v/>
      </c>
      <c r="CK465" s="76">
        <f>IF($R465="IO","Full IO",IF(LEFT($R465&amp;"",7)="IO then","Partial IO","Amortizing"))</f>
        <v/>
      </c>
      <c r="CL465" s="78">
        <f>IF($CK465="Full IO",1,0)</f>
        <v/>
      </c>
      <c r="CM465" s="78">
        <f>IF($CK465="Partial IO",1,0)</f>
        <v/>
      </c>
      <c r="CN465" s="76">
        <f>IF(LEFT($F465&amp;"",10)="SPLIT_LOAN","Pari Passu Split","Standalone")</f>
        <v/>
      </c>
      <c r="CO465" s="78">
        <f>IF($CN465="Pari Passu Split",1,0)</f>
        <v/>
      </c>
      <c r="CP465" s="77">
        <f>IF(ISNUMBER($T465),YEAR($T465),"")</f>
        <v/>
      </c>
      <c r="CQ465" s="79">
        <f>IF(ISNUMBER($V465),$V465,IF(ISNUMBER($U465),$U465,""))</f>
        <v/>
      </c>
      <c r="CR465" s="77">
        <f>IF(ISNUMBER($CQ465),YEAR($CQ465),"")</f>
        <v/>
      </c>
      <c r="CS465" s="78">
        <f>IF(ISNUMBER($M465),MAX(0,$M465),IF(TRIM($M465&amp;"")="matured",0,""))</f>
        <v/>
      </c>
      <c r="CT465" s="78">
        <f>IF(AND(ISNUMBER($CS465),N($CS465)&lt;=mMatWindow),1,0)</f>
        <v/>
      </c>
      <c r="CU465" s="80">
        <f>IF(ISNUMBER($J465),$J465/100,"")</f>
        <v/>
      </c>
      <c r="CV465" s="81">
        <f>IF(ISNUMBER($AQ465),$AQ465,"")</f>
        <v/>
      </c>
      <c r="CW465" s="81">
        <f>IF(ISNUMBER($AR465),$AR465,"")</f>
        <v/>
      </c>
      <c r="CX465" s="82">
        <f>IF(ISNUMBER($AS465),$AS465/100,"")</f>
        <v/>
      </c>
      <c r="CY465" s="82">
        <f>IF(ISNUMBER($AT465),$AT465/100,"")</f>
        <v/>
      </c>
      <c r="CZ465" s="82">
        <f>IF(ISNUMBER($AU465),$AU465/100,"")</f>
        <v/>
      </c>
      <c r="DA465" s="82">
        <f>IF(ISNUMBER($AV465),$AV465/100,"")</f>
        <v/>
      </c>
      <c r="DB465" s="82">
        <f>IF(ISNUMBER($AW465),$AW465/100,"")</f>
        <v/>
      </c>
      <c r="DC465" s="82">
        <f>IF(ISNUMBER($AX465),$AX465/100,"")</f>
        <v/>
      </c>
      <c r="DD465" s="77">
        <f>IFERROR(VALUE(LEFT(TRIM($AO465&amp;""),4)),"")</f>
        <v/>
      </c>
      <c r="DE465" s="78">
        <f>IF(AND($BY465=1,$BX465=1,OR(fDeal="All Deals",$BU465=fDeal),OR(fEntity="All Entities",$BV465=fEntity),OR(fPType="All Property Types",$BZ465=fPType),OR(fDefeased="Include",$CJ465=0)),1,0)</f>
        <v/>
      </c>
      <c r="DF465" s="83">
        <f>$DE465*N($I465)</f>
        <v/>
      </c>
      <c r="DG465" s="78">
        <f>IF($DE465=1,IF(COUNTIFS($F$8:$F465,$F465,$DE$8:$DE465,1)=1,1,0),0)</f>
        <v/>
      </c>
      <c r="DH465" s="83">
        <f>IF($DG465=1,SUMIFS($DF$8:$DF$1600,$F$8:$F$1600,$F465),0)</f>
        <v/>
      </c>
      <c r="DI465" s="78">
        <f>IF($DG465=1,COUNTIFS($F$8:$F$1600,$F465,$DE$8:$DE$1600,1),0)</f>
        <v/>
      </c>
      <c r="DJ465" s="84">
        <f>IF($DG465=1,$DH465+(100000-ROW())/mTieBreak,0)</f>
        <v/>
      </c>
    </row>
    <row r="466">
      <c r="B466" s="68" t="n">
        <v>38</v>
      </c>
      <c r="C466" s="69" t="inlineStr">
        <is>
          <t>UBS17C05</t>
        </is>
      </c>
      <c r="D466" s="69" t="inlineStr">
        <is>
          <t>38.000</t>
        </is>
      </c>
      <c r="E466" s="69" t="inlineStr">
        <is>
          <t>South Tampa Medical Office</t>
        </is>
      </c>
      <c r="F466" s="69" t="inlineStr">
        <is>
          <t>LNUBS17C05-38.000</t>
        </is>
      </c>
      <c r="G466" s="70" t="n"/>
      <c r="H466" s="71" t="n">
        <v>5300000</v>
      </c>
      <c r="I466" s="71" t="n">
        <v>4474120.810000801</v>
      </c>
      <c r="J466" s="72" t="n">
        <v>5</v>
      </c>
      <c r="K466" s="69" t="inlineStr">
        <is>
          <t>Fixed rate</t>
        </is>
      </c>
      <c r="L466" s="68" t="n">
        <v>120</v>
      </c>
      <c r="M466" s="68" t="n">
        <v>12</v>
      </c>
      <c r="N466" s="68" t="n">
        <v>360</v>
      </c>
      <c r="O466" s="68" t="n"/>
      <c r="P466" s="68" t="n"/>
      <c r="Q466" s="68" t="n">
        <v>108</v>
      </c>
      <c r="R466" s="69" t="n"/>
      <c r="S466" s="69" t="inlineStr">
        <is>
          <t>No</t>
        </is>
      </c>
      <c r="T466" s="73" t="n">
        <v>42979</v>
      </c>
      <c r="U466" s="73" t="n">
        <v>46636</v>
      </c>
      <c r="V466" s="73" t="n"/>
      <c r="W466" s="69" t="n"/>
      <c r="X466" s="69" t="inlineStr">
        <is>
          <t>Current</t>
        </is>
      </c>
      <c r="Y466" s="68" t="n"/>
      <c r="Z466" s="69" t="inlineStr">
        <is>
          <t>Full Defeasance</t>
        </is>
      </c>
      <c r="AA466" s="69" t="inlineStr">
        <is>
          <t>Previously</t>
        </is>
      </c>
      <c r="AB466" s="69" t="inlineStr">
        <is>
          <t>Never special serv</t>
        </is>
      </c>
      <c r="AC466" s="73" t="n"/>
      <c r="AD466" s="69" t="n"/>
      <c r="AE466" s="69" t="n"/>
      <c r="AF466" s="69" t="inlineStr">
        <is>
          <t>FL</t>
        </is>
      </c>
      <c r="AG466" s="69" t="inlineStr">
        <is>
          <t>Tampa</t>
        </is>
      </c>
      <c r="AH466" s="69" t="inlineStr">
        <is>
          <t>Tampa-St. Petersburg-Clearwater, FL</t>
        </is>
      </c>
      <c r="AI466" s="69" t="inlineStr">
        <is>
          <t>South / Atlantic</t>
        </is>
      </c>
      <c r="AJ466" s="69" t="inlineStr">
        <is>
          <t>OF</t>
        </is>
      </c>
      <c r="AK466" s="69" t="inlineStr">
        <is>
          <t>Medical</t>
        </is>
      </c>
      <c r="AL466" s="68" t="n">
        <v>1</v>
      </c>
      <c r="AM466" s="68" t="n"/>
      <c r="AN466" s="68" t="n">
        <v>25634</v>
      </c>
      <c r="AO466" s="69" t="inlineStr">
        <is>
          <t>2016</t>
        </is>
      </c>
      <c r="AP466" s="70" t="n">
        <v>2016</v>
      </c>
      <c r="AQ466" s="74" t="n">
        <v>1.6</v>
      </c>
      <c r="AR466" s="74" t="n">
        <v>1.79</v>
      </c>
      <c r="AS466" s="74" t="n">
        <v>60.1</v>
      </c>
      <c r="AT466" s="74" t="n">
        <v>50.84</v>
      </c>
      <c r="AU466" s="74" t="n">
        <v>49.5</v>
      </c>
      <c r="AV466" s="74" t="n">
        <v>10.328301887</v>
      </c>
      <c r="AW466" s="74" t="n">
        <v>9.516885844000001</v>
      </c>
      <c r="AX466" s="75" t="n">
        <v>100</v>
      </c>
      <c r="AY466" s="71" t="n">
        <v>8800000</v>
      </c>
      <c r="AZ466" s="71" t="n">
        <v>8800000</v>
      </c>
      <c r="BA466" s="71" t="n">
        <v>547400</v>
      </c>
      <c r="BB466" s="71" t="n">
        <v>612264.3</v>
      </c>
      <c r="BC466" s="69" t="inlineStr">
        <is>
          <t>Refinance</t>
        </is>
      </c>
      <c r="BD466" s="69" t="inlineStr">
        <is>
          <t>N</t>
        </is>
      </c>
      <c r="BE466" s="71" t="n"/>
      <c r="BF466" s="71" t="n"/>
      <c r="BG466" s="71" t="n"/>
      <c r="BH466" s="71" t="n">
        <v>0</v>
      </c>
      <c r="BI466" s="71" t="n">
        <v>0</v>
      </c>
      <c r="BJ466" s="69" t="inlineStr">
        <is>
          <t>N</t>
        </is>
      </c>
      <c r="BK466" s="69" t="inlineStr">
        <is>
          <t>TAMPA SPORTS ACADEMY</t>
        </is>
      </c>
      <c r="BL466" s="75" t="n">
        <v>49.68</v>
      </c>
      <c r="BM466" s="73" t="n">
        <v>48883</v>
      </c>
      <c r="BN466" s="69" t="inlineStr">
        <is>
          <t>Jeffrey Watson; Ed Becker; Scott Goldsmith; Stuart Goldsmith</t>
        </is>
      </c>
      <c r="BO466" s="69" t="inlineStr">
        <is>
          <t>RMF</t>
        </is>
      </c>
      <c r="BP466" s="69" t="inlineStr">
        <is>
          <t>Midland Loan Services</t>
        </is>
      </c>
      <c r="BQ466" s="69" t="inlineStr">
        <is>
          <t>K-Star Asset Management LLC</t>
        </is>
      </c>
      <c r="BR466" s="69" t="n"/>
      <c r="BS466" s="73" t="n">
        <v>46276</v>
      </c>
      <c r="BU466" s="76">
        <f>IF($C466="","",IFERROR(INDEX(dmName,MATCH($C466,dmID,0)),"Unmapped"))</f>
        <v/>
      </c>
      <c r="BV466" s="76">
        <f>IF($C466="","",IFERROR(INDEX(dmEntity,MATCH($C466,dmID,0)),"Unmapped"))</f>
        <v/>
      </c>
      <c r="BW466" s="77">
        <f>IF($C466="","",IFERROR(INDEX(dmVintage,MATCH($C466,dmID,0)),""))</f>
        <v/>
      </c>
      <c r="BX466" s="78">
        <f>IFERROR(INDEX(dmInclude,MATCH($C466,dmID,0)),0)</f>
        <v/>
      </c>
      <c r="BY466" s="78">
        <f>IF(N($I466)&gt;0,1,0)</f>
        <v/>
      </c>
      <c r="BZ466" s="76">
        <f>IF($AJ466="","Other / Leased Fee",IFERROR(INDEX(mapPTGroup,MATCH(LEFT(TRIM($AJ466),2),mapPTCode,0)),"Other / Leased Fee"))</f>
        <v/>
      </c>
      <c r="CA466" s="76">
        <f>IF(TRIM($AF466&amp;"")="","NR",LEFT(TRIM($AF466),2))</f>
        <v/>
      </c>
      <c r="CB466" s="76">
        <f>IFERROR(LOOKUP(2,1/(LEFT(TRIM($AI466&amp;""),LEN(mapRegion))=mapRegion),mapRegion),"Not Reported")</f>
        <v/>
      </c>
      <c r="CC466" s="76">
        <f>IF($BY466=0,"",IF(TRIM($W466&amp;"")="REO","REO",IF(TRIM($W466&amp;"")="FC","Foreclosure",IF(TRIM($W466&amp;"")="90+","90+ Days Delinquent",IF(TRIM($W466&amp;"")="60","60 Days Delinquent",IF(TRIM($W466&amp;"")="30","30 Days Delinquent",IF($X466="Non-Performing Matured Balloon","Non-Performing Matured Balloon",IF(OR($X466="Late Payment But Less Than 30 Days Delinquent",LEFT($X466&amp;"",20)="Payment Not Received"),"Late / In Grace (&lt;30 Days)",IF($X466="Performing Matured Balloon","Performing Matured Balloon","Current")))))))))</f>
        <v/>
      </c>
      <c r="CD466" s="78">
        <f>IF(OR($CC466="REO",$CC466="Foreclosure",$CC466="90+ Days Delinquent",$CC466="60 Days Delinquent",$CC466="30 Days Delinquent",$CC466="Non-Performing Matured Balloon"),1,0)</f>
        <v/>
      </c>
      <c r="CE466" s="76">
        <f>IF($AB466="Currently special serv","Currently Specially Serviced",IF($AB466="Returned to master serv","Previously Specially Serviced","Never Specially Serviced"))</f>
        <v/>
      </c>
      <c r="CF466" s="78">
        <f>IF($CE466="Currently Specially Serviced",1,0)</f>
        <v/>
      </c>
      <c r="CG466" s="76">
        <f>IF($AA466="Yes","Currently on Watchlist",IF($AA466="Previously","Previously on Watchlist","Never on Watchlist"))</f>
        <v/>
      </c>
      <c r="CH466" s="78">
        <f>IF($CG466="Currently on Watchlist",1,0)</f>
        <v/>
      </c>
      <c r="CI466" s="76">
        <f>IF($Z466="Full Defeasance","Fully Defeased",IF($Z466="Portion Of Loan Previously Defeased","Partially Defeased",IF($Z466="Defeasance Not Allowable","Not Defeased (Not Permitted)","Not Defeased")))</f>
        <v/>
      </c>
      <c r="CJ466" s="78">
        <f>IF($CI466="Fully Defeased",1,0)</f>
        <v/>
      </c>
      <c r="CK466" s="76">
        <f>IF($R466="IO","Full IO",IF(LEFT($R466&amp;"",7)="IO then","Partial IO","Amortizing"))</f>
        <v/>
      </c>
      <c r="CL466" s="78">
        <f>IF($CK466="Full IO",1,0)</f>
        <v/>
      </c>
      <c r="CM466" s="78">
        <f>IF($CK466="Partial IO",1,0)</f>
        <v/>
      </c>
      <c r="CN466" s="76">
        <f>IF(LEFT($F466&amp;"",10)="SPLIT_LOAN","Pari Passu Split","Standalone")</f>
        <v/>
      </c>
      <c r="CO466" s="78">
        <f>IF($CN466="Pari Passu Split",1,0)</f>
        <v/>
      </c>
      <c r="CP466" s="77">
        <f>IF(ISNUMBER($T466),YEAR($T466),"")</f>
        <v/>
      </c>
      <c r="CQ466" s="79">
        <f>IF(ISNUMBER($V466),$V466,IF(ISNUMBER($U466),$U466,""))</f>
        <v/>
      </c>
      <c r="CR466" s="77">
        <f>IF(ISNUMBER($CQ466),YEAR($CQ466),"")</f>
        <v/>
      </c>
      <c r="CS466" s="78">
        <f>IF(ISNUMBER($M466),MAX(0,$M466),IF(TRIM($M466&amp;"")="matured",0,""))</f>
        <v/>
      </c>
      <c r="CT466" s="78">
        <f>IF(AND(ISNUMBER($CS466),N($CS466)&lt;=mMatWindow),1,0)</f>
        <v/>
      </c>
      <c r="CU466" s="80">
        <f>IF(ISNUMBER($J466),$J466/100,"")</f>
        <v/>
      </c>
      <c r="CV466" s="81">
        <f>IF(ISNUMBER($AQ466),$AQ466,"")</f>
        <v/>
      </c>
      <c r="CW466" s="81">
        <f>IF(ISNUMBER($AR466),$AR466,"")</f>
        <v/>
      </c>
      <c r="CX466" s="82">
        <f>IF(ISNUMBER($AS466),$AS466/100,"")</f>
        <v/>
      </c>
      <c r="CY466" s="82">
        <f>IF(ISNUMBER($AT466),$AT466/100,"")</f>
        <v/>
      </c>
      <c r="CZ466" s="82">
        <f>IF(ISNUMBER($AU466),$AU466/100,"")</f>
        <v/>
      </c>
      <c r="DA466" s="82">
        <f>IF(ISNUMBER($AV466),$AV466/100,"")</f>
        <v/>
      </c>
      <c r="DB466" s="82">
        <f>IF(ISNUMBER($AW466),$AW466/100,"")</f>
        <v/>
      </c>
      <c r="DC466" s="82">
        <f>IF(ISNUMBER($AX466),$AX466/100,"")</f>
        <v/>
      </c>
      <c r="DD466" s="77">
        <f>IFERROR(VALUE(LEFT(TRIM($AO466&amp;""),4)),"")</f>
        <v/>
      </c>
      <c r="DE466" s="78">
        <f>IF(AND($BY466=1,$BX466=1,OR(fDeal="All Deals",$BU466=fDeal),OR(fEntity="All Entities",$BV466=fEntity),OR(fPType="All Property Types",$BZ466=fPType),OR(fDefeased="Include",$CJ466=0)),1,0)</f>
        <v/>
      </c>
      <c r="DF466" s="83">
        <f>$DE466*N($I466)</f>
        <v/>
      </c>
      <c r="DG466" s="78">
        <f>IF($DE466=1,IF(COUNTIFS($F$8:$F466,$F466,$DE$8:$DE466,1)=1,1,0),0)</f>
        <v/>
      </c>
      <c r="DH466" s="83">
        <f>IF($DG466=1,SUMIFS($DF$8:$DF$1600,$F$8:$F$1600,$F466),0)</f>
        <v/>
      </c>
      <c r="DI466" s="78">
        <f>IF($DG466=1,COUNTIFS($F$8:$F$1600,$F466,$DE$8:$DE$1600,1),0)</f>
        <v/>
      </c>
      <c r="DJ466" s="84">
        <f>IF($DG466=1,$DH466+(100000-ROW())/mTieBreak,0)</f>
        <v/>
      </c>
    </row>
    <row r="467">
      <c r="B467" s="68" t="n">
        <v>39</v>
      </c>
      <c r="C467" s="69" t="inlineStr">
        <is>
          <t>UBS17C05</t>
        </is>
      </c>
      <c r="D467" s="69" t="inlineStr">
        <is>
          <t>39.000</t>
        </is>
      </c>
      <c r="E467" s="69" t="inlineStr">
        <is>
          <t>Franklin Village</t>
        </is>
      </c>
      <c r="F467" s="69" t="inlineStr">
        <is>
          <t>LNUBS17C05-39.000</t>
        </is>
      </c>
      <c r="G467" s="70" t="n"/>
      <c r="H467" s="71" t="n">
        <v>5000000</v>
      </c>
      <c r="I467" s="71" t="n">
        <v>4483166.55</v>
      </c>
      <c r="J467" s="72" t="n">
        <v>4.56</v>
      </c>
      <c r="K467" s="69" t="inlineStr">
        <is>
          <t>Fixed rate</t>
        </is>
      </c>
      <c r="L467" s="68" t="n">
        <v>120</v>
      </c>
      <c r="M467" s="68" t="n">
        <v>12</v>
      </c>
      <c r="N467" s="68" t="n">
        <v>396</v>
      </c>
      <c r="O467" s="68" t="n">
        <v>36</v>
      </c>
      <c r="P467" s="68" t="n">
        <v>0</v>
      </c>
      <c r="Q467" s="68" t="n">
        <v>108</v>
      </c>
      <c r="R467" s="69" t="inlineStr">
        <is>
          <t>IO then Amort</t>
        </is>
      </c>
      <c r="S467" s="69" t="inlineStr">
        <is>
          <t>No</t>
        </is>
      </c>
      <c r="T467" s="73" t="n">
        <v>42979</v>
      </c>
      <c r="U467" s="73" t="n">
        <v>46636</v>
      </c>
      <c r="V467" s="73" t="n"/>
      <c r="W467" s="69" t="n"/>
      <c r="X467" s="69" t="inlineStr">
        <is>
          <t>Current</t>
        </is>
      </c>
      <c r="Y467" s="68" t="n"/>
      <c r="Z467" s="69" t="inlineStr">
        <is>
          <t>No Defeasance Occurred</t>
        </is>
      </c>
      <c r="AA467" s="69" t="inlineStr">
        <is>
          <t>Previously</t>
        </is>
      </c>
      <c r="AB467" s="69" t="inlineStr">
        <is>
          <t>Never special serv</t>
        </is>
      </c>
      <c r="AC467" s="73" t="n"/>
      <c r="AD467" s="69" t="n"/>
      <c r="AE467" s="69" t="n"/>
      <c r="AF467" s="69" t="inlineStr">
        <is>
          <t>TX</t>
        </is>
      </c>
      <c r="AG467" s="69" t="inlineStr">
        <is>
          <t>Waco</t>
        </is>
      </c>
      <c r="AH467" s="69" t="inlineStr">
        <is>
          <t>Waco, TX</t>
        </is>
      </c>
      <c r="AI467" s="69" t="inlineStr">
        <is>
          <t>South / Central West</t>
        </is>
      </c>
      <c r="AJ467" s="69" t="inlineStr">
        <is>
          <t>RT</t>
        </is>
      </c>
      <c r="AK467" s="69" t="inlineStr">
        <is>
          <t>Anchored</t>
        </is>
      </c>
      <c r="AL467" s="68" t="n">
        <v>1</v>
      </c>
      <c r="AM467" s="68" t="n"/>
      <c r="AN467" s="68" t="n">
        <v>47345</v>
      </c>
      <c r="AO467" s="69" t="inlineStr">
        <is>
          <t>1996, 1999</t>
        </is>
      </c>
      <c r="AP467" s="70" t="n">
        <v>1999</v>
      </c>
      <c r="AQ467" s="74" t="n">
        <v>1.7</v>
      </c>
      <c r="AR467" s="74" t="n">
        <v>1.34</v>
      </c>
      <c r="AS467" s="74" t="n">
        <v>70.40000000000001</v>
      </c>
      <c r="AT467" s="74" t="n">
        <v>63.14</v>
      </c>
      <c r="AU467" s="74" t="n">
        <v>61.7</v>
      </c>
      <c r="AV467" s="74" t="n">
        <v>10.39242</v>
      </c>
      <c r="AW467" s="74" t="n">
        <v>8.440510871000001</v>
      </c>
      <c r="AX467" s="75" t="n">
        <v>92</v>
      </c>
      <c r="AY467" s="71" t="n">
        <v>7100000</v>
      </c>
      <c r="AZ467" s="71" t="n">
        <v>7100000</v>
      </c>
      <c r="BA467" s="71" t="n">
        <v>519621</v>
      </c>
      <c r="BB467" s="71" t="n">
        <v>408851.12</v>
      </c>
      <c r="BC467" s="69" t="inlineStr">
        <is>
          <t>Acquisition</t>
        </is>
      </c>
      <c r="BD467" s="69" t="inlineStr">
        <is>
          <t>N</t>
        </is>
      </c>
      <c r="BE467" s="71" t="n"/>
      <c r="BF467" s="71" t="n"/>
      <c r="BG467" s="71" t="n"/>
      <c r="BH467" s="71" t="n">
        <v>0</v>
      </c>
      <c r="BI467" s="71" t="n">
        <v>0</v>
      </c>
      <c r="BJ467" s="69" t="inlineStr">
        <is>
          <t>N</t>
        </is>
      </c>
      <c r="BK467" s="69" t="inlineStr">
        <is>
          <t>Petsmart</t>
        </is>
      </c>
      <c r="BL467" s="75" t="n">
        <v>43.47</v>
      </c>
      <c r="BM467" s="73" t="n">
        <v>48244</v>
      </c>
      <c r="BN467" s="69" t="inlineStr">
        <is>
          <t>David Alan Jarvie</t>
        </is>
      </c>
      <c r="BO467" s="69" t="inlineStr">
        <is>
          <t>RMF</t>
        </is>
      </c>
      <c r="BP467" s="69" t="inlineStr">
        <is>
          <t>Midland Loan Services</t>
        </is>
      </c>
      <c r="BQ467" s="69" t="inlineStr">
        <is>
          <t>K-Star Asset Management LLC</t>
        </is>
      </c>
      <c r="BR467" s="69" t="n"/>
      <c r="BS467" s="73" t="n">
        <v>46276</v>
      </c>
      <c r="BU467" s="76">
        <f>IF($C467="","",IFERROR(INDEX(dmName,MATCH($C467,dmID,0)),"Unmapped"))</f>
        <v/>
      </c>
      <c r="BV467" s="76">
        <f>IF($C467="","",IFERROR(INDEX(dmEntity,MATCH($C467,dmID,0)),"Unmapped"))</f>
        <v/>
      </c>
      <c r="BW467" s="77">
        <f>IF($C467="","",IFERROR(INDEX(dmVintage,MATCH($C467,dmID,0)),""))</f>
        <v/>
      </c>
      <c r="BX467" s="78">
        <f>IFERROR(INDEX(dmInclude,MATCH($C467,dmID,0)),0)</f>
        <v/>
      </c>
      <c r="BY467" s="78">
        <f>IF(N($I467)&gt;0,1,0)</f>
        <v/>
      </c>
      <c r="BZ467" s="76">
        <f>IF($AJ467="","Other / Leased Fee",IFERROR(INDEX(mapPTGroup,MATCH(LEFT(TRIM($AJ467),2),mapPTCode,0)),"Other / Leased Fee"))</f>
        <v/>
      </c>
      <c r="CA467" s="76">
        <f>IF(TRIM($AF467&amp;"")="","NR",LEFT(TRIM($AF467),2))</f>
        <v/>
      </c>
      <c r="CB467" s="76">
        <f>IFERROR(LOOKUP(2,1/(LEFT(TRIM($AI467&amp;""),LEN(mapRegion))=mapRegion),mapRegion),"Not Reported")</f>
        <v/>
      </c>
      <c r="CC467" s="76">
        <f>IF($BY467=0,"",IF(TRIM($W467&amp;"")="REO","REO",IF(TRIM($W467&amp;"")="FC","Foreclosure",IF(TRIM($W467&amp;"")="90+","90+ Days Delinquent",IF(TRIM($W467&amp;"")="60","60 Days Delinquent",IF(TRIM($W467&amp;"")="30","30 Days Delinquent",IF($X467="Non-Performing Matured Balloon","Non-Performing Matured Balloon",IF(OR($X467="Late Payment But Less Than 30 Days Delinquent",LEFT($X467&amp;"",20)="Payment Not Received"),"Late / In Grace (&lt;30 Days)",IF($X467="Performing Matured Balloon","Performing Matured Balloon","Current")))))))))</f>
        <v/>
      </c>
      <c r="CD467" s="78">
        <f>IF(OR($CC467="REO",$CC467="Foreclosure",$CC467="90+ Days Delinquent",$CC467="60 Days Delinquent",$CC467="30 Days Delinquent",$CC467="Non-Performing Matured Balloon"),1,0)</f>
        <v/>
      </c>
      <c r="CE467" s="76">
        <f>IF($AB467="Currently special serv","Currently Specially Serviced",IF($AB467="Returned to master serv","Previously Specially Serviced","Never Specially Serviced"))</f>
        <v/>
      </c>
      <c r="CF467" s="78">
        <f>IF($CE467="Currently Specially Serviced",1,0)</f>
        <v/>
      </c>
      <c r="CG467" s="76">
        <f>IF($AA467="Yes","Currently on Watchlist",IF($AA467="Previously","Previously on Watchlist","Never on Watchlist"))</f>
        <v/>
      </c>
      <c r="CH467" s="78">
        <f>IF($CG467="Currently on Watchlist",1,0)</f>
        <v/>
      </c>
      <c r="CI467" s="76">
        <f>IF($Z467="Full Defeasance","Fully Defeased",IF($Z467="Portion Of Loan Previously Defeased","Partially Defeased",IF($Z467="Defeasance Not Allowable","Not Defeased (Not Permitted)","Not Defeased")))</f>
        <v/>
      </c>
      <c r="CJ467" s="78">
        <f>IF($CI467="Fully Defeased",1,0)</f>
        <v/>
      </c>
      <c r="CK467" s="76">
        <f>IF($R467="IO","Full IO",IF(LEFT($R467&amp;"",7)="IO then","Partial IO","Amortizing"))</f>
        <v/>
      </c>
      <c r="CL467" s="78">
        <f>IF($CK467="Full IO",1,0)</f>
        <v/>
      </c>
      <c r="CM467" s="78">
        <f>IF($CK467="Partial IO",1,0)</f>
        <v/>
      </c>
      <c r="CN467" s="76">
        <f>IF(LEFT($F467&amp;"",10)="SPLIT_LOAN","Pari Passu Split","Standalone")</f>
        <v/>
      </c>
      <c r="CO467" s="78">
        <f>IF($CN467="Pari Passu Split",1,0)</f>
        <v/>
      </c>
      <c r="CP467" s="77">
        <f>IF(ISNUMBER($T467),YEAR($T467),"")</f>
        <v/>
      </c>
      <c r="CQ467" s="79">
        <f>IF(ISNUMBER($V467),$V467,IF(ISNUMBER($U467),$U467,""))</f>
        <v/>
      </c>
      <c r="CR467" s="77">
        <f>IF(ISNUMBER($CQ467),YEAR($CQ467),"")</f>
        <v/>
      </c>
      <c r="CS467" s="78">
        <f>IF(ISNUMBER($M467),MAX(0,$M467),IF(TRIM($M467&amp;"")="matured",0,""))</f>
        <v/>
      </c>
      <c r="CT467" s="78">
        <f>IF(AND(ISNUMBER($CS467),N($CS467)&lt;=mMatWindow),1,0)</f>
        <v/>
      </c>
      <c r="CU467" s="80">
        <f>IF(ISNUMBER($J467),$J467/100,"")</f>
        <v/>
      </c>
      <c r="CV467" s="81">
        <f>IF(ISNUMBER($AQ467),$AQ467,"")</f>
        <v/>
      </c>
      <c r="CW467" s="81">
        <f>IF(ISNUMBER($AR467),$AR467,"")</f>
        <v/>
      </c>
      <c r="CX467" s="82">
        <f>IF(ISNUMBER($AS467),$AS467/100,"")</f>
        <v/>
      </c>
      <c r="CY467" s="82">
        <f>IF(ISNUMBER($AT467),$AT467/100,"")</f>
        <v/>
      </c>
      <c r="CZ467" s="82">
        <f>IF(ISNUMBER($AU467),$AU467/100,"")</f>
        <v/>
      </c>
      <c r="DA467" s="82">
        <f>IF(ISNUMBER($AV467),$AV467/100,"")</f>
        <v/>
      </c>
      <c r="DB467" s="82">
        <f>IF(ISNUMBER($AW467),$AW467/100,"")</f>
        <v/>
      </c>
      <c r="DC467" s="82">
        <f>IF(ISNUMBER($AX467),$AX467/100,"")</f>
        <v/>
      </c>
      <c r="DD467" s="77">
        <f>IFERROR(VALUE(LEFT(TRIM($AO467&amp;""),4)),"")</f>
        <v/>
      </c>
      <c r="DE467" s="78">
        <f>IF(AND($BY467=1,$BX467=1,OR(fDeal="All Deals",$BU467=fDeal),OR(fEntity="All Entities",$BV467=fEntity),OR(fPType="All Property Types",$BZ467=fPType),OR(fDefeased="Include",$CJ467=0)),1,0)</f>
        <v/>
      </c>
      <c r="DF467" s="83">
        <f>$DE467*N($I467)</f>
        <v/>
      </c>
      <c r="DG467" s="78">
        <f>IF($DE467=1,IF(COUNTIFS($F$8:$F467,$F467,$DE$8:$DE467,1)=1,1,0),0)</f>
        <v/>
      </c>
      <c r="DH467" s="83">
        <f>IF($DG467=1,SUMIFS($DF$8:$DF$1600,$F$8:$F$1600,$F467),0)</f>
        <v/>
      </c>
      <c r="DI467" s="78">
        <f>IF($DG467=1,COUNTIFS($F$8:$F$1600,$F467,$DE$8:$DE$1600,1),0)</f>
        <v/>
      </c>
      <c r="DJ467" s="84">
        <f>IF($DG467=1,$DH467+(100000-ROW())/mTieBreak,0)</f>
        <v/>
      </c>
    </row>
    <row r="468">
      <c r="B468" s="68" t="n">
        <v>40</v>
      </c>
      <c r="C468" s="69" t="inlineStr">
        <is>
          <t>UBS17C05</t>
        </is>
      </c>
      <c r="D468" s="69" t="inlineStr">
        <is>
          <t>40.000</t>
        </is>
      </c>
      <c r="E468" s="69" t="inlineStr">
        <is>
          <t>Riley Place Shopping Center</t>
        </is>
      </c>
      <c r="F468" s="69" t="inlineStr">
        <is>
          <t>LNUBS17C05-40.000</t>
        </is>
      </c>
      <c r="G468" s="70" t="n"/>
      <c r="H468" s="71" t="n">
        <v>4800000</v>
      </c>
      <c r="I468" s="71" t="n">
        <v>4013444.1</v>
      </c>
      <c r="J468" s="72" t="n">
        <v>4.89</v>
      </c>
      <c r="K468" s="69" t="inlineStr">
        <is>
          <t>Fixed rate</t>
        </is>
      </c>
      <c r="L468" s="68" t="n">
        <v>120</v>
      </c>
      <c r="M468" s="68" t="n">
        <v>9</v>
      </c>
      <c r="N468" s="68" t="n">
        <v>360</v>
      </c>
      <c r="O468" s="68" t="n"/>
      <c r="P468" s="68" t="n"/>
      <c r="Q468" s="68" t="n">
        <v>111</v>
      </c>
      <c r="R468" s="69" t="n"/>
      <c r="S468" s="69" t="inlineStr">
        <is>
          <t>No</t>
        </is>
      </c>
      <c r="T468" s="73" t="n">
        <v>42887</v>
      </c>
      <c r="U468" s="73" t="n">
        <v>46544</v>
      </c>
      <c r="V468" s="73" t="n"/>
      <c r="W468" s="69" t="n"/>
      <c r="X468" s="69" t="inlineStr">
        <is>
          <t>Current</t>
        </is>
      </c>
      <c r="Y468" s="68" t="n"/>
      <c r="Z468" s="69" t="inlineStr">
        <is>
          <t>No Defeasance Occurred</t>
        </is>
      </c>
      <c r="AA468" s="69" t="inlineStr">
        <is>
          <t>Previously</t>
        </is>
      </c>
      <c r="AB468" s="69" t="inlineStr">
        <is>
          <t>Never special serv</t>
        </is>
      </c>
      <c r="AC468" s="73" t="n"/>
      <c r="AD468" s="69" t="n"/>
      <c r="AE468" s="69" t="n"/>
      <c r="AF468" s="69" t="inlineStr">
        <is>
          <t>FL</t>
        </is>
      </c>
      <c r="AG468" s="69" t="inlineStr">
        <is>
          <t>Pace</t>
        </is>
      </c>
      <c r="AH468" s="69" t="inlineStr">
        <is>
          <t>Pensacola-Ferry Pass-Brent, FL</t>
        </is>
      </c>
      <c r="AI468" s="69" t="inlineStr">
        <is>
          <t>South / Atlantic</t>
        </is>
      </c>
      <c r="AJ468" s="69" t="inlineStr">
        <is>
          <t>RT</t>
        </is>
      </c>
      <c r="AK468" s="69" t="inlineStr">
        <is>
          <t>Anchored</t>
        </is>
      </c>
      <c r="AL468" s="68" t="n">
        <v>1</v>
      </c>
      <c r="AM468" s="68" t="n"/>
      <c r="AN468" s="68" t="n">
        <v>65650</v>
      </c>
      <c r="AO468" s="69" t="inlineStr">
        <is>
          <t>1990</t>
        </is>
      </c>
      <c r="AP468" s="70" t="n">
        <v>2014</v>
      </c>
      <c r="AQ468" s="74" t="n">
        <v>1.47</v>
      </c>
      <c r="AR468" s="74" t="n">
        <v>1.43</v>
      </c>
      <c r="AS468" s="74" t="n">
        <v>73.40000000000001</v>
      </c>
      <c r="AT468" s="74" t="n">
        <v>61.75</v>
      </c>
      <c r="AU468" s="74" t="n">
        <v>60.5</v>
      </c>
      <c r="AV468" s="74" t="n">
        <v>9.330229167000001</v>
      </c>
      <c r="AW468" s="74" t="n">
        <v>10.899488796</v>
      </c>
      <c r="AX468" s="75" t="n">
        <v>100</v>
      </c>
      <c r="AY468" s="71" t="n">
        <v>6500000</v>
      </c>
      <c r="AZ468" s="71" t="n">
        <v>6500000</v>
      </c>
      <c r="BA468" s="71" t="n">
        <v>447851</v>
      </c>
      <c r="BB468" s="71" t="n">
        <v>437444.89</v>
      </c>
      <c r="BC468" s="69" t="inlineStr">
        <is>
          <t>Refinance</t>
        </is>
      </c>
      <c r="BD468" s="69" t="inlineStr">
        <is>
          <t>N</t>
        </is>
      </c>
      <c r="BE468" s="71" t="n"/>
      <c r="BF468" s="71" t="n"/>
      <c r="BG468" s="71" t="n"/>
      <c r="BH468" s="71" t="n">
        <v>0</v>
      </c>
      <c r="BI468" s="71" t="n">
        <v>0</v>
      </c>
      <c r="BJ468" s="69" t="inlineStr">
        <is>
          <t>N</t>
        </is>
      </c>
      <c r="BK468" s="69" t="inlineStr">
        <is>
          <t>WINN-DIXIE #507</t>
        </is>
      </c>
      <c r="BL468" s="75" t="n">
        <v>69.31</v>
      </c>
      <c r="BM468" s="73" t="n">
        <v>47231</v>
      </c>
      <c r="BN468" s="69" t="inlineStr">
        <is>
          <t>Thomas J. Cannon III</t>
        </is>
      </c>
      <c r="BO468" s="69" t="inlineStr">
        <is>
          <t>Cantor Commercial Real Estate Lending</t>
        </is>
      </c>
      <c r="BP468" s="69" t="inlineStr">
        <is>
          <t>Midland Loan Services</t>
        </is>
      </c>
      <c r="BQ468" s="69" t="inlineStr">
        <is>
          <t>K-Star Asset Management LLC</t>
        </is>
      </c>
      <c r="BR468" s="69" t="n"/>
      <c r="BS468" s="73" t="n">
        <v>46276</v>
      </c>
      <c r="BU468" s="76">
        <f>IF($C468="","",IFERROR(INDEX(dmName,MATCH($C468,dmID,0)),"Unmapped"))</f>
        <v/>
      </c>
      <c r="BV468" s="76">
        <f>IF($C468="","",IFERROR(INDEX(dmEntity,MATCH($C468,dmID,0)),"Unmapped"))</f>
        <v/>
      </c>
      <c r="BW468" s="77">
        <f>IF($C468="","",IFERROR(INDEX(dmVintage,MATCH($C468,dmID,0)),""))</f>
        <v/>
      </c>
      <c r="BX468" s="78">
        <f>IFERROR(INDEX(dmInclude,MATCH($C468,dmID,0)),0)</f>
        <v/>
      </c>
      <c r="BY468" s="78">
        <f>IF(N($I468)&gt;0,1,0)</f>
        <v/>
      </c>
      <c r="BZ468" s="76">
        <f>IF($AJ468="","Other / Leased Fee",IFERROR(INDEX(mapPTGroup,MATCH(LEFT(TRIM($AJ468),2),mapPTCode,0)),"Other / Leased Fee"))</f>
        <v/>
      </c>
      <c r="CA468" s="76">
        <f>IF(TRIM($AF468&amp;"")="","NR",LEFT(TRIM($AF468),2))</f>
        <v/>
      </c>
      <c r="CB468" s="76">
        <f>IFERROR(LOOKUP(2,1/(LEFT(TRIM($AI468&amp;""),LEN(mapRegion))=mapRegion),mapRegion),"Not Reported")</f>
        <v/>
      </c>
      <c r="CC468" s="76">
        <f>IF($BY468=0,"",IF(TRIM($W468&amp;"")="REO","REO",IF(TRIM($W468&amp;"")="FC","Foreclosure",IF(TRIM($W468&amp;"")="90+","90+ Days Delinquent",IF(TRIM($W468&amp;"")="60","60 Days Delinquent",IF(TRIM($W468&amp;"")="30","30 Days Delinquent",IF($X468="Non-Performing Matured Balloon","Non-Performing Matured Balloon",IF(OR($X468="Late Payment But Less Than 30 Days Delinquent",LEFT($X468&amp;"",20)="Payment Not Received"),"Late / In Grace (&lt;30 Days)",IF($X468="Performing Matured Balloon","Performing Matured Balloon","Current")))))))))</f>
        <v/>
      </c>
      <c r="CD468" s="78">
        <f>IF(OR($CC468="REO",$CC468="Foreclosure",$CC468="90+ Days Delinquent",$CC468="60 Days Delinquent",$CC468="30 Days Delinquent",$CC468="Non-Performing Matured Balloon"),1,0)</f>
        <v/>
      </c>
      <c r="CE468" s="76">
        <f>IF($AB468="Currently special serv","Currently Specially Serviced",IF($AB468="Returned to master serv","Previously Specially Serviced","Never Specially Serviced"))</f>
        <v/>
      </c>
      <c r="CF468" s="78">
        <f>IF($CE468="Currently Specially Serviced",1,0)</f>
        <v/>
      </c>
      <c r="CG468" s="76">
        <f>IF($AA468="Yes","Currently on Watchlist",IF($AA468="Previously","Previously on Watchlist","Never on Watchlist"))</f>
        <v/>
      </c>
      <c r="CH468" s="78">
        <f>IF($CG468="Currently on Watchlist",1,0)</f>
        <v/>
      </c>
      <c r="CI468" s="76">
        <f>IF($Z468="Full Defeasance","Fully Defeased",IF($Z468="Portion Of Loan Previously Defeased","Partially Defeased",IF($Z468="Defeasance Not Allowable","Not Defeased (Not Permitted)","Not Defeased")))</f>
        <v/>
      </c>
      <c r="CJ468" s="78">
        <f>IF($CI468="Fully Defeased",1,0)</f>
        <v/>
      </c>
      <c r="CK468" s="76">
        <f>IF($R468="IO","Full IO",IF(LEFT($R468&amp;"",7)="IO then","Partial IO","Amortizing"))</f>
        <v/>
      </c>
      <c r="CL468" s="78">
        <f>IF($CK468="Full IO",1,0)</f>
        <v/>
      </c>
      <c r="CM468" s="78">
        <f>IF($CK468="Partial IO",1,0)</f>
        <v/>
      </c>
      <c r="CN468" s="76">
        <f>IF(LEFT($F468&amp;"",10)="SPLIT_LOAN","Pari Passu Split","Standalone")</f>
        <v/>
      </c>
      <c r="CO468" s="78">
        <f>IF($CN468="Pari Passu Split",1,0)</f>
        <v/>
      </c>
      <c r="CP468" s="77">
        <f>IF(ISNUMBER($T468),YEAR($T468),"")</f>
        <v/>
      </c>
      <c r="CQ468" s="79">
        <f>IF(ISNUMBER($V468),$V468,IF(ISNUMBER($U468),$U468,""))</f>
        <v/>
      </c>
      <c r="CR468" s="77">
        <f>IF(ISNUMBER($CQ468),YEAR($CQ468),"")</f>
        <v/>
      </c>
      <c r="CS468" s="78">
        <f>IF(ISNUMBER($M468),MAX(0,$M468),IF(TRIM($M468&amp;"")="matured",0,""))</f>
        <v/>
      </c>
      <c r="CT468" s="78">
        <f>IF(AND(ISNUMBER($CS468),N($CS468)&lt;=mMatWindow),1,0)</f>
        <v/>
      </c>
      <c r="CU468" s="80">
        <f>IF(ISNUMBER($J468),$J468/100,"")</f>
        <v/>
      </c>
      <c r="CV468" s="81">
        <f>IF(ISNUMBER($AQ468),$AQ468,"")</f>
        <v/>
      </c>
      <c r="CW468" s="81">
        <f>IF(ISNUMBER($AR468),$AR468,"")</f>
        <v/>
      </c>
      <c r="CX468" s="82">
        <f>IF(ISNUMBER($AS468),$AS468/100,"")</f>
        <v/>
      </c>
      <c r="CY468" s="82">
        <f>IF(ISNUMBER($AT468),$AT468/100,"")</f>
        <v/>
      </c>
      <c r="CZ468" s="82">
        <f>IF(ISNUMBER($AU468),$AU468/100,"")</f>
        <v/>
      </c>
      <c r="DA468" s="82">
        <f>IF(ISNUMBER($AV468),$AV468/100,"")</f>
        <v/>
      </c>
      <c r="DB468" s="82">
        <f>IF(ISNUMBER($AW468),$AW468/100,"")</f>
        <v/>
      </c>
      <c r="DC468" s="82">
        <f>IF(ISNUMBER($AX468),$AX468/100,"")</f>
        <v/>
      </c>
      <c r="DD468" s="77">
        <f>IFERROR(VALUE(LEFT(TRIM($AO468&amp;""),4)),"")</f>
        <v/>
      </c>
      <c r="DE468" s="78">
        <f>IF(AND($BY468=1,$BX468=1,OR(fDeal="All Deals",$BU468=fDeal),OR(fEntity="All Entities",$BV468=fEntity),OR(fPType="All Property Types",$BZ468=fPType),OR(fDefeased="Include",$CJ468=0)),1,0)</f>
        <v/>
      </c>
      <c r="DF468" s="83">
        <f>$DE468*N($I468)</f>
        <v/>
      </c>
      <c r="DG468" s="78">
        <f>IF($DE468=1,IF(COUNTIFS($F$8:$F468,$F468,$DE$8:$DE468,1)=1,1,0),0)</f>
        <v/>
      </c>
      <c r="DH468" s="83">
        <f>IF($DG468=1,SUMIFS($DF$8:$DF$1600,$F$8:$F$1600,$F468),0)</f>
        <v/>
      </c>
      <c r="DI468" s="78">
        <f>IF($DG468=1,COUNTIFS($F$8:$F$1600,$F468,$DE$8:$DE$1600,1),0)</f>
        <v/>
      </c>
      <c r="DJ468" s="84">
        <f>IF($DG468=1,$DH468+(100000-ROW())/mTieBreak,0)</f>
        <v/>
      </c>
    </row>
    <row r="469">
      <c r="B469" s="68" t="n">
        <v>41</v>
      </c>
      <c r="C469" s="69" t="inlineStr">
        <is>
          <t>UBS17C05</t>
        </is>
      </c>
      <c r="D469" s="69" t="inlineStr">
        <is>
          <t>41.000</t>
        </is>
      </c>
      <c r="E469" s="69" t="inlineStr">
        <is>
          <t>Biolife - Riverton</t>
        </is>
      </c>
      <c r="F469" s="69" t="inlineStr">
        <is>
          <t>LNUBS17C05-41.000</t>
        </is>
      </c>
      <c r="G469" s="70" t="n"/>
      <c r="H469" s="71" t="n">
        <v>4300000</v>
      </c>
      <c r="I469" s="71" t="n">
        <v>4049685.7100017</v>
      </c>
      <c r="J469" s="72" t="n">
        <v>4.964</v>
      </c>
      <c r="K469" s="69" t="inlineStr">
        <is>
          <t>Fixed rate</t>
        </is>
      </c>
      <c r="L469" s="68" t="n">
        <v>120</v>
      </c>
      <c r="M469" s="68" t="n">
        <v>14</v>
      </c>
      <c r="N469" s="68" t="n">
        <v>420</v>
      </c>
      <c r="O469" s="68" t="n">
        <v>60</v>
      </c>
      <c r="P469" s="68" t="n">
        <v>0</v>
      </c>
      <c r="Q469" s="68" t="n">
        <v>106</v>
      </c>
      <c r="R469" s="69" t="inlineStr">
        <is>
          <t>IO then Amort</t>
        </is>
      </c>
      <c r="S469" s="69" t="inlineStr">
        <is>
          <t>No</t>
        </is>
      </c>
      <c r="T469" s="73" t="n">
        <v>43040</v>
      </c>
      <c r="U469" s="73" t="n">
        <v>46697</v>
      </c>
      <c r="V469" s="73" t="n"/>
      <c r="W469" s="69" t="n"/>
      <c r="X469" s="69" t="inlineStr">
        <is>
          <t>Current</t>
        </is>
      </c>
      <c r="Y469" s="68" t="n"/>
      <c r="Z469" s="69" t="inlineStr">
        <is>
          <t>Defeasance Not Allowable</t>
        </is>
      </c>
      <c r="AA469" s="69" t="n"/>
      <c r="AB469" s="69" t="inlineStr">
        <is>
          <t>Never special serv</t>
        </is>
      </c>
      <c r="AC469" s="73" t="n"/>
      <c r="AD469" s="69" t="n"/>
      <c r="AE469" s="69" t="n"/>
      <c r="AF469" s="69" t="inlineStr">
        <is>
          <t>UT</t>
        </is>
      </c>
      <c r="AG469" s="69" t="inlineStr">
        <is>
          <t>Riverton</t>
        </is>
      </c>
      <c r="AH469" s="69" t="inlineStr">
        <is>
          <t>Salt Lake City-Murray, UT</t>
        </is>
      </c>
      <c r="AI469" s="69" t="inlineStr">
        <is>
          <t>West / Mountain</t>
        </is>
      </c>
      <c r="AJ469" s="69" t="inlineStr">
        <is>
          <t>OF</t>
        </is>
      </c>
      <c r="AK469" s="69" t="inlineStr">
        <is>
          <t>Medical</t>
        </is>
      </c>
      <c r="AL469" s="68" t="n">
        <v>1</v>
      </c>
      <c r="AM469" s="68" t="n"/>
      <c r="AN469" s="68" t="n">
        <v>16694</v>
      </c>
      <c r="AO469" s="69" t="inlineStr">
        <is>
          <t>2015</t>
        </is>
      </c>
      <c r="AP469" s="70" t="n">
        <v>2015</v>
      </c>
      <c r="AQ469" s="74" t="n">
        <v>1.81</v>
      </c>
      <c r="AR469" s="74" t="n">
        <v>1.82</v>
      </c>
      <c r="AS469" s="74" t="n">
        <v>55</v>
      </c>
      <c r="AT469" s="74" t="n">
        <v>51.79</v>
      </c>
      <c r="AU469" s="74" t="n">
        <v>50.7</v>
      </c>
      <c r="AV469" s="74" t="n">
        <v>11.620976744</v>
      </c>
      <c r="AW469" s="74" t="n">
        <v>12.387646497</v>
      </c>
      <c r="AX469" s="75" t="n">
        <v>100</v>
      </c>
      <c r="AY469" s="71" t="n">
        <v>7820000</v>
      </c>
      <c r="AZ469" s="71" t="n">
        <v>7820000</v>
      </c>
      <c r="BA469" s="71" t="n">
        <v>499702</v>
      </c>
      <c r="BB469" s="71" t="n">
        <v>502855.28</v>
      </c>
      <c r="BC469" s="69" t="inlineStr">
        <is>
          <t>Refinance</t>
        </is>
      </c>
      <c r="BD469" s="69" t="inlineStr">
        <is>
          <t>N</t>
        </is>
      </c>
      <c r="BE469" s="71" t="n"/>
      <c r="BF469" s="71" t="n"/>
      <c r="BG469" s="71" t="n"/>
      <c r="BH469" s="71" t="n">
        <v>0</v>
      </c>
      <c r="BI469" s="71" t="n">
        <v>0</v>
      </c>
      <c r="BJ469" s="69" t="inlineStr">
        <is>
          <t>N</t>
        </is>
      </c>
      <c r="BK469" s="69" t="inlineStr">
        <is>
          <t>BioLife Plasma Services</t>
        </is>
      </c>
      <c r="BL469" s="75" t="n">
        <v>100</v>
      </c>
      <c r="BM469" s="73" t="n">
        <v>47817</v>
      </c>
      <c r="BN469" s="69" t="inlineStr">
        <is>
          <t>Four Springs Capital Trust Operating Partnership, L.P.</t>
        </is>
      </c>
      <c r="BO469" s="69" t="inlineStr">
        <is>
          <t>UBS</t>
        </is>
      </c>
      <c r="BP469" s="69" t="inlineStr">
        <is>
          <t>Midland Loan Services</t>
        </is>
      </c>
      <c r="BQ469" s="69" t="inlineStr">
        <is>
          <t>K-Star Asset Management LLC</t>
        </is>
      </c>
      <c r="BR469" s="69" t="n"/>
      <c r="BS469" s="73" t="n">
        <v>46276</v>
      </c>
      <c r="BU469" s="76">
        <f>IF($C469="","",IFERROR(INDEX(dmName,MATCH($C469,dmID,0)),"Unmapped"))</f>
        <v/>
      </c>
      <c r="BV469" s="76">
        <f>IF($C469="","",IFERROR(INDEX(dmEntity,MATCH($C469,dmID,0)),"Unmapped"))</f>
        <v/>
      </c>
      <c r="BW469" s="77">
        <f>IF($C469="","",IFERROR(INDEX(dmVintage,MATCH($C469,dmID,0)),""))</f>
        <v/>
      </c>
      <c r="BX469" s="78">
        <f>IFERROR(INDEX(dmInclude,MATCH($C469,dmID,0)),0)</f>
        <v/>
      </c>
      <c r="BY469" s="78">
        <f>IF(N($I469)&gt;0,1,0)</f>
        <v/>
      </c>
      <c r="BZ469" s="76">
        <f>IF($AJ469="","Other / Leased Fee",IFERROR(INDEX(mapPTGroup,MATCH(LEFT(TRIM($AJ469),2),mapPTCode,0)),"Other / Leased Fee"))</f>
        <v/>
      </c>
      <c r="CA469" s="76">
        <f>IF(TRIM($AF469&amp;"")="","NR",LEFT(TRIM($AF469),2))</f>
        <v/>
      </c>
      <c r="CB469" s="76">
        <f>IFERROR(LOOKUP(2,1/(LEFT(TRIM($AI469&amp;""),LEN(mapRegion))=mapRegion),mapRegion),"Not Reported")</f>
        <v/>
      </c>
      <c r="CC469" s="76">
        <f>IF($BY469=0,"",IF(TRIM($W469&amp;"")="REO","REO",IF(TRIM($W469&amp;"")="FC","Foreclosure",IF(TRIM($W469&amp;"")="90+","90+ Days Delinquent",IF(TRIM($W469&amp;"")="60","60 Days Delinquent",IF(TRIM($W469&amp;"")="30","30 Days Delinquent",IF($X469="Non-Performing Matured Balloon","Non-Performing Matured Balloon",IF(OR($X469="Late Payment But Less Than 30 Days Delinquent",LEFT($X469&amp;"",20)="Payment Not Received"),"Late / In Grace (&lt;30 Days)",IF($X469="Performing Matured Balloon","Performing Matured Balloon","Current")))))))))</f>
        <v/>
      </c>
      <c r="CD469" s="78">
        <f>IF(OR($CC469="REO",$CC469="Foreclosure",$CC469="90+ Days Delinquent",$CC469="60 Days Delinquent",$CC469="30 Days Delinquent",$CC469="Non-Performing Matured Balloon"),1,0)</f>
        <v/>
      </c>
      <c r="CE469" s="76">
        <f>IF($AB469="Currently special serv","Currently Specially Serviced",IF($AB469="Returned to master serv","Previously Specially Serviced","Never Specially Serviced"))</f>
        <v/>
      </c>
      <c r="CF469" s="78">
        <f>IF($CE469="Currently Specially Serviced",1,0)</f>
        <v/>
      </c>
      <c r="CG469" s="76">
        <f>IF($AA469="Yes","Currently on Watchlist",IF($AA469="Previously","Previously on Watchlist","Never on Watchlist"))</f>
        <v/>
      </c>
      <c r="CH469" s="78">
        <f>IF($CG469="Currently on Watchlist",1,0)</f>
        <v/>
      </c>
      <c r="CI469" s="76">
        <f>IF($Z469="Full Defeasance","Fully Defeased",IF($Z469="Portion Of Loan Previously Defeased","Partially Defeased",IF($Z469="Defeasance Not Allowable","Not Defeased (Not Permitted)","Not Defeased")))</f>
        <v/>
      </c>
      <c r="CJ469" s="78">
        <f>IF($CI469="Fully Defeased",1,0)</f>
        <v/>
      </c>
      <c r="CK469" s="76">
        <f>IF($R469="IO","Full IO",IF(LEFT($R469&amp;"",7)="IO then","Partial IO","Amortizing"))</f>
        <v/>
      </c>
      <c r="CL469" s="78">
        <f>IF($CK469="Full IO",1,0)</f>
        <v/>
      </c>
      <c r="CM469" s="78">
        <f>IF($CK469="Partial IO",1,0)</f>
        <v/>
      </c>
      <c r="CN469" s="76">
        <f>IF(LEFT($F469&amp;"",10)="SPLIT_LOAN","Pari Passu Split","Standalone")</f>
        <v/>
      </c>
      <c r="CO469" s="78">
        <f>IF($CN469="Pari Passu Split",1,0)</f>
        <v/>
      </c>
      <c r="CP469" s="77">
        <f>IF(ISNUMBER($T469),YEAR($T469),"")</f>
        <v/>
      </c>
      <c r="CQ469" s="79">
        <f>IF(ISNUMBER($V469),$V469,IF(ISNUMBER($U469),$U469,""))</f>
        <v/>
      </c>
      <c r="CR469" s="77">
        <f>IF(ISNUMBER($CQ469),YEAR($CQ469),"")</f>
        <v/>
      </c>
      <c r="CS469" s="78">
        <f>IF(ISNUMBER($M469),MAX(0,$M469),IF(TRIM($M469&amp;"")="matured",0,""))</f>
        <v/>
      </c>
      <c r="CT469" s="78">
        <f>IF(AND(ISNUMBER($CS469),N($CS469)&lt;=mMatWindow),1,0)</f>
        <v/>
      </c>
      <c r="CU469" s="80">
        <f>IF(ISNUMBER($J469),$J469/100,"")</f>
        <v/>
      </c>
      <c r="CV469" s="81">
        <f>IF(ISNUMBER($AQ469),$AQ469,"")</f>
        <v/>
      </c>
      <c r="CW469" s="81">
        <f>IF(ISNUMBER($AR469),$AR469,"")</f>
        <v/>
      </c>
      <c r="CX469" s="82">
        <f>IF(ISNUMBER($AS469),$AS469/100,"")</f>
        <v/>
      </c>
      <c r="CY469" s="82">
        <f>IF(ISNUMBER($AT469),$AT469/100,"")</f>
        <v/>
      </c>
      <c r="CZ469" s="82">
        <f>IF(ISNUMBER($AU469),$AU469/100,"")</f>
        <v/>
      </c>
      <c r="DA469" s="82">
        <f>IF(ISNUMBER($AV469),$AV469/100,"")</f>
        <v/>
      </c>
      <c r="DB469" s="82">
        <f>IF(ISNUMBER($AW469),$AW469/100,"")</f>
        <v/>
      </c>
      <c r="DC469" s="82">
        <f>IF(ISNUMBER($AX469),$AX469/100,"")</f>
        <v/>
      </c>
      <c r="DD469" s="77">
        <f>IFERROR(VALUE(LEFT(TRIM($AO469&amp;""),4)),"")</f>
        <v/>
      </c>
      <c r="DE469" s="78">
        <f>IF(AND($BY469=1,$BX469=1,OR(fDeal="All Deals",$BU469=fDeal),OR(fEntity="All Entities",$BV469=fEntity),OR(fPType="All Property Types",$BZ469=fPType),OR(fDefeased="Include",$CJ469=0)),1,0)</f>
        <v/>
      </c>
      <c r="DF469" s="83">
        <f>$DE469*N($I469)</f>
        <v/>
      </c>
      <c r="DG469" s="78">
        <f>IF($DE469=1,IF(COUNTIFS($F$8:$F469,$F469,$DE$8:$DE469,1)=1,1,0),0)</f>
        <v/>
      </c>
      <c r="DH469" s="83">
        <f>IF($DG469=1,SUMIFS($DF$8:$DF$1600,$F$8:$F$1600,$F469),0)</f>
        <v/>
      </c>
      <c r="DI469" s="78">
        <f>IF($DG469=1,COUNTIFS($F$8:$F$1600,$F469,$DE$8:$DE$1600,1),0)</f>
        <v/>
      </c>
      <c r="DJ469" s="84">
        <f>IF($DG469=1,$DH469+(100000-ROW())/mTieBreak,0)</f>
        <v/>
      </c>
    </row>
    <row r="470">
      <c r="B470" s="68" t="n">
        <v>42</v>
      </c>
      <c r="C470" s="69" t="inlineStr">
        <is>
          <t>UBS17C05</t>
        </is>
      </c>
      <c r="D470" s="69" t="inlineStr">
        <is>
          <t>42.000</t>
        </is>
      </c>
      <c r="E470" s="69" t="inlineStr">
        <is>
          <t>Ramada Portland East</t>
        </is>
      </c>
      <c r="F470" s="69" t="inlineStr">
        <is>
          <t>LNUBS17C05-42.000</t>
        </is>
      </c>
      <c r="G470" s="70" t="n"/>
      <c r="H470" s="71" t="n">
        <v>4200000</v>
      </c>
      <c r="I470" s="71" t="n">
        <v>3406979.150001</v>
      </c>
      <c r="J470" s="72" t="n">
        <v>6.13</v>
      </c>
      <c r="K470" s="69" t="inlineStr">
        <is>
          <t>Fixed rate</t>
        </is>
      </c>
      <c r="L470" s="68" t="n">
        <v>120</v>
      </c>
      <c r="M470" s="68" t="n">
        <v>14</v>
      </c>
      <c r="N470" s="68" t="n">
        <v>300</v>
      </c>
      <c r="O470" s="68" t="n"/>
      <c r="P470" s="68" t="n"/>
      <c r="Q470" s="68" t="n">
        <v>106</v>
      </c>
      <c r="R470" s="69" t="n"/>
      <c r="S470" s="69" t="inlineStr">
        <is>
          <t>No</t>
        </is>
      </c>
      <c r="T470" s="73" t="n">
        <v>43040</v>
      </c>
      <c r="U470" s="73" t="n">
        <v>46696</v>
      </c>
      <c r="V470" s="73" t="n"/>
      <c r="W470" s="69" t="n"/>
      <c r="X470" s="69" t="inlineStr">
        <is>
          <t>Current</t>
        </is>
      </c>
      <c r="Y470" s="68" t="n"/>
      <c r="Z470" s="69" t="inlineStr">
        <is>
          <t>No Defeasance Occurred</t>
        </is>
      </c>
      <c r="AA470" s="69" t="inlineStr">
        <is>
          <t>Yes</t>
        </is>
      </c>
      <c r="AB470" s="69" t="inlineStr">
        <is>
          <t>Never special serv</t>
        </is>
      </c>
      <c r="AC470" s="73" t="n"/>
      <c r="AD470" s="69" t="n"/>
      <c r="AE470" s="69" t="n"/>
      <c r="AF470" s="69" t="inlineStr">
        <is>
          <t>OR</t>
        </is>
      </c>
      <c r="AG470" s="69" t="inlineStr">
        <is>
          <t>Portland</t>
        </is>
      </c>
      <c r="AH470" s="69" t="inlineStr">
        <is>
          <t>Portland-Vancouver-Hillsboro, OR-WA</t>
        </is>
      </c>
      <c r="AI470" s="69" t="inlineStr">
        <is>
          <t>West / Pacific North</t>
        </is>
      </c>
      <c r="AJ470" s="69" t="inlineStr">
        <is>
          <t>HT</t>
        </is>
      </c>
      <c r="AK470" s="69" t="inlineStr">
        <is>
          <t>Limited Service</t>
        </is>
      </c>
      <c r="AL470" s="68" t="n">
        <v>1</v>
      </c>
      <c r="AM470" s="68" t="n">
        <v>84</v>
      </c>
      <c r="AN470" s="68" t="n"/>
      <c r="AO470" s="69" t="inlineStr">
        <is>
          <t>1986</t>
        </is>
      </c>
      <c r="AP470" s="70" t="n">
        <v>2017</v>
      </c>
      <c r="AQ470" s="74" t="n">
        <v>2.08</v>
      </c>
      <c r="AR470" s="74" t="n">
        <v>3.01</v>
      </c>
      <c r="AS470" s="74" t="n">
        <v>52.5</v>
      </c>
      <c r="AT470" s="74" t="n">
        <v>42.59</v>
      </c>
      <c r="AU470" s="74" t="n">
        <v>40.8</v>
      </c>
      <c r="AV470" s="74" t="n">
        <v>16.31798381</v>
      </c>
      <c r="AW470" s="74" t="n">
        <v>29.020649569</v>
      </c>
      <c r="AX470" s="75" t="n">
        <v>64</v>
      </c>
      <c r="AY470" s="71" t="n">
        <v>8000000</v>
      </c>
      <c r="AZ470" s="71" t="n">
        <v>8000000</v>
      </c>
      <c r="BA470" s="71" t="n">
        <v>685355.3199999999</v>
      </c>
      <c r="BB470" s="71" t="n">
        <v>988727.48</v>
      </c>
      <c r="BC470" s="69" t="inlineStr">
        <is>
          <t>Refinance</t>
        </is>
      </c>
      <c r="BD470" s="69" t="inlineStr">
        <is>
          <t>N</t>
        </is>
      </c>
      <c r="BE470" s="71" t="n"/>
      <c r="BF470" s="71" t="n"/>
      <c r="BG470" s="71" t="n"/>
      <c r="BH470" s="71" t="n">
        <v>0</v>
      </c>
      <c r="BI470" s="71" t="n">
        <v>0</v>
      </c>
      <c r="BJ470" s="69" t="inlineStr">
        <is>
          <t>N</t>
        </is>
      </c>
      <c r="BK470" s="69" t="n"/>
      <c r="BL470" s="75" t="n"/>
      <c r="BM470" s="73" t="n"/>
      <c r="BN470" s="69" t="inlineStr">
        <is>
          <t>Sandeep Singh; Takhvinder Singh Waraich; Balbir Kaur Waraich</t>
        </is>
      </c>
      <c r="BO470" s="69" t="inlineStr">
        <is>
          <t>Natixis</t>
        </is>
      </c>
      <c r="BP470" s="69" t="inlineStr">
        <is>
          <t>Midland Loan Services</t>
        </is>
      </c>
      <c r="BQ470" s="69" t="inlineStr">
        <is>
          <t>K-Star Asset Management LLC</t>
        </is>
      </c>
      <c r="BR470" s="69" t="n"/>
      <c r="BS470" s="73" t="n">
        <v>46276</v>
      </c>
      <c r="BU470" s="76">
        <f>IF($C470="","",IFERROR(INDEX(dmName,MATCH($C470,dmID,0)),"Unmapped"))</f>
        <v/>
      </c>
      <c r="BV470" s="76">
        <f>IF($C470="","",IFERROR(INDEX(dmEntity,MATCH($C470,dmID,0)),"Unmapped"))</f>
        <v/>
      </c>
      <c r="BW470" s="77">
        <f>IF($C470="","",IFERROR(INDEX(dmVintage,MATCH($C470,dmID,0)),""))</f>
        <v/>
      </c>
      <c r="BX470" s="78">
        <f>IFERROR(INDEX(dmInclude,MATCH($C470,dmID,0)),0)</f>
        <v/>
      </c>
      <c r="BY470" s="78">
        <f>IF(N($I470)&gt;0,1,0)</f>
        <v/>
      </c>
      <c r="BZ470" s="76">
        <f>IF($AJ470="","Other / Leased Fee",IFERROR(INDEX(mapPTGroup,MATCH(LEFT(TRIM($AJ470),2),mapPTCode,0)),"Other / Leased Fee"))</f>
        <v/>
      </c>
      <c r="CA470" s="76">
        <f>IF(TRIM($AF470&amp;"")="","NR",LEFT(TRIM($AF470),2))</f>
        <v/>
      </c>
      <c r="CB470" s="76">
        <f>IFERROR(LOOKUP(2,1/(LEFT(TRIM($AI470&amp;""),LEN(mapRegion))=mapRegion),mapRegion),"Not Reported")</f>
        <v/>
      </c>
      <c r="CC470" s="76">
        <f>IF($BY470=0,"",IF(TRIM($W470&amp;"")="REO","REO",IF(TRIM($W470&amp;"")="FC","Foreclosure",IF(TRIM($W470&amp;"")="90+","90+ Days Delinquent",IF(TRIM($W470&amp;"")="60","60 Days Delinquent",IF(TRIM($W470&amp;"")="30","30 Days Delinquent",IF($X470="Non-Performing Matured Balloon","Non-Performing Matured Balloon",IF(OR($X470="Late Payment But Less Than 30 Days Delinquent",LEFT($X470&amp;"",20)="Payment Not Received"),"Late / In Grace (&lt;30 Days)",IF($X470="Performing Matured Balloon","Performing Matured Balloon","Current")))))))))</f>
        <v/>
      </c>
      <c r="CD470" s="78">
        <f>IF(OR($CC470="REO",$CC470="Foreclosure",$CC470="90+ Days Delinquent",$CC470="60 Days Delinquent",$CC470="30 Days Delinquent",$CC470="Non-Performing Matured Balloon"),1,0)</f>
        <v/>
      </c>
      <c r="CE470" s="76">
        <f>IF($AB470="Currently special serv","Currently Specially Serviced",IF($AB470="Returned to master serv","Previously Specially Serviced","Never Specially Serviced"))</f>
        <v/>
      </c>
      <c r="CF470" s="78">
        <f>IF($CE470="Currently Specially Serviced",1,0)</f>
        <v/>
      </c>
      <c r="CG470" s="76">
        <f>IF($AA470="Yes","Currently on Watchlist",IF($AA470="Previously","Previously on Watchlist","Never on Watchlist"))</f>
        <v/>
      </c>
      <c r="CH470" s="78">
        <f>IF($CG470="Currently on Watchlist",1,0)</f>
        <v/>
      </c>
      <c r="CI470" s="76">
        <f>IF($Z470="Full Defeasance","Fully Defeased",IF($Z470="Portion Of Loan Previously Defeased","Partially Defeased",IF($Z470="Defeasance Not Allowable","Not Defeased (Not Permitted)","Not Defeased")))</f>
        <v/>
      </c>
      <c r="CJ470" s="78">
        <f>IF($CI470="Fully Defeased",1,0)</f>
        <v/>
      </c>
      <c r="CK470" s="76">
        <f>IF($R470="IO","Full IO",IF(LEFT($R470&amp;"",7)="IO then","Partial IO","Amortizing"))</f>
        <v/>
      </c>
      <c r="CL470" s="78">
        <f>IF($CK470="Full IO",1,0)</f>
        <v/>
      </c>
      <c r="CM470" s="78">
        <f>IF($CK470="Partial IO",1,0)</f>
        <v/>
      </c>
      <c r="CN470" s="76">
        <f>IF(LEFT($F470&amp;"",10)="SPLIT_LOAN","Pari Passu Split","Standalone")</f>
        <v/>
      </c>
      <c r="CO470" s="78">
        <f>IF($CN470="Pari Passu Split",1,0)</f>
        <v/>
      </c>
      <c r="CP470" s="77">
        <f>IF(ISNUMBER($T470),YEAR($T470),"")</f>
        <v/>
      </c>
      <c r="CQ470" s="79">
        <f>IF(ISNUMBER($V470),$V470,IF(ISNUMBER($U470),$U470,""))</f>
        <v/>
      </c>
      <c r="CR470" s="77">
        <f>IF(ISNUMBER($CQ470),YEAR($CQ470),"")</f>
        <v/>
      </c>
      <c r="CS470" s="78">
        <f>IF(ISNUMBER($M470),MAX(0,$M470),IF(TRIM($M470&amp;"")="matured",0,""))</f>
        <v/>
      </c>
      <c r="CT470" s="78">
        <f>IF(AND(ISNUMBER($CS470),N($CS470)&lt;=mMatWindow),1,0)</f>
        <v/>
      </c>
      <c r="CU470" s="80">
        <f>IF(ISNUMBER($J470),$J470/100,"")</f>
        <v/>
      </c>
      <c r="CV470" s="81">
        <f>IF(ISNUMBER($AQ470),$AQ470,"")</f>
        <v/>
      </c>
      <c r="CW470" s="81">
        <f>IF(ISNUMBER($AR470),$AR470,"")</f>
        <v/>
      </c>
      <c r="CX470" s="82">
        <f>IF(ISNUMBER($AS470),$AS470/100,"")</f>
        <v/>
      </c>
      <c r="CY470" s="82">
        <f>IF(ISNUMBER($AT470),$AT470/100,"")</f>
        <v/>
      </c>
      <c r="CZ470" s="82">
        <f>IF(ISNUMBER($AU470),$AU470/100,"")</f>
        <v/>
      </c>
      <c r="DA470" s="82">
        <f>IF(ISNUMBER($AV470),$AV470/100,"")</f>
        <v/>
      </c>
      <c r="DB470" s="82">
        <f>IF(ISNUMBER($AW470),$AW470/100,"")</f>
        <v/>
      </c>
      <c r="DC470" s="82">
        <f>IF(ISNUMBER($AX470),$AX470/100,"")</f>
        <v/>
      </c>
      <c r="DD470" s="77">
        <f>IFERROR(VALUE(LEFT(TRIM($AO470&amp;""),4)),"")</f>
        <v/>
      </c>
      <c r="DE470" s="78">
        <f>IF(AND($BY470=1,$BX470=1,OR(fDeal="All Deals",$BU470=fDeal),OR(fEntity="All Entities",$BV470=fEntity),OR(fPType="All Property Types",$BZ470=fPType),OR(fDefeased="Include",$CJ470=0)),1,0)</f>
        <v/>
      </c>
      <c r="DF470" s="83">
        <f>$DE470*N($I470)</f>
        <v/>
      </c>
      <c r="DG470" s="78">
        <f>IF($DE470=1,IF(COUNTIFS($F$8:$F470,$F470,$DE$8:$DE470,1)=1,1,0),0)</f>
        <v/>
      </c>
      <c r="DH470" s="83">
        <f>IF($DG470=1,SUMIFS($DF$8:$DF$1600,$F$8:$F$1600,$F470),0)</f>
        <v/>
      </c>
      <c r="DI470" s="78">
        <f>IF($DG470=1,COUNTIFS($F$8:$F$1600,$F470,$DE$8:$DE$1600,1),0)</f>
        <v/>
      </c>
      <c r="DJ470" s="84">
        <f>IF($DG470=1,$DH470+(100000-ROW())/mTieBreak,0)</f>
        <v/>
      </c>
    </row>
    <row r="471">
      <c r="B471" s="68" t="n">
        <v>43</v>
      </c>
      <c r="C471" s="69" t="inlineStr">
        <is>
          <t>UBS17C05</t>
        </is>
      </c>
      <c r="D471" s="69" t="inlineStr">
        <is>
          <t>43.000</t>
        </is>
      </c>
      <c r="E471" s="69" t="inlineStr">
        <is>
          <t>Perry Hill Crossing</t>
        </is>
      </c>
      <c r="F471" s="69" t="inlineStr">
        <is>
          <t>LNUBS17C05-43.000</t>
        </is>
      </c>
      <c r="G471" s="70" t="n"/>
      <c r="H471" s="71" t="n">
        <v>3650000</v>
      </c>
      <c r="I471" s="71" t="n">
        <v>3224782.3599987</v>
      </c>
      <c r="J471" s="72" t="n">
        <v>4.82</v>
      </c>
      <c r="K471" s="69" t="inlineStr">
        <is>
          <t>Fixed rate</t>
        </is>
      </c>
      <c r="L471" s="68" t="n">
        <v>120</v>
      </c>
      <c r="M471" s="68" t="n">
        <v>13</v>
      </c>
      <c r="N471" s="68" t="n">
        <v>384</v>
      </c>
      <c r="O471" s="68" t="n">
        <v>24</v>
      </c>
      <c r="P471" s="68" t="n">
        <v>0</v>
      </c>
      <c r="Q471" s="68" t="n">
        <v>107</v>
      </c>
      <c r="R471" s="69" t="inlineStr">
        <is>
          <t>IO then Amort</t>
        </is>
      </c>
      <c r="S471" s="69" t="inlineStr">
        <is>
          <t>No</t>
        </is>
      </c>
      <c r="T471" s="73" t="n">
        <v>43009</v>
      </c>
      <c r="U471" s="73" t="n">
        <v>46666</v>
      </c>
      <c r="V471" s="73" t="n"/>
      <c r="W471" s="69" t="n"/>
      <c r="X471" s="69" t="inlineStr">
        <is>
          <t>Current</t>
        </is>
      </c>
      <c r="Y471" s="68" t="n"/>
      <c r="Z471" s="69" t="inlineStr">
        <is>
          <t>No Defeasance Occurred</t>
        </is>
      </c>
      <c r="AA471" s="69" t="n"/>
      <c r="AB471" s="69" t="inlineStr">
        <is>
          <t>Never special serv</t>
        </is>
      </c>
      <c r="AC471" s="73" t="n"/>
      <c r="AD471" s="69" t="n"/>
      <c r="AE471" s="69" t="n"/>
      <c r="AF471" s="69" t="inlineStr">
        <is>
          <t>AL</t>
        </is>
      </c>
      <c r="AG471" s="69" t="inlineStr">
        <is>
          <t>Montgomery</t>
        </is>
      </c>
      <c r="AH471" s="69" t="inlineStr">
        <is>
          <t>Montgomery, AL</t>
        </is>
      </c>
      <c r="AI471" s="69" t="inlineStr">
        <is>
          <t>South / Central East</t>
        </is>
      </c>
      <c r="AJ471" s="69" t="inlineStr">
        <is>
          <t>RT</t>
        </is>
      </c>
      <c r="AK471" s="69" t="inlineStr">
        <is>
          <t>Unanchored</t>
        </is>
      </c>
      <c r="AL471" s="68" t="n">
        <v>1</v>
      </c>
      <c r="AM471" s="68" t="n"/>
      <c r="AN471" s="68" t="n">
        <v>20250</v>
      </c>
      <c r="AO471" s="69" t="inlineStr">
        <is>
          <t>2016</t>
        </is>
      </c>
      <c r="AP471" s="70" t="n">
        <v>2016</v>
      </c>
      <c r="AQ471" s="74" t="n">
        <v>1.64</v>
      </c>
      <c r="AR471" s="74" t="n">
        <v>2.18</v>
      </c>
      <c r="AS471" s="74" t="n">
        <v>61.9</v>
      </c>
      <c r="AT471" s="74" t="n">
        <v>54.66</v>
      </c>
      <c r="AU471" s="74" t="n">
        <v>53.3</v>
      </c>
      <c r="AV471" s="74" t="n">
        <v>10.366739726</v>
      </c>
      <c r="AW471" s="74" t="n">
        <v>15.559988055</v>
      </c>
      <c r="AX471" s="75" t="n">
        <v>100</v>
      </c>
      <c r="AY471" s="71" t="n">
        <v>5900000</v>
      </c>
      <c r="AZ471" s="71" t="n">
        <v>5900000</v>
      </c>
      <c r="BA471" s="71" t="n">
        <v>378386</v>
      </c>
      <c r="BB471" s="71" t="n">
        <v>501775.75</v>
      </c>
      <c r="BC471" s="69" t="inlineStr">
        <is>
          <t>Refinance</t>
        </is>
      </c>
      <c r="BD471" s="69" t="inlineStr">
        <is>
          <t>N</t>
        </is>
      </c>
      <c r="BE471" s="71" t="n"/>
      <c r="BF471" s="71" t="n"/>
      <c r="BG471" s="71" t="n"/>
      <c r="BH471" s="71" t="n">
        <v>0</v>
      </c>
      <c r="BI471" s="71" t="n">
        <v>0</v>
      </c>
      <c r="BJ471" s="69" t="inlineStr">
        <is>
          <t>N</t>
        </is>
      </c>
      <c r="BK471" s="69" t="inlineStr">
        <is>
          <t>SOL Restaurante Mexicano &amp; Tazueria</t>
        </is>
      </c>
      <c r="BL471" s="75" t="n">
        <v>20.37</v>
      </c>
      <c r="BM471" s="73" t="n">
        <v>46265</v>
      </c>
      <c r="BN471" s="69" t="inlineStr">
        <is>
          <t>Joel David McClinton, Jr.</t>
        </is>
      </c>
      <c r="BO471" s="69" t="inlineStr">
        <is>
          <t>RMF</t>
        </is>
      </c>
      <c r="BP471" s="69" t="inlineStr">
        <is>
          <t>Midland Loan Services</t>
        </is>
      </c>
      <c r="BQ471" s="69" t="inlineStr">
        <is>
          <t>K-Star Asset Management LLC</t>
        </is>
      </c>
      <c r="BR471" s="69" t="n"/>
      <c r="BS471" s="73" t="n">
        <v>46276</v>
      </c>
      <c r="BU471" s="76">
        <f>IF($C471="","",IFERROR(INDEX(dmName,MATCH($C471,dmID,0)),"Unmapped"))</f>
        <v/>
      </c>
      <c r="BV471" s="76">
        <f>IF($C471="","",IFERROR(INDEX(dmEntity,MATCH($C471,dmID,0)),"Unmapped"))</f>
        <v/>
      </c>
      <c r="BW471" s="77">
        <f>IF($C471="","",IFERROR(INDEX(dmVintage,MATCH($C471,dmID,0)),""))</f>
        <v/>
      </c>
      <c r="BX471" s="78">
        <f>IFERROR(INDEX(dmInclude,MATCH($C471,dmID,0)),0)</f>
        <v/>
      </c>
      <c r="BY471" s="78">
        <f>IF(N($I471)&gt;0,1,0)</f>
        <v/>
      </c>
      <c r="BZ471" s="76">
        <f>IF($AJ471="","Other / Leased Fee",IFERROR(INDEX(mapPTGroup,MATCH(LEFT(TRIM($AJ471),2),mapPTCode,0)),"Other / Leased Fee"))</f>
        <v/>
      </c>
      <c r="CA471" s="76">
        <f>IF(TRIM($AF471&amp;"")="","NR",LEFT(TRIM($AF471),2))</f>
        <v/>
      </c>
      <c r="CB471" s="76">
        <f>IFERROR(LOOKUP(2,1/(LEFT(TRIM($AI471&amp;""),LEN(mapRegion))=mapRegion),mapRegion),"Not Reported")</f>
        <v/>
      </c>
      <c r="CC471" s="76">
        <f>IF($BY471=0,"",IF(TRIM($W471&amp;"")="REO","REO",IF(TRIM($W471&amp;"")="FC","Foreclosure",IF(TRIM($W471&amp;"")="90+","90+ Days Delinquent",IF(TRIM($W471&amp;"")="60","60 Days Delinquent",IF(TRIM($W471&amp;"")="30","30 Days Delinquent",IF($X471="Non-Performing Matured Balloon","Non-Performing Matured Balloon",IF(OR($X471="Late Payment But Less Than 30 Days Delinquent",LEFT($X471&amp;"",20)="Payment Not Received"),"Late / In Grace (&lt;30 Days)",IF($X471="Performing Matured Balloon","Performing Matured Balloon","Current")))))))))</f>
        <v/>
      </c>
      <c r="CD471" s="78">
        <f>IF(OR($CC471="REO",$CC471="Foreclosure",$CC471="90+ Days Delinquent",$CC471="60 Days Delinquent",$CC471="30 Days Delinquent",$CC471="Non-Performing Matured Balloon"),1,0)</f>
        <v/>
      </c>
      <c r="CE471" s="76">
        <f>IF($AB471="Currently special serv","Currently Specially Serviced",IF($AB471="Returned to master serv","Previously Specially Serviced","Never Specially Serviced"))</f>
        <v/>
      </c>
      <c r="CF471" s="78">
        <f>IF($CE471="Currently Specially Serviced",1,0)</f>
        <v/>
      </c>
      <c r="CG471" s="76">
        <f>IF($AA471="Yes","Currently on Watchlist",IF($AA471="Previously","Previously on Watchlist","Never on Watchlist"))</f>
        <v/>
      </c>
      <c r="CH471" s="78">
        <f>IF($CG471="Currently on Watchlist",1,0)</f>
        <v/>
      </c>
      <c r="CI471" s="76">
        <f>IF($Z471="Full Defeasance","Fully Defeased",IF($Z471="Portion Of Loan Previously Defeased","Partially Defeased",IF($Z471="Defeasance Not Allowable","Not Defeased (Not Permitted)","Not Defeased")))</f>
        <v/>
      </c>
      <c r="CJ471" s="78">
        <f>IF($CI471="Fully Defeased",1,0)</f>
        <v/>
      </c>
      <c r="CK471" s="76">
        <f>IF($R471="IO","Full IO",IF(LEFT($R471&amp;"",7)="IO then","Partial IO","Amortizing"))</f>
        <v/>
      </c>
      <c r="CL471" s="78">
        <f>IF($CK471="Full IO",1,0)</f>
        <v/>
      </c>
      <c r="CM471" s="78">
        <f>IF($CK471="Partial IO",1,0)</f>
        <v/>
      </c>
      <c r="CN471" s="76">
        <f>IF(LEFT($F471&amp;"",10)="SPLIT_LOAN","Pari Passu Split","Standalone")</f>
        <v/>
      </c>
      <c r="CO471" s="78">
        <f>IF($CN471="Pari Passu Split",1,0)</f>
        <v/>
      </c>
      <c r="CP471" s="77">
        <f>IF(ISNUMBER($T471),YEAR($T471),"")</f>
        <v/>
      </c>
      <c r="CQ471" s="79">
        <f>IF(ISNUMBER($V471),$V471,IF(ISNUMBER($U471),$U471,""))</f>
        <v/>
      </c>
      <c r="CR471" s="77">
        <f>IF(ISNUMBER($CQ471),YEAR($CQ471),"")</f>
        <v/>
      </c>
      <c r="CS471" s="78">
        <f>IF(ISNUMBER($M471),MAX(0,$M471),IF(TRIM($M471&amp;"")="matured",0,""))</f>
        <v/>
      </c>
      <c r="CT471" s="78">
        <f>IF(AND(ISNUMBER($CS471),N($CS471)&lt;=mMatWindow),1,0)</f>
        <v/>
      </c>
      <c r="CU471" s="80">
        <f>IF(ISNUMBER($J471),$J471/100,"")</f>
        <v/>
      </c>
      <c r="CV471" s="81">
        <f>IF(ISNUMBER($AQ471),$AQ471,"")</f>
        <v/>
      </c>
      <c r="CW471" s="81">
        <f>IF(ISNUMBER($AR471),$AR471,"")</f>
        <v/>
      </c>
      <c r="CX471" s="82">
        <f>IF(ISNUMBER($AS471),$AS471/100,"")</f>
        <v/>
      </c>
      <c r="CY471" s="82">
        <f>IF(ISNUMBER($AT471),$AT471/100,"")</f>
        <v/>
      </c>
      <c r="CZ471" s="82">
        <f>IF(ISNUMBER($AU471),$AU471/100,"")</f>
        <v/>
      </c>
      <c r="DA471" s="82">
        <f>IF(ISNUMBER($AV471),$AV471/100,"")</f>
        <v/>
      </c>
      <c r="DB471" s="82">
        <f>IF(ISNUMBER($AW471),$AW471/100,"")</f>
        <v/>
      </c>
      <c r="DC471" s="82">
        <f>IF(ISNUMBER($AX471),$AX471/100,"")</f>
        <v/>
      </c>
      <c r="DD471" s="77">
        <f>IFERROR(VALUE(LEFT(TRIM($AO471&amp;""),4)),"")</f>
        <v/>
      </c>
      <c r="DE471" s="78">
        <f>IF(AND($BY471=1,$BX471=1,OR(fDeal="All Deals",$BU471=fDeal),OR(fEntity="All Entities",$BV471=fEntity),OR(fPType="All Property Types",$BZ471=fPType),OR(fDefeased="Include",$CJ471=0)),1,0)</f>
        <v/>
      </c>
      <c r="DF471" s="83">
        <f>$DE471*N($I471)</f>
        <v/>
      </c>
      <c r="DG471" s="78">
        <f>IF($DE471=1,IF(COUNTIFS($F$8:$F471,$F471,$DE$8:$DE471,1)=1,1,0),0)</f>
        <v/>
      </c>
      <c r="DH471" s="83">
        <f>IF($DG471=1,SUMIFS($DF$8:$DF$1600,$F$8:$F$1600,$F471),0)</f>
        <v/>
      </c>
      <c r="DI471" s="78">
        <f>IF($DG471=1,COUNTIFS($F$8:$F$1600,$F471,$DE$8:$DE$1600,1),0)</f>
        <v/>
      </c>
      <c r="DJ471" s="84">
        <f>IF($DG471=1,$DH471+(100000-ROW())/mTieBreak,0)</f>
        <v/>
      </c>
    </row>
    <row r="472">
      <c r="B472" s="68" t="n">
        <v>44</v>
      </c>
      <c r="C472" s="69" t="inlineStr">
        <is>
          <t>UBS17C05</t>
        </is>
      </c>
      <c r="D472" s="69" t="inlineStr">
        <is>
          <t>44.000</t>
        </is>
      </c>
      <c r="E472" s="69" t="inlineStr">
        <is>
          <t>Ivy Falls Center</t>
        </is>
      </c>
      <c r="F472" s="69" t="inlineStr">
        <is>
          <t>LNUBS17C05-44.000</t>
        </is>
      </c>
      <c r="G472" s="70" t="n"/>
      <c r="H472" s="71" t="n">
        <v>2850000</v>
      </c>
      <c r="I472" s="71" t="n">
        <v>2437955.560000651</v>
      </c>
      <c r="J472" s="72" t="n">
        <v>5.3924</v>
      </c>
      <c r="K472" s="69" t="inlineStr">
        <is>
          <t>Fixed rate</t>
        </is>
      </c>
      <c r="L472" s="68" t="n">
        <v>120</v>
      </c>
      <c r="M472" s="68" t="n">
        <v>13</v>
      </c>
      <c r="N472" s="68" t="n">
        <v>360</v>
      </c>
      <c r="O472" s="68" t="n"/>
      <c r="P472" s="68" t="n"/>
      <c r="Q472" s="68" t="n">
        <v>107</v>
      </c>
      <c r="R472" s="69" t="n"/>
      <c r="S472" s="69" t="inlineStr">
        <is>
          <t>No</t>
        </is>
      </c>
      <c r="T472" s="73" t="n">
        <v>43009</v>
      </c>
      <c r="U472" s="73" t="n">
        <v>46666</v>
      </c>
      <c r="V472" s="73" t="n"/>
      <c r="W472" s="69" t="n"/>
      <c r="X472" s="69" t="inlineStr">
        <is>
          <t>Current</t>
        </is>
      </c>
      <c r="Y472" s="68" t="n"/>
      <c r="Z472" s="69" t="inlineStr">
        <is>
          <t>Defeasance Not Allowable</t>
        </is>
      </c>
      <c r="AA472" s="69" t="inlineStr">
        <is>
          <t>Yes</t>
        </is>
      </c>
      <c r="AB472" s="69" t="inlineStr">
        <is>
          <t>Never special serv</t>
        </is>
      </c>
      <c r="AC472" s="73" t="n"/>
      <c r="AD472" s="69" t="n"/>
      <c r="AE472" s="69" t="n"/>
      <c r="AF472" s="69" t="inlineStr">
        <is>
          <t>GA</t>
        </is>
      </c>
      <c r="AG472" s="69" t="inlineStr">
        <is>
          <t>Grovetown</t>
        </is>
      </c>
      <c r="AH472" s="69" t="inlineStr">
        <is>
          <t>Augusta-Richmond County, GA-SC</t>
        </is>
      </c>
      <c r="AI472" s="69" t="inlineStr">
        <is>
          <t>South / Atlantic</t>
        </is>
      </c>
      <c r="AJ472" s="69" t="inlineStr">
        <is>
          <t>RT</t>
        </is>
      </c>
      <c r="AK472" s="69" t="inlineStr">
        <is>
          <t>Unanchored</t>
        </is>
      </c>
      <c r="AL472" s="68" t="n">
        <v>1</v>
      </c>
      <c r="AM472" s="68" t="n"/>
      <c r="AN472" s="68" t="n">
        <v>25052</v>
      </c>
      <c r="AO472" s="69" t="inlineStr">
        <is>
          <t>2005; 2008</t>
        </is>
      </c>
      <c r="AP472" s="70" t="n">
        <v>2008</v>
      </c>
      <c r="AQ472" s="74" t="n">
        <v>1.55</v>
      </c>
      <c r="AR472" s="74" t="n">
        <v>1.4</v>
      </c>
      <c r="AS472" s="74" t="n">
        <v>64.7</v>
      </c>
      <c r="AT472" s="74" t="n">
        <v>55.41</v>
      </c>
      <c r="AU472" s="74" t="n">
        <v>53.9</v>
      </c>
      <c r="AV472" s="74" t="n">
        <v>10.435614035</v>
      </c>
      <c r="AW472" s="74" t="n">
        <v>15.252531921</v>
      </c>
      <c r="AX472" s="75" t="n">
        <v>100</v>
      </c>
      <c r="AY472" s="71" t="n">
        <v>4400000</v>
      </c>
      <c r="AZ472" s="71" t="n">
        <v>4400000</v>
      </c>
      <c r="BA472" s="71" t="n">
        <v>297415</v>
      </c>
      <c r="BB472" s="71" t="n">
        <v>67078.39</v>
      </c>
      <c r="BC472" s="69" t="inlineStr">
        <is>
          <t>Refinance</t>
        </is>
      </c>
      <c r="BD472" s="69" t="inlineStr">
        <is>
          <t>N</t>
        </is>
      </c>
      <c r="BE472" s="71" t="n"/>
      <c r="BF472" s="71" t="n"/>
      <c r="BG472" s="71" t="n"/>
      <c r="BH472" s="71" t="n">
        <v>0</v>
      </c>
      <c r="BI472" s="71" t="n">
        <v>0</v>
      </c>
      <c r="BJ472" s="69" t="inlineStr">
        <is>
          <t>N</t>
        </is>
      </c>
      <c r="BK472" s="69" t="inlineStr">
        <is>
          <t>Ivey Falls Wine &amp; Liquor</t>
        </is>
      </c>
      <c r="BL472" s="75" t="n">
        <v>11.44</v>
      </c>
      <c r="BM472" s="73" t="n">
        <v>47391</v>
      </c>
      <c r="BN472" s="69" t="inlineStr">
        <is>
          <t>Girdhar B. Sharma; Vimlesh Sharma</t>
        </is>
      </c>
      <c r="BO472" s="69" t="inlineStr">
        <is>
          <t>UBS</t>
        </is>
      </c>
      <c r="BP472" s="69" t="inlineStr">
        <is>
          <t>Midland Loan Services</t>
        </is>
      </c>
      <c r="BQ472" s="69" t="inlineStr">
        <is>
          <t>K-Star Asset Management LLC</t>
        </is>
      </c>
      <c r="BR472" s="69" t="n"/>
      <c r="BS472" s="73" t="n">
        <v>46276</v>
      </c>
      <c r="BU472" s="76">
        <f>IF($C472="","",IFERROR(INDEX(dmName,MATCH($C472,dmID,0)),"Unmapped"))</f>
        <v/>
      </c>
      <c r="BV472" s="76">
        <f>IF($C472="","",IFERROR(INDEX(dmEntity,MATCH($C472,dmID,0)),"Unmapped"))</f>
        <v/>
      </c>
      <c r="BW472" s="77">
        <f>IF($C472="","",IFERROR(INDEX(dmVintage,MATCH($C472,dmID,0)),""))</f>
        <v/>
      </c>
      <c r="BX472" s="78">
        <f>IFERROR(INDEX(dmInclude,MATCH($C472,dmID,0)),0)</f>
        <v/>
      </c>
      <c r="BY472" s="78">
        <f>IF(N($I472)&gt;0,1,0)</f>
        <v/>
      </c>
      <c r="BZ472" s="76">
        <f>IF($AJ472="","Other / Leased Fee",IFERROR(INDEX(mapPTGroup,MATCH(LEFT(TRIM($AJ472),2),mapPTCode,0)),"Other / Leased Fee"))</f>
        <v/>
      </c>
      <c r="CA472" s="76">
        <f>IF(TRIM($AF472&amp;"")="","NR",LEFT(TRIM($AF472),2))</f>
        <v/>
      </c>
      <c r="CB472" s="76">
        <f>IFERROR(LOOKUP(2,1/(LEFT(TRIM($AI472&amp;""),LEN(mapRegion))=mapRegion),mapRegion),"Not Reported")</f>
        <v/>
      </c>
      <c r="CC472" s="76">
        <f>IF($BY472=0,"",IF(TRIM($W472&amp;"")="REO","REO",IF(TRIM($W472&amp;"")="FC","Foreclosure",IF(TRIM($W472&amp;"")="90+","90+ Days Delinquent",IF(TRIM($W472&amp;"")="60","60 Days Delinquent",IF(TRIM($W472&amp;"")="30","30 Days Delinquent",IF($X472="Non-Performing Matured Balloon","Non-Performing Matured Balloon",IF(OR($X472="Late Payment But Less Than 30 Days Delinquent",LEFT($X472&amp;"",20)="Payment Not Received"),"Late / In Grace (&lt;30 Days)",IF($X472="Performing Matured Balloon","Performing Matured Balloon","Current")))))))))</f>
        <v/>
      </c>
      <c r="CD472" s="78">
        <f>IF(OR($CC472="REO",$CC472="Foreclosure",$CC472="90+ Days Delinquent",$CC472="60 Days Delinquent",$CC472="30 Days Delinquent",$CC472="Non-Performing Matured Balloon"),1,0)</f>
        <v/>
      </c>
      <c r="CE472" s="76">
        <f>IF($AB472="Currently special serv","Currently Specially Serviced",IF($AB472="Returned to master serv","Previously Specially Serviced","Never Specially Serviced"))</f>
        <v/>
      </c>
      <c r="CF472" s="78">
        <f>IF($CE472="Currently Specially Serviced",1,0)</f>
        <v/>
      </c>
      <c r="CG472" s="76">
        <f>IF($AA472="Yes","Currently on Watchlist",IF($AA472="Previously","Previously on Watchlist","Never on Watchlist"))</f>
        <v/>
      </c>
      <c r="CH472" s="78">
        <f>IF($CG472="Currently on Watchlist",1,0)</f>
        <v/>
      </c>
      <c r="CI472" s="76">
        <f>IF($Z472="Full Defeasance","Fully Defeased",IF($Z472="Portion Of Loan Previously Defeased","Partially Defeased",IF($Z472="Defeasance Not Allowable","Not Defeased (Not Permitted)","Not Defeased")))</f>
        <v/>
      </c>
      <c r="CJ472" s="78">
        <f>IF($CI472="Fully Defeased",1,0)</f>
        <v/>
      </c>
      <c r="CK472" s="76">
        <f>IF($R472="IO","Full IO",IF(LEFT($R472&amp;"",7)="IO then","Partial IO","Amortizing"))</f>
        <v/>
      </c>
      <c r="CL472" s="78">
        <f>IF($CK472="Full IO",1,0)</f>
        <v/>
      </c>
      <c r="CM472" s="78">
        <f>IF($CK472="Partial IO",1,0)</f>
        <v/>
      </c>
      <c r="CN472" s="76">
        <f>IF(LEFT($F472&amp;"",10)="SPLIT_LOAN","Pari Passu Split","Standalone")</f>
        <v/>
      </c>
      <c r="CO472" s="78">
        <f>IF($CN472="Pari Passu Split",1,0)</f>
        <v/>
      </c>
      <c r="CP472" s="77">
        <f>IF(ISNUMBER($T472),YEAR($T472),"")</f>
        <v/>
      </c>
      <c r="CQ472" s="79">
        <f>IF(ISNUMBER($V472),$V472,IF(ISNUMBER($U472),$U472,""))</f>
        <v/>
      </c>
      <c r="CR472" s="77">
        <f>IF(ISNUMBER($CQ472),YEAR($CQ472),"")</f>
        <v/>
      </c>
      <c r="CS472" s="78">
        <f>IF(ISNUMBER($M472),MAX(0,$M472),IF(TRIM($M472&amp;"")="matured",0,""))</f>
        <v/>
      </c>
      <c r="CT472" s="78">
        <f>IF(AND(ISNUMBER($CS472),N($CS472)&lt;=mMatWindow),1,0)</f>
        <v/>
      </c>
      <c r="CU472" s="80">
        <f>IF(ISNUMBER($J472),$J472/100,"")</f>
        <v/>
      </c>
      <c r="CV472" s="81">
        <f>IF(ISNUMBER($AQ472),$AQ472,"")</f>
        <v/>
      </c>
      <c r="CW472" s="81">
        <f>IF(ISNUMBER($AR472),$AR472,"")</f>
        <v/>
      </c>
      <c r="CX472" s="82">
        <f>IF(ISNUMBER($AS472),$AS472/100,"")</f>
        <v/>
      </c>
      <c r="CY472" s="82">
        <f>IF(ISNUMBER($AT472),$AT472/100,"")</f>
        <v/>
      </c>
      <c r="CZ472" s="82">
        <f>IF(ISNUMBER($AU472),$AU472/100,"")</f>
        <v/>
      </c>
      <c r="DA472" s="82">
        <f>IF(ISNUMBER($AV472),$AV472/100,"")</f>
        <v/>
      </c>
      <c r="DB472" s="82">
        <f>IF(ISNUMBER($AW472),$AW472/100,"")</f>
        <v/>
      </c>
      <c r="DC472" s="82">
        <f>IF(ISNUMBER($AX472),$AX472/100,"")</f>
        <v/>
      </c>
      <c r="DD472" s="77">
        <f>IFERROR(VALUE(LEFT(TRIM($AO472&amp;""),4)),"")</f>
        <v/>
      </c>
      <c r="DE472" s="78">
        <f>IF(AND($BY472=1,$BX472=1,OR(fDeal="All Deals",$BU472=fDeal),OR(fEntity="All Entities",$BV472=fEntity),OR(fPType="All Property Types",$BZ472=fPType),OR(fDefeased="Include",$CJ472=0)),1,0)</f>
        <v/>
      </c>
      <c r="DF472" s="83">
        <f>$DE472*N($I472)</f>
        <v/>
      </c>
      <c r="DG472" s="78">
        <f>IF($DE472=1,IF(COUNTIFS($F$8:$F472,$F472,$DE$8:$DE472,1)=1,1,0),0)</f>
        <v/>
      </c>
      <c r="DH472" s="83">
        <f>IF($DG472=1,SUMIFS($DF$8:$DF$1600,$F$8:$F$1600,$F472),0)</f>
        <v/>
      </c>
      <c r="DI472" s="78">
        <f>IF($DG472=1,COUNTIFS($F$8:$F$1600,$F472,$DE$8:$DE$1600,1),0)</f>
        <v/>
      </c>
      <c r="DJ472" s="84">
        <f>IF($DG472=1,$DH472+(100000-ROW())/mTieBreak,0)</f>
        <v/>
      </c>
    </row>
    <row r="473">
      <c r="B473" s="68" t="n">
        <v>45</v>
      </c>
      <c r="C473" s="69" t="inlineStr">
        <is>
          <t>UBS17C05</t>
        </is>
      </c>
      <c r="D473" s="69" t="inlineStr">
        <is>
          <t>45.000</t>
        </is>
      </c>
      <c r="E473" s="69" t="inlineStr">
        <is>
          <t>Elmhurst Shopping Center</t>
        </is>
      </c>
      <c r="F473" s="69" t="inlineStr">
        <is>
          <t>LNUBS17C05-45.000</t>
        </is>
      </c>
      <c r="G473" s="70" t="n"/>
      <c r="H473" s="71" t="n">
        <v>2750000</v>
      </c>
      <c r="I473" s="71" t="n">
        <v>2750000</v>
      </c>
      <c r="J473" s="72" t="n">
        <v>4.916</v>
      </c>
      <c r="K473" s="69" t="inlineStr">
        <is>
          <t>Fixed rate</t>
        </is>
      </c>
      <c r="L473" s="68" t="n">
        <v>120</v>
      </c>
      <c r="M473" s="68" t="n">
        <v>14</v>
      </c>
      <c r="N473" s="68" t="n">
        <v>120</v>
      </c>
      <c r="O473" s="68" t="n">
        <v>120</v>
      </c>
      <c r="P473" s="68" t="n">
        <v>14</v>
      </c>
      <c r="Q473" s="68" t="n">
        <v>106</v>
      </c>
      <c r="R473" s="69" t="inlineStr">
        <is>
          <t>IO</t>
        </is>
      </c>
      <c r="S473" s="69" t="inlineStr">
        <is>
          <t>Yes</t>
        </is>
      </c>
      <c r="T473" s="73" t="n">
        <v>43040</v>
      </c>
      <c r="U473" s="73" t="n">
        <v>46697</v>
      </c>
      <c r="V473" s="73" t="n"/>
      <c r="W473" s="69" t="n"/>
      <c r="X473" s="69" t="inlineStr">
        <is>
          <t>Current</t>
        </is>
      </c>
      <c r="Y473" s="68" t="n"/>
      <c r="Z473" s="69" t="inlineStr">
        <is>
          <t>Defeasance Not Allowable</t>
        </is>
      </c>
      <c r="AA473" s="69" t="inlineStr">
        <is>
          <t>Yes</t>
        </is>
      </c>
      <c r="AB473" s="69" t="inlineStr">
        <is>
          <t>Never special serv</t>
        </is>
      </c>
      <c r="AC473" s="73" t="n"/>
      <c r="AD473" s="69" t="n"/>
      <c r="AE473" s="69" t="n"/>
      <c r="AF473" s="69" t="inlineStr">
        <is>
          <t>IL</t>
        </is>
      </c>
      <c r="AG473" s="69" t="inlineStr">
        <is>
          <t>Elmhurst</t>
        </is>
      </c>
      <c r="AH473" s="69" t="inlineStr">
        <is>
          <t>Chicago-Naperville-Elgin, IL-IN</t>
        </is>
      </c>
      <c r="AI473" s="69" t="inlineStr">
        <is>
          <t>Midwest / Central East</t>
        </is>
      </c>
      <c r="AJ473" s="69" t="inlineStr">
        <is>
          <t>RT</t>
        </is>
      </c>
      <c r="AK473" s="69" t="inlineStr">
        <is>
          <t>Unanchored</t>
        </is>
      </c>
      <c r="AL473" s="68" t="n">
        <v>1</v>
      </c>
      <c r="AM473" s="68" t="n"/>
      <c r="AN473" s="68" t="n">
        <v>7763</v>
      </c>
      <c r="AO473" s="69" t="inlineStr">
        <is>
          <t>2016</t>
        </is>
      </c>
      <c r="AP473" s="70" t="n">
        <v>2016</v>
      </c>
      <c r="AQ473" s="74" t="n">
        <v>1.86</v>
      </c>
      <c r="AR473" s="74" t="n">
        <v>0.7</v>
      </c>
      <c r="AS473" s="74" t="n">
        <v>60.8</v>
      </c>
      <c r="AT473" s="74" t="n">
        <v>60.84</v>
      </c>
      <c r="AU473" s="74" t="n">
        <v>60.8</v>
      </c>
      <c r="AV473" s="74" t="n">
        <v>9.253563636000001</v>
      </c>
      <c r="AW473" s="74" t="n">
        <v>3.513182545</v>
      </c>
      <c r="AX473" s="75" t="n">
        <v>100</v>
      </c>
      <c r="AY473" s="71" t="n">
        <v>4520000</v>
      </c>
      <c r="AZ473" s="71" t="n">
        <v>4520000</v>
      </c>
      <c r="BA473" s="71" t="n">
        <v>254473</v>
      </c>
      <c r="BB473" s="71" t="n">
        <v>96612.52</v>
      </c>
      <c r="BC473" s="69" t="inlineStr">
        <is>
          <t>Acquisition</t>
        </is>
      </c>
      <c r="BD473" s="69" t="inlineStr">
        <is>
          <t>N</t>
        </is>
      </c>
      <c r="BE473" s="71" t="n"/>
      <c r="BF473" s="71" t="n"/>
      <c r="BG473" s="71" t="n"/>
      <c r="BH473" s="71" t="n">
        <v>0</v>
      </c>
      <c r="BI473" s="71" t="n">
        <v>0</v>
      </c>
      <c r="BJ473" s="69" t="inlineStr">
        <is>
          <t>N</t>
        </is>
      </c>
      <c r="BK473" s="69" t="inlineStr">
        <is>
          <t>Hand &amp; Stone</t>
        </is>
      </c>
      <c r="BL473" s="75" t="n">
        <v>31.14</v>
      </c>
      <c r="BM473" s="73" t="n">
        <v>46446</v>
      </c>
      <c r="BN473" s="69" t="inlineStr">
        <is>
          <t>Kimme K. Winter</t>
        </is>
      </c>
      <c r="BO473" s="69" t="inlineStr">
        <is>
          <t>UBS</t>
        </is>
      </c>
      <c r="BP473" s="69" t="inlineStr">
        <is>
          <t>Midland Loan Services</t>
        </is>
      </c>
      <c r="BQ473" s="69" t="inlineStr">
        <is>
          <t>K-Star Asset Management LLC</t>
        </is>
      </c>
      <c r="BR473" s="69" t="n"/>
      <c r="BS473" s="73" t="n">
        <v>46276</v>
      </c>
      <c r="BU473" s="76">
        <f>IF($C473="","",IFERROR(INDEX(dmName,MATCH($C473,dmID,0)),"Unmapped"))</f>
        <v/>
      </c>
      <c r="BV473" s="76">
        <f>IF($C473="","",IFERROR(INDEX(dmEntity,MATCH($C473,dmID,0)),"Unmapped"))</f>
        <v/>
      </c>
      <c r="BW473" s="77">
        <f>IF($C473="","",IFERROR(INDEX(dmVintage,MATCH($C473,dmID,0)),""))</f>
        <v/>
      </c>
      <c r="BX473" s="78">
        <f>IFERROR(INDEX(dmInclude,MATCH($C473,dmID,0)),0)</f>
        <v/>
      </c>
      <c r="BY473" s="78">
        <f>IF(N($I473)&gt;0,1,0)</f>
        <v/>
      </c>
      <c r="BZ473" s="76">
        <f>IF($AJ473="","Other / Leased Fee",IFERROR(INDEX(mapPTGroup,MATCH(LEFT(TRIM($AJ473),2),mapPTCode,0)),"Other / Leased Fee"))</f>
        <v/>
      </c>
      <c r="CA473" s="76">
        <f>IF(TRIM($AF473&amp;"")="","NR",LEFT(TRIM($AF473),2))</f>
        <v/>
      </c>
      <c r="CB473" s="76">
        <f>IFERROR(LOOKUP(2,1/(LEFT(TRIM($AI473&amp;""),LEN(mapRegion))=mapRegion),mapRegion),"Not Reported")</f>
        <v/>
      </c>
      <c r="CC473" s="76">
        <f>IF($BY473=0,"",IF(TRIM($W473&amp;"")="REO","REO",IF(TRIM($W473&amp;"")="FC","Foreclosure",IF(TRIM($W473&amp;"")="90+","90+ Days Delinquent",IF(TRIM($W473&amp;"")="60","60 Days Delinquent",IF(TRIM($W473&amp;"")="30","30 Days Delinquent",IF($X473="Non-Performing Matured Balloon","Non-Performing Matured Balloon",IF(OR($X473="Late Payment But Less Than 30 Days Delinquent",LEFT($X473&amp;"",20)="Payment Not Received"),"Late / In Grace (&lt;30 Days)",IF($X473="Performing Matured Balloon","Performing Matured Balloon","Current")))))))))</f>
        <v/>
      </c>
      <c r="CD473" s="78">
        <f>IF(OR($CC473="REO",$CC473="Foreclosure",$CC473="90+ Days Delinquent",$CC473="60 Days Delinquent",$CC473="30 Days Delinquent",$CC473="Non-Performing Matured Balloon"),1,0)</f>
        <v/>
      </c>
      <c r="CE473" s="76">
        <f>IF($AB473="Currently special serv","Currently Specially Serviced",IF($AB473="Returned to master serv","Previously Specially Serviced","Never Specially Serviced"))</f>
        <v/>
      </c>
      <c r="CF473" s="78">
        <f>IF($CE473="Currently Specially Serviced",1,0)</f>
        <v/>
      </c>
      <c r="CG473" s="76">
        <f>IF($AA473="Yes","Currently on Watchlist",IF($AA473="Previously","Previously on Watchlist","Never on Watchlist"))</f>
        <v/>
      </c>
      <c r="CH473" s="78">
        <f>IF($CG473="Currently on Watchlist",1,0)</f>
        <v/>
      </c>
      <c r="CI473" s="76">
        <f>IF($Z473="Full Defeasance","Fully Defeased",IF($Z473="Portion Of Loan Previously Defeased","Partially Defeased",IF($Z473="Defeasance Not Allowable","Not Defeased (Not Permitted)","Not Defeased")))</f>
        <v/>
      </c>
      <c r="CJ473" s="78">
        <f>IF($CI473="Fully Defeased",1,0)</f>
        <v/>
      </c>
      <c r="CK473" s="76">
        <f>IF($R473="IO","Full IO",IF(LEFT($R473&amp;"",7)="IO then","Partial IO","Amortizing"))</f>
        <v/>
      </c>
      <c r="CL473" s="78">
        <f>IF($CK473="Full IO",1,0)</f>
        <v/>
      </c>
      <c r="CM473" s="78">
        <f>IF($CK473="Partial IO",1,0)</f>
        <v/>
      </c>
      <c r="CN473" s="76">
        <f>IF(LEFT($F473&amp;"",10)="SPLIT_LOAN","Pari Passu Split","Standalone")</f>
        <v/>
      </c>
      <c r="CO473" s="78">
        <f>IF($CN473="Pari Passu Split",1,0)</f>
        <v/>
      </c>
      <c r="CP473" s="77">
        <f>IF(ISNUMBER($T473),YEAR($T473),"")</f>
        <v/>
      </c>
      <c r="CQ473" s="79">
        <f>IF(ISNUMBER($V473),$V473,IF(ISNUMBER($U473),$U473,""))</f>
        <v/>
      </c>
      <c r="CR473" s="77">
        <f>IF(ISNUMBER($CQ473),YEAR($CQ473),"")</f>
        <v/>
      </c>
      <c r="CS473" s="78">
        <f>IF(ISNUMBER($M473),MAX(0,$M473),IF(TRIM($M473&amp;"")="matured",0,""))</f>
        <v/>
      </c>
      <c r="CT473" s="78">
        <f>IF(AND(ISNUMBER($CS473),N($CS473)&lt;=mMatWindow),1,0)</f>
        <v/>
      </c>
      <c r="CU473" s="80">
        <f>IF(ISNUMBER($J473),$J473/100,"")</f>
        <v/>
      </c>
      <c r="CV473" s="81">
        <f>IF(ISNUMBER($AQ473),$AQ473,"")</f>
        <v/>
      </c>
      <c r="CW473" s="81">
        <f>IF(ISNUMBER($AR473),$AR473,"")</f>
        <v/>
      </c>
      <c r="CX473" s="82">
        <f>IF(ISNUMBER($AS473),$AS473/100,"")</f>
        <v/>
      </c>
      <c r="CY473" s="82">
        <f>IF(ISNUMBER($AT473),$AT473/100,"")</f>
        <v/>
      </c>
      <c r="CZ473" s="82">
        <f>IF(ISNUMBER($AU473),$AU473/100,"")</f>
        <v/>
      </c>
      <c r="DA473" s="82">
        <f>IF(ISNUMBER($AV473),$AV473/100,"")</f>
        <v/>
      </c>
      <c r="DB473" s="82">
        <f>IF(ISNUMBER($AW473),$AW473/100,"")</f>
        <v/>
      </c>
      <c r="DC473" s="82">
        <f>IF(ISNUMBER($AX473),$AX473/100,"")</f>
        <v/>
      </c>
      <c r="DD473" s="77">
        <f>IFERROR(VALUE(LEFT(TRIM($AO473&amp;""),4)),"")</f>
        <v/>
      </c>
      <c r="DE473" s="78">
        <f>IF(AND($BY473=1,$BX473=1,OR(fDeal="All Deals",$BU473=fDeal),OR(fEntity="All Entities",$BV473=fEntity),OR(fPType="All Property Types",$BZ473=fPType),OR(fDefeased="Include",$CJ473=0)),1,0)</f>
        <v/>
      </c>
      <c r="DF473" s="83">
        <f>$DE473*N($I473)</f>
        <v/>
      </c>
      <c r="DG473" s="78">
        <f>IF($DE473=1,IF(COUNTIFS($F$8:$F473,$F473,$DE$8:$DE473,1)=1,1,0),0)</f>
        <v/>
      </c>
      <c r="DH473" s="83">
        <f>IF($DG473=1,SUMIFS($DF$8:$DF$1600,$F$8:$F$1600,$F473),0)</f>
        <v/>
      </c>
      <c r="DI473" s="78">
        <f>IF($DG473=1,COUNTIFS($F$8:$F$1600,$F473,$DE$8:$DE$1600,1),0)</f>
        <v/>
      </c>
      <c r="DJ473" s="84">
        <f>IF($DG473=1,$DH473+(100000-ROW())/mTieBreak,0)</f>
        <v/>
      </c>
    </row>
    <row r="474">
      <c r="B474" s="68" t="n">
        <v>46</v>
      </c>
      <c r="C474" s="69" t="inlineStr">
        <is>
          <t>UBS17C05</t>
        </is>
      </c>
      <c r="D474" s="69" t="inlineStr">
        <is>
          <t>46.000</t>
        </is>
      </c>
      <c r="E474" s="69" t="inlineStr">
        <is>
          <t>Plaza at Gardendale II</t>
        </is>
      </c>
      <c r="F474" s="69" t="inlineStr">
        <is>
          <t>LNUBS17C05-46.000</t>
        </is>
      </c>
      <c r="G474" s="70" t="n"/>
      <c r="H474" s="71" t="n">
        <v>2500000</v>
      </c>
      <c r="I474" s="71" t="n">
        <v>0</v>
      </c>
      <c r="J474" s="72" t="n">
        <v>5.42</v>
      </c>
      <c r="K474" s="69" t="inlineStr">
        <is>
          <t>Fixed rate</t>
        </is>
      </c>
      <c r="L474" s="68" t="n">
        <v>120</v>
      </c>
      <c r="M474" s="68" t="n"/>
      <c r="N474" s="68" t="n">
        <v>372</v>
      </c>
      <c r="O474" s="68" t="n">
        <v>12</v>
      </c>
      <c r="P474" s="68" t="n"/>
      <c r="Q474" s="68" t="n"/>
      <c r="R474" s="69" t="inlineStr">
        <is>
          <t>IO then Amort</t>
        </is>
      </c>
      <c r="S474" s="69" t="inlineStr">
        <is>
          <t>No</t>
        </is>
      </c>
      <c r="T474" s="73" t="n">
        <v>43009</v>
      </c>
      <c r="U474" s="73" t="n">
        <v>46666</v>
      </c>
      <c r="V474" s="73" t="n"/>
      <c r="W474" s="69" t="n"/>
      <c r="X474" s="69" t="inlineStr">
        <is>
          <t>Current</t>
        </is>
      </c>
      <c r="Y474" s="68" t="n"/>
      <c r="Z474" s="69" t="inlineStr">
        <is>
          <t>No Defeasance Occurred</t>
        </is>
      </c>
      <c r="AA474" s="69" t="inlineStr">
        <is>
          <t>Previously</t>
        </is>
      </c>
      <c r="AB474" s="69" t="inlineStr">
        <is>
          <t>Currently special serv</t>
        </is>
      </c>
      <c r="AC474" s="73" t="n">
        <v>44295</v>
      </c>
      <c r="AD474" s="69" t="inlineStr">
        <is>
          <t>Payment Default (all payments excluding Balloon/Maturity Payment)</t>
        </is>
      </c>
      <c r="AE474" s="69" t="inlineStr">
        <is>
          <t>Resolved</t>
        </is>
      </c>
      <c r="AF474" s="69" t="inlineStr">
        <is>
          <t>AL</t>
        </is>
      </c>
      <c r="AG474" s="69" t="inlineStr">
        <is>
          <t>Gardendale</t>
        </is>
      </c>
      <c r="AH474" s="69" t="inlineStr">
        <is>
          <t>Birmingham, AL</t>
        </is>
      </c>
      <c r="AI474" s="69" t="inlineStr">
        <is>
          <t>South / Central East</t>
        </is>
      </c>
      <c r="AJ474" s="69" t="inlineStr">
        <is>
          <t>RT</t>
        </is>
      </c>
      <c r="AK474" s="69" t="inlineStr">
        <is>
          <t>Unanchored</t>
        </is>
      </c>
      <c r="AL474" s="68" t="n">
        <v>1</v>
      </c>
      <c r="AM474" s="68" t="n"/>
      <c r="AN474" s="68" t="n">
        <v>7163</v>
      </c>
      <c r="AO474" s="69" t="inlineStr">
        <is>
          <t>2016</t>
        </is>
      </c>
      <c r="AP474" s="70" t="n">
        <v>2016</v>
      </c>
      <c r="AQ474" s="74" t="n">
        <v>1.31</v>
      </c>
      <c r="AR474" s="74" t="n">
        <v>1.08</v>
      </c>
      <c r="AS474" s="74" t="n">
        <v>71</v>
      </c>
      <c r="AT474" s="74" t="n"/>
      <c r="AU474" s="74" t="n">
        <v>60.7</v>
      </c>
      <c r="AV474" s="74" t="n">
        <v>8.836119999999999</v>
      </c>
      <c r="AW474" s="74" t="n"/>
      <c r="AX474" s="75" t="n">
        <v>100</v>
      </c>
      <c r="AY474" s="71" t="n">
        <v>3520000</v>
      </c>
      <c r="AZ474" s="71" t="n">
        <v>3520000</v>
      </c>
      <c r="BA474" s="71" t="n">
        <v>220903</v>
      </c>
      <c r="BB474" s="71" t="n">
        <v>182309.68</v>
      </c>
      <c r="BC474" s="69" t="inlineStr">
        <is>
          <t>Refinance</t>
        </is>
      </c>
      <c r="BD474" s="69" t="inlineStr">
        <is>
          <t>N</t>
        </is>
      </c>
      <c r="BE474" s="71" t="n"/>
      <c r="BF474" s="71" t="n"/>
      <c r="BG474" s="71" t="n"/>
      <c r="BH474" s="71" t="n">
        <v>0</v>
      </c>
      <c r="BI474" s="71" t="n">
        <v>0</v>
      </c>
      <c r="BJ474" s="69" t="inlineStr">
        <is>
          <t>N</t>
        </is>
      </c>
      <c r="BK474" s="69" t="inlineStr">
        <is>
          <t>Shrimp Basket</t>
        </is>
      </c>
      <c r="BL474" s="75" t="n">
        <v>41.88</v>
      </c>
      <c r="BM474" s="73" t="n">
        <v>46295</v>
      </c>
      <c r="BN474" s="69" t="inlineStr">
        <is>
          <t>Kerry S. McAdam</t>
        </is>
      </c>
      <c r="BO474" s="69" t="inlineStr">
        <is>
          <t>RMF</t>
        </is>
      </c>
      <c r="BP474" s="69" t="inlineStr">
        <is>
          <t>Midland Loan Services</t>
        </is>
      </c>
      <c r="BQ474" s="69" t="inlineStr">
        <is>
          <t>Midland Loan Services</t>
        </is>
      </c>
      <c r="BR474" s="69" t="inlineStr">
        <is>
          <t>DPO</t>
        </is>
      </c>
      <c r="BS474" s="73" t="n">
        <v>44692</v>
      </c>
      <c r="BU474" s="76">
        <f>IF($C474="","",IFERROR(INDEX(dmName,MATCH($C474,dmID,0)),"Unmapped"))</f>
        <v/>
      </c>
      <c r="BV474" s="76">
        <f>IF($C474="","",IFERROR(INDEX(dmEntity,MATCH($C474,dmID,0)),"Unmapped"))</f>
        <v/>
      </c>
      <c r="BW474" s="77">
        <f>IF($C474="","",IFERROR(INDEX(dmVintage,MATCH($C474,dmID,0)),""))</f>
        <v/>
      </c>
      <c r="BX474" s="78">
        <f>IFERROR(INDEX(dmInclude,MATCH($C474,dmID,0)),0)</f>
        <v/>
      </c>
      <c r="BY474" s="78">
        <f>IF(N($I474)&gt;0,1,0)</f>
        <v/>
      </c>
      <c r="BZ474" s="76">
        <f>IF($AJ474="","Other / Leased Fee",IFERROR(INDEX(mapPTGroup,MATCH(LEFT(TRIM($AJ474),2),mapPTCode,0)),"Other / Leased Fee"))</f>
        <v/>
      </c>
      <c r="CA474" s="76">
        <f>IF(TRIM($AF474&amp;"")="","NR",LEFT(TRIM($AF474),2))</f>
        <v/>
      </c>
      <c r="CB474" s="76">
        <f>IFERROR(LOOKUP(2,1/(LEFT(TRIM($AI474&amp;""),LEN(mapRegion))=mapRegion),mapRegion),"Not Reported")</f>
        <v/>
      </c>
      <c r="CC474" s="76">
        <f>IF($BY474=0,"",IF(TRIM($W474&amp;"")="REO","REO",IF(TRIM($W474&amp;"")="FC","Foreclosure",IF(TRIM($W474&amp;"")="90+","90+ Days Delinquent",IF(TRIM($W474&amp;"")="60","60 Days Delinquent",IF(TRIM($W474&amp;"")="30","30 Days Delinquent",IF($X474="Non-Performing Matured Balloon","Non-Performing Matured Balloon",IF(OR($X474="Late Payment But Less Than 30 Days Delinquent",LEFT($X474&amp;"",20)="Payment Not Received"),"Late / In Grace (&lt;30 Days)",IF($X474="Performing Matured Balloon","Performing Matured Balloon","Current")))))))))</f>
        <v/>
      </c>
      <c r="CD474" s="78">
        <f>IF(OR($CC474="REO",$CC474="Foreclosure",$CC474="90+ Days Delinquent",$CC474="60 Days Delinquent",$CC474="30 Days Delinquent",$CC474="Non-Performing Matured Balloon"),1,0)</f>
        <v/>
      </c>
      <c r="CE474" s="76">
        <f>IF($AB474="Currently special serv","Currently Specially Serviced",IF($AB474="Returned to master serv","Previously Specially Serviced","Never Specially Serviced"))</f>
        <v/>
      </c>
      <c r="CF474" s="78">
        <f>IF($CE474="Currently Specially Serviced",1,0)</f>
        <v/>
      </c>
      <c r="CG474" s="76">
        <f>IF($AA474="Yes","Currently on Watchlist",IF($AA474="Previously","Previously on Watchlist","Never on Watchlist"))</f>
        <v/>
      </c>
      <c r="CH474" s="78">
        <f>IF($CG474="Currently on Watchlist",1,0)</f>
        <v/>
      </c>
      <c r="CI474" s="76">
        <f>IF($Z474="Full Defeasance","Fully Defeased",IF($Z474="Portion Of Loan Previously Defeased","Partially Defeased",IF($Z474="Defeasance Not Allowable","Not Defeased (Not Permitted)","Not Defeased")))</f>
        <v/>
      </c>
      <c r="CJ474" s="78">
        <f>IF($CI474="Fully Defeased",1,0)</f>
        <v/>
      </c>
      <c r="CK474" s="76">
        <f>IF($R474="IO","Full IO",IF(LEFT($R474&amp;"",7)="IO then","Partial IO","Amortizing"))</f>
        <v/>
      </c>
      <c r="CL474" s="78">
        <f>IF($CK474="Full IO",1,0)</f>
        <v/>
      </c>
      <c r="CM474" s="78">
        <f>IF($CK474="Partial IO",1,0)</f>
        <v/>
      </c>
      <c r="CN474" s="76">
        <f>IF(LEFT($F474&amp;"",10)="SPLIT_LOAN","Pari Passu Split","Standalone")</f>
        <v/>
      </c>
      <c r="CO474" s="78">
        <f>IF($CN474="Pari Passu Split",1,0)</f>
        <v/>
      </c>
      <c r="CP474" s="77">
        <f>IF(ISNUMBER($T474),YEAR($T474),"")</f>
        <v/>
      </c>
      <c r="CQ474" s="79">
        <f>IF(ISNUMBER($V474),$V474,IF(ISNUMBER($U474),$U474,""))</f>
        <v/>
      </c>
      <c r="CR474" s="77">
        <f>IF(ISNUMBER($CQ474),YEAR($CQ474),"")</f>
        <v/>
      </c>
      <c r="CS474" s="78">
        <f>IF(ISNUMBER($M474),MAX(0,$M474),IF(TRIM($M474&amp;"")="matured",0,""))</f>
        <v/>
      </c>
      <c r="CT474" s="78">
        <f>IF(AND(ISNUMBER($CS474),N($CS474)&lt;=mMatWindow),1,0)</f>
        <v/>
      </c>
      <c r="CU474" s="80">
        <f>IF(ISNUMBER($J474),$J474/100,"")</f>
        <v/>
      </c>
      <c r="CV474" s="81">
        <f>IF(ISNUMBER($AQ474),$AQ474,"")</f>
        <v/>
      </c>
      <c r="CW474" s="81">
        <f>IF(ISNUMBER($AR474),$AR474,"")</f>
        <v/>
      </c>
      <c r="CX474" s="82">
        <f>IF(ISNUMBER($AS474),$AS474/100,"")</f>
        <v/>
      </c>
      <c r="CY474" s="82">
        <f>IF(ISNUMBER($AT474),$AT474/100,"")</f>
        <v/>
      </c>
      <c r="CZ474" s="82">
        <f>IF(ISNUMBER($AU474),$AU474/100,"")</f>
        <v/>
      </c>
      <c r="DA474" s="82">
        <f>IF(ISNUMBER($AV474),$AV474/100,"")</f>
        <v/>
      </c>
      <c r="DB474" s="82">
        <f>IF(ISNUMBER($AW474),$AW474/100,"")</f>
        <v/>
      </c>
      <c r="DC474" s="82">
        <f>IF(ISNUMBER($AX474),$AX474/100,"")</f>
        <v/>
      </c>
      <c r="DD474" s="77">
        <f>IFERROR(VALUE(LEFT(TRIM($AO474&amp;""),4)),"")</f>
        <v/>
      </c>
      <c r="DE474" s="78">
        <f>IF(AND($BY474=1,$BX474=1,OR(fDeal="All Deals",$BU474=fDeal),OR(fEntity="All Entities",$BV474=fEntity),OR(fPType="All Property Types",$BZ474=fPType),OR(fDefeased="Include",$CJ474=0)),1,0)</f>
        <v/>
      </c>
      <c r="DF474" s="83">
        <f>$DE474*N($I474)</f>
        <v/>
      </c>
      <c r="DG474" s="78">
        <f>IF($DE474=1,IF(COUNTIFS($F$8:$F474,$F474,$DE$8:$DE474,1)=1,1,0),0)</f>
        <v/>
      </c>
      <c r="DH474" s="83">
        <f>IF($DG474=1,SUMIFS($DF$8:$DF$1600,$F$8:$F$1600,$F474),0)</f>
        <v/>
      </c>
      <c r="DI474" s="78">
        <f>IF($DG474=1,COUNTIFS($F$8:$F$1600,$F474,$DE$8:$DE$1600,1),0)</f>
        <v/>
      </c>
      <c r="DJ474" s="84">
        <f>IF($DG474=1,$DH474+(100000-ROW())/mTieBreak,0)</f>
        <v/>
      </c>
    </row>
    <row r="475">
      <c r="B475" s="68" t="n">
        <v>47</v>
      </c>
      <c r="C475" s="69" t="inlineStr">
        <is>
          <t>UBS17C05</t>
        </is>
      </c>
      <c r="D475" s="69" t="inlineStr">
        <is>
          <t>47.000</t>
        </is>
      </c>
      <c r="E475" s="69" t="inlineStr">
        <is>
          <t>Century Storage Crystal River</t>
        </is>
      </c>
      <c r="F475" s="69" t="inlineStr">
        <is>
          <t>LNUBS17C05-47.000</t>
        </is>
      </c>
      <c r="G475" s="70" t="n"/>
      <c r="H475" s="71" t="n">
        <v>2300000</v>
      </c>
      <c r="I475" s="71" t="n">
        <v>1938994.7499996</v>
      </c>
      <c r="J475" s="72" t="n">
        <v>4.876</v>
      </c>
      <c r="K475" s="69" t="inlineStr">
        <is>
          <t>Fixed rate</t>
        </is>
      </c>
      <c r="L475" s="68" t="n">
        <v>120</v>
      </c>
      <c r="M475" s="68" t="n">
        <v>13</v>
      </c>
      <c r="N475" s="68" t="n">
        <v>360</v>
      </c>
      <c r="O475" s="68" t="n"/>
      <c r="P475" s="68" t="n"/>
      <c r="Q475" s="68" t="n">
        <v>107</v>
      </c>
      <c r="R475" s="69" t="n"/>
      <c r="S475" s="69" t="inlineStr">
        <is>
          <t>No</t>
        </is>
      </c>
      <c r="T475" s="73" t="n">
        <v>43009</v>
      </c>
      <c r="U475" s="73" t="n">
        <v>46666</v>
      </c>
      <c r="V475" s="73" t="n"/>
      <c r="W475" s="69" t="n"/>
      <c r="X475" s="69" t="inlineStr">
        <is>
          <t>Current</t>
        </is>
      </c>
      <c r="Y475" s="68" t="n"/>
      <c r="Z475" s="69" t="inlineStr">
        <is>
          <t>No Defeasance Occurred</t>
        </is>
      </c>
      <c r="AA475" s="69" t="n"/>
      <c r="AB475" s="69" t="inlineStr">
        <is>
          <t>Never special serv</t>
        </is>
      </c>
      <c r="AC475" s="73" t="n"/>
      <c r="AD475" s="69" t="n"/>
      <c r="AE475" s="69" t="n"/>
      <c r="AF475" s="69" t="inlineStr">
        <is>
          <t>FL</t>
        </is>
      </c>
      <c r="AG475" s="69" t="inlineStr">
        <is>
          <t>Crystal River</t>
        </is>
      </c>
      <c r="AH475" s="69" t="inlineStr">
        <is>
          <t>Homosassa Springs, FL</t>
        </is>
      </c>
      <c r="AI475" s="69" t="inlineStr">
        <is>
          <t>South / Atlantic</t>
        </is>
      </c>
      <c r="AJ475" s="69" t="inlineStr">
        <is>
          <t>SS</t>
        </is>
      </c>
      <c r="AK475" s="69" t="n"/>
      <c r="AL475" s="68" t="n">
        <v>1</v>
      </c>
      <c r="AM475" s="68" t="n"/>
      <c r="AN475" s="68" t="n">
        <v>65945</v>
      </c>
      <c r="AO475" s="69" t="inlineStr">
        <is>
          <t>2006</t>
        </is>
      </c>
      <c r="AP475" s="70" t="n">
        <v>2006</v>
      </c>
      <c r="AQ475" s="74" t="n">
        <v>1.69</v>
      </c>
      <c r="AR475" s="74" t="n">
        <v>2.17</v>
      </c>
      <c r="AS475" s="74" t="n">
        <v>65.3</v>
      </c>
      <c r="AT475" s="74" t="n">
        <v>55.09</v>
      </c>
      <c r="AU475" s="74" t="n">
        <v>53.5</v>
      </c>
      <c r="AV475" s="74" t="n">
        <v>10.729695652</v>
      </c>
      <c r="AW475" s="74" t="n">
        <v>18.530673175</v>
      </c>
      <c r="AX475" s="75" t="n">
        <v>85</v>
      </c>
      <c r="AY475" s="71" t="n">
        <v>3520000</v>
      </c>
      <c r="AZ475" s="71" t="n">
        <v>3520000</v>
      </c>
      <c r="BA475" s="71" t="n">
        <v>246783</v>
      </c>
      <c r="BB475" s="71" t="n">
        <v>316310.02</v>
      </c>
      <c r="BC475" s="69" t="inlineStr">
        <is>
          <t>Refinance</t>
        </is>
      </c>
      <c r="BD475" s="69" t="inlineStr">
        <is>
          <t>N</t>
        </is>
      </c>
      <c r="BE475" s="71" t="n"/>
      <c r="BF475" s="71" t="n"/>
      <c r="BG475" s="71" t="n"/>
      <c r="BH475" s="71" t="n">
        <v>0</v>
      </c>
      <c r="BI475" s="71" t="n">
        <v>0</v>
      </c>
      <c r="BJ475" s="69" t="inlineStr">
        <is>
          <t>N</t>
        </is>
      </c>
      <c r="BK475" s="69" t="n"/>
      <c r="BL475" s="75" t="n"/>
      <c r="BM475" s="73" t="n"/>
      <c r="BN475" s="69" t="inlineStr">
        <is>
          <t>Lawrence W. Maxwell</t>
        </is>
      </c>
      <c r="BO475" s="69" t="inlineStr">
        <is>
          <t>Cantor Commercial Real Estate Lending</t>
        </is>
      </c>
      <c r="BP475" s="69" t="inlineStr">
        <is>
          <t>Midland Loan Services</t>
        </is>
      </c>
      <c r="BQ475" s="69" t="inlineStr">
        <is>
          <t>K-Star Asset Management LLC</t>
        </is>
      </c>
      <c r="BR475" s="69" t="n"/>
      <c r="BS475" s="73" t="n">
        <v>46276</v>
      </c>
      <c r="BU475" s="76">
        <f>IF($C475="","",IFERROR(INDEX(dmName,MATCH($C475,dmID,0)),"Unmapped"))</f>
        <v/>
      </c>
      <c r="BV475" s="76">
        <f>IF($C475="","",IFERROR(INDEX(dmEntity,MATCH($C475,dmID,0)),"Unmapped"))</f>
        <v/>
      </c>
      <c r="BW475" s="77">
        <f>IF($C475="","",IFERROR(INDEX(dmVintage,MATCH($C475,dmID,0)),""))</f>
        <v/>
      </c>
      <c r="BX475" s="78">
        <f>IFERROR(INDEX(dmInclude,MATCH($C475,dmID,0)),0)</f>
        <v/>
      </c>
      <c r="BY475" s="78">
        <f>IF(N($I475)&gt;0,1,0)</f>
        <v/>
      </c>
      <c r="BZ475" s="76">
        <f>IF($AJ475="","Other / Leased Fee",IFERROR(INDEX(mapPTGroup,MATCH(LEFT(TRIM($AJ475),2),mapPTCode,0)),"Other / Leased Fee"))</f>
        <v/>
      </c>
      <c r="CA475" s="76">
        <f>IF(TRIM($AF475&amp;"")="","NR",LEFT(TRIM($AF475),2))</f>
        <v/>
      </c>
      <c r="CB475" s="76">
        <f>IFERROR(LOOKUP(2,1/(LEFT(TRIM($AI475&amp;""),LEN(mapRegion))=mapRegion),mapRegion),"Not Reported")</f>
        <v/>
      </c>
      <c r="CC475" s="76">
        <f>IF($BY475=0,"",IF(TRIM($W475&amp;"")="REO","REO",IF(TRIM($W475&amp;"")="FC","Foreclosure",IF(TRIM($W475&amp;"")="90+","90+ Days Delinquent",IF(TRIM($W475&amp;"")="60","60 Days Delinquent",IF(TRIM($W475&amp;"")="30","30 Days Delinquent",IF($X475="Non-Performing Matured Balloon","Non-Performing Matured Balloon",IF(OR($X475="Late Payment But Less Than 30 Days Delinquent",LEFT($X475&amp;"",20)="Payment Not Received"),"Late / In Grace (&lt;30 Days)",IF($X475="Performing Matured Balloon","Performing Matured Balloon","Current")))))))))</f>
        <v/>
      </c>
      <c r="CD475" s="78">
        <f>IF(OR($CC475="REO",$CC475="Foreclosure",$CC475="90+ Days Delinquent",$CC475="60 Days Delinquent",$CC475="30 Days Delinquent",$CC475="Non-Performing Matured Balloon"),1,0)</f>
        <v/>
      </c>
      <c r="CE475" s="76">
        <f>IF($AB475="Currently special serv","Currently Specially Serviced",IF($AB475="Returned to master serv","Previously Specially Serviced","Never Specially Serviced"))</f>
        <v/>
      </c>
      <c r="CF475" s="78">
        <f>IF($CE475="Currently Specially Serviced",1,0)</f>
        <v/>
      </c>
      <c r="CG475" s="76">
        <f>IF($AA475="Yes","Currently on Watchlist",IF($AA475="Previously","Previously on Watchlist","Never on Watchlist"))</f>
        <v/>
      </c>
      <c r="CH475" s="78">
        <f>IF($CG475="Currently on Watchlist",1,0)</f>
        <v/>
      </c>
      <c r="CI475" s="76">
        <f>IF($Z475="Full Defeasance","Fully Defeased",IF($Z475="Portion Of Loan Previously Defeased","Partially Defeased",IF($Z475="Defeasance Not Allowable","Not Defeased (Not Permitted)","Not Defeased")))</f>
        <v/>
      </c>
      <c r="CJ475" s="78">
        <f>IF($CI475="Fully Defeased",1,0)</f>
        <v/>
      </c>
      <c r="CK475" s="76">
        <f>IF($R475="IO","Full IO",IF(LEFT($R475&amp;"",7)="IO then","Partial IO","Amortizing"))</f>
        <v/>
      </c>
      <c r="CL475" s="78">
        <f>IF($CK475="Full IO",1,0)</f>
        <v/>
      </c>
      <c r="CM475" s="78">
        <f>IF($CK475="Partial IO",1,0)</f>
        <v/>
      </c>
      <c r="CN475" s="76">
        <f>IF(LEFT($F475&amp;"",10)="SPLIT_LOAN","Pari Passu Split","Standalone")</f>
        <v/>
      </c>
      <c r="CO475" s="78">
        <f>IF($CN475="Pari Passu Split",1,0)</f>
        <v/>
      </c>
      <c r="CP475" s="77">
        <f>IF(ISNUMBER($T475),YEAR($T475),"")</f>
        <v/>
      </c>
      <c r="CQ475" s="79">
        <f>IF(ISNUMBER($V475),$V475,IF(ISNUMBER($U475),$U475,""))</f>
        <v/>
      </c>
      <c r="CR475" s="77">
        <f>IF(ISNUMBER($CQ475),YEAR($CQ475),"")</f>
        <v/>
      </c>
      <c r="CS475" s="78">
        <f>IF(ISNUMBER($M475),MAX(0,$M475),IF(TRIM($M475&amp;"")="matured",0,""))</f>
        <v/>
      </c>
      <c r="CT475" s="78">
        <f>IF(AND(ISNUMBER($CS475),N($CS475)&lt;=mMatWindow),1,0)</f>
        <v/>
      </c>
      <c r="CU475" s="80">
        <f>IF(ISNUMBER($J475),$J475/100,"")</f>
        <v/>
      </c>
      <c r="CV475" s="81">
        <f>IF(ISNUMBER($AQ475),$AQ475,"")</f>
        <v/>
      </c>
      <c r="CW475" s="81">
        <f>IF(ISNUMBER($AR475),$AR475,"")</f>
        <v/>
      </c>
      <c r="CX475" s="82">
        <f>IF(ISNUMBER($AS475),$AS475/100,"")</f>
        <v/>
      </c>
      <c r="CY475" s="82">
        <f>IF(ISNUMBER($AT475),$AT475/100,"")</f>
        <v/>
      </c>
      <c r="CZ475" s="82">
        <f>IF(ISNUMBER($AU475),$AU475/100,"")</f>
        <v/>
      </c>
      <c r="DA475" s="82">
        <f>IF(ISNUMBER($AV475),$AV475/100,"")</f>
        <v/>
      </c>
      <c r="DB475" s="82">
        <f>IF(ISNUMBER($AW475),$AW475/100,"")</f>
        <v/>
      </c>
      <c r="DC475" s="82">
        <f>IF(ISNUMBER($AX475),$AX475/100,"")</f>
        <v/>
      </c>
      <c r="DD475" s="77">
        <f>IFERROR(VALUE(LEFT(TRIM($AO475&amp;""),4)),"")</f>
        <v/>
      </c>
      <c r="DE475" s="78">
        <f>IF(AND($BY475=1,$BX475=1,OR(fDeal="All Deals",$BU475=fDeal),OR(fEntity="All Entities",$BV475=fEntity),OR(fPType="All Property Types",$BZ475=fPType),OR(fDefeased="Include",$CJ475=0)),1,0)</f>
        <v/>
      </c>
      <c r="DF475" s="83">
        <f>$DE475*N($I475)</f>
        <v/>
      </c>
      <c r="DG475" s="78">
        <f>IF($DE475=1,IF(COUNTIFS($F$8:$F475,$F475,$DE$8:$DE475,1)=1,1,0),0)</f>
        <v/>
      </c>
      <c r="DH475" s="83">
        <f>IF($DG475=1,SUMIFS($DF$8:$DF$1600,$F$8:$F$1600,$F475),0)</f>
        <v/>
      </c>
      <c r="DI475" s="78">
        <f>IF($DG475=1,COUNTIFS($F$8:$F$1600,$F475,$DE$8:$DE$1600,1),0)</f>
        <v/>
      </c>
      <c r="DJ475" s="84">
        <f>IF($DG475=1,$DH475+(100000-ROW())/mTieBreak,0)</f>
        <v/>
      </c>
    </row>
    <row r="476">
      <c r="B476" s="68" t="n">
        <v>48</v>
      </c>
      <c r="C476" s="69" t="inlineStr">
        <is>
          <t>UBS17C05</t>
        </is>
      </c>
      <c r="D476" s="69" t="inlineStr">
        <is>
          <t>48.000</t>
        </is>
      </c>
      <c r="E476" s="69" t="inlineStr">
        <is>
          <t>Hawthorn Place Townhomes</t>
        </is>
      </c>
      <c r="F476" s="69" t="inlineStr">
        <is>
          <t>LNUBS17C05-48.000</t>
        </is>
      </c>
      <c r="G476" s="70" t="n"/>
      <c r="H476" s="71" t="n">
        <v>2178000</v>
      </c>
      <c r="I476" s="71" t="n">
        <v>1853366.039999298</v>
      </c>
      <c r="J476" s="72" t="n">
        <v>5.1352</v>
      </c>
      <c r="K476" s="69" t="inlineStr">
        <is>
          <t>Fixed rate</t>
        </is>
      </c>
      <c r="L476" s="68" t="n">
        <v>120</v>
      </c>
      <c r="M476" s="68" t="n">
        <v>14</v>
      </c>
      <c r="N476" s="68" t="n">
        <v>360</v>
      </c>
      <c r="O476" s="68" t="n"/>
      <c r="P476" s="68" t="n"/>
      <c r="Q476" s="68" t="n">
        <v>106</v>
      </c>
      <c r="R476" s="69" t="n"/>
      <c r="S476" s="69" t="inlineStr">
        <is>
          <t>No</t>
        </is>
      </c>
      <c r="T476" s="73" t="n">
        <v>43040</v>
      </c>
      <c r="U476" s="73" t="n">
        <v>46697</v>
      </c>
      <c r="V476" s="73" t="n"/>
      <c r="W476" s="69" t="n"/>
      <c r="X476" s="69" t="inlineStr">
        <is>
          <t>Current</t>
        </is>
      </c>
      <c r="Y476" s="68" t="n"/>
      <c r="Z476" s="69" t="inlineStr">
        <is>
          <t>No Defeasance Occurred</t>
        </is>
      </c>
      <c r="AA476" s="69" t="inlineStr">
        <is>
          <t>Yes</t>
        </is>
      </c>
      <c r="AB476" s="69" t="inlineStr">
        <is>
          <t>Never special serv</t>
        </is>
      </c>
      <c r="AC476" s="73" t="n"/>
      <c r="AD476" s="69" t="n"/>
      <c r="AE476" s="69" t="n"/>
      <c r="AF476" s="69" t="inlineStr">
        <is>
          <t>KS</t>
        </is>
      </c>
      <c r="AG476" s="69" t="inlineStr">
        <is>
          <t>Lawrence</t>
        </is>
      </c>
      <c r="AH476" s="69" t="inlineStr">
        <is>
          <t>Lawrence, KS</t>
        </is>
      </c>
      <c r="AI476" s="69" t="inlineStr">
        <is>
          <t>Midwest / Central West</t>
        </is>
      </c>
      <c r="AJ476" s="69" t="inlineStr">
        <is>
          <t>MF</t>
        </is>
      </c>
      <c r="AK476" s="69" t="inlineStr">
        <is>
          <t>Townhouse</t>
        </is>
      </c>
      <c r="AL476" s="68" t="n">
        <v>1</v>
      </c>
      <c r="AM476" s="68" t="n">
        <v>38</v>
      </c>
      <c r="AN476" s="68" t="n"/>
      <c r="AO476" s="69" t="inlineStr">
        <is>
          <t>1982</t>
        </is>
      </c>
      <c r="AP476" s="70" t="n">
        <v>1982</v>
      </c>
      <c r="AQ476" s="74" t="n">
        <v>1.38</v>
      </c>
      <c r="AR476" s="74" t="n">
        <v>1.93</v>
      </c>
      <c r="AS476" s="74" t="n">
        <v>69.09999999999999</v>
      </c>
      <c r="AT476" s="74" t="n">
        <v>58.84</v>
      </c>
      <c r="AU476" s="74" t="n">
        <v>57.1</v>
      </c>
      <c r="AV476" s="74" t="n">
        <v>9.053856748999999</v>
      </c>
      <c r="AW476" s="74" t="n">
        <v>14.83831494</v>
      </c>
      <c r="AX476" s="75" t="n">
        <v>100</v>
      </c>
      <c r="AY476" s="71" t="n">
        <v>3150000</v>
      </c>
      <c r="AZ476" s="71" t="n">
        <v>3150000</v>
      </c>
      <c r="BA476" s="71" t="n">
        <v>197193</v>
      </c>
      <c r="BB476" s="71" t="n">
        <v>275008.29</v>
      </c>
      <c r="BC476" s="69" t="inlineStr">
        <is>
          <t>Acquisition</t>
        </is>
      </c>
      <c r="BD476" s="69" t="inlineStr">
        <is>
          <t>N</t>
        </is>
      </c>
      <c r="BE476" s="71" t="n"/>
      <c r="BF476" s="71" t="n"/>
      <c r="BG476" s="71" t="n"/>
      <c r="BH476" s="71" t="n">
        <v>0</v>
      </c>
      <c r="BI476" s="71" t="n">
        <v>0</v>
      </c>
      <c r="BJ476" s="69" t="inlineStr">
        <is>
          <t>N</t>
        </is>
      </c>
      <c r="BK476" s="69" t="n"/>
      <c r="BL476" s="75" t="n"/>
      <c r="BM476" s="73" t="n"/>
      <c r="BN476" s="69" t="inlineStr">
        <is>
          <t>Feras Ghosheh</t>
        </is>
      </c>
      <c r="BO476" s="69" t="inlineStr">
        <is>
          <t>Cantor Commercial Real Estate Lending</t>
        </is>
      </c>
      <c r="BP476" s="69" t="inlineStr">
        <is>
          <t>Midland Loan Services</t>
        </is>
      </c>
      <c r="BQ476" s="69" t="inlineStr">
        <is>
          <t>K-Star Asset Management LLC</t>
        </is>
      </c>
      <c r="BR476" s="69" t="n"/>
      <c r="BS476" s="73" t="n">
        <v>46276</v>
      </c>
      <c r="BU476" s="76">
        <f>IF($C476="","",IFERROR(INDEX(dmName,MATCH($C476,dmID,0)),"Unmapped"))</f>
        <v/>
      </c>
      <c r="BV476" s="76">
        <f>IF($C476="","",IFERROR(INDEX(dmEntity,MATCH($C476,dmID,0)),"Unmapped"))</f>
        <v/>
      </c>
      <c r="BW476" s="77">
        <f>IF($C476="","",IFERROR(INDEX(dmVintage,MATCH($C476,dmID,0)),""))</f>
        <v/>
      </c>
      <c r="BX476" s="78">
        <f>IFERROR(INDEX(dmInclude,MATCH($C476,dmID,0)),0)</f>
        <v/>
      </c>
      <c r="BY476" s="78">
        <f>IF(N($I476)&gt;0,1,0)</f>
        <v/>
      </c>
      <c r="BZ476" s="76">
        <f>IF($AJ476="","Other / Leased Fee",IFERROR(INDEX(mapPTGroup,MATCH(LEFT(TRIM($AJ476),2),mapPTCode,0)),"Other / Leased Fee"))</f>
        <v/>
      </c>
      <c r="CA476" s="76">
        <f>IF(TRIM($AF476&amp;"")="","NR",LEFT(TRIM($AF476),2))</f>
        <v/>
      </c>
      <c r="CB476" s="76">
        <f>IFERROR(LOOKUP(2,1/(LEFT(TRIM($AI476&amp;""),LEN(mapRegion))=mapRegion),mapRegion),"Not Reported")</f>
        <v/>
      </c>
      <c r="CC476" s="76">
        <f>IF($BY476=0,"",IF(TRIM($W476&amp;"")="REO","REO",IF(TRIM($W476&amp;"")="FC","Foreclosure",IF(TRIM($W476&amp;"")="90+","90+ Days Delinquent",IF(TRIM($W476&amp;"")="60","60 Days Delinquent",IF(TRIM($W476&amp;"")="30","30 Days Delinquent",IF($X476="Non-Performing Matured Balloon","Non-Performing Matured Balloon",IF(OR($X476="Late Payment But Less Than 30 Days Delinquent",LEFT($X476&amp;"",20)="Payment Not Received"),"Late / In Grace (&lt;30 Days)",IF($X476="Performing Matured Balloon","Performing Matured Balloon","Current")))))))))</f>
        <v/>
      </c>
      <c r="CD476" s="78">
        <f>IF(OR($CC476="REO",$CC476="Foreclosure",$CC476="90+ Days Delinquent",$CC476="60 Days Delinquent",$CC476="30 Days Delinquent",$CC476="Non-Performing Matured Balloon"),1,0)</f>
        <v/>
      </c>
      <c r="CE476" s="76">
        <f>IF($AB476="Currently special serv","Currently Specially Serviced",IF($AB476="Returned to master serv","Previously Specially Serviced","Never Specially Serviced"))</f>
        <v/>
      </c>
      <c r="CF476" s="78">
        <f>IF($CE476="Currently Specially Serviced",1,0)</f>
        <v/>
      </c>
      <c r="CG476" s="76">
        <f>IF($AA476="Yes","Currently on Watchlist",IF($AA476="Previously","Previously on Watchlist","Never on Watchlist"))</f>
        <v/>
      </c>
      <c r="CH476" s="78">
        <f>IF($CG476="Currently on Watchlist",1,0)</f>
        <v/>
      </c>
      <c r="CI476" s="76">
        <f>IF($Z476="Full Defeasance","Fully Defeased",IF($Z476="Portion Of Loan Previously Defeased","Partially Defeased",IF($Z476="Defeasance Not Allowable","Not Defeased (Not Permitted)","Not Defeased")))</f>
        <v/>
      </c>
      <c r="CJ476" s="78">
        <f>IF($CI476="Fully Defeased",1,0)</f>
        <v/>
      </c>
      <c r="CK476" s="76">
        <f>IF($R476="IO","Full IO",IF(LEFT($R476&amp;"",7)="IO then","Partial IO","Amortizing"))</f>
        <v/>
      </c>
      <c r="CL476" s="78">
        <f>IF($CK476="Full IO",1,0)</f>
        <v/>
      </c>
      <c r="CM476" s="78">
        <f>IF($CK476="Partial IO",1,0)</f>
        <v/>
      </c>
      <c r="CN476" s="76">
        <f>IF(LEFT($F476&amp;"",10)="SPLIT_LOAN","Pari Passu Split","Standalone")</f>
        <v/>
      </c>
      <c r="CO476" s="78">
        <f>IF($CN476="Pari Passu Split",1,0)</f>
        <v/>
      </c>
      <c r="CP476" s="77">
        <f>IF(ISNUMBER($T476),YEAR($T476),"")</f>
        <v/>
      </c>
      <c r="CQ476" s="79">
        <f>IF(ISNUMBER($V476),$V476,IF(ISNUMBER($U476),$U476,""))</f>
        <v/>
      </c>
      <c r="CR476" s="77">
        <f>IF(ISNUMBER($CQ476),YEAR($CQ476),"")</f>
        <v/>
      </c>
      <c r="CS476" s="78">
        <f>IF(ISNUMBER($M476),MAX(0,$M476),IF(TRIM($M476&amp;"")="matured",0,""))</f>
        <v/>
      </c>
      <c r="CT476" s="78">
        <f>IF(AND(ISNUMBER($CS476),N($CS476)&lt;=mMatWindow),1,0)</f>
        <v/>
      </c>
      <c r="CU476" s="80">
        <f>IF(ISNUMBER($J476),$J476/100,"")</f>
        <v/>
      </c>
      <c r="CV476" s="81">
        <f>IF(ISNUMBER($AQ476),$AQ476,"")</f>
        <v/>
      </c>
      <c r="CW476" s="81">
        <f>IF(ISNUMBER($AR476),$AR476,"")</f>
        <v/>
      </c>
      <c r="CX476" s="82">
        <f>IF(ISNUMBER($AS476),$AS476/100,"")</f>
        <v/>
      </c>
      <c r="CY476" s="82">
        <f>IF(ISNUMBER($AT476),$AT476/100,"")</f>
        <v/>
      </c>
      <c r="CZ476" s="82">
        <f>IF(ISNUMBER($AU476),$AU476/100,"")</f>
        <v/>
      </c>
      <c r="DA476" s="82">
        <f>IF(ISNUMBER($AV476),$AV476/100,"")</f>
        <v/>
      </c>
      <c r="DB476" s="82">
        <f>IF(ISNUMBER($AW476),$AW476/100,"")</f>
        <v/>
      </c>
      <c r="DC476" s="82">
        <f>IF(ISNUMBER($AX476),$AX476/100,"")</f>
        <v/>
      </c>
      <c r="DD476" s="77">
        <f>IFERROR(VALUE(LEFT(TRIM($AO476&amp;""),4)),"")</f>
        <v/>
      </c>
      <c r="DE476" s="78">
        <f>IF(AND($BY476=1,$BX476=1,OR(fDeal="All Deals",$BU476=fDeal),OR(fEntity="All Entities",$BV476=fEntity),OR(fPType="All Property Types",$BZ476=fPType),OR(fDefeased="Include",$CJ476=0)),1,0)</f>
        <v/>
      </c>
      <c r="DF476" s="83">
        <f>$DE476*N($I476)</f>
        <v/>
      </c>
      <c r="DG476" s="78">
        <f>IF($DE476=1,IF(COUNTIFS($F$8:$F476,$F476,$DE$8:$DE476,1)=1,1,0),0)</f>
        <v/>
      </c>
      <c r="DH476" s="83">
        <f>IF($DG476=1,SUMIFS($DF$8:$DF$1600,$F$8:$F$1600,$F476),0)</f>
        <v/>
      </c>
      <c r="DI476" s="78">
        <f>IF($DG476=1,COUNTIFS($F$8:$F$1600,$F476,$DE$8:$DE$1600,1),0)</f>
        <v/>
      </c>
      <c r="DJ476" s="84">
        <f>IF($DG476=1,$DH476+(100000-ROW())/mTieBreak,0)</f>
        <v/>
      </c>
    </row>
    <row r="477">
      <c r="B477" s="68" t="n">
        <v>49</v>
      </c>
      <c r="C477" s="69" t="inlineStr">
        <is>
          <t>UBS17C05</t>
        </is>
      </c>
      <c r="D477" s="69" t="inlineStr">
        <is>
          <t>49.000</t>
        </is>
      </c>
      <c r="E477" s="69" t="inlineStr">
        <is>
          <t>Dollar General Aroma Park</t>
        </is>
      </c>
      <c r="F477" s="69" t="inlineStr">
        <is>
          <t>LNUBS17C05-49.000</t>
        </is>
      </c>
      <c r="G477" s="70" t="n"/>
      <c r="H477" s="71" t="n">
        <v>945000</v>
      </c>
      <c r="I477" s="71" t="n">
        <v>945000</v>
      </c>
      <c r="J477" s="72" t="n">
        <v>5.04</v>
      </c>
      <c r="K477" s="69" t="inlineStr">
        <is>
          <t>Fixed rate</t>
        </is>
      </c>
      <c r="L477" s="68" t="n">
        <v>120</v>
      </c>
      <c r="M477" s="68" t="n">
        <v>14</v>
      </c>
      <c r="N477" s="68" t="n">
        <v>120</v>
      </c>
      <c r="O477" s="68" t="n">
        <v>120</v>
      </c>
      <c r="P477" s="68" t="n">
        <v>14</v>
      </c>
      <c r="Q477" s="68" t="n">
        <v>106</v>
      </c>
      <c r="R477" s="69" t="inlineStr">
        <is>
          <t>IO</t>
        </is>
      </c>
      <c r="S477" s="69" t="inlineStr">
        <is>
          <t>Yes</t>
        </is>
      </c>
      <c r="T477" s="73" t="n">
        <v>43040</v>
      </c>
      <c r="U477" s="73" t="n">
        <v>48524</v>
      </c>
      <c r="V477" s="73" t="n">
        <v>46697</v>
      </c>
      <c r="W477" s="69" t="n"/>
      <c r="X477" s="69" t="inlineStr">
        <is>
          <t>Current</t>
        </is>
      </c>
      <c r="Y477" s="68" t="n"/>
      <c r="Z477" s="69" t="inlineStr">
        <is>
          <t>No Defeasance Occurred</t>
        </is>
      </c>
      <c r="AA477" s="69" t="inlineStr">
        <is>
          <t>Previously</t>
        </is>
      </c>
      <c r="AB477" s="69" t="inlineStr">
        <is>
          <t>Never special serv</t>
        </is>
      </c>
      <c r="AC477" s="73" t="n"/>
      <c r="AD477" s="69" t="n"/>
      <c r="AE477" s="69" t="n"/>
      <c r="AF477" s="69" t="inlineStr">
        <is>
          <t>IL</t>
        </is>
      </c>
      <c r="AG477" s="69" t="inlineStr">
        <is>
          <t>Aroma Park</t>
        </is>
      </c>
      <c r="AH477" s="69" t="inlineStr">
        <is>
          <t>Kankakee, IL</t>
        </is>
      </c>
      <c r="AI477" s="69" t="inlineStr">
        <is>
          <t>Midwest / Central East</t>
        </is>
      </c>
      <c r="AJ477" s="69" t="inlineStr">
        <is>
          <t>RT</t>
        </is>
      </c>
      <c r="AK477" s="69" t="inlineStr">
        <is>
          <t>Single Tenant</t>
        </is>
      </c>
      <c r="AL477" s="68" t="n">
        <v>1</v>
      </c>
      <c r="AM477" s="68" t="n"/>
      <c r="AN477" s="68" t="n">
        <v>9002</v>
      </c>
      <c r="AO477" s="69" t="inlineStr">
        <is>
          <t>2017</t>
        </is>
      </c>
      <c r="AP477" s="70" t="n">
        <v>2017</v>
      </c>
      <c r="AQ477" s="74" t="n">
        <v>1.68</v>
      </c>
      <c r="AR477" s="74" t="n">
        <v>1.8</v>
      </c>
      <c r="AS477" s="74" t="n">
        <v>70</v>
      </c>
      <c r="AT477" s="74" t="n">
        <v>70</v>
      </c>
      <c r="AU477" s="74" t="n">
        <v>70</v>
      </c>
      <c r="AV477" s="74" t="n">
        <v>8.595159788</v>
      </c>
      <c r="AW477" s="74" t="n">
        <v>9.196673016</v>
      </c>
      <c r="AX477" s="75" t="n">
        <v>100</v>
      </c>
      <c r="AY477" s="71" t="n">
        <v>1350000</v>
      </c>
      <c r="AZ477" s="71" t="n">
        <v>1350000</v>
      </c>
      <c r="BA477" s="71" t="n">
        <v>81224.25999999999</v>
      </c>
      <c r="BB477" s="71" t="n">
        <v>86908.56</v>
      </c>
      <c r="BC477" s="69" t="inlineStr">
        <is>
          <t>Acquisition</t>
        </is>
      </c>
      <c r="BD477" s="69" t="inlineStr">
        <is>
          <t>N</t>
        </is>
      </c>
      <c r="BE477" s="71" t="n"/>
      <c r="BF477" s="71" t="n"/>
      <c r="BG477" s="71" t="n"/>
      <c r="BH477" s="71" t="n">
        <v>0</v>
      </c>
      <c r="BI477" s="71" t="n">
        <v>0</v>
      </c>
      <c r="BJ477" s="69" t="inlineStr">
        <is>
          <t>N</t>
        </is>
      </c>
      <c r="BK477" s="69" t="inlineStr">
        <is>
          <t>Dollar General</t>
        </is>
      </c>
      <c r="BL477" s="75" t="n">
        <v>100</v>
      </c>
      <c r="BM477" s="73" t="n">
        <v>49156</v>
      </c>
      <c r="BN477" s="69" t="inlineStr">
        <is>
          <t>Ladder Capital CRE Equity LLC</t>
        </is>
      </c>
      <c r="BO477" s="69" t="inlineStr">
        <is>
          <t>Ladder Capital Finance</t>
        </is>
      </c>
      <c r="BP477" s="69" t="inlineStr">
        <is>
          <t>Midland Loan Services</t>
        </is>
      </c>
      <c r="BQ477" s="69" t="inlineStr">
        <is>
          <t>K-Star Asset Management LLC</t>
        </is>
      </c>
      <c r="BR477" s="69" t="n"/>
      <c r="BS477" s="73" t="n">
        <v>46276</v>
      </c>
      <c r="BU477" s="76">
        <f>IF($C477="","",IFERROR(INDEX(dmName,MATCH($C477,dmID,0)),"Unmapped"))</f>
        <v/>
      </c>
      <c r="BV477" s="76">
        <f>IF($C477="","",IFERROR(INDEX(dmEntity,MATCH($C477,dmID,0)),"Unmapped"))</f>
        <v/>
      </c>
      <c r="BW477" s="77">
        <f>IF($C477="","",IFERROR(INDEX(dmVintage,MATCH($C477,dmID,0)),""))</f>
        <v/>
      </c>
      <c r="BX477" s="78">
        <f>IFERROR(INDEX(dmInclude,MATCH($C477,dmID,0)),0)</f>
        <v/>
      </c>
      <c r="BY477" s="78">
        <f>IF(N($I477)&gt;0,1,0)</f>
        <v/>
      </c>
      <c r="BZ477" s="76">
        <f>IF($AJ477="","Other / Leased Fee",IFERROR(INDEX(mapPTGroup,MATCH(LEFT(TRIM($AJ477),2),mapPTCode,0)),"Other / Leased Fee"))</f>
        <v/>
      </c>
      <c r="CA477" s="76">
        <f>IF(TRIM($AF477&amp;"")="","NR",LEFT(TRIM($AF477),2))</f>
        <v/>
      </c>
      <c r="CB477" s="76">
        <f>IFERROR(LOOKUP(2,1/(LEFT(TRIM($AI477&amp;""),LEN(mapRegion))=mapRegion),mapRegion),"Not Reported")</f>
        <v/>
      </c>
      <c r="CC477" s="76">
        <f>IF($BY477=0,"",IF(TRIM($W477&amp;"")="REO","REO",IF(TRIM($W477&amp;"")="FC","Foreclosure",IF(TRIM($W477&amp;"")="90+","90+ Days Delinquent",IF(TRIM($W477&amp;"")="60","60 Days Delinquent",IF(TRIM($W477&amp;"")="30","30 Days Delinquent",IF($X477="Non-Performing Matured Balloon","Non-Performing Matured Balloon",IF(OR($X477="Late Payment But Less Than 30 Days Delinquent",LEFT($X477&amp;"",20)="Payment Not Received"),"Late / In Grace (&lt;30 Days)",IF($X477="Performing Matured Balloon","Performing Matured Balloon","Current")))))))))</f>
        <v/>
      </c>
      <c r="CD477" s="78">
        <f>IF(OR($CC477="REO",$CC477="Foreclosure",$CC477="90+ Days Delinquent",$CC477="60 Days Delinquent",$CC477="30 Days Delinquent",$CC477="Non-Performing Matured Balloon"),1,0)</f>
        <v/>
      </c>
      <c r="CE477" s="76">
        <f>IF($AB477="Currently special serv","Currently Specially Serviced",IF($AB477="Returned to master serv","Previously Specially Serviced","Never Specially Serviced"))</f>
        <v/>
      </c>
      <c r="CF477" s="78">
        <f>IF($CE477="Currently Specially Serviced",1,0)</f>
        <v/>
      </c>
      <c r="CG477" s="76">
        <f>IF($AA477="Yes","Currently on Watchlist",IF($AA477="Previously","Previously on Watchlist","Never on Watchlist"))</f>
        <v/>
      </c>
      <c r="CH477" s="78">
        <f>IF($CG477="Currently on Watchlist",1,0)</f>
        <v/>
      </c>
      <c r="CI477" s="76">
        <f>IF($Z477="Full Defeasance","Fully Defeased",IF($Z477="Portion Of Loan Previously Defeased","Partially Defeased",IF($Z477="Defeasance Not Allowable","Not Defeased (Not Permitted)","Not Defeased")))</f>
        <v/>
      </c>
      <c r="CJ477" s="78">
        <f>IF($CI477="Fully Defeased",1,0)</f>
        <v/>
      </c>
      <c r="CK477" s="76">
        <f>IF($R477="IO","Full IO",IF(LEFT($R477&amp;"",7)="IO then","Partial IO","Amortizing"))</f>
        <v/>
      </c>
      <c r="CL477" s="78">
        <f>IF($CK477="Full IO",1,0)</f>
        <v/>
      </c>
      <c r="CM477" s="78">
        <f>IF($CK477="Partial IO",1,0)</f>
        <v/>
      </c>
      <c r="CN477" s="76">
        <f>IF(LEFT($F477&amp;"",10)="SPLIT_LOAN","Pari Passu Split","Standalone")</f>
        <v/>
      </c>
      <c r="CO477" s="78">
        <f>IF($CN477="Pari Passu Split",1,0)</f>
        <v/>
      </c>
      <c r="CP477" s="77">
        <f>IF(ISNUMBER($T477),YEAR($T477),"")</f>
        <v/>
      </c>
      <c r="CQ477" s="79">
        <f>IF(ISNUMBER($V477),$V477,IF(ISNUMBER($U477),$U477,""))</f>
        <v/>
      </c>
      <c r="CR477" s="77">
        <f>IF(ISNUMBER($CQ477),YEAR($CQ477),"")</f>
        <v/>
      </c>
      <c r="CS477" s="78">
        <f>IF(ISNUMBER($M477),MAX(0,$M477),IF(TRIM($M477&amp;"")="matured",0,""))</f>
        <v/>
      </c>
      <c r="CT477" s="78">
        <f>IF(AND(ISNUMBER($CS477),N($CS477)&lt;=mMatWindow),1,0)</f>
        <v/>
      </c>
      <c r="CU477" s="80">
        <f>IF(ISNUMBER($J477),$J477/100,"")</f>
        <v/>
      </c>
      <c r="CV477" s="81">
        <f>IF(ISNUMBER($AQ477),$AQ477,"")</f>
        <v/>
      </c>
      <c r="CW477" s="81">
        <f>IF(ISNUMBER($AR477),$AR477,"")</f>
        <v/>
      </c>
      <c r="CX477" s="82">
        <f>IF(ISNUMBER($AS477),$AS477/100,"")</f>
        <v/>
      </c>
      <c r="CY477" s="82">
        <f>IF(ISNUMBER($AT477),$AT477/100,"")</f>
        <v/>
      </c>
      <c r="CZ477" s="82">
        <f>IF(ISNUMBER($AU477),$AU477/100,"")</f>
        <v/>
      </c>
      <c r="DA477" s="82">
        <f>IF(ISNUMBER($AV477),$AV477/100,"")</f>
        <v/>
      </c>
      <c r="DB477" s="82">
        <f>IF(ISNUMBER($AW477),$AW477/100,"")</f>
        <v/>
      </c>
      <c r="DC477" s="82">
        <f>IF(ISNUMBER($AX477),$AX477/100,"")</f>
        <v/>
      </c>
      <c r="DD477" s="77">
        <f>IFERROR(VALUE(LEFT(TRIM($AO477&amp;""),4)),"")</f>
        <v/>
      </c>
      <c r="DE477" s="78">
        <f>IF(AND($BY477=1,$BX477=1,OR(fDeal="All Deals",$BU477=fDeal),OR(fEntity="All Entities",$BV477=fEntity),OR(fPType="All Property Types",$BZ477=fPType),OR(fDefeased="Include",$CJ477=0)),1,0)</f>
        <v/>
      </c>
      <c r="DF477" s="83">
        <f>$DE477*N($I477)</f>
        <v/>
      </c>
      <c r="DG477" s="78">
        <f>IF($DE477=1,IF(COUNTIFS($F$8:$F477,$F477,$DE$8:$DE477,1)=1,1,0),0)</f>
        <v/>
      </c>
      <c r="DH477" s="83">
        <f>IF($DG477=1,SUMIFS($DF$8:$DF$1600,$F$8:$F$1600,$F477),0)</f>
        <v/>
      </c>
      <c r="DI477" s="78">
        <f>IF($DG477=1,COUNTIFS($F$8:$F$1600,$F477,$DE$8:$DE$1600,1),0)</f>
        <v/>
      </c>
      <c r="DJ477" s="84">
        <f>IF($DG477=1,$DH477+(100000-ROW())/mTieBreak,0)</f>
        <v/>
      </c>
    </row>
    <row r="478">
      <c r="B478" s="68" t="n">
        <v>1</v>
      </c>
      <c r="C478" s="69" t="inlineStr">
        <is>
          <t>MSC19H6</t>
        </is>
      </c>
      <c r="D478" s="69" t="inlineStr">
        <is>
          <t>1.000</t>
        </is>
      </c>
      <c r="E478" s="69" t="inlineStr">
        <is>
          <t>9201 West Sunset Boulevard</t>
        </is>
      </c>
      <c r="F478" s="69" t="inlineStr">
        <is>
          <t>SPLIT_LOAN_01545</t>
        </is>
      </c>
      <c r="G478" s="70" t="n">
        <v>1545</v>
      </c>
      <c r="H478" s="71" t="n">
        <v>65000000</v>
      </c>
      <c r="I478" s="71" t="n">
        <v>65000000</v>
      </c>
      <c r="J478" s="72" t="n">
        <v>4.445</v>
      </c>
      <c r="K478" s="69" t="inlineStr">
        <is>
          <t>Fixed rate</t>
        </is>
      </c>
      <c r="L478" s="68" t="n">
        <v>120</v>
      </c>
      <c r="M478" s="68" t="n">
        <v>32</v>
      </c>
      <c r="N478" s="68" t="n">
        <v>120</v>
      </c>
      <c r="O478" s="68" t="n">
        <v>120</v>
      </c>
      <c r="P478" s="68" t="n">
        <v>32</v>
      </c>
      <c r="Q478" s="68" t="n">
        <v>88</v>
      </c>
      <c r="R478" s="69" t="inlineStr">
        <is>
          <t>IO</t>
        </is>
      </c>
      <c r="S478" s="69" t="inlineStr">
        <is>
          <t>Yes</t>
        </is>
      </c>
      <c r="T478" s="73" t="n">
        <v>43586</v>
      </c>
      <c r="U478" s="73" t="n">
        <v>47239</v>
      </c>
      <c r="V478" s="73" t="n"/>
      <c r="W478" s="69" t="n"/>
      <c r="X478" s="69" t="inlineStr">
        <is>
          <t>Current</t>
        </is>
      </c>
      <c r="Y478" s="68" t="n"/>
      <c r="Z478" s="69" t="inlineStr">
        <is>
          <t>No Defeasance Occurred</t>
        </is>
      </c>
      <c r="AA478" s="69" t="n"/>
      <c r="AB478" s="69" t="inlineStr">
        <is>
          <t>Never special serv</t>
        </is>
      </c>
      <c r="AC478" s="73" t="n"/>
      <c r="AD478" s="69" t="n"/>
      <c r="AE478" s="69" t="n"/>
      <c r="AF478" s="69" t="inlineStr">
        <is>
          <t>CA</t>
        </is>
      </c>
      <c r="AG478" s="69" t="inlineStr">
        <is>
          <t>West Hollywood</t>
        </is>
      </c>
      <c r="AH478" s="69" t="inlineStr">
        <is>
          <t>Los Angeles-Long Beach-Anaheim, CA</t>
        </is>
      </c>
      <c r="AI478" s="69" t="inlineStr">
        <is>
          <t>West / Pacific South</t>
        </is>
      </c>
      <c r="AJ478" s="69" t="inlineStr">
        <is>
          <t>OF</t>
        </is>
      </c>
      <c r="AK478" s="69" t="inlineStr">
        <is>
          <t>Medical</t>
        </is>
      </c>
      <c r="AL478" s="68" t="n">
        <v>1</v>
      </c>
      <c r="AM478" s="68" t="n"/>
      <c r="AN478" s="68" t="n">
        <v>166599</v>
      </c>
      <c r="AO478" s="69" t="inlineStr">
        <is>
          <t>1963</t>
        </is>
      </c>
      <c r="AP478" s="70" t="n">
        <v>2012</v>
      </c>
      <c r="AQ478" s="74" t="n">
        <v>1.87</v>
      </c>
      <c r="AR478" s="74" t="n">
        <v>1.89</v>
      </c>
      <c r="AS478" s="74" t="n">
        <v>64.59999999999999</v>
      </c>
      <c r="AT478" s="74" t="n">
        <v>64.59</v>
      </c>
      <c r="AU478" s="74" t="n">
        <v>64.59999999999999</v>
      </c>
      <c r="AV478" s="74" t="n">
        <v>8.431741763</v>
      </c>
      <c r="AW478" s="74" t="n">
        <v>8.659802467</v>
      </c>
      <c r="AX478" s="75" t="n">
        <v>92</v>
      </c>
      <c r="AY478" s="71" t="n">
        <v>209000000</v>
      </c>
      <c r="AZ478" s="71" t="n">
        <v>209000000</v>
      </c>
      <c r="BA478" s="71" t="n">
        <v>11382851.38</v>
      </c>
      <c r="BB478" s="71" t="n">
        <v>11504252.61</v>
      </c>
      <c r="BC478" s="69" t="inlineStr">
        <is>
          <t>Refinance</t>
        </is>
      </c>
      <c r="BD478" s="69" t="inlineStr">
        <is>
          <t>N</t>
        </is>
      </c>
      <c r="BE478" s="71" t="n">
        <v>70000000</v>
      </c>
      <c r="BF478" s="71" t="n"/>
      <c r="BG478" s="71" t="n"/>
      <c r="BH478" s="71" t="n">
        <v>0</v>
      </c>
      <c r="BI478" s="71" t="n">
        <v>0</v>
      </c>
      <c r="BJ478" s="69" t="inlineStr">
        <is>
          <t>N</t>
        </is>
      </c>
      <c r="BK478" s="69" t="inlineStr">
        <is>
          <t>WEHO Hospitality LLC</t>
        </is>
      </c>
      <c r="BL478" s="75" t="n">
        <v>7.78</v>
      </c>
      <c r="BM478" s="73" t="n">
        <v>50040</v>
      </c>
      <c r="BN478" s="69" t="inlineStr">
        <is>
          <t>Mani Brothers Real Estate Group</t>
        </is>
      </c>
      <c r="BO478" s="69" t="inlineStr">
        <is>
          <t>Morgan Stanley</t>
        </is>
      </c>
      <c r="BP478" s="69" t="inlineStr">
        <is>
          <t>Midland Loan Services</t>
        </is>
      </c>
      <c r="BQ478" s="69" t="inlineStr">
        <is>
          <t>Rialto Capital</t>
        </is>
      </c>
      <c r="BR478" s="69" t="n"/>
      <c r="BS478" s="73" t="n">
        <v>46276</v>
      </c>
      <c r="BU478" s="76">
        <f>IF($C478="","",IFERROR(INDEX(dmName,MATCH($C478,dmID,0)),"Unmapped"))</f>
        <v/>
      </c>
      <c r="BV478" s="76">
        <f>IF($C478="","",IFERROR(INDEX(dmEntity,MATCH($C478,dmID,0)),"Unmapped"))</f>
        <v/>
      </c>
      <c r="BW478" s="77">
        <f>IF($C478="","",IFERROR(INDEX(dmVintage,MATCH($C478,dmID,0)),""))</f>
        <v/>
      </c>
      <c r="BX478" s="78">
        <f>IFERROR(INDEX(dmInclude,MATCH($C478,dmID,0)),0)</f>
        <v/>
      </c>
      <c r="BY478" s="78">
        <f>IF(N($I478)&gt;0,1,0)</f>
        <v/>
      </c>
      <c r="BZ478" s="76">
        <f>IF($AJ478="","Other / Leased Fee",IFERROR(INDEX(mapPTGroup,MATCH(LEFT(TRIM($AJ478),2),mapPTCode,0)),"Other / Leased Fee"))</f>
        <v/>
      </c>
      <c r="CA478" s="76">
        <f>IF(TRIM($AF478&amp;"")="","NR",LEFT(TRIM($AF478),2))</f>
        <v/>
      </c>
      <c r="CB478" s="76">
        <f>IFERROR(LOOKUP(2,1/(LEFT(TRIM($AI478&amp;""),LEN(mapRegion))=mapRegion),mapRegion),"Not Reported")</f>
        <v/>
      </c>
      <c r="CC478" s="76">
        <f>IF($BY478=0,"",IF(TRIM($W478&amp;"")="REO","REO",IF(TRIM($W478&amp;"")="FC","Foreclosure",IF(TRIM($W478&amp;"")="90+","90+ Days Delinquent",IF(TRIM($W478&amp;"")="60","60 Days Delinquent",IF(TRIM($W478&amp;"")="30","30 Days Delinquent",IF($X478="Non-Performing Matured Balloon","Non-Performing Matured Balloon",IF(OR($X478="Late Payment But Less Than 30 Days Delinquent",LEFT($X478&amp;"",20)="Payment Not Received"),"Late / In Grace (&lt;30 Days)",IF($X478="Performing Matured Balloon","Performing Matured Balloon","Current")))))))))</f>
        <v/>
      </c>
      <c r="CD478" s="78">
        <f>IF(OR($CC478="REO",$CC478="Foreclosure",$CC478="90+ Days Delinquent",$CC478="60 Days Delinquent",$CC478="30 Days Delinquent",$CC478="Non-Performing Matured Balloon"),1,0)</f>
        <v/>
      </c>
      <c r="CE478" s="76">
        <f>IF($AB478="Currently special serv","Currently Specially Serviced",IF($AB478="Returned to master serv","Previously Specially Serviced","Never Specially Serviced"))</f>
        <v/>
      </c>
      <c r="CF478" s="78">
        <f>IF($CE478="Currently Specially Serviced",1,0)</f>
        <v/>
      </c>
      <c r="CG478" s="76">
        <f>IF($AA478="Yes","Currently on Watchlist",IF($AA478="Previously","Previously on Watchlist","Never on Watchlist"))</f>
        <v/>
      </c>
      <c r="CH478" s="78">
        <f>IF($CG478="Currently on Watchlist",1,0)</f>
        <v/>
      </c>
      <c r="CI478" s="76">
        <f>IF($Z478="Full Defeasance","Fully Defeased",IF($Z478="Portion Of Loan Previously Defeased","Partially Defeased",IF($Z478="Defeasance Not Allowable","Not Defeased (Not Permitted)","Not Defeased")))</f>
        <v/>
      </c>
      <c r="CJ478" s="78">
        <f>IF($CI478="Fully Defeased",1,0)</f>
        <v/>
      </c>
      <c r="CK478" s="76">
        <f>IF($R478="IO","Full IO",IF(LEFT($R478&amp;"",7)="IO then","Partial IO","Amortizing"))</f>
        <v/>
      </c>
      <c r="CL478" s="78">
        <f>IF($CK478="Full IO",1,0)</f>
        <v/>
      </c>
      <c r="CM478" s="78">
        <f>IF($CK478="Partial IO",1,0)</f>
        <v/>
      </c>
      <c r="CN478" s="76">
        <f>IF(LEFT($F478&amp;"",10)="SPLIT_LOAN","Pari Passu Split","Standalone")</f>
        <v/>
      </c>
      <c r="CO478" s="78">
        <f>IF($CN478="Pari Passu Split",1,0)</f>
        <v/>
      </c>
      <c r="CP478" s="77">
        <f>IF(ISNUMBER($T478),YEAR($T478),"")</f>
        <v/>
      </c>
      <c r="CQ478" s="79">
        <f>IF(ISNUMBER($V478),$V478,IF(ISNUMBER($U478),$U478,""))</f>
        <v/>
      </c>
      <c r="CR478" s="77">
        <f>IF(ISNUMBER($CQ478),YEAR($CQ478),"")</f>
        <v/>
      </c>
      <c r="CS478" s="78">
        <f>IF(ISNUMBER($M478),MAX(0,$M478),IF(TRIM($M478&amp;"")="matured",0,""))</f>
        <v/>
      </c>
      <c r="CT478" s="78">
        <f>IF(AND(ISNUMBER($CS478),N($CS478)&lt;=mMatWindow),1,0)</f>
        <v/>
      </c>
      <c r="CU478" s="80">
        <f>IF(ISNUMBER($J478),$J478/100,"")</f>
        <v/>
      </c>
      <c r="CV478" s="81">
        <f>IF(ISNUMBER($AQ478),$AQ478,"")</f>
        <v/>
      </c>
      <c r="CW478" s="81">
        <f>IF(ISNUMBER($AR478),$AR478,"")</f>
        <v/>
      </c>
      <c r="CX478" s="82">
        <f>IF(ISNUMBER($AS478),$AS478/100,"")</f>
        <v/>
      </c>
      <c r="CY478" s="82">
        <f>IF(ISNUMBER($AT478),$AT478/100,"")</f>
        <v/>
      </c>
      <c r="CZ478" s="82">
        <f>IF(ISNUMBER($AU478),$AU478/100,"")</f>
        <v/>
      </c>
      <c r="DA478" s="82">
        <f>IF(ISNUMBER($AV478),$AV478/100,"")</f>
        <v/>
      </c>
      <c r="DB478" s="82">
        <f>IF(ISNUMBER($AW478),$AW478/100,"")</f>
        <v/>
      </c>
      <c r="DC478" s="82">
        <f>IF(ISNUMBER($AX478),$AX478/100,"")</f>
        <v/>
      </c>
      <c r="DD478" s="77">
        <f>IFERROR(VALUE(LEFT(TRIM($AO478&amp;""),4)),"")</f>
        <v/>
      </c>
      <c r="DE478" s="78">
        <f>IF(AND($BY478=1,$BX478=1,OR(fDeal="All Deals",$BU478=fDeal),OR(fEntity="All Entities",$BV478=fEntity),OR(fPType="All Property Types",$BZ478=fPType),OR(fDefeased="Include",$CJ478=0)),1,0)</f>
        <v/>
      </c>
      <c r="DF478" s="83">
        <f>$DE478*N($I478)</f>
        <v/>
      </c>
      <c r="DG478" s="78">
        <f>IF($DE478=1,IF(COUNTIFS($F$8:$F478,$F478,$DE$8:$DE478,1)=1,1,0),0)</f>
        <v/>
      </c>
      <c r="DH478" s="83">
        <f>IF($DG478=1,SUMIFS($DF$8:$DF$1600,$F$8:$F$1600,$F478),0)</f>
        <v/>
      </c>
      <c r="DI478" s="78">
        <f>IF($DG478=1,COUNTIFS($F$8:$F$1600,$F478,$DE$8:$DE$1600,1),0)</f>
        <v/>
      </c>
      <c r="DJ478" s="84">
        <f>IF($DG478=1,$DH478+(100000-ROW())/mTieBreak,0)</f>
        <v/>
      </c>
    </row>
    <row r="479">
      <c r="B479" s="68" t="n">
        <v>2</v>
      </c>
      <c r="C479" s="69" t="inlineStr">
        <is>
          <t>MSC19H6</t>
        </is>
      </c>
      <c r="D479" s="69" t="inlineStr">
        <is>
          <t>2.000</t>
        </is>
      </c>
      <c r="E479" s="69" t="inlineStr">
        <is>
          <t>SoCal Retail Portfolio</t>
        </is>
      </c>
      <c r="F479" s="69" t="inlineStr">
        <is>
          <t>SPLIT_LOAN_01553</t>
        </is>
      </c>
      <c r="G479" s="70" t="n">
        <v>1553</v>
      </c>
      <c r="H479" s="71" t="n">
        <v>64785000</v>
      </c>
      <c r="I479" s="71" t="n">
        <v>61984361.21000908</v>
      </c>
      <c r="J479" s="72" t="n">
        <v>4.059</v>
      </c>
      <c r="K479" s="69" t="inlineStr">
        <is>
          <t>Fixed rate</t>
        </is>
      </c>
      <c r="L479" s="68" t="n">
        <v>120</v>
      </c>
      <c r="M479" s="68" t="n">
        <v>32</v>
      </c>
      <c r="N479" s="68" t="n">
        <v>120</v>
      </c>
      <c r="O479" s="68" t="n">
        <v>120</v>
      </c>
      <c r="P479" s="68" t="n">
        <v>32</v>
      </c>
      <c r="Q479" s="68" t="n">
        <v>88</v>
      </c>
      <c r="R479" s="69" t="inlineStr">
        <is>
          <t>IO</t>
        </is>
      </c>
      <c r="S479" s="69" t="inlineStr">
        <is>
          <t>Yes</t>
        </is>
      </c>
      <c r="T479" s="73" t="n">
        <v>43586</v>
      </c>
      <c r="U479" s="73" t="n">
        <v>47244</v>
      </c>
      <c r="V479" s="73" t="n"/>
      <c r="W479" s="69" t="n"/>
      <c r="X479" s="69" t="inlineStr">
        <is>
          <t>Current</t>
        </is>
      </c>
      <c r="Y479" s="68" t="n"/>
      <c r="Z479" s="69" t="inlineStr">
        <is>
          <t>Defeasance Not Allowable</t>
        </is>
      </c>
      <c r="AA479" s="69" t="inlineStr">
        <is>
          <t>Previously</t>
        </is>
      </c>
      <c r="AB479" s="69" t="inlineStr">
        <is>
          <t>Never special serv</t>
        </is>
      </c>
      <c r="AC479" s="73" t="n"/>
      <c r="AD479" s="69" t="n"/>
      <c r="AE479" s="69" t="n"/>
      <c r="AF479" s="69" t="inlineStr">
        <is>
          <t>CA</t>
        </is>
      </c>
      <c r="AG479" s="69" t="n"/>
      <c r="AH479" s="69" t="inlineStr">
        <is>
          <t>Los Angeles-Long Beach-Anaheim, CA-59.841728439% Riverside-San Bernardino-Ontario, CA-34.091194565% San Diego-Chula Vista-Carlsbad, CA-3.893983164% Oxnard-Thousand Oaks-Ventura, CA-2.173093832%</t>
        </is>
      </c>
      <c r="AI479" s="69" t="inlineStr">
        <is>
          <t>West / Pacific South</t>
        </is>
      </c>
      <c r="AJ479" s="69" t="inlineStr">
        <is>
          <t>RT</t>
        </is>
      </c>
      <c r="AK479" s="69" t="n"/>
      <c r="AL479" s="68" t="n">
        <v>14</v>
      </c>
      <c r="AM479" s="68" t="n"/>
      <c r="AN479" s="68" t="n">
        <v>1481231</v>
      </c>
      <c r="AO479" s="69" t="n"/>
      <c r="AP479" s="70" t="n">
        <v>2015</v>
      </c>
      <c r="AQ479" s="74" t="n">
        <v>2.28</v>
      </c>
      <c r="AR479" s="74" t="n">
        <v>2.53</v>
      </c>
      <c r="AS479" s="74" t="n">
        <v>52</v>
      </c>
      <c r="AT479" s="74" t="n">
        <v>49.73</v>
      </c>
      <c r="AU479" s="74" t="n">
        <v>51.97</v>
      </c>
      <c r="AV479" s="74" t="n">
        <v>9.40135624</v>
      </c>
      <c r="AW479" s="74" t="n">
        <v>9.782994346000001</v>
      </c>
      <c r="AX479" s="75" t="n">
        <v>97</v>
      </c>
      <c r="AY479" s="71" t="n">
        <v>413250000</v>
      </c>
      <c r="AZ479" s="71" t="n">
        <v>413250000</v>
      </c>
      <c r="BA479" s="71" t="n">
        <v>20192703</v>
      </c>
      <c r="BB479" s="71" t="n">
        <v>21377851.48</v>
      </c>
      <c r="BC479" s="69" t="inlineStr">
        <is>
          <t>Refinance</t>
        </is>
      </c>
      <c r="BD479" s="69" t="inlineStr">
        <is>
          <t>N</t>
        </is>
      </c>
      <c r="BE479" s="71" t="n">
        <v>143515538.81</v>
      </c>
      <c r="BF479" s="71" t="n"/>
      <c r="BG479" s="71" t="n"/>
      <c r="BH479" s="71" t="n">
        <v>0</v>
      </c>
      <c r="BI479" s="71" t="n">
        <v>0</v>
      </c>
      <c r="BJ479" s="69" t="inlineStr">
        <is>
          <t>N</t>
        </is>
      </c>
      <c r="BK479" s="69" t="inlineStr">
        <is>
          <t>The Home Depot GROUND LEASE</t>
        </is>
      </c>
      <c r="BL479" s="75" t="n">
        <v>10.33</v>
      </c>
      <c r="BM479" s="73" t="n">
        <v>48975</v>
      </c>
      <c r="BN479" s="69" t="inlineStr">
        <is>
          <t>Mark Gabay</t>
        </is>
      </c>
      <c r="BO479" s="69" t="inlineStr">
        <is>
          <t>Argentic Real Estate Finance</t>
        </is>
      </c>
      <c r="BP479" s="69" t="inlineStr">
        <is>
          <t>Midland Loan Services</t>
        </is>
      </c>
      <c r="BQ479" s="69" t="inlineStr">
        <is>
          <t>Argentic Services Company LP</t>
        </is>
      </c>
      <c r="BR479" s="69" t="inlineStr">
        <is>
          <t>Curtailment With Penalty</t>
        </is>
      </c>
      <c r="BS479" s="73" t="n">
        <v>46276</v>
      </c>
      <c r="BU479" s="76">
        <f>IF($C479="","",IFERROR(INDEX(dmName,MATCH($C479,dmID,0)),"Unmapped"))</f>
        <v/>
      </c>
      <c r="BV479" s="76">
        <f>IF($C479="","",IFERROR(INDEX(dmEntity,MATCH($C479,dmID,0)),"Unmapped"))</f>
        <v/>
      </c>
      <c r="BW479" s="77">
        <f>IF($C479="","",IFERROR(INDEX(dmVintage,MATCH($C479,dmID,0)),""))</f>
        <v/>
      </c>
      <c r="BX479" s="78">
        <f>IFERROR(INDEX(dmInclude,MATCH($C479,dmID,0)),0)</f>
        <v/>
      </c>
      <c r="BY479" s="78">
        <f>IF(N($I479)&gt;0,1,0)</f>
        <v/>
      </c>
      <c r="BZ479" s="76">
        <f>IF($AJ479="","Other / Leased Fee",IFERROR(INDEX(mapPTGroup,MATCH(LEFT(TRIM($AJ479),2),mapPTCode,0)),"Other / Leased Fee"))</f>
        <v/>
      </c>
      <c r="CA479" s="76">
        <f>IF(TRIM($AF479&amp;"")="","NR",LEFT(TRIM($AF479),2))</f>
        <v/>
      </c>
      <c r="CB479" s="76">
        <f>IFERROR(LOOKUP(2,1/(LEFT(TRIM($AI479&amp;""),LEN(mapRegion))=mapRegion),mapRegion),"Not Reported")</f>
        <v/>
      </c>
      <c r="CC479" s="76">
        <f>IF($BY479=0,"",IF(TRIM($W479&amp;"")="REO","REO",IF(TRIM($W479&amp;"")="FC","Foreclosure",IF(TRIM($W479&amp;"")="90+","90+ Days Delinquent",IF(TRIM($W479&amp;"")="60","60 Days Delinquent",IF(TRIM($W479&amp;"")="30","30 Days Delinquent",IF($X479="Non-Performing Matured Balloon","Non-Performing Matured Balloon",IF(OR($X479="Late Payment But Less Than 30 Days Delinquent",LEFT($X479&amp;"",20)="Payment Not Received"),"Late / In Grace (&lt;30 Days)",IF($X479="Performing Matured Balloon","Performing Matured Balloon","Current")))))))))</f>
        <v/>
      </c>
      <c r="CD479" s="78">
        <f>IF(OR($CC479="REO",$CC479="Foreclosure",$CC479="90+ Days Delinquent",$CC479="60 Days Delinquent",$CC479="30 Days Delinquent",$CC479="Non-Performing Matured Balloon"),1,0)</f>
        <v/>
      </c>
      <c r="CE479" s="76">
        <f>IF($AB479="Currently special serv","Currently Specially Serviced",IF($AB479="Returned to master serv","Previously Specially Serviced","Never Specially Serviced"))</f>
        <v/>
      </c>
      <c r="CF479" s="78">
        <f>IF($CE479="Currently Specially Serviced",1,0)</f>
        <v/>
      </c>
      <c r="CG479" s="76">
        <f>IF($AA479="Yes","Currently on Watchlist",IF($AA479="Previously","Previously on Watchlist","Never on Watchlist"))</f>
        <v/>
      </c>
      <c r="CH479" s="78">
        <f>IF($CG479="Currently on Watchlist",1,0)</f>
        <v/>
      </c>
      <c r="CI479" s="76">
        <f>IF($Z479="Full Defeasance","Fully Defeased",IF($Z479="Portion Of Loan Previously Defeased","Partially Defeased",IF($Z479="Defeasance Not Allowable","Not Defeased (Not Permitted)","Not Defeased")))</f>
        <v/>
      </c>
      <c r="CJ479" s="78">
        <f>IF($CI479="Fully Defeased",1,0)</f>
        <v/>
      </c>
      <c r="CK479" s="76">
        <f>IF($R479="IO","Full IO",IF(LEFT($R479&amp;"",7)="IO then","Partial IO","Amortizing"))</f>
        <v/>
      </c>
      <c r="CL479" s="78">
        <f>IF($CK479="Full IO",1,0)</f>
        <v/>
      </c>
      <c r="CM479" s="78">
        <f>IF($CK479="Partial IO",1,0)</f>
        <v/>
      </c>
      <c r="CN479" s="76">
        <f>IF(LEFT($F479&amp;"",10)="SPLIT_LOAN","Pari Passu Split","Standalone")</f>
        <v/>
      </c>
      <c r="CO479" s="78">
        <f>IF($CN479="Pari Passu Split",1,0)</f>
        <v/>
      </c>
      <c r="CP479" s="77">
        <f>IF(ISNUMBER($T479),YEAR($T479),"")</f>
        <v/>
      </c>
      <c r="CQ479" s="79">
        <f>IF(ISNUMBER($V479),$V479,IF(ISNUMBER($U479),$U479,""))</f>
        <v/>
      </c>
      <c r="CR479" s="77">
        <f>IF(ISNUMBER($CQ479),YEAR($CQ479),"")</f>
        <v/>
      </c>
      <c r="CS479" s="78">
        <f>IF(ISNUMBER($M479),MAX(0,$M479),IF(TRIM($M479&amp;"")="matured",0,""))</f>
        <v/>
      </c>
      <c r="CT479" s="78">
        <f>IF(AND(ISNUMBER($CS479),N($CS479)&lt;=mMatWindow),1,0)</f>
        <v/>
      </c>
      <c r="CU479" s="80">
        <f>IF(ISNUMBER($J479),$J479/100,"")</f>
        <v/>
      </c>
      <c r="CV479" s="81">
        <f>IF(ISNUMBER($AQ479),$AQ479,"")</f>
        <v/>
      </c>
      <c r="CW479" s="81">
        <f>IF(ISNUMBER($AR479),$AR479,"")</f>
        <v/>
      </c>
      <c r="CX479" s="82">
        <f>IF(ISNUMBER($AS479),$AS479/100,"")</f>
        <v/>
      </c>
      <c r="CY479" s="82">
        <f>IF(ISNUMBER($AT479),$AT479/100,"")</f>
        <v/>
      </c>
      <c r="CZ479" s="82">
        <f>IF(ISNUMBER($AU479),$AU479/100,"")</f>
        <v/>
      </c>
      <c r="DA479" s="82">
        <f>IF(ISNUMBER($AV479),$AV479/100,"")</f>
        <v/>
      </c>
      <c r="DB479" s="82">
        <f>IF(ISNUMBER($AW479),$AW479/100,"")</f>
        <v/>
      </c>
      <c r="DC479" s="82">
        <f>IF(ISNUMBER($AX479),$AX479/100,"")</f>
        <v/>
      </c>
      <c r="DD479" s="77">
        <f>IFERROR(VALUE(LEFT(TRIM($AO479&amp;""),4)),"")</f>
        <v/>
      </c>
      <c r="DE479" s="78">
        <f>IF(AND($BY479=1,$BX479=1,OR(fDeal="All Deals",$BU479=fDeal),OR(fEntity="All Entities",$BV479=fEntity),OR(fPType="All Property Types",$BZ479=fPType),OR(fDefeased="Include",$CJ479=0)),1,0)</f>
        <v/>
      </c>
      <c r="DF479" s="83">
        <f>$DE479*N($I479)</f>
        <v/>
      </c>
      <c r="DG479" s="78">
        <f>IF($DE479=1,IF(COUNTIFS($F$8:$F479,$F479,$DE$8:$DE479,1)=1,1,0),0)</f>
        <v/>
      </c>
      <c r="DH479" s="83">
        <f>IF($DG479=1,SUMIFS($DF$8:$DF$1600,$F$8:$F$1600,$F479),0)</f>
        <v/>
      </c>
      <c r="DI479" s="78">
        <f>IF($DG479=1,COUNTIFS($F$8:$F$1600,$F479,$DE$8:$DE$1600,1),0)</f>
        <v/>
      </c>
      <c r="DJ479" s="84">
        <f>IF($DG479=1,$DH479+(100000-ROW())/mTieBreak,0)</f>
        <v/>
      </c>
    </row>
    <row r="480">
      <c r="B480" s="68" t="n">
        <v>3</v>
      </c>
      <c r="C480" s="69" t="inlineStr">
        <is>
          <t>MSC19H6</t>
        </is>
      </c>
      <c r="D480" s="69" t="inlineStr">
        <is>
          <t>3.000</t>
        </is>
      </c>
      <c r="E480" s="69" t="inlineStr">
        <is>
          <t>Marriott San Diego Mission Valley</t>
        </is>
      </c>
      <c r="F480" s="69" t="inlineStr">
        <is>
          <t>LNMSC19H6-3.000</t>
        </is>
      </c>
      <c r="G480" s="70" t="n"/>
      <c r="H480" s="71" t="n">
        <v>64180000</v>
      </c>
      <c r="I480" s="71" t="n">
        <v>56554502.20002559</v>
      </c>
      <c r="J480" s="72" t="n">
        <v>5.195</v>
      </c>
      <c r="K480" s="69" t="inlineStr">
        <is>
          <t>Fixed rate</t>
        </is>
      </c>
      <c r="L480" s="68" t="n">
        <v>120</v>
      </c>
      <c r="M480" s="68" t="n">
        <v>31</v>
      </c>
      <c r="N480" s="68" t="n">
        <v>360</v>
      </c>
      <c r="O480" s="68" t="n"/>
      <c r="P480" s="68" t="n"/>
      <c r="Q480" s="68" t="n">
        <v>89</v>
      </c>
      <c r="R480" s="69" t="n"/>
      <c r="S480" s="69" t="inlineStr">
        <is>
          <t>No</t>
        </is>
      </c>
      <c r="T480" s="73" t="n">
        <v>43556</v>
      </c>
      <c r="U480" s="73" t="n">
        <v>47209</v>
      </c>
      <c r="V480" s="73" t="n"/>
      <c r="W480" s="69" t="n"/>
      <c r="X480" s="69" t="inlineStr">
        <is>
          <t>Current</t>
        </is>
      </c>
      <c r="Y480" s="68" t="n"/>
      <c r="Z480" s="69" t="inlineStr">
        <is>
          <t>Full Defeasance</t>
        </is>
      </c>
      <c r="AA480" s="69" t="inlineStr">
        <is>
          <t>Previously</t>
        </is>
      </c>
      <c r="AB480" s="69" t="inlineStr">
        <is>
          <t>Never special serv</t>
        </is>
      </c>
      <c r="AC480" s="73" t="n"/>
      <c r="AD480" s="69" t="n"/>
      <c r="AE480" s="69" t="n"/>
      <c r="AF480" s="69" t="inlineStr">
        <is>
          <t>CA</t>
        </is>
      </c>
      <c r="AG480" s="69" t="inlineStr">
        <is>
          <t>San Diego</t>
        </is>
      </c>
      <c r="AH480" s="69" t="inlineStr">
        <is>
          <t>San Diego-Chula Vista-Carlsbad, CA</t>
        </is>
      </c>
      <c r="AI480" s="69" t="inlineStr">
        <is>
          <t>West / Pacific South</t>
        </is>
      </c>
      <c r="AJ480" s="69" t="inlineStr">
        <is>
          <t>HT</t>
        </is>
      </c>
      <c r="AK480" s="69" t="inlineStr">
        <is>
          <t>Full Service</t>
        </is>
      </c>
      <c r="AL480" s="68" t="n">
        <v>1</v>
      </c>
      <c r="AM480" s="68" t="n">
        <v>353</v>
      </c>
      <c r="AN480" s="68" t="n"/>
      <c r="AO480" s="69" t="inlineStr">
        <is>
          <t>1988</t>
        </is>
      </c>
      <c r="AP480" s="70" t="n">
        <v>2017</v>
      </c>
      <c r="AQ480" s="74" t="n">
        <v>1.75</v>
      </c>
      <c r="AR480" s="74" t="n">
        <v>2.18</v>
      </c>
      <c r="AS480" s="74" t="n">
        <v>69.90000000000001</v>
      </c>
      <c r="AT480" s="74" t="n">
        <v>61.72</v>
      </c>
      <c r="AU480" s="74" t="n">
        <v>58.1</v>
      </c>
      <c r="AV480" s="74" t="n">
        <v>11.492641259</v>
      </c>
      <c r="AW480" s="74" t="n">
        <v>13.701492452</v>
      </c>
      <c r="AX480" s="75" t="n">
        <v>80</v>
      </c>
      <c r="AY480" s="71" t="n">
        <v>91625000</v>
      </c>
      <c r="AZ480" s="71" t="n">
        <v>91625000</v>
      </c>
      <c r="BA480" s="71" t="n">
        <v>7375977.16</v>
      </c>
      <c r="BB480" s="71" t="n">
        <v>9223982.939999999</v>
      </c>
      <c r="BC480" s="69" t="inlineStr">
        <is>
          <t>Acquisition</t>
        </is>
      </c>
      <c r="BD480" s="69" t="inlineStr">
        <is>
          <t>N</t>
        </is>
      </c>
      <c r="BE480" s="71" t="n"/>
      <c r="BF480" s="71" t="n"/>
      <c r="BG480" s="71" t="n"/>
      <c r="BH480" s="71" t="n">
        <v>0</v>
      </c>
      <c r="BI480" s="71" t="n">
        <v>0</v>
      </c>
      <c r="BJ480" s="69" t="inlineStr">
        <is>
          <t>N</t>
        </is>
      </c>
      <c r="BK480" s="69" t="n"/>
      <c r="BL480" s="75" t="n"/>
      <c r="BM480" s="73" t="n"/>
      <c r="BN480" s="69" t="inlineStr">
        <is>
          <t>Driftwood Acquisition &amp; Development L.P.</t>
        </is>
      </c>
      <c r="BO480" s="69" t="inlineStr">
        <is>
          <t>Morgan Stanley</t>
        </is>
      </c>
      <c r="BP480" s="69" t="inlineStr">
        <is>
          <t>Midland Loan Services</t>
        </is>
      </c>
      <c r="BQ480" s="69" t="inlineStr">
        <is>
          <t>K-Star Asset Management LLC</t>
        </is>
      </c>
      <c r="BR480" s="69" t="n"/>
      <c r="BS480" s="73" t="n">
        <v>46276</v>
      </c>
      <c r="BU480" s="76">
        <f>IF($C480="","",IFERROR(INDEX(dmName,MATCH($C480,dmID,0)),"Unmapped"))</f>
        <v/>
      </c>
      <c r="BV480" s="76">
        <f>IF($C480="","",IFERROR(INDEX(dmEntity,MATCH($C480,dmID,0)),"Unmapped"))</f>
        <v/>
      </c>
      <c r="BW480" s="77">
        <f>IF($C480="","",IFERROR(INDEX(dmVintage,MATCH($C480,dmID,0)),""))</f>
        <v/>
      </c>
      <c r="BX480" s="78">
        <f>IFERROR(INDEX(dmInclude,MATCH($C480,dmID,0)),0)</f>
        <v/>
      </c>
      <c r="BY480" s="78">
        <f>IF(N($I480)&gt;0,1,0)</f>
        <v/>
      </c>
      <c r="BZ480" s="76">
        <f>IF($AJ480="","Other / Leased Fee",IFERROR(INDEX(mapPTGroup,MATCH(LEFT(TRIM($AJ480),2),mapPTCode,0)),"Other / Leased Fee"))</f>
        <v/>
      </c>
      <c r="CA480" s="76">
        <f>IF(TRIM($AF480&amp;"")="","NR",LEFT(TRIM($AF480),2))</f>
        <v/>
      </c>
      <c r="CB480" s="76">
        <f>IFERROR(LOOKUP(2,1/(LEFT(TRIM($AI480&amp;""),LEN(mapRegion))=mapRegion),mapRegion),"Not Reported")</f>
        <v/>
      </c>
      <c r="CC480" s="76">
        <f>IF($BY480=0,"",IF(TRIM($W480&amp;"")="REO","REO",IF(TRIM($W480&amp;"")="FC","Foreclosure",IF(TRIM($W480&amp;"")="90+","90+ Days Delinquent",IF(TRIM($W480&amp;"")="60","60 Days Delinquent",IF(TRIM($W480&amp;"")="30","30 Days Delinquent",IF($X480="Non-Performing Matured Balloon","Non-Performing Matured Balloon",IF(OR($X480="Late Payment But Less Than 30 Days Delinquent",LEFT($X480&amp;"",20)="Payment Not Received"),"Late / In Grace (&lt;30 Days)",IF($X480="Performing Matured Balloon","Performing Matured Balloon","Current")))))))))</f>
        <v/>
      </c>
      <c r="CD480" s="78">
        <f>IF(OR($CC480="REO",$CC480="Foreclosure",$CC480="90+ Days Delinquent",$CC480="60 Days Delinquent",$CC480="30 Days Delinquent",$CC480="Non-Performing Matured Balloon"),1,0)</f>
        <v/>
      </c>
      <c r="CE480" s="76">
        <f>IF($AB480="Currently special serv","Currently Specially Serviced",IF($AB480="Returned to master serv","Previously Specially Serviced","Never Specially Serviced"))</f>
        <v/>
      </c>
      <c r="CF480" s="78">
        <f>IF($CE480="Currently Specially Serviced",1,0)</f>
        <v/>
      </c>
      <c r="CG480" s="76">
        <f>IF($AA480="Yes","Currently on Watchlist",IF($AA480="Previously","Previously on Watchlist","Never on Watchlist"))</f>
        <v/>
      </c>
      <c r="CH480" s="78">
        <f>IF($CG480="Currently on Watchlist",1,0)</f>
        <v/>
      </c>
      <c r="CI480" s="76">
        <f>IF($Z480="Full Defeasance","Fully Defeased",IF($Z480="Portion Of Loan Previously Defeased","Partially Defeased",IF($Z480="Defeasance Not Allowable","Not Defeased (Not Permitted)","Not Defeased")))</f>
        <v/>
      </c>
      <c r="CJ480" s="78">
        <f>IF($CI480="Fully Defeased",1,0)</f>
        <v/>
      </c>
      <c r="CK480" s="76">
        <f>IF($R480="IO","Full IO",IF(LEFT($R480&amp;"",7)="IO then","Partial IO","Amortizing"))</f>
        <v/>
      </c>
      <c r="CL480" s="78">
        <f>IF($CK480="Full IO",1,0)</f>
        <v/>
      </c>
      <c r="CM480" s="78">
        <f>IF($CK480="Partial IO",1,0)</f>
        <v/>
      </c>
      <c r="CN480" s="76">
        <f>IF(LEFT($F480&amp;"",10)="SPLIT_LOAN","Pari Passu Split","Standalone")</f>
        <v/>
      </c>
      <c r="CO480" s="78">
        <f>IF($CN480="Pari Passu Split",1,0)</f>
        <v/>
      </c>
      <c r="CP480" s="77">
        <f>IF(ISNUMBER($T480),YEAR($T480),"")</f>
        <v/>
      </c>
      <c r="CQ480" s="79">
        <f>IF(ISNUMBER($V480),$V480,IF(ISNUMBER($U480),$U480,""))</f>
        <v/>
      </c>
      <c r="CR480" s="77">
        <f>IF(ISNUMBER($CQ480),YEAR($CQ480),"")</f>
        <v/>
      </c>
      <c r="CS480" s="78">
        <f>IF(ISNUMBER($M480),MAX(0,$M480),IF(TRIM($M480&amp;"")="matured",0,""))</f>
        <v/>
      </c>
      <c r="CT480" s="78">
        <f>IF(AND(ISNUMBER($CS480),N($CS480)&lt;=mMatWindow),1,0)</f>
        <v/>
      </c>
      <c r="CU480" s="80">
        <f>IF(ISNUMBER($J480),$J480/100,"")</f>
        <v/>
      </c>
      <c r="CV480" s="81">
        <f>IF(ISNUMBER($AQ480),$AQ480,"")</f>
        <v/>
      </c>
      <c r="CW480" s="81">
        <f>IF(ISNUMBER($AR480),$AR480,"")</f>
        <v/>
      </c>
      <c r="CX480" s="82">
        <f>IF(ISNUMBER($AS480),$AS480/100,"")</f>
        <v/>
      </c>
      <c r="CY480" s="82">
        <f>IF(ISNUMBER($AT480),$AT480/100,"")</f>
        <v/>
      </c>
      <c r="CZ480" s="82">
        <f>IF(ISNUMBER($AU480),$AU480/100,"")</f>
        <v/>
      </c>
      <c r="DA480" s="82">
        <f>IF(ISNUMBER($AV480),$AV480/100,"")</f>
        <v/>
      </c>
      <c r="DB480" s="82">
        <f>IF(ISNUMBER($AW480),$AW480/100,"")</f>
        <v/>
      </c>
      <c r="DC480" s="82">
        <f>IF(ISNUMBER($AX480),$AX480/100,"")</f>
        <v/>
      </c>
      <c r="DD480" s="77">
        <f>IFERROR(VALUE(LEFT(TRIM($AO480&amp;""),4)),"")</f>
        <v/>
      </c>
      <c r="DE480" s="78">
        <f>IF(AND($BY480=1,$BX480=1,OR(fDeal="All Deals",$BU480=fDeal),OR(fEntity="All Entities",$BV480=fEntity),OR(fPType="All Property Types",$BZ480=fPType),OR(fDefeased="Include",$CJ480=0)),1,0)</f>
        <v/>
      </c>
      <c r="DF480" s="83">
        <f>$DE480*N($I480)</f>
        <v/>
      </c>
      <c r="DG480" s="78">
        <f>IF($DE480=1,IF(COUNTIFS($F$8:$F480,$F480,$DE$8:$DE480,1)=1,1,0),0)</f>
        <v/>
      </c>
      <c r="DH480" s="83">
        <f>IF($DG480=1,SUMIFS($DF$8:$DF$1600,$F$8:$F$1600,$F480),0)</f>
        <v/>
      </c>
      <c r="DI480" s="78">
        <f>IF($DG480=1,COUNTIFS($F$8:$F$1600,$F480,$DE$8:$DE$1600,1),0)</f>
        <v/>
      </c>
      <c r="DJ480" s="84">
        <f>IF($DG480=1,$DH480+(100000-ROW())/mTieBreak,0)</f>
        <v/>
      </c>
    </row>
    <row r="481">
      <c r="B481" s="68" t="n">
        <v>4</v>
      </c>
      <c r="C481" s="69" t="inlineStr">
        <is>
          <t>MSC19H6</t>
        </is>
      </c>
      <c r="D481" s="69" t="inlineStr">
        <is>
          <t>4.000</t>
        </is>
      </c>
      <c r="E481" s="69" t="inlineStr">
        <is>
          <t>ILPT Hawaii Portfolio</t>
        </is>
      </c>
      <c r="F481" s="69" t="inlineStr">
        <is>
          <t>SPLIT_LOAN_01485</t>
        </is>
      </c>
      <c r="G481" s="70" t="n">
        <v>1485</v>
      </c>
      <c r="H481" s="71" t="n">
        <v>40000000</v>
      </c>
      <c r="I481" s="71" t="n">
        <v>40000000</v>
      </c>
      <c r="J481" s="72" t="n">
        <v>4.31</v>
      </c>
      <c r="K481" s="69" t="inlineStr">
        <is>
          <t>Fixed rate</t>
        </is>
      </c>
      <c r="L481" s="68" t="n">
        <v>120</v>
      </c>
      <c r="M481" s="68" t="n">
        <v>29</v>
      </c>
      <c r="N481" s="68" t="n">
        <v>120</v>
      </c>
      <c r="O481" s="68" t="n">
        <v>120</v>
      </c>
      <c r="P481" s="68" t="n">
        <v>29</v>
      </c>
      <c r="Q481" s="68" t="n">
        <v>91</v>
      </c>
      <c r="R481" s="69" t="inlineStr">
        <is>
          <t>IO</t>
        </is>
      </c>
      <c r="S481" s="69" t="inlineStr">
        <is>
          <t>Yes</t>
        </is>
      </c>
      <c r="T481" s="73" t="n">
        <v>43497</v>
      </c>
      <c r="U481" s="73" t="n">
        <v>47156</v>
      </c>
      <c r="V481" s="73" t="n"/>
      <c r="W481" s="69" t="n"/>
      <c r="X481" s="69" t="inlineStr">
        <is>
          <t>Current</t>
        </is>
      </c>
      <c r="Y481" s="68" t="n"/>
      <c r="Z481" s="69" t="inlineStr">
        <is>
          <t>No Defeasance Occurred</t>
        </is>
      </c>
      <c r="AA481" s="69" t="inlineStr">
        <is>
          <t>Yes</t>
        </is>
      </c>
      <c r="AB481" s="69" t="inlineStr">
        <is>
          <t>Never special serv</t>
        </is>
      </c>
      <c r="AC481" s="73" t="n"/>
      <c r="AD481" s="69" t="n"/>
      <c r="AE481" s="69" t="n"/>
      <c r="AF481" s="69" t="inlineStr">
        <is>
          <t>HI</t>
        </is>
      </c>
      <c r="AG481" s="69" t="inlineStr">
        <is>
          <t>Honolulu</t>
        </is>
      </c>
      <c r="AH481" s="69" t="inlineStr">
        <is>
          <t>Urban Honolulu, HI</t>
        </is>
      </c>
      <c r="AI481" s="69" t="inlineStr">
        <is>
          <t>West / Pacific South</t>
        </is>
      </c>
      <c r="AJ481" s="69" t="inlineStr">
        <is>
          <t>SP</t>
        </is>
      </c>
      <c r="AK481" s="69" t="n"/>
      <c r="AL481" s="68" t="n">
        <v>186</v>
      </c>
      <c r="AM481" s="68" t="n"/>
      <c r="AN481" s="68" t="n">
        <v>9591512</v>
      </c>
      <c r="AO481" s="69" t="n"/>
      <c r="AP481" s="70" t="n">
        <v>2015</v>
      </c>
      <c r="AQ481" s="74" t="n">
        <v>2.4</v>
      </c>
      <c r="AR481" s="74" t="n">
        <v>2.85</v>
      </c>
      <c r="AS481" s="74" t="n">
        <v>45.2</v>
      </c>
      <c r="AT481" s="74" t="n">
        <v>45.17</v>
      </c>
      <c r="AU481" s="74" t="n">
        <v>45.2</v>
      </c>
      <c r="AV481" s="74" t="n">
        <v>10.493213692</v>
      </c>
      <c r="AW481" s="74" t="n">
        <v>11.215825895</v>
      </c>
      <c r="AX481" s="75" t="n">
        <v>100</v>
      </c>
      <c r="AY481" s="71" t="n">
        <v>1439117000</v>
      </c>
      <c r="AZ481" s="71" t="n">
        <v>1439117000</v>
      </c>
      <c r="BA481" s="71" t="n">
        <v>68205889</v>
      </c>
      <c r="BB481" s="71" t="n">
        <v>75906198.38</v>
      </c>
      <c r="BC481" s="69" t="inlineStr">
        <is>
          <t>Recapitalization</t>
        </is>
      </c>
      <c r="BD481" s="69" t="inlineStr">
        <is>
          <t>N</t>
        </is>
      </c>
      <c r="BE481" s="71" t="n">
        <v>610000000</v>
      </c>
      <c r="BF481" s="71" t="n"/>
      <c r="BG481" s="71" t="n"/>
      <c r="BH481" s="71" t="n">
        <v>0</v>
      </c>
      <c r="BI481" s="71" t="n">
        <v>0</v>
      </c>
      <c r="BJ481" s="69" t="inlineStr">
        <is>
          <t>N</t>
        </is>
      </c>
      <c r="BK481" s="69" t="inlineStr">
        <is>
          <t>Servco Pacific Inc.</t>
        </is>
      </c>
      <c r="BL481" s="75" t="n">
        <v>100</v>
      </c>
      <c r="BM481" s="73" t="n">
        <v>59932</v>
      </c>
      <c r="BN481" s="69" t="inlineStr">
        <is>
          <t>Industrial Logistics Properties Trust</t>
        </is>
      </c>
      <c r="BO481" s="69" t="inlineStr">
        <is>
          <t>Morgan Stanley</t>
        </is>
      </c>
      <c r="BP481" s="69" t="inlineStr">
        <is>
          <t>Midland Loan Services</t>
        </is>
      </c>
      <c r="BQ481" s="69" t="inlineStr">
        <is>
          <t>Rialto Capital</t>
        </is>
      </c>
      <c r="BR481" s="69" t="n"/>
      <c r="BS481" s="73" t="n">
        <v>46276</v>
      </c>
      <c r="BU481" s="76">
        <f>IF($C481="","",IFERROR(INDEX(dmName,MATCH($C481,dmID,0)),"Unmapped"))</f>
        <v/>
      </c>
      <c r="BV481" s="76">
        <f>IF($C481="","",IFERROR(INDEX(dmEntity,MATCH($C481,dmID,0)),"Unmapped"))</f>
        <v/>
      </c>
      <c r="BW481" s="77">
        <f>IF($C481="","",IFERROR(INDEX(dmVintage,MATCH($C481,dmID,0)),""))</f>
        <v/>
      </c>
      <c r="BX481" s="78">
        <f>IFERROR(INDEX(dmInclude,MATCH($C481,dmID,0)),0)</f>
        <v/>
      </c>
      <c r="BY481" s="78">
        <f>IF(N($I481)&gt;0,1,0)</f>
        <v/>
      </c>
      <c r="BZ481" s="76">
        <f>IF($AJ481="","Other / Leased Fee",IFERROR(INDEX(mapPTGroup,MATCH(LEFT(TRIM($AJ481),2),mapPTCode,0)),"Other / Leased Fee"))</f>
        <v/>
      </c>
      <c r="CA481" s="76">
        <f>IF(TRIM($AF481&amp;"")="","NR",LEFT(TRIM($AF481),2))</f>
        <v/>
      </c>
      <c r="CB481" s="76">
        <f>IFERROR(LOOKUP(2,1/(LEFT(TRIM($AI481&amp;""),LEN(mapRegion))=mapRegion),mapRegion),"Not Reported")</f>
        <v/>
      </c>
      <c r="CC481" s="76">
        <f>IF($BY481=0,"",IF(TRIM($W481&amp;"")="REO","REO",IF(TRIM($W481&amp;"")="FC","Foreclosure",IF(TRIM($W481&amp;"")="90+","90+ Days Delinquent",IF(TRIM($W481&amp;"")="60","60 Days Delinquent",IF(TRIM($W481&amp;"")="30","30 Days Delinquent",IF($X481="Non-Performing Matured Balloon","Non-Performing Matured Balloon",IF(OR($X481="Late Payment But Less Than 30 Days Delinquent",LEFT($X481&amp;"",20)="Payment Not Received"),"Late / In Grace (&lt;30 Days)",IF($X481="Performing Matured Balloon","Performing Matured Balloon","Current")))))))))</f>
        <v/>
      </c>
      <c r="CD481" s="78">
        <f>IF(OR($CC481="REO",$CC481="Foreclosure",$CC481="90+ Days Delinquent",$CC481="60 Days Delinquent",$CC481="30 Days Delinquent",$CC481="Non-Performing Matured Balloon"),1,0)</f>
        <v/>
      </c>
      <c r="CE481" s="76">
        <f>IF($AB481="Currently special serv","Currently Specially Serviced",IF($AB481="Returned to master serv","Previously Specially Serviced","Never Specially Serviced"))</f>
        <v/>
      </c>
      <c r="CF481" s="78">
        <f>IF($CE481="Currently Specially Serviced",1,0)</f>
        <v/>
      </c>
      <c r="CG481" s="76">
        <f>IF($AA481="Yes","Currently on Watchlist",IF($AA481="Previously","Previously on Watchlist","Never on Watchlist"))</f>
        <v/>
      </c>
      <c r="CH481" s="78">
        <f>IF($CG481="Currently on Watchlist",1,0)</f>
        <v/>
      </c>
      <c r="CI481" s="76">
        <f>IF($Z481="Full Defeasance","Fully Defeased",IF($Z481="Portion Of Loan Previously Defeased","Partially Defeased",IF($Z481="Defeasance Not Allowable","Not Defeased (Not Permitted)","Not Defeased")))</f>
        <v/>
      </c>
      <c r="CJ481" s="78">
        <f>IF($CI481="Fully Defeased",1,0)</f>
        <v/>
      </c>
      <c r="CK481" s="76">
        <f>IF($R481="IO","Full IO",IF(LEFT($R481&amp;"",7)="IO then","Partial IO","Amortizing"))</f>
        <v/>
      </c>
      <c r="CL481" s="78">
        <f>IF($CK481="Full IO",1,0)</f>
        <v/>
      </c>
      <c r="CM481" s="78">
        <f>IF($CK481="Partial IO",1,0)</f>
        <v/>
      </c>
      <c r="CN481" s="76">
        <f>IF(LEFT($F481&amp;"",10)="SPLIT_LOAN","Pari Passu Split","Standalone")</f>
        <v/>
      </c>
      <c r="CO481" s="78">
        <f>IF($CN481="Pari Passu Split",1,0)</f>
        <v/>
      </c>
      <c r="CP481" s="77">
        <f>IF(ISNUMBER($T481),YEAR($T481),"")</f>
        <v/>
      </c>
      <c r="CQ481" s="79">
        <f>IF(ISNUMBER($V481),$V481,IF(ISNUMBER($U481),$U481,""))</f>
        <v/>
      </c>
      <c r="CR481" s="77">
        <f>IF(ISNUMBER($CQ481),YEAR($CQ481),"")</f>
        <v/>
      </c>
      <c r="CS481" s="78">
        <f>IF(ISNUMBER($M481),MAX(0,$M481),IF(TRIM($M481&amp;"")="matured",0,""))</f>
        <v/>
      </c>
      <c r="CT481" s="78">
        <f>IF(AND(ISNUMBER($CS481),N($CS481)&lt;=mMatWindow),1,0)</f>
        <v/>
      </c>
      <c r="CU481" s="80">
        <f>IF(ISNUMBER($J481),$J481/100,"")</f>
        <v/>
      </c>
      <c r="CV481" s="81">
        <f>IF(ISNUMBER($AQ481),$AQ481,"")</f>
        <v/>
      </c>
      <c r="CW481" s="81">
        <f>IF(ISNUMBER($AR481),$AR481,"")</f>
        <v/>
      </c>
      <c r="CX481" s="82">
        <f>IF(ISNUMBER($AS481),$AS481/100,"")</f>
        <v/>
      </c>
      <c r="CY481" s="82">
        <f>IF(ISNUMBER($AT481),$AT481/100,"")</f>
        <v/>
      </c>
      <c r="CZ481" s="82">
        <f>IF(ISNUMBER($AU481),$AU481/100,"")</f>
        <v/>
      </c>
      <c r="DA481" s="82">
        <f>IF(ISNUMBER($AV481),$AV481/100,"")</f>
        <v/>
      </c>
      <c r="DB481" s="82">
        <f>IF(ISNUMBER($AW481),$AW481/100,"")</f>
        <v/>
      </c>
      <c r="DC481" s="82">
        <f>IF(ISNUMBER($AX481),$AX481/100,"")</f>
        <v/>
      </c>
      <c r="DD481" s="77">
        <f>IFERROR(VALUE(LEFT(TRIM($AO481&amp;""),4)),"")</f>
        <v/>
      </c>
      <c r="DE481" s="78">
        <f>IF(AND($BY481=1,$BX481=1,OR(fDeal="All Deals",$BU481=fDeal),OR(fEntity="All Entities",$BV481=fEntity),OR(fPType="All Property Types",$BZ481=fPType),OR(fDefeased="Include",$CJ481=0)),1,0)</f>
        <v/>
      </c>
      <c r="DF481" s="83">
        <f>$DE481*N($I481)</f>
        <v/>
      </c>
      <c r="DG481" s="78">
        <f>IF($DE481=1,IF(COUNTIFS($F$8:$F481,$F481,$DE$8:$DE481,1)=1,1,0),0)</f>
        <v/>
      </c>
      <c r="DH481" s="83">
        <f>IF($DG481=1,SUMIFS($DF$8:$DF$1600,$F$8:$F$1600,$F481),0)</f>
        <v/>
      </c>
      <c r="DI481" s="78">
        <f>IF($DG481=1,COUNTIFS($F$8:$F$1600,$F481,$DE$8:$DE$1600,1),0)</f>
        <v/>
      </c>
      <c r="DJ481" s="84">
        <f>IF($DG481=1,$DH481+(100000-ROW())/mTieBreak,0)</f>
        <v/>
      </c>
    </row>
    <row r="482">
      <c r="B482" s="68" t="n">
        <v>5</v>
      </c>
      <c r="C482" s="69" t="inlineStr">
        <is>
          <t>MSC19H6</t>
        </is>
      </c>
      <c r="D482" s="69" t="inlineStr">
        <is>
          <t>5.TR</t>
        </is>
      </c>
      <c r="E482" s="69" t="inlineStr">
        <is>
          <t>Tower 28 - Trust</t>
        </is>
      </c>
      <c r="F482" s="69" t="inlineStr">
        <is>
          <t>SPLIT_LOAN_01493</t>
        </is>
      </c>
      <c r="G482" s="70" t="n">
        <v>1493</v>
      </c>
      <c r="H482" s="71" t="n">
        <v>30000000</v>
      </c>
      <c r="I482" s="71" t="n">
        <v>27492667.76001</v>
      </c>
      <c r="J482" s="72" t="n">
        <v>3.7842</v>
      </c>
      <c r="K482" s="69" t="inlineStr">
        <is>
          <t>Fixed rate</t>
        </is>
      </c>
      <c r="L482" s="68" t="n">
        <v>120</v>
      </c>
      <c r="M482" s="68" t="n">
        <v>31</v>
      </c>
      <c r="N482" s="68" t="n">
        <v>396</v>
      </c>
      <c r="O482" s="68" t="n">
        <v>36</v>
      </c>
      <c r="P482" s="68" t="n">
        <v>0</v>
      </c>
      <c r="Q482" s="68" t="n">
        <v>89</v>
      </c>
      <c r="R482" s="69" t="inlineStr">
        <is>
          <t>IO then Amort</t>
        </is>
      </c>
      <c r="S482" s="69" t="inlineStr">
        <is>
          <t>No</t>
        </is>
      </c>
      <c r="T482" s="73" t="n">
        <v>43556</v>
      </c>
      <c r="U482" s="73" t="n">
        <v>47209</v>
      </c>
      <c r="V482" s="73" t="n"/>
      <c r="W482" s="69" t="n"/>
      <c r="X482" s="69" t="inlineStr">
        <is>
          <t>Current</t>
        </is>
      </c>
      <c r="Y482" s="68" t="n"/>
      <c r="Z482" s="69" t="inlineStr">
        <is>
          <t>Defeasance Not Allowable</t>
        </is>
      </c>
      <c r="AA482" s="69" t="inlineStr">
        <is>
          <t>Yes</t>
        </is>
      </c>
      <c r="AB482" s="69" t="inlineStr">
        <is>
          <t>Never special serv</t>
        </is>
      </c>
      <c r="AC482" s="73" t="n"/>
      <c r="AD482" s="69" t="n"/>
      <c r="AE482" s="69" t="n"/>
      <c r="AF482" s="69" t="inlineStr">
        <is>
          <t>NY</t>
        </is>
      </c>
      <c r="AG482" s="69" t="inlineStr">
        <is>
          <t>Long Island City</t>
        </is>
      </c>
      <c r="AH482" s="69" t="inlineStr">
        <is>
          <t>New York-Newark-Jersey City, NY-NJ</t>
        </is>
      </c>
      <c r="AI482" s="69" t="inlineStr">
        <is>
          <t>Northeast / Mid-Atlantic</t>
        </is>
      </c>
      <c r="AJ482" s="69" t="inlineStr">
        <is>
          <t>MF</t>
        </is>
      </c>
      <c r="AK482" s="69" t="inlineStr">
        <is>
          <t>High Rise</t>
        </is>
      </c>
      <c r="AL482" s="68" t="n">
        <v>1</v>
      </c>
      <c r="AM482" s="68" t="n">
        <v>450</v>
      </c>
      <c r="AN482" s="68" t="n"/>
      <c r="AO482" s="69" t="inlineStr">
        <is>
          <t>2018</t>
        </is>
      </c>
      <c r="AP482" s="70" t="n">
        <v>2018</v>
      </c>
      <c r="AQ482" s="74" t="n">
        <v>2.31</v>
      </c>
      <c r="AR482" s="74" t="n">
        <v>2.8</v>
      </c>
      <c r="AS482" s="74" t="n">
        <v>33.4</v>
      </c>
      <c r="AT482" s="74" t="n">
        <v>30.64</v>
      </c>
      <c r="AU482" s="74" t="n">
        <v>28.8</v>
      </c>
      <c r="AV482" s="74" t="n">
        <v>12.891271348</v>
      </c>
      <c r="AW482" s="74" t="n">
        <v>17.066872553</v>
      </c>
      <c r="AX482" s="75" t="n">
        <v>99</v>
      </c>
      <c r="AY482" s="71" t="n">
        <v>335000000</v>
      </c>
      <c r="AZ482" s="71" t="n">
        <v>335000000</v>
      </c>
      <c r="BA482" s="71" t="n">
        <v>14438223.91</v>
      </c>
      <c r="BB482" s="71" t="n">
        <v>17517317.32</v>
      </c>
      <c r="BC482" s="69" t="inlineStr">
        <is>
          <t>Refinance</t>
        </is>
      </c>
      <c r="BD482" s="69" t="inlineStr">
        <is>
          <t>N</t>
        </is>
      </c>
      <c r="BE482" s="71" t="n">
        <v>75146625.20999999</v>
      </c>
      <c r="BF482" s="71" t="n">
        <v>48570379.71</v>
      </c>
      <c r="BG482" s="71" t="n">
        <v>50000000</v>
      </c>
      <c r="BH482" s="71" t="n">
        <v>0</v>
      </c>
      <c r="BI482" s="71" t="n">
        <v>0</v>
      </c>
      <c r="BJ482" s="69" t="inlineStr">
        <is>
          <t>N</t>
        </is>
      </c>
      <c r="BK482" s="69" t="n"/>
      <c r="BL482" s="75" t="n"/>
      <c r="BM482" s="73" t="n"/>
      <c r="BN482" s="69" t="inlineStr">
        <is>
          <t>Heatherwood Luxury Rentals</t>
        </is>
      </c>
      <c r="BO482" s="69" t="inlineStr">
        <is>
          <t>Morgan Stanley</t>
        </is>
      </c>
      <c r="BP482" s="69" t="inlineStr">
        <is>
          <t>Midland Loan Services</t>
        </is>
      </c>
      <c r="BQ482" s="69" t="inlineStr">
        <is>
          <t>Midland Loan Services</t>
        </is>
      </c>
      <c r="BR482" s="69" t="n"/>
      <c r="BS482" s="73" t="n">
        <v>46276</v>
      </c>
      <c r="BU482" s="76">
        <f>IF($C482="","",IFERROR(INDEX(dmName,MATCH($C482,dmID,0)),"Unmapped"))</f>
        <v/>
      </c>
      <c r="BV482" s="76">
        <f>IF($C482="","",IFERROR(INDEX(dmEntity,MATCH($C482,dmID,0)),"Unmapped"))</f>
        <v/>
      </c>
      <c r="BW482" s="77">
        <f>IF($C482="","",IFERROR(INDEX(dmVintage,MATCH($C482,dmID,0)),""))</f>
        <v/>
      </c>
      <c r="BX482" s="78">
        <f>IFERROR(INDEX(dmInclude,MATCH($C482,dmID,0)),0)</f>
        <v/>
      </c>
      <c r="BY482" s="78">
        <f>IF(N($I482)&gt;0,1,0)</f>
        <v/>
      </c>
      <c r="BZ482" s="76">
        <f>IF($AJ482="","Other / Leased Fee",IFERROR(INDEX(mapPTGroup,MATCH(LEFT(TRIM($AJ482),2),mapPTCode,0)),"Other / Leased Fee"))</f>
        <v/>
      </c>
      <c r="CA482" s="76">
        <f>IF(TRIM($AF482&amp;"")="","NR",LEFT(TRIM($AF482),2))</f>
        <v/>
      </c>
      <c r="CB482" s="76">
        <f>IFERROR(LOOKUP(2,1/(LEFT(TRIM($AI482&amp;""),LEN(mapRegion))=mapRegion),mapRegion),"Not Reported")</f>
        <v/>
      </c>
      <c r="CC482" s="76">
        <f>IF($BY482=0,"",IF(TRIM($W482&amp;"")="REO","REO",IF(TRIM($W482&amp;"")="FC","Foreclosure",IF(TRIM($W482&amp;"")="90+","90+ Days Delinquent",IF(TRIM($W482&amp;"")="60","60 Days Delinquent",IF(TRIM($W482&amp;"")="30","30 Days Delinquent",IF($X482="Non-Performing Matured Balloon","Non-Performing Matured Balloon",IF(OR($X482="Late Payment But Less Than 30 Days Delinquent",LEFT($X482&amp;"",20)="Payment Not Received"),"Late / In Grace (&lt;30 Days)",IF($X482="Performing Matured Balloon","Performing Matured Balloon","Current")))))))))</f>
        <v/>
      </c>
      <c r="CD482" s="78">
        <f>IF(OR($CC482="REO",$CC482="Foreclosure",$CC482="90+ Days Delinquent",$CC482="60 Days Delinquent",$CC482="30 Days Delinquent",$CC482="Non-Performing Matured Balloon"),1,0)</f>
        <v/>
      </c>
      <c r="CE482" s="76">
        <f>IF($AB482="Currently special serv","Currently Specially Serviced",IF($AB482="Returned to master serv","Previously Specially Serviced","Never Specially Serviced"))</f>
        <v/>
      </c>
      <c r="CF482" s="78">
        <f>IF($CE482="Currently Specially Serviced",1,0)</f>
        <v/>
      </c>
      <c r="CG482" s="76">
        <f>IF($AA482="Yes","Currently on Watchlist",IF($AA482="Previously","Previously on Watchlist","Never on Watchlist"))</f>
        <v/>
      </c>
      <c r="CH482" s="78">
        <f>IF($CG482="Currently on Watchlist",1,0)</f>
        <v/>
      </c>
      <c r="CI482" s="76">
        <f>IF($Z482="Full Defeasance","Fully Defeased",IF($Z482="Portion Of Loan Previously Defeased","Partially Defeased",IF($Z482="Defeasance Not Allowable","Not Defeased (Not Permitted)","Not Defeased")))</f>
        <v/>
      </c>
      <c r="CJ482" s="78">
        <f>IF($CI482="Fully Defeased",1,0)</f>
        <v/>
      </c>
      <c r="CK482" s="76">
        <f>IF($R482="IO","Full IO",IF(LEFT($R482&amp;"",7)="IO then","Partial IO","Amortizing"))</f>
        <v/>
      </c>
      <c r="CL482" s="78">
        <f>IF($CK482="Full IO",1,0)</f>
        <v/>
      </c>
      <c r="CM482" s="78">
        <f>IF($CK482="Partial IO",1,0)</f>
        <v/>
      </c>
      <c r="CN482" s="76">
        <f>IF(LEFT($F482&amp;"",10)="SPLIT_LOAN","Pari Passu Split","Standalone")</f>
        <v/>
      </c>
      <c r="CO482" s="78">
        <f>IF($CN482="Pari Passu Split",1,0)</f>
        <v/>
      </c>
      <c r="CP482" s="77">
        <f>IF(ISNUMBER($T482),YEAR($T482),"")</f>
        <v/>
      </c>
      <c r="CQ482" s="79">
        <f>IF(ISNUMBER($V482),$V482,IF(ISNUMBER($U482),$U482,""))</f>
        <v/>
      </c>
      <c r="CR482" s="77">
        <f>IF(ISNUMBER($CQ482),YEAR($CQ482),"")</f>
        <v/>
      </c>
      <c r="CS482" s="78">
        <f>IF(ISNUMBER($M482),MAX(0,$M482),IF(TRIM($M482&amp;"")="matured",0,""))</f>
        <v/>
      </c>
      <c r="CT482" s="78">
        <f>IF(AND(ISNUMBER($CS482),N($CS482)&lt;=mMatWindow),1,0)</f>
        <v/>
      </c>
      <c r="CU482" s="80">
        <f>IF(ISNUMBER($J482),$J482/100,"")</f>
        <v/>
      </c>
      <c r="CV482" s="81">
        <f>IF(ISNUMBER($AQ482),$AQ482,"")</f>
        <v/>
      </c>
      <c r="CW482" s="81">
        <f>IF(ISNUMBER($AR482),$AR482,"")</f>
        <v/>
      </c>
      <c r="CX482" s="82">
        <f>IF(ISNUMBER($AS482),$AS482/100,"")</f>
        <v/>
      </c>
      <c r="CY482" s="82">
        <f>IF(ISNUMBER($AT482),$AT482/100,"")</f>
        <v/>
      </c>
      <c r="CZ482" s="82">
        <f>IF(ISNUMBER($AU482),$AU482/100,"")</f>
        <v/>
      </c>
      <c r="DA482" s="82">
        <f>IF(ISNUMBER($AV482),$AV482/100,"")</f>
        <v/>
      </c>
      <c r="DB482" s="82">
        <f>IF(ISNUMBER($AW482),$AW482/100,"")</f>
        <v/>
      </c>
      <c r="DC482" s="82">
        <f>IF(ISNUMBER($AX482),$AX482/100,"")</f>
        <v/>
      </c>
      <c r="DD482" s="77">
        <f>IFERROR(VALUE(LEFT(TRIM($AO482&amp;""),4)),"")</f>
        <v/>
      </c>
      <c r="DE482" s="78">
        <f>IF(AND($BY482=1,$BX482=1,OR(fDeal="All Deals",$BU482=fDeal),OR(fEntity="All Entities",$BV482=fEntity),OR(fPType="All Property Types",$BZ482=fPType),OR(fDefeased="Include",$CJ482=0)),1,0)</f>
        <v/>
      </c>
      <c r="DF482" s="83">
        <f>$DE482*N($I482)</f>
        <v/>
      </c>
      <c r="DG482" s="78">
        <f>IF($DE482=1,IF(COUNTIFS($F$8:$F482,$F482,$DE$8:$DE482,1)=1,1,0),0)</f>
        <v/>
      </c>
      <c r="DH482" s="83">
        <f>IF($DG482=1,SUMIFS($DF$8:$DF$1600,$F$8:$F$1600,$F482),0)</f>
        <v/>
      </c>
      <c r="DI482" s="78">
        <f>IF($DG482=1,COUNTIFS($F$8:$F$1600,$F482,$DE$8:$DE$1600,1),0)</f>
        <v/>
      </c>
      <c r="DJ482" s="84">
        <f>IF($DG482=1,$DH482+(100000-ROW())/mTieBreak,0)</f>
        <v/>
      </c>
    </row>
    <row r="483">
      <c r="B483" s="68" t="n">
        <v>6</v>
      </c>
      <c r="C483" s="69" t="inlineStr">
        <is>
          <t>MSC19H6</t>
        </is>
      </c>
      <c r="D483" s="69" t="inlineStr">
        <is>
          <t>6.000</t>
        </is>
      </c>
      <c r="E483" s="69" t="inlineStr">
        <is>
          <t>Doubletree Modesto</t>
        </is>
      </c>
      <c r="F483" s="69" t="inlineStr">
        <is>
          <t>LNMSC19H6-6.000</t>
        </is>
      </c>
      <c r="G483" s="70" t="n"/>
      <c r="H483" s="71" t="n">
        <v>30000000</v>
      </c>
      <c r="I483" s="71" t="n">
        <v>30000000</v>
      </c>
      <c r="J483" s="72" t="n">
        <v>4.39</v>
      </c>
      <c r="K483" s="69" t="inlineStr">
        <is>
          <t>Fixed rate</t>
        </is>
      </c>
      <c r="L483" s="68" t="n">
        <v>120</v>
      </c>
      <c r="M483" s="68" t="n">
        <v>33</v>
      </c>
      <c r="N483" s="68" t="n">
        <v>120</v>
      </c>
      <c r="O483" s="68" t="n">
        <v>120</v>
      </c>
      <c r="P483" s="68" t="n">
        <v>33</v>
      </c>
      <c r="Q483" s="68" t="n">
        <v>87</v>
      </c>
      <c r="R483" s="69" t="inlineStr">
        <is>
          <t>IO</t>
        </is>
      </c>
      <c r="S483" s="69" t="inlineStr">
        <is>
          <t>Yes</t>
        </is>
      </c>
      <c r="T483" s="73" t="n">
        <v>43617</v>
      </c>
      <c r="U483" s="73" t="n">
        <v>47270</v>
      </c>
      <c r="V483" s="73" t="n"/>
      <c r="W483" s="69" t="n"/>
      <c r="X483" s="69" t="inlineStr">
        <is>
          <t>Current</t>
        </is>
      </c>
      <c r="Y483" s="68" t="n"/>
      <c r="Z483" s="69" t="inlineStr">
        <is>
          <t>No Defeasance Occurred</t>
        </is>
      </c>
      <c r="AA483" s="69" t="inlineStr">
        <is>
          <t>Previously</t>
        </is>
      </c>
      <c r="AB483" s="69" t="inlineStr">
        <is>
          <t>Never special serv</t>
        </is>
      </c>
      <c r="AC483" s="73" t="n"/>
      <c r="AD483" s="69" t="n"/>
      <c r="AE483" s="69" t="n"/>
      <c r="AF483" s="69" t="inlineStr">
        <is>
          <t>CA</t>
        </is>
      </c>
      <c r="AG483" s="69" t="inlineStr">
        <is>
          <t>Modesto</t>
        </is>
      </c>
      <c r="AH483" s="69" t="inlineStr">
        <is>
          <t>Modesto, CA</t>
        </is>
      </c>
      <c r="AI483" s="69" t="inlineStr">
        <is>
          <t>West / Pacific North</t>
        </is>
      </c>
      <c r="AJ483" s="69" t="inlineStr">
        <is>
          <t>HT</t>
        </is>
      </c>
      <c r="AK483" s="69" t="inlineStr">
        <is>
          <t>Full Service</t>
        </is>
      </c>
      <c r="AL483" s="68" t="n">
        <v>1</v>
      </c>
      <c r="AM483" s="68" t="n">
        <v>260</v>
      </c>
      <c r="AN483" s="68" t="n"/>
      <c r="AO483" s="69" t="inlineStr">
        <is>
          <t>1989</t>
        </is>
      </c>
      <c r="AP483" s="70" t="n">
        <v>2013</v>
      </c>
      <c r="AQ483" s="74" t="n">
        <v>3.43</v>
      </c>
      <c r="AR483" s="74" t="n">
        <v>2.02</v>
      </c>
      <c r="AS483" s="74" t="n">
        <v>51.7</v>
      </c>
      <c r="AT483" s="74" t="n">
        <v>51.72</v>
      </c>
      <c r="AU483" s="74" t="n">
        <v>51.7</v>
      </c>
      <c r="AV483" s="74" t="n">
        <v>15.25057</v>
      </c>
      <c r="AW483" s="74" t="n">
        <v>13.015322767</v>
      </c>
      <c r="AX483" s="75" t="n">
        <v>69</v>
      </c>
      <c r="AY483" s="71" t="n">
        <v>58000000</v>
      </c>
      <c r="AZ483" s="71" t="n">
        <v>58000000</v>
      </c>
      <c r="BA483" s="71" t="n">
        <v>4575171</v>
      </c>
      <c r="BB483" s="71" t="n">
        <v>675226.8100000001</v>
      </c>
      <c r="BC483" s="69" t="inlineStr">
        <is>
          <t>Refinance</t>
        </is>
      </c>
      <c r="BD483" s="69" t="inlineStr">
        <is>
          <t>N</t>
        </is>
      </c>
      <c r="BE483" s="71" t="n"/>
      <c r="BF483" s="71" t="n"/>
      <c r="BG483" s="71" t="n"/>
      <c r="BH483" s="71" t="n">
        <v>0</v>
      </c>
      <c r="BI483" s="71" t="n">
        <v>0</v>
      </c>
      <c r="BJ483" s="69" t="inlineStr">
        <is>
          <t>N</t>
        </is>
      </c>
      <c r="BK483" s="69" t="n"/>
      <c r="BL483" s="75" t="n"/>
      <c r="BM483" s="73" t="n"/>
      <c r="BN483" s="69" t="inlineStr">
        <is>
          <t>WHI Investments, LLC</t>
        </is>
      </c>
      <c r="BO483" s="69" t="inlineStr">
        <is>
          <t>Cantor Commercial Real Estate Lending</t>
        </is>
      </c>
      <c r="BP483" s="69" t="inlineStr">
        <is>
          <t>Midland Loan Services</t>
        </is>
      </c>
      <c r="BQ483" s="69" t="inlineStr">
        <is>
          <t>K-Star Asset Management LLC</t>
        </is>
      </c>
      <c r="BR483" s="69" t="n"/>
      <c r="BS483" s="73" t="n">
        <v>46276</v>
      </c>
      <c r="BU483" s="76">
        <f>IF($C483="","",IFERROR(INDEX(dmName,MATCH($C483,dmID,0)),"Unmapped"))</f>
        <v/>
      </c>
      <c r="BV483" s="76">
        <f>IF($C483="","",IFERROR(INDEX(dmEntity,MATCH($C483,dmID,0)),"Unmapped"))</f>
        <v/>
      </c>
      <c r="BW483" s="77">
        <f>IF($C483="","",IFERROR(INDEX(dmVintage,MATCH($C483,dmID,0)),""))</f>
        <v/>
      </c>
      <c r="BX483" s="78">
        <f>IFERROR(INDEX(dmInclude,MATCH($C483,dmID,0)),0)</f>
        <v/>
      </c>
      <c r="BY483" s="78">
        <f>IF(N($I483)&gt;0,1,0)</f>
        <v/>
      </c>
      <c r="BZ483" s="76">
        <f>IF($AJ483="","Other / Leased Fee",IFERROR(INDEX(mapPTGroup,MATCH(LEFT(TRIM($AJ483),2),mapPTCode,0)),"Other / Leased Fee"))</f>
        <v/>
      </c>
      <c r="CA483" s="76">
        <f>IF(TRIM($AF483&amp;"")="","NR",LEFT(TRIM($AF483),2))</f>
        <v/>
      </c>
      <c r="CB483" s="76">
        <f>IFERROR(LOOKUP(2,1/(LEFT(TRIM($AI483&amp;""),LEN(mapRegion))=mapRegion),mapRegion),"Not Reported")</f>
        <v/>
      </c>
      <c r="CC483" s="76">
        <f>IF($BY483=0,"",IF(TRIM($W483&amp;"")="REO","REO",IF(TRIM($W483&amp;"")="FC","Foreclosure",IF(TRIM($W483&amp;"")="90+","90+ Days Delinquent",IF(TRIM($W483&amp;"")="60","60 Days Delinquent",IF(TRIM($W483&amp;"")="30","30 Days Delinquent",IF($X483="Non-Performing Matured Balloon","Non-Performing Matured Balloon",IF(OR($X483="Late Payment But Less Than 30 Days Delinquent",LEFT($X483&amp;"",20)="Payment Not Received"),"Late / In Grace (&lt;30 Days)",IF($X483="Performing Matured Balloon","Performing Matured Balloon","Current")))))))))</f>
        <v/>
      </c>
      <c r="CD483" s="78">
        <f>IF(OR($CC483="REO",$CC483="Foreclosure",$CC483="90+ Days Delinquent",$CC483="60 Days Delinquent",$CC483="30 Days Delinquent",$CC483="Non-Performing Matured Balloon"),1,0)</f>
        <v/>
      </c>
      <c r="CE483" s="76">
        <f>IF($AB483="Currently special serv","Currently Specially Serviced",IF($AB483="Returned to master serv","Previously Specially Serviced","Never Specially Serviced"))</f>
        <v/>
      </c>
      <c r="CF483" s="78">
        <f>IF($CE483="Currently Specially Serviced",1,0)</f>
        <v/>
      </c>
      <c r="CG483" s="76">
        <f>IF($AA483="Yes","Currently on Watchlist",IF($AA483="Previously","Previously on Watchlist","Never on Watchlist"))</f>
        <v/>
      </c>
      <c r="CH483" s="78">
        <f>IF($CG483="Currently on Watchlist",1,0)</f>
        <v/>
      </c>
      <c r="CI483" s="76">
        <f>IF($Z483="Full Defeasance","Fully Defeased",IF($Z483="Portion Of Loan Previously Defeased","Partially Defeased",IF($Z483="Defeasance Not Allowable","Not Defeased (Not Permitted)","Not Defeased")))</f>
        <v/>
      </c>
      <c r="CJ483" s="78">
        <f>IF($CI483="Fully Defeased",1,0)</f>
        <v/>
      </c>
      <c r="CK483" s="76">
        <f>IF($R483="IO","Full IO",IF(LEFT($R483&amp;"",7)="IO then","Partial IO","Amortizing"))</f>
        <v/>
      </c>
      <c r="CL483" s="78">
        <f>IF($CK483="Full IO",1,0)</f>
        <v/>
      </c>
      <c r="CM483" s="78">
        <f>IF($CK483="Partial IO",1,0)</f>
        <v/>
      </c>
      <c r="CN483" s="76">
        <f>IF(LEFT($F483&amp;"",10)="SPLIT_LOAN","Pari Passu Split","Standalone")</f>
        <v/>
      </c>
      <c r="CO483" s="78">
        <f>IF($CN483="Pari Passu Split",1,0)</f>
        <v/>
      </c>
      <c r="CP483" s="77">
        <f>IF(ISNUMBER($T483),YEAR($T483),"")</f>
        <v/>
      </c>
      <c r="CQ483" s="79">
        <f>IF(ISNUMBER($V483),$V483,IF(ISNUMBER($U483),$U483,""))</f>
        <v/>
      </c>
      <c r="CR483" s="77">
        <f>IF(ISNUMBER($CQ483),YEAR($CQ483),"")</f>
        <v/>
      </c>
      <c r="CS483" s="78">
        <f>IF(ISNUMBER($M483),MAX(0,$M483),IF(TRIM($M483&amp;"")="matured",0,""))</f>
        <v/>
      </c>
      <c r="CT483" s="78">
        <f>IF(AND(ISNUMBER($CS483),N($CS483)&lt;=mMatWindow),1,0)</f>
        <v/>
      </c>
      <c r="CU483" s="80">
        <f>IF(ISNUMBER($J483),$J483/100,"")</f>
        <v/>
      </c>
      <c r="CV483" s="81">
        <f>IF(ISNUMBER($AQ483),$AQ483,"")</f>
        <v/>
      </c>
      <c r="CW483" s="81">
        <f>IF(ISNUMBER($AR483),$AR483,"")</f>
        <v/>
      </c>
      <c r="CX483" s="82">
        <f>IF(ISNUMBER($AS483),$AS483/100,"")</f>
        <v/>
      </c>
      <c r="CY483" s="82">
        <f>IF(ISNUMBER($AT483),$AT483/100,"")</f>
        <v/>
      </c>
      <c r="CZ483" s="82">
        <f>IF(ISNUMBER($AU483),$AU483/100,"")</f>
        <v/>
      </c>
      <c r="DA483" s="82">
        <f>IF(ISNUMBER($AV483),$AV483/100,"")</f>
        <v/>
      </c>
      <c r="DB483" s="82">
        <f>IF(ISNUMBER($AW483),$AW483/100,"")</f>
        <v/>
      </c>
      <c r="DC483" s="82">
        <f>IF(ISNUMBER($AX483),$AX483/100,"")</f>
        <v/>
      </c>
      <c r="DD483" s="77">
        <f>IFERROR(VALUE(LEFT(TRIM($AO483&amp;""),4)),"")</f>
        <v/>
      </c>
      <c r="DE483" s="78">
        <f>IF(AND($BY483=1,$BX483=1,OR(fDeal="All Deals",$BU483=fDeal),OR(fEntity="All Entities",$BV483=fEntity),OR(fPType="All Property Types",$BZ483=fPType),OR(fDefeased="Include",$CJ483=0)),1,0)</f>
        <v/>
      </c>
      <c r="DF483" s="83">
        <f>$DE483*N($I483)</f>
        <v/>
      </c>
      <c r="DG483" s="78">
        <f>IF($DE483=1,IF(COUNTIFS($F$8:$F483,$F483,$DE$8:$DE483,1)=1,1,0),0)</f>
        <v/>
      </c>
      <c r="DH483" s="83">
        <f>IF($DG483=1,SUMIFS($DF$8:$DF$1600,$F$8:$F$1600,$F483),0)</f>
        <v/>
      </c>
      <c r="DI483" s="78">
        <f>IF($DG483=1,COUNTIFS($F$8:$F$1600,$F483,$DE$8:$DE$1600,1),0)</f>
        <v/>
      </c>
      <c r="DJ483" s="84">
        <f>IF($DG483=1,$DH483+(100000-ROW())/mTieBreak,0)</f>
        <v/>
      </c>
    </row>
    <row r="484">
      <c r="B484" s="68" t="n">
        <v>7</v>
      </c>
      <c r="C484" s="69" t="inlineStr">
        <is>
          <t>MSC19H6</t>
        </is>
      </c>
      <c r="D484" s="69" t="inlineStr">
        <is>
          <t>7.000</t>
        </is>
      </c>
      <c r="E484" s="69" t="inlineStr">
        <is>
          <t>FedEx Niles</t>
        </is>
      </c>
      <c r="F484" s="69" t="inlineStr">
        <is>
          <t>SPLIT_LOAN_01554</t>
        </is>
      </c>
      <c r="G484" s="70" t="n">
        <v>1554</v>
      </c>
      <c r="H484" s="71" t="n">
        <v>30000000</v>
      </c>
      <c r="I484" s="71" t="n">
        <v>0</v>
      </c>
      <c r="J484" s="72" t="n">
        <v>4.232</v>
      </c>
      <c r="K484" s="69" t="inlineStr">
        <is>
          <t>Fixed rate</t>
        </is>
      </c>
      <c r="L484" s="68" t="n">
        <v>120</v>
      </c>
      <c r="M484" s="68" t="n"/>
      <c r="N484" s="68" t="n">
        <v>120</v>
      </c>
      <c r="O484" s="68" t="n">
        <v>120</v>
      </c>
      <c r="P484" s="68" t="n"/>
      <c r="Q484" s="68" t="n"/>
      <c r="R484" s="69" t="inlineStr">
        <is>
          <t>IO</t>
        </is>
      </c>
      <c r="S484" s="69" t="inlineStr">
        <is>
          <t>Yes</t>
        </is>
      </c>
      <c r="T484" s="73" t="n">
        <v>43617</v>
      </c>
      <c r="U484" s="73" t="n">
        <v>47604</v>
      </c>
      <c r="V484" s="73" t="n">
        <v>47270</v>
      </c>
      <c r="W484" s="69" t="n"/>
      <c r="X484" s="69" t="inlineStr">
        <is>
          <t>Current</t>
        </is>
      </c>
      <c r="Y484" s="68" t="n"/>
      <c r="Z484" s="69" t="inlineStr">
        <is>
          <t>Defeasance Not Allowable</t>
        </is>
      </c>
      <c r="AA484" s="69" t="n"/>
      <c r="AB484" s="69" t="inlineStr">
        <is>
          <t>Never special serv</t>
        </is>
      </c>
      <c r="AC484" s="73" t="n"/>
      <c r="AD484" s="69" t="n"/>
      <c r="AE484" s="69" t="n"/>
      <c r="AF484" s="69" t="inlineStr">
        <is>
          <t>IL</t>
        </is>
      </c>
      <c r="AG484" s="69" t="inlineStr">
        <is>
          <t>Niles</t>
        </is>
      </c>
      <c r="AH484" s="69" t="inlineStr">
        <is>
          <t>Chicago-Naperville-Elgin, IL-IN</t>
        </is>
      </c>
      <c r="AI484" s="69" t="inlineStr">
        <is>
          <t>Midwest / Central East</t>
        </is>
      </c>
      <c r="AJ484" s="69" t="inlineStr">
        <is>
          <t>IN</t>
        </is>
      </c>
      <c r="AK484" s="69" t="inlineStr">
        <is>
          <t>Warehouse/Distribution</t>
        </is>
      </c>
      <c r="AL484" s="68" t="n">
        <v>1</v>
      </c>
      <c r="AM484" s="68" t="n"/>
      <c r="AN484" s="68" t="n">
        <v>314202</v>
      </c>
      <c r="AO484" s="69" t="inlineStr">
        <is>
          <t>2015</t>
        </is>
      </c>
      <c r="AP484" s="70" t="n">
        <v>2015</v>
      </c>
      <c r="AQ484" s="74" t="n">
        <v>2.14</v>
      </c>
      <c r="AR484" s="74" t="n">
        <v>2.52</v>
      </c>
      <c r="AS484" s="74" t="n">
        <v>54.7</v>
      </c>
      <c r="AT484" s="74" t="n"/>
      <c r="AU484" s="74" t="n">
        <v>54.7</v>
      </c>
      <c r="AV484" s="74" t="n">
        <v>9.162515355</v>
      </c>
      <c r="AW484" s="74" t="n"/>
      <c r="AX484" s="75" t="n">
        <v>100</v>
      </c>
      <c r="AY484" s="71" t="n">
        <v>85000000</v>
      </c>
      <c r="AZ484" s="71" t="n">
        <v>85000000</v>
      </c>
      <c r="BA484" s="71" t="n">
        <v>4260569.64</v>
      </c>
      <c r="BB484" s="71" t="n">
        <v>5029264.36</v>
      </c>
      <c r="BC484" s="69" t="inlineStr">
        <is>
          <t>Acquisition</t>
        </is>
      </c>
      <c r="BD484" s="69" t="inlineStr">
        <is>
          <t>N</t>
        </is>
      </c>
      <c r="BE484" s="71" t="n">
        <v>0</v>
      </c>
      <c r="BF484" s="71" t="n"/>
      <c r="BG484" s="71" t="n"/>
      <c r="BH484" s="71" t="n">
        <v>0</v>
      </c>
      <c r="BI484" s="71" t="n">
        <v>0</v>
      </c>
      <c r="BJ484" s="69" t="inlineStr">
        <is>
          <t>N</t>
        </is>
      </c>
      <c r="BK484" s="69" t="inlineStr">
        <is>
          <t>FedEx Ground - Niles</t>
        </is>
      </c>
      <c r="BL484" s="75" t="n">
        <v>100</v>
      </c>
      <c r="BM484" s="73" t="n">
        <v>47634</v>
      </c>
      <c r="BN484" s="69" t="inlineStr">
        <is>
          <t>Frank B. Biolatta; Kevin Burns; Bernard J. Angelo</t>
        </is>
      </c>
      <c r="BO484" s="69" t="inlineStr">
        <is>
          <t>Morgan Stanley</t>
        </is>
      </c>
      <c r="BP484" s="69" t="inlineStr">
        <is>
          <t>Midland Loan Services</t>
        </is>
      </c>
      <c r="BQ484" s="69" t="inlineStr">
        <is>
          <t>K-Star Asset Management LLC</t>
        </is>
      </c>
      <c r="BR484" s="69" t="inlineStr">
        <is>
          <t>Payoff Prior To Maturity</t>
        </is>
      </c>
      <c r="BS484" s="73" t="n">
        <v>46002</v>
      </c>
      <c r="BU484" s="76">
        <f>IF($C484="","",IFERROR(INDEX(dmName,MATCH($C484,dmID,0)),"Unmapped"))</f>
        <v/>
      </c>
      <c r="BV484" s="76">
        <f>IF($C484="","",IFERROR(INDEX(dmEntity,MATCH($C484,dmID,0)),"Unmapped"))</f>
        <v/>
      </c>
      <c r="BW484" s="77">
        <f>IF($C484="","",IFERROR(INDEX(dmVintage,MATCH($C484,dmID,0)),""))</f>
        <v/>
      </c>
      <c r="BX484" s="78">
        <f>IFERROR(INDEX(dmInclude,MATCH($C484,dmID,0)),0)</f>
        <v/>
      </c>
      <c r="BY484" s="78">
        <f>IF(N($I484)&gt;0,1,0)</f>
        <v/>
      </c>
      <c r="BZ484" s="76">
        <f>IF($AJ484="","Other / Leased Fee",IFERROR(INDEX(mapPTGroup,MATCH(LEFT(TRIM($AJ484),2),mapPTCode,0)),"Other / Leased Fee"))</f>
        <v/>
      </c>
      <c r="CA484" s="76">
        <f>IF(TRIM($AF484&amp;"")="","NR",LEFT(TRIM($AF484),2))</f>
        <v/>
      </c>
      <c r="CB484" s="76">
        <f>IFERROR(LOOKUP(2,1/(LEFT(TRIM($AI484&amp;""),LEN(mapRegion))=mapRegion),mapRegion),"Not Reported")</f>
        <v/>
      </c>
      <c r="CC484" s="76">
        <f>IF($BY484=0,"",IF(TRIM($W484&amp;"")="REO","REO",IF(TRIM($W484&amp;"")="FC","Foreclosure",IF(TRIM($W484&amp;"")="90+","90+ Days Delinquent",IF(TRIM($W484&amp;"")="60","60 Days Delinquent",IF(TRIM($W484&amp;"")="30","30 Days Delinquent",IF($X484="Non-Performing Matured Balloon","Non-Performing Matured Balloon",IF(OR($X484="Late Payment But Less Than 30 Days Delinquent",LEFT($X484&amp;"",20)="Payment Not Received"),"Late / In Grace (&lt;30 Days)",IF($X484="Performing Matured Balloon","Performing Matured Balloon","Current")))))))))</f>
        <v/>
      </c>
      <c r="CD484" s="78">
        <f>IF(OR($CC484="REO",$CC484="Foreclosure",$CC484="90+ Days Delinquent",$CC484="60 Days Delinquent",$CC484="30 Days Delinquent",$CC484="Non-Performing Matured Balloon"),1,0)</f>
        <v/>
      </c>
      <c r="CE484" s="76">
        <f>IF($AB484="Currently special serv","Currently Specially Serviced",IF($AB484="Returned to master serv","Previously Specially Serviced","Never Specially Serviced"))</f>
        <v/>
      </c>
      <c r="CF484" s="78">
        <f>IF($CE484="Currently Specially Serviced",1,0)</f>
        <v/>
      </c>
      <c r="CG484" s="76">
        <f>IF($AA484="Yes","Currently on Watchlist",IF($AA484="Previously","Previously on Watchlist","Never on Watchlist"))</f>
        <v/>
      </c>
      <c r="CH484" s="78">
        <f>IF($CG484="Currently on Watchlist",1,0)</f>
        <v/>
      </c>
      <c r="CI484" s="76">
        <f>IF($Z484="Full Defeasance","Fully Defeased",IF($Z484="Portion Of Loan Previously Defeased","Partially Defeased",IF($Z484="Defeasance Not Allowable","Not Defeased (Not Permitted)","Not Defeased")))</f>
        <v/>
      </c>
      <c r="CJ484" s="78">
        <f>IF($CI484="Fully Defeased",1,0)</f>
        <v/>
      </c>
      <c r="CK484" s="76">
        <f>IF($R484="IO","Full IO",IF(LEFT($R484&amp;"",7)="IO then","Partial IO","Amortizing"))</f>
        <v/>
      </c>
      <c r="CL484" s="78">
        <f>IF($CK484="Full IO",1,0)</f>
        <v/>
      </c>
      <c r="CM484" s="78">
        <f>IF($CK484="Partial IO",1,0)</f>
        <v/>
      </c>
      <c r="CN484" s="76">
        <f>IF(LEFT($F484&amp;"",10)="SPLIT_LOAN","Pari Passu Split","Standalone")</f>
        <v/>
      </c>
      <c r="CO484" s="78">
        <f>IF($CN484="Pari Passu Split",1,0)</f>
        <v/>
      </c>
      <c r="CP484" s="77">
        <f>IF(ISNUMBER($T484),YEAR($T484),"")</f>
        <v/>
      </c>
      <c r="CQ484" s="79">
        <f>IF(ISNUMBER($V484),$V484,IF(ISNUMBER($U484),$U484,""))</f>
        <v/>
      </c>
      <c r="CR484" s="77">
        <f>IF(ISNUMBER($CQ484),YEAR($CQ484),"")</f>
        <v/>
      </c>
      <c r="CS484" s="78">
        <f>IF(ISNUMBER($M484),MAX(0,$M484),IF(TRIM($M484&amp;"")="matured",0,""))</f>
        <v/>
      </c>
      <c r="CT484" s="78">
        <f>IF(AND(ISNUMBER($CS484),N($CS484)&lt;=mMatWindow),1,0)</f>
        <v/>
      </c>
      <c r="CU484" s="80">
        <f>IF(ISNUMBER($J484),$J484/100,"")</f>
        <v/>
      </c>
      <c r="CV484" s="81">
        <f>IF(ISNUMBER($AQ484),$AQ484,"")</f>
        <v/>
      </c>
      <c r="CW484" s="81">
        <f>IF(ISNUMBER($AR484),$AR484,"")</f>
        <v/>
      </c>
      <c r="CX484" s="82">
        <f>IF(ISNUMBER($AS484),$AS484/100,"")</f>
        <v/>
      </c>
      <c r="CY484" s="82">
        <f>IF(ISNUMBER($AT484),$AT484/100,"")</f>
        <v/>
      </c>
      <c r="CZ484" s="82">
        <f>IF(ISNUMBER($AU484),$AU484/100,"")</f>
        <v/>
      </c>
      <c r="DA484" s="82">
        <f>IF(ISNUMBER($AV484),$AV484/100,"")</f>
        <v/>
      </c>
      <c r="DB484" s="82">
        <f>IF(ISNUMBER($AW484),$AW484/100,"")</f>
        <v/>
      </c>
      <c r="DC484" s="82">
        <f>IF(ISNUMBER($AX484),$AX484/100,"")</f>
        <v/>
      </c>
      <c r="DD484" s="77">
        <f>IFERROR(VALUE(LEFT(TRIM($AO484&amp;""),4)),"")</f>
        <v/>
      </c>
      <c r="DE484" s="78">
        <f>IF(AND($BY484=1,$BX484=1,OR(fDeal="All Deals",$BU484=fDeal),OR(fEntity="All Entities",$BV484=fEntity),OR(fPType="All Property Types",$BZ484=fPType),OR(fDefeased="Include",$CJ484=0)),1,0)</f>
        <v/>
      </c>
      <c r="DF484" s="83">
        <f>$DE484*N($I484)</f>
        <v/>
      </c>
      <c r="DG484" s="78">
        <f>IF($DE484=1,IF(COUNTIFS($F$8:$F484,$F484,$DE$8:$DE484,1)=1,1,0),0)</f>
        <v/>
      </c>
      <c r="DH484" s="83">
        <f>IF($DG484=1,SUMIFS($DF$8:$DF$1600,$F$8:$F$1600,$F484),0)</f>
        <v/>
      </c>
      <c r="DI484" s="78">
        <f>IF($DG484=1,COUNTIFS($F$8:$F$1600,$F484,$DE$8:$DE$1600,1),0)</f>
        <v/>
      </c>
      <c r="DJ484" s="84">
        <f>IF($DG484=1,$DH484+(100000-ROW())/mTieBreak,0)</f>
        <v/>
      </c>
    </row>
    <row r="485">
      <c r="B485" s="68" t="n">
        <v>8</v>
      </c>
      <c r="C485" s="69" t="inlineStr">
        <is>
          <t>MSC19H6</t>
        </is>
      </c>
      <c r="D485" s="69" t="inlineStr">
        <is>
          <t>8.000</t>
        </is>
      </c>
      <c r="E485" s="69" t="inlineStr">
        <is>
          <t>Lake Meadows Shopping Center</t>
        </is>
      </c>
      <c r="F485" s="69" t="inlineStr">
        <is>
          <t>LNMSC19H6-8.000</t>
        </is>
      </c>
      <c r="G485" s="70" t="n"/>
      <c r="H485" s="71" t="n">
        <v>25900000</v>
      </c>
      <c r="I485" s="71" t="n">
        <v>25900000</v>
      </c>
      <c r="J485" s="72" t="n">
        <v>4.48</v>
      </c>
      <c r="K485" s="69" t="inlineStr">
        <is>
          <t>Fixed rate</t>
        </is>
      </c>
      <c r="L485" s="68" t="n">
        <v>120</v>
      </c>
      <c r="M485" s="68" t="n">
        <v>32</v>
      </c>
      <c r="N485" s="68" t="n">
        <v>120</v>
      </c>
      <c r="O485" s="68" t="n">
        <v>120</v>
      </c>
      <c r="P485" s="68" t="n">
        <v>32</v>
      </c>
      <c r="Q485" s="68" t="n">
        <v>88</v>
      </c>
      <c r="R485" s="69" t="inlineStr">
        <is>
          <t>IO</t>
        </is>
      </c>
      <c r="S485" s="69" t="inlineStr">
        <is>
          <t>Yes</t>
        </is>
      </c>
      <c r="T485" s="73" t="n">
        <v>43586</v>
      </c>
      <c r="U485" s="73" t="n">
        <v>47239</v>
      </c>
      <c r="V485" s="73" t="n"/>
      <c r="W485" s="69" t="n"/>
      <c r="X485" s="69" t="inlineStr">
        <is>
          <t>Current</t>
        </is>
      </c>
      <c r="Y485" s="68" t="n"/>
      <c r="Z485" s="69" t="inlineStr">
        <is>
          <t>Full Defeasance</t>
        </is>
      </c>
      <c r="AA485" s="69" t="inlineStr">
        <is>
          <t>Previously</t>
        </is>
      </c>
      <c r="AB485" s="69" t="inlineStr">
        <is>
          <t>Never special serv</t>
        </is>
      </c>
      <c r="AC485" s="73" t="n"/>
      <c r="AD485" s="69" t="n"/>
      <c r="AE485" s="69" t="n"/>
      <c r="AF485" s="69" t="inlineStr">
        <is>
          <t>IL</t>
        </is>
      </c>
      <c r="AG485" s="69" t="inlineStr">
        <is>
          <t>Chicago</t>
        </is>
      </c>
      <c r="AH485" s="69" t="inlineStr">
        <is>
          <t>Chicago-Naperville-Elgin, IL-IN</t>
        </is>
      </c>
      <c r="AI485" s="69" t="inlineStr">
        <is>
          <t>Midwest / Central East</t>
        </is>
      </c>
      <c r="AJ485" s="69" t="inlineStr">
        <is>
          <t>RT</t>
        </is>
      </c>
      <c r="AK485" s="69" t="inlineStr">
        <is>
          <t>Anchored</t>
        </is>
      </c>
      <c r="AL485" s="68" t="n">
        <v>1</v>
      </c>
      <c r="AM485" s="68" t="n"/>
      <c r="AN485" s="68" t="n">
        <v>176594</v>
      </c>
      <c r="AO485" s="69" t="inlineStr">
        <is>
          <t>1954</t>
        </is>
      </c>
      <c r="AP485" s="70" t="n">
        <v>2017</v>
      </c>
      <c r="AQ485" s="74" t="n">
        <v>2.14</v>
      </c>
      <c r="AR485" s="74" t="n">
        <v>2.44</v>
      </c>
      <c r="AS485" s="74" t="n">
        <v>63.8</v>
      </c>
      <c r="AT485" s="74" t="n">
        <v>63.79</v>
      </c>
      <c r="AU485" s="74" t="n">
        <v>63.8</v>
      </c>
      <c r="AV485" s="74" t="n">
        <v>9.706519420999999</v>
      </c>
      <c r="AW485" s="74" t="n">
        <v>9.531822896</v>
      </c>
      <c r="AX485" s="75" t="n">
        <v>95</v>
      </c>
      <c r="AY485" s="71" t="n">
        <v>40600000</v>
      </c>
      <c r="AZ485" s="71" t="n">
        <v>40600000</v>
      </c>
      <c r="BA485" s="71" t="n">
        <v>2513988.53</v>
      </c>
      <c r="BB485" s="71" t="n">
        <v>2867934.89</v>
      </c>
      <c r="BC485" s="69" t="inlineStr">
        <is>
          <t>Refinance</t>
        </is>
      </c>
      <c r="BD485" s="69" t="inlineStr">
        <is>
          <t>N</t>
        </is>
      </c>
      <c r="BE485" s="71" t="n"/>
      <c r="BF485" s="71" t="n"/>
      <c r="BG485" s="71" t="n"/>
      <c r="BH485" s="71" t="n">
        <v>0</v>
      </c>
      <c r="BI485" s="71" t="n">
        <v>0</v>
      </c>
      <c r="BJ485" s="69" t="inlineStr">
        <is>
          <t>Y</t>
        </is>
      </c>
      <c r="BK485" s="69" t="inlineStr">
        <is>
          <t>Jewel Foods</t>
        </is>
      </c>
      <c r="BL485" s="75" t="n">
        <v>27.8</v>
      </c>
      <c r="BM485" s="73" t="n">
        <v>47149</v>
      </c>
      <c r="BN485" s="69" t="inlineStr">
        <is>
          <t>Lake Meadows Associates</t>
        </is>
      </c>
      <c r="BO485" s="69" t="inlineStr">
        <is>
          <t>Morgan Stanley</t>
        </is>
      </c>
      <c r="BP485" s="69" t="inlineStr">
        <is>
          <t>Midland Loan Services</t>
        </is>
      </c>
      <c r="BQ485" s="69" t="inlineStr">
        <is>
          <t>K-Star Asset Management LLC</t>
        </is>
      </c>
      <c r="BR485" s="69" t="n"/>
      <c r="BS485" s="73" t="n">
        <v>46276</v>
      </c>
      <c r="BU485" s="76">
        <f>IF($C485="","",IFERROR(INDEX(dmName,MATCH($C485,dmID,0)),"Unmapped"))</f>
        <v/>
      </c>
      <c r="BV485" s="76">
        <f>IF($C485="","",IFERROR(INDEX(dmEntity,MATCH($C485,dmID,0)),"Unmapped"))</f>
        <v/>
      </c>
      <c r="BW485" s="77">
        <f>IF($C485="","",IFERROR(INDEX(dmVintage,MATCH($C485,dmID,0)),""))</f>
        <v/>
      </c>
      <c r="BX485" s="78">
        <f>IFERROR(INDEX(dmInclude,MATCH($C485,dmID,0)),0)</f>
        <v/>
      </c>
      <c r="BY485" s="78">
        <f>IF(N($I485)&gt;0,1,0)</f>
        <v/>
      </c>
      <c r="BZ485" s="76">
        <f>IF($AJ485="","Other / Leased Fee",IFERROR(INDEX(mapPTGroup,MATCH(LEFT(TRIM($AJ485),2),mapPTCode,0)),"Other / Leased Fee"))</f>
        <v/>
      </c>
      <c r="CA485" s="76">
        <f>IF(TRIM($AF485&amp;"")="","NR",LEFT(TRIM($AF485),2))</f>
        <v/>
      </c>
      <c r="CB485" s="76">
        <f>IFERROR(LOOKUP(2,1/(LEFT(TRIM($AI485&amp;""),LEN(mapRegion))=mapRegion),mapRegion),"Not Reported")</f>
        <v/>
      </c>
      <c r="CC485" s="76">
        <f>IF($BY485=0,"",IF(TRIM($W485&amp;"")="REO","REO",IF(TRIM($W485&amp;"")="FC","Foreclosure",IF(TRIM($W485&amp;"")="90+","90+ Days Delinquent",IF(TRIM($W485&amp;"")="60","60 Days Delinquent",IF(TRIM($W485&amp;"")="30","30 Days Delinquent",IF($X485="Non-Performing Matured Balloon","Non-Performing Matured Balloon",IF(OR($X485="Late Payment But Less Than 30 Days Delinquent",LEFT($X485&amp;"",20)="Payment Not Received"),"Late / In Grace (&lt;30 Days)",IF($X485="Performing Matured Balloon","Performing Matured Balloon","Current")))))))))</f>
        <v/>
      </c>
      <c r="CD485" s="78">
        <f>IF(OR($CC485="REO",$CC485="Foreclosure",$CC485="90+ Days Delinquent",$CC485="60 Days Delinquent",$CC485="30 Days Delinquent",$CC485="Non-Performing Matured Balloon"),1,0)</f>
        <v/>
      </c>
      <c r="CE485" s="76">
        <f>IF($AB485="Currently special serv","Currently Specially Serviced",IF($AB485="Returned to master serv","Previously Specially Serviced","Never Specially Serviced"))</f>
        <v/>
      </c>
      <c r="CF485" s="78">
        <f>IF($CE485="Currently Specially Serviced",1,0)</f>
        <v/>
      </c>
      <c r="CG485" s="76">
        <f>IF($AA485="Yes","Currently on Watchlist",IF($AA485="Previously","Previously on Watchlist","Never on Watchlist"))</f>
        <v/>
      </c>
      <c r="CH485" s="78">
        <f>IF($CG485="Currently on Watchlist",1,0)</f>
        <v/>
      </c>
      <c r="CI485" s="76">
        <f>IF($Z485="Full Defeasance","Fully Defeased",IF($Z485="Portion Of Loan Previously Defeased","Partially Defeased",IF($Z485="Defeasance Not Allowable","Not Defeased (Not Permitted)","Not Defeased")))</f>
        <v/>
      </c>
      <c r="CJ485" s="78">
        <f>IF($CI485="Fully Defeased",1,0)</f>
        <v/>
      </c>
      <c r="CK485" s="76">
        <f>IF($R485="IO","Full IO",IF(LEFT($R485&amp;"",7)="IO then","Partial IO","Amortizing"))</f>
        <v/>
      </c>
      <c r="CL485" s="78">
        <f>IF($CK485="Full IO",1,0)</f>
        <v/>
      </c>
      <c r="CM485" s="78">
        <f>IF($CK485="Partial IO",1,0)</f>
        <v/>
      </c>
      <c r="CN485" s="76">
        <f>IF(LEFT($F485&amp;"",10)="SPLIT_LOAN","Pari Passu Split","Standalone")</f>
        <v/>
      </c>
      <c r="CO485" s="78">
        <f>IF($CN485="Pari Passu Split",1,0)</f>
        <v/>
      </c>
      <c r="CP485" s="77">
        <f>IF(ISNUMBER($T485),YEAR($T485),"")</f>
        <v/>
      </c>
      <c r="CQ485" s="79">
        <f>IF(ISNUMBER($V485),$V485,IF(ISNUMBER($U485),$U485,""))</f>
        <v/>
      </c>
      <c r="CR485" s="77">
        <f>IF(ISNUMBER($CQ485),YEAR($CQ485),"")</f>
        <v/>
      </c>
      <c r="CS485" s="78">
        <f>IF(ISNUMBER($M485),MAX(0,$M485),IF(TRIM($M485&amp;"")="matured",0,""))</f>
        <v/>
      </c>
      <c r="CT485" s="78">
        <f>IF(AND(ISNUMBER($CS485),N($CS485)&lt;=mMatWindow),1,0)</f>
        <v/>
      </c>
      <c r="CU485" s="80">
        <f>IF(ISNUMBER($J485),$J485/100,"")</f>
        <v/>
      </c>
      <c r="CV485" s="81">
        <f>IF(ISNUMBER($AQ485),$AQ485,"")</f>
        <v/>
      </c>
      <c r="CW485" s="81">
        <f>IF(ISNUMBER($AR485),$AR485,"")</f>
        <v/>
      </c>
      <c r="CX485" s="82">
        <f>IF(ISNUMBER($AS485),$AS485/100,"")</f>
        <v/>
      </c>
      <c r="CY485" s="82">
        <f>IF(ISNUMBER($AT485),$AT485/100,"")</f>
        <v/>
      </c>
      <c r="CZ485" s="82">
        <f>IF(ISNUMBER($AU485),$AU485/100,"")</f>
        <v/>
      </c>
      <c r="DA485" s="82">
        <f>IF(ISNUMBER($AV485),$AV485/100,"")</f>
        <v/>
      </c>
      <c r="DB485" s="82">
        <f>IF(ISNUMBER($AW485),$AW485/100,"")</f>
        <v/>
      </c>
      <c r="DC485" s="82">
        <f>IF(ISNUMBER($AX485),$AX485/100,"")</f>
        <v/>
      </c>
      <c r="DD485" s="77">
        <f>IFERROR(VALUE(LEFT(TRIM($AO485&amp;""),4)),"")</f>
        <v/>
      </c>
      <c r="DE485" s="78">
        <f>IF(AND($BY485=1,$BX485=1,OR(fDeal="All Deals",$BU485=fDeal),OR(fEntity="All Entities",$BV485=fEntity),OR(fPType="All Property Types",$BZ485=fPType),OR(fDefeased="Include",$CJ485=0)),1,0)</f>
        <v/>
      </c>
      <c r="DF485" s="83">
        <f>$DE485*N($I485)</f>
        <v/>
      </c>
      <c r="DG485" s="78">
        <f>IF($DE485=1,IF(COUNTIFS($F$8:$F485,$F485,$DE$8:$DE485,1)=1,1,0),0)</f>
        <v/>
      </c>
      <c r="DH485" s="83">
        <f>IF($DG485=1,SUMIFS($DF$8:$DF$1600,$F$8:$F$1600,$F485),0)</f>
        <v/>
      </c>
      <c r="DI485" s="78">
        <f>IF($DG485=1,COUNTIFS($F$8:$F$1600,$F485,$DE$8:$DE$1600,1),0)</f>
        <v/>
      </c>
      <c r="DJ485" s="84">
        <f>IF($DG485=1,$DH485+(100000-ROW())/mTieBreak,0)</f>
        <v/>
      </c>
    </row>
    <row r="486">
      <c r="B486" s="68" t="n">
        <v>9</v>
      </c>
      <c r="C486" s="69" t="inlineStr">
        <is>
          <t>MSC19H6</t>
        </is>
      </c>
      <c r="D486" s="69" t="inlineStr">
        <is>
          <t>9.000</t>
        </is>
      </c>
      <c r="E486" s="69" t="inlineStr">
        <is>
          <t>Shoppes at Fox River</t>
        </is>
      </c>
      <c r="F486" s="69" t="inlineStr">
        <is>
          <t>LNMSC19H6-9.000</t>
        </is>
      </c>
      <c r="G486" s="70" t="n"/>
      <c r="H486" s="71" t="n">
        <v>22000000</v>
      </c>
      <c r="I486" s="71" t="n">
        <v>17864362.32999</v>
      </c>
      <c r="J486" s="72" t="n">
        <v>4.48</v>
      </c>
      <c r="K486" s="69" t="inlineStr">
        <is>
          <t>Fixed rate</t>
        </is>
      </c>
      <c r="L486" s="68" t="n">
        <v>120</v>
      </c>
      <c r="M486" s="68" t="n">
        <v>30</v>
      </c>
      <c r="N486" s="68" t="n">
        <v>300</v>
      </c>
      <c r="O486" s="68" t="n"/>
      <c r="P486" s="68" t="n"/>
      <c r="Q486" s="68" t="n">
        <v>90</v>
      </c>
      <c r="R486" s="69" t="n"/>
      <c r="S486" s="69" t="inlineStr">
        <is>
          <t>No</t>
        </is>
      </c>
      <c r="T486" s="73" t="n">
        <v>43525</v>
      </c>
      <c r="U486" s="73" t="n">
        <v>47183</v>
      </c>
      <c r="V486" s="73" t="n"/>
      <c r="W486" s="69" t="n"/>
      <c r="X486" s="69" t="inlineStr">
        <is>
          <t>Current</t>
        </is>
      </c>
      <c r="Y486" s="68" t="n"/>
      <c r="Z486" s="69" t="inlineStr">
        <is>
          <t>Defeasance Not Allowable</t>
        </is>
      </c>
      <c r="AA486" s="69" t="n"/>
      <c r="AB486" s="69" t="inlineStr">
        <is>
          <t>Never special serv</t>
        </is>
      </c>
      <c r="AC486" s="73" t="n"/>
      <c r="AD486" s="69" t="n"/>
      <c r="AE486" s="69" t="n"/>
      <c r="AF486" s="69" t="inlineStr">
        <is>
          <t>WI</t>
        </is>
      </c>
      <c r="AG486" s="69" t="inlineStr">
        <is>
          <t>Waukesha</t>
        </is>
      </c>
      <c r="AH486" s="69" t="inlineStr">
        <is>
          <t>Milwaukee-Waukesha, WI</t>
        </is>
      </c>
      <c r="AI486" s="69" t="inlineStr">
        <is>
          <t>Midwest / Central East</t>
        </is>
      </c>
      <c r="AJ486" s="69" t="inlineStr">
        <is>
          <t>RT</t>
        </is>
      </c>
      <c r="AK486" s="69" t="inlineStr">
        <is>
          <t>Anchored</t>
        </is>
      </c>
      <c r="AL486" s="68" t="n">
        <v>1</v>
      </c>
      <c r="AM486" s="68" t="n"/>
      <c r="AN486" s="68" t="n">
        <v>331541</v>
      </c>
      <c r="AO486" s="69" t="inlineStr">
        <is>
          <t>2009, 2012, 2014, 2016</t>
        </is>
      </c>
      <c r="AP486" s="70" t="n">
        <v>2016</v>
      </c>
      <c r="AQ486" s="74" t="n">
        <v>2.76</v>
      </c>
      <c r="AR486" s="74" t="n">
        <v>2.47</v>
      </c>
      <c r="AS486" s="74" t="n">
        <v>38.1</v>
      </c>
      <c r="AT486" s="74" t="n">
        <v>31.12</v>
      </c>
      <c r="AU486" s="74" t="n">
        <v>28.2</v>
      </c>
      <c r="AV486" s="74" t="n">
        <v>18.399340364</v>
      </c>
      <c r="AW486" s="74" t="n">
        <v>20.224520547</v>
      </c>
      <c r="AX486" s="75" t="n">
        <v>89</v>
      </c>
      <c r="AY486" s="71" t="n">
        <v>57400000</v>
      </c>
      <c r="AZ486" s="71" t="n">
        <v>57400000</v>
      </c>
      <c r="BA486" s="71" t="n">
        <v>4047854.88</v>
      </c>
      <c r="BB486" s="71" t="n">
        <v>3612981.63</v>
      </c>
      <c r="BC486" s="69" t="inlineStr">
        <is>
          <t>Acquisition</t>
        </is>
      </c>
      <c r="BD486" s="69" t="inlineStr">
        <is>
          <t>N</t>
        </is>
      </c>
      <c r="BE486" s="71" t="n"/>
      <c r="BF486" s="71" t="n"/>
      <c r="BG486" s="71" t="n"/>
      <c r="BH486" s="71" t="n">
        <v>0</v>
      </c>
      <c r="BI486" s="71" t="n">
        <v>0</v>
      </c>
      <c r="BJ486" s="69" t="inlineStr">
        <is>
          <t>N</t>
        </is>
      </c>
      <c r="BK486" s="69" t="inlineStr">
        <is>
          <t>ROUNDY'S SUPERMARKETS PICK 'N</t>
        </is>
      </c>
      <c r="BL486" s="75" t="n">
        <v>18.41</v>
      </c>
      <c r="BM486" s="73" t="n">
        <v>47483</v>
      </c>
      <c r="BN486" s="69" t="inlineStr">
        <is>
          <t>Harold J. Etkin; Johanne S. Etkin Finley</t>
        </is>
      </c>
      <c r="BO486" s="69" t="inlineStr">
        <is>
          <t>Starwood</t>
        </is>
      </c>
      <c r="BP486" s="69" t="inlineStr">
        <is>
          <t>Midland Loan Services</t>
        </is>
      </c>
      <c r="BQ486" s="69" t="inlineStr">
        <is>
          <t>K-Star Asset Management LLC</t>
        </is>
      </c>
      <c r="BR486" s="69" t="n"/>
      <c r="BS486" s="73" t="n">
        <v>46276</v>
      </c>
      <c r="BU486" s="76">
        <f>IF($C486="","",IFERROR(INDEX(dmName,MATCH($C486,dmID,0)),"Unmapped"))</f>
        <v/>
      </c>
      <c r="BV486" s="76">
        <f>IF($C486="","",IFERROR(INDEX(dmEntity,MATCH($C486,dmID,0)),"Unmapped"))</f>
        <v/>
      </c>
      <c r="BW486" s="77">
        <f>IF($C486="","",IFERROR(INDEX(dmVintage,MATCH($C486,dmID,0)),""))</f>
        <v/>
      </c>
      <c r="BX486" s="78">
        <f>IFERROR(INDEX(dmInclude,MATCH($C486,dmID,0)),0)</f>
        <v/>
      </c>
      <c r="BY486" s="78">
        <f>IF(N($I486)&gt;0,1,0)</f>
        <v/>
      </c>
      <c r="BZ486" s="76">
        <f>IF($AJ486="","Other / Leased Fee",IFERROR(INDEX(mapPTGroup,MATCH(LEFT(TRIM($AJ486),2),mapPTCode,0)),"Other / Leased Fee"))</f>
        <v/>
      </c>
      <c r="CA486" s="76">
        <f>IF(TRIM($AF486&amp;"")="","NR",LEFT(TRIM($AF486),2))</f>
        <v/>
      </c>
      <c r="CB486" s="76">
        <f>IFERROR(LOOKUP(2,1/(LEFT(TRIM($AI486&amp;""),LEN(mapRegion))=mapRegion),mapRegion),"Not Reported")</f>
        <v/>
      </c>
      <c r="CC486" s="76">
        <f>IF($BY486=0,"",IF(TRIM($W486&amp;"")="REO","REO",IF(TRIM($W486&amp;"")="FC","Foreclosure",IF(TRIM($W486&amp;"")="90+","90+ Days Delinquent",IF(TRIM($W486&amp;"")="60","60 Days Delinquent",IF(TRIM($W486&amp;"")="30","30 Days Delinquent",IF($X486="Non-Performing Matured Balloon","Non-Performing Matured Balloon",IF(OR($X486="Late Payment But Less Than 30 Days Delinquent",LEFT($X486&amp;"",20)="Payment Not Received"),"Late / In Grace (&lt;30 Days)",IF($X486="Performing Matured Balloon","Performing Matured Balloon","Current")))))))))</f>
        <v/>
      </c>
      <c r="CD486" s="78">
        <f>IF(OR($CC486="REO",$CC486="Foreclosure",$CC486="90+ Days Delinquent",$CC486="60 Days Delinquent",$CC486="30 Days Delinquent",$CC486="Non-Performing Matured Balloon"),1,0)</f>
        <v/>
      </c>
      <c r="CE486" s="76">
        <f>IF($AB486="Currently special serv","Currently Specially Serviced",IF($AB486="Returned to master serv","Previously Specially Serviced","Never Specially Serviced"))</f>
        <v/>
      </c>
      <c r="CF486" s="78">
        <f>IF($CE486="Currently Specially Serviced",1,0)</f>
        <v/>
      </c>
      <c r="CG486" s="76">
        <f>IF($AA486="Yes","Currently on Watchlist",IF($AA486="Previously","Previously on Watchlist","Never on Watchlist"))</f>
        <v/>
      </c>
      <c r="CH486" s="78">
        <f>IF($CG486="Currently on Watchlist",1,0)</f>
        <v/>
      </c>
      <c r="CI486" s="76">
        <f>IF($Z486="Full Defeasance","Fully Defeased",IF($Z486="Portion Of Loan Previously Defeased","Partially Defeased",IF($Z486="Defeasance Not Allowable","Not Defeased (Not Permitted)","Not Defeased")))</f>
        <v/>
      </c>
      <c r="CJ486" s="78">
        <f>IF($CI486="Fully Defeased",1,0)</f>
        <v/>
      </c>
      <c r="CK486" s="76">
        <f>IF($R486="IO","Full IO",IF(LEFT($R486&amp;"",7)="IO then","Partial IO","Amortizing"))</f>
        <v/>
      </c>
      <c r="CL486" s="78">
        <f>IF($CK486="Full IO",1,0)</f>
        <v/>
      </c>
      <c r="CM486" s="78">
        <f>IF($CK486="Partial IO",1,0)</f>
        <v/>
      </c>
      <c r="CN486" s="76">
        <f>IF(LEFT($F486&amp;"",10)="SPLIT_LOAN","Pari Passu Split","Standalone")</f>
        <v/>
      </c>
      <c r="CO486" s="78">
        <f>IF($CN486="Pari Passu Split",1,0)</f>
        <v/>
      </c>
      <c r="CP486" s="77">
        <f>IF(ISNUMBER($T486),YEAR($T486),"")</f>
        <v/>
      </c>
      <c r="CQ486" s="79">
        <f>IF(ISNUMBER($V486),$V486,IF(ISNUMBER($U486),$U486,""))</f>
        <v/>
      </c>
      <c r="CR486" s="77">
        <f>IF(ISNUMBER($CQ486),YEAR($CQ486),"")</f>
        <v/>
      </c>
      <c r="CS486" s="78">
        <f>IF(ISNUMBER($M486),MAX(0,$M486),IF(TRIM($M486&amp;"")="matured",0,""))</f>
        <v/>
      </c>
      <c r="CT486" s="78">
        <f>IF(AND(ISNUMBER($CS486),N($CS486)&lt;=mMatWindow),1,0)</f>
        <v/>
      </c>
      <c r="CU486" s="80">
        <f>IF(ISNUMBER($J486),$J486/100,"")</f>
        <v/>
      </c>
      <c r="CV486" s="81">
        <f>IF(ISNUMBER($AQ486),$AQ486,"")</f>
        <v/>
      </c>
      <c r="CW486" s="81">
        <f>IF(ISNUMBER($AR486),$AR486,"")</f>
        <v/>
      </c>
      <c r="CX486" s="82">
        <f>IF(ISNUMBER($AS486),$AS486/100,"")</f>
        <v/>
      </c>
      <c r="CY486" s="82">
        <f>IF(ISNUMBER($AT486),$AT486/100,"")</f>
        <v/>
      </c>
      <c r="CZ486" s="82">
        <f>IF(ISNUMBER($AU486),$AU486/100,"")</f>
        <v/>
      </c>
      <c r="DA486" s="82">
        <f>IF(ISNUMBER($AV486),$AV486/100,"")</f>
        <v/>
      </c>
      <c r="DB486" s="82">
        <f>IF(ISNUMBER($AW486),$AW486/100,"")</f>
        <v/>
      </c>
      <c r="DC486" s="82">
        <f>IF(ISNUMBER($AX486),$AX486/100,"")</f>
        <v/>
      </c>
      <c r="DD486" s="77">
        <f>IFERROR(VALUE(LEFT(TRIM($AO486&amp;""),4)),"")</f>
        <v/>
      </c>
      <c r="DE486" s="78">
        <f>IF(AND($BY486=1,$BX486=1,OR(fDeal="All Deals",$BU486=fDeal),OR(fEntity="All Entities",$BV486=fEntity),OR(fPType="All Property Types",$BZ486=fPType),OR(fDefeased="Include",$CJ486=0)),1,0)</f>
        <v/>
      </c>
      <c r="DF486" s="83">
        <f>$DE486*N($I486)</f>
        <v/>
      </c>
      <c r="DG486" s="78">
        <f>IF($DE486=1,IF(COUNTIFS($F$8:$F486,$F486,$DE$8:$DE486,1)=1,1,0),0)</f>
        <v/>
      </c>
      <c r="DH486" s="83">
        <f>IF($DG486=1,SUMIFS($DF$8:$DF$1600,$F$8:$F$1600,$F486),0)</f>
        <v/>
      </c>
      <c r="DI486" s="78">
        <f>IF($DG486=1,COUNTIFS($F$8:$F$1600,$F486,$DE$8:$DE$1600,1),0)</f>
        <v/>
      </c>
      <c r="DJ486" s="84">
        <f>IF($DG486=1,$DH486+(100000-ROW())/mTieBreak,0)</f>
        <v/>
      </c>
    </row>
    <row r="487">
      <c r="B487" s="68" t="n">
        <v>10</v>
      </c>
      <c r="C487" s="69" t="inlineStr">
        <is>
          <t>MSC19H6</t>
        </is>
      </c>
      <c r="D487" s="69" t="inlineStr">
        <is>
          <t>10.000</t>
        </is>
      </c>
      <c r="E487" s="69" t="inlineStr">
        <is>
          <t>Columbia Corporate Center</t>
        </is>
      </c>
      <c r="F487" s="69" t="inlineStr">
        <is>
          <t>LNMSC19H6-10.000</t>
        </is>
      </c>
      <c r="G487" s="70" t="n"/>
      <c r="H487" s="71" t="n">
        <v>20500000</v>
      </c>
      <c r="I487" s="71" t="n">
        <v>0</v>
      </c>
      <c r="J487" s="72" t="n">
        <v>4.375</v>
      </c>
      <c r="K487" s="69" t="inlineStr">
        <is>
          <t>Fixed rate</t>
        </is>
      </c>
      <c r="L487" s="68" t="n">
        <v>120</v>
      </c>
      <c r="M487" s="68" t="n"/>
      <c r="N487" s="68" t="n">
        <v>120</v>
      </c>
      <c r="O487" s="68" t="n">
        <v>120</v>
      </c>
      <c r="P487" s="68" t="n"/>
      <c r="Q487" s="68" t="n"/>
      <c r="R487" s="69" t="inlineStr">
        <is>
          <t>IO</t>
        </is>
      </c>
      <c r="S487" s="69" t="inlineStr">
        <is>
          <t>Yes</t>
        </is>
      </c>
      <c r="T487" s="73" t="n">
        <v>43556</v>
      </c>
      <c r="U487" s="73" t="n">
        <v>47214</v>
      </c>
      <c r="V487" s="73" t="n"/>
      <c r="W487" s="69" t="n"/>
      <c r="X487" s="69" t="inlineStr">
        <is>
          <t>Current</t>
        </is>
      </c>
      <c r="Y487" s="68" t="n"/>
      <c r="Z487" s="69" t="inlineStr">
        <is>
          <t>No Defeasance Occurred</t>
        </is>
      </c>
      <c r="AA487" s="69" t="inlineStr">
        <is>
          <t>Previously</t>
        </is>
      </c>
      <c r="AB487" s="69" t="inlineStr">
        <is>
          <t>Currently special serv</t>
        </is>
      </c>
      <c r="AC487" s="73" t="n">
        <v>45162</v>
      </c>
      <c r="AD487" s="69" t="inlineStr">
        <is>
          <t>Imminent Monetary Default (excluding Balloon/Maturity Default &amp; Single Tenant Bankruptcy/Vacate)</t>
        </is>
      </c>
      <c r="AE487" s="69" t="inlineStr">
        <is>
          <t>Resolved</t>
        </is>
      </c>
      <c r="AF487" s="69" t="inlineStr">
        <is>
          <t>NJ</t>
        </is>
      </c>
      <c r="AG487" s="69" t="inlineStr">
        <is>
          <t>Florham Park</t>
        </is>
      </c>
      <c r="AH487" s="69" t="inlineStr">
        <is>
          <t>New York-Newark-Jersey City, NY-NJ</t>
        </is>
      </c>
      <c r="AI487" s="69" t="inlineStr">
        <is>
          <t>Northeast / Mid-Atlantic</t>
        </is>
      </c>
      <c r="AJ487" s="69" t="inlineStr">
        <is>
          <t>OF</t>
        </is>
      </c>
      <c r="AK487" s="69" t="inlineStr">
        <is>
          <t>Suburban</t>
        </is>
      </c>
      <c r="AL487" s="68" t="n">
        <v>1</v>
      </c>
      <c r="AM487" s="68" t="n"/>
      <c r="AN487" s="68" t="n">
        <v>159058</v>
      </c>
      <c r="AO487" s="69" t="inlineStr">
        <is>
          <t>2001</t>
        </is>
      </c>
      <c r="AP487" s="70" t="n">
        <v>2001</v>
      </c>
      <c r="AQ487" s="74" t="n">
        <v>2.67</v>
      </c>
      <c r="AR487" s="74" t="n">
        <v>2.75</v>
      </c>
      <c r="AS487" s="74" t="n">
        <v>53.81</v>
      </c>
      <c r="AT487" s="74" t="n"/>
      <c r="AU487" s="74" t="n">
        <v>53.81</v>
      </c>
      <c r="AV487" s="74" t="n">
        <v>11.85054878</v>
      </c>
      <c r="AW487" s="74" t="n"/>
      <c r="AX487" s="75" t="n">
        <v>97</v>
      </c>
      <c r="AY487" s="71" t="n">
        <v>38100000</v>
      </c>
      <c r="AZ487" s="71" t="n">
        <v>38100000</v>
      </c>
      <c r="BA487" s="71" t="n">
        <v>2429362.5</v>
      </c>
      <c r="BB487" s="71" t="n">
        <v>624449.59</v>
      </c>
      <c r="BC487" s="69" t="inlineStr">
        <is>
          <t>Refinance</t>
        </is>
      </c>
      <c r="BD487" s="69" t="inlineStr">
        <is>
          <t>N</t>
        </is>
      </c>
      <c r="BE487" s="71" t="n"/>
      <c r="BF487" s="71" t="n"/>
      <c r="BG487" s="71" t="n"/>
      <c r="BH487" s="71" t="n">
        <v>0</v>
      </c>
      <c r="BI487" s="71" t="n">
        <v>0</v>
      </c>
      <c r="BJ487" s="69" t="inlineStr">
        <is>
          <t>N</t>
        </is>
      </c>
      <c r="BK487" s="69" t="inlineStr">
        <is>
          <t>SAIBER LLC</t>
        </is>
      </c>
      <c r="BL487" s="75" t="n">
        <v>38.07</v>
      </c>
      <c r="BM487" s="73" t="n">
        <v>48699</v>
      </c>
      <c r="BN487" s="69" t="inlineStr">
        <is>
          <t>Seryl Kushner</t>
        </is>
      </c>
      <c r="BO487" s="69" t="inlineStr">
        <is>
          <t>Argentic Real Estate Finance</t>
        </is>
      </c>
      <c r="BP487" s="69" t="inlineStr">
        <is>
          <t>Midland Loan Services</t>
        </is>
      </c>
      <c r="BQ487" s="69" t="inlineStr">
        <is>
          <t>K-Star Asset Management LLC</t>
        </is>
      </c>
      <c r="BR487" s="69" t="inlineStr">
        <is>
          <t>DPO</t>
        </is>
      </c>
      <c r="BS487" s="73" t="n">
        <v>46276</v>
      </c>
      <c r="BU487" s="76">
        <f>IF($C487="","",IFERROR(INDEX(dmName,MATCH($C487,dmID,0)),"Unmapped"))</f>
        <v/>
      </c>
      <c r="BV487" s="76">
        <f>IF($C487="","",IFERROR(INDEX(dmEntity,MATCH($C487,dmID,0)),"Unmapped"))</f>
        <v/>
      </c>
      <c r="BW487" s="77">
        <f>IF($C487="","",IFERROR(INDEX(dmVintage,MATCH($C487,dmID,0)),""))</f>
        <v/>
      </c>
      <c r="BX487" s="78">
        <f>IFERROR(INDEX(dmInclude,MATCH($C487,dmID,0)),0)</f>
        <v/>
      </c>
      <c r="BY487" s="78">
        <f>IF(N($I487)&gt;0,1,0)</f>
        <v/>
      </c>
      <c r="BZ487" s="76">
        <f>IF($AJ487="","Other / Leased Fee",IFERROR(INDEX(mapPTGroup,MATCH(LEFT(TRIM($AJ487),2),mapPTCode,0)),"Other / Leased Fee"))</f>
        <v/>
      </c>
      <c r="CA487" s="76">
        <f>IF(TRIM($AF487&amp;"")="","NR",LEFT(TRIM($AF487),2))</f>
        <v/>
      </c>
      <c r="CB487" s="76">
        <f>IFERROR(LOOKUP(2,1/(LEFT(TRIM($AI487&amp;""),LEN(mapRegion))=mapRegion),mapRegion),"Not Reported")</f>
        <v/>
      </c>
      <c r="CC487" s="76">
        <f>IF($BY487=0,"",IF(TRIM($W487&amp;"")="REO","REO",IF(TRIM($W487&amp;"")="FC","Foreclosure",IF(TRIM($W487&amp;"")="90+","90+ Days Delinquent",IF(TRIM($W487&amp;"")="60","60 Days Delinquent",IF(TRIM($W487&amp;"")="30","30 Days Delinquent",IF($X487="Non-Performing Matured Balloon","Non-Performing Matured Balloon",IF(OR($X487="Late Payment But Less Than 30 Days Delinquent",LEFT($X487&amp;"",20)="Payment Not Received"),"Late / In Grace (&lt;30 Days)",IF($X487="Performing Matured Balloon","Performing Matured Balloon","Current")))))))))</f>
        <v/>
      </c>
      <c r="CD487" s="78">
        <f>IF(OR($CC487="REO",$CC487="Foreclosure",$CC487="90+ Days Delinquent",$CC487="60 Days Delinquent",$CC487="30 Days Delinquent",$CC487="Non-Performing Matured Balloon"),1,0)</f>
        <v/>
      </c>
      <c r="CE487" s="76">
        <f>IF($AB487="Currently special serv","Currently Specially Serviced",IF($AB487="Returned to master serv","Previously Specially Serviced","Never Specially Serviced"))</f>
        <v/>
      </c>
      <c r="CF487" s="78">
        <f>IF($CE487="Currently Specially Serviced",1,0)</f>
        <v/>
      </c>
      <c r="CG487" s="76">
        <f>IF($AA487="Yes","Currently on Watchlist",IF($AA487="Previously","Previously on Watchlist","Never on Watchlist"))</f>
        <v/>
      </c>
      <c r="CH487" s="78">
        <f>IF($CG487="Currently on Watchlist",1,0)</f>
        <v/>
      </c>
      <c r="CI487" s="76">
        <f>IF($Z487="Full Defeasance","Fully Defeased",IF($Z487="Portion Of Loan Previously Defeased","Partially Defeased",IF($Z487="Defeasance Not Allowable","Not Defeased (Not Permitted)","Not Defeased")))</f>
        <v/>
      </c>
      <c r="CJ487" s="78">
        <f>IF($CI487="Fully Defeased",1,0)</f>
        <v/>
      </c>
      <c r="CK487" s="76">
        <f>IF($R487="IO","Full IO",IF(LEFT($R487&amp;"",7)="IO then","Partial IO","Amortizing"))</f>
        <v/>
      </c>
      <c r="CL487" s="78">
        <f>IF($CK487="Full IO",1,0)</f>
        <v/>
      </c>
      <c r="CM487" s="78">
        <f>IF($CK487="Partial IO",1,0)</f>
        <v/>
      </c>
      <c r="CN487" s="76">
        <f>IF(LEFT($F487&amp;"",10)="SPLIT_LOAN","Pari Passu Split","Standalone")</f>
        <v/>
      </c>
      <c r="CO487" s="78">
        <f>IF($CN487="Pari Passu Split",1,0)</f>
        <v/>
      </c>
      <c r="CP487" s="77">
        <f>IF(ISNUMBER($T487),YEAR($T487),"")</f>
        <v/>
      </c>
      <c r="CQ487" s="79">
        <f>IF(ISNUMBER($V487),$V487,IF(ISNUMBER($U487),$U487,""))</f>
        <v/>
      </c>
      <c r="CR487" s="77">
        <f>IF(ISNUMBER($CQ487),YEAR($CQ487),"")</f>
        <v/>
      </c>
      <c r="CS487" s="78">
        <f>IF(ISNUMBER($M487),MAX(0,$M487),IF(TRIM($M487&amp;"")="matured",0,""))</f>
        <v/>
      </c>
      <c r="CT487" s="78">
        <f>IF(AND(ISNUMBER($CS487),N($CS487)&lt;=mMatWindow),1,0)</f>
        <v/>
      </c>
      <c r="CU487" s="80">
        <f>IF(ISNUMBER($J487),$J487/100,"")</f>
        <v/>
      </c>
      <c r="CV487" s="81">
        <f>IF(ISNUMBER($AQ487),$AQ487,"")</f>
        <v/>
      </c>
      <c r="CW487" s="81">
        <f>IF(ISNUMBER($AR487),$AR487,"")</f>
        <v/>
      </c>
      <c r="CX487" s="82">
        <f>IF(ISNUMBER($AS487),$AS487/100,"")</f>
        <v/>
      </c>
      <c r="CY487" s="82">
        <f>IF(ISNUMBER($AT487),$AT487/100,"")</f>
        <v/>
      </c>
      <c r="CZ487" s="82">
        <f>IF(ISNUMBER($AU487),$AU487/100,"")</f>
        <v/>
      </c>
      <c r="DA487" s="82">
        <f>IF(ISNUMBER($AV487),$AV487/100,"")</f>
        <v/>
      </c>
      <c r="DB487" s="82">
        <f>IF(ISNUMBER($AW487),$AW487/100,"")</f>
        <v/>
      </c>
      <c r="DC487" s="82">
        <f>IF(ISNUMBER($AX487),$AX487/100,"")</f>
        <v/>
      </c>
      <c r="DD487" s="77">
        <f>IFERROR(VALUE(LEFT(TRIM($AO487&amp;""),4)),"")</f>
        <v/>
      </c>
      <c r="DE487" s="78">
        <f>IF(AND($BY487=1,$BX487=1,OR(fDeal="All Deals",$BU487=fDeal),OR(fEntity="All Entities",$BV487=fEntity),OR(fPType="All Property Types",$BZ487=fPType),OR(fDefeased="Include",$CJ487=0)),1,0)</f>
        <v/>
      </c>
      <c r="DF487" s="83">
        <f>$DE487*N($I487)</f>
        <v/>
      </c>
      <c r="DG487" s="78">
        <f>IF($DE487=1,IF(COUNTIFS($F$8:$F487,$F487,$DE$8:$DE487,1)=1,1,0),0)</f>
        <v/>
      </c>
      <c r="DH487" s="83">
        <f>IF($DG487=1,SUMIFS($DF$8:$DF$1600,$F$8:$F$1600,$F487),0)</f>
        <v/>
      </c>
      <c r="DI487" s="78">
        <f>IF($DG487=1,COUNTIFS($F$8:$F$1600,$F487,$DE$8:$DE$1600,1),0)</f>
        <v/>
      </c>
      <c r="DJ487" s="84">
        <f>IF($DG487=1,$DH487+(100000-ROW())/mTieBreak,0)</f>
        <v/>
      </c>
    </row>
    <row r="488">
      <c r="B488" s="68" t="n">
        <v>11</v>
      </c>
      <c r="C488" s="69" t="inlineStr">
        <is>
          <t>MSC19H6</t>
        </is>
      </c>
      <c r="D488" s="69" t="inlineStr">
        <is>
          <t>11.000</t>
        </is>
      </c>
      <c r="E488" s="69" t="inlineStr">
        <is>
          <t>The Block Northway</t>
        </is>
      </c>
      <c r="F488" s="69" t="inlineStr">
        <is>
          <t>SPLIT_LOAN_01498</t>
        </is>
      </c>
      <c r="G488" s="70" t="n">
        <v>1498</v>
      </c>
      <c r="H488" s="71" t="n">
        <v>19000000</v>
      </c>
      <c r="I488" s="71" t="n">
        <v>18262776.280001</v>
      </c>
      <c r="J488" s="72" t="n">
        <v>4.6495</v>
      </c>
      <c r="K488" s="69" t="inlineStr">
        <is>
          <t>Fixed rate</t>
        </is>
      </c>
      <c r="L488" s="68" t="n">
        <v>120</v>
      </c>
      <c r="M488" s="68" t="n">
        <v>30</v>
      </c>
      <c r="N488" s="68" t="n">
        <v>420</v>
      </c>
      <c r="O488" s="68" t="n">
        <v>60</v>
      </c>
      <c r="P488" s="68" t="n">
        <v>0</v>
      </c>
      <c r="Q488" s="68" t="n">
        <v>90</v>
      </c>
      <c r="R488" s="69" t="inlineStr">
        <is>
          <t>IO then Amort</t>
        </is>
      </c>
      <c r="S488" s="69" t="inlineStr">
        <is>
          <t>No</t>
        </is>
      </c>
      <c r="T488" s="73" t="n">
        <v>43525</v>
      </c>
      <c r="U488" s="73" t="n">
        <v>47183</v>
      </c>
      <c r="V488" s="73" t="n"/>
      <c r="W488" s="69" t="n"/>
      <c r="X488" s="69" t="inlineStr">
        <is>
          <t>Current</t>
        </is>
      </c>
      <c r="Y488" s="68" t="n"/>
      <c r="Z488" s="69" t="inlineStr">
        <is>
          <t>No Defeasance Occurred</t>
        </is>
      </c>
      <c r="AA488" s="69" t="inlineStr">
        <is>
          <t>Yes</t>
        </is>
      </c>
      <c r="AB488" s="69" t="inlineStr">
        <is>
          <t>Never special serv</t>
        </is>
      </c>
      <c r="AC488" s="73" t="n"/>
      <c r="AD488" s="69" t="n"/>
      <c r="AE488" s="69" t="n"/>
      <c r="AF488" s="69" t="inlineStr">
        <is>
          <t>PA</t>
        </is>
      </c>
      <c r="AG488" s="69" t="inlineStr">
        <is>
          <t>Pittsburgh</t>
        </is>
      </c>
      <c r="AH488" s="69" t="inlineStr">
        <is>
          <t>Pittsburgh, PA</t>
        </is>
      </c>
      <c r="AI488" s="69" t="inlineStr">
        <is>
          <t>Northeast / Mid-Atlantic</t>
        </is>
      </c>
      <c r="AJ488" s="69" t="inlineStr">
        <is>
          <t>RT</t>
        </is>
      </c>
      <c r="AK488" s="69" t="inlineStr">
        <is>
          <t>Anchored</t>
        </is>
      </c>
      <c r="AL488" s="68" t="n">
        <v>1</v>
      </c>
      <c r="AM488" s="68" t="n"/>
      <c r="AN488" s="68" t="n">
        <v>354400</v>
      </c>
      <c r="AO488" s="69" t="inlineStr">
        <is>
          <t>1958</t>
        </is>
      </c>
      <c r="AP488" s="70" t="n">
        <v>2018</v>
      </c>
      <c r="AQ488" s="74" t="n">
        <v>1.4</v>
      </c>
      <c r="AR488" s="74" t="n">
        <v>1.34</v>
      </c>
      <c r="AS488" s="74" t="n">
        <v>68.59999999999999</v>
      </c>
      <c r="AT488" s="74" t="n">
        <v>65.91</v>
      </c>
      <c r="AU488" s="74" t="n">
        <v>63</v>
      </c>
      <c r="AV488" s="74" t="n">
        <v>8.678057143</v>
      </c>
      <c r="AW488" s="74" t="n">
        <v>8.226529408999999</v>
      </c>
      <c r="AX488" s="75" t="n">
        <v>83</v>
      </c>
      <c r="AY488" s="71" t="n">
        <v>122500000</v>
      </c>
      <c r="AZ488" s="71" t="n">
        <v>122500000</v>
      </c>
      <c r="BA488" s="71" t="n">
        <v>7289568</v>
      </c>
      <c r="BB488" s="71" t="n">
        <v>6943615.58</v>
      </c>
      <c r="BC488" s="69" t="inlineStr">
        <is>
          <t>Refinance</t>
        </is>
      </c>
      <c r="BD488" s="69" t="inlineStr">
        <is>
          <t>N</t>
        </is>
      </c>
      <c r="BE488" s="71" t="n">
        <v>62477918.85</v>
      </c>
      <c r="BF488" s="71" t="n"/>
      <c r="BG488" s="71" t="n"/>
      <c r="BH488" s="71" t="n">
        <v>0</v>
      </c>
      <c r="BI488" s="71" t="n">
        <v>0</v>
      </c>
      <c r="BJ488" s="69" t="inlineStr">
        <is>
          <t>N</t>
        </is>
      </c>
      <c r="BK488" s="69" t="inlineStr">
        <is>
          <t>Nordstrom</t>
        </is>
      </c>
      <c r="BL488" s="75" t="n">
        <v>11.38</v>
      </c>
      <c r="BM488" s="73" t="n">
        <v>46996</v>
      </c>
      <c r="BN488" s="69" t="inlineStr">
        <is>
          <t>Lawrence B. Levey; Lawrence B. Levey Trust (First Restatement)</t>
        </is>
      </c>
      <c r="BO488" s="69" t="inlineStr">
        <is>
          <t>Morgan Stanley</t>
        </is>
      </c>
      <c r="BP488" s="69" t="inlineStr">
        <is>
          <t>Midland Loan Services</t>
        </is>
      </c>
      <c r="BQ488" s="69" t="inlineStr">
        <is>
          <t>K-Star Asset Management LLC</t>
        </is>
      </c>
      <c r="BR488" s="69" t="n"/>
      <c r="BS488" s="73" t="n">
        <v>46276</v>
      </c>
      <c r="BU488" s="76">
        <f>IF($C488="","",IFERROR(INDEX(dmName,MATCH($C488,dmID,0)),"Unmapped"))</f>
        <v/>
      </c>
      <c r="BV488" s="76">
        <f>IF($C488="","",IFERROR(INDEX(dmEntity,MATCH($C488,dmID,0)),"Unmapped"))</f>
        <v/>
      </c>
      <c r="BW488" s="77">
        <f>IF($C488="","",IFERROR(INDEX(dmVintage,MATCH($C488,dmID,0)),""))</f>
        <v/>
      </c>
      <c r="BX488" s="78">
        <f>IFERROR(INDEX(dmInclude,MATCH($C488,dmID,0)),0)</f>
        <v/>
      </c>
      <c r="BY488" s="78">
        <f>IF(N($I488)&gt;0,1,0)</f>
        <v/>
      </c>
      <c r="BZ488" s="76">
        <f>IF($AJ488="","Other / Leased Fee",IFERROR(INDEX(mapPTGroup,MATCH(LEFT(TRIM($AJ488),2),mapPTCode,0)),"Other / Leased Fee"))</f>
        <v/>
      </c>
      <c r="CA488" s="76">
        <f>IF(TRIM($AF488&amp;"")="","NR",LEFT(TRIM($AF488),2))</f>
        <v/>
      </c>
      <c r="CB488" s="76">
        <f>IFERROR(LOOKUP(2,1/(LEFT(TRIM($AI488&amp;""),LEN(mapRegion))=mapRegion),mapRegion),"Not Reported")</f>
        <v/>
      </c>
      <c r="CC488" s="76">
        <f>IF($BY488=0,"",IF(TRIM($W488&amp;"")="REO","REO",IF(TRIM($W488&amp;"")="FC","Foreclosure",IF(TRIM($W488&amp;"")="90+","90+ Days Delinquent",IF(TRIM($W488&amp;"")="60","60 Days Delinquent",IF(TRIM($W488&amp;"")="30","30 Days Delinquent",IF($X488="Non-Performing Matured Balloon","Non-Performing Matured Balloon",IF(OR($X488="Late Payment But Less Than 30 Days Delinquent",LEFT($X488&amp;"",20)="Payment Not Received"),"Late / In Grace (&lt;30 Days)",IF($X488="Performing Matured Balloon","Performing Matured Balloon","Current")))))))))</f>
        <v/>
      </c>
      <c r="CD488" s="78">
        <f>IF(OR($CC488="REO",$CC488="Foreclosure",$CC488="90+ Days Delinquent",$CC488="60 Days Delinquent",$CC488="30 Days Delinquent",$CC488="Non-Performing Matured Balloon"),1,0)</f>
        <v/>
      </c>
      <c r="CE488" s="76">
        <f>IF($AB488="Currently special serv","Currently Specially Serviced",IF($AB488="Returned to master serv","Previously Specially Serviced","Never Specially Serviced"))</f>
        <v/>
      </c>
      <c r="CF488" s="78">
        <f>IF($CE488="Currently Specially Serviced",1,0)</f>
        <v/>
      </c>
      <c r="CG488" s="76">
        <f>IF($AA488="Yes","Currently on Watchlist",IF($AA488="Previously","Previously on Watchlist","Never on Watchlist"))</f>
        <v/>
      </c>
      <c r="CH488" s="78">
        <f>IF($CG488="Currently on Watchlist",1,0)</f>
        <v/>
      </c>
      <c r="CI488" s="76">
        <f>IF($Z488="Full Defeasance","Fully Defeased",IF($Z488="Portion Of Loan Previously Defeased","Partially Defeased",IF($Z488="Defeasance Not Allowable","Not Defeased (Not Permitted)","Not Defeased")))</f>
        <v/>
      </c>
      <c r="CJ488" s="78">
        <f>IF($CI488="Fully Defeased",1,0)</f>
        <v/>
      </c>
      <c r="CK488" s="76">
        <f>IF($R488="IO","Full IO",IF(LEFT($R488&amp;"",7)="IO then","Partial IO","Amortizing"))</f>
        <v/>
      </c>
      <c r="CL488" s="78">
        <f>IF($CK488="Full IO",1,0)</f>
        <v/>
      </c>
      <c r="CM488" s="78">
        <f>IF($CK488="Partial IO",1,0)</f>
        <v/>
      </c>
      <c r="CN488" s="76">
        <f>IF(LEFT($F488&amp;"",10)="SPLIT_LOAN","Pari Passu Split","Standalone")</f>
        <v/>
      </c>
      <c r="CO488" s="78">
        <f>IF($CN488="Pari Passu Split",1,0)</f>
        <v/>
      </c>
      <c r="CP488" s="77">
        <f>IF(ISNUMBER($T488),YEAR($T488),"")</f>
        <v/>
      </c>
      <c r="CQ488" s="79">
        <f>IF(ISNUMBER($V488),$V488,IF(ISNUMBER($U488),$U488,""))</f>
        <v/>
      </c>
      <c r="CR488" s="77">
        <f>IF(ISNUMBER($CQ488),YEAR($CQ488),"")</f>
        <v/>
      </c>
      <c r="CS488" s="78">
        <f>IF(ISNUMBER($M488),MAX(0,$M488),IF(TRIM($M488&amp;"")="matured",0,""))</f>
        <v/>
      </c>
      <c r="CT488" s="78">
        <f>IF(AND(ISNUMBER($CS488),N($CS488)&lt;=mMatWindow),1,0)</f>
        <v/>
      </c>
      <c r="CU488" s="80">
        <f>IF(ISNUMBER($J488),$J488/100,"")</f>
        <v/>
      </c>
      <c r="CV488" s="81">
        <f>IF(ISNUMBER($AQ488),$AQ488,"")</f>
        <v/>
      </c>
      <c r="CW488" s="81">
        <f>IF(ISNUMBER($AR488),$AR488,"")</f>
        <v/>
      </c>
      <c r="CX488" s="82">
        <f>IF(ISNUMBER($AS488),$AS488/100,"")</f>
        <v/>
      </c>
      <c r="CY488" s="82">
        <f>IF(ISNUMBER($AT488),$AT488/100,"")</f>
        <v/>
      </c>
      <c r="CZ488" s="82">
        <f>IF(ISNUMBER($AU488),$AU488/100,"")</f>
        <v/>
      </c>
      <c r="DA488" s="82">
        <f>IF(ISNUMBER($AV488),$AV488/100,"")</f>
        <v/>
      </c>
      <c r="DB488" s="82">
        <f>IF(ISNUMBER($AW488),$AW488/100,"")</f>
        <v/>
      </c>
      <c r="DC488" s="82">
        <f>IF(ISNUMBER($AX488),$AX488/100,"")</f>
        <v/>
      </c>
      <c r="DD488" s="77">
        <f>IFERROR(VALUE(LEFT(TRIM($AO488&amp;""),4)),"")</f>
        <v/>
      </c>
      <c r="DE488" s="78">
        <f>IF(AND($BY488=1,$BX488=1,OR(fDeal="All Deals",$BU488=fDeal),OR(fEntity="All Entities",$BV488=fEntity),OR(fPType="All Property Types",$BZ488=fPType),OR(fDefeased="Include",$CJ488=0)),1,0)</f>
        <v/>
      </c>
      <c r="DF488" s="83">
        <f>$DE488*N($I488)</f>
        <v/>
      </c>
      <c r="DG488" s="78">
        <f>IF($DE488=1,IF(COUNTIFS($F$8:$F488,$F488,$DE$8:$DE488,1)=1,1,0),0)</f>
        <v/>
      </c>
      <c r="DH488" s="83">
        <f>IF($DG488=1,SUMIFS($DF$8:$DF$1600,$F$8:$F$1600,$F488),0)</f>
        <v/>
      </c>
      <c r="DI488" s="78">
        <f>IF($DG488=1,COUNTIFS($F$8:$F$1600,$F488,$DE$8:$DE$1600,1),0)</f>
        <v/>
      </c>
      <c r="DJ488" s="84">
        <f>IF($DG488=1,$DH488+(100000-ROW())/mTieBreak,0)</f>
        <v/>
      </c>
    </row>
    <row r="489">
      <c r="B489" s="68" t="n">
        <v>12</v>
      </c>
      <c r="C489" s="69" t="inlineStr">
        <is>
          <t>MSC19H6</t>
        </is>
      </c>
      <c r="D489" s="69" t="inlineStr">
        <is>
          <t>12.TR</t>
        </is>
      </c>
      <c r="E489" s="69" t="inlineStr">
        <is>
          <t>65 Broadway - Trust</t>
        </is>
      </c>
      <c r="F489" s="69" t="inlineStr">
        <is>
          <t>SPLIT_LOAN_01501</t>
        </is>
      </c>
      <c r="G489" s="70" t="n">
        <v>1501</v>
      </c>
      <c r="H489" s="71" t="n">
        <v>15500000</v>
      </c>
      <c r="I489" s="71" t="n">
        <v>15500000</v>
      </c>
      <c r="J489" s="72" t="n">
        <v>4.935</v>
      </c>
      <c r="K489" s="69" t="inlineStr">
        <is>
          <t>Fixed rate</t>
        </is>
      </c>
      <c r="L489" s="68" t="n">
        <v>116</v>
      </c>
      <c r="M489" s="68" t="n">
        <v>27</v>
      </c>
      <c r="N489" s="68" t="n">
        <v>116</v>
      </c>
      <c r="O489" s="68" t="n">
        <v>116</v>
      </c>
      <c r="P489" s="68" t="n">
        <v>27</v>
      </c>
      <c r="Q489" s="68" t="n">
        <v>89</v>
      </c>
      <c r="R489" s="69" t="inlineStr">
        <is>
          <t>IO</t>
        </is>
      </c>
      <c r="S489" s="69" t="inlineStr">
        <is>
          <t>Yes</t>
        </is>
      </c>
      <c r="T489" s="73" t="n">
        <v>43556</v>
      </c>
      <c r="U489" s="73" t="n">
        <v>47093</v>
      </c>
      <c r="V489" s="73" t="n"/>
      <c r="W489" s="69" t="n"/>
      <c r="X489" s="69" t="inlineStr">
        <is>
          <t>Current</t>
        </is>
      </c>
      <c r="Y489" s="68" t="n"/>
      <c r="Z489" s="69" t="inlineStr">
        <is>
          <t>No Defeasance Occurred</t>
        </is>
      </c>
      <c r="AA489" s="69" t="inlineStr">
        <is>
          <t>Yes</t>
        </is>
      </c>
      <c r="AB489" s="69" t="inlineStr">
        <is>
          <t>Returned to master serv</t>
        </is>
      </c>
      <c r="AC489" s="73" t="n"/>
      <c r="AD489" s="69" t="inlineStr">
        <is>
          <t>Imminent Monetary Default (Balloon/Maturity Default)</t>
        </is>
      </c>
      <c r="AE489" s="69" t="inlineStr">
        <is>
          <t>Resolved</t>
        </is>
      </c>
      <c r="AF489" s="69" t="inlineStr">
        <is>
          <t>NY</t>
        </is>
      </c>
      <c r="AG489" s="69" t="inlineStr">
        <is>
          <t>New York</t>
        </is>
      </c>
      <c r="AH489" s="69" t="inlineStr">
        <is>
          <t>New York-Newark-Jersey City, NY-NJ</t>
        </is>
      </c>
      <c r="AI489" s="69" t="inlineStr">
        <is>
          <t>Northeast / Mid-Atlantic</t>
        </is>
      </c>
      <c r="AJ489" s="69" t="inlineStr">
        <is>
          <t>OF</t>
        </is>
      </c>
      <c r="AK489" s="69" t="inlineStr">
        <is>
          <t>CBD</t>
        </is>
      </c>
      <c r="AL489" s="68" t="n">
        <v>1</v>
      </c>
      <c r="AM489" s="68" t="n"/>
      <c r="AN489" s="68" t="n">
        <v>355217</v>
      </c>
      <c r="AO489" s="69" t="inlineStr">
        <is>
          <t>1914-1917</t>
        </is>
      </c>
      <c r="AP489" s="70" t="n">
        <v>2018</v>
      </c>
      <c r="AQ489" s="74" t="n">
        <v>3.3</v>
      </c>
      <c r="AR489" s="74" t="n">
        <v>2.78</v>
      </c>
      <c r="AS489" s="74" t="n">
        <v>25.8</v>
      </c>
      <c r="AT489" s="74" t="n">
        <v>55.39</v>
      </c>
      <c r="AU489" s="74" t="n">
        <v>25.8</v>
      </c>
      <c r="AV489" s="74" t="n">
        <v>16.526938739</v>
      </c>
      <c r="AW489" s="74" t="n">
        <v>4.616389009</v>
      </c>
      <c r="AX489" s="75" t="n">
        <v>56</v>
      </c>
      <c r="AY489" s="71" t="n">
        <v>215000000</v>
      </c>
      <c r="AZ489" s="71" t="n">
        <v>100200000</v>
      </c>
      <c r="BA489" s="71" t="n">
        <v>9172451</v>
      </c>
      <c r="BB489" s="71" t="n">
        <v>2562095.9</v>
      </c>
      <c r="BC489" s="69" t="inlineStr">
        <is>
          <t>Refinance</t>
        </is>
      </c>
      <c r="BD489" s="69" t="inlineStr">
        <is>
          <t>N</t>
        </is>
      </c>
      <c r="BE489" s="71" t="n">
        <v>40000000</v>
      </c>
      <c r="BF489" s="71" t="n">
        <v>96000000</v>
      </c>
      <c r="BG489" s="71" t="n"/>
      <c r="BH489" s="71" t="n">
        <v>0</v>
      </c>
      <c r="BI489" s="71" t="n">
        <v>0</v>
      </c>
      <c r="BJ489" s="69" t="inlineStr">
        <is>
          <t>Y</t>
        </is>
      </c>
      <c r="BK489" s="69" t="inlineStr">
        <is>
          <t>Kofinas Fertility Servic</t>
        </is>
      </c>
      <c r="BL489" s="75" t="n">
        <v>11.79</v>
      </c>
      <c r="BM489" s="73" t="n">
        <v>48913</v>
      </c>
      <c r="BN489" s="69" t="inlineStr">
        <is>
          <t>Meyer Chetrit; Robert Wolf</t>
        </is>
      </c>
      <c r="BO489" s="69" t="inlineStr">
        <is>
          <t>Cantor Commercial Real Estate Lending</t>
        </is>
      </c>
      <c r="BP489" s="69" t="inlineStr">
        <is>
          <t>Midland Loan Services</t>
        </is>
      </c>
      <c r="BQ489" s="69" t="inlineStr">
        <is>
          <t>CWCapital</t>
        </is>
      </c>
      <c r="BR489" s="69" t="n"/>
      <c r="BS489" s="73" t="n">
        <v>46276</v>
      </c>
      <c r="BU489" s="76">
        <f>IF($C489="","",IFERROR(INDEX(dmName,MATCH($C489,dmID,0)),"Unmapped"))</f>
        <v/>
      </c>
      <c r="BV489" s="76">
        <f>IF($C489="","",IFERROR(INDEX(dmEntity,MATCH($C489,dmID,0)),"Unmapped"))</f>
        <v/>
      </c>
      <c r="BW489" s="77">
        <f>IF($C489="","",IFERROR(INDEX(dmVintage,MATCH($C489,dmID,0)),""))</f>
        <v/>
      </c>
      <c r="BX489" s="78">
        <f>IFERROR(INDEX(dmInclude,MATCH($C489,dmID,0)),0)</f>
        <v/>
      </c>
      <c r="BY489" s="78">
        <f>IF(N($I489)&gt;0,1,0)</f>
        <v/>
      </c>
      <c r="BZ489" s="76">
        <f>IF($AJ489="","Other / Leased Fee",IFERROR(INDEX(mapPTGroup,MATCH(LEFT(TRIM($AJ489),2),mapPTCode,0)),"Other / Leased Fee"))</f>
        <v/>
      </c>
      <c r="CA489" s="76">
        <f>IF(TRIM($AF489&amp;"")="","NR",LEFT(TRIM($AF489),2))</f>
        <v/>
      </c>
      <c r="CB489" s="76">
        <f>IFERROR(LOOKUP(2,1/(LEFT(TRIM($AI489&amp;""),LEN(mapRegion))=mapRegion),mapRegion),"Not Reported")</f>
        <v/>
      </c>
      <c r="CC489" s="76">
        <f>IF($BY489=0,"",IF(TRIM($W489&amp;"")="REO","REO",IF(TRIM($W489&amp;"")="FC","Foreclosure",IF(TRIM($W489&amp;"")="90+","90+ Days Delinquent",IF(TRIM($W489&amp;"")="60","60 Days Delinquent",IF(TRIM($W489&amp;"")="30","30 Days Delinquent",IF($X489="Non-Performing Matured Balloon","Non-Performing Matured Balloon",IF(OR($X489="Late Payment But Less Than 30 Days Delinquent",LEFT($X489&amp;"",20)="Payment Not Received"),"Late / In Grace (&lt;30 Days)",IF($X489="Performing Matured Balloon","Performing Matured Balloon","Current")))))))))</f>
        <v/>
      </c>
      <c r="CD489" s="78">
        <f>IF(OR($CC489="REO",$CC489="Foreclosure",$CC489="90+ Days Delinquent",$CC489="60 Days Delinquent",$CC489="30 Days Delinquent",$CC489="Non-Performing Matured Balloon"),1,0)</f>
        <v/>
      </c>
      <c r="CE489" s="76">
        <f>IF($AB489="Currently special serv","Currently Specially Serviced",IF($AB489="Returned to master serv","Previously Specially Serviced","Never Specially Serviced"))</f>
        <v/>
      </c>
      <c r="CF489" s="78">
        <f>IF($CE489="Currently Specially Serviced",1,0)</f>
        <v/>
      </c>
      <c r="CG489" s="76">
        <f>IF($AA489="Yes","Currently on Watchlist",IF($AA489="Previously","Previously on Watchlist","Never on Watchlist"))</f>
        <v/>
      </c>
      <c r="CH489" s="78">
        <f>IF($CG489="Currently on Watchlist",1,0)</f>
        <v/>
      </c>
      <c r="CI489" s="76">
        <f>IF($Z489="Full Defeasance","Fully Defeased",IF($Z489="Portion Of Loan Previously Defeased","Partially Defeased",IF($Z489="Defeasance Not Allowable","Not Defeased (Not Permitted)","Not Defeased")))</f>
        <v/>
      </c>
      <c r="CJ489" s="78">
        <f>IF($CI489="Fully Defeased",1,0)</f>
        <v/>
      </c>
      <c r="CK489" s="76">
        <f>IF($R489="IO","Full IO",IF(LEFT($R489&amp;"",7)="IO then","Partial IO","Amortizing"))</f>
        <v/>
      </c>
      <c r="CL489" s="78">
        <f>IF($CK489="Full IO",1,0)</f>
        <v/>
      </c>
      <c r="CM489" s="78">
        <f>IF($CK489="Partial IO",1,0)</f>
        <v/>
      </c>
      <c r="CN489" s="76">
        <f>IF(LEFT($F489&amp;"",10)="SPLIT_LOAN","Pari Passu Split","Standalone")</f>
        <v/>
      </c>
      <c r="CO489" s="78">
        <f>IF($CN489="Pari Passu Split",1,0)</f>
        <v/>
      </c>
      <c r="CP489" s="77">
        <f>IF(ISNUMBER($T489),YEAR($T489),"")</f>
        <v/>
      </c>
      <c r="CQ489" s="79">
        <f>IF(ISNUMBER($V489),$V489,IF(ISNUMBER($U489),$U489,""))</f>
        <v/>
      </c>
      <c r="CR489" s="77">
        <f>IF(ISNUMBER($CQ489),YEAR($CQ489),"")</f>
        <v/>
      </c>
      <c r="CS489" s="78">
        <f>IF(ISNUMBER($M489),MAX(0,$M489),IF(TRIM($M489&amp;"")="matured",0,""))</f>
        <v/>
      </c>
      <c r="CT489" s="78">
        <f>IF(AND(ISNUMBER($CS489),N($CS489)&lt;=mMatWindow),1,0)</f>
        <v/>
      </c>
      <c r="CU489" s="80">
        <f>IF(ISNUMBER($J489),$J489/100,"")</f>
        <v/>
      </c>
      <c r="CV489" s="81">
        <f>IF(ISNUMBER($AQ489),$AQ489,"")</f>
        <v/>
      </c>
      <c r="CW489" s="81">
        <f>IF(ISNUMBER($AR489),$AR489,"")</f>
        <v/>
      </c>
      <c r="CX489" s="82">
        <f>IF(ISNUMBER($AS489),$AS489/100,"")</f>
        <v/>
      </c>
      <c r="CY489" s="82">
        <f>IF(ISNUMBER($AT489),$AT489/100,"")</f>
        <v/>
      </c>
      <c r="CZ489" s="82">
        <f>IF(ISNUMBER($AU489),$AU489/100,"")</f>
        <v/>
      </c>
      <c r="DA489" s="82">
        <f>IF(ISNUMBER($AV489),$AV489/100,"")</f>
        <v/>
      </c>
      <c r="DB489" s="82">
        <f>IF(ISNUMBER($AW489),$AW489/100,"")</f>
        <v/>
      </c>
      <c r="DC489" s="82">
        <f>IF(ISNUMBER($AX489),$AX489/100,"")</f>
        <v/>
      </c>
      <c r="DD489" s="77">
        <f>IFERROR(VALUE(LEFT(TRIM($AO489&amp;""),4)),"")</f>
        <v/>
      </c>
      <c r="DE489" s="78">
        <f>IF(AND($BY489=1,$BX489=1,OR(fDeal="All Deals",$BU489=fDeal),OR(fEntity="All Entities",$BV489=fEntity),OR(fPType="All Property Types",$BZ489=fPType),OR(fDefeased="Include",$CJ489=0)),1,0)</f>
        <v/>
      </c>
      <c r="DF489" s="83">
        <f>$DE489*N($I489)</f>
        <v/>
      </c>
      <c r="DG489" s="78">
        <f>IF($DE489=1,IF(COUNTIFS($F$8:$F489,$F489,$DE$8:$DE489,1)=1,1,0),0)</f>
        <v/>
      </c>
      <c r="DH489" s="83">
        <f>IF($DG489=1,SUMIFS($DF$8:$DF$1600,$F$8:$F$1600,$F489),0)</f>
        <v/>
      </c>
      <c r="DI489" s="78">
        <f>IF($DG489=1,COUNTIFS($F$8:$F$1600,$F489,$DE$8:$DE$1600,1),0)</f>
        <v/>
      </c>
      <c r="DJ489" s="84">
        <f>IF($DG489=1,$DH489+(100000-ROW())/mTieBreak,0)</f>
        <v/>
      </c>
    </row>
    <row r="490">
      <c r="B490" s="68" t="n">
        <v>13</v>
      </c>
      <c r="C490" s="69" t="inlineStr">
        <is>
          <t>MSC19H6</t>
        </is>
      </c>
      <c r="D490" s="69" t="inlineStr">
        <is>
          <t>13.000</t>
        </is>
      </c>
      <c r="E490" s="69" t="inlineStr">
        <is>
          <t>Avalon at Seven Hills</t>
        </is>
      </c>
      <c r="F490" s="69" t="inlineStr">
        <is>
          <t>LNMSC19H6-13.000</t>
        </is>
      </c>
      <c r="G490" s="70" t="n"/>
      <c r="H490" s="71" t="n">
        <v>15500000</v>
      </c>
      <c r="I490" s="71" t="n">
        <v>15500000</v>
      </c>
      <c r="J490" s="72" t="n">
        <v>4.248</v>
      </c>
      <c r="K490" s="69" t="inlineStr">
        <is>
          <t>Fixed rate</t>
        </is>
      </c>
      <c r="L490" s="68" t="n">
        <v>120</v>
      </c>
      <c r="M490" s="68" t="n">
        <v>32</v>
      </c>
      <c r="N490" s="68" t="n">
        <v>120</v>
      </c>
      <c r="O490" s="68" t="n">
        <v>120</v>
      </c>
      <c r="P490" s="68" t="n">
        <v>32</v>
      </c>
      <c r="Q490" s="68" t="n">
        <v>88</v>
      </c>
      <c r="R490" s="69" t="inlineStr">
        <is>
          <t>IO</t>
        </is>
      </c>
      <c r="S490" s="69" t="inlineStr">
        <is>
          <t>Yes</t>
        </is>
      </c>
      <c r="T490" s="73" t="n">
        <v>43586</v>
      </c>
      <c r="U490" s="73" t="n">
        <v>47239</v>
      </c>
      <c r="V490" s="73" t="n"/>
      <c r="W490" s="69" t="n"/>
      <c r="X490" s="69" t="inlineStr">
        <is>
          <t>Current</t>
        </is>
      </c>
      <c r="Y490" s="68" t="n"/>
      <c r="Z490" s="69" t="inlineStr">
        <is>
          <t>No Defeasance Occurred</t>
        </is>
      </c>
      <c r="AA490" s="69" t="n"/>
      <c r="AB490" s="69" t="inlineStr">
        <is>
          <t>Never special serv</t>
        </is>
      </c>
      <c r="AC490" s="73" t="n"/>
      <c r="AD490" s="69" t="n"/>
      <c r="AE490" s="69" t="n"/>
      <c r="AF490" s="69" t="inlineStr">
        <is>
          <t>NV</t>
        </is>
      </c>
      <c r="AG490" s="69" t="inlineStr">
        <is>
          <t>Henderson</t>
        </is>
      </c>
      <c r="AH490" s="69" t="inlineStr">
        <is>
          <t>Las Vegas-Henderson-North Las Vegas, NV</t>
        </is>
      </c>
      <c r="AI490" s="69" t="inlineStr">
        <is>
          <t>West / Mountain</t>
        </is>
      </c>
      <c r="AJ490" s="69" t="inlineStr">
        <is>
          <t>MF</t>
        </is>
      </c>
      <c r="AK490" s="69" t="inlineStr">
        <is>
          <t>Garden</t>
        </is>
      </c>
      <c r="AL490" s="68" t="n">
        <v>1</v>
      </c>
      <c r="AM490" s="68" t="n">
        <v>188</v>
      </c>
      <c r="AN490" s="68" t="n"/>
      <c r="AO490" s="69" t="inlineStr">
        <is>
          <t>1999</t>
        </is>
      </c>
      <c r="AP490" s="70" t="n">
        <v>2018</v>
      </c>
      <c r="AQ490" s="74" t="n">
        <v>2.33</v>
      </c>
      <c r="AR490" s="74" t="n">
        <v>3.07</v>
      </c>
      <c r="AS490" s="74" t="n">
        <v>52</v>
      </c>
      <c r="AT490" s="74" t="n">
        <v>52.01</v>
      </c>
      <c r="AU490" s="74" t="n">
        <v>52</v>
      </c>
      <c r="AV490" s="74" t="n">
        <v>10.020668516</v>
      </c>
      <c r="AW490" s="74" t="n">
        <v>9.230091871000001</v>
      </c>
      <c r="AX490" s="75" t="n">
        <v>96</v>
      </c>
      <c r="AY490" s="71" t="n">
        <v>29800000</v>
      </c>
      <c r="AZ490" s="71" t="n">
        <v>29800000</v>
      </c>
      <c r="BA490" s="71" t="n">
        <v>1553203.62</v>
      </c>
      <c r="BB490" s="71" t="n">
        <v>1033883.98</v>
      </c>
      <c r="BC490" s="69" t="inlineStr">
        <is>
          <t>Refinance</t>
        </is>
      </c>
      <c r="BD490" s="69" t="inlineStr">
        <is>
          <t>N</t>
        </is>
      </c>
      <c r="BE490" s="71" t="n"/>
      <c r="BF490" s="71" t="n"/>
      <c r="BG490" s="71" t="n"/>
      <c r="BH490" s="71" t="n">
        <v>0</v>
      </c>
      <c r="BI490" s="71" t="n">
        <v>0</v>
      </c>
      <c r="BJ490" s="69" t="inlineStr">
        <is>
          <t>N</t>
        </is>
      </c>
      <c r="BK490" s="69" t="n"/>
      <c r="BL490" s="75" t="n"/>
      <c r="BM490" s="73" t="n"/>
      <c r="BN490" s="69" t="inlineStr">
        <is>
          <t>WTI, Inc.</t>
        </is>
      </c>
      <c r="BO490" s="69" t="inlineStr">
        <is>
          <t>Morgan Stanley</t>
        </is>
      </c>
      <c r="BP490" s="69" t="inlineStr">
        <is>
          <t>Midland Loan Services</t>
        </is>
      </c>
      <c r="BQ490" s="69" t="inlineStr">
        <is>
          <t>K-Star Asset Management LLC</t>
        </is>
      </c>
      <c r="BR490" s="69" t="n"/>
      <c r="BS490" s="73" t="n">
        <v>46276</v>
      </c>
      <c r="BU490" s="76">
        <f>IF($C490="","",IFERROR(INDEX(dmName,MATCH($C490,dmID,0)),"Unmapped"))</f>
        <v/>
      </c>
      <c r="BV490" s="76">
        <f>IF($C490="","",IFERROR(INDEX(dmEntity,MATCH($C490,dmID,0)),"Unmapped"))</f>
        <v/>
      </c>
      <c r="BW490" s="77">
        <f>IF($C490="","",IFERROR(INDEX(dmVintage,MATCH($C490,dmID,0)),""))</f>
        <v/>
      </c>
      <c r="BX490" s="78">
        <f>IFERROR(INDEX(dmInclude,MATCH($C490,dmID,0)),0)</f>
        <v/>
      </c>
      <c r="BY490" s="78">
        <f>IF(N($I490)&gt;0,1,0)</f>
        <v/>
      </c>
      <c r="BZ490" s="76">
        <f>IF($AJ490="","Other / Leased Fee",IFERROR(INDEX(mapPTGroup,MATCH(LEFT(TRIM($AJ490),2),mapPTCode,0)),"Other / Leased Fee"))</f>
        <v/>
      </c>
      <c r="CA490" s="76">
        <f>IF(TRIM($AF490&amp;"")="","NR",LEFT(TRIM($AF490),2))</f>
        <v/>
      </c>
      <c r="CB490" s="76">
        <f>IFERROR(LOOKUP(2,1/(LEFT(TRIM($AI490&amp;""),LEN(mapRegion))=mapRegion),mapRegion),"Not Reported")</f>
        <v/>
      </c>
      <c r="CC490" s="76">
        <f>IF($BY490=0,"",IF(TRIM($W490&amp;"")="REO","REO",IF(TRIM($W490&amp;"")="FC","Foreclosure",IF(TRIM($W490&amp;"")="90+","90+ Days Delinquent",IF(TRIM($W490&amp;"")="60","60 Days Delinquent",IF(TRIM($W490&amp;"")="30","30 Days Delinquent",IF($X490="Non-Performing Matured Balloon","Non-Performing Matured Balloon",IF(OR($X490="Late Payment But Less Than 30 Days Delinquent",LEFT($X490&amp;"",20)="Payment Not Received"),"Late / In Grace (&lt;30 Days)",IF($X490="Performing Matured Balloon","Performing Matured Balloon","Current")))))))))</f>
        <v/>
      </c>
      <c r="CD490" s="78">
        <f>IF(OR($CC490="REO",$CC490="Foreclosure",$CC490="90+ Days Delinquent",$CC490="60 Days Delinquent",$CC490="30 Days Delinquent",$CC490="Non-Performing Matured Balloon"),1,0)</f>
        <v/>
      </c>
      <c r="CE490" s="76">
        <f>IF($AB490="Currently special serv","Currently Specially Serviced",IF($AB490="Returned to master serv","Previously Specially Serviced","Never Specially Serviced"))</f>
        <v/>
      </c>
      <c r="CF490" s="78">
        <f>IF($CE490="Currently Specially Serviced",1,0)</f>
        <v/>
      </c>
      <c r="CG490" s="76">
        <f>IF($AA490="Yes","Currently on Watchlist",IF($AA490="Previously","Previously on Watchlist","Never on Watchlist"))</f>
        <v/>
      </c>
      <c r="CH490" s="78">
        <f>IF($CG490="Currently on Watchlist",1,0)</f>
        <v/>
      </c>
      <c r="CI490" s="76">
        <f>IF($Z490="Full Defeasance","Fully Defeased",IF($Z490="Portion Of Loan Previously Defeased","Partially Defeased",IF($Z490="Defeasance Not Allowable","Not Defeased (Not Permitted)","Not Defeased")))</f>
        <v/>
      </c>
      <c r="CJ490" s="78">
        <f>IF($CI490="Fully Defeased",1,0)</f>
        <v/>
      </c>
      <c r="CK490" s="76">
        <f>IF($R490="IO","Full IO",IF(LEFT($R490&amp;"",7)="IO then","Partial IO","Amortizing"))</f>
        <v/>
      </c>
      <c r="CL490" s="78">
        <f>IF($CK490="Full IO",1,0)</f>
        <v/>
      </c>
      <c r="CM490" s="78">
        <f>IF($CK490="Partial IO",1,0)</f>
        <v/>
      </c>
      <c r="CN490" s="76">
        <f>IF(LEFT($F490&amp;"",10)="SPLIT_LOAN","Pari Passu Split","Standalone")</f>
        <v/>
      </c>
      <c r="CO490" s="78">
        <f>IF($CN490="Pari Passu Split",1,0)</f>
        <v/>
      </c>
      <c r="CP490" s="77">
        <f>IF(ISNUMBER($T490),YEAR($T490),"")</f>
        <v/>
      </c>
      <c r="CQ490" s="79">
        <f>IF(ISNUMBER($V490),$V490,IF(ISNUMBER($U490),$U490,""))</f>
        <v/>
      </c>
      <c r="CR490" s="77">
        <f>IF(ISNUMBER($CQ490),YEAR($CQ490),"")</f>
        <v/>
      </c>
      <c r="CS490" s="78">
        <f>IF(ISNUMBER($M490),MAX(0,$M490),IF(TRIM($M490&amp;"")="matured",0,""))</f>
        <v/>
      </c>
      <c r="CT490" s="78">
        <f>IF(AND(ISNUMBER($CS490),N($CS490)&lt;=mMatWindow),1,0)</f>
        <v/>
      </c>
      <c r="CU490" s="80">
        <f>IF(ISNUMBER($J490),$J490/100,"")</f>
        <v/>
      </c>
      <c r="CV490" s="81">
        <f>IF(ISNUMBER($AQ490),$AQ490,"")</f>
        <v/>
      </c>
      <c r="CW490" s="81">
        <f>IF(ISNUMBER($AR490),$AR490,"")</f>
        <v/>
      </c>
      <c r="CX490" s="82">
        <f>IF(ISNUMBER($AS490),$AS490/100,"")</f>
        <v/>
      </c>
      <c r="CY490" s="82">
        <f>IF(ISNUMBER($AT490),$AT490/100,"")</f>
        <v/>
      </c>
      <c r="CZ490" s="82">
        <f>IF(ISNUMBER($AU490),$AU490/100,"")</f>
        <v/>
      </c>
      <c r="DA490" s="82">
        <f>IF(ISNUMBER($AV490),$AV490/100,"")</f>
        <v/>
      </c>
      <c r="DB490" s="82">
        <f>IF(ISNUMBER($AW490),$AW490/100,"")</f>
        <v/>
      </c>
      <c r="DC490" s="82">
        <f>IF(ISNUMBER($AX490),$AX490/100,"")</f>
        <v/>
      </c>
      <c r="DD490" s="77">
        <f>IFERROR(VALUE(LEFT(TRIM($AO490&amp;""),4)),"")</f>
        <v/>
      </c>
      <c r="DE490" s="78">
        <f>IF(AND($BY490=1,$BX490=1,OR(fDeal="All Deals",$BU490=fDeal),OR(fEntity="All Entities",$BV490=fEntity),OR(fPType="All Property Types",$BZ490=fPType),OR(fDefeased="Include",$CJ490=0)),1,0)</f>
        <v/>
      </c>
      <c r="DF490" s="83">
        <f>$DE490*N($I490)</f>
        <v/>
      </c>
      <c r="DG490" s="78">
        <f>IF($DE490=1,IF(COUNTIFS($F$8:$F490,$F490,$DE$8:$DE490,1)=1,1,0),0)</f>
        <v/>
      </c>
      <c r="DH490" s="83">
        <f>IF($DG490=1,SUMIFS($DF$8:$DF$1600,$F$8:$F$1600,$F490),0)</f>
        <v/>
      </c>
      <c r="DI490" s="78">
        <f>IF($DG490=1,COUNTIFS($F$8:$F$1600,$F490,$DE$8:$DE$1600,1),0)</f>
        <v/>
      </c>
      <c r="DJ490" s="84">
        <f>IF($DG490=1,$DH490+(100000-ROW())/mTieBreak,0)</f>
        <v/>
      </c>
    </row>
    <row r="491">
      <c r="B491" s="68" t="n">
        <v>14</v>
      </c>
      <c r="C491" s="69" t="inlineStr">
        <is>
          <t>MSC19H6</t>
        </is>
      </c>
      <c r="D491" s="69" t="inlineStr">
        <is>
          <t>14.000</t>
        </is>
      </c>
      <c r="E491" s="69" t="inlineStr">
        <is>
          <t>AC by Marriott San Jose</t>
        </is>
      </c>
      <c r="F491" s="69" t="inlineStr">
        <is>
          <t>SPLIT_LOAN_01502</t>
        </is>
      </c>
      <c r="G491" s="70" t="n">
        <v>1502</v>
      </c>
      <c r="H491" s="71" t="n">
        <v>15000000</v>
      </c>
      <c r="I491" s="71" t="n">
        <v>15000000</v>
      </c>
      <c r="J491" s="72" t="n">
        <v>4.93</v>
      </c>
      <c r="K491" s="69" t="inlineStr">
        <is>
          <t>Fixed rate</t>
        </is>
      </c>
      <c r="L491" s="68" t="n">
        <v>120</v>
      </c>
      <c r="M491" s="68" t="n">
        <v>31</v>
      </c>
      <c r="N491" s="68" t="n">
        <v>120</v>
      </c>
      <c r="O491" s="68" t="n">
        <v>120</v>
      </c>
      <c r="P491" s="68" t="n">
        <v>31</v>
      </c>
      <c r="Q491" s="68" t="n">
        <v>89</v>
      </c>
      <c r="R491" s="69" t="inlineStr">
        <is>
          <t>IO</t>
        </is>
      </c>
      <c r="S491" s="69" t="inlineStr">
        <is>
          <t>Yes</t>
        </is>
      </c>
      <c r="T491" s="73" t="n">
        <v>43556</v>
      </c>
      <c r="U491" s="73" t="n">
        <v>47209</v>
      </c>
      <c r="V491" s="73" t="n"/>
      <c r="W491" s="69" t="n"/>
      <c r="X491" s="69" t="inlineStr">
        <is>
          <t>Current</t>
        </is>
      </c>
      <c r="Y491" s="68" t="n"/>
      <c r="Z491" s="69" t="inlineStr">
        <is>
          <t>No Defeasance Occurred</t>
        </is>
      </c>
      <c r="AA491" s="69" t="inlineStr">
        <is>
          <t>Yes</t>
        </is>
      </c>
      <c r="AB491" s="69" t="inlineStr">
        <is>
          <t>Never special serv</t>
        </is>
      </c>
      <c r="AC491" s="73" t="n"/>
      <c r="AD491" s="69" t="n"/>
      <c r="AE491" s="69" t="n"/>
      <c r="AF491" s="69" t="inlineStr">
        <is>
          <t>CA</t>
        </is>
      </c>
      <c r="AG491" s="69" t="inlineStr">
        <is>
          <t>San Jose</t>
        </is>
      </c>
      <c r="AH491" s="69" t="inlineStr">
        <is>
          <t>San Jose-Sunnyvale-Santa Clara, CA</t>
        </is>
      </c>
      <c r="AI491" s="69" t="inlineStr">
        <is>
          <t>West / Pacific North</t>
        </is>
      </c>
      <c r="AJ491" s="69" t="inlineStr">
        <is>
          <t>HT</t>
        </is>
      </c>
      <c r="AK491" s="69" t="inlineStr">
        <is>
          <t>Select Service</t>
        </is>
      </c>
      <c r="AL491" s="68" t="n">
        <v>1</v>
      </c>
      <c r="AM491" s="68" t="n">
        <v>210</v>
      </c>
      <c r="AN491" s="68" t="n"/>
      <c r="AO491" s="69" t="inlineStr">
        <is>
          <t>2016</t>
        </is>
      </c>
      <c r="AP491" s="70" t="n">
        <v>2016</v>
      </c>
      <c r="AQ491" s="74" t="n">
        <v>2.05</v>
      </c>
      <c r="AR491" s="74" t="n">
        <v>1.02</v>
      </c>
      <c r="AS491" s="74" t="n">
        <v>59.7</v>
      </c>
      <c r="AT491" s="74" t="n">
        <v>59.7</v>
      </c>
      <c r="AU491" s="74" t="n">
        <v>59.7</v>
      </c>
      <c r="AV491" s="74" t="n">
        <v>10.247565</v>
      </c>
      <c r="AW491" s="74" t="n">
        <v>5.093536667</v>
      </c>
      <c r="AX491" s="75" t="n">
        <v>80</v>
      </c>
      <c r="AY491" s="71" t="n">
        <v>100500000</v>
      </c>
      <c r="AZ491" s="71" t="n">
        <v>100500000</v>
      </c>
      <c r="BA491" s="71" t="n">
        <v>6148539</v>
      </c>
      <c r="BB491" s="71" t="n">
        <v>3056122</v>
      </c>
      <c r="BC491" s="69" t="inlineStr">
        <is>
          <t>Acquisition</t>
        </is>
      </c>
      <c r="BD491" s="69" t="inlineStr">
        <is>
          <t>N</t>
        </is>
      </c>
      <c r="BE491" s="71" t="n">
        <v>45000000</v>
      </c>
      <c r="BF491" s="71" t="n"/>
      <c r="BG491" s="71" t="n"/>
      <c r="BH491" s="71" t="n">
        <v>0</v>
      </c>
      <c r="BI491" s="71" t="n">
        <v>0</v>
      </c>
      <c r="BJ491" s="69" t="inlineStr">
        <is>
          <t>N</t>
        </is>
      </c>
      <c r="BK491" s="69" t="n"/>
      <c r="BL491" s="75" t="n"/>
      <c r="BM491" s="73" t="n"/>
      <c r="BN491" s="69" t="inlineStr">
        <is>
          <t>Allan V. Rose</t>
        </is>
      </c>
      <c r="BO491" s="69" t="inlineStr">
        <is>
          <t>Cantor Commercial Real Estate Lending</t>
        </is>
      </c>
      <c r="BP491" s="69" t="inlineStr">
        <is>
          <t>Midland Loan Services</t>
        </is>
      </c>
      <c r="BQ491" s="69" t="inlineStr">
        <is>
          <t>LNR Partners</t>
        </is>
      </c>
      <c r="BR491" s="69" t="n"/>
      <c r="BS491" s="73" t="n">
        <v>46276</v>
      </c>
      <c r="BU491" s="76">
        <f>IF($C491="","",IFERROR(INDEX(dmName,MATCH($C491,dmID,0)),"Unmapped"))</f>
        <v/>
      </c>
      <c r="BV491" s="76">
        <f>IF($C491="","",IFERROR(INDEX(dmEntity,MATCH($C491,dmID,0)),"Unmapped"))</f>
        <v/>
      </c>
      <c r="BW491" s="77">
        <f>IF($C491="","",IFERROR(INDEX(dmVintage,MATCH($C491,dmID,0)),""))</f>
        <v/>
      </c>
      <c r="BX491" s="78">
        <f>IFERROR(INDEX(dmInclude,MATCH($C491,dmID,0)),0)</f>
        <v/>
      </c>
      <c r="BY491" s="78">
        <f>IF(N($I491)&gt;0,1,0)</f>
        <v/>
      </c>
      <c r="BZ491" s="76">
        <f>IF($AJ491="","Other / Leased Fee",IFERROR(INDEX(mapPTGroup,MATCH(LEFT(TRIM($AJ491),2),mapPTCode,0)),"Other / Leased Fee"))</f>
        <v/>
      </c>
      <c r="CA491" s="76">
        <f>IF(TRIM($AF491&amp;"")="","NR",LEFT(TRIM($AF491),2))</f>
        <v/>
      </c>
      <c r="CB491" s="76">
        <f>IFERROR(LOOKUP(2,1/(LEFT(TRIM($AI491&amp;""),LEN(mapRegion))=mapRegion),mapRegion),"Not Reported")</f>
        <v/>
      </c>
      <c r="CC491" s="76">
        <f>IF($BY491=0,"",IF(TRIM($W491&amp;"")="REO","REO",IF(TRIM($W491&amp;"")="FC","Foreclosure",IF(TRIM($W491&amp;"")="90+","90+ Days Delinquent",IF(TRIM($W491&amp;"")="60","60 Days Delinquent",IF(TRIM($W491&amp;"")="30","30 Days Delinquent",IF($X491="Non-Performing Matured Balloon","Non-Performing Matured Balloon",IF(OR($X491="Late Payment But Less Than 30 Days Delinquent",LEFT($X491&amp;"",20)="Payment Not Received"),"Late / In Grace (&lt;30 Days)",IF($X491="Performing Matured Balloon","Performing Matured Balloon","Current")))))))))</f>
        <v/>
      </c>
      <c r="CD491" s="78">
        <f>IF(OR($CC491="REO",$CC491="Foreclosure",$CC491="90+ Days Delinquent",$CC491="60 Days Delinquent",$CC491="30 Days Delinquent",$CC491="Non-Performing Matured Balloon"),1,0)</f>
        <v/>
      </c>
      <c r="CE491" s="76">
        <f>IF($AB491="Currently special serv","Currently Specially Serviced",IF($AB491="Returned to master serv","Previously Specially Serviced","Never Specially Serviced"))</f>
        <v/>
      </c>
      <c r="CF491" s="78">
        <f>IF($CE491="Currently Specially Serviced",1,0)</f>
        <v/>
      </c>
      <c r="CG491" s="76">
        <f>IF($AA491="Yes","Currently on Watchlist",IF($AA491="Previously","Previously on Watchlist","Never on Watchlist"))</f>
        <v/>
      </c>
      <c r="CH491" s="78">
        <f>IF($CG491="Currently on Watchlist",1,0)</f>
        <v/>
      </c>
      <c r="CI491" s="76">
        <f>IF($Z491="Full Defeasance","Fully Defeased",IF($Z491="Portion Of Loan Previously Defeased","Partially Defeased",IF($Z491="Defeasance Not Allowable","Not Defeased (Not Permitted)","Not Defeased")))</f>
        <v/>
      </c>
      <c r="CJ491" s="78">
        <f>IF($CI491="Fully Defeased",1,0)</f>
        <v/>
      </c>
      <c r="CK491" s="76">
        <f>IF($R491="IO","Full IO",IF(LEFT($R491&amp;"",7)="IO then","Partial IO","Amortizing"))</f>
        <v/>
      </c>
      <c r="CL491" s="78">
        <f>IF($CK491="Full IO",1,0)</f>
        <v/>
      </c>
      <c r="CM491" s="78">
        <f>IF($CK491="Partial IO",1,0)</f>
        <v/>
      </c>
      <c r="CN491" s="76">
        <f>IF(LEFT($F491&amp;"",10)="SPLIT_LOAN","Pari Passu Split","Standalone")</f>
        <v/>
      </c>
      <c r="CO491" s="78">
        <f>IF($CN491="Pari Passu Split",1,0)</f>
        <v/>
      </c>
      <c r="CP491" s="77">
        <f>IF(ISNUMBER($T491),YEAR($T491),"")</f>
        <v/>
      </c>
      <c r="CQ491" s="79">
        <f>IF(ISNUMBER($V491),$V491,IF(ISNUMBER($U491),$U491,""))</f>
        <v/>
      </c>
      <c r="CR491" s="77">
        <f>IF(ISNUMBER($CQ491),YEAR($CQ491),"")</f>
        <v/>
      </c>
      <c r="CS491" s="78">
        <f>IF(ISNUMBER($M491),MAX(0,$M491),IF(TRIM($M491&amp;"")="matured",0,""))</f>
        <v/>
      </c>
      <c r="CT491" s="78">
        <f>IF(AND(ISNUMBER($CS491),N($CS491)&lt;=mMatWindow),1,0)</f>
        <v/>
      </c>
      <c r="CU491" s="80">
        <f>IF(ISNUMBER($J491),$J491/100,"")</f>
        <v/>
      </c>
      <c r="CV491" s="81">
        <f>IF(ISNUMBER($AQ491),$AQ491,"")</f>
        <v/>
      </c>
      <c r="CW491" s="81">
        <f>IF(ISNUMBER($AR491),$AR491,"")</f>
        <v/>
      </c>
      <c r="CX491" s="82">
        <f>IF(ISNUMBER($AS491),$AS491/100,"")</f>
        <v/>
      </c>
      <c r="CY491" s="82">
        <f>IF(ISNUMBER($AT491),$AT491/100,"")</f>
        <v/>
      </c>
      <c r="CZ491" s="82">
        <f>IF(ISNUMBER($AU491),$AU491/100,"")</f>
        <v/>
      </c>
      <c r="DA491" s="82">
        <f>IF(ISNUMBER($AV491),$AV491/100,"")</f>
        <v/>
      </c>
      <c r="DB491" s="82">
        <f>IF(ISNUMBER($AW491),$AW491/100,"")</f>
        <v/>
      </c>
      <c r="DC491" s="82">
        <f>IF(ISNUMBER($AX491),$AX491/100,"")</f>
        <v/>
      </c>
      <c r="DD491" s="77">
        <f>IFERROR(VALUE(LEFT(TRIM($AO491&amp;""),4)),"")</f>
        <v/>
      </c>
      <c r="DE491" s="78">
        <f>IF(AND($BY491=1,$BX491=1,OR(fDeal="All Deals",$BU491=fDeal),OR(fEntity="All Entities",$BV491=fEntity),OR(fPType="All Property Types",$BZ491=fPType),OR(fDefeased="Include",$CJ491=0)),1,0)</f>
        <v/>
      </c>
      <c r="DF491" s="83">
        <f>$DE491*N($I491)</f>
        <v/>
      </c>
      <c r="DG491" s="78">
        <f>IF($DE491=1,IF(COUNTIFS($F$8:$F491,$F491,$DE$8:$DE491,1)=1,1,0),0)</f>
        <v/>
      </c>
      <c r="DH491" s="83">
        <f>IF($DG491=1,SUMIFS($DF$8:$DF$1600,$F$8:$F$1600,$F491),0)</f>
        <v/>
      </c>
      <c r="DI491" s="78">
        <f>IF($DG491=1,COUNTIFS($F$8:$F$1600,$F491,$DE$8:$DE$1600,1),0)</f>
        <v/>
      </c>
      <c r="DJ491" s="84">
        <f>IF($DG491=1,$DH491+(100000-ROW())/mTieBreak,0)</f>
        <v/>
      </c>
    </row>
    <row r="492">
      <c r="B492" s="68" t="n">
        <v>15</v>
      </c>
      <c r="C492" s="69" t="inlineStr">
        <is>
          <t>MSC19H6</t>
        </is>
      </c>
      <c r="D492" s="69" t="inlineStr">
        <is>
          <t>15.000</t>
        </is>
      </c>
      <c r="E492" s="69" t="inlineStr">
        <is>
          <t>Westin Atlanta Airport</t>
        </is>
      </c>
      <c r="F492" s="69" t="inlineStr">
        <is>
          <t>SPLIT_LOAN_01547</t>
        </is>
      </c>
      <c r="G492" s="70" t="n">
        <v>1547</v>
      </c>
      <c r="H492" s="71" t="n">
        <v>15000000</v>
      </c>
      <c r="I492" s="71" t="n">
        <v>13039825.330005</v>
      </c>
      <c r="J492" s="72" t="n">
        <v>4.62</v>
      </c>
      <c r="K492" s="69" t="inlineStr">
        <is>
          <t>Fixed rate</t>
        </is>
      </c>
      <c r="L492" s="68" t="n">
        <v>120</v>
      </c>
      <c r="M492" s="68" t="n">
        <v>31</v>
      </c>
      <c r="N492" s="68" t="n">
        <v>360</v>
      </c>
      <c r="O492" s="68" t="n"/>
      <c r="P492" s="68" t="n"/>
      <c r="Q492" s="68" t="n">
        <v>89</v>
      </c>
      <c r="R492" s="69" t="n"/>
      <c r="S492" s="69" t="inlineStr">
        <is>
          <t>No</t>
        </is>
      </c>
      <c r="T492" s="73" t="n">
        <v>43556</v>
      </c>
      <c r="U492" s="73" t="n">
        <v>47209</v>
      </c>
      <c r="V492" s="73" t="n"/>
      <c r="W492" s="69" t="n"/>
      <c r="X492" s="69" t="inlineStr">
        <is>
          <t>Current</t>
        </is>
      </c>
      <c r="Y492" s="68" t="n"/>
      <c r="Z492" s="69" t="inlineStr">
        <is>
          <t>No Defeasance Occurred</t>
        </is>
      </c>
      <c r="AA492" s="69" t="inlineStr">
        <is>
          <t>Previously</t>
        </is>
      </c>
      <c r="AB492" s="69" t="inlineStr">
        <is>
          <t>Never special serv</t>
        </is>
      </c>
      <c r="AC492" s="73" t="n"/>
      <c r="AD492" s="69" t="n"/>
      <c r="AE492" s="69" t="n"/>
      <c r="AF492" s="69" t="inlineStr">
        <is>
          <t>GA</t>
        </is>
      </c>
      <c r="AG492" s="69" t="inlineStr">
        <is>
          <t>College Park</t>
        </is>
      </c>
      <c r="AH492" s="69" t="inlineStr">
        <is>
          <t>Atlanta-Sandy Springs-Roswell, GA</t>
        </is>
      </c>
      <c r="AI492" s="69" t="inlineStr">
        <is>
          <t>South / Atlantic</t>
        </is>
      </c>
      <c r="AJ492" s="69" t="inlineStr">
        <is>
          <t>HT</t>
        </is>
      </c>
      <c r="AK492" s="69" t="inlineStr">
        <is>
          <t>Full Service</t>
        </is>
      </c>
      <c r="AL492" s="68" t="n">
        <v>1</v>
      </c>
      <c r="AM492" s="68" t="n">
        <v>500</v>
      </c>
      <c r="AN492" s="68" t="n"/>
      <c r="AO492" s="69" t="inlineStr">
        <is>
          <t>1982</t>
        </is>
      </c>
      <c r="AP492" s="70" t="n">
        <v>2008</v>
      </c>
      <c r="AQ492" s="74" t="n">
        <v>2.07</v>
      </c>
      <c r="AR492" s="74" t="n">
        <v>1.89</v>
      </c>
      <c r="AS492" s="74" t="n">
        <v>69</v>
      </c>
      <c r="AT492" s="74" t="n">
        <v>60.11</v>
      </c>
      <c r="AU492" s="74" t="n">
        <v>56.3</v>
      </c>
      <c r="AV492" s="74" t="n">
        <v>12.790413438</v>
      </c>
      <c r="AW492" s="74" t="n">
        <v>12.850210143</v>
      </c>
      <c r="AX492" s="75" t="n">
        <v>63</v>
      </c>
      <c r="AY492" s="71" t="n">
        <v>87500000</v>
      </c>
      <c r="AZ492" s="71" t="n">
        <v>87500000</v>
      </c>
      <c r="BA492" s="71" t="n">
        <v>7738200.13</v>
      </c>
      <c r="BB492" s="71" t="n">
        <v>7062964.79</v>
      </c>
      <c r="BC492" s="69" t="inlineStr">
        <is>
          <t>Refinance</t>
        </is>
      </c>
      <c r="BD492" s="69" t="inlineStr">
        <is>
          <t>N</t>
        </is>
      </c>
      <c r="BE492" s="71" t="n">
        <v>39554136.83</v>
      </c>
      <c r="BF492" s="71" t="n"/>
      <c r="BG492" s="71" t="n"/>
      <c r="BH492" s="71" t="n">
        <v>0</v>
      </c>
      <c r="BI492" s="71" t="n">
        <v>0</v>
      </c>
      <c r="BJ492" s="69" t="inlineStr">
        <is>
          <t>N</t>
        </is>
      </c>
      <c r="BK492" s="69" t="n"/>
      <c r="BL492" s="75" t="n"/>
      <c r="BM492" s="73" t="n"/>
      <c r="BN492" s="69" t="inlineStr">
        <is>
          <t>Columbia Sussex Corporation</t>
        </is>
      </c>
      <c r="BO492" s="69" t="inlineStr">
        <is>
          <t>Morgan Stanley</t>
        </is>
      </c>
      <c r="BP492" s="69" t="inlineStr">
        <is>
          <t>Midland Loan Services</t>
        </is>
      </c>
      <c r="BQ492" s="69" t="inlineStr">
        <is>
          <t>Rialto Capital</t>
        </is>
      </c>
      <c r="BR492" s="69" t="n"/>
      <c r="BS492" s="73" t="n">
        <v>46276</v>
      </c>
      <c r="BU492" s="76">
        <f>IF($C492="","",IFERROR(INDEX(dmName,MATCH($C492,dmID,0)),"Unmapped"))</f>
        <v/>
      </c>
      <c r="BV492" s="76">
        <f>IF($C492="","",IFERROR(INDEX(dmEntity,MATCH($C492,dmID,0)),"Unmapped"))</f>
        <v/>
      </c>
      <c r="BW492" s="77">
        <f>IF($C492="","",IFERROR(INDEX(dmVintage,MATCH($C492,dmID,0)),""))</f>
        <v/>
      </c>
      <c r="BX492" s="78">
        <f>IFERROR(INDEX(dmInclude,MATCH($C492,dmID,0)),0)</f>
        <v/>
      </c>
      <c r="BY492" s="78">
        <f>IF(N($I492)&gt;0,1,0)</f>
        <v/>
      </c>
      <c r="BZ492" s="76">
        <f>IF($AJ492="","Other / Leased Fee",IFERROR(INDEX(mapPTGroup,MATCH(LEFT(TRIM($AJ492),2),mapPTCode,0)),"Other / Leased Fee"))</f>
        <v/>
      </c>
      <c r="CA492" s="76">
        <f>IF(TRIM($AF492&amp;"")="","NR",LEFT(TRIM($AF492),2))</f>
        <v/>
      </c>
      <c r="CB492" s="76">
        <f>IFERROR(LOOKUP(2,1/(LEFT(TRIM($AI492&amp;""),LEN(mapRegion))=mapRegion),mapRegion),"Not Reported")</f>
        <v/>
      </c>
      <c r="CC492" s="76">
        <f>IF($BY492=0,"",IF(TRIM($W492&amp;"")="REO","REO",IF(TRIM($W492&amp;"")="FC","Foreclosure",IF(TRIM($W492&amp;"")="90+","90+ Days Delinquent",IF(TRIM($W492&amp;"")="60","60 Days Delinquent",IF(TRIM($W492&amp;"")="30","30 Days Delinquent",IF($X492="Non-Performing Matured Balloon","Non-Performing Matured Balloon",IF(OR($X492="Late Payment But Less Than 30 Days Delinquent",LEFT($X492&amp;"",20)="Payment Not Received"),"Late / In Grace (&lt;30 Days)",IF($X492="Performing Matured Balloon","Performing Matured Balloon","Current")))))))))</f>
        <v/>
      </c>
      <c r="CD492" s="78">
        <f>IF(OR($CC492="REO",$CC492="Foreclosure",$CC492="90+ Days Delinquent",$CC492="60 Days Delinquent",$CC492="30 Days Delinquent",$CC492="Non-Performing Matured Balloon"),1,0)</f>
        <v/>
      </c>
      <c r="CE492" s="76">
        <f>IF($AB492="Currently special serv","Currently Specially Serviced",IF($AB492="Returned to master serv","Previously Specially Serviced","Never Specially Serviced"))</f>
        <v/>
      </c>
      <c r="CF492" s="78">
        <f>IF($CE492="Currently Specially Serviced",1,0)</f>
        <v/>
      </c>
      <c r="CG492" s="76">
        <f>IF($AA492="Yes","Currently on Watchlist",IF($AA492="Previously","Previously on Watchlist","Never on Watchlist"))</f>
        <v/>
      </c>
      <c r="CH492" s="78">
        <f>IF($CG492="Currently on Watchlist",1,0)</f>
        <v/>
      </c>
      <c r="CI492" s="76">
        <f>IF($Z492="Full Defeasance","Fully Defeased",IF($Z492="Portion Of Loan Previously Defeased","Partially Defeased",IF($Z492="Defeasance Not Allowable","Not Defeased (Not Permitted)","Not Defeased")))</f>
        <v/>
      </c>
      <c r="CJ492" s="78">
        <f>IF($CI492="Fully Defeased",1,0)</f>
        <v/>
      </c>
      <c r="CK492" s="76">
        <f>IF($R492="IO","Full IO",IF(LEFT($R492&amp;"",7)="IO then","Partial IO","Amortizing"))</f>
        <v/>
      </c>
      <c r="CL492" s="78">
        <f>IF($CK492="Full IO",1,0)</f>
        <v/>
      </c>
      <c r="CM492" s="78">
        <f>IF($CK492="Partial IO",1,0)</f>
        <v/>
      </c>
      <c r="CN492" s="76">
        <f>IF(LEFT($F492&amp;"",10)="SPLIT_LOAN","Pari Passu Split","Standalone")</f>
        <v/>
      </c>
      <c r="CO492" s="78">
        <f>IF($CN492="Pari Passu Split",1,0)</f>
        <v/>
      </c>
      <c r="CP492" s="77">
        <f>IF(ISNUMBER($T492),YEAR($T492),"")</f>
        <v/>
      </c>
      <c r="CQ492" s="79">
        <f>IF(ISNUMBER($V492),$V492,IF(ISNUMBER($U492),$U492,""))</f>
        <v/>
      </c>
      <c r="CR492" s="77">
        <f>IF(ISNUMBER($CQ492),YEAR($CQ492),"")</f>
        <v/>
      </c>
      <c r="CS492" s="78">
        <f>IF(ISNUMBER($M492),MAX(0,$M492),IF(TRIM($M492&amp;"")="matured",0,""))</f>
        <v/>
      </c>
      <c r="CT492" s="78">
        <f>IF(AND(ISNUMBER($CS492),N($CS492)&lt;=mMatWindow),1,0)</f>
        <v/>
      </c>
      <c r="CU492" s="80">
        <f>IF(ISNUMBER($J492),$J492/100,"")</f>
        <v/>
      </c>
      <c r="CV492" s="81">
        <f>IF(ISNUMBER($AQ492),$AQ492,"")</f>
        <v/>
      </c>
      <c r="CW492" s="81">
        <f>IF(ISNUMBER($AR492),$AR492,"")</f>
        <v/>
      </c>
      <c r="CX492" s="82">
        <f>IF(ISNUMBER($AS492),$AS492/100,"")</f>
        <v/>
      </c>
      <c r="CY492" s="82">
        <f>IF(ISNUMBER($AT492),$AT492/100,"")</f>
        <v/>
      </c>
      <c r="CZ492" s="82">
        <f>IF(ISNUMBER($AU492),$AU492/100,"")</f>
        <v/>
      </c>
      <c r="DA492" s="82">
        <f>IF(ISNUMBER($AV492),$AV492/100,"")</f>
        <v/>
      </c>
      <c r="DB492" s="82">
        <f>IF(ISNUMBER($AW492),$AW492/100,"")</f>
        <v/>
      </c>
      <c r="DC492" s="82">
        <f>IF(ISNUMBER($AX492),$AX492/100,"")</f>
        <v/>
      </c>
      <c r="DD492" s="77">
        <f>IFERROR(VALUE(LEFT(TRIM($AO492&amp;""),4)),"")</f>
        <v/>
      </c>
      <c r="DE492" s="78">
        <f>IF(AND($BY492=1,$BX492=1,OR(fDeal="All Deals",$BU492=fDeal),OR(fEntity="All Entities",$BV492=fEntity),OR(fPType="All Property Types",$BZ492=fPType),OR(fDefeased="Include",$CJ492=0)),1,0)</f>
        <v/>
      </c>
      <c r="DF492" s="83">
        <f>$DE492*N($I492)</f>
        <v/>
      </c>
      <c r="DG492" s="78">
        <f>IF($DE492=1,IF(COUNTIFS($F$8:$F492,$F492,$DE$8:$DE492,1)=1,1,0),0)</f>
        <v/>
      </c>
      <c r="DH492" s="83">
        <f>IF($DG492=1,SUMIFS($DF$8:$DF$1600,$F$8:$F$1600,$F492),0)</f>
        <v/>
      </c>
      <c r="DI492" s="78">
        <f>IF($DG492=1,COUNTIFS($F$8:$F$1600,$F492,$DE$8:$DE$1600,1),0)</f>
        <v/>
      </c>
      <c r="DJ492" s="84">
        <f>IF($DG492=1,$DH492+(100000-ROW())/mTieBreak,0)</f>
        <v/>
      </c>
    </row>
    <row r="493">
      <c r="B493" s="68" t="n">
        <v>16</v>
      </c>
      <c r="C493" s="69" t="inlineStr">
        <is>
          <t>MSC19H6</t>
        </is>
      </c>
      <c r="D493" s="69" t="inlineStr">
        <is>
          <t>16.000</t>
        </is>
      </c>
      <c r="E493" s="69" t="inlineStr">
        <is>
          <t>Storage Xxtra Highway 85</t>
        </is>
      </c>
      <c r="F493" s="69" t="inlineStr">
        <is>
          <t>LNMSC19H6-16.000</t>
        </is>
      </c>
      <c r="G493" s="70" t="n"/>
      <c r="H493" s="71" t="n">
        <v>15000000</v>
      </c>
      <c r="I493" s="71" t="n">
        <v>13136939.080005</v>
      </c>
      <c r="J493" s="72" t="n">
        <v>5.11</v>
      </c>
      <c r="K493" s="69" t="inlineStr">
        <is>
          <t>Fixed rate</t>
        </is>
      </c>
      <c r="L493" s="68" t="n">
        <v>120</v>
      </c>
      <c r="M493" s="68" t="n">
        <v>29</v>
      </c>
      <c r="N493" s="68" t="n">
        <v>360</v>
      </c>
      <c r="O493" s="68" t="n"/>
      <c r="P493" s="68" t="n"/>
      <c r="Q493" s="68" t="n">
        <v>91</v>
      </c>
      <c r="R493" s="69" t="n"/>
      <c r="S493" s="69" t="inlineStr">
        <is>
          <t>No</t>
        </is>
      </c>
      <c r="T493" s="73" t="n">
        <v>43497</v>
      </c>
      <c r="U493" s="73" t="n">
        <v>47155</v>
      </c>
      <c r="V493" s="73" t="n"/>
      <c r="W493" s="69" t="n"/>
      <c r="X493" s="69" t="inlineStr">
        <is>
          <t>Current</t>
        </is>
      </c>
      <c r="Y493" s="68" t="n"/>
      <c r="Z493" s="69" t="inlineStr">
        <is>
          <t>No Defeasance Occurred</t>
        </is>
      </c>
      <c r="AA493" s="69" t="n"/>
      <c r="AB493" s="69" t="inlineStr">
        <is>
          <t>Never special serv</t>
        </is>
      </c>
      <c r="AC493" s="73" t="n"/>
      <c r="AD493" s="69" t="n"/>
      <c r="AE493" s="69" t="n"/>
      <c r="AF493" s="69" t="inlineStr">
        <is>
          <t>GA</t>
        </is>
      </c>
      <c r="AG493" s="69" t="inlineStr">
        <is>
          <t>Fayetteville</t>
        </is>
      </c>
      <c r="AH493" s="69" t="inlineStr">
        <is>
          <t>Atlanta-Sandy Springs-Roswell, GA</t>
        </is>
      </c>
      <c r="AI493" s="69" t="inlineStr">
        <is>
          <t>South / Atlantic</t>
        </is>
      </c>
      <c r="AJ493" s="69" t="inlineStr">
        <is>
          <t>MX</t>
        </is>
      </c>
      <c r="AK493" s="69" t="inlineStr">
        <is>
          <t>Self Storage/Office</t>
        </is>
      </c>
      <c r="AL493" s="68" t="n">
        <v>1</v>
      </c>
      <c r="AM493" s="68" t="n"/>
      <c r="AN493" s="68" t="n">
        <v>196610</v>
      </c>
      <c r="AO493" s="69" t="inlineStr">
        <is>
          <t>2006, 2014, 2016</t>
        </is>
      </c>
      <c r="AP493" s="70" t="n">
        <v>2016</v>
      </c>
      <c r="AQ493" s="74" t="n">
        <v>1.47</v>
      </c>
      <c r="AR493" s="74" t="n">
        <v>2.33</v>
      </c>
      <c r="AS493" s="74" t="n">
        <v>62.2</v>
      </c>
      <c r="AT493" s="74" t="n">
        <v>54.74</v>
      </c>
      <c r="AU493" s="74" t="n">
        <v>51.7</v>
      </c>
      <c r="AV493" s="74" t="n">
        <v>9.610703000000001</v>
      </c>
      <c r="AW493" s="74" t="n">
        <v>17.373678725</v>
      </c>
      <c r="AX493" s="75" t="n">
        <v>83</v>
      </c>
      <c r="AY493" s="71" t="n">
        <v>24000000</v>
      </c>
      <c r="AZ493" s="71" t="n">
        <v>24000000</v>
      </c>
      <c r="BA493" s="71" t="n">
        <v>1441605.45</v>
      </c>
      <c r="BB493" s="71" t="n">
        <v>2282369.59</v>
      </c>
      <c r="BC493" s="69" t="inlineStr">
        <is>
          <t>Refinance</t>
        </is>
      </c>
      <c r="BD493" s="69" t="inlineStr">
        <is>
          <t>N</t>
        </is>
      </c>
      <c r="BE493" s="71" t="n"/>
      <c r="BF493" s="71" t="n"/>
      <c r="BG493" s="71" t="n"/>
      <c r="BH493" s="71" t="n">
        <v>0</v>
      </c>
      <c r="BI493" s="71" t="n">
        <v>0</v>
      </c>
      <c r="BJ493" s="69" t="inlineStr">
        <is>
          <t>N</t>
        </is>
      </c>
      <c r="BK493" s="69" t="n"/>
      <c r="BL493" s="75" t="n"/>
      <c r="BM493" s="73" t="n"/>
      <c r="BN493" s="69" t="inlineStr">
        <is>
          <t>Fred D. Rickman, Jr.; Tracy E.D. Spencer</t>
        </is>
      </c>
      <c r="BO493" s="69" t="inlineStr">
        <is>
          <t>Starwood</t>
        </is>
      </c>
      <c r="BP493" s="69" t="inlineStr">
        <is>
          <t>Midland Loan Services</t>
        </is>
      </c>
      <c r="BQ493" s="69" t="inlineStr">
        <is>
          <t>K-Star Asset Management LLC</t>
        </is>
      </c>
      <c r="BR493" s="69" t="n"/>
      <c r="BS493" s="73" t="n">
        <v>46276</v>
      </c>
      <c r="BU493" s="76">
        <f>IF($C493="","",IFERROR(INDEX(dmName,MATCH($C493,dmID,0)),"Unmapped"))</f>
        <v/>
      </c>
      <c r="BV493" s="76">
        <f>IF($C493="","",IFERROR(INDEX(dmEntity,MATCH($C493,dmID,0)),"Unmapped"))</f>
        <v/>
      </c>
      <c r="BW493" s="77">
        <f>IF($C493="","",IFERROR(INDEX(dmVintage,MATCH($C493,dmID,0)),""))</f>
        <v/>
      </c>
      <c r="BX493" s="78">
        <f>IFERROR(INDEX(dmInclude,MATCH($C493,dmID,0)),0)</f>
        <v/>
      </c>
      <c r="BY493" s="78">
        <f>IF(N($I493)&gt;0,1,0)</f>
        <v/>
      </c>
      <c r="BZ493" s="76">
        <f>IF($AJ493="","Other / Leased Fee",IFERROR(INDEX(mapPTGroup,MATCH(LEFT(TRIM($AJ493),2),mapPTCode,0)),"Other / Leased Fee"))</f>
        <v/>
      </c>
      <c r="CA493" s="76">
        <f>IF(TRIM($AF493&amp;"")="","NR",LEFT(TRIM($AF493),2))</f>
        <v/>
      </c>
      <c r="CB493" s="76">
        <f>IFERROR(LOOKUP(2,1/(LEFT(TRIM($AI493&amp;""),LEN(mapRegion))=mapRegion),mapRegion),"Not Reported")</f>
        <v/>
      </c>
      <c r="CC493" s="76">
        <f>IF($BY493=0,"",IF(TRIM($W493&amp;"")="REO","REO",IF(TRIM($W493&amp;"")="FC","Foreclosure",IF(TRIM($W493&amp;"")="90+","90+ Days Delinquent",IF(TRIM($W493&amp;"")="60","60 Days Delinquent",IF(TRIM($W493&amp;"")="30","30 Days Delinquent",IF($X493="Non-Performing Matured Balloon","Non-Performing Matured Balloon",IF(OR($X493="Late Payment But Less Than 30 Days Delinquent",LEFT($X493&amp;"",20)="Payment Not Received"),"Late / In Grace (&lt;30 Days)",IF($X493="Performing Matured Balloon","Performing Matured Balloon","Current")))))))))</f>
        <v/>
      </c>
      <c r="CD493" s="78">
        <f>IF(OR($CC493="REO",$CC493="Foreclosure",$CC493="90+ Days Delinquent",$CC493="60 Days Delinquent",$CC493="30 Days Delinquent",$CC493="Non-Performing Matured Balloon"),1,0)</f>
        <v/>
      </c>
      <c r="CE493" s="76">
        <f>IF($AB493="Currently special serv","Currently Specially Serviced",IF($AB493="Returned to master serv","Previously Specially Serviced","Never Specially Serviced"))</f>
        <v/>
      </c>
      <c r="CF493" s="78">
        <f>IF($CE493="Currently Specially Serviced",1,0)</f>
        <v/>
      </c>
      <c r="CG493" s="76">
        <f>IF($AA493="Yes","Currently on Watchlist",IF($AA493="Previously","Previously on Watchlist","Never on Watchlist"))</f>
        <v/>
      </c>
      <c r="CH493" s="78">
        <f>IF($CG493="Currently on Watchlist",1,0)</f>
        <v/>
      </c>
      <c r="CI493" s="76">
        <f>IF($Z493="Full Defeasance","Fully Defeased",IF($Z493="Portion Of Loan Previously Defeased","Partially Defeased",IF($Z493="Defeasance Not Allowable","Not Defeased (Not Permitted)","Not Defeased")))</f>
        <v/>
      </c>
      <c r="CJ493" s="78">
        <f>IF($CI493="Fully Defeased",1,0)</f>
        <v/>
      </c>
      <c r="CK493" s="76">
        <f>IF($R493="IO","Full IO",IF(LEFT($R493&amp;"",7)="IO then","Partial IO","Amortizing"))</f>
        <v/>
      </c>
      <c r="CL493" s="78">
        <f>IF($CK493="Full IO",1,0)</f>
        <v/>
      </c>
      <c r="CM493" s="78">
        <f>IF($CK493="Partial IO",1,0)</f>
        <v/>
      </c>
      <c r="CN493" s="76">
        <f>IF(LEFT($F493&amp;"",10)="SPLIT_LOAN","Pari Passu Split","Standalone")</f>
        <v/>
      </c>
      <c r="CO493" s="78">
        <f>IF($CN493="Pari Passu Split",1,0)</f>
        <v/>
      </c>
      <c r="CP493" s="77">
        <f>IF(ISNUMBER($T493),YEAR($T493),"")</f>
        <v/>
      </c>
      <c r="CQ493" s="79">
        <f>IF(ISNUMBER($V493),$V493,IF(ISNUMBER($U493),$U493,""))</f>
        <v/>
      </c>
      <c r="CR493" s="77">
        <f>IF(ISNUMBER($CQ493),YEAR($CQ493),"")</f>
        <v/>
      </c>
      <c r="CS493" s="78">
        <f>IF(ISNUMBER($M493),MAX(0,$M493),IF(TRIM($M493&amp;"")="matured",0,""))</f>
        <v/>
      </c>
      <c r="CT493" s="78">
        <f>IF(AND(ISNUMBER($CS493),N($CS493)&lt;=mMatWindow),1,0)</f>
        <v/>
      </c>
      <c r="CU493" s="80">
        <f>IF(ISNUMBER($J493),$J493/100,"")</f>
        <v/>
      </c>
      <c r="CV493" s="81">
        <f>IF(ISNUMBER($AQ493),$AQ493,"")</f>
        <v/>
      </c>
      <c r="CW493" s="81">
        <f>IF(ISNUMBER($AR493),$AR493,"")</f>
        <v/>
      </c>
      <c r="CX493" s="82">
        <f>IF(ISNUMBER($AS493),$AS493/100,"")</f>
        <v/>
      </c>
      <c r="CY493" s="82">
        <f>IF(ISNUMBER($AT493),$AT493/100,"")</f>
        <v/>
      </c>
      <c r="CZ493" s="82">
        <f>IF(ISNUMBER($AU493),$AU493/100,"")</f>
        <v/>
      </c>
      <c r="DA493" s="82">
        <f>IF(ISNUMBER($AV493),$AV493/100,"")</f>
        <v/>
      </c>
      <c r="DB493" s="82">
        <f>IF(ISNUMBER($AW493),$AW493/100,"")</f>
        <v/>
      </c>
      <c r="DC493" s="82">
        <f>IF(ISNUMBER($AX493),$AX493/100,"")</f>
        <v/>
      </c>
      <c r="DD493" s="77">
        <f>IFERROR(VALUE(LEFT(TRIM($AO493&amp;""),4)),"")</f>
        <v/>
      </c>
      <c r="DE493" s="78">
        <f>IF(AND($BY493=1,$BX493=1,OR(fDeal="All Deals",$BU493=fDeal),OR(fEntity="All Entities",$BV493=fEntity),OR(fPType="All Property Types",$BZ493=fPType),OR(fDefeased="Include",$CJ493=0)),1,0)</f>
        <v/>
      </c>
      <c r="DF493" s="83">
        <f>$DE493*N($I493)</f>
        <v/>
      </c>
      <c r="DG493" s="78">
        <f>IF($DE493=1,IF(COUNTIFS($F$8:$F493,$F493,$DE$8:$DE493,1)=1,1,0),0)</f>
        <v/>
      </c>
      <c r="DH493" s="83">
        <f>IF($DG493=1,SUMIFS($DF$8:$DF$1600,$F$8:$F$1600,$F493),0)</f>
        <v/>
      </c>
      <c r="DI493" s="78">
        <f>IF($DG493=1,COUNTIFS($F$8:$F$1600,$F493,$DE$8:$DE$1600,1),0)</f>
        <v/>
      </c>
      <c r="DJ493" s="84">
        <f>IF($DG493=1,$DH493+(100000-ROW())/mTieBreak,0)</f>
        <v/>
      </c>
    </row>
    <row r="494">
      <c r="B494" s="68" t="n">
        <v>17</v>
      </c>
      <c r="C494" s="69" t="inlineStr">
        <is>
          <t>MSC19H6</t>
        </is>
      </c>
      <c r="D494" s="69" t="inlineStr">
        <is>
          <t>17.000</t>
        </is>
      </c>
      <c r="E494" s="69" t="inlineStr">
        <is>
          <t>Olive Branch Commons</t>
        </is>
      </c>
      <c r="F494" s="69" t="inlineStr">
        <is>
          <t>LNMSC19H6-17.000</t>
        </is>
      </c>
      <c r="G494" s="70" t="n"/>
      <c r="H494" s="71" t="n">
        <v>13500000</v>
      </c>
      <c r="I494" s="71" t="n">
        <v>12201839.050005</v>
      </c>
      <c r="J494" s="72" t="n">
        <v>5.33</v>
      </c>
      <c r="K494" s="69" t="inlineStr">
        <is>
          <t>Fixed rate</t>
        </is>
      </c>
      <c r="L494" s="68" t="n">
        <v>120</v>
      </c>
      <c r="M494" s="68" t="n">
        <v>32</v>
      </c>
      <c r="N494" s="68" t="n">
        <v>372</v>
      </c>
      <c r="O494" s="68" t="n">
        <v>12</v>
      </c>
      <c r="P494" s="68" t="n">
        <v>0</v>
      </c>
      <c r="Q494" s="68" t="n">
        <v>88</v>
      </c>
      <c r="R494" s="69" t="inlineStr">
        <is>
          <t>IO then Amort</t>
        </is>
      </c>
      <c r="S494" s="69" t="inlineStr">
        <is>
          <t>No</t>
        </is>
      </c>
      <c r="T494" s="73" t="n">
        <v>43586</v>
      </c>
      <c r="U494" s="73" t="n">
        <v>47239</v>
      </c>
      <c r="V494" s="73" t="n"/>
      <c r="W494" s="69" t="n"/>
      <c r="X494" s="69" t="inlineStr">
        <is>
          <t>Current</t>
        </is>
      </c>
      <c r="Y494" s="68" t="n"/>
      <c r="Z494" s="69" t="inlineStr">
        <is>
          <t>No Defeasance Occurred</t>
        </is>
      </c>
      <c r="AA494" s="69" t="n"/>
      <c r="AB494" s="69" t="inlineStr">
        <is>
          <t>Never special serv</t>
        </is>
      </c>
      <c r="AC494" s="73" t="n"/>
      <c r="AD494" s="69" t="n"/>
      <c r="AE494" s="69" t="n"/>
      <c r="AF494" s="69" t="inlineStr">
        <is>
          <t>MS</t>
        </is>
      </c>
      <c r="AG494" s="69" t="inlineStr">
        <is>
          <t>Olive Branch</t>
        </is>
      </c>
      <c r="AH494" s="69" t="inlineStr">
        <is>
          <t>Memphis, TN-MS-AR</t>
        </is>
      </c>
      <c r="AI494" s="69" t="inlineStr">
        <is>
          <t>South / Central East</t>
        </is>
      </c>
      <c r="AJ494" s="69" t="inlineStr">
        <is>
          <t>RT</t>
        </is>
      </c>
      <c r="AK494" s="69" t="inlineStr">
        <is>
          <t>Anchored</t>
        </is>
      </c>
      <c r="AL494" s="68" t="n">
        <v>1</v>
      </c>
      <c r="AM494" s="68" t="n"/>
      <c r="AN494" s="68" t="n">
        <v>130943</v>
      </c>
      <c r="AO494" s="69" t="inlineStr">
        <is>
          <t>2015</t>
        </is>
      </c>
      <c r="AP494" s="70" t="n">
        <v>2015</v>
      </c>
      <c r="AQ494" s="74" t="n">
        <v>1.26</v>
      </c>
      <c r="AR494" s="74" t="n">
        <v>1.43</v>
      </c>
      <c r="AS494" s="74" t="n">
        <v>71.09999999999999</v>
      </c>
      <c r="AT494" s="74" t="n">
        <v>64.22</v>
      </c>
      <c r="AU494" s="74" t="n">
        <v>60.7</v>
      </c>
      <c r="AV494" s="74" t="n">
        <v>8.431676444000001</v>
      </c>
      <c r="AW494" s="74" t="n">
        <v>10.586963364</v>
      </c>
      <c r="AX494" s="75" t="n">
        <v>100</v>
      </c>
      <c r="AY494" s="71" t="n">
        <v>19000000</v>
      </c>
      <c r="AZ494" s="71" t="n">
        <v>19000000</v>
      </c>
      <c r="BA494" s="71" t="n">
        <v>1138276.32</v>
      </c>
      <c r="BB494" s="71" t="n">
        <v>1291804.23</v>
      </c>
      <c r="BC494" s="69" t="inlineStr">
        <is>
          <t>Refinance</t>
        </is>
      </c>
      <c r="BD494" s="69" t="inlineStr">
        <is>
          <t>N</t>
        </is>
      </c>
      <c r="BE494" s="71" t="n"/>
      <c r="BF494" s="71" t="n"/>
      <c r="BG494" s="71" t="n"/>
      <c r="BH494" s="71" t="n">
        <v>0</v>
      </c>
      <c r="BI494" s="71" t="n">
        <v>0</v>
      </c>
      <c r="BJ494" s="69" t="inlineStr">
        <is>
          <t>N</t>
        </is>
      </c>
      <c r="BK494" s="69" t="inlineStr">
        <is>
          <t>Academy - OB</t>
        </is>
      </c>
      <c r="BL494" s="75" t="n">
        <v>48.07</v>
      </c>
      <c r="BM494" s="73" t="n">
        <v>47787</v>
      </c>
      <c r="BN494" s="69" t="inlineStr">
        <is>
          <t>Michael D. Starcher; James Nix, Jr.</t>
        </is>
      </c>
      <c r="BO494" s="69" t="inlineStr">
        <is>
          <t>Morgan Stanley</t>
        </is>
      </c>
      <c r="BP494" s="69" t="inlineStr">
        <is>
          <t>Midland Loan Services</t>
        </is>
      </c>
      <c r="BQ494" s="69" t="inlineStr">
        <is>
          <t>K-Star Asset Management LLC</t>
        </is>
      </c>
      <c r="BR494" s="69" t="n"/>
      <c r="BS494" s="73" t="n">
        <v>46276</v>
      </c>
      <c r="BU494" s="76">
        <f>IF($C494="","",IFERROR(INDEX(dmName,MATCH($C494,dmID,0)),"Unmapped"))</f>
        <v/>
      </c>
      <c r="BV494" s="76">
        <f>IF($C494="","",IFERROR(INDEX(dmEntity,MATCH($C494,dmID,0)),"Unmapped"))</f>
        <v/>
      </c>
      <c r="BW494" s="77">
        <f>IF($C494="","",IFERROR(INDEX(dmVintage,MATCH($C494,dmID,0)),""))</f>
        <v/>
      </c>
      <c r="BX494" s="78">
        <f>IFERROR(INDEX(dmInclude,MATCH($C494,dmID,0)),0)</f>
        <v/>
      </c>
      <c r="BY494" s="78">
        <f>IF(N($I494)&gt;0,1,0)</f>
        <v/>
      </c>
      <c r="BZ494" s="76">
        <f>IF($AJ494="","Other / Leased Fee",IFERROR(INDEX(mapPTGroup,MATCH(LEFT(TRIM($AJ494),2),mapPTCode,0)),"Other / Leased Fee"))</f>
        <v/>
      </c>
      <c r="CA494" s="76">
        <f>IF(TRIM($AF494&amp;"")="","NR",LEFT(TRIM($AF494),2))</f>
        <v/>
      </c>
      <c r="CB494" s="76">
        <f>IFERROR(LOOKUP(2,1/(LEFT(TRIM($AI494&amp;""),LEN(mapRegion))=mapRegion),mapRegion),"Not Reported")</f>
        <v/>
      </c>
      <c r="CC494" s="76">
        <f>IF($BY494=0,"",IF(TRIM($W494&amp;"")="REO","REO",IF(TRIM($W494&amp;"")="FC","Foreclosure",IF(TRIM($W494&amp;"")="90+","90+ Days Delinquent",IF(TRIM($W494&amp;"")="60","60 Days Delinquent",IF(TRIM($W494&amp;"")="30","30 Days Delinquent",IF($X494="Non-Performing Matured Balloon","Non-Performing Matured Balloon",IF(OR($X494="Late Payment But Less Than 30 Days Delinquent",LEFT($X494&amp;"",20)="Payment Not Received"),"Late / In Grace (&lt;30 Days)",IF($X494="Performing Matured Balloon","Performing Matured Balloon","Current")))))))))</f>
        <v/>
      </c>
      <c r="CD494" s="78">
        <f>IF(OR($CC494="REO",$CC494="Foreclosure",$CC494="90+ Days Delinquent",$CC494="60 Days Delinquent",$CC494="30 Days Delinquent",$CC494="Non-Performing Matured Balloon"),1,0)</f>
        <v/>
      </c>
      <c r="CE494" s="76">
        <f>IF($AB494="Currently special serv","Currently Specially Serviced",IF($AB494="Returned to master serv","Previously Specially Serviced","Never Specially Serviced"))</f>
        <v/>
      </c>
      <c r="CF494" s="78">
        <f>IF($CE494="Currently Specially Serviced",1,0)</f>
        <v/>
      </c>
      <c r="CG494" s="76">
        <f>IF($AA494="Yes","Currently on Watchlist",IF($AA494="Previously","Previously on Watchlist","Never on Watchlist"))</f>
        <v/>
      </c>
      <c r="CH494" s="78">
        <f>IF($CG494="Currently on Watchlist",1,0)</f>
        <v/>
      </c>
      <c r="CI494" s="76">
        <f>IF($Z494="Full Defeasance","Fully Defeased",IF($Z494="Portion Of Loan Previously Defeased","Partially Defeased",IF($Z494="Defeasance Not Allowable","Not Defeased (Not Permitted)","Not Defeased")))</f>
        <v/>
      </c>
      <c r="CJ494" s="78">
        <f>IF($CI494="Fully Defeased",1,0)</f>
        <v/>
      </c>
      <c r="CK494" s="76">
        <f>IF($R494="IO","Full IO",IF(LEFT($R494&amp;"",7)="IO then","Partial IO","Amortizing"))</f>
        <v/>
      </c>
      <c r="CL494" s="78">
        <f>IF($CK494="Full IO",1,0)</f>
        <v/>
      </c>
      <c r="CM494" s="78">
        <f>IF($CK494="Partial IO",1,0)</f>
        <v/>
      </c>
      <c r="CN494" s="76">
        <f>IF(LEFT($F494&amp;"",10)="SPLIT_LOAN","Pari Passu Split","Standalone")</f>
        <v/>
      </c>
      <c r="CO494" s="78">
        <f>IF($CN494="Pari Passu Split",1,0)</f>
        <v/>
      </c>
      <c r="CP494" s="77">
        <f>IF(ISNUMBER($T494),YEAR($T494),"")</f>
        <v/>
      </c>
      <c r="CQ494" s="79">
        <f>IF(ISNUMBER($V494),$V494,IF(ISNUMBER($U494),$U494,""))</f>
        <v/>
      </c>
      <c r="CR494" s="77">
        <f>IF(ISNUMBER($CQ494),YEAR($CQ494),"")</f>
        <v/>
      </c>
      <c r="CS494" s="78">
        <f>IF(ISNUMBER($M494),MAX(0,$M494),IF(TRIM($M494&amp;"")="matured",0,""))</f>
        <v/>
      </c>
      <c r="CT494" s="78">
        <f>IF(AND(ISNUMBER($CS494),N($CS494)&lt;=mMatWindow),1,0)</f>
        <v/>
      </c>
      <c r="CU494" s="80">
        <f>IF(ISNUMBER($J494),$J494/100,"")</f>
        <v/>
      </c>
      <c r="CV494" s="81">
        <f>IF(ISNUMBER($AQ494),$AQ494,"")</f>
        <v/>
      </c>
      <c r="CW494" s="81">
        <f>IF(ISNUMBER($AR494),$AR494,"")</f>
        <v/>
      </c>
      <c r="CX494" s="82">
        <f>IF(ISNUMBER($AS494),$AS494/100,"")</f>
        <v/>
      </c>
      <c r="CY494" s="82">
        <f>IF(ISNUMBER($AT494),$AT494/100,"")</f>
        <v/>
      </c>
      <c r="CZ494" s="82">
        <f>IF(ISNUMBER($AU494),$AU494/100,"")</f>
        <v/>
      </c>
      <c r="DA494" s="82">
        <f>IF(ISNUMBER($AV494),$AV494/100,"")</f>
        <v/>
      </c>
      <c r="DB494" s="82">
        <f>IF(ISNUMBER($AW494),$AW494/100,"")</f>
        <v/>
      </c>
      <c r="DC494" s="82">
        <f>IF(ISNUMBER($AX494),$AX494/100,"")</f>
        <v/>
      </c>
      <c r="DD494" s="77">
        <f>IFERROR(VALUE(LEFT(TRIM($AO494&amp;""),4)),"")</f>
        <v/>
      </c>
      <c r="DE494" s="78">
        <f>IF(AND($BY494=1,$BX494=1,OR(fDeal="All Deals",$BU494=fDeal),OR(fEntity="All Entities",$BV494=fEntity),OR(fPType="All Property Types",$BZ494=fPType),OR(fDefeased="Include",$CJ494=0)),1,0)</f>
        <v/>
      </c>
      <c r="DF494" s="83">
        <f>$DE494*N($I494)</f>
        <v/>
      </c>
      <c r="DG494" s="78">
        <f>IF($DE494=1,IF(COUNTIFS($F$8:$F494,$F494,$DE$8:$DE494,1)=1,1,0),0)</f>
        <v/>
      </c>
      <c r="DH494" s="83">
        <f>IF($DG494=1,SUMIFS($DF$8:$DF$1600,$F$8:$F$1600,$F494),0)</f>
        <v/>
      </c>
      <c r="DI494" s="78">
        <f>IF($DG494=1,COUNTIFS($F$8:$F$1600,$F494,$DE$8:$DE$1600,1),0)</f>
        <v/>
      </c>
      <c r="DJ494" s="84">
        <f>IF($DG494=1,$DH494+(100000-ROW())/mTieBreak,0)</f>
        <v/>
      </c>
    </row>
    <row r="495">
      <c r="B495" s="68" t="n">
        <v>18</v>
      </c>
      <c r="C495" s="69" t="inlineStr">
        <is>
          <t>MSC19H6</t>
        </is>
      </c>
      <c r="D495" s="69" t="inlineStr">
        <is>
          <t>18.000</t>
        </is>
      </c>
      <c r="E495" s="69" t="inlineStr">
        <is>
          <t>Fayetteville Commons</t>
        </is>
      </c>
      <c r="F495" s="69" t="inlineStr">
        <is>
          <t>LNMSC19H6-18.000</t>
        </is>
      </c>
      <c r="G495" s="70" t="n"/>
      <c r="H495" s="71" t="n">
        <v>12750000</v>
      </c>
      <c r="I495" s="71" t="n">
        <v>11608073.520006</v>
      </c>
      <c r="J495" s="72" t="n">
        <v>4.6</v>
      </c>
      <c r="K495" s="69" t="inlineStr">
        <is>
          <t>Fixed rate</t>
        </is>
      </c>
      <c r="L495" s="68" t="n">
        <v>120</v>
      </c>
      <c r="M495" s="68" t="n">
        <v>32</v>
      </c>
      <c r="N495" s="68" t="n">
        <v>384</v>
      </c>
      <c r="O495" s="68" t="n">
        <v>24</v>
      </c>
      <c r="P495" s="68" t="n">
        <v>0</v>
      </c>
      <c r="Q495" s="68" t="n">
        <v>88</v>
      </c>
      <c r="R495" s="69" t="inlineStr">
        <is>
          <t>IO then Amort</t>
        </is>
      </c>
      <c r="S495" s="69" t="inlineStr">
        <is>
          <t>No</t>
        </is>
      </c>
      <c r="T495" s="73" t="n">
        <v>43586</v>
      </c>
      <c r="U495" s="73" t="n">
        <v>47239</v>
      </c>
      <c r="V495" s="73" t="n"/>
      <c r="W495" s="69" t="n"/>
      <c r="X495" s="69" t="inlineStr">
        <is>
          <t>Current</t>
        </is>
      </c>
      <c r="Y495" s="68" t="n"/>
      <c r="Z495" s="69" t="inlineStr">
        <is>
          <t>No Defeasance Occurred</t>
        </is>
      </c>
      <c r="AA495" s="69" t="n"/>
      <c r="AB495" s="69" t="inlineStr">
        <is>
          <t>Never special serv</t>
        </is>
      </c>
      <c r="AC495" s="73" t="n"/>
      <c r="AD495" s="69" t="n"/>
      <c r="AE495" s="69" t="n"/>
      <c r="AF495" s="69" t="inlineStr">
        <is>
          <t>NC</t>
        </is>
      </c>
      <c r="AG495" s="69" t="inlineStr">
        <is>
          <t>Fayetteville</t>
        </is>
      </c>
      <c r="AH495" s="69" t="inlineStr">
        <is>
          <t>Fayetteville, NC</t>
        </is>
      </c>
      <c r="AI495" s="69" t="inlineStr">
        <is>
          <t>South / Atlantic</t>
        </is>
      </c>
      <c r="AJ495" s="69" t="inlineStr">
        <is>
          <t>RT</t>
        </is>
      </c>
      <c r="AK495" s="69" t="inlineStr">
        <is>
          <t>Anchored</t>
        </is>
      </c>
      <c r="AL495" s="68" t="n">
        <v>1</v>
      </c>
      <c r="AM495" s="68" t="n"/>
      <c r="AN495" s="68" t="n">
        <v>126833</v>
      </c>
      <c r="AO495" s="69" t="inlineStr">
        <is>
          <t>2016</t>
        </is>
      </c>
      <c r="AP495" s="70" t="n">
        <v>2016</v>
      </c>
      <c r="AQ495" s="74" t="n">
        <v>1.75</v>
      </c>
      <c r="AR495" s="74" t="n">
        <v>1.93</v>
      </c>
      <c r="AS495" s="74" t="n">
        <v>75</v>
      </c>
      <c r="AT495" s="74" t="n">
        <v>68.28</v>
      </c>
      <c r="AU495" s="74" t="n">
        <v>64.40000000000001</v>
      </c>
      <c r="AV495" s="74" t="n">
        <v>10.736536627</v>
      </c>
      <c r="AW495" s="74" t="n">
        <v>13.048201473</v>
      </c>
      <c r="AX495" s="75" t="n">
        <v>100</v>
      </c>
      <c r="AY495" s="71" t="n">
        <v>17000000</v>
      </c>
      <c r="AZ495" s="71" t="n">
        <v>17000000</v>
      </c>
      <c r="BA495" s="71" t="n">
        <v>1368908.42</v>
      </c>
      <c r="BB495" s="71" t="n">
        <v>1514644.82</v>
      </c>
      <c r="BC495" s="69" t="inlineStr">
        <is>
          <t>Acquisition</t>
        </is>
      </c>
      <c r="BD495" s="69" t="inlineStr">
        <is>
          <t>N</t>
        </is>
      </c>
      <c r="BE495" s="71" t="n"/>
      <c r="BF495" s="71" t="n"/>
      <c r="BG495" s="71" t="n"/>
      <c r="BH495" s="71" t="n">
        <v>0</v>
      </c>
      <c r="BI495" s="71" t="n">
        <v>0</v>
      </c>
      <c r="BJ495" s="69" t="inlineStr">
        <is>
          <t>N</t>
        </is>
      </c>
      <c r="BK495" s="69" t="inlineStr">
        <is>
          <t>Academy Sports + Outdoors</t>
        </is>
      </c>
      <c r="BL495" s="75" t="n">
        <v>49.63</v>
      </c>
      <c r="BM495" s="73" t="n">
        <v>48029</v>
      </c>
      <c r="BN495" s="69" t="inlineStr">
        <is>
          <t>James J. Morrison, Jr.</t>
        </is>
      </c>
      <c r="BO495" s="69" t="inlineStr">
        <is>
          <t>Morgan Stanley</t>
        </is>
      </c>
      <c r="BP495" s="69" t="inlineStr">
        <is>
          <t>Midland Loan Services</t>
        </is>
      </c>
      <c r="BQ495" s="69" t="inlineStr">
        <is>
          <t>K-Star Asset Management LLC</t>
        </is>
      </c>
      <c r="BR495" s="69" t="n"/>
      <c r="BS495" s="73" t="n">
        <v>46276</v>
      </c>
      <c r="BU495" s="76">
        <f>IF($C495="","",IFERROR(INDEX(dmName,MATCH($C495,dmID,0)),"Unmapped"))</f>
        <v/>
      </c>
      <c r="BV495" s="76">
        <f>IF($C495="","",IFERROR(INDEX(dmEntity,MATCH($C495,dmID,0)),"Unmapped"))</f>
        <v/>
      </c>
      <c r="BW495" s="77">
        <f>IF($C495="","",IFERROR(INDEX(dmVintage,MATCH($C495,dmID,0)),""))</f>
        <v/>
      </c>
      <c r="BX495" s="78">
        <f>IFERROR(INDEX(dmInclude,MATCH($C495,dmID,0)),0)</f>
        <v/>
      </c>
      <c r="BY495" s="78">
        <f>IF(N($I495)&gt;0,1,0)</f>
        <v/>
      </c>
      <c r="BZ495" s="76">
        <f>IF($AJ495="","Other / Leased Fee",IFERROR(INDEX(mapPTGroup,MATCH(LEFT(TRIM($AJ495),2),mapPTCode,0)),"Other / Leased Fee"))</f>
        <v/>
      </c>
      <c r="CA495" s="76">
        <f>IF(TRIM($AF495&amp;"")="","NR",LEFT(TRIM($AF495),2))</f>
        <v/>
      </c>
      <c r="CB495" s="76">
        <f>IFERROR(LOOKUP(2,1/(LEFT(TRIM($AI495&amp;""),LEN(mapRegion))=mapRegion),mapRegion),"Not Reported")</f>
        <v/>
      </c>
      <c r="CC495" s="76">
        <f>IF($BY495=0,"",IF(TRIM($W495&amp;"")="REO","REO",IF(TRIM($W495&amp;"")="FC","Foreclosure",IF(TRIM($W495&amp;"")="90+","90+ Days Delinquent",IF(TRIM($W495&amp;"")="60","60 Days Delinquent",IF(TRIM($W495&amp;"")="30","30 Days Delinquent",IF($X495="Non-Performing Matured Balloon","Non-Performing Matured Balloon",IF(OR($X495="Late Payment But Less Than 30 Days Delinquent",LEFT($X495&amp;"",20)="Payment Not Received"),"Late / In Grace (&lt;30 Days)",IF($X495="Performing Matured Balloon","Performing Matured Balloon","Current")))))))))</f>
        <v/>
      </c>
      <c r="CD495" s="78">
        <f>IF(OR($CC495="REO",$CC495="Foreclosure",$CC495="90+ Days Delinquent",$CC495="60 Days Delinquent",$CC495="30 Days Delinquent",$CC495="Non-Performing Matured Balloon"),1,0)</f>
        <v/>
      </c>
      <c r="CE495" s="76">
        <f>IF($AB495="Currently special serv","Currently Specially Serviced",IF($AB495="Returned to master serv","Previously Specially Serviced","Never Specially Serviced"))</f>
        <v/>
      </c>
      <c r="CF495" s="78">
        <f>IF($CE495="Currently Specially Serviced",1,0)</f>
        <v/>
      </c>
      <c r="CG495" s="76">
        <f>IF($AA495="Yes","Currently on Watchlist",IF($AA495="Previously","Previously on Watchlist","Never on Watchlist"))</f>
        <v/>
      </c>
      <c r="CH495" s="78">
        <f>IF($CG495="Currently on Watchlist",1,0)</f>
        <v/>
      </c>
      <c r="CI495" s="76">
        <f>IF($Z495="Full Defeasance","Fully Defeased",IF($Z495="Portion Of Loan Previously Defeased","Partially Defeased",IF($Z495="Defeasance Not Allowable","Not Defeased (Not Permitted)","Not Defeased")))</f>
        <v/>
      </c>
      <c r="CJ495" s="78">
        <f>IF($CI495="Fully Defeased",1,0)</f>
        <v/>
      </c>
      <c r="CK495" s="76">
        <f>IF($R495="IO","Full IO",IF(LEFT($R495&amp;"",7)="IO then","Partial IO","Amortizing"))</f>
        <v/>
      </c>
      <c r="CL495" s="78">
        <f>IF($CK495="Full IO",1,0)</f>
        <v/>
      </c>
      <c r="CM495" s="78">
        <f>IF($CK495="Partial IO",1,0)</f>
        <v/>
      </c>
      <c r="CN495" s="76">
        <f>IF(LEFT($F495&amp;"",10)="SPLIT_LOAN","Pari Passu Split","Standalone")</f>
        <v/>
      </c>
      <c r="CO495" s="78">
        <f>IF($CN495="Pari Passu Split",1,0)</f>
        <v/>
      </c>
      <c r="CP495" s="77">
        <f>IF(ISNUMBER($T495),YEAR($T495),"")</f>
        <v/>
      </c>
      <c r="CQ495" s="79">
        <f>IF(ISNUMBER($V495),$V495,IF(ISNUMBER($U495),$U495,""))</f>
        <v/>
      </c>
      <c r="CR495" s="77">
        <f>IF(ISNUMBER($CQ495),YEAR($CQ495),"")</f>
        <v/>
      </c>
      <c r="CS495" s="78">
        <f>IF(ISNUMBER($M495),MAX(0,$M495),IF(TRIM($M495&amp;"")="matured",0,""))</f>
        <v/>
      </c>
      <c r="CT495" s="78">
        <f>IF(AND(ISNUMBER($CS495),N($CS495)&lt;=mMatWindow),1,0)</f>
        <v/>
      </c>
      <c r="CU495" s="80">
        <f>IF(ISNUMBER($J495),$J495/100,"")</f>
        <v/>
      </c>
      <c r="CV495" s="81">
        <f>IF(ISNUMBER($AQ495),$AQ495,"")</f>
        <v/>
      </c>
      <c r="CW495" s="81">
        <f>IF(ISNUMBER($AR495),$AR495,"")</f>
        <v/>
      </c>
      <c r="CX495" s="82">
        <f>IF(ISNUMBER($AS495),$AS495/100,"")</f>
        <v/>
      </c>
      <c r="CY495" s="82">
        <f>IF(ISNUMBER($AT495),$AT495/100,"")</f>
        <v/>
      </c>
      <c r="CZ495" s="82">
        <f>IF(ISNUMBER($AU495),$AU495/100,"")</f>
        <v/>
      </c>
      <c r="DA495" s="82">
        <f>IF(ISNUMBER($AV495),$AV495/100,"")</f>
        <v/>
      </c>
      <c r="DB495" s="82">
        <f>IF(ISNUMBER($AW495),$AW495/100,"")</f>
        <v/>
      </c>
      <c r="DC495" s="82">
        <f>IF(ISNUMBER($AX495),$AX495/100,"")</f>
        <v/>
      </c>
      <c r="DD495" s="77">
        <f>IFERROR(VALUE(LEFT(TRIM($AO495&amp;""),4)),"")</f>
        <v/>
      </c>
      <c r="DE495" s="78">
        <f>IF(AND($BY495=1,$BX495=1,OR(fDeal="All Deals",$BU495=fDeal),OR(fEntity="All Entities",$BV495=fEntity),OR(fPType="All Property Types",$BZ495=fPType),OR(fDefeased="Include",$CJ495=0)),1,0)</f>
        <v/>
      </c>
      <c r="DF495" s="83">
        <f>$DE495*N($I495)</f>
        <v/>
      </c>
      <c r="DG495" s="78">
        <f>IF($DE495=1,IF(COUNTIFS($F$8:$F495,$F495,$DE$8:$DE495,1)=1,1,0),0)</f>
        <v/>
      </c>
      <c r="DH495" s="83">
        <f>IF($DG495=1,SUMIFS($DF$8:$DF$1600,$F$8:$F$1600,$F495),0)</f>
        <v/>
      </c>
      <c r="DI495" s="78">
        <f>IF($DG495=1,COUNTIFS($F$8:$F$1600,$F495,$DE$8:$DE$1600,1),0)</f>
        <v/>
      </c>
      <c r="DJ495" s="84">
        <f>IF($DG495=1,$DH495+(100000-ROW())/mTieBreak,0)</f>
        <v/>
      </c>
    </row>
    <row r="496">
      <c r="B496" s="68" t="n">
        <v>19</v>
      </c>
      <c r="C496" s="69" t="inlineStr">
        <is>
          <t>MSC19H6</t>
        </is>
      </c>
      <c r="D496" s="69" t="inlineStr">
        <is>
          <t>19.000</t>
        </is>
      </c>
      <c r="E496" s="69" t="inlineStr">
        <is>
          <t>Shelbourne Global Portfolio II</t>
        </is>
      </c>
      <c r="F496" s="69" t="inlineStr">
        <is>
          <t>SPLIT_LOAN_01448</t>
        </is>
      </c>
      <c r="G496" s="70" t="n">
        <v>1448</v>
      </c>
      <c r="H496" s="71" t="n">
        <v>12500000</v>
      </c>
      <c r="I496" s="71" t="n">
        <v>12500000</v>
      </c>
      <c r="J496" s="72" t="n">
        <v>5.578</v>
      </c>
      <c r="K496" s="69" t="inlineStr">
        <is>
          <t>Fixed rate</t>
        </is>
      </c>
      <c r="L496" s="68" t="n">
        <v>120</v>
      </c>
      <c r="M496" s="68" t="n">
        <v>27</v>
      </c>
      <c r="N496" s="68" t="n">
        <v>120</v>
      </c>
      <c r="O496" s="68" t="n">
        <v>120</v>
      </c>
      <c r="P496" s="68" t="n">
        <v>27</v>
      </c>
      <c r="Q496" s="68" t="n">
        <v>93</v>
      </c>
      <c r="R496" s="69" t="inlineStr">
        <is>
          <t>IO</t>
        </is>
      </c>
      <c r="S496" s="69" t="inlineStr">
        <is>
          <t>Yes</t>
        </is>
      </c>
      <c r="T496" s="73" t="n">
        <v>43435</v>
      </c>
      <c r="U496" s="73" t="n">
        <v>47093</v>
      </c>
      <c r="V496" s="73" t="n"/>
      <c r="W496" s="69" t="n"/>
      <c r="X496" s="69" t="inlineStr">
        <is>
          <t>Current</t>
        </is>
      </c>
      <c r="Y496" s="68" t="n"/>
      <c r="Z496" s="69" t="inlineStr">
        <is>
          <t>No Defeasance Occurred</t>
        </is>
      </c>
      <c r="AA496" s="69" t="inlineStr">
        <is>
          <t>Previously</t>
        </is>
      </c>
      <c r="AB496" s="69" t="inlineStr">
        <is>
          <t>Never special serv</t>
        </is>
      </c>
      <c r="AC496" s="73" t="n"/>
      <c r="AD496" s="69" t="n"/>
      <c r="AE496" s="69" t="n"/>
      <c r="AF496" s="69" t="inlineStr">
        <is>
          <t>DE</t>
        </is>
      </c>
      <c r="AG496" s="69" t="n"/>
      <c r="AH496" s="69" t="inlineStr">
        <is>
          <t>Philadelphia-Camden-Wilmington, PA-NJ-DE-MD</t>
        </is>
      </c>
      <c r="AI496" s="69" t="inlineStr">
        <is>
          <t>Northeast / Mid-Atlantic</t>
        </is>
      </c>
      <c r="AJ496" s="69" t="inlineStr">
        <is>
          <t>OF</t>
        </is>
      </c>
      <c r="AK496" s="69" t="inlineStr">
        <is>
          <t>Suburban</t>
        </is>
      </c>
      <c r="AL496" s="68" t="n">
        <v>2</v>
      </c>
      <c r="AM496" s="68" t="n"/>
      <c r="AN496" s="68" t="n">
        <v>676538</v>
      </c>
      <c r="AO496" s="69" t="n"/>
      <c r="AP496" s="70" t="n">
        <v>1987</v>
      </c>
      <c r="AQ496" s="74" t="n">
        <v>1.89</v>
      </c>
      <c r="AR496" s="74" t="n">
        <v>1.79</v>
      </c>
      <c r="AS496" s="74" t="n">
        <v>58.7</v>
      </c>
      <c r="AT496" s="74" t="n">
        <v>58.7</v>
      </c>
      <c r="AU496" s="74" t="n">
        <v>58.7</v>
      </c>
      <c r="AV496" s="74" t="n">
        <v>10.708092727</v>
      </c>
      <c r="AW496" s="74" t="n">
        <v>10.1023174</v>
      </c>
      <c r="AX496" s="75" t="n">
        <v>89</v>
      </c>
      <c r="AY496" s="71" t="n">
        <v>93700000</v>
      </c>
      <c r="AZ496" s="71" t="n">
        <v>93700000</v>
      </c>
      <c r="BA496" s="71" t="n">
        <v>5889451</v>
      </c>
      <c r="BB496" s="71" t="n">
        <v>5561698</v>
      </c>
      <c r="BC496" s="69" t="inlineStr">
        <is>
          <t>Refinance</t>
        </is>
      </c>
      <c r="BD496" s="69" t="inlineStr">
        <is>
          <t>N</t>
        </is>
      </c>
      <c r="BE496" s="71" t="n">
        <v>42500000</v>
      </c>
      <c r="BF496" s="71" t="n"/>
      <c r="BG496" s="71" t="n"/>
      <c r="BH496" s="71" t="n">
        <v>0</v>
      </c>
      <c r="BI496" s="71" t="n">
        <v>0</v>
      </c>
      <c r="BJ496" s="69" t="inlineStr">
        <is>
          <t>N</t>
        </is>
      </c>
      <c r="BK496" s="69" t="inlineStr">
        <is>
          <t>Chase Bank USA National Assoc</t>
        </is>
      </c>
      <c r="BL496" s="75" t="n">
        <v>18.73</v>
      </c>
      <c r="BM496" s="73" t="n">
        <v>46234</v>
      </c>
      <c r="BN496" s="69" t="inlineStr">
        <is>
          <t>Barry Friedman; Benjamin Schlossberg</t>
        </is>
      </c>
      <c r="BO496" s="69" t="inlineStr">
        <is>
          <t>Cantor Commercial Real Estate Lending</t>
        </is>
      </c>
      <c r="BP496" s="69" t="inlineStr">
        <is>
          <t>Midland Loan Services</t>
        </is>
      </c>
      <c r="BQ496" s="69" t="inlineStr">
        <is>
          <t>LNR Partners</t>
        </is>
      </c>
      <c r="BR496" s="69" t="n"/>
      <c r="BS496" s="73" t="n">
        <v>46276</v>
      </c>
      <c r="BU496" s="76">
        <f>IF($C496="","",IFERROR(INDEX(dmName,MATCH($C496,dmID,0)),"Unmapped"))</f>
        <v/>
      </c>
      <c r="BV496" s="76">
        <f>IF($C496="","",IFERROR(INDEX(dmEntity,MATCH($C496,dmID,0)),"Unmapped"))</f>
        <v/>
      </c>
      <c r="BW496" s="77">
        <f>IF($C496="","",IFERROR(INDEX(dmVintage,MATCH($C496,dmID,0)),""))</f>
        <v/>
      </c>
      <c r="BX496" s="78">
        <f>IFERROR(INDEX(dmInclude,MATCH($C496,dmID,0)),0)</f>
        <v/>
      </c>
      <c r="BY496" s="78">
        <f>IF(N($I496)&gt;0,1,0)</f>
        <v/>
      </c>
      <c r="BZ496" s="76">
        <f>IF($AJ496="","Other / Leased Fee",IFERROR(INDEX(mapPTGroup,MATCH(LEFT(TRIM($AJ496),2),mapPTCode,0)),"Other / Leased Fee"))</f>
        <v/>
      </c>
      <c r="CA496" s="76">
        <f>IF(TRIM($AF496&amp;"")="","NR",LEFT(TRIM($AF496),2))</f>
        <v/>
      </c>
      <c r="CB496" s="76">
        <f>IFERROR(LOOKUP(2,1/(LEFT(TRIM($AI496&amp;""),LEN(mapRegion))=mapRegion),mapRegion),"Not Reported")</f>
        <v/>
      </c>
      <c r="CC496" s="76">
        <f>IF($BY496=0,"",IF(TRIM($W496&amp;"")="REO","REO",IF(TRIM($W496&amp;"")="FC","Foreclosure",IF(TRIM($W496&amp;"")="90+","90+ Days Delinquent",IF(TRIM($W496&amp;"")="60","60 Days Delinquent",IF(TRIM($W496&amp;"")="30","30 Days Delinquent",IF($X496="Non-Performing Matured Balloon","Non-Performing Matured Balloon",IF(OR($X496="Late Payment But Less Than 30 Days Delinquent",LEFT($X496&amp;"",20)="Payment Not Received"),"Late / In Grace (&lt;30 Days)",IF($X496="Performing Matured Balloon","Performing Matured Balloon","Current")))))))))</f>
        <v/>
      </c>
      <c r="CD496" s="78">
        <f>IF(OR($CC496="REO",$CC496="Foreclosure",$CC496="90+ Days Delinquent",$CC496="60 Days Delinquent",$CC496="30 Days Delinquent",$CC496="Non-Performing Matured Balloon"),1,0)</f>
        <v/>
      </c>
      <c r="CE496" s="76">
        <f>IF($AB496="Currently special serv","Currently Specially Serviced",IF($AB496="Returned to master serv","Previously Specially Serviced","Never Specially Serviced"))</f>
        <v/>
      </c>
      <c r="CF496" s="78">
        <f>IF($CE496="Currently Specially Serviced",1,0)</f>
        <v/>
      </c>
      <c r="CG496" s="76">
        <f>IF($AA496="Yes","Currently on Watchlist",IF($AA496="Previously","Previously on Watchlist","Never on Watchlist"))</f>
        <v/>
      </c>
      <c r="CH496" s="78">
        <f>IF($CG496="Currently on Watchlist",1,0)</f>
        <v/>
      </c>
      <c r="CI496" s="76">
        <f>IF($Z496="Full Defeasance","Fully Defeased",IF($Z496="Portion Of Loan Previously Defeased","Partially Defeased",IF($Z496="Defeasance Not Allowable","Not Defeased (Not Permitted)","Not Defeased")))</f>
        <v/>
      </c>
      <c r="CJ496" s="78">
        <f>IF($CI496="Fully Defeased",1,0)</f>
        <v/>
      </c>
      <c r="CK496" s="76">
        <f>IF($R496="IO","Full IO",IF(LEFT($R496&amp;"",7)="IO then","Partial IO","Amortizing"))</f>
        <v/>
      </c>
      <c r="CL496" s="78">
        <f>IF($CK496="Full IO",1,0)</f>
        <v/>
      </c>
      <c r="CM496" s="78">
        <f>IF($CK496="Partial IO",1,0)</f>
        <v/>
      </c>
      <c r="CN496" s="76">
        <f>IF(LEFT($F496&amp;"",10)="SPLIT_LOAN","Pari Passu Split","Standalone")</f>
        <v/>
      </c>
      <c r="CO496" s="78">
        <f>IF($CN496="Pari Passu Split",1,0)</f>
        <v/>
      </c>
      <c r="CP496" s="77">
        <f>IF(ISNUMBER($T496),YEAR($T496),"")</f>
        <v/>
      </c>
      <c r="CQ496" s="79">
        <f>IF(ISNUMBER($V496),$V496,IF(ISNUMBER($U496),$U496,""))</f>
        <v/>
      </c>
      <c r="CR496" s="77">
        <f>IF(ISNUMBER($CQ496),YEAR($CQ496),"")</f>
        <v/>
      </c>
      <c r="CS496" s="78">
        <f>IF(ISNUMBER($M496),MAX(0,$M496),IF(TRIM($M496&amp;"")="matured",0,""))</f>
        <v/>
      </c>
      <c r="CT496" s="78">
        <f>IF(AND(ISNUMBER($CS496),N($CS496)&lt;=mMatWindow),1,0)</f>
        <v/>
      </c>
      <c r="CU496" s="80">
        <f>IF(ISNUMBER($J496),$J496/100,"")</f>
        <v/>
      </c>
      <c r="CV496" s="81">
        <f>IF(ISNUMBER($AQ496),$AQ496,"")</f>
        <v/>
      </c>
      <c r="CW496" s="81">
        <f>IF(ISNUMBER($AR496),$AR496,"")</f>
        <v/>
      </c>
      <c r="CX496" s="82">
        <f>IF(ISNUMBER($AS496),$AS496/100,"")</f>
        <v/>
      </c>
      <c r="CY496" s="82">
        <f>IF(ISNUMBER($AT496),$AT496/100,"")</f>
        <v/>
      </c>
      <c r="CZ496" s="82">
        <f>IF(ISNUMBER($AU496),$AU496/100,"")</f>
        <v/>
      </c>
      <c r="DA496" s="82">
        <f>IF(ISNUMBER($AV496),$AV496/100,"")</f>
        <v/>
      </c>
      <c r="DB496" s="82">
        <f>IF(ISNUMBER($AW496),$AW496/100,"")</f>
        <v/>
      </c>
      <c r="DC496" s="82">
        <f>IF(ISNUMBER($AX496),$AX496/100,"")</f>
        <v/>
      </c>
      <c r="DD496" s="77">
        <f>IFERROR(VALUE(LEFT(TRIM($AO496&amp;""),4)),"")</f>
        <v/>
      </c>
      <c r="DE496" s="78">
        <f>IF(AND($BY496=1,$BX496=1,OR(fDeal="All Deals",$BU496=fDeal),OR(fEntity="All Entities",$BV496=fEntity),OR(fPType="All Property Types",$BZ496=fPType),OR(fDefeased="Include",$CJ496=0)),1,0)</f>
        <v/>
      </c>
      <c r="DF496" s="83">
        <f>$DE496*N($I496)</f>
        <v/>
      </c>
      <c r="DG496" s="78">
        <f>IF($DE496=1,IF(COUNTIFS($F$8:$F496,$F496,$DE$8:$DE496,1)=1,1,0),0)</f>
        <v/>
      </c>
      <c r="DH496" s="83">
        <f>IF($DG496=1,SUMIFS($DF$8:$DF$1600,$F$8:$F$1600,$F496),0)</f>
        <v/>
      </c>
      <c r="DI496" s="78">
        <f>IF($DG496=1,COUNTIFS($F$8:$F$1600,$F496,$DE$8:$DE$1600,1),0)</f>
        <v/>
      </c>
      <c r="DJ496" s="84">
        <f>IF($DG496=1,$DH496+(100000-ROW())/mTieBreak,0)</f>
        <v/>
      </c>
    </row>
    <row r="497">
      <c r="B497" s="68" t="n">
        <v>20</v>
      </c>
      <c r="C497" s="69" t="inlineStr">
        <is>
          <t>MSC19H6</t>
        </is>
      </c>
      <c r="D497" s="69" t="inlineStr">
        <is>
          <t>20.000</t>
        </is>
      </c>
      <c r="E497" s="69" t="inlineStr">
        <is>
          <t>5880 Nolensville</t>
        </is>
      </c>
      <c r="F497" s="69" t="inlineStr">
        <is>
          <t>LNMSC19H6-20.000</t>
        </is>
      </c>
      <c r="G497" s="70" t="n"/>
      <c r="H497" s="71" t="n">
        <v>11100000</v>
      </c>
      <c r="I497" s="71" t="n">
        <v>9440360.440005301</v>
      </c>
      <c r="J497" s="72" t="n">
        <v>4.647</v>
      </c>
      <c r="K497" s="69" t="inlineStr">
        <is>
          <t>Fixed rate</t>
        </is>
      </c>
      <c r="L497" s="68" t="n">
        <v>120</v>
      </c>
      <c r="M497" s="68" t="n">
        <v>30</v>
      </c>
      <c r="N497" s="68" t="n">
        <v>120</v>
      </c>
      <c r="O497" s="68" t="n">
        <v>120</v>
      </c>
      <c r="P497" s="68" t="n">
        <v>30</v>
      </c>
      <c r="Q497" s="68" t="n">
        <v>90</v>
      </c>
      <c r="R497" s="69" t="inlineStr">
        <is>
          <t>IO</t>
        </is>
      </c>
      <c r="S497" s="69" t="inlineStr">
        <is>
          <t>Yes</t>
        </is>
      </c>
      <c r="T497" s="73" t="n">
        <v>43525</v>
      </c>
      <c r="U497" s="73" t="n">
        <v>47458</v>
      </c>
      <c r="V497" s="73" t="n">
        <v>47183</v>
      </c>
      <c r="W497" s="69" t="inlineStr">
        <is>
          <t>REO</t>
        </is>
      </c>
      <c r="X497" s="69" t="inlineStr">
        <is>
          <t>30-59 Days Delinquent</t>
        </is>
      </c>
      <c r="Y497" s="68" t="n">
        <v>1</v>
      </c>
      <c r="Z497" s="69" t="inlineStr">
        <is>
          <t>Defeasance Not Allowable</t>
        </is>
      </c>
      <c r="AA497" s="69" t="inlineStr">
        <is>
          <t>Previously</t>
        </is>
      </c>
      <c r="AB497" s="69" t="inlineStr">
        <is>
          <t>Currently special serv</t>
        </is>
      </c>
      <c r="AC497" s="73" t="n">
        <v>45716</v>
      </c>
      <c r="AD497" s="69" t="inlineStr">
        <is>
          <t>Imminent Monetary Default (excluding Balloon/Maturity Default &amp; Single Tenant Bankruptcy/Vacate)</t>
        </is>
      </c>
      <c r="AE497" s="69" t="inlineStr">
        <is>
          <t>REO</t>
        </is>
      </c>
      <c r="AF497" s="69" t="inlineStr">
        <is>
          <t>TN</t>
        </is>
      </c>
      <c r="AG497" s="69" t="inlineStr">
        <is>
          <t>Nashville</t>
        </is>
      </c>
      <c r="AH497" s="69" t="inlineStr">
        <is>
          <t>Nashville-Davidson--Murfreesboro--Franklin, TN</t>
        </is>
      </c>
      <c r="AI497" s="69" t="inlineStr">
        <is>
          <t>South / Central East</t>
        </is>
      </c>
      <c r="AJ497" s="69" t="inlineStr">
        <is>
          <t>OF</t>
        </is>
      </c>
      <c r="AK497" s="69" t="inlineStr">
        <is>
          <t>Single Tenant</t>
        </is>
      </c>
      <c r="AL497" s="68" t="n">
        <v>1</v>
      </c>
      <c r="AM497" s="68" t="n"/>
      <c r="AN497" s="68" t="n">
        <v>88958</v>
      </c>
      <c r="AO497" s="69" t="inlineStr">
        <is>
          <t>1989</t>
        </is>
      </c>
      <c r="AP497" s="70" t="n">
        <v>2014</v>
      </c>
      <c r="AQ497" s="74" t="n">
        <v>2.23</v>
      </c>
      <c r="AR497" s="74" t="n">
        <v>-0.29</v>
      </c>
      <c r="AS497" s="74" t="n">
        <v>63.4</v>
      </c>
      <c r="AT497" s="74" t="n">
        <v>88.23</v>
      </c>
      <c r="AU497" s="74" t="n">
        <v>63.4</v>
      </c>
      <c r="AV497" s="74" t="n">
        <v>10.530127117</v>
      </c>
      <c r="AW497" s="74" t="n">
        <v>5.280105915</v>
      </c>
      <c r="AX497" s="75" t="n">
        <v>27</v>
      </c>
      <c r="AY497" s="71" t="n">
        <v>17500000</v>
      </c>
      <c r="AZ497" s="71" t="n">
        <v>10700000</v>
      </c>
      <c r="BA497" s="71" t="n">
        <v>1168844.11</v>
      </c>
      <c r="BB497" s="71" t="n">
        <v>-37529.86</v>
      </c>
      <c r="BC497" s="69" t="inlineStr">
        <is>
          <t>Acquisition</t>
        </is>
      </c>
      <c r="BD497" s="69" t="inlineStr">
        <is>
          <t>N</t>
        </is>
      </c>
      <c r="BE497" s="71" t="n"/>
      <c r="BF497" s="71" t="n"/>
      <c r="BG497" s="71" t="n"/>
      <c r="BH497" s="71" t="n">
        <v>0</v>
      </c>
      <c r="BI497" s="71" t="n">
        <v>75471.48</v>
      </c>
      <c r="BJ497" s="69" t="inlineStr">
        <is>
          <t>N</t>
        </is>
      </c>
      <c r="BK497" s="69" t="inlineStr">
        <is>
          <t>Aramark</t>
        </is>
      </c>
      <c r="BL497" s="75" t="n">
        <v>27.27</v>
      </c>
      <c r="BM497" s="73" t="n">
        <v>48395</v>
      </c>
      <c r="BN497" s="69" t="inlineStr">
        <is>
          <t>FDS Guarantor, LLC; Jeffrey Toporek; Richard Mann; David Stade; Claiborne Williams; Joseph Delogu; David Alperstein; Andrew Schwartzman</t>
        </is>
      </c>
      <c r="BO497" s="69" t="inlineStr">
        <is>
          <t>Starwood</t>
        </is>
      </c>
      <c r="BP497" s="69" t="inlineStr">
        <is>
          <t>Midland Loan Services</t>
        </is>
      </c>
      <c r="BQ497" s="69" t="inlineStr">
        <is>
          <t>K-Star Asset Management LLC</t>
        </is>
      </c>
      <c r="BR497" s="69" t="inlineStr">
        <is>
          <t>Partial Liquidation (Curtailment)</t>
        </is>
      </c>
      <c r="BS497" s="73" t="n">
        <v>46276</v>
      </c>
      <c r="BU497" s="76">
        <f>IF($C497="","",IFERROR(INDEX(dmName,MATCH($C497,dmID,0)),"Unmapped"))</f>
        <v/>
      </c>
      <c r="BV497" s="76">
        <f>IF($C497="","",IFERROR(INDEX(dmEntity,MATCH($C497,dmID,0)),"Unmapped"))</f>
        <v/>
      </c>
      <c r="BW497" s="77">
        <f>IF($C497="","",IFERROR(INDEX(dmVintage,MATCH($C497,dmID,0)),""))</f>
        <v/>
      </c>
      <c r="BX497" s="78">
        <f>IFERROR(INDEX(dmInclude,MATCH($C497,dmID,0)),0)</f>
        <v/>
      </c>
      <c r="BY497" s="78">
        <f>IF(N($I497)&gt;0,1,0)</f>
        <v/>
      </c>
      <c r="BZ497" s="76">
        <f>IF($AJ497="","Other / Leased Fee",IFERROR(INDEX(mapPTGroup,MATCH(LEFT(TRIM($AJ497),2),mapPTCode,0)),"Other / Leased Fee"))</f>
        <v/>
      </c>
      <c r="CA497" s="76">
        <f>IF(TRIM($AF497&amp;"")="","NR",LEFT(TRIM($AF497),2))</f>
        <v/>
      </c>
      <c r="CB497" s="76">
        <f>IFERROR(LOOKUP(2,1/(LEFT(TRIM($AI497&amp;""),LEN(mapRegion))=mapRegion),mapRegion),"Not Reported")</f>
        <v/>
      </c>
      <c r="CC497" s="76">
        <f>IF($BY497=0,"",IF(TRIM($W497&amp;"")="REO","REO",IF(TRIM($W497&amp;"")="FC","Foreclosure",IF(TRIM($W497&amp;"")="90+","90+ Days Delinquent",IF(TRIM($W497&amp;"")="60","60 Days Delinquent",IF(TRIM($W497&amp;"")="30","30 Days Delinquent",IF($X497="Non-Performing Matured Balloon","Non-Performing Matured Balloon",IF(OR($X497="Late Payment But Less Than 30 Days Delinquent",LEFT($X497&amp;"",20)="Payment Not Received"),"Late / In Grace (&lt;30 Days)",IF($X497="Performing Matured Balloon","Performing Matured Balloon","Current")))))))))</f>
        <v/>
      </c>
      <c r="CD497" s="78">
        <f>IF(OR($CC497="REO",$CC497="Foreclosure",$CC497="90+ Days Delinquent",$CC497="60 Days Delinquent",$CC497="30 Days Delinquent",$CC497="Non-Performing Matured Balloon"),1,0)</f>
        <v/>
      </c>
      <c r="CE497" s="76">
        <f>IF($AB497="Currently special serv","Currently Specially Serviced",IF($AB497="Returned to master serv","Previously Specially Serviced","Never Specially Serviced"))</f>
        <v/>
      </c>
      <c r="CF497" s="78">
        <f>IF($CE497="Currently Specially Serviced",1,0)</f>
        <v/>
      </c>
      <c r="CG497" s="76">
        <f>IF($AA497="Yes","Currently on Watchlist",IF($AA497="Previously","Previously on Watchlist","Never on Watchlist"))</f>
        <v/>
      </c>
      <c r="CH497" s="78">
        <f>IF($CG497="Currently on Watchlist",1,0)</f>
        <v/>
      </c>
      <c r="CI497" s="76">
        <f>IF($Z497="Full Defeasance","Fully Defeased",IF($Z497="Portion Of Loan Previously Defeased","Partially Defeased",IF($Z497="Defeasance Not Allowable","Not Defeased (Not Permitted)","Not Defeased")))</f>
        <v/>
      </c>
      <c r="CJ497" s="78">
        <f>IF($CI497="Fully Defeased",1,0)</f>
        <v/>
      </c>
      <c r="CK497" s="76">
        <f>IF($R497="IO","Full IO",IF(LEFT($R497&amp;"",7)="IO then","Partial IO","Amortizing"))</f>
        <v/>
      </c>
      <c r="CL497" s="78">
        <f>IF($CK497="Full IO",1,0)</f>
        <v/>
      </c>
      <c r="CM497" s="78">
        <f>IF($CK497="Partial IO",1,0)</f>
        <v/>
      </c>
      <c r="CN497" s="76">
        <f>IF(LEFT($F497&amp;"",10)="SPLIT_LOAN","Pari Passu Split","Standalone")</f>
        <v/>
      </c>
      <c r="CO497" s="78">
        <f>IF($CN497="Pari Passu Split",1,0)</f>
        <v/>
      </c>
      <c r="CP497" s="77">
        <f>IF(ISNUMBER($T497),YEAR($T497),"")</f>
        <v/>
      </c>
      <c r="CQ497" s="79">
        <f>IF(ISNUMBER($V497),$V497,IF(ISNUMBER($U497),$U497,""))</f>
        <v/>
      </c>
      <c r="CR497" s="77">
        <f>IF(ISNUMBER($CQ497),YEAR($CQ497),"")</f>
        <v/>
      </c>
      <c r="CS497" s="78">
        <f>IF(ISNUMBER($M497),MAX(0,$M497),IF(TRIM($M497&amp;"")="matured",0,""))</f>
        <v/>
      </c>
      <c r="CT497" s="78">
        <f>IF(AND(ISNUMBER($CS497),N($CS497)&lt;=mMatWindow),1,0)</f>
        <v/>
      </c>
      <c r="CU497" s="80">
        <f>IF(ISNUMBER($J497),$J497/100,"")</f>
        <v/>
      </c>
      <c r="CV497" s="81">
        <f>IF(ISNUMBER($AQ497),$AQ497,"")</f>
        <v/>
      </c>
      <c r="CW497" s="81">
        <f>IF(ISNUMBER($AR497),$AR497,"")</f>
        <v/>
      </c>
      <c r="CX497" s="82">
        <f>IF(ISNUMBER($AS497),$AS497/100,"")</f>
        <v/>
      </c>
      <c r="CY497" s="82">
        <f>IF(ISNUMBER($AT497),$AT497/100,"")</f>
        <v/>
      </c>
      <c r="CZ497" s="82">
        <f>IF(ISNUMBER($AU497),$AU497/100,"")</f>
        <v/>
      </c>
      <c r="DA497" s="82">
        <f>IF(ISNUMBER($AV497),$AV497/100,"")</f>
        <v/>
      </c>
      <c r="DB497" s="82">
        <f>IF(ISNUMBER($AW497),$AW497/100,"")</f>
        <v/>
      </c>
      <c r="DC497" s="82">
        <f>IF(ISNUMBER($AX497),$AX497/100,"")</f>
        <v/>
      </c>
      <c r="DD497" s="77">
        <f>IFERROR(VALUE(LEFT(TRIM($AO497&amp;""),4)),"")</f>
        <v/>
      </c>
      <c r="DE497" s="78">
        <f>IF(AND($BY497=1,$BX497=1,OR(fDeal="All Deals",$BU497=fDeal),OR(fEntity="All Entities",$BV497=fEntity),OR(fPType="All Property Types",$BZ497=fPType),OR(fDefeased="Include",$CJ497=0)),1,0)</f>
        <v/>
      </c>
      <c r="DF497" s="83">
        <f>$DE497*N($I497)</f>
        <v/>
      </c>
      <c r="DG497" s="78">
        <f>IF($DE497=1,IF(COUNTIFS($F$8:$F497,$F497,$DE$8:$DE497,1)=1,1,0),0)</f>
        <v/>
      </c>
      <c r="DH497" s="83">
        <f>IF($DG497=1,SUMIFS($DF$8:$DF$1600,$F$8:$F$1600,$F497),0)</f>
        <v/>
      </c>
      <c r="DI497" s="78">
        <f>IF($DG497=1,COUNTIFS($F$8:$F$1600,$F497,$DE$8:$DE$1600,1),0)</f>
        <v/>
      </c>
      <c r="DJ497" s="84">
        <f>IF($DG497=1,$DH497+(100000-ROW())/mTieBreak,0)</f>
        <v/>
      </c>
    </row>
    <row r="498">
      <c r="B498" s="68" t="n">
        <v>21</v>
      </c>
      <c r="C498" s="69" t="inlineStr">
        <is>
          <t>MSC19H6</t>
        </is>
      </c>
      <c r="D498" s="69" t="inlineStr">
        <is>
          <t>21.000</t>
        </is>
      </c>
      <c r="E498" s="69" t="inlineStr">
        <is>
          <t>Fairfield Inn &amp; Suites Raleigh Cary</t>
        </is>
      </c>
      <c r="F498" s="69" t="inlineStr">
        <is>
          <t>LNMSC19H6-21.000</t>
        </is>
      </c>
      <c r="G498" s="70" t="n"/>
      <c r="H498" s="71" t="n">
        <v>11000000</v>
      </c>
      <c r="I498" s="71" t="n">
        <v>9104397.570004001</v>
      </c>
      <c r="J498" s="72" t="n">
        <v>5.09</v>
      </c>
      <c r="K498" s="69" t="inlineStr">
        <is>
          <t>Fixed rate</t>
        </is>
      </c>
      <c r="L498" s="68" t="n">
        <v>120</v>
      </c>
      <c r="M498" s="68" t="n">
        <v>31</v>
      </c>
      <c r="N498" s="68" t="n">
        <v>300</v>
      </c>
      <c r="O498" s="68" t="n"/>
      <c r="P498" s="68" t="n"/>
      <c r="Q498" s="68" t="n">
        <v>89</v>
      </c>
      <c r="R498" s="69" t="n"/>
      <c r="S498" s="69" t="inlineStr">
        <is>
          <t>No</t>
        </is>
      </c>
      <c r="T498" s="73" t="n">
        <v>43556</v>
      </c>
      <c r="U498" s="73" t="n">
        <v>47214</v>
      </c>
      <c r="V498" s="73" t="n"/>
      <c r="W498" s="69" t="n"/>
      <c r="X498" s="69" t="inlineStr">
        <is>
          <t>Current</t>
        </is>
      </c>
      <c r="Y498" s="68" t="n"/>
      <c r="Z498" s="69" t="inlineStr">
        <is>
          <t>No Defeasance Occurred</t>
        </is>
      </c>
      <c r="AA498" s="69" t="inlineStr">
        <is>
          <t>Previously</t>
        </is>
      </c>
      <c r="AB498" s="69" t="inlineStr">
        <is>
          <t>Never special serv</t>
        </is>
      </c>
      <c r="AC498" s="73" t="n"/>
      <c r="AD498" s="69" t="n"/>
      <c r="AE498" s="69" t="n"/>
      <c r="AF498" s="69" t="inlineStr">
        <is>
          <t>NC</t>
        </is>
      </c>
      <c r="AG498" s="69" t="inlineStr">
        <is>
          <t>Cary</t>
        </is>
      </c>
      <c r="AH498" s="69" t="inlineStr">
        <is>
          <t>Raleigh-Cary, NC</t>
        </is>
      </c>
      <c r="AI498" s="69" t="inlineStr">
        <is>
          <t>South / Atlantic</t>
        </is>
      </c>
      <c r="AJ498" s="69" t="inlineStr">
        <is>
          <t>HT</t>
        </is>
      </c>
      <c r="AK498" s="69" t="inlineStr">
        <is>
          <t>Limited Service</t>
        </is>
      </c>
      <c r="AL498" s="68" t="n">
        <v>1</v>
      </c>
      <c r="AM498" s="68" t="n">
        <v>108</v>
      </c>
      <c r="AN498" s="68" t="n"/>
      <c r="AO498" s="69" t="inlineStr">
        <is>
          <t>2017</t>
        </is>
      </c>
      <c r="AP498" s="70" t="n">
        <v>2017</v>
      </c>
      <c r="AQ498" s="74" t="n">
        <v>1.85</v>
      </c>
      <c r="AR498" s="74" t="n">
        <v>1.81</v>
      </c>
      <c r="AS498" s="74" t="n">
        <v>66.86</v>
      </c>
      <c r="AT498" s="74" t="n">
        <v>55.51</v>
      </c>
      <c r="AU498" s="74" t="n">
        <v>50.5</v>
      </c>
      <c r="AV498" s="74" t="n">
        <v>13.085030091</v>
      </c>
      <c r="AW498" s="74" t="n">
        <v>14.742000332</v>
      </c>
      <c r="AX498" s="75" t="n">
        <v>72</v>
      </c>
      <c r="AY498" s="71" t="n">
        <v>16400000</v>
      </c>
      <c r="AZ498" s="71" t="n">
        <v>16400000</v>
      </c>
      <c r="BA498" s="71" t="n">
        <v>1439353.31</v>
      </c>
      <c r="BB498" s="71" t="n">
        <v>1412044.2</v>
      </c>
      <c r="BC498" s="69" t="inlineStr">
        <is>
          <t>Refinance</t>
        </is>
      </c>
      <c r="BD498" s="69" t="inlineStr">
        <is>
          <t>N</t>
        </is>
      </c>
      <c r="BE498" s="71" t="n"/>
      <c r="BF498" s="71" t="n"/>
      <c r="BG498" s="71" t="n"/>
      <c r="BH498" s="71" t="n">
        <v>0</v>
      </c>
      <c r="BI498" s="71" t="n">
        <v>0</v>
      </c>
      <c r="BJ498" s="69" t="inlineStr">
        <is>
          <t>Y</t>
        </is>
      </c>
      <c r="BK498" s="69" t="n"/>
      <c r="BL498" s="75" t="n"/>
      <c r="BM498" s="73" t="n"/>
      <c r="BN498" s="69" t="inlineStr">
        <is>
          <t>Sharan K. Erhart</t>
        </is>
      </c>
      <c r="BO498" s="69" t="inlineStr">
        <is>
          <t>Argentic Real Estate Finance</t>
        </is>
      </c>
      <c r="BP498" s="69" t="inlineStr">
        <is>
          <t>Midland Loan Services</t>
        </is>
      </c>
      <c r="BQ498" s="69" t="inlineStr">
        <is>
          <t>K-Star Asset Management LLC</t>
        </is>
      </c>
      <c r="BR498" s="69" t="n"/>
      <c r="BS498" s="73" t="n">
        <v>46276</v>
      </c>
      <c r="BU498" s="76">
        <f>IF($C498="","",IFERROR(INDEX(dmName,MATCH($C498,dmID,0)),"Unmapped"))</f>
        <v/>
      </c>
      <c r="BV498" s="76">
        <f>IF($C498="","",IFERROR(INDEX(dmEntity,MATCH($C498,dmID,0)),"Unmapped"))</f>
        <v/>
      </c>
      <c r="BW498" s="77">
        <f>IF($C498="","",IFERROR(INDEX(dmVintage,MATCH($C498,dmID,0)),""))</f>
        <v/>
      </c>
      <c r="BX498" s="78">
        <f>IFERROR(INDEX(dmInclude,MATCH($C498,dmID,0)),0)</f>
        <v/>
      </c>
      <c r="BY498" s="78">
        <f>IF(N($I498)&gt;0,1,0)</f>
        <v/>
      </c>
      <c r="BZ498" s="76">
        <f>IF($AJ498="","Other / Leased Fee",IFERROR(INDEX(mapPTGroup,MATCH(LEFT(TRIM($AJ498),2),mapPTCode,0)),"Other / Leased Fee"))</f>
        <v/>
      </c>
      <c r="CA498" s="76">
        <f>IF(TRIM($AF498&amp;"")="","NR",LEFT(TRIM($AF498),2))</f>
        <v/>
      </c>
      <c r="CB498" s="76">
        <f>IFERROR(LOOKUP(2,1/(LEFT(TRIM($AI498&amp;""),LEN(mapRegion))=mapRegion),mapRegion),"Not Reported")</f>
        <v/>
      </c>
      <c r="CC498" s="76">
        <f>IF($BY498=0,"",IF(TRIM($W498&amp;"")="REO","REO",IF(TRIM($W498&amp;"")="FC","Foreclosure",IF(TRIM($W498&amp;"")="90+","90+ Days Delinquent",IF(TRIM($W498&amp;"")="60","60 Days Delinquent",IF(TRIM($W498&amp;"")="30","30 Days Delinquent",IF($X498="Non-Performing Matured Balloon","Non-Performing Matured Balloon",IF(OR($X498="Late Payment But Less Than 30 Days Delinquent",LEFT($X498&amp;"",20)="Payment Not Received"),"Late / In Grace (&lt;30 Days)",IF($X498="Performing Matured Balloon","Performing Matured Balloon","Current")))))))))</f>
        <v/>
      </c>
      <c r="CD498" s="78">
        <f>IF(OR($CC498="REO",$CC498="Foreclosure",$CC498="90+ Days Delinquent",$CC498="60 Days Delinquent",$CC498="30 Days Delinquent",$CC498="Non-Performing Matured Balloon"),1,0)</f>
        <v/>
      </c>
      <c r="CE498" s="76">
        <f>IF($AB498="Currently special serv","Currently Specially Serviced",IF($AB498="Returned to master serv","Previously Specially Serviced","Never Specially Serviced"))</f>
        <v/>
      </c>
      <c r="CF498" s="78">
        <f>IF($CE498="Currently Specially Serviced",1,0)</f>
        <v/>
      </c>
      <c r="CG498" s="76">
        <f>IF($AA498="Yes","Currently on Watchlist",IF($AA498="Previously","Previously on Watchlist","Never on Watchlist"))</f>
        <v/>
      </c>
      <c r="CH498" s="78">
        <f>IF($CG498="Currently on Watchlist",1,0)</f>
        <v/>
      </c>
      <c r="CI498" s="76">
        <f>IF($Z498="Full Defeasance","Fully Defeased",IF($Z498="Portion Of Loan Previously Defeased","Partially Defeased",IF($Z498="Defeasance Not Allowable","Not Defeased (Not Permitted)","Not Defeased")))</f>
        <v/>
      </c>
      <c r="CJ498" s="78">
        <f>IF($CI498="Fully Defeased",1,0)</f>
        <v/>
      </c>
      <c r="CK498" s="76">
        <f>IF($R498="IO","Full IO",IF(LEFT($R498&amp;"",7)="IO then","Partial IO","Amortizing"))</f>
        <v/>
      </c>
      <c r="CL498" s="78">
        <f>IF($CK498="Full IO",1,0)</f>
        <v/>
      </c>
      <c r="CM498" s="78">
        <f>IF($CK498="Partial IO",1,0)</f>
        <v/>
      </c>
      <c r="CN498" s="76">
        <f>IF(LEFT($F498&amp;"",10)="SPLIT_LOAN","Pari Passu Split","Standalone")</f>
        <v/>
      </c>
      <c r="CO498" s="78">
        <f>IF($CN498="Pari Passu Split",1,0)</f>
        <v/>
      </c>
      <c r="CP498" s="77">
        <f>IF(ISNUMBER($T498),YEAR($T498),"")</f>
        <v/>
      </c>
      <c r="CQ498" s="79">
        <f>IF(ISNUMBER($V498),$V498,IF(ISNUMBER($U498),$U498,""))</f>
        <v/>
      </c>
      <c r="CR498" s="77">
        <f>IF(ISNUMBER($CQ498),YEAR($CQ498),"")</f>
        <v/>
      </c>
      <c r="CS498" s="78">
        <f>IF(ISNUMBER($M498),MAX(0,$M498),IF(TRIM($M498&amp;"")="matured",0,""))</f>
        <v/>
      </c>
      <c r="CT498" s="78">
        <f>IF(AND(ISNUMBER($CS498),N($CS498)&lt;=mMatWindow),1,0)</f>
        <v/>
      </c>
      <c r="CU498" s="80">
        <f>IF(ISNUMBER($J498),$J498/100,"")</f>
        <v/>
      </c>
      <c r="CV498" s="81">
        <f>IF(ISNUMBER($AQ498),$AQ498,"")</f>
        <v/>
      </c>
      <c r="CW498" s="81">
        <f>IF(ISNUMBER($AR498),$AR498,"")</f>
        <v/>
      </c>
      <c r="CX498" s="82">
        <f>IF(ISNUMBER($AS498),$AS498/100,"")</f>
        <v/>
      </c>
      <c r="CY498" s="82">
        <f>IF(ISNUMBER($AT498),$AT498/100,"")</f>
        <v/>
      </c>
      <c r="CZ498" s="82">
        <f>IF(ISNUMBER($AU498),$AU498/100,"")</f>
        <v/>
      </c>
      <c r="DA498" s="82">
        <f>IF(ISNUMBER($AV498),$AV498/100,"")</f>
        <v/>
      </c>
      <c r="DB498" s="82">
        <f>IF(ISNUMBER($AW498),$AW498/100,"")</f>
        <v/>
      </c>
      <c r="DC498" s="82">
        <f>IF(ISNUMBER($AX498),$AX498/100,"")</f>
        <v/>
      </c>
      <c r="DD498" s="77">
        <f>IFERROR(VALUE(LEFT(TRIM($AO498&amp;""),4)),"")</f>
        <v/>
      </c>
      <c r="DE498" s="78">
        <f>IF(AND($BY498=1,$BX498=1,OR(fDeal="All Deals",$BU498=fDeal),OR(fEntity="All Entities",$BV498=fEntity),OR(fPType="All Property Types",$BZ498=fPType),OR(fDefeased="Include",$CJ498=0)),1,0)</f>
        <v/>
      </c>
      <c r="DF498" s="83">
        <f>$DE498*N($I498)</f>
        <v/>
      </c>
      <c r="DG498" s="78">
        <f>IF($DE498=1,IF(COUNTIFS($F$8:$F498,$F498,$DE$8:$DE498,1)=1,1,0),0)</f>
        <v/>
      </c>
      <c r="DH498" s="83">
        <f>IF($DG498=1,SUMIFS($DF$8:$DF$1600,$F$8:$F$1600,$F498),0)</f>
        <v/>
      </c>
      <c r="DI498" s="78">
        <f>IF($DG498=1,COUNTIFS($F$8:$F$1600,$F498,$DE$8:$DE$1600,1),0)</f>
        <v/>
      </c>
      <c r="DJ498" s="84">
        <f>IF($DG498=1,$DH498+(100000-ROW())/mTieBreak,0)</f>
        <v/>
      </c>
    </row>
    <row r="499">
      <c r="B499" s="68" t="n">
        <v>22</v>
      </c>
      <c r="C499" s="69" t="inlineStr">
        <is>
          <t>MSC19H6</t>
        </is>
      </c>
      <c r="D499" s="69" t="inlineStr">
        <is>
          <t>22.TR</t>
        </is>
      </c>
      <c r="E499" s="69" t="inlineStr">
        <is>
          <t>3 Columbus Circle - Trust</t>
        </is>
      </c>
      <c r="F499" s="69" t="inlineStr">
        <is>
          <t>SPLIT_LOAN_01488</t>
        </is>
      </c>
      <c r="G499" s="70" t="n">
        <v>1488</v>
      </c>
      <c r="H499" s="71" t="n">
        <v>10000000</v>
      </c>
      <c r="I499" s="71" t="n">
        <v>10000000</v>
      </c>
      <c r="J499" s="72" t="n">
        <v>3.914</v>
      </c>
      <c r="K499" s="69" t="inlineStr">
        <is>
          <t>Fixed rate</t>
        </is>
      </c>
      <c r="L499" s="68" t="n">
        <v>120</v>
      </c>
      <c r="M499" s="68" t="n">
        <v>30</v>
      </c>
      <c r="N499" s="68" t="n">
        <v>120</v>
      </c>
      <c r="O499" s="68" t="n">
        <v>120</v>
      </c>
      <c r="P499" s="68" t="n">
        <v>30</v>
      </c>
      <c r="Q499" s="68" t="n">
        <v>90</v>
      </c>
      <c r="R499" s="69" t="inlineStr">
        <is>
          <t>IO</t>
        </is>
      </c>
      <c r="S499" s="69" t="inlineStr">
        <is>
          <t>Yes</t>
        </is>
      </c>
      <c r="T499" s="73" t="n">
        <v>43525</v>
      </c>
      <c r="U499" s="73" t="n">
        <v>47188</v>
      </c>
      <c r="V499" s="73" t="n"/>
      <c r="W499" s="69" t="n"/>
      <c r="X499" s="69" t="inlineStr">
        <is>
          <t>Current</t>
        </is>
      </c>
      <c r="Y499" s="68" t="n"/>
      <c r="Z499" s="69" t="inlineStr">
        <is>
          <t>No Defeasance Occurred</t>
        </is>
      </c>
      <c r="AA499" s="69" t="n"/>
      <c r="AB499" s="69" t="inlineStr">
        <is>
          <t>Never special serv</t>
        </is>
      </c>
      <c r="AC499" s="73" t="n"/>
      <c r="AD499" s="69" t="n"/>
      <c r="AE499" s="69" t="n"/>
      <c r="AF499" s="69" t="inlineStr">
        <is>
          <t>NY</t>
        </is>
      </c>
      <c r="AG499" s="69" t="inlineStr">
        <is>
          <t>New York</t>
        </is>
      </c>
      <c r="AH499" s="69" t="inlineStr">
        <is>
          <t>New York-Newark-Jersey City, NY-NJ</t>
        </is>
      </c>
      <c r="AI499" s="69" t="inlineStr">
        <is>
          <t>Northeast / Mid-Atlantic</t>
        </is>
      </c>
      <c r="AJ499" s="69" t="inlineStr">
        <is>
          <t>OF</t>
        </is>
      </c>
      <c r="AK499" s="69" t="inlineStr">
        <is>
          <t>CBD</t>
        </is>
      </c>
      <c r="AL499" s="68" t="n">
        <v>1</v>
      </c>
      <c r="AM499" s="68" t="n"/>
      <c r="AN499" s="68" t="n">
        <v>753713</v>
      </c>
      <c r="AO499" s="69" t="inlineStr">
        <is>
          <t>1927</t>
        </is>
      </c>
      <c r="AP499" s="70" t="n">
        <v>2013</v>
      </c>
      <c r="AQ499" s="74" t="n">
        <v>2.91</v>
      </c>
      <c r="AR499" s="74" t="n">
        <v>2.6</v>
      </c>
      <c r="AS499" s="74" t="n">
        <v>45.4</v>
      </c>
      <c r="AT499" s="74" t="n">
        <v>45.37</v>
      </c>
      <c r="AU499" s="74" t="n">
        <v>45.4</v>
      </c>
      <c r="AV499" s="74" t="n">
        <v>11.549812233</v>
      </c>
      <c r="AW499" s="74" t="n">
        <v>10.81345282</v>
      </c>
      <c r="AX499" s="75" t="n">
        <v>90</v>
      </c>
      <c r="AY499" s="71" t="n">
        <v>1080000000</v>
      </c>
      <c r="AZ499" s="71" t="n">
        <v>1080000000</v>
      </c>
      <c r="BA499" s="71" t="n">
        <v>56594079.94</v>
      </c>
      <c r="BB499" s="71" t="n">
        <v>12624406.04</v>
      </c>
      <c r="BC499" s="69" t="inlineStr">
        <is>
          <t>Refinance</t>
        </is>
      </c>
      <c r="BD499" s="69" t="inlineStr">
        <is>
          <t>N</t>
        </is>
      </c>
      <c r="BE499" s="71" t="n">
        <v>480000000</v>
      </c>
      <c r="BF499" s="71" t="n">
        <v>105000000</v>
      </c>
      <c r="BG499" s="71" t="n"/>
      <c r="BH499" s="71" t="n">
        <v>0</v>
      </c>
      <c r="BI499" s="71" t="n">
        <v>0</v>
      </c>
      <c r="BJ499" s="69" t="inlineStr">
        <is>
          <t>N</t>
        </is>
      </c>
      <c r="BK499" s="69" t="inlineStr">
        <is>
          <t>Young &amp; Rubicam condo</t>
        </is>
      </c>
      <c r="BL499" s="75" t="n">
        <v>28.37</v>
      </c>
      <c r="BM499" s="73" t="n">
        <v>48822</v>
      </c>
      <c r="BN499" s="69" t="inlineStr">
        <is>
          <t>Joseph Moinian</t>
        </is>
      </c>
      <c r="BO499" s="69" t="inlineStr">
        <is>
          <t>Cantor Commercial Real Estate Lending</t>
        </is>
      </c>
      <c r="BP499" s="69" t="inlineStr">
        <is>
          <t>Midland Loan Services</t>
        </is>
      </c>
      <c r="BQ499" s="69" t="inlineStr">
        <is>
          <t>LNR Partners</t>
        </is>
      </c>
      <c r="BR499" s="69" t="n"/>
      <c r="BS499" s="73" t="n">
        <v>46276</v>
      </c>
      <c r="BU499" s="76">
        <f>IF($C499="","",IFERROR(INDEX(dmName,MATCH($C499,dmID,0)),"Unmapped"))</f>
        <v/>
      </c>
      <c r="BV499" s="76">
        <f>IF($C499="","",IFERROR(INDEX(dmEntity,MATCH($C499,dmID,0)),"Unmapped"))</f>
        <v/>
      </c>
      <c r="BW499" s="77">
        <f>IF($C499="","",IFERROR(INDEX(dmVintage,MATCH($C499,dmID,0)),""))</f>
        <v/>
      </c>
      <c r="BX499" s="78">
        <f>IFERROR(INDEX(dmInclude,MATCH($C499,dmID,0)),0)</f>
        <v/>
      </c>
      <c r="BY499" s="78">
        <f>IF(N($I499)&gt;0,1,0)</f>
        <v/>
      </c>
      <c r="BZ499" s="76">
        <f>IF($AJ499="","Other / Leased Fee",IFERROR(INDEX(mapPTGroup,MATCH(LEFT(TRIM($AJ499),2),mapPTCode,0)),"Other / Leased Fee"))</f>
        <v/>
      </c>
      <c r="CA499" s="76">
        <f>IF(TRIM($AF499&amp;"")="","NR",LEFT(TRIM($AF499),2))</f>
        <v/>
      </c>
      <c r="CB499" s="76">
        <f>IFERROR(LOOKUP(2,1/(LEFT(TRIM($AI499&amp;""),LEN(mapRegion))=mapRegion),mapRegion),"Not Reported")</f>
        <v/>
      </c>
      <c r="CC499" s="76">
        <f>IF($BY499=0,"",IF(TRIM($W499&amp;"")="REO","REO",IF(TRIM($W499&amp;"")="FC","Foreclosure",IF(TRIM($W499&amp;"")="90+","90+ Days Delinquent",IF(TRIM($W499&amp;"")="60","60 Days Delinquent",IF(TRIM($W499&amp;"")="30","30 Days Delinquent",IF($X499="Non-Performing Matured Balloon","Non-Performing Matured Balloon",IF(OR($X499="Late Payment But Less Than 30 Days Delinquent",LEFT($X499&amp;"",20)="Payment Not Received"),"Late / In Grace (&lt;30 Days)",IF($X499="Performing Matured Balloon","Performing Matured Balloon","Current")))))))))</f>
        <v/>
      </c>
      <c r="CD499" s="78">
        <f>IF(OR($CC499="REO",$CC499="Foreclosure",$CC499="90+ Days Delinquent",$CC499="60 Days Delinquent",$CC499="30 Days Delinquent",$CC499="Non-Performing Matured Balloon"),1,0)</f>
        <v/>
      </c>
      <c r="CE499" s="76">
        <f>IF($AB499="Currently special serv","Currently Specially Serviced",IF($AB499="Returned to master serv","Previously Specially Serviced","Never Specially Serviced"))</f>
        <v/>
      </c>
      <c r="CF499" s="78">
        <f>IF($CE499="Currently Specially Serviced",1,0)</f>
        <v/>
      </c>
      <c r="CG499" s="76">
        <f>IF($AA499="Yes","Currently on Watchlist",IF($AA499="Previously","Previously on Watchlist","Never on Watchlist"))</f>
        <v/>
      </c>
      <c r="CH499" s="78">
        <f>IF($CG499="Currently on Watchlist",1,0)</f>
        <v/>
      </c>
      <c r="CI499" s="76">
        <f>IF($Z499="Full Defeasance","Fully Defeased",IF($Z499="Portion Of Loan Previously Defeased","Partially Defeased",IF($Z499="Defeasance Not Allowable","Not Defeased (Not Permitted)","Not Defeased")))</f>
        <v/>
      </c>
      <c r="CJ499" s="78">
        <f>IF($CI499="Fully Defeased",1,0)</f>
        <v/>
      </c>
      <c r="CK499" s="76">
        <f>IF($R499="IO","Full IO",IF(LEFT($R499&amp;"",7)="IO then","Partial IO","Amortizing"))</f>
        <v/>
      </c>
      <c r="CL499" s="78">
        <f>IF($CK499="Full IO",1,0)</f>
        <v/>
      </c>
      <c r="CM499" s="78">
        <f>IF($CK499="Partial IO",1,0)</f>
        <v/>
      </c>
      <c r="CN499" s="76">
        <f>IF(LEFT($F499&amp;"",10)="SPLIT_LOAN","Pari Passu Split","Standalone")</f>
        <v/>
      </c>
      <c r="CO499" s="78">
        <f>IF($CN499="Pari Passu Split",1,0)</f>
        <v/>
      </c>
      <c r="CP499" s="77">
        <f>IF(ISNUMBER($T499),YEAR($T499),"")</f>
        <v/>
      </c>
      <c r="CQ499" s="79">
        <f>IF(ISNUMBER($V499),$V499,IF(ISNUMBER($U499),$U499,""))</f>
        <v/>
      </c>
      <c r="CR499" s="77">
        <f>IF(ISNUMBER($CQ499),YEAR($CQ499),"")</f>
        <v/>
      </c>
      <c r="CS499" s="78">
        <f>IF(ISNUMBER($M499),MAX(0,$M499),IF(TRIM($M499&amp;"")="matured",0,""))</f>
        <v/>
      </c>
      <c r="CT499" s="78">
        <f>IF(AND(ISNUMBER($CS499),N($CS499)&lt;=mMatWindow),1,0)</f>
        <v/>
      </c>
      <c r="CU499" s="80">
        <f>IF(ISNUMBER($J499),$J499/100,"")</f>
        <v/>
      </c>
      <c r="CV499" s="81">
        <f>IF(ISNUMBER($AQ499),$AQ499,"")</f>
        <v/>
      </c>
      <c r="CW499" s="81">
        <f>IF(ISNUMBER($AR499),$AR499,"")</f>
        <v/>
      </c>
      <c r="CX499" s="82">
        <f>IF(ISNUMBER($AS499),$AS499/100,"")</f>
        <v/>
      </c>
      <c r="CY499" s="82">
        <f>IF(ISNUMBER($AT499),$AT499/100,"")</f>
        <v/>
      </c>
      <c r="CZ499" s="82">
        <f>IF(ISNUMBER($AU499),$AU499/100,"")</f>
        <v/>
      </c>
      <c r="DA499" s="82">
        <f>IF(ISNUMBER($AV499),$AV499/100,"")</f>
        <v/>
      </c>
      <c r="DB499" s="82">
        <f>IF(ISNUMBER($AW499),$AW499/100,"")</f>
        <v/>
      </c>
      <c r="DC499" s="82">
        <f>IF(ISNUMBER($AX499),$AX499/100,"")</f>
        <v/>
      </c>
      <c r="DD499" s="77">
        <f>IFERROR(VALUE(LEFT(TRIM($AO499&amp;""),4)),"")</f>
        <v/>
      </c>
      <c r="DE499" s="78">
        <f>IF(AND($BY499=1,$BX499=1,OR(fDeal="All Deals",$BU499=fDeal),OR(fEntity="All Entities",$BV499=fEntity),OR(fPType="All Property Types",$BZ499=fPType),OR(fDefeased="Include",$CJ499=0)),1,0)</f>
        <v/>
      </c>
      <c r="DF499" s="83">
        <f>$DE499*N($I499)</f>
        <v/>
      </c>
      <c r="DG499" s="78">
        <f>IF($DE499=1,IF(COUNTIFS($F$8:$F499,$F499,$DE$8:$DE499,1)=1,1,0),0)</f>
        <v/>
      </c>
      <c r="DH499" s="83">
        <f>IF($DG499=1,SUMIFS($DF$8:$DF$1600,$F$8:$F$1600,$F499),0)</f>
        <v/>
      </c>
      <c r="DI499" s="78">
        <f>IF($DG499=1,COUNTIFS($F$8:$F$1600,$F499,$DE$8:$DE$1600,1),0)</f>
        <v/>
      </c>
      <c r="DJ499" s="84">
        <f>IF($DG499=1,$DH499+(100000-ROW())/mTieBreak,0)</f>
        <v/>
      </c>
    </row>
    <row r="500">
      <c r="B500" s="68" t="n">
        <v>23</v>
      </c>
      <c r="C500" s="69" t="inlineStr">
        <is>
          <t>MSC19H6</t>
        </is>
      </c>
      <c r="D500" s="69" t="inlineStr">
        <is>
          <t>23.000</t>
        </is>
      </c>
      <c r="E500" s="69" t="inlineStr">
        <is>
          <t>Fairfield Inn &amp; Suites Lubbock</t>
        </is>
      </c>
      <c r="F500" s="69" t="inlineStr">
        <is>
          <t>LNMSC19H6-23.000</t>
        </is>
      </c>
      <c r="G500" s="70" t="n"/>
      <c r="H500" s="71" t="n">
        <v>9500000</v>
      </c>
      <c r="I500" s="71" t="n">
        <v>8320036.5299965</v>
      </c>
      <c r="J500" s="72" t="n">
        <v>4.93</v>
      </c>
      <c r="K500" s="69" t="inlineStr">
        <is>
          <t>Fixed rate</t>
        </is>
      </c>
      <c r="L500" s="68" t="n">
        <v>120</v>
      </c>
      <c r="M500" s="68" t="n">
        <v>31</v>
      </c>
      <c r="N500" s="68" t="n">
        <v>360</v>
      </c>
      <c r="O500" s="68" t="n"/>
      <c r="P500" s="68" t="n"/>
      <c r="Q500" s="68" t="n">
        <v>89</v>
      </c>
      <c r="R500" s="69" t="n"/>
      <c r="S500" s="69" t="inlineStr">
        <is>
          <t>No</t>
        </is>
      </c>
      <c r="T500" s="73" t="n">
        <v>43556</v>
      </c>
      <c r="U500" s="73" t="n">
        <v>47214</v>
      </c>
      <c r="V500" s="73" t="n"/>
      <c r="W500" s="69" t="n"/>
      <c r="X500" s="69" t="inlineStr">
        <is>
          <t>Late Payment But Less Than 30 Days Delinquent</t>
        </is>
      </c>
      <c r="Y500" s="68" t="n"/>
      <c r="Z500" s="69" t="inlineStr">
        <is>
          <t>No Defeasance Occurred</t>
        </is>
      </c>
      <c r="AA500" s="69" t="inlineStr">
        <is>
          <t>Previously</t>
        </is>
      </c>
      <c r="AB500" s="69" t="inlineStr">
        <is>
          <t>Currently special serv</t>
        </is>
      </c>
      <c r="AC500" s="73" t="n">
        <v>45938</v>
      </c>
      <c r="AD500" s="69" t="inlineStr">
        <is>
          <t>Payment Default (all payments excluding Balloon/Maturity Payment)</t>
        </is>
      </c>
      <c r="AE500" s="69" t="inlineStr">
        <is>
          <t>Full Payoff</t>
        </is>
      </c>
      <c r="AF500" s="69" t="inlineStr">
        <is>
          <t>TX</t>
        </is>
      </c>
      <c r="AG500" s="69" t="inlineStr">
        <is>
          <t>Lubbock</t>
        </is>
      </c>
      <c r="AH500" s="69" t="inlineStr">
        <is>
          <t>Lubbock, TX</t>
        </is>
      </c>
      <c r="AI500" s="69" t="inlineStr">
        <is>
          <t>South / Central West</t>
        </is>
      </c>
      <c r="AJ500" s="69" t="inlineStr">
        <is>
          <t>HT</t>
        </is>
      </c>
      <c r="AK500" s="69" t="inlineStr">
        <is>
          <t>Limited Service</t>
        </is>
      </c>
      <c r="AL500" s="68" t="n">
        <v>1</v>
      </c>
      <c r="AM500" s="68" t="n">
        <v>101</v>
      </c>
      <c r="AN500" s="68" t="n"/>
      <c r="AO500" s="69" t="inlineStr">
        <is>
          <t>2017</t>
        </is>
      </c>
      <c r="AP500" s="70" t="n">
        <v>2017</v>
      </c>
      <c r="AQ500" s="74" t="n">
        <v>2.04</v>
      </c>
      <c r="AR500" s="74" t="n">
        <v>1.58</v>
      </c>
      <c r="AS500" s="74" t="n">
        <v>59.6</v>
      </c>
      <c r="AT500" s="74" t="n">
        <v>75.64</v>
      </c>
      <c r="AU500" s="74" t="n">
        <v>49.1</v>
      </c>
      <c r="AV500" s="74" t="n">
        <v>13.066582632</v>
      </c>
      <c r="AW500" s="74" t="n">
        <v>11.522469481</v>
      </c>
      <c r="AX500" s="75" t="n">
        <v>74</v>
      </c>
      <c r="AY500" s="71" t="n">
        <v>15900000</v>
      </c>
      <c r="AZ500" s="71" t="n">
        <v>11000000</v>
      </c>
      <c r="BA500" s="71" t="n">
        <v>1241325.35</v>
      </c>
      <c r="BB500" s="71" t="n">
        <v>958673.67</v>
      </c>
      <c r="BC500" s="69" t="inlineStr">
        <is>
          <t>Refinance</t>
        </is>
      </c>
      <c r="BD500" s="69" t="inlineStr">
        <is>
          <t>N</t>
        </is>
      </c>
      <c r="BE500" s="71" t="n"/>
      <c r="BF500" s="71" t="n"/>
      <c r="BG500" s="71" t="n"/>
      <c r="BH500" s="71" t="n">
        <v>0</v>
      </c>
      <c r="BI500" s="71" t="n">
        <v>50556.52</v>
      </c>
      <c r="BJ500" s="69" t="inlineStr">
        <is>
          <t>N</t>
        </is>
      </c>
      <c r="BK500" s="69" t="n"/>
      <c r="BL500" s="75" t="n"/>
      <c r="BM500" s="73" t="n"/>
      <c r="BN500" s="69" t="inlineStr">
        <is>
          <t>Philip A. McCrae</t>
        </is>
      </c>
      <c r="BO500" s="69" t="inlineStr">
        <is>
          <t>Starwood</t>
        </is>
      </c>
      <c r="BP500" s="69" t="inlineStr">
        <is>
          <t>Midland Loan Services</t>
        </is>
      </c>
      <c r="BQ500" s="69" t="inlineStr">
        <is>
          <t>K-Star Asset Management LLC</t>
        </is>
      </c>
      <c r="BR500" s="69" t="n"/>
      <c r="BS500" s="73" t="n">
        <v>46276</v>
      </c>
      <c r="BU500" s="76">
        <f>IF($C500="","",IFERROR(INDEX(dmName,MATCH($C500,dmID,0)),"Unmapped"))</f>
        <v/>
      </c>
      <c r="BV500" s="76">
        <f>IF($C500="","",IFERROR(INDEX(dmEntity,MATCH($C500,dmID,0)),"Unmapped"))</f>
        <v/>
      </c>
      <c r="BW500" s="77">
        <f>IF($C500="","",IFERROR(INDEX(dmVintage,MATCH($C500,dmID,0)),""))</f>
        <v/>
      </c>
      <c r="BX500" s="78">
        <f>IFERROR(INDEX(dmInclude,MATCH($C500,dmID,0)),0)</f>
        <v/>
      </c>
      <c r="BY500" s="78">
        <f>IF(N($I500)&gt;0,1,0)</f>
        <v/>
      </c>
      <c r="BZ500" s="76">
        <f>IF($AJ500="","Other / Leased Fee",IFERROR(INDEX(mapPTGroup,MATCH(LEFT(TRIM($AJ500),2),mapPTCode,0)),"Other / Leased Fee"))</f>
        <v/>
      </c>
      <c r="CA500" s="76">
        <f>IF(TRIM($AF500&amp;"")="","NR",LEFT(TRIM($AF500),2))</f>
        <v/>
      </c>
      <c r="CB500" s="76">
        <f>IFERROR(LOOKUP(2,1/(LEFT(TRIM($AI500&amp;""),LEN(mapRegion))=mapRegion),mapRegion),"Not Reported")</f>
        <v/>
      </c>
      <c r="CC500" s="76">
        <f>IF($BY500=0,"",IF(TRIM($W500&amp;"")="REO","REO",IF(TRIM($W500&amp;"")="FC","Foreclosure",IF(TRIM($W500&amp;"")="90+","90+ Days Delinquent",IF(TRIM($W500&amp;"")="60","60 Days Delinquent",IF(TRIM($W500&amp;"")="30","30 Days Delinquent",IF($X500="Non-Performing Matured Balloon","Non-Performing Matured Balloon",IF(OR($X500="Late Payment But Less Than 30 Days Delinquent",LEFT($X500&amp;"",20)="Payment Not Received"),"Late / In Grace (&lt;30 Days)",IF($X500="Performing Matured Balloon","Performing Matured Balloon","Current")))))))))</f>
        <v/>
      </c>
      <c r="CD500" s="78">
        <f>IF(OR($CC500="REO",$CC500="Foreclosure",$CC500="90+ Days Delinquent",$CC500="60 Days Delinquent",$CC500="30 Days Delinquent",$CC500="Non-Performing Matured Balloon"),1,0)</f>
        <v/>
      </c>
      <c r="CE500" s="76">
        <f>IF($AB500="Currently special serv","Currently Specially Serviced",IF($AB500="Returned to master serv","Previously Specially Serviced","Never Specially Serviced"))</f>
        <v/>
      </c>
      <c r="CF500" s="78">
        <f>IF($CE500="Currently Specially Serviced",1,0)</f>
        <v/>
      </c>
      <c r="CG500" s="76">
        <f>IF($AA500="Yes","Currently on Watchlist",IF($AA500="Previously","Previously on Watchlist","Never on Watchlist"))</f>
        <v/>
      </c>
      <c r="CH500" s="78">
        <f>IF($CG500="Currently on Watchlist",1,0)</f>
        <v/>
      </c>
      <c r="CI500" s="76">
        <f>IF($Z500="Full Defeasance","Fully Defeased",IF($Z500="Portion Of Loan Previously Defeased","Partially Defeased",IF($Z500="Defeasance Not Allowable","Not Defeased (Not Permitted)","Not Defeased")))</f>
        <v/>
      </c>
      <c r="CJ500" s="78">
        <f>IF($CI500="Fully Defeased",1,0)</f>
        <v/>
      </c>
      <c r="CK500" s="76">
        <f>IF($R500="IO","Full IO",IF(LEFT($R500&amp;"",7)="IO then","Partial IO","Amortizing"))</f>
        <v/>
      </c>
      <c r="CL500" s="78">
        <f>IF($CK500="Full IO",1,0)</f>
        <v/>
      </c>
      <c r="CM500" s="78">
        <f>IF($CK500="Partial IO",1,0)</f>
        <v/>
      </c>
      <c r="CN500" s="76">
        <f>IF(LEFT($F500&amp;"",10)="SPLIT_LOAN","Pari Passu Split","Standalone")</f>
        <v/>
      </c>
      <c r="CO500" s="78">
        <f>IF($CN500="Pari Passu Split",1,0)</f>
        <v/>
      </c>
      <c r="CP500" s="77">
        <f>IF(ISNUMBER($T500),YEAR($T500),"")</f>
        <v/>
      </c>
      <c r="CQ500" s="79">
        <f>IF(ISNUMBER($V500),$V500,IF(ISNUMBER($U500),$U500,""))</f>
        <v/>
      </c>
      <c r="CR500" s="77">
        <f>IF(ISNUMBER($CQ500),YEAR($CQ500),"")</f>
        <v/>
      </c>
      <c r="CS500" s="78">
        <f>IF(ISNUMBER($M500),MAX(0,$M500),IF(TRIM($M500&amp;"")="matured",0,""))</f>
        <v/>
      </c>
      <c r="CT500" s="78">
        <f>IF(AND(ISNUMBER($CS500),N($CS500)&lt;=mMatWindow),1,0)</f>
        <v/>
      </c>
      <c r="CU500" s="80">
        <f>IF(ISNUMBER($J500),$J500/100,"")</f>
        <v/>
      </c>
      <c r="CV500" s="81">
        <f>IF(ISNUMBER($AQ500),$AQ500,"")</f>
        <v/>
      </c>
      <c r="CW500" s="81">
        <f>IF(ISNUMBER($AR500),$AR500,"")</f>
        <v/>
      </c>
      <c r="CX500" s="82">
        <f>IF(ISNUMBER($AS500),$AS500/100,"")</f>
        <v/>
      </c>
      <c r="CY500" s="82">
        <f>IF(ISNUMBER($AT500),$AT500/100,"")</f>
        <v/>
      </c>
      <c r="CZ500" s="82">
        <f>IF(ISNUMBER($AU500),$AU500/100,"")</f>
        <v/>
      </c>
      <c r="DA500" s="82">
        <f>IF(ISNUMBER($AV500),$AV500/100,"")</f>
        <v/>
      </c>
      <c r="DB500" s="82">
        <f>IF(ISNUMBER($AW500),$AW500/100,"")</f>
        <v/>
      </c>
      <c r="DC500" s="82">
        <f>IF(ISNUMBER($AX500),$AX500/100,"")</f>
        <v/>
      </c>
      <c r="DD500" s="77">
        <f>IFERROR(VALUE(LEFT(TRIM($AO500&amp;""),4)),"")</f>
        <v/>
      </c>
      <c r="DE500" s="78">
        <f>IF(AND($BY500=1,$BX500=1,OR(fDeal="All Deals",$BU500=fDeal),OR(fEntity="All Entities",$BV500=fEntity),OR(fPType="All Property Types",$BZ500=fPType),OR(fDefeased="Include",$CJ500=0)),1,0)</f>
        <v/>
      </c>
      <c r="DF500" s="83">
        <f>$DE500*N($I500)</f>
        <v/>
      </c>
      <c r="DG500" s="78">
        <f>IF($DE500=1,IF(COUNTIFS($F$8:$F500,$F500,$DE$8:$DE500,1)=1,1,0),0)</f>
        <v/>
      </c>
      <c r="DH500" s="83">
        <f>IF($DG500=1,SUMIFS($DF$8:$DF$1600,$F$8:$F$1600,$F500),0)</f>
        <v/>
      </c>
      <c r="DI500" s="78">
        <f>IF($DG500=1,COUNTIFS($F$8:$F$1600,$F500,$DE$8:$DE$1600,1),0)</f>
        <v/>
      </c>
      <c r="DJ500" s="84">
        <f>IF($DG500=1,$DH500+(100000-ROW())/mTieBreak,0)</f>
        <v/>
      </c>
    </row>
    <row r="501">
      <c r="B501" s="68" t="n">
        <v>24</v>
      </c>
      <c r="C501" s="69" t="inlineStr">
        <is>
          <t>MSC19H6</t>
        </is>
      </c>
      <c r="D501" s="69" t="inlineStr">
        <is>
          <t>24.000</t>
        </is>
      </c>
      <c r="E501" s="69" t="inlineStr">
        <is>
          <t>3425 Gates Place</t>
        </is>
      </c>
      <c r="F501" s="69" t="inlineStr">
        <is>
          <t>LNMSC19H6-24.000</t>
        </is>
      </c>
      <c r="G501" s="70" t="n"/>
      <c r="H501" s="71" t="n">
        <v>9000000</v>
      </c>
      <c r="I501" s="71" t="n">
        <v>9000000</v>
      </c>
      <c r="J501" s="72" t="n">
        <v>4.598</v>
      </c>
      <c r="K501" s="69" t="inlineStr">
        <is>
          <t>Fixed rate</t>
        </is>
      </c>
      <c r="L501" s="68" t="n">
        <v>120</v>
      </c>
      <c r="M501" s="68" t="n">
        <v>32</v>
      </c>
      <c r="N501" s="68" t="n">
        <v>120</v>
      </c>
      <c r="O501" s="68" t="n">
        <v>120</v>
      </c>
      <c r="P501" s="68" t="n">
        <v>32</v>
      </c>
      <c r="Q501" s="68" t="n">
        <v>88</v>
      </c>
      <c r="R501" s="69" t="inlineStr">
        <is>
          <t>IO</t>
        </is>
      </c>
      <c r="S501" s="69" t="inlineStr">
        <is>
          <t>Yes</t>
        </is>
      </c>
      <c r="T501" s="73" t="n">
        <v>43586</v>
      </c>
      <c r="U501" s="73" t="n">
        <v>47239</v>
      </c>
      <c r="V501" s="73" t="n"/>
      <c r="W501" s="69" t="n"/>
      <c r="X501" s="69" t="inlineStr">
        <is>
          <t>Current</t>
        </is>
      </c>
      <c r="Y501" s="68" t="n"/>
      <c r="Z501" s="69" t="inlineStr">
        <is>
          <t>No Defeasance Occurred</t>
        </is>
      </c>
      <c r="AA501" s="69" t="inlineStr">
        <is>
          <t>Yes</t>
        </is>
      </c>
      <c r="AB501" s="69" t="inlineStr">
        <is>
          <t>Never special serv</t>
        </is>
      </c>
      <c r="AC501" s="73" t="n"/>
      <c r="AD501" s="69" t="n"/>
      <c r="AE501" s="69" t="n"/>
      <c r="AF501" s="69" t="inlineStr">
        <is>
          <t>NY</t>
        </is>
      </c>
      <c r="AG501" s="69" t="inlineStr">
        <is>
          <t>Bronx</t>
        </is>
      </c>
      <c r="AH501" s="69" t="inlineStr">
        <is>
          <t>New York-Newark-Jersey City, NY-NJ</t>
        </is>
      </c>
      <c r="AI501" s="69" t="inlineStr">
        <is>
          <t>Northeast / Mid-Atlantic</t>
        </is>
      </c>
      <c r="AJ501" s="69" t="inlineStr">
        <is>
          <t>MF</t>
        </is>
      </c>
      <c r="AK501" s="69" t="inlineStr">
        <is>
          <t>Mid Rise</t>
        </is>
      </c>
      <c r="AL501" s="68" t="n">
        <v>1</v>
      </c>
      <c r="AM501" s="68" t="n">
        <v>62</v>
      </c>
      <c r="AN501" s="68" t="n"/>
      <c r="AO501" s="69" t="inlineStr">
        <is>
          <t>1931</t>
        </is>
      </c>
      <c r="AP501" s="70" t="n">
        <v>1931</v>
      </c>
      <c r="AQ501" s="74" t="n">
        <v>1.88</v>
      </c>
      <c r="AR501" s="74" t="n">
        <v>1.27</v>
      </c>
      <c r="AS501" s="74" t="n">
        <v>64.3</v>
      </c>
      <c r="AT501" s="74" t="n">
        <v>64.29000000000001</v>
      </c>
      <c r="AU501" s="74" t="n">
        <v>64.3</v>
      </c>
      <c r="AV501" s="74" t="n">
        <v>8.764718999999999</v>
      </c>
      <c r="AW501" s="74" t="n">
        <v>5.963948667</v>
      </c>
      <c r="AX501" s="75" t="n">
        <v>98</v>
      </c>
      <c r="AY501" s="71" t="n">
        <v>14000000</v>
      </c>
      <c r="AZ501" s="71" t="n">
        <v>14000000</v>
      </c>
      <c r="BA501" s="71" t="n">
        <v>788824.71</v>
      </c>
      <c r="BB501" s="71" t="n">
        <v>533800.9399999999</v>
      </c>
      <c r="BC501" s="69" t="inlineStr">
        <is>
          <t>Refinance</t>
        </is>
      </c>
      <c r="BD501" s="69" t="inlineStr">
        <is>
          <t>N</t>
        </is>
      </c>
      <c r="BE501" s="71" t="n"/>
      <c r="BF501" s="71" t="n"/>
      <c r="BG501" s="71" t="n"/>
      <c r="BH501" s="71" t="n">
        <v>0</v>
      </c>
      <c r="BI501" s="71" t="n">
        <v>0</v>
      </c>
      <c r="BJ501" s="69" t="inlineStr">
        <is>
          <t>N</t>
        </is>
      </c>
      <c r="BK501" s="69" t="n"/>
      <c r="BL501" s="75" t="n"/>
      <c r="BM501" s="73" t="n"/>
      <c r="BN501" s="69" t="inlineStr">
        <is>
          <t>Ryan Morgan</t>
        </is>
      </c>
      <c r="BO501" s="69" t="inlineStr">
        <is>
          <t>Morgan Stanley</t>
        </is>
      </c>
      <c r="BP501" s="69" t="inlineStr">
        <is>
          <t>Midland Loan Services</t>
        </is>
      </c>
      <c r="BQ501" s="69" t="inlineStr">
        <is>
          <t>K-Star Asset Management LLC</t>
        </is>
      </c>
      <c r="BR501" s="69" t="n"/>
      <c r="BS501" s="73" t="n">
        <v>46276</v>
      </c>
      <c r="BU501" s="76">
        <f>IF($C501="","",IFERROR(INDEX(dmName,MATCH($C501,dmID,0)),"Unmapped"))</f>
        <v/>
      </c>
      <c r="BV501" s="76">
        <f>IF($C501="","",IFERROR(INDEX(dmEntity,MATCH($C501,dmID,0)),"Unmapped"))</f>
        <v/>
      </c>
      <c r="BW501" s="77">
        <f>IF($C501="","",IFERROR(INDEX(dmVintage,MATCH($C501,dmID,0)),""))</f>
        <v/>
      </c>
      <c r="BX501" s="78">
        <f>IFERROR(INDEX(dmInclude,MATCH($C501,dmID,0)),0)</f>
        <v/>
      </c>
      <c r="BY501" s="78">
        <f>IF(N($I501)&gt;0,1,0)</f>
        <v/>
      </c>
      <c r="BZ501" s="76">
        <f>IF($AJ501="","Other / Leased Fee",IFERROR(INDEX(mapPTGroup,MATCH(LEFT(TRIM($AJ501),2),mapPTCode,0)),"Other / Leased Fee"))</f>
        <v/>
      </c>
      <c r="CA501" s="76">
        <f>IF(TRIM($AF501&amp;"")="","NR",LEFT(TRIM($AF501),2))</f>
        <v/>
      </c>
      <c r="CB501" s="76">
        <f>IFERROR(LOOKUP(2,1/(LEFT(TRIM($AI501&amp;""),LEN(mapRegion))=mapRegion),mapRegion),"Not Reported")</f>
        <v/>
      </c>
      <c r="CC501" s="76">
        <f>IF($BY501=0,"",IF(TRIM($W501&amp;"")="REO","REO",IF(TRIM($W501&amp;"")="FC","Foreclosure",IF(TRIM($W501&amp;"")="90+","90+ Days Delinquent",IF(TRIM($W501&amp;"")="60","60 Days Delinquent",IF(TRIM($W501&amp;"")="30","30 Days Delinquent",IF($X501="Non-Performing Matured Balloon","Non-Performing Matured Balloon",IF(OR($X501="Late Payment But Less Than 30 Days Delinquent",LEFT($X501&amp;"",20)="Payment Not Received"),"Late / In Grace (&lt;30 Days)",IF($X501="Performing Matured Balloon","Performing Matured Balloon","Current")))))))))</f>
        <v/>
      </c>
      <c r="CD501" s="78">
        <f>IF(OR($CC501="REO",$CC501="Foreclosure",$CC501="90+ Days Delinquent",$CC501="60 Days Delinquent",$CC501="30 Days Delinquent",$CC501="Non-Performing Matured Balloon"),1,0)</f>
        <v/>
      </c>
      <c r="CE501" s="76">
        <f>IF($AB501="Currently special serv","Currently Specially Serviced",IF($AB501="Returned to master serv","Previously Specially Serviced","Never Specially Serviced"))</f>
        <v/>
      </c>
      <c r="CF501" s="78">
        <f>IF($CE501="Currently Specially Serviced",1,0)</f>
        <v/>
      </c>
      <c r="CG501" s="76">
        <f>IF($AA501="Yes","Currently on Watchlist",IF($AA501="Previously","Previously on Watchlist","Never on Watchlist"))</f>
        <v/>
      </c>
      <c r="CH501" s="78">
        <f>IF($CG501="Currently on Watchlist",1,0)</f>
        <v/>
      </c>
      <c r="CI501" s="76">
        <f>IF($Z501="Full Defeasance","Fully Defeased",IF($Z501="Portion Of Loan Previously Defeased","Partially Defeased",IF($Z501="Defeasance Not Allowable","Not Defeased (Not Permitted)","Not Defeased")))</f>
        <v/>
      </c>
      <c r="CJ501" s="78">
        <f>IF($CI501="Fully Defeased",1,0)</f>
        <v/>
      </c>
      <c r="CK501" s="76">
        <f>IF($R501="IO","Full IO",IF(LEFT($R501&amp;"",7)="IO then","Partial IO","Amortizing"))</f>
        <v/>
      </c>
      <c r="CL501" s="78">
        <f>IF($CK501="Full IO",1,0)</f>
        <v/>
      </c>
      <c r="CM501" s="78">
        <f>IF($CK501="Partial IO",1,0)</f>
        <v/>
      </c>
      <c r="CN501" s="76">
        <f>IF(LEFT($F501&amp;"",10)="SPLIT_LOAN","Pari Passu Split","Standalone")</f>
        <v/>
      </c>
      <c r="CO501" s="78">
        <f>IF($CN501="Pari Passu Split",1,0)</f>
        <v/>
      </c>
      <c r="CP501" s="77">
        <f>IF(ISNUMBER($T501),YEAR($T501),"")</f>
        <v/>
      </c>
      <c r="CQ501" s="79">
        <f>IF(ISNUMBER($V501),$V501,IF(ISNUMBER($U501),$U501,""))</f>
        <v/>
      </c>
      <c r="CR501" s="77">
        <f>IF(ISNUMBER($CQ501),YEAR($CQ501),"")</f>
        <v/>
      </c>
      <c r="CS501" s="78">
        <f>IF(ISNUMBER($M501),MAX(0,$M501),IF(TRIM($M501&amp;"")="matured",0,""))</f>
        <v/>
      </c>
      <c r="CT501" s="78">
        <f>IF(AND(ISNUMBER($CS501),N($CS501)&lt;=mMatWindow),1,0)</f>
        <v/>
      </c>
      <c r="CU501" s="80">
        <f>IF(ISNUMBER($J501),$J501/100,"")</f>
        <v/>
      </c>
      <c r="CV501" s="81">
        <f>IF(ISNUMBER($AQ501),$AQ501,"")</f>
        <v/>
      </c>
      <c r="CW501" s="81">
        <f>IF(ISNUMBER($AR501),$AR501,"")</f>
        <v/>
      </c>
      <c r="CX501" s="82">
        <f>IF(ISNUMBER($AS501),$AS501/100,"")</f>
        <v/>
      </c>
      <c r="CY501" s="82">
        <f>IF(ISNUMBER($AT501),$AT501/100,"")</f>
        <v/>
      </c>
      <c r="CZ501" s="82">
        <f>IF(ISNUMBER($AU501),$AU501/100,"")</f>
        <v/>
      </c>
      <c r="DA501" s="82">
        <f>IF(ISNUMBER($AV501),$AV501/100,"")</f>
        <v/>
      </c>
      <c r="DB501" s="82">
        <f>IF(ISNUMBER($AW501),$AW501/100,"")</f>
        <v/>
      </c>
      <c r="DC501" s="82">
        <f>IF(ISNUMBER($AX501),$AX501/100,"")</f>
        <v/>
      </c>
      <c r="DD501" s="77">
        <f>IFERROR(VALUE(LEFT(TRIM($AO501&amp;""),4)),"")</f>
        <v/>
      </c>
      <c r="DE501" s="78">
        <f>IF(AND($BY501=1,$BX501=1,OR(fDeal="All Deals",$BU501=fDeal),OR(fEntity="All Entities",$BV501=fEntity),OR(fPType="All Property Types",$BZ501=fPType),OR(fDefeased="Include",$CJ501=0)),1,0)</f>
        <v/>
      </c>
      <c r="DF501" s="83">
        <f>$DE501*N($I501)</f>
        <v/>
      </c>
      <c r="DG501" s="78">
        <f>IF($DE501=1,IF(COUNTIFS($F$8:$F501,$F501,$DE$8:$DE501,1)=1,1,0),0)</f>
        <v/>
      </c>
      <c r="DH501" s="83">
        <f>IF($DG501=1,SUMIFS($DF$8:$DF$1600,$F$8:$F$1600,$F501),0)</f>
        <v/>
      </c>
      <c r="DI501" s="78">
        <f>IF($DG501=1,COUNTIFS($F$8:$F$1600,$F501,$DE$8:$DE$1600,1),0)</f>
        <v/>
      </c>
      <c r="DJ501" s="84">
        <f>IF($DG501=1,$DH501+(100000-ROW())/mTieBreak,0)</f>
        <v/>
      </c>
    </row>
    <row r="502">
      <c r="B502" s="68" t="n">
        <v>25</v>
      </c>
      <c r="C502" s="69" t="inlineStr">
        <is>
          <t>MSC19H6</t>
        </is>
      </c>
      <c r="D502" s="69" t="inlineStr">
        <is>
          <t>25.000</t>
        </is>
      </c>
      <c r="E502" s="69" t="inlineStr">
        <is>
          <t>Country Club on Legacy</t>
        </is>
      </c>
      <c r="F502" s="69" t="inlineStr">
        <is>
          <t>LNMSC19H6-25.000</t>
        </is>
      </c>
      <c r="G502" s="70" t="n"/>
      <c r="H502" s="71" t="n">
        <v>9000000</v>
      </c>
      <c r="I502" s="71" t="n">
        <v>8255395.439999999</v>
      </c>
      <c r="J502" s="72" t="n">
        <v>5.05</v>
      </c>
      <c r="K502" s="69" t="inlineStr">
        <is>
          <t>Fixed rate</t>
        </is>
      </c>
      <c r="L502" s="68" t="n">
        <v>120</v>
      </c>
      <c r="M502" s="68" t="n">
        <v>32</v>
      </c>
      <c r="N502" s="68" t="n">
        <v>384</v>
      </c>
      <c r="O502" s="68" t="n">
        <v>24</v>
      </c>
      <c r="P502" s="68" t="n">
        <v>0</v>
      </c>
      <c r="Q502" s="68" t="n">
        <v>88</v>
      </c>
      <c r="R502" s="69" t="inlineStr">
        <is>
          <t>IO then Amort</t>
        </is>
      </c>
      <c r="S502" s="69" t="inlineStr">
        <is>
          <t>No</t>
        </is>
      </c>
      <c r="T502" s="73" t="n">
        <v>43586</v>
      </c>
      <c r="U502" s="73" t="n">
        <v>47244</v>
      </c>
      <c r="V502" s="73" t="n"/>
      <c r="W502" s="69" t="n"/>
      <c r="X502" s="69" t="inlineStr">
        <is>
          <t>Current</t>
        </is>
      </c>
      <c r="Y502" s="68" t="n"/>
      <c r="Z502" s="69" t="inlineStr">
        <is>
          <t>No Defeasance Occurred</t>
        </is>
      </c>
      <c r="AA502" s="69" t="inlineStr">
        <is>
          <t>Previously</t>
        </is>
      </c>
      <c r="AB502" s="69" t="inlineStr">
        <is>
          <t>Never special serv</t>
        </is>
      </c>
      <c r="AC502" s="73" t="n"/>
      <c r="AD502" s="69" t="n"/>
      <c r="AE502" s="69" t="n"/>
      <c r="AF502" s="69" t="inlineStr">
        <is>
          <t>TX</t>
        </is>
      </c>
      <c r="AG502" s="69" t="inlineStr">
        <is>
          <t>Frisco</t>
        </is>
      </c>
      <c r="AH502" s="69" t="inlineStr">
        <is>
          <t>Dallas-Fort Worth-Arlington, TX</t>
        </is>
      </c>
      <c r="AI502" s="69" t="inlineStr">
        <is>
          <t>South / Central West</t>
        </is>
      </c>
      <c r="AJ502" s="69" t="inlineStr">
        <is>
          <t>MX</t>
        </is>
      </c>
      <c r="AK502" s="69" t="inlineStr">
        <is>
          <t>Office/Retail</t>
        </is>
      </c>
      <c r="AL502" s="68" t="n">
        <v>1</v>
      </c>
      <c r="AM502" s="68" t="n"/>
      <c r="AN502" s="68" t="n">
        <v>51916</v>
      </c>
      <c r="AO502" s="69" t="inlineStr">
        <is>
          <t>2001</t>
        </is>
      </c>
      <c r="AP502" s="70" t="n">
        <v>2001</v>
      </c>
      <c r="AQ502" s="74" t="n">
        <v>1.43</v>
      </c>
      <c r="AR502" s="74" t="n">
        <v>1.83</v>
      </c>
      <c r="AS502" s="74" t="n">
        <v>68.2</v>
      </c>
      <c r="AT502" s="74" t="n">
        <v>62.54</v>
      </c>
      <c r="AU502" s="74" t="n">
        <v>59.2</v>
      </c>
      <c r="AV502" s="74" t="n">
        <v>9.248196889000001</v>
      </c>
      <c r="AW502" s="74" t="n">
        <v>9.437283358</v>
      </c>
      <c r="AX502" s="75" t="n">
        <v>100</v>
      </c>
      <c r="AY502" s="71" t="n">
        <v>13200000</v>
      </c>
      <c r="AZ502" s="71" t="n">
        <v>13200000</v>
      </c>
      <c r="BA502" s="71" t="n">
        <v>832337.72</v>
      </c>
      <c r="BB502" s="71" t="n">
        <v>266835.78</v>
      </c>
      <c r="BC502" s="69" t="inlineStr">
        <is>
          <t>Acquisition</t>
        </is>
      </c>
      <c r="BD502" s="69" t="inlineStr">
        <is>
          <t>N</t>
        </is>
      </c>
      <c r="BE502" s="71" t="n"/>
      <c r="BF502" s="71" t="n"/>
      <c r="BG502" s="71" t="n"/>
      <c r="BH502" s="71" t="n">
        <v>0</v>
      </c>
      <c r="BI502" s="71" t="n">
        <v>0</v>
      </c>
      <c r="BJ502" s="69" t="inlineStr">
        <is>
          <t>N</t>
        </is>
      </c>
      <c r="BK502" s="69" t="inlineStr">
        <is>
          <t>Obra Ramos LLC</t>
        </is>
      </c>
      <c r="BL502" s="75" t="n">
        <v>12.97</v>
      </c>
      <c r="BM502" s="73" t="n">
        <v>48610</v>
      </c>
      <c r="BN502" s="69" t="inlineStr">
        <is>
          <t>Sridhar Venkatesan</t>
        </is>
      </c>
      <c r="BO502" s="69" t="inlineStr">
        <is>
          <t>Starwood</t>
        </is>
      </c>
      <c r="BP502" s="69" t="inlineStr">
        <is>
          <t>Midland Loan Services</t>
        </is>
      </c>
      <c r="BQ502" s="69" t="inlineStr">
        <is>
          <t>K-Star Asset Management LLC</t>
        </is>
      </c>
      <c r="BR502" s="69" t="n"/>
      <c r="BS502" s="73" t="n">
        <v>46276</v>
      </c>
      <c r="BU502" s="76">
        <f>IF($C502="","",IFERROR(INDEX(dmName,MATCH($C502,dmID,0)),"Unmapped"))</f>
        <v/>
      </c>
      <c r="BV502" s="76">
        <f>IF($C502="","",IFERROR(INDEX(dmEntity,MATCH($C502,dmID,0)),"Unmapped"))</f>
        <v/>
      </c>
      <c r="BW502" s="77">
        <f>IF($C502="","",IFERROR(INDEX(dmVintage,MATCH($C502,dmID,0)),""))</f>
        <v/>
      </c>
      <c r="BX502" s="78">
        <f>IFERROR(INDEX(dmInclude,MATCH($C502,dmID,0)),0)</f>
        <v/>
      </c>
      <c r="BY502" s="78">
        <f>IF(N($I502)&gt;0,1,0)</f>
        <v/>
      </c>
      <c r="BZ502" s="76">
        <f>IF($AJ502="","Other / Leased Fee",IFERROR(INDEX(mapPTGroup,MATCH(LEFT(TRIM($AJ502),2),mapPTCode,0)),"Other / Leased Fee"))</f>
        <v/>
      </c>
      <c r="CA502" s="76">
        <f>IF(TRIM($AF502&amp;"")="","NR",LEFT(TRIM($AF502),2))</f>
        <v/>
      </c>
      <c r="CB502" s="76">
        <f>IFERROR(LOOKUP(2,1/(LEFT(TRIM($AI502&amp;""),LEN(mapRegion))=mapRegion),mapRegion),"Not Reported")</f>
        <v/>
      </c>
      <c r="CC502" s="76">
        <f>IF($BY502=0,"",IF(TRIM($W502&amp;"")="REO","REO",IF(TRIM($W502&amp;"")="FC","Foreclosure",IF(TRIM($W502&amp;"")="90+","90+ Days Delinquent",IF(TRIM($W502&amp;"")="60","60 Days Delinquent",IF(TRIM($W502&amp;"")="30","30 Days Delinquent",IF($X502="Non-Performing Matured Balloon","Non-Performing Matured Balloon",IF(OR($X502="Late Payment But Less Than 30 Days Delinquent",LEFT($X502&amp;"",20)="Payment Not Received"),"Late / In Grace (&lt;30 Days)",IF($X502="Performing Matured Balloon","Performing Matured Balloon","Current")))))))))</f>
        <v/>
      </c>
      <c r="CD502" s="78">
        <f>IF(OR($CC502="REO",$CC502="Foreclosure",$CC502="90+ Days Delinquent",$CC502="60 Days Delinquent",$CC502="30 Days Delinquent",$CC502="Non-Performing Matured Balloon"),1,0)</f>
        <v/>
      </c>
      <c r="CE502" s="76">
        <f>IF($AB502="Currently special serv","Currently Specially Serviced",IF($AB502="Returned to master serv","Previously Specially Serviced","Never Specially Serviced"))</f>
        <v/>
      </c>
      <c r="CF502" s="78">
        <f>IF($CE502="Currently Specially Serviced",1,0)</f>
        <v/>
      </c>
      <c r="CG502" s="76">
        <f>IF($AA502="Yes","Currently on Watchlist",IF($AA502="Previously","Previously on Watchlist","Never on Watchlist"))</f>
        <v/>
      </c>
      <c r="CH502" s="78">
        <f>IF($CG502="Currently on Watchlist",1,0)</f>
        <v/>
      </c>
      <c r="CI502" s="76">
        <f>IF($Z502="Full Defeasance","Fully Defeased",IF($Z502="Portion Of Loan Previously Defeased","Partially Defeased",IF($Z502="Defeasance Not Allowable","Not Defeased (Not Permitted)","Not Defeased")))</f>
        <v/>
      </c>
      <c r="CJ502" s="78">
        <f>IF($CI502="Fully Defeased",1,0)</f>
        <v/>
      </c>
      <c r="CK502" s="76">
        <f>IF($R502="IO","Full IO",IF(LEFT($R502&amp;"",7)="IO then","Partial IO","Amortizing"))</f>
        <v/>
      </c>
      <c r="CL502" s="78">
        <f>IF($CK502="Full IO",1,0)</f>
        <v/>
      </c>
      <c r="CM502" s="78">
        <f>IF($CK502="Partial IO",1,0)</f>
        <v/>
      </c>
      <c r="CN502" s="76">
        <f>IF(LEFT($F502&amp;"",10)="SPLIT_LOAN","Pari Passu Split","Standalone")</f>
        <v/>
      </c>
      <c r="CO502" s="78">
        <f>IF($CN502="Pari Passu Split",1,0)</f>
        <v/>
      </c>
      <c r="CP502" s="77">
        <f>IF(ISNUMBER($T502),YEAR($T502),"")</f>
        <v/>
      </c>
      <c r="CQ502" s="79">
        <f>IF(ISNUMBER($V502),$V502,IF(ISNUMBER($U502),$U502,""))</f>
        <v/>
      </c>
      <c r="CR502" s="77">
        <f>IF(ISNUMBER($CQ502),YEAR($CQ502),"")</f>
        <v/>
      </c>
      <c r="CS502" s="78">
        <f>IF(ISNUMBER($M502),MAX(0,$M502),IF(TRIM($M502&amp;"")="matured",0,""))</f>
        <v/>
      </c>
      <c r="CT502" s="78">
        <f>IF(AND(ISNUMBER($CS502),N($CS502)&lt;=mMatWindow),1,0)</f>
        <v/>
      </c>
      <c r="CU502" s="80">
        <f>IF(ISNUMBER($J502),$J502/100,"")</f>
        <v/>
      </c>
      <c r="CV502" s="81">
        <f>IF(ISNUMBER($AQ502),$AQ502,"")</f>
        <v/>
      </c>
      <c r="CW502" s="81">
        <f>IF(ISNUMBER($AR502),$AR502,"")</f>
        <v/>
      </c>
      <c r="CX502" s="82">
        <f>IF(ISNUMBER($AS502),$AS502/100,"")</f>
        <v/>
      </c>
      <c r="CY502" s="82">
        <f>IF(ISNUMBER($AT502),$AT502/100,"")</f>
        <v/>
      </c>
      <c r="CZ502" s="82">
        <f>IF(ISNUMBER($AU502),$AU502/100,"")</f>
        <v/>
      </c>
      <c r="DA502" s="82">
        <f>IF(ISNUMBER($AV502),$AV502/100,"")</f>
        <v/>
      </c>
      <c r="DB502" s="82">
        <f>IF(ISNUMBER($AW502),$AW502/100,"")</f>
        <v/>
      </c>
      <c r="DC502" s="82">
        <f>IF(ISNUMBER($AX502),$AX502/100,"")</f>
        <v/>
      </c>
      <c r="DD502" s="77">
        <f>IFERROR(VALUE(LEFT(TRIM($AO502&amp;""),4)),"")</f>
        <v/>
      </c>
      <c r="DE502" s="78">
        <f>IF(AND($BY502=1,$BX502=1,OR(fDeal="All Deals",$BU502=fDeal),OR(fEntity="All Entities",$BV502=fEntity),OR(fPType="All Property Types",$BZ502=fPType),OR(fDefeased="Include",$CJ502=0)),1,0)</f>
        <v/>
      </c>
      <c r="DF502" s="83">
        <f>$DE502*N($I502)</f>
        <v/>
      </c>
      <c r="DG502" s="78">
        <f>IF($DE502=1,IF(COUNTIFS($F$8:$F502,$F502,$DE$8:$DE502,1)=1,1,0),0)</f>
        <v/>
      </c>
      <c r="DH502" s="83">
        <f>IF($DG502=1,SUMIFS($DF$8:$DF$1600,$F$8:$F$1600,$F502),0)</f>
        <v/>
      </c>
      <c r="DI502" s="78">
        <f>IF($DG502=1,COUNTIFS($F$8:$F$1600,$F502,$DE$8:$DE$1600,1),0)</f>
        <v/>
      </c>
      <c r="DJ502" s="84">
        <f>IF($DG502=1,$DH502+(100000-ROW())/mTieBreak,0)</f>
        <v/>
      </c>
    </row>
    <row r="503">
      <c r="B503" s="68" t="n">
        <v>26</v>
      </c>
      <c r="C503" s="69" t="inlineStr">
        <is>
          <t>MSC19H6</t>
        </is>
      </c>
      <c r="D503" s="69" t="inlineStr">
        <is>
          <t>26.000</t>
        </is>
      </c>
      <c r="E503" s="69" t="inlineStr">
        <is>
          <t>Aquataina Wescott</t>
        </is>
      </c>
      <c r="F503" s="69" t="inlineStr">
        <is>
          <t>LNMSC19H6-26.000</t>
        </is>
      </c>
      <c r="G503" s="70" t="n"/>
      <c r="H503" s="71" t="n">
        <v>8000000</v>
      </c>
      <c r="I503" s="71" t="n">
        <v>7732089.74</v>
      </c>
      <c r="J503" s="72" t="n">
        <v>4.85</v>
      </c>
      <c r="K503" s="69" t="inlineStr">
        <is>
          <t>Fixed rate</t>
        </is>
      </c>
      <c r="L503" s="68" t="n">
        <v>120</v>
      </c>
      <c r="M503" s="68" t="n">
        <v>33</v>
      </c>
      <c r="N503" s="68" t="n">
        <v>420</v>
      </c>
      <c r="O503" s="68" t="n">
        <v>60</v>
      </c>
      <c r="P503" s="68" t="n">
        <v>0</v>
      </c>
      <c r="Q503" s="68" t="n">
        <v>87</v>
      </c>
      <c r="R503" s="69" t="inlineStr">
        <is>
          <t>IO then Amort</t>
        </is>
      </c>
      <c r="S503" s="69" t="inlineStr">
        <is>
          <t>No</t>
        </is>
      </c>
      <c r="T503" s="73" t="n">
        <v>43617</v>
      </c>
      <c r="U503" s="73" t="n">
        <v>47270</v>
      </c>
      <c r="V503" s="73" t="n"/>
      <c r="W503" s="69" t="n"/>
      <c r="X503" s="69" t="inlineStr">
        <is>
          <t>Current</t>
        </is>
      </c>
      <c r="Y503" s="68" t="n"/>
      <c r="Z503" s="69" t="inlineStr">
        <is>
          <t>No Defeasance Occurred</t>
        </is>
      </c>
      <c r="AA503" s="69" t="inlineStr">
        <is>
          <t>Yes</t>
        </is>
      </c>
      <c r="AB503" s="69" t="inlineStr">
        <is>
          <t>Never special serv</t>
        </is>
      </c>
      <c r="AC503" s="73" t="n"/>
      <c r="AD503" s="69" t="n"/>
      <c r="AE503" s="69" t="n"/>
      <c r="AF503" s="69" t="inlineStr">
        <is>
          <t>TX</t>
        </is>
      </c>
      <c r="AG503" s="69" t="inlineStr">
        <is>
          <t>Sugar Land</t>
        </is>
      </c>
      <c r="AH503" s="69" t="inlineStr">
        <is>
          <t>Houston-Pasadena-The Woodlands, TX</t>
        </is>
      </c>
      <c r="AI503" s="69" t="inlineStr">
        <is>
          <t>South / Central West</t>
        </is>
      </c>
      <c r="AJ503" s="69" t="inlineStr">
        <is>
          <t>RT</t>
        </is>
      </c>
      <c r="AK503" s="69" t="inlineStr">
        <is>
          <t>Unanchored</t>
        </is>
      </c>
      <c r="AL503" s="68" t="n">
        <v>1</v>
      </c>
      <c r="AM503" s="68" t="n"/>
      <c r="AN503" s="68" t="n">
        <v>25707</v>
      </c>
      <c r="AO503" s="69" t="inlineStr">
        <is>
          <t>2018</t>
        </is>
      </c>
      <c r="AP503" s="70" t="n">
        <v>2018</v>
      </c>
      <c r="AQ503" s="74" t="n">
        <v>1.45</v>
      </c>
      <c r="AR503" s="74" t="n">
        <v>1.75</v>
      </c>
      <c r="AS503" s="74" t="n">
        <v>65.40000000000001</v>
      </c>
      <c r="AT503" s="74" t="n">
        <v>63.22</v>
      </c>
      <c r="AU503" s="74" t="n">
        <v>60.3</v>
      </c>
      <c r="AV503" s="74" t="n">
        <v>9.21250775</v>
      </c>
      <c r="AW503" s="74" t="n">
        <v>10.669683329</v>
      </c>
      <c r="AX503" s="75" t="n">
        <v>100</v>
      </c>
      <c r="AY503" s="71" t="n">
        <v>12230000</v>
      </c>
      <c r="AZ503" s="71" t="n">
        <v>12230000</v>
      </c>
      <c r="BA503" s="71" t="n">
        <v>737000.62</v>
      </c>
      <c r="BB503" s="71" t="n">
        <v>884634.53</v>
      </c>
      <c r="BC503" s="69" t="inlineStr">
        <is>
          <t>Refinance</t>
        </is>
      </c>
      <c r="BD503" s="69" t="inlineStr">
        <is>
          <t>N</t>
        </is>
      </c>
      <c r="BE503" s="71" t="n"/>
      <c r="BF503" s="71" t="n"/>
      <c r="BG503" s="71" t="n"/>
      <c r="BH503" s="71" t="n">
        <v>0</v>
      </c>
      <c r="BI503" s="71" t="n">
        <v>0</v>
      </c>
      <c r="BJ503" s="69" t="inlineStr">
        <is>
          <t>N</t>
        </is>
      </c>
      <c r="BK503" s="69" t="inlineStr">
        <is>
          <t>Fuzzy's Taco Shop</t>
        </is>
      </c>
      <c r="BL503" s="75" t="n">
        <v>13.61</v>
      </c>
      <c r="BM503" s="73" t="n">
        <v>47573</v>
      </c>
      <c r="BN503" s="69" t="inlineStr">
        <is>
          <t>H. Blake Tartt III</t>
        </is>
      </c>
      <c r="BO503" s="69" t="inlineStr">
        <is>
          <t>Morgan Stanley</t>
        </is>
      </c>
      <c r="BP503" s="69" t="inlineStr">
        <is>
          <t>Midland Loan Services</t>
        </is>
      </c>
      <c r="BQ503" s="69" t="inlineStr">
        <is>
          <t>K-Star Asset Management LLC</t>
        </is>
      </c>
      <c r="BR503" s="69" t="n"/>
      <c r="BS503" s="73" t="n">
        <v>46276</v>
      </c>
      <c r="BU503" s="76">
        <f>IF($C503="","",IFERROR(INDEX(dmName,MATCH($C503,dmID,0)),"Unmapped"))</f>
        <v/>
      </c>
      <c r="BV503" s="76">
        <f>IF($C503="","",IFERROR(INDEX(dmEntity,MATCH($C503,dmID,0)),"Unmapped"))</f>
        <v/>
      </c>
      <c r="BW503" s="77">
        <f>IF($C503="","",IFERROR(INDEX(dmVintage,MATCH($C503,dmID,0)),""))</f>
        <v/>
      </c>
      <c r="BX503" s="78">
        <f>IFERROR(INDEX(dmInclude,MATCH($C503,dmID,0)),0)</f>
        <v/>
      </c>
      <c r="BY503" s="78">
        <f>IF(N($I503)&gt;0,1,0)</f>
        <v/>
      </c>
      <c r="BZ503" s="76">
        <f>IF($AJ503="","Other / Leased Fee",IFERROR(INDEX(mapPTGroup,MATCH(LEFT(TRIM($AJ503),2),mapPTCode,0)),"Other / Leased Fee"))</f>
        <v/>
      </c>
      <c r="CA503" s="76">
        <f>IF(TRIM($AF503&amp;"")="","NR",LEFT(TRIM($AF503),2))</f>
        <v/>
      </c>
      <c r="CB503" s="76">
        <f>IFERROR(LOOKUP(2,1/(LEFT(TRIM($AI503&amp;""),LEN(mapRegion))=mapRegion),mapRegion),"Not Reported")</f>
        <v/>
      </c>
      <c r="CC503" s="76">
        <f>IF($BY503=0,"",IF(TRIM($W503&amp;"")="REO","REO",IF(TRIM($W503&amp;"")="FC","Foreclosure",IF(TRIM($W503&amp;"")="90+","90+ Days Delinquent",IF(TRIM($W503&amp;"")="60","60 Days Delinquent",IF(TRIM($W503&amp;"")="30","30 Days Delinquent",IF($X503="Non-Performing Matured Balloon","Non-Performing Matured Balloon",IF(OR($X503="Late Payment But Less Than 30 Days Delinquent",LEFT($X503&amp;"",20)="Payment Not Received"),"Late / In Grace (&lt;30 Days)",IF($X503="Performing Matured Balloon","Performing Matured Balloon","Current")))))))))</f>
        <v/>
      </c>
      <c r="CD503" s="78">
        <f>IF(OR($CC503="REO",$CC503="Foreclosure",$CC503="90+ Days Delinquent",$CC503="60 Days Delinquent",$CC503="30 Days Delinquent",$CC503="Non-Performing Matured Balloon"),1,0)</f>
        <v/>
      </c>
      <c r="CE503" s="76">
        <f>IF($AB503="Currently special serv","Currently Specially Serviced",IF($AB503="Returned to master serv","Previously Specially Serviced","Never Specially Serviced"))</f>
        <v/>
      </c>
      <c r="CF503" s="78">
        <f>IF($CE503="Currently Specially Serviced",1,0)</f>
        <v/>
      </c>
      <c r="CG503" s="76">
        <f>IF($AA503="Yes","Currently on Watchlist",IF($AA503="Previously","Previously on Watchlist","Never on Watchlist"))</f>
        <v/>
      </c>
      <c r="CH503" s="78">
        <f>IF($CG503="Currently on Watchlist",1,0)</f>
        <v/>
      </c>
      <c r="CI503" s="76">
        <f>IF($Z503="Full Defeasance","Fully Defeased",IF($Z503="Portion Of Loan Previously Defeased","Partially Defeased",IF($Z503="Defeasance Not Allowable","Not Defeased (Not Permitted)","Not Defeased")))</f>
        <v/>
      </c>
      <c r="CJ503" s="78">
        <f>IF($CI503="Fully Defeased",1,0)</f>
        <v/>
      </c>
      <c r="CK503" s="76">
        <f>IF($R503="IO","Full IO",IF(LEFT($R503&amp;"",7)="IO then","Partial IO","Amortizing"))</f>
        <v/>
      </c>
      <c r="CL503" s="78">
        <f>IF($CK503="Full IO",1,0)</f>
        <v/>
      </c>
      <c r="CM503" s="78">
        <f>IF($CK503="Partial IO",1,0)</f>
        <v/>
      </c>
      <c r="CN503" s="76">
        <f>IF(LEFT($F503&amp;"",10)="SPLIT_LOAN","Pari Passu Split","Standalone")</f>
        <v/>
      </c>
      <c r="CO503" s="78">
        <f>IF($CN503="Pari Passu Split",1,0)</f>
        <v/>
      </c>
      <c r="CP503" s="77">
        <f>IF(ISNUMBER($T503),YEAR($T503),"")</f>
        <v/>
      </c>
      <c r="CQ503" s="79">
        <f>IF(ISNUMBER($V503),$V503,IF(ISNUMBER($U503),$U503,""))</f>
        <v/>
      </c>
      <c r="CR503" s="77">
        <f>IF(ISNUMBER($CQ503),YEAR($CQ503),"")</f>
        <v/>
      </c>
      <c r="CS503" s="78">
        <f>IF(ISNUMBER($M503),MAX(0,$M503),IF(TRIM($M503&amp;"")="matured",0,""))</f>
        <v/>
      </c>
      <c r="CT503" s="78">
        <f>IF(AND(ISNUMBER($CS503),N($CS503)&lt;=mMatWindow),1,0)</f>
        <v/>
      </c>
      <c r="CU503" s="80">
        <f>IF(ISNUMBER($J503),$J503/100,"")</f>
        <v/>
      </c>
      <c r="CV503" s="81">
        <f>IF(ISNUMBER($AQ503),$AQ503,"")</f>
        <v/>
      </c>
      <c r="CW503" s="81">
        <f>IF(ISNUMBER($AR503),$AR503,"")</f>
        <v/>
      </c>
      <c r="CX503" s="82">
        <f>IF(ISNUMBER($AS503),$AS503/100,"")</f>
        <v/>
      </c>
      <c r="CY503" s="82">
        <f>IF(ISNUMBER($AT503),$AT503/100,"")</f>
        <v/>
      </c>
      <c r="CZ503" s="82">
        <f>IF(ISNUMBER($AU503),$AU503/100,"")</f>
        <v/>
      </c>
      <c r="DA503" s="82">
        <f>IF(ISNUMBER($AV503),$AV503/100,"")</f>
        <v/>
      </c>
      <c r="DB503" s="82">
        <f>IF(ISNUMBER($AW503),$AW503/100,"")</f>
        <v/>
      </c>
      <c r="DC503" s="82">
        <f>IF(ISNUMBER($AX503),$AX503/100,"")</f>
        <v/>
      </c>
      <c r="DD503" s="77">
        <f>IFERROR(VALUE(LEFT(TRIM($AO503&amp;""),4)),"")</f>
        <v/>
      </c>
      <c r="DE503" s="78">
        <f>IF(AND($BY503=1,$BX503=1,OR(fDeal="All Deals",$BU503=fDeal),OR(fEntity="All Entities",$BV503=fEntity),OR(fPType="All Property Types",$BZ503=fPType),OR(fDefeased="Include",$CJ503=0)),1,0)</f>
        <v/>
      </c>
      <c r="DF503" s="83">
        <f>$DE503*N($I503)</f>
        <v/>
      </c>
      <c r="DG503" s="78">
        <f>IF($DE503=1,IF(COUNTIFS($F$8:$F503,$F503,$DE$8:$DE503,1)=1,1,0),0)</f>
        <v/>
      </c>
      <c r="DH503" s="83">
        <f>IF($DG503=1,SUMIFS($DF$8:$DF$1600,$F$8:$F$1600,$F503),0)</f>
        <v/>
      </c>
      <c r="DI503" s="78">
        <f>IF($DG503=1,COUNTIFS($F$8:$F$1600,$F503,$DE$8:$DE$1600,1),0)</f>
        <v/>
      </c>
      <c r="DJ503" s="84">
        <f>IF($DG503=1,$DH503+(100000-ROW())/mTieBreak,0)</f>
        <v/>
      </c>
    </row>
    <row r="504">
      <c r="B504" s="68" t="n">
        <v>27</v>
      </c>
      <c r="C504" s="69" t="inlineStr">
        <is>
          <t>MSC19H6</t>
        </is>
      </c>
      <c r="D504" s="69" t="inlineStr">
        <is>
          <t>27.000</t>
        </is>
      </c>
      <c r="E504" s="69" t="inlineStr">
        <is>
          <t>WWSA Mixed Use Portfolio</t>
        </is>
      </c>
      <c r="F504" s="69" t="inlineStr">
        <is>
          <t>LNMSC19H6-27.000</t>
        </is>
      </c>
      <c r="G504" s="70" t="n"/>
      <c r="H504" s="71" t="n">
        <v>5700000</v>
      </c>
      <c r="I504" s="71" t="n">
        <v>5093967.630000301</v>
      </c>
      <c r="J504" s="72" t="n">
        <v>4.75</v>
      </c>
      <c r="K504" s="69" t="inlineStr">
        <is>
          <t>Fixed rate</t>
        </is>
      </c>
      <c r="L504" s="68" t="n">
        <v>120</v>
      </c>
      <c r="M504" s="68" t="n">
        <v>32</v>
      </c>
      <c r="N504" s="68" t="n">
        <v>372</v>
      </c>
      <c r="O504" s="68" t="n">
        <v>12</v>
      </c>
      <c r="P504" s="68" t="n">
        <v>0</v>
      </c>
      <c r="Q504" s="68" t="n">
        <v>88</v>
      </c>
      <c r="R504" s="69" t="inlineStr">
        <is>
          <t>IO then Amort</t>
        </is>
      </c>
      <c r="S504" s="69" t="inlineStr">
        <is>
          <t>No</t>
        </is>
      </c>
      <c r="T504" s="73" t="n">
        <v>43586</v>
      </c>
      <c r="U504" s="73" t="n">
        <v>47244</v>
      </c>
      <c r="V504" s="73" t="n"/>
      <c r="W504" s="69" t="n"/>
      <c r="X504" s="69" t="inlineStr">
        <is>
          <t>Current</t>
        </is>
      </c>
      <c r="Y504" s="68" t="n"/>
      <c r="Z504" s="69" t="inlineStr">
        <is>
          <t>Defeasance Not Allowable</t>
        </is>
      </c>
      <c r="AA504" s="69" t="inlineStr">
        <is>
          <t>Yes</t>
        </is>
      </c>
      <c r="AB504" s="69" t="inlineStr">
        <is>
          <t>Never special serv</t>
        </is>
      </c>
      <c r="AC504" s="73" t="n"/>
      <c r="AD504" s="69" t="n"/>
      <c r="AE504" s="69" t="n"/>
      <c r="AF504" s="69" t="inlineStr">
        <is>
          <t>MI</t>
        </is>
      </c>
      <c r="AG504" s="69" t="n"/>
      <c r="AH504" s="69" t="inlineStr">
        <is>
          <t>Ann Arbor, MI-70.484581583% Traverse City, MI-29.515418417%</t>
        </is>
      </c>
      <c r="AI504" s="69" t="inlineStr">
        <is>
          <t>Midwest / Central East</t>
        </is>
      </c>
      <c r="AJ504" s="69" t="inlineStr">
        <is>
          <t>MX-70.484581583% RT-29.515418417%</t>
        </is>
      </c>
      <c r="AK504" s="69" t="n"/>
      <c r="AL504" s="68" t="n">
        <v>2</v>
      </c>
      <c r="AM504" s="68" t="n"/>
      <c r="AN504" s="68" t="n">
        <v>27500</v>
      </c>
      <c r="AO504" s="69" t="n"/>
      <c r="AP504" s="70" t="n">
        <v>2006</v>
      </c>
      <c r="AQ504" s="74" t="n">
        <v>1.44</v>
      </c>
      <c r="AR504" s="74" t="n">
        <v>1.35</v>
      </c>
      <c r="AS504" s="74" t="n">
        <v>62.5</v>
      </c>
      <c r="AT504" s="74" t="n">
        <v>56.1</v>
      </c>
      <c r="AU504" s="74" t="n">
        <v>52.5</v>
      </c>
      <c r="AV504" s="74" t="n">
        <v>8.902033333</v>
      </c>
      <c r="AW504" s="74" t="n">
        <v>8.617269129</v>
      </c>
      <c r="AX504" s="75" t="n">
        <v>100</v>
      </c>
      <c r="AY504" s="71" t="n">
        <v>9080000</v>
      </c>
      <c r="AZ504" s="71" t="n">
        <v>9080000</v>
      </c>
      <c r="BA504" s="71" t="n">
        <v>507415.9</v>
      </c>
      <c r="BB504" s="71" t="n">
        <v>120762.92</v>
      </c>
      <c r="BC504" s="69" t="inlineStr">
        <is>
          <t>Refinance</t>
        </is>
      </c>
      <c r="BD504" s="69" t="inlineStr">
        <is>
          <t>N</t>
        </is>
      </c>
      <c r="BE504" s="71" t="n"/>
      <c r="BF504" s="71" t="n"/>
      <c r="BG504" s="71" t="n"/>
      <c r="BH504" s="71" t="n">
        <v>0</v>
      </c>
      <c r="BI504" s="71" t="n">
        <v>0</v>
      </c>
      <c r="BJ504" s="69" t="inlineStr">
        <is>
          <t>N</t>
        </is>
      </c>
      <c r="BK504" s="69" t="inlineStr">
        <is>
          <t>Grizzly Peak Brewing Co. GPBC Inc</t>
        </is>
      </c>
      <c r="BL504" s="75" t="n">
        <v>32.73</v>
      </c>
      <c r="BM504" s="73" t="n"/>
      <c r="BN504" s="69" t="inlineStr">
        <is>
          <t>Jon A. Carlson; Chet Czaplicka</t>
        </is>
      </c>
      <c r="BO504" s="69" t="inlineStr">
        <is>
          <t>Starwood</t>
        </is>
      </c>
      <c r="BP504" s="69" t="inlineStr">
        <is>
          <t>Midland Loan Services</t>
        </is>
      </c>
      <c r="BQ504" s="69" t="inlineStr">
        <is>
          <t>K-Star Asset Management LLC</t>
        </is>
      </c>
      <c r="BR504" s="69" t="n"/>
      <c r="BS504" s="73" t="n">
        <v>46276</v>
      </c>
      <c r="BU504" s="76">
        <f>IF($C504="","",IFERROR(INDEX(dmName,MATCH($C504,dmID,0)),"Unmapped"))</f>
        <v/>
      </c>
      <c r="BV504" s="76">
        <f>IF($C504="","",IFERROR(INDEX(dmEntity,MATCH($C504,dmID,0)),"Unmapped"))</f>
        <v/>
      </c>
      <c r="BW504" s="77">
        <f>IF($C504="","",IFERROR(INDEX(dmVintage,MATCH($C504,dmID,0)),""))</f>
        <v/>
      </c>
      <c r="BX504" s="78">
        <f>IFERROR(INDEX(dmInclude,MATCH($C504,dmID,0)),0)</f>
        <v/>
      </c>
      <c r="BY504" s="78">
        <f>IF(N($I504)&gt;0,1,0)</f>
        <v/>
      </c>
      <c r="BZ504" s="76">
        <f>IF($AJ504="","Other / Leased Fee",IFERROR(INDEX(mapPTGroup,MATCH(LEFT(TRIM($AJ504),2),mapPTCode,0)),"Other / Leased Fee"))</f>
        <v/>
      </c>
      <c r="CA504" s="76">
        <f>IF(TRIM($AF504&amp;"")="","NR",LEFT(TRIM($AF504),2))</f>
        <v/>
      </c>
      <c r="CB504" s="76">
        <f>IFERROR(LOOKUP(2,1/(LEFT(TRIM($AI504&amp;""),LEN(mapRegion))=mapRegion),mapRegion),"Not Reported")</f>
        <v/>
      </c>
      <c r="CC504" s="76">
        <f>IF($BY504=0,"",IF(TRIM($W504&amp;"")="REO","REO",IF(TRIM($W504&amp;"")="FC","Foreclosure",IF(TRIM($W504&amp;"")="90+","90+ Days Delinquent",IF(TRIM($W504&amp;"")="60","60 Days Delinquent",IF(TRIM($W504&amp;"")="30","30 Days Delinquent",IF($X504="Non-Performing Matured Balloon","Non-Performing Matured Balloon",IF(OR($X504="Late Payment But Less Than 30 Days Delinquent",LEFT($X504&amp;"",20)="Payment Not Received"),"Late / In Grace (&lt;30 Days)",IF($X504="Performing Matured Balloon","Performing Matured Balloon","Current")))))))))</f>
        <v/>
      </c>
      <c r="CD504" s="78">
        <f>IF(OR($CC504="REO",$CC504="Foreclosure",$CC504="90+ Days Delinquent",$CC504="60 Days Delinquent",$CC504="30 Days Delinquent",$CC504="Non-Performing Matured Balloon"),1,0)</f>
        <v/>
      </c>
      <c r="CE504" s="76">
        <f>IF($AB504="Currently special serv","Currently Specially Serviced",IF($AB504="Returned to master serv","Previously Specially Serviced","Never Specially Serviced"))</f>
        <v/>
      </c>
      <c r="CF504" s="78">
        <f>IF($CE504="Currently Specially Serviced",1,0)</f>
        <v/>
      </c>
      <c r="CG504" s="76">
        <f>IF($AA504="Yes","Currently on Watchlist",IF($AA504="Previously","Previously on Watchlist","Never on Watchlist"))</f>
        <v/>
      </c>
      <c r="CH504" s="78">
        <f>IF($CG504="Currently on Watchlist",1,0)</f>
        <v/>
      </c>
      <c r="CI504" s="76">
        <f>IF($Z504="Full Defeasance","Fully Defeased",IF($Z504="Portion Of Loan Previously Defeased","Partially Defeased",IF($Z504="Defeasance Not Allowable","Not Defeased (Not Permitted)","Not Defeased")))</f>
        <v/>
      </c>
      <c r="CJ504" s="78">
        <f>IF($CI504="Fully Defeased",1,0)</f>
        <v/>
      </c>
      <c r="CK504" s="76">
        <f>IF($R504="IO","Full IO",IF(LEFT($R504&amp;"",7)="IO then","Partial IO","Amortizing"))</f>
        <v/>
      </c>
      <c r="CL504" s="78">
        <f>IF($CK504="Full IO",1,0)</f>
        <v/>
      </c>
      <c r="CM504" s="78">
        <f>IF($CK504="Partial IO",1,0)</f>
        <v/>
      </c>
      <c r="CN504" s="76">
        <f>IF(LEFT($F504&amp;"",10)="SPLIT_LOAN","Pari Passu Split","Standalone")</f>
        <v/>
      </c>
      <c r="CO504" s="78">
        <f>IF($CN504="Pari Passu Split",1,0)</f>
        <v/>
      </c>
      <c r="CP504" s="77">
        <f>IF(ISNUMBER($T504),YEAR($T504),"")</f>
        <v/>
      </c>
      <c r="CQ504" s="79">
        <f>IF(ISNUMBER($V504),$V504,IF(ISNUMBER($U504),$U504,""))</f>
        <v/>
      </c>
      <c r="CR504" s="77">
        <f>IF(ISNUMBER($CQ504),YEAR($CQ504),"")</f>
        <v/>
      </c>
      <c r="CS504" s="78">
        <f>IF(ISNUMBER($M504),MAX(0,$M504),IF(TRIM($M504&amp;"")="matured",0,""))</f>
        <v/>
      </c>
      <c r="CT504" s="78">
        <f>IF(AND(ISNUMBER($CS504),N($CS504)&lt;=mMatWindow),1,0)</f>
        <v/>
      </c>
      <c r="CU504" s="80">
        <f>IF(ISNUMBER($J504),$J504/100,"")</f>
        <v/>
      </c>
      <c r="CV504" s="81">
        <f>IF(ISNUMBER($AQ504),$AQ504,"")</f>
        <v/>
      </c>
      <c r="CW504" s="81">
        <f>IF(ISNUMBER($AR504),$AR504,"")</f>
        <v/>
      </c>
      <c r="CX504" s="82">
        <f>IF(ISNUMBER($AS504),$AS504/100,"")</f>
        <v/>
      </c>
      <c r="CY504" s="82">
        <f>IF(ISNUMBER($AT504),$AT504/100,"")</f>
        <v/>
      </c>
      <c r="CZ504" s="82">
        <f>IF(ISNUMBER($AU504),$AU504/100,"")</f>
        <v/>
      </c>
      <c r="DA504" s="82">
        <f>IF(ISNUMBER($AV504),$AV504/100,"")</f>
        <v/>
      </c>
      <c r="DB504" s="82">
        <f>IF(ISNUMBER($AW504),$AW504/100,"")</f>
        <v/>
      </c>
      <c r="DC504" s="82">
        <f>IF(ISNUMBER($AX504),$AX504/100,"")</f>
        <v/>
      </c>
      <c r="DD504" s="77">
        <f>IFERROR(VALUE(LEFT(TRIM($AO504&amp;""),4)),"")</f>
        <v/>
      </c>
      <c r="DE504" s="78">
        <f>IF(AND($BY504=1,$BX504=1,OR(fDeal="All Deals",$BU504=fDeal),OR(fEntity="All Entities",$BV504=fEntity),OR(fPType="All Property Types",$BZ504=fPType),OR(fDefeased="Include",$CJ504=0)),1,0)</f>
        <v/>
      </c>
      <c r="DF504" s="83">
        <f>$DE504*N($I504)</f>
        <v/>
      </c>
      <c r="DG504" s="78">
        <f>IF($DE504=1,IF(COUNTIFS($F$8:$F504,$F504,$DE$8:$DE504,1)=1,1,0),0)</f>
        <v/>
      </c>
      <c r="DH504" s="83">
        <f>IF($DG504=1,SUMIFS($DF$8:$DF$1600,$F$8:$F$1600,$F504),0)</f>
        <v/>
      </c>
      <c r="DI504" s="78">
        <f>IF($DG504=1,COUNTIFS($F$8:$F$1600,$F504,$DE$8:$DE$1600,1),0)</f>
        <v/>
      </c>
      <c r="DJ504" s="84">
        <f>IF($DG504=1,$DH504+(100000-ROW())/mTieBreak,0)</f>
        <v/>
      </c>
    </row>
    <row r="505">
      <c r="B505" s="68" t="n">
        <v>28</v>
      </c>
      <c r="C505" s="69" t="inlineStr">
        <is>
          <t>MSC19H6</t>
        </is>
      </c>
      <c r="D505" s="69" t="inlineStr">
        <is>
          <t>28.000</t>
        </is>
      </c>
      <c r="E505" s="69" t="inlineStr">
        <is>
          <t>400 West Front Street II</t>
        </is>
      </c>
      <c r="F505" s="69" t="inlineStr">
        <is>
          <t>LNMSC19H6-28.000</t>
        </is>
      </c>
      <c r="G505" s="70" t="n"/>
      <c r="H505" s="71" t="n">
        <v>2100000</v>
      </c>
      <c r="I505" s="71" t="n">
        <v>1878235.8899997</v>
      </c>
      <c r="J505" s="72" t="n">
        <v>4.79</v>
      </c>
      <c r="K505" s="69" t="inlineStr">
        <is>
          <t>Fixed rate</t>
        </is>
      </c>
      <c r="L505" s="68" t="n">
        <v>120</v>
      </c>
      <c r="M505" s="68" t="n">
        <v>32</v>
      </c>
      <c r="N505" s="68" t="n">
        <v>372</v>
      </c>
      <c r="O505" s="68" t="n">
        <v>12</v>
      </c>
      <c r="P505" s="68" t="n">
        <v>0</v>
      </c>
      <c r="Q505" s="68" t="n">
        <v>88</v>
      </c>
      <c r="R505" s="69" t="inlineStr">
        <is>
          <t>IO then Amort</t>
        </is>
      </c>
      <c r="S505" s="69" t="inlineStr">
        <is>
          <t>No</t>
        </is>
      </c>
      <c r="T505" s="73" t="n">
        <v>43586</v>
      </c>
      <c r="U505" s="73" t="n">
        <v>47244</v>
      </c>
      <c r="V505" s="73" t="n"/>
      <c r="W505" s="69" t="n"/>
      <c r="X505" s="69" t="inlineStr">
        <is>
          <t>Current</t>
        </is>
      </c>
      <c r="Y505" s="68" t="n"/>
      <c r="Z505" s="69" t="inlineStr">
        <is>
          <t>Defeasance Not Allowable</t>
        </is>
      </c>
      <c r="AA505" s="69" t="inlineStr">
        <is>
          <t>Previously</t>
        </is>
      </c>
      <c r="AB505" s="69" t="inlineStr">
        <is>
          <t>Never special serv</t>
        </is>
      </c>
      <c r="AC505" s="73" t="n"/>
      <c r="AD505" s="69" t="n"/>
      <c r="AE505" s="69" t="n"/>
      <c r="AF505" s="69" t="inlineStr">
        <is>
          <t>MI</t>
        </is>
      </c>
      <c r="AG505" s="69" t="inlineStr">
        <is>
          <t>Traverse City</t>
        </is>
      </c>
      <c r="AH505" s="69" t="inlineStr">
        <is>
          <t>Traverse City, MI</t>
        </is>
      </c>
      <c r="AI505" s="69" t="inlineStr">
        <is>
          <t>Midwest / Central East</t>
        </is>
      </c>
      <c r="AJ505" s="69" t="inlineStr">
        <is>
          <t>MX</t>
        </is>
      </c>
      <c r="AK505" s="69" t="inlineStr">
        <is>
          <t>Office/Retail</t>
        </is>
      </c>
      <c r="AL505" s="68" t="n">
        <v>1</v>
      </c>
      <c r="AM505" s="68" t="n"/>
      <c r="AN505" s="68" t="n">
        <v>16225</v>
      </c>
      <c r="AO505" s="69" t="inlineStr">
        <is>
          <t>1904</t>
        </is>
      </c>
      <c r="AP505" s="70" t="n">
        <v>2003</v>
      </c>
      <c r="AQ505" s="74" t="n">
        <v>1.44</v>
      </c>
      <c r="AR505" s="74" t="n">
        <v>2.15</v>
      </c>
      <c r="AS505" s="74" t="n">
        <v>62.5</v>
      </c>
      <c r="AT505" s="74" t="n">
        <v>55.24</v>
      </c>
      <c r="AU505" s="74" t="n">
        <v>52.5</v>
      </c>
      <c r="AV505" s="74" t="n">
        <v>9.46646381</v>
      </c>
      <c r="AW505" s="74" t="n">
        <v>15.125870585</v>
      </c>
      <c r="AX505" s="75" t="n">
        <v>100</v>
      </c>
      <c r="AY505" s="71" t="n">
        <v>3400000</v>
      </c>
      <c r="AZ505" s="71" t="n">
        <v>3400000</v>
      </c>
      <c r="BA505" s="71" t="n">
        <v>198795.74</v>
      </c>
      <c r="BB505" s="71" t="n">
        <v>284099.53</v>
      </c>
      <c r="BC505" s="69" t="inlineStr">
        <is>
          <t>Refinance</t>
        </is>
      </c>
      <c r="BD505" s="69" t="inlineStr">
        <is>
          <t>N</t>
        </is>
      </c>
      <c r="BE505" s="71" t="n"/>
      <c r="BF505" s="71" t="n"/>
      <c r="BG505" s="71" t="n"/>
      <c r="BH505" s="71" t="n">
        <v>0</v>
      </c>
      <c r="BI505" s="71" t="n">
        <v>0</v>
      </c>
      <c r="BJ505" s="69" t="inlineStr">
        <is>
          <t>N</t>
        </is>
      </c>
      <c r="BK505" s="69" t="inlineStr">
        <is>
          <t>North Peak Brewing Co</t>
        </is>
      </c>
      <c r="BL505" s="75" t="n">
        <v>41.41</v>
      </c>
      <c r="BM505" s="73" t="n">
        <v>46904</v>
      </c>
      <c r="BN505" s="69" t="inlineStr">
        <is>
          <t>Jon A. Carlson; Greg Lobdell; Chet Czaplicka</t>
        </is>
      </c>
      <c r="BO505" s="69" t="inlineStr">
        <is>
          <t>Starwood</t>
        </is>
      </c>
      <c r="BP505" s="69" t="inlineStr">
        <is>
          <t>Midland Loan Services</t>
        </is>
      </c>
      <c r="BQ505" s="69" t="inlineStr">
        <is>
          <t>K-Star Asset Management LLC</t>
        </is>
      </c>
      <c r="BR505" s="69" t="n"/>
      <c r="BS505" s="73" t="n">
        <v>46276</v>
      </c>
      <c r="BU505" s="76">
        <f>IF($C505="","",IFERROR(INDEX(dmName,MATCH($C505,dmID,0)),"Unmapped"))</f>
        <v/>
      </c>
      <c r="BV505" s="76">
        <f>IF($C505="","",IFERROR(INDEX(dmEntity,MATCH($C505,dmID,0)),"Unmapped"))</f>
        <v/>
      </c>
      <c r="BW505" s="77">
        <f>IF($C505="","",IFERROR(INDEX(dmVintage,MATCH($C505,dmID,0)),""))</f>
        <v/>
      </c>
      <c r="BX505" s="78">
        <f>IFERROR(INDEX(dmInclude,MATCH($C505,dmID,0)),0)</f>
        <v/>
      </c>
      <c r="BY505" s="78">
        <f>IF(N($I505)&gt;0,1,0)</f>
        <v/>
      </c>
      <c r="BZ505" s="76">
        <f>IF($AJ505="","Other / Leased Fee",IFERROR(INDEX(mapPTGroup,MATCH(LEFT(TRIM($AJ505),2),mapPTCode,0)),"Other / Leased Fee"))</f>
        <v/>
      </c>
      <c r="CA505" s="76">
        <f>IF(TRIM($AF505&amp;"")="","NR",LEFT(TRIM($AF505),2))</f>
        <v/>
      </c>
      <c r="CB505" s="76">
        <f>IFERROR(LOOKUP(2,1/(LEFT(TRIM($AI505&amp;""),LEN(mapRegion))=mapRegion),mapRegion),"Not Reported")</f>
        <v/>
      </c>
      <c r="CC505" s="76">
        <f>IF($BY505=0,"",IF(TRIM($W505&amp;"")="REO","REO",IF(TRIM($W505&amp;"")="FC","Foreclosure",IF(TRIM($W505&amp;"")="90+","90+ Days Delinquent",IF(TRIM($W505&amp;"")="60","60 Days Delinquent",IF(TRIM($W505&amp;"")="30","30 Days Delinquent",IF($X505="Non-Performing Matured Balloon","Non-Performing Matured Balloon",IF(OR($X505="Late Payment But Less Than 30 Days Delinquent",LEFT($X505&amp;"",20)="Payment Not Received"),"Late / In Grace (&lt;30 Days)",IF($X505="Performing Matured Balloon","Performing Matured Balloon","Current")))))))))</f>
        <v/>
      </c>
      <c r="CD505" s="78">
        <f>IF(OR($CC505="REO",$CC505="Foreclosure",$CC505="90+ Days Delinquent",$CC505="60 Days Delinquent",$CC505="30 Days Delinquent",$CC505="Non-Performing Matured Balloon"),1,0)</f>
        <v/>
      </c>
      <c r="CE505" s="76">
        <f>IF($AB505="Currently special serv","Currently Specially Serviced",IF($AB505="Returned to master serv","Previously Specially Serviced","Never Specially Serviced"))</f>
        <v/>
      </c>
      <c r="CF505" s="78">
        <f>IF($CE505="Currently Specially Serviced",1,0)</f>
        <v/>
      </c>
      <c r="CG505" s="76">
        <f>IF($AA505="Yes","Currently on Watchlist",IF($AA505="Previously","Previously on Watchlist","Never on Watchlist"))</f>
        <v/>
      </c>
      <c r="CH505" s="78">
        <f>IF($CG505="Currently on Watchlist",1,0)</f>
        <v/>
      </c>
      <c r="CI505" s="76">
        <f>IF($Z505="Full Defeasance","Fully Defeased",IF($Z505="Portion Of Loan Previously Defeased","Partially Defeased",IF($Z505="Defeasance Not Allowable","Not Defeased (Not Permitted)","Not Defeased")))</f>
        <v/>
      </c>
      <c r="CJ505" s="78">
        <f>IF($CI505="Fully Defeased",1,0)</f>
        <v/>
      </c>
      <c r="CK505" s="76">
        <f>IF($R505="IO","Full IO",IF(LEFT($R505&amp;"",7)="IO then","Partial IO","Amortizing"))</f>
        <v/>
      </c>
      <c r="CL505" s="78">
        <f>IF($CK505="Full IO",1,0)</f>
        <v/>
      </c>
      <c r="CM505" s="78">
        <f>IF($CK505="Partial IO",1,0)</f>
        <v/>
      </c>
      <c r="CN505" s="76">
        <f>IF(LEFT($F505&amp;"",10)="SPLIT_LOAN","Pari Passu Split","Standalone")</f>
        <v/>
      </c>
      <c r="CO505" s="78">
        <f>IF($CN505="Pari Passu Split",1,0)</f>
        <v/>
      </c>
      <c r="CP505" s="77">
        <f>IF(ISNUMBER($T505),YEAR($T505),"")</f>
        <v/>
      </c>
      <c r="CQ505" s="79">
        <f>IF(ISNUMBER($V505),$V505,IF(ISNUMBER($U505),$U505,""))</f>
        <v/>
      </c>
      <c r="CR505" s="77">
        <f>IF(ISNUMBER($CQ505),YEAR($CQ505),"")</f>
        <v/>
      </c>
      <c r="CS505" s="78">
        <f>IF(ISNUMBER($M505),MAX(0,$M505),IF(TRIM($M505&amp;"")="matured",0,""))</f>
        <v/>
      </c>
      <c r="CT505" s="78">
        <f>IF(AND(ISNUMBER($CS505),N($CS505)&lt;=mMatWindow),1,0)</f>
        <v/>
      </c>
      <c r="CU505" s="80">
        <f>IF(ISNUMBER($J505),$J505/100,"")</f>
        <v/>
      </c>
      <c r="CV505" s="81">
        <f>IF(ISNUMBER($AQ505),$AQ505,"")</f>
        <v/>
      </c>
      <c r="CW505" s="81">
        <f>IF(ISNUMBER($AR505),$AR505,"")</f>
        <v/>
      </c>
      <c r="CX505" s="82">
        <f>IF(ISNUMBER($AS505),$AS505/100,"")</f>
        <v/>
      </c>
      <c r="CY505" s="82">
        <f>IF(ISNUMBER($AT505),$AT505/100,"")</f>
        <v/>
      </c>
      <c r="CZ505" s="82">
        <f>IF(ISNUMBER($AU505),$AU505/100,"")</f>
        <v/>
      </c>
      <c r="DA505" s="82">
        <f>IF(ISNUMBER($AV505),$AV505/100,"")</f>
        <v/>
      </c>
      <c r="DB505" s="82">
        <f>IF(ISNUMBER($AW505),$AW505/100,"")</f>
        <v/>
      </c>
      <c r="DC505" s="82">
        <f>IF(ISNUMBER($AX505),$AX505/100,"")</f>
        <v/>
      </c>
      <c r="DD505" s="77">
        <f>IFERROR(VALUE(LEFT(TRIM($AO505&amp;""),4)),"")</f>
        <v/>
      </c>
      <c r="DE505" s="78">
        <f>IF(AND($BY505=1,$BX505=1,OR(fDeal="All Deals",$BU505=fDeal),OR(fEntity="All Entities",$BV505=fEntity),OR(fPType="All Property Types",$BZ505=fPType),OR(fDefeased="Include",$CJ505=0)),1,0)</f>
        <v/>
      </c>
      <c r="DF505" s="83">
        <f>$DE505*N($I505)</f>
        <v/>
      </c>
      <c r="DG505" s="78">
        <f>IF($DE505=1,IF(COUNTIFS($F$8:$F505,$F505,$DE$8:$DE505,1)=1,1,0),0)</f>
        <v/>
      </c>
      <c r="DH505" s="83">
        <f>IF($DG505=1,SUMIFS($DF$8:$DF$1600,$F$8:$F$1600,$F505),0)</f>
        <v/>
      </c>
      <c r="DI505" s="78">
        <f>IF($DG505=1,COUNTIFS($F$8:$F$1600,$F505,$DE$8:$DE$1600,1),0)</f>
        <v/>
      </c>
      <c r="DJ505" s="84">
        <f>IF($DG505=1,$DH505+(100000-ROW())/mTieBreak,0)</f>
        <v/>
      </c>
    </row>
    <row r="506">
      <c r="B506" s="68" t="n">
        <v>29</v>
      </c>
      <c r="C506" s="69" t="inlineStr">
        <is>
          <t>MSC19H6</t>
        </is>
      </c>
      <c r="D506" s="69" t="inlineStr">
        <is>
          <t>29.000</t>
        </is>
      </c>
      <c r="E506" s="69" t="inlineStr">
        <is>
          <t>Midland Center</t>
        </is>
      </c>
      <c r="F506" s="69" t="inlineStr">
        <is>
          <t>LNMSC19H6-29.000</t>
        </is>
      </c>
      <c r="G506" s="70" t="n"/>
      <c r="H506" s="71" t="n">
        <v>7250000</v>
      </c>
      <c r="I506" s="71" t="n">
        <v>6375485.8299995</v>
      </c>
      <c r="J506" s="72" t="n">
        <v>5.02</v>
      </c>
      <c r="K506" s="69" t="inlineStr">
        <is>
          <t>Fixed rate</t>
        </is>
      </c>
      <c r="L506" s="68" t="n">
        <v>120</v>
      </c>
      <c r="M506" s="68" t="n">
        <v>32</v>
      </c>
      <c r="N506" s="68" t="n">
        <v>360</v>
      </c>
      <c r="O506" s="68" t="n"/>
      <c r="P506" s="68" t="n"/>
      <c r="Q506" s="68" t="n">
        <v>88</v>
      </c>
      <c r="R506" s="69" t="n"/>
      <c r="S506" s="69" t="inlineStr">
        <is>
          <t>No</t>
        </is>
      </c>
      <c r="T506" s="73" t="n">
        <v>43586</v>
      </c>
      <c r="U506" s="73" t="n">
        <v>47239</v>
      </c>
      <c r="V506" s="73" t="n"/>
      <c r="W506" s="69" t="n"/>
      <c r="X506" s="69" t="inlineStr">
        <is>
          <t>Current</t>
        </is>
      </c>
      <c r="Y506" s="68" t="n"/>
      <c r="Z506" s="69" t="inlineStr">
        <is>
          <t>Full Defeasance</t>
        </is>
      </c>
      <c r="AA506" s="69" t="inlineStr">
        <is>
          <t>Previously</t>
        </is>
      </c>
      <c r="AB506" s="69" t="inlineStr">
        <is>
          <t>Never special serv</t>
        </is>
      </c>
      <c r="AC506" s="73" t="n"/>
      <c r="AD506" s="69" t="n"/>
      <c r="AE506" s="69" t="n"/>
      <c r="AF506" s="69" t="inlineStr">
        <is>
          <t>OK</t>
        </is>
      </c>
      <c r="AG506" s="69" t="inlineStr">
        <is>
          <t>Oklahoma City</t>
        </is>
      </c>
      <c r="AH506" s="69" t="inlineStr">
        <is>
          <t>Oklahoma City, OK</t>
        </is>
      </c>
      <c r="AI506" s="69" t="inlineStr">
        <is>
          <t>South / Central West</t>
        </is>
      </c>
      <c r="AJ506" s="69" t="inlineStr">
        <is>
          <t>RT</t>
        </is>
      </c>
      <c r="AK506" s="69" t="inlineStr">
        <is>
          <t>Unanchored</t>
        </is>
      </c>
      <c r="AL506" s="68" t="n">
        <v>1</v>
      </c>
      <c r="AM506" s="68" t="n"/>
      <c r="AN506" s="68" t="n">
        <v>54573</v>
      </c>
      <c r="AO506" s="69" t="inlineStr">
        <is>
          <t>1961-2005</t>
        </is>
      </c>
      <c r="AP506" s="70" t="n">
        <v>2008</v>
      </c>
      <c r="AQ506" s="74" t="n">
        <v>1.47</v>
      </c>
      <c r="AR506" s="74" t="n">
        <v>1.51</v>
      </c>
      <c r="AS506" s="74" t="n">
        <v>74.7</v>
      </c>
      <c r="AT506" s="74" t="n">
        <v>65.73</v>
      </c>
      <c r="AU506" s="74" t="n">
        <v>61.6</v>
      </c>
      <c r="AV506" s="74" t="n">
        <v>9.521787172</v>
      </c>
      <c r="AW506" s="74" t="n">
        <v>9.547115565</v>
      </c>
      <c r="AX506" s="75" t="n">
        <v>94</v>
      </c>
      <c r="AY506" s="71" t="n">
        <v>9700000</v>
      </c>
      <c r="AZ506" s="71" t="n">
        <v>9700000</v>
      </c>
      <c r="BA506" s="71" t="n">
        <v>690329.5699999999</v>
      </c>
      <c r="BB506" s="71" t="n">
        <v>707635.61</v>
      </c>
      <c r="BC506" s="69" t="inlineStr">
        <is>
          <t>Recapitalization</t>
        </is>
      </c>
      <c r="BD506" s="69" t="inlineStr">
        <is>
          <t>N</t>
        </is>
      </c>
      <c r="BE506" s="71" t="n"/>
      <c r="BF506" s="71" t="n"/>
      <c r="BG506" s="71" t="n"/>
      <c r="BH506" s="71" t="n">
        <v>0</v>
      </c>
      <c r="BI506" s="71" t="n">
        <v>0</v>
      </c>
      <c r="BJ506" s="69" t="inlineStr">
        <is>
          <t>N</t>
        </is>
      </c>
      <c r="BK506" s="69" t="inlineStr">
        <is>
          <t>Conn's Appliance</t>
        </is>
      </c>
      <c r="BL506" s="75" t="n">
        <v>57.51</v>
      </c>
      <c r="BM506" s="73" t="n">
        <v>46934</v>
      </c>
      <c r="BN506" s="69" t="inlineStr">
        <is>
          <t>Tolis Advisors, LP</t>
        </is>
      </c>
      <c r="BO506" s="69" t="inlineStr">
        <is>
          <t>Cantor Commercial Real Estate Lending</t>
        </is>
      </c>
      <c r="BP506" s="69" t="inlineStr">
        <is>
          <t>Midland Loan Services</t>
        </is>
      </c>
      <c r="BQ506" s="69" t="inlineStr">
        <is>
          <t>K-Star Asset Management LLC</t>
        </is>
      </c>
      <c r="BR506" s="69" t="n"/>
      <c r="BS506" s="73" t="n">
        <v>46276</v>
      </c>
      <c r="BU506" s="76">
        <f>IF($C506="","",IFERROR(INDEX(dmName,MATCH($C506,dmID,0)),"Unmapped"))</f>
        <v/>
      </c>
      <c r="BV506" s="76">
        <f>IF($C506="","",IFERROR(INDEX(dmEntity,MATCH($C506,dmID,0)),"Unmapped"))</f>
        <v/>
      </c>
      <c r="BW506" s="77">
        <f>IF($C506="","",IFERROR(INDEX(dmVintage,MATCH($C506,dmID,0)),""))</f>
        <v/>
      </c>
      <c r="BX506" s="78">
        <f>IFERROR(INDEX(dmInclude,MATCH($C506,dmID,0)),0)</f>
        <v/>
      </c>
      <c r="BY506" s="78">
        <f>IF(N($I506)&gt;0,1,0)</f>
        <v/>
      </c>
      <c r="BZ506" s="76">
        <f>IF($AJ506="","Other / Leased Fee",IFERROR(INDEX(mapPTGroup,MATCH(LEFT(TRIM($AJ506),2),mapPTCode,0)),"Other / Leased Fee"))</f>
        <v/>
      </c>
      <c r="CA506" s="76">
        <f>IF(TRIM($AF506&amp;"")="","NR",LEFT(TRIM($AF506),2))</f>
        <v/>
      </c>
      <c r="CB506" s="76">
        <f>IFERROR(LOOKUP(2,1/(LEFT(TRIM($AI506&amp;""),LEN(mapRegion))=mapRegion),mapRegion),"Not Reported")</f>
        <v/>
      </c>
      <c r="CC506" s="76">
        <f>IF($BY506=0,"",IF(TRIM($W506&amp;"")="REO","REO",IF(TRIM($W506&amp;"")="FC","Foreclosure",IF(TRIM($W506&amp;"")="90+","90+ Days Delinquent",IF(TRIM($W506&amp;"")="60","60 Days Delinquent",IF(TRIM($W506&amp;"")="30","30 Days Delinquent",IF($X506="Non-Performing Matured Balloon","Non-Performing Matured Balloon",IF(OR($X506="Late Payment But Less Than 30 Days Delinquent",LEFT($X506&amp;"",20)="Payment Not Received"),"Late / In Grace (&lt;30 Days)",IF($X506="Performing Matured Balloon","Performing Matured Balloon","Current")))))))))</f>
        <v/>
      </c>
      <c r="CD506" s="78">
        <f>IF(OR($CC506="REO",$CC506="Foreclosure",$CC506="90+ Days Delinquent",$CC506="60 Days Delinquent",$CC506="30 Days Delinquent",$CC506="Non-Performing Matured Balloon"),1,0)</f>
        <v/>
      </c>
      <c r="CE506" s="76">
        <f>IF($AB506="Currently special serv","Currently Specially Serviced",IF($AB506="Returned to master serv","Previously Specially Serviced","Never Specially Serviced"))</f>
        <v/>
      </c>
      <c r="CF506" s="78">
        <f>IF($CE506="Currently Specially Serviced",1,0)</f>
        <v/>
      </c>
      <c r="CG506" s="76">
        <f>IF($AA506="Yes","Currently on Watchlist",IF($AA506="Previously","Previously on Watchlist","Never on Watchlist"))</f>
        <v/>
      </c>
      <c r="CH506" s="78">
        <f>IF($CG506="Currently on Watchlist",1,0)</f>
        <v/>
      </c>
      <c r="CI506" s="76">
        <f>IF($Z506="Full Defeasance","Fully Defeased",IF($Z506="Portion Of Loan Previously Defeased","Partially Defeased",IF($Z506="Defeasance Not Allowable","Not Defeased (Not Permitted)","Not Defeased")))</f>
        <v/>
      </c>
      <c r="CJ506" s="78">
        <f>IF($CI506="Fully Defeased",1,0)</f>
        <v/>
      </c>
      <c r="CK506" s="76">
        <f>IF($R506="IO","Full IO",IF(LEFT($R506&amp;"",7)="IO then","Partial IO","Amortizing"))</f>
        <v/>
      </c>
      <c r="CL506" s="78">
        <f>IF($CK506="Full IO",1,0)</f>
        <v/>
      </c>
      <c r="CM506" s="78">
        <f>IF($CK506="Partial IO",1,0)</f>
        <v/>
      </c>
      <c r="CN506" s="76">
        <f>IF(LEFT($F506&amp;"",10)="SPLIT_LOAN","Pari Passu Split","Standalone")</f>
        <v/>
      </c>
      <c r="CO506" s="78">
        <f>IF($CN506="Pari Passu Split",1,0)</f>
        <v/>
      </c>
      <c r="CP506" s="77">
        <f>IF(ISNUMBER($T506),YEAR($T506),"")</f>
        <v/>
      </c>
      <c r="CQ506" s="79">
        <f>IF(ISNUMBER($V506),$V506,IF(ISNUMBER($U506),$U506,""))</f>
        <v/>
      </c>
      <c r="CR506" s="77">
        <f>IF(ISNUMBER($CQ506),YEAR($CQ506),"")</f>
        <v/>
      </c>
      <c r="CS506" s="78">
        <f>IF(ISNUMBER($M506),MAX(0,$M506),IF(TRIM($M506&amp;"")="matured",0,""))</f>
        <v/>
      </c>
      <c r="CT506" s="78">
        <f>IF(AND(ISNUMBER($CS506),N($CS506)&lt;=mMatWindow),1,0)</f>
        <v/>
      </c>
      <c r="CU506" s="80">
        <f>IF(ISNUMBER($J506),$J506/100,"")</f>
        <v/>
      </c>
      <c r="CV506" s="81">
        <f>IF(ISNUMBER($AQ506),$AQ506,"")</f>
        <v/>
      </c>
      <c r="CW506" s="81">
        <f>IF(ISNUMBER($AR506),$AR506,"")</f>
        <v/>
      </c>
      <c r="CX506" s="82">
        <f>IF(ISNUMBER($AS506),$AS506/100,"")</f>
        <v/>
      </c>
      <c r="CY506" s="82">
        <f>IF(ISNUMBER($AT506),$AT506/100,"")</f>
        <v/>
      </c>
      <c r="CZ506" s="82">
        <f>IF(ISNUMBER($AU506),$AU506/100,"")</f>
        <v/>
      </c>
      <c r="DA506" s="82">
        <f>IF(ISNUMBER($AV506),$AV506/100,"")</f>
        <v/>
      </c>
      <c r="DB506" s="82">
        <f>IF(ISNUMBER($AW506),$AW506/100,"")</f>
        <v/>
      </c>
      <c r="DC506" s="82">
        <f>IF(ISNUMBER($AX506),$AX506/100,"")</f>
        <v/>
      </c>
      <c r="DD506" s="77">
        <f>IFERROR(VALUE(LEFT(TRIM($AO506&amp;""),4)),"")</f>
        <v/>
      </c>
      <c r="DE506" s="78">
        <f>IF(AND($BY506=1,$BX506=1,OR(fDeal="All Deals",$BU506=fDeal),OR(fEntity="All Entities",$BV506=fEntity),OR(fPType="All Property Types",$BZ506=fPType),OR(fDefeased="Include",$CJ506=0)),1,0)</f>
        <v/>
      </c>
      <c r="DF506" s="83">
        <f>$DE506*N($I506)</f>
        <v/>
      </c>
      <c r="DG506" s="78">
        <f>IF($DE506=1,IF(COUNTIFS($F$8:$F506,$F506,$DE$8:$DE506,1)=1,1,0),0)</f>
        <v/>
      </c>
      <c r="DH506" s="83">
        <f>IF($DG506=1,SUMIFS($DF$8:$DF$1600,$F$8:$F$1600,$F506),0)</f>
        <v/>
      </c>
      <c r="DI506" s="78">
        <f>IF($DG506=1,COUNTIFS($F$8:$F$1600,$F506,$DE$8:$DE$1600,1),0)</f>
        <v/>
      </c>
      <c r="DJ506" s="84">
        <f>IF($DG506=1,$DH506+(100000-ROW())/mTieBreak,0)</f>
        <v/>
      </c>
    </row>
    <row r="507">
      <c r="B507" s="68" t="n">
        <v>30</v>
      </c>
      <c r="C507" s="69" t="inlineStr">
        <is>
          <t>MSC19H6</t>
        </is>
      </c>
      <c r="D507" s="69" t="inlineStr">
        <is>
          <t>30.000</t>
        </is>
      </c>
      <c r="E507" s="69" t="inlineStr">
        <is>
          <t>Pangea 23</t>
        </is>
      </c>
      <c r="F507" s="69" t="inlineStr">
        <is>
          <t>LNMSC19H6-30.000</t>
        </is>
      </c>
      <c r="G507" s="70" t="n"/>
      <c r="H507" s="71" t="n">
        <v>6900000</v>
      </c>
      <c r="I507" s="71" t="n">
        <v>6900000</v>
      </c>
      <c r="J507" s="72" t="n">
        <v>4.4</v>
      </c>
      <c r="K507" s="69" t="inlineStr">
        <is>
          <t>Fixed rate</t>
        </is>
      </c>
      <c r="L507" s="68" t="n">
        <v>120</v>
      </c>
      <c r="M507" s="68" t="n">
        <v>31</v>
      </c>
      <c r="N507" s="68" t="n">
        <v>120</v>
      </c>
      <c r="O507" s="68" t="n">
        <v>120</v>
      </c>
      <c r="P507" s="68" t="n">
        <v>31</v>
      </c>
      <c r="Q507" s="68" t="n">
        <v>89</v>
      </c>
      <c r="R507" s="69" t="inlineStr">
        <is>
          <t>IO</t>
        </is>
      </c>
      <c r="S507" s="69" t="inlineStr">
        <is>
          <t>Yes</t>
        </is>
      </c>
      <c r="T507" s="73" t="n">
        <v>43556</v>
      </c>
      <c r="U507" s="73" t="n">
        <v>47214</v>
      </c>
      <c r="V507" s="73" t="n"/>
      <c r="W507" s="69" t="n"/>
      <c r="X507" s="69" t="inlineStr">
        <is>
          <t>Current</t>
        </is>
      </c>
      <c r="Y507" s="68" t="n"/>
      <c r="Z507" s="69" t="inlineStr">
        <is>
          <t>Full Defeasance</t>
        </is>
      </c>
      <c r="AA507" s="69" t="inlineStr">
        <is>
          <t>Previously</t>
        </is>
      </c>
      <c r="AB507" s="69" t="inlineStr">
        <is>
          <t>Never special serv</t>
        </is>
      </c>
      <c r="AC507" s="73" t="n"/>
      <c r="AD507" s="69" t="n"/>
      <c r="AE507" s="69" t="n"/>
      <c r="AF507" s="69" t="inlineStr">
        <is>
          <t>IL</t>
        </is>
      </c>
      <c r="AG507" s="69" t="n"/>
      <c r="AH507" s="69" t="inlineStr">
        <is>
          <t>Chicago-Naperville-Elgin, IL-IN</t>
        </is>
      </c>
      <c r="AI507" s="69" t="inlineStr">
        <is>
          <t>Midwest / Central East</t>
        </is>
      </c>
      <c r="AJ507" s="69" t="inlineStr">
        <is>
          <t>MF</t>
        </is>
      </c>
      <c r="AK507" s="69" t="n"/>
      <c r="AL507" s="68" t="n">
        <v>10</v>
      </c>
      <c r="AM507" s="68" t="n">
        <v>143</v>
      </c>
      <c r="AN507" s="68" t="n"/>
      <c r="AO507" s="69" t="n"/>
      <c r="AP507" s="70" t="n">
        <v>2018</v>
      </c>
      <c r="AQ507" s="74" t="n">
        <v>2.67</v>
      </c>
      <c r="AR507" s="74" t="n">
        <v>2.46</v>
      </c>
      <c r="AS507" s="74" t="n">
        <v>56.5</v>
      </c>
      <c r="AT507" s="74" t="n">
        <v>56.51</v>
      </c>
      <c r="AU507" s="74" t="n">
        <v>56.5</v>
      </c>
      <c r="AV507" s="74" t="n">
        <v>11.911937391</v>
      </c>
      <c r="AW507" s="74" t="n">
        <v>10.709651449</v>
      </c>
      <c r="AX507" s="75" t="n">
        <v>97.2</v>
      </c>
      <c r="AY507" s="71" t="n">
        <v>12210000</v>
      </c>
      <c r="AZ507" s="71" t="n">
        <v>12210000</v>
      </c>
      <c r="BA507" s="71" t="n">
        <v>821923.6800000001</v>
      </c>
      <c r="BB507" s="71" t="n">
        <v>755739.62</v>
      </c>
      <c r="BC507" s="69" t="inlineStr">
        <is>
          <t>Recapitalization</t>
        </is>
      </c>
      <c r="BD507" s="69" t="inlineStr">
        <is>
          <t>N</t>
        </is>
      </c>
      <c r="BE507" s="71" t="n"/>
      <c r="BF507" s="71" t="n"/>
      <c r="BG507" s="71" t="n"/>
      <c r="BH507" s="71" t="n">
        <v>0</v>
      </c>
      <c r="BI507" s="71" t="n">
        <v>0</v>
      </c>
      <c r="BJ507" s="69" t="inlineStr">
        <is>
          <t>N</t>
        </is>
      </c>
      <c r="BK507" s="69" t="n"/>
      <c r="BL507" s="75" t="n"/>
      <c r="BM507" s="73" t="n"/>
      <c r="BN507" s="69" t="inlineStr">
        <is>
          <t>Pangea Properties</t>
        </is>
      </c>
      <c r="BO507" s="69" t="inlineStr">
        <is>
          <t>Starwood</t>
        </is>
      </c>
      <c r="BP507" s="69" t="inlineStr">
        <is>
          <t>Midland Loan Services</t>
        </is>
      </c>
      <c r="BQ507" s="69" t="inlineStr">
        <is>
          <t>K-Star Asset Management LLC</t>
        </is>
      </c>
      <c r="BR507" s="69" t="n"/>
      <c r="BS507" s="73" t="n">
        <v>46276</v>
      </c>
      <c r="BU507" s="76">
        <f>IF($C507="","",IFERROR(INDEX(dmName,MATCH($C507,dmID,0)),"Unmapped"))</f>
        <v/>
      </c>
      <c r="BV507" s="76">
        <f>IF($C507="","",IFERROR(INDEX(dmEntity,MATCH($C507,dmID,0)),"Unmapped"))</f>
        <v/>
      </c>
      <c r="BW507" s="77">
        <f>IF($C507="","",IFERROR(INDEX(dmVintage,MATCH($C507,dmID,0)),""))</f>
        <v/>
      </c>
      <c r="BX507" s="78">
        <f>IFERROR(INDEX(dmInclude,MATCH($C507,dmID,0)),0)</f>
        <v/>
      </c>
      <c r="BY507" s="78">
        <f>IF(N($I507)&gt;0,1,0)</f>
        <v/>
      </c>
      <c r="BZ507" s="76">
        <f>IF($AJ507="","Other / Leased Fee",IFERROR(INDEX(mapPTGroup,MATCH(LEFT(TRIM($AJ507),2),mapPTCode,0)),"Other / Leased Fee"))</f>
        <v/>
      </c>
      <c r="CA507" s="76">
        <f>IF(TRIM($AF507&amp;"")="","NR",LEFT(TRIM($AF507),2))</f>
        <v/>
      </c>
      <c r="CB507" s="76">
        <f>IFERROR(LOOKUP(2,1/(LEFT(TRIM($AI507&amp;""),LEN(mapRegion))=mapRegion),mapRegion),"Not Reported")</f>
        <v/>
      </c>
      <c r="CC507" s="76">
        <f>IF($BY507=0,"",IF(TRIM($W507&amp;"")="REO","REO",IF(TRIM($W507&amp;"")="FC","Foreclosure",IF(TRIM($W507&amp;"")="90+","90+ Days Delinquent",IF(TRIM($W507&amp;"")="60","60 Days Delinquent",IF(TRIM($W507&amp;"")="30","30 Days Delinquent",IF($X507="Non-Performing Matured Balloon","Non-Performing Matured Balloon",IF(OR($X507="Late Payment But Less Than 30 Days Delinquent",LEFT($X507&amp;"",20)="Payment Not Received"),"Late / In Grace (&lt;30 Days)",IF($X507="Performing Matured Balloon","Performing Matured Balloon","Current")))))))))</f>
        <v/>
      </c>
      <c r="CD507" s="78">
        <f>IF(OR($CC507="REO",$CC507="Foreclosure",$CC507="90+ Days Delinquent",$CC507="60 Days Delinquent",$CC507="30 Days Delinquent",$CC507="Non-Performing Matured Balloon"),1,0)</f>
        <v/>
      </c>
      <c r="CE507" s="76">
        <f>IF($AB507="Currently special serv","Currently Specially Serviced",IF($AB507="Returned to master serv","Previously Specially Serviced","Never Specially Serviced"))</f>
        <v/>
      </c>
      <c r="CF507" s="78">
        <f>IF($CE507="Currently Specially Serviced",1,0)</f>
        <v/>
      </c>
      <c r="CG507" s="76">
        <f>IF($AA507="Yes","Currently on Watchlist",IF($AA507="Previously","Previously on Watchlist","Never on Watchlist"))</f>
        <v/>
      </c>
      <c r="CH507" s="78">
        <f>IF($CG507="Currently on Watchlist",1,0)</f>
        <v/>
      </c>
      <c r="CI507" s="76">
        <f>IF($Z507="Full Defeasance","Fully Defeased",IF($Z507="Portion Of Loan Previously Defeased","Partially Defeased",IF($Z507="Defeasance Not Allowable","Not Defeased (Not Permitted)","Not Defeased")))</f>
        <v/>
      </c>
      <c r="CJ507" s="78">
        <f>IF($CI507="Fully Defeased",1,0)</f>
        <v/>
      </c>
      <c r="CK507" s="76">
        <f>IF($R507="IO","Full IO",IF(LEFT($R507&amp;"",7)="IO then","Partial IO","Amortizing"))</f>
        <v/>
      </c>
      <c r="CL507" s="78">
        <f>IF($CK507="Full IO",1,0)</f>
        <v/>
      </c>
      <c r="CM507" s="78">
        <f>IF($CK507="Partial IO",1,0)</f>
        <v/>
      </c>
      <c r="CN507" s="76">
        <f>IF(LEFT($F507&amp;"",10)="SPLIT_LOAN","Pari Passu Split","Standalone")</f>
        <v/>
      </c>
      <c r="CO507" s="78">
        <f>IF($CN507="Pari Passu Split",1,0)</f>
        <v/>
      </c>
      <c r="CP507" s="77">
        <f>IF(ISNUMBER($T507),YEAR($T507),"")</f>
        <v/>
      </c>
      <c r="CQ507" s="79">
        <f>IF(ISNUMBER($V507),$V507,IF(ISNUMBER($U507),$U507,""))</f>
        <v/>
      </c>
      <c r="CR507" s="77">
        <f>IF(ISNUMBER($CQ507),YEAR($CQ507),"")</f>
        <v/>
      </c>
      <c r="CS507" s="78">
        <f>IF(ISNUMBER($M507),MAX(0,$M507),IF(TRIM($M507&amp;"")="matured",0,""))</f>
        <v/>
      </c>
      <c r="CT507" s="78">
        <f>IF(AND(ISNUMBER($CS507),N($CS507)&lt;=mMatWindow),1,0)</f>
        <v/>
      </c>
      <c r="CU507" s="80">
        <f>IF(ISNUMBER($J507),$J507/100,"")</f>
        <v/>
      </c>
      <c r="CV507" s="81">
        <f>IF(ISNUMBER($AQ507),$AQ507,"")</f>
        <v/>
      </c>
      <c r="CW507" s="81">
        <f>IF(ISNUMBER($AR507),$AR507,"")</f>
        <v/>
      </c>
      <c r="CX507" s="82">
        <f>IF(ISNUMBER($AS507),$AS507/100,"")</f>
        <v/>
      </c>
      <c r="CY507" s="82">
        <f>IF(ISNUMBER($AT507),$AT507/100,"")</f>
        <v/>
      </c>
      <c r="CZ507" s="82">
        <f>IF(ISNUMBER($AU507),$AU507/100,"")</f>
        <v/>
      </c>
      <c r="DA507" s="82">
        <f>IF(ISNUMBER($AV507),$AV507/100,"")</f>
        <v/>
      </c>
      <c r="DB507" s="82">
        <f>IF(ISNUMBER($AW507),$AW507/100,"")</f>
        <v/>
      </c>
      <c r="DC507" s="82">
        <f>IF(ISNUMBER($AX507),$AX507/100,"")</f>
        <v/>
      </c>
      <c r="DD507" s="77">
        <f>IFERROR(VALUE(LEFT(TRIM($AO507&amp;""),4)),"")</f>
        <v/>
      </c>
      <c r="DE507" s="78">
        <f>IF(AND($BY507=1,$BX507=1,OR(fDeal="All Deals",$BU507=fDeal),OR(fEntity="All Entities",$BV507=fEntity),OR(fPType="All Property Types",$BZ507=fPType),OR(fDefeased="Include",$CJ507=0)),1,0)</f>
        <v/>
      </c>
      <c r="DF507" s="83">
        <f>$DE507*N($I507)</f>
        <v/>
      </c>
      <c r="DG507" s="78">
        <f>IF($DE507=1,IF(COUNTIFS($F$8:$F507,$F507,$DE$8:$DE507,1)=1,1,0),0)</f>
        <v/>
      </c>
      <c r="DH507" s="83">
        <f>IF($DG507=1,SUMIFS($DF$8:$DF$1600,$F$8:$F$1600,$F507),0)</f>
        <v/>
      </c>
      <c r="DI507" s="78">
        <f>IF($DG507=1,COUNTIFS($F$8:$F$1600,$F507,$DE$8:$DE$1600,1),0)</f>
        <v/>
      </c>
      <c r="DJ507" s="84">
        <f>IF($DG507=1,$DH507+(100000-ROW())/mTieBreak,0)</f>
        <v/>
      </c>
    </row>
    <row r="508">
      <c r="B508" s="68" t="n">
        <v>31</v>
      </c>
      <c r="C508" s="69" t="inlineStr">
        <is>
          <t>MSC19H6</t>
        </is>
      </c>
      <c r="D508" s="69" t="inlineStr">
        <is>
          <t>31.000</t>
        </is>
      </c>
      <c r="E508" s="69" t="inlineStr">
        <is>
          <t>856 Greene Avenue</t>
        </is>
      </c>
      <c r="F508" s="69" t="inlineStr">
        <is>
          <t>LNMSC19H6-31.000</t>
        </is>
      </c>
      <c r="G508" s="70" t="n"/>
      <c r="H508" s="71" t="n">
        <v>6200000</v>
      </c>
      <c r="I508" s="71" t="n">
        <v>6200000</v>
      </c>
      <c r="J508" s="72" t="n">
        <v>5.15</v>
      </c>
      <c r="K508" s="69" t="inlineStr">
        <is>
          <t>Fixed rate</t>
        </is>
      </c>
      <c r="L508" s="68" t="n">
        <v>120</v>
      </c>
      <c r="M508" s="68" t="n">
        <v>31</v>
      </c>
      <c r="N508" s="68" t="n">
        <v>120</v>
      </c>
      <c r="O508" s="68" t="n">
        <v>120</v>
      </c>
      <c r="P508" s="68" t="n">
        <v>31</v>
      </c>
      <c r="Q508" s="68" t="n">
        <v>89</v>
      </c>
      <c r="R508" s="69" t="inlineStr">
        <is>
          <t>IO</t>
        </is>
      </c>
      <c r="S508" s="69" t="inlineStr">
        <is>
          <t>Yes</t>
        </is>
      </c>
      <c r="T508" s="73" t="n">
        <v>43556</v>
      </c>
      <c r="U508" s="73" t="n">
        <v>47214</v>
      </c>
      <c r="V508" s="73" t="n"/>
      <c r="W508" s="69" t="inlineStr">
        <is>
          <t>REO</t>
        </is>
      </c>
      <c r="X508" s="69" t="inlineStr">
        <is>
          <t>121+ Days Delinquent</t>
        </is>
      </c>
      <c r="Y508" s="68" t="n">
        <v>65</v>
      </c>
      <c r="Z508" s="69" t="inlineStr">
        <is>
          <t>No Defeasance Occurred</t>
        </is>
      </c>
      <c r="AA508" s="69" t="inlineStr">
        <is>
          <t>Previously</t>
        </is>
      </c>
      <c r="AB508" s="69" t="inlineStr">
        <is>
          <t>Currently special serv</t>
        </is>
      </c>
      <c r="AC508" s="73" t="n">
        <v>44237</v>
      </c>
      <c r="AD508" s="69" t="inlineStr">
        <is>
          <t>Payment Default (all payments excluding Balloon/Maturity Payment)</t>
        </is>
      </c>
      <c r="AE508" s="69" t="inlineStr">
        <is>
          <t>REO</t>
        </is>
      </c>
      <c r="AF508" s="69" t="inlineStr">
        <is>
          <t>NY</t>
        </is>
      </c>
      <c r="AG508" s="69" t="inlineStr">
        <is>
          <t>Brooklyn</t>
        </is>
      </c>
      <c r="AH508" s="69" t="inlineStr">
        <is>
          <t>New York-Newark-Jersey City, NY-NJ</t>
        </is>
      </c>
      <c r="AI508" s="69" t="inlineStr">
        <is>
          <t>Northeast / Mid-Atlantic</t>
        </is>
      </c>
      <c r="AJ508" s="69" t="inlineStr">
        <is>
          <t>MF</t>
        </is>
      </c>
      <c r="AK508" s="69" t="inlineStr">
        <is>
          <t>Mid Rise</t>
        </is>
      </c>
      <c r="AL508" s="68" t="n">
        <v>1</v>
      </c>
      <c r="AM508" s="68" t="n">
        <v>10</v>
      </c>
      <c r="AN508" s="68" t="n"/>
      <c r="AO508" s="69" t="inlineStr">
        <is>
          <t>1931</t>
        </is>
      </c>
      <c r="AP508" s="70" t="n">
        <v>2018</v>
      </c>
      <c r="AQ508" s="74" t="n">
        <v>1.25</v>
      </c>
      <c r="AR508" s="74" t="n">
        <v>0.39</v>
      </c>
      <c r="AS508" s="74" t="n">
        <v>70.5</v>
      </c>
      <c r="AT508" s="74" t="n">
        <v>93.94</v>
      </c>
      <c r="AU508" s="74" t="n">
        <v>70.5</v>
      </c>
      <c r="AV508" s="74" t="n">
        <v>6.51066129</v>
      </c>
      <c r="AW508" s="74" t="n">
        <v>2.014033065</v>
      </c>
      <c r="AX508" s="75" t="n">
        <v>82</v>
      </c>
      <c r="AY508" s="71" t="n">
        <v>8800000</v>
      </c>
      <c r="AZ508" s="71" t="n">
        <v>6600000</v>
      </c>
      <c r="BA508" s="71" t="n">
        <v>403661</v>
      </c>
      <c r="BB508" s="71" t="n">
        <v>124870.05</v>
      </c>
      <c r="BC508" s="69" t="inlineStr">
        <is>
          <t>Refinance</t>
        </is>
      </c>
      <c r="BD508" s="69" t="inlineStr">
        <is>
          <t>N</t>
        </is>
      </c>
      <c r="BE508" s="71" t="n"/>
      <c r="BF508" s="71" t="n"/>
      <c r="BG508" s="71" t="n"/>
      <c r="BH508" s="71" t="n">
        <v>2563132.14</v>
      </c>
      <c r="BI508" s="71" t="n">
        <v>1247575.18</v>
      </c>
      <c r="BJ508" s="69" t="inlineStr">
        <is>
          <t>N</t>
        </is>
      </c>
      <c r="BK508" s="69" t="n"/>
      <c r="BL508" s="75" t="n"/>
      <c r="BM508" s="73" t="n"/>
      <c r="BN508" s="69" t="inlineStr">
        <is>
          <t>Rachael Wagschal</t>
        </is>
      </c>
      <c r="BO508" s="69" t="inlineStr">
        <is>
          <t>Cantor Commercial Real Estate Lending</t>
        </is>
      </c>
      <c r="BP508" s="69" t="inlineStr">
        <is>
          <t>Midland Loan Services</t>
        </is>
      </c>
      <c r="BQ508" s="69" t="inlineStr">
        <is>
          <t>K-Star Asset Management LLC</t>
        </is>
      </c>
      <c r="BR508" s="69" t="n"/>
      <c r="BS508" s="73" t="n">
        <v>46276</v>
      </c>
      <c r="BU508" s="76">
        <f>IF($C508="","",IFERROR(INDEX(dmName,MATCH($C508,dmID,0)),"Unmapped"))</f>
        <v/>
      </c>
      <c r="BV508" s="76">
        <f>IF($C508="","",IFERROR(INDEX(dmEntity,MATCH($C508,dmID,0)),"Unmapped"))</f>
        <v/>
      </c>
      <c r="BW508" s="77">
        <f>IF($C508="","",IFERROR(INDEX(dmVintage,MATCH($C508,dmID,0)),""))</f>
        <v/>
      </c>
      <c r="BX508" s="78">
        <f>IFERROR(INDEX(dmInclude,MATCH($C508,dmID,0)),0)</f>
        <v/>
      </c>
      <c r="BY508" s="78">
        <f>IF(N($I508)&gt;0,1,0)</f>
        <v/>
      </c>
      <c r="BZ508" s="76">
        <f>IF($AJ508="","Other / Leased Fee",IFERROR(INDEX(mapPTGroup,MATCH(LEFT(TRIM($AJ508),2),mapPTCode,0)),"Other / Leased Fee"))</f>
        <v/>
      </c>
      <c r="CA508" s="76">
        <f>IF(TRIM($AF508&amp;"")="","NR",LEFT(TRIM($AF508),2))</f>
        <v/>
      </c>
      <c r="CB508" s="76">
        <f>IFERROR(LOOKUP(2,1/(LEFT(TRIM($AI508&amp;""),LEN(mapRegion))=mapRegion),mapRegion),"Not Reported")</f>
        <v/>
      </c>
      <c r="CC508" s="76">
        <f>IF($BY508=0,"",IF(TRIM($W508&amp;"")="REO","REO",IF(TRIM($W508&amp;"")="FC","Foreclosure",IF(TRIM($W508&amp;"")="90+","90+ Days Delinquent",IF(TRIM($W508&amp;"")="60","60 Days Delinquent",IF(TRIM($W508&amp;"")="30","30 Days Delinquent",IF($X508="Non-Performing Matured Balloon","Non-Performing Matured Balloon",IF(OR($X508="Late Payment But Less Than 30 Days Delinquent",LEFT($X508&amp;"",20)="Payment Not Received"),"Late / In Grace (&lt;30 Days)",IF($X508="Performing Matured Balloon","Performing Matured Balloon","Current")))))))))</f>
        <v/>
      </c>
      <c r="CD508" s="78">
        <f>IF(OR($CC508="REO",$CC508="Foreclosure",$CC508="90+ Days Delinquent",$CC508="60 Days Delinquent",$CC508="30 Days Delinquent",$CC508="Non-Performing Matured Balloon"),1,0)</f>
        <v/>
      </c>
      <c r="CE508" s="76">
        <f>IF($AB508="Currently special serv","Currently Specially Serviced",IF($AB508="Returned to master serv","Previously Specially Serviced","Never Specially Serviced"))</f>
        <v/>
      </c>
      <c r="CF508" s="78">
        <f>IF($CE508="Currently Specially Serviced",1,0)</f>
        <v/>
      </c>
      <c r="CG508" s="76">
        <f>IF($AA508="Yes","Currently on Watchlist",IF($AA508="Previously","Previously on Watchlist","Never on Watchlist"))</f>
        <v/>
      </c>
      <c r="CH508" s="78">
        <f>IF($CG508="Currently on Watchlist",1,0)</f>
        <v/>
      </c>
      <c r="CI508" s="76">
        <f>IF($Z508="Full Defeasance","Fully Defeased",IF($Z508="Portion Of Loan Previously Defeased","Partially Defeased",IF($Z508="Defeasance Not Allowable","Not Defeased (Not Permitted)","Not Defeased")))</f>
        <v/>
      </c>
      <c r="CJ508" s="78">
        <f>IF($CI508="Fully Defeased",1,0)</f>
        <v/>
      </c>
      <c r="CK508" s="76">
        <f>IF($R508="IO","Full IO",IF(LEFT($R508&amp;"",7)="IO then","Partial IO","Amortizing"))</f>
        <v/>
      </c>
      <c r="CL508" s="78">
        <f>IF($CK508="Full IO",1,0)</f>
        <v/>
      </c>
      <c r="CM508" s="78">
        <f>IF($CK508="Partial IO",1,0)</f>
        <v/>
      </c>
      <c r="CN508" s="76">
        <f>IF(LEFT($F508&amp;"",10)="SPLIT_LOAN","Pari Passu Split","Standalone")</f>
        <v/>
      </c>
      <c r="CO508" s="78">
        <f>IF($CN508="Pari Passu Split",1,0)</f>
        <v/>
      </c>
      <c r="CP508" s="77">
        <f>IF(ISNUMBER($T508),YEAR($T508),"")</f>
        <v/>
      </c>
      <c r="CQ508" s="79">
        <f>IF(ISNUMBER($V508),$V508,IF(ISNUMBER($U508),$U508,""))</f>
        <v/>
      </c>
      <c r="CR508" s="77">
        <f>IF(ISNUMBER($CQ508),YEAR($CQ508),"")</f>
        <v/>
      </c>
      <c r="CS508" s="78">
        <f>IF(ISNUMBER($M508),MAX(0,$M508),IF(TRIM($M508&amp;"")="matured",0,""))</f>
        <v/>
      </c>
      <c r="CT508" s="78">
        <f>IF(AND(ISNUMBER($CS508),N($CS508)&lt;=mMatWindow),1,0)</f>
        <v/>
      </c>
      <c r="CU508" s="80">
        <f>IF(ISNUMBER($J508),$J508/100,"")</f>
        <v/>
      </c>
      <c r="CV508" s="81">
        <f>IF(ISNUMBER($AQ508),$AQ508,"")</f>
        <v/>
      </c>
      <c r="CW508" s="81">
        <f>IF(ISNUMBER($AR508),$AR508,"")</f>
        <v/>
      </c>
      <c r="CX508" s="82">
        <f>IF(ISNUMBER($AS508),$AS508/100,"")</f>
        <v/>
      </c>
      <c r="CY508" s="82">
        <f>IF(ISNUMBER($AT508),$AT508/100,"")</f>
        <v/>
      </c>
      <c r="CZ508" s="82">
        <f>IF(ISNUMBER($AU508),$AU508/100,"")</f>
        <v/>
      </c>
      <c r="DA508" s="82">
        <f>IF(ISNUMBER($AV508),$AV508/100,"")</f>
        <v/>
      </c>
      <c r="DB508" s="82">
        <f>IF(ISNUMBER($AW508),$AW508/100,"")</f>
        <v/>
      </c>
      <c r="DC508" s="82">
        <f>IF(ISNUMBER($AX508),$AX508/100,"")</f>
        <v/>
      </c>
      <c r="DD508" s="77">
        <f>IFERROR(VALUE(LEFT(TRIM($AO508&amp;""),4)),"")</f>
        <v/>
      </c>
      <c r="DE508" s="78">
        <f>IF(AND($BY508=1,$BX508=1,OR(fDeal="All Deals",$BU508=fDeal),OR(fEntity="All Entities",$BV508=fEntity),OR(fPType="All Property Types",$BZ508=fPType),OR(fDefeased="Include",$CJ508=0)),1,0)</f>
        <v/>
      </c>
      <c r="DF508" s="83">
        <f>$DE508*N($I508)</f>
        <v/>
      </c>
      <c r="DG508" s="78">
        <f>IF($DE508=1,IF(COUNTIFS($F$8:$F508,$F508,$DE$8:$DE508,1)=1,1,0),0)</f>
        <v/>
      </c>
      <c r="DH508" s="83">
        <f>IF($DG508=1,SUMIFS($DF$8:$DF$1600,$F$8:$F$1600,$F508),0)</f>
        <v/>
      </c>
      <c r="DI508" s="78">
        <f>IF($DG508=1,COUNTIFS($F$8:$F$1600,$F508,$DE$8:$DE$1600,1),0)</f>
        <v/>
      </c>
      <c r="DJ508" s="84">
        <f>IF($DG508=1,$DH508+(100000-ROW())/mTieBreak,0)</f>
        <v/>
      </c>
    </row>
    <row r="509">
      <c r="B509" s="68" t="n">
        <v>32</v>
      </c>
      <c r="C509" s="69" t="inlineStr">
        <is>
          <t>MSC19H6</t>
        </is>
      </c>
      <c r="D509" s="69" t="inlineStr">
        <is>
          <t>32.000</t>
        </is>
      </c>
      <c r="E509" s="69" t="inlineStr">
        <is>
          <t>Hampton Inn Milledgeville</t>
        </is>
      </c>
      <c r="F509" s="69" t="inlineStr">
        <is>
          <t>LNMSC19H6-32.000</t>
        </is>
      </c>
      <c r="G509" s="70" t="n"/>
      <c r="H509" s="71" t="n">
        <v>6125000</v>
      </c>
      <c r="I509" s="71" t="n">
        <v>5339566.419997251</v>
      </c>
      <c r="J509" s="72" t="n">
        <v>4.65</v>
      </c>
      <c r="K509" s="69" t="inlineStr">
        <is>
          <t>Fixed rate</t>
        </is>
      </c>
      <c r="L509" s="68" t="n">
        <v>120</v>
      </c>
      <c r="M509" s="68" t="n">
        <v>32</v>
      </c>
      <c r="N509" s="68" t="n">
        <v>360</v>
      </c>
      <c r="O509" s="68" t="n"/>
      <c r="P509" s="68" t="n"/>
      <c r="Q509" s="68" t="n">
        <v>88</v>
      </c>
      <c r="R509" s="69" t="n"/>
      <c r="S509" s="69" t="inlineStr">
        <is>
          <t>No</t>
        </is>
      </c>
      <c r="T509" s="73" t="n">
        <v>43586</v>
      </c>
      <c r="U509" s="73" t="n">
        <v>47244</v>
      </c>
      <c r="V509" s="73" t="n"/>
      <c r="W509" s="69" t="n"/>
      <c r="X509" s="69" t="inlineStr">
        <is>
          <t>Current</t>
        </is>
      </c>
      <c r="Y509" s="68" t="n"/>
      <c r="Z509" s="69" t="inlineStr">
        <is>
          <t>No Defeasance Occurred</t>
        </is>
      </c>
      <c r="AA509" s="69" t="n"/>
      <c r="AB509" s="69" t="inlineStr">
        <is>
          <t>Never special serv</t>
        </is>
      </c>
      <c r="AC509" s="73" t="n"/>
      <c r="AD509" s="69" t="n"/>
      <c r="AE509" s="69" t="n"/>
      <c r="AF509" s="69" t="inlineStr">
        <is>
          <t>GA</t>
        </is>
      </c>
      <c r="AG509" s="69" t="inlineStr">
        <is>
          <t>Milledgeville</t>
        </is>
      </c>
      <c r="AH509" s="69" t="inlineStr">
        <is>
          <t>Milledgeville, GA</t>
        </is>
      </c>
      <c r="AI509" s="69" t="inlineStr">
        <is>
          <t>South / Atlantic</t>
        </is>
      </c>
      <c r="AJ509" s="69" t="inlineStr">
        <is>
          <t>HT</t>
        </is>
      </c>
      <c r="AK509" s="69" t="inlineStr">
        <is>
          <t>Limited Service</t>
        </is>
      </c>
      <c r="AL509" s="68" t="n">
        <v>1</v>
      </c>
      <c r="AM509" s="68" t="n">
        <v>75</v>
      </c>
      <c r="AN509" s="68" t="n"/>
      <c r="AO509" s="69" t="inlineStr">
        <is>
          <t>1999</t>
        </is>
      </c>
      <c r="AP509" s="70" t="n">
        <v>2016</v>
      </c>
      <c r="AQ509" s="74" t="n">
        <v>2.04</v>
      </c>
      <c r="AR509" s="74" t="n">
        <v>3.43</v>
      </c>
      <c r="AS509" s="74" t="n">
        <v>54.1</v>
      </c>
      <c r="AT509" s="74" t="n">
        <v>47.25</v>
      </c>
      <c r="AU509" s="74" t="n">
        <v>44.2</v>
      </c>
      <c r="AV509" s="74" t="n">
        <v>12.600082939</v>
      </c>
      <c r="AW509" s="74" t="n">
        <v>24.313841198</v>
      </c>
      <c r="AX509" s="75" t="n">
        <v>84</v>
      </c>
      <c r="AY509" s="71" t="n">
        <v>11300000</v>
      </c>
      <c r="AZ509" s="71" t="n">
        <v>11300000</v>
      </c>
      <c r="BA509" s="71" t="n">
        <v>771755.08</v>
      </c>
      <c r="BB509" s="71" t="n">
        <v>1298253.7</v>
      </c>
      <c r="BC509" s="69" t="inlineStr">
        <is>
          <t>Refinance</t>
        </is>
      </c>
      <c r="BD509" s="69" t="inlineStr">
        <is>
          <t>N</t>
        </is>
      </c>
      <c r="BE509" s="71" t="n"/>
      <c r="BF509" s="71" t="n"/>
      <c r="BG509" s="71" t="n"/>
      <c r="BH509" s="71" t="n">
        <v>0</v>
      </c>
      <c r="BI509" s="71" t="n">
        <v>0</v>
      </c>
      <c r="BJ509" s="69" t="inlineStr">
        <is>
          <t>N</t>
        </is>
      </c>
      <c r="BK509" s="69" t="n"/>
      <c r="BL509" s="75" t="n"/>
      <c r="BM509" s="73" t="n"/>
      <c r="BN509" s="69" t="inlineStr">
        <is>
          <t>Marmik Patel; Sandesh Patel</t>
        </is>
      </c>
      <c r="BO509" s="69" t="inlineStr">
        <is>
          <t>Starwood</t>
        </is>
      </c>
      <c r="BP509" s="69" t="inlineStr">
        <is>
          <t>Midland Loan Services</t>
        </is>
      </c>
      <c r="BQ509" s="69" t="inlineStr">
        <is>
          <t>K-Star Asset Management LLC</t>
        </is>
      </c>
      <c r="BR509" s="69" t="n"/>
      <c r="BS509" s="73" t="n">
        <v>46276</v>
      </c>
      <c r="BU509" s="76">
        <f>IF($C509="","",IFERROR(INDEX(dmName,MATCH($C509,dmID,0)),"Unmapped"))</f>
        <v/>
      </c>
      <c r="BV509" s="76">
        <f>IF($C509="","",IFERROR(INDEX(dmEntity,MATCH($C509,dmID,0)),"Unmapped"))</f>
        <v/>
      </c>
      <c r="BW509" s="77">
        <f>IF($C509="","",IFERROR(INDEX(dmVintage,MATCH($C509,dmID,0)),""))</f>
        <v/>
      </c>
      <c r="BX509" s="78">
        <f>IFERROR(INDEX(dmInclude,MATCH($C509,dmID,0)),0)</f>
        <v/>
      </c>
      <c r="BY509" s="78">
        <f>IF(N($I509)&gt;0,1,0)</f>
        <v/>
      </c>
      <c r="BZ509" s="76">
        <f>IF($AJ509="","Other / Leased Fee",IFERROR(INDEX(mapPTGroup,MATCH(LEFT(TRIM($AJ509),2),mapPTCode,0)),"Other / Leased Fee"))</f>
        <v/>
      </c>
      <c r="CA509" s="76">
        <f>IF(TRIM($AF509&amp;"")="","NR",LEFT(TRIM($AF509),2))</f>
        <v/>
      </c>
      <c r="CB509" s="76">
        <f>IFERROR(LOOKUP(2,1/(LEFT(TRIM($AI509&amp;""),LEN(mapRegion))=mapRegion),mapRegion),"Not Reported")</f>
        <v/>
      </c>
      <c r="CC509" s="76">
        <f>IF($BY509=0,"",IF(TRIM($W509&amp;"")="REO","REO",IF(TRIM($W509&amp;"")="FC","Foreclosure",IF(TRIM($W509&amp;"")="90+","90+ Days Delinquent",IF(TRIM($W509&amp;"")="60","60 Days Delinquent",IF(TRIM($W509&amp;"")="30","30 Days Delinquent",IF($X509="Non-Performing Matured Balloon","Non-Performing Matured Balloon",IF(OR($X509="Late Payment But Less Than 30 Days Delinquent",LEFT($X509&amp;"",20)="Payment Not Received"),"Late / In Grace (&lt;30 Days)",IF($X509="Performing Matured Balloon","Performing Matured Balloon","Current")))))))))</f>
        <v/>
      </c>
      <c r="CD509" s="78">
        <f>IF(OR($CC509="REO",$CC509="Foreclosure",$CC509="90+ Days Delinquent",$CC509="60 Days Delinquent",$CC509="30 Days Delinquent",$CC509="Non-Performing Matured Balloon"),1,0)</f>
        <v/>
      </c>
      <c r="CE509" s="76">
        <f>IF($AB509="Currently special serv","Currently Specially Serviced",IF($AB509="Returned to master serv","Previously Specially Serviced","Never Specially Serviced"))</f>
        <v/>
      </c>
      <c r="CF509" s="78">
        <f>IF($CE509="Currently Specially Serviced",1,0)</f>
        <v/>
      </c>
      <c r="CG509" s="76">
        <f>IF($AA509="Yes","Currently on Watchlist",IF($AA509="Previously","Previously on Watchlist","Never on Watchlist"))</f>
        <v/>
      </c>
      <c r="CH509" s="78">
        <f>IF($CG509="Currently on Watchlist",1,0)</f>
        <v/>
      </c>
      <c r="CI509" s="76">
        <f>IF($Z509="Full Defeasance","Fully Defeased",IF($Z509="Portion Of Loan Previously Defeased","Partially Defeased",IF($Z509="Defeasance Not Allowable","Not Defeased (Not Permitted)","Not Defeased")))</f>
        <v/>
      </c>
      <c r="CJ509" s="78">
        <f>IF($CI509="Fully Defeased",1,0)</f>
        <v/>
      </c>
      <c r="CK509" s="76">
        <f>IF($R509="IO","Full IO",IF(LEFT($R509&amp;"",7)="IO then","Partial IO","Amortizing"))</f>
        <v/>
      </c>
      <c r="CL509" s="78">
        <f>IF($CK509="Full IO",1,0)</f>
        <v/>
      </c>
      <c r="CM509" s="78">
        <f>IF($CK509="Partial IO",1,0)</f>
        <v/>
      </c>
      <c r="CN509" s="76">
        <f>IF(LEFT($F509&amp;"",10)="SPLIT_LOAN","Pari Passu Split","Standalone")</f>
        <v/>
      </c>
      <c r="CO509" s="78">
        <f>IF($CN509="Pari Passu Split",1,0)</f>
        <v/>
      </c>
      <c r="CP509" s="77">
        <f>IF(ISNUMBER($T509),YEAR($T509),"")</f>
        <v/>
      </c>
      <c r="CQ509" s="79">
        <f>IF(ISNUMBER($V509),$V509,IF(ISNUMBER($U509),$U509,""))</f>
        <v/>
      </c>
      <c r="CR509" s="77">
        <f>IF(ISNUMBER($CQ509),YEAR($CQ509),"")</f>
        <v/>
      </c>
      <c r="CS509" s="78">
        <f>IF(ISNUMBER($M509),MAX(0,$M509),IF(TRIM($M509&amp;"")="matured",0,""))</f>
        <v/>
      </c>
      <c r="CT509" s="78">
        <f>IF(AND(ISNUMBER($CS509),N($CS509)&lt;=mMatWindow),1,0)</f>
        <v/>
      </c>
      <c r="CU509" s="80">
        <f>IF(ISNUMBER($J509),$J509/100,"")</f>
        <v/>
      </c>
      <c r="CV509" s="81">
        <f>IF(ISNUMBER($AQ509),$AQ509,"")</f>
        <v/>
      </c>
      <c r="CW509" s="81">
        <f>IF(ISNUMBER($AR509),$AR509,"")</f>
        <v/>
      </c>
      <c r="CX509" s="82">
        <f>IF(ISNUMBER($AS509),$AS509/100,"")</f>
        <v/>
      </c>
      <c r="CY509" s="82">
        <f>IF(ISNUMBER($AT509),$AT509/100,"")</f>
        <v/>
      </c>
      <c r="CZ509" s="82">
        <f>IF(ISNUMBER($AU509),$AU509/100,"")</f>
        <v/>
      </c>
      <c r="DA509" s="82">
        <f>IF(ISNUMBER($AV509),$AV509/100,"")</f>
        <v/>
      </c>
      <c r="DB509" s="82">
        <f>IF(ISNUMBER($AW509),$AW509/100,"")</f>
        <v/>
      </c>
      <c r="DC509" s="82">
        <f>IF(ISNUMBER($AX509),$AX509/100,"")</f>
        <v/>
      </c>
      <c r="DD509" s="77">
        <f>IFERROR(VALUE(LEFT(TRIM($AO509&amp;""),4)),"")</f>
        <v/>
      </c>
      <c r="DE509" s="78">
        <f>IF(AND($BY509=1,$BX509=1,OR(fDeal="All Deals",$BU509=fDeal),OR(fEntity="All Entities",$BV509=fEntity),OR(fPType="All Property Types",$BZ509=fPType),OR(fDefeased="Include",$CJ509=0)),1,0)</f>
        <v/>
      </c>
      <c r="DF509" s="83">
        <f>$DE509*N($I509)</f>
        <v/>
      </c>
      <c r="DG509" s="78">
        <f>IF($DE509=1,IF(COUNTIFS($F$8:$F509,$F509,$DE$8:$DE509,1)=1,1,0),0)</f>
        <v/>
      </c>
      <c r="DH509" s="83">
        <f>IF($DG509=1,SUMIFS($DF$8:$DF$1600,$F$8:$F$1600,$F509),0)</f>
        <v/>
      </c>
      <c r="DI509" s="78">
        <f>IF($DG509=1,COUNTIFS($F$8:$F$1600,$F509,$DE$8:$DE$1600,1),0)</f>
        <v/>
      </c>
      <c r="DJ509" s="84">
        <f>IF($DG509=1,$DH509+(100000-ROW())/mTieBreak,0)</f>
        <v/>
      </c>
    </row>
    <row r="510">
      <c r="B510" s="68" t="n">
        <v>33</v>
      </c>
      <c r="C510" s="69" t="inlineStr">
        <is>
          <t>MSC19H6</t>
        </is>
      </c>
      <c r="D510" s="69" t="inlineStr">
        <is>
          <t>33.000</t>
        </is>
      </c>
      <c r="E510" s="69" t="inlineStr">
        <is>
          <t>Serene Plaza</t>
        </is>
      </c>
      <c r="F510" s="69" t="inlineStr">
        <is>
          <t>LNMSC19H6-33.000</t>
        </is>
      </c>
      <c r="G510" s="70" t="n"/>
      <c r="H510" s="71" t="n">
        <v>5975000</v>
      </c>
      <c r="I510" s="71" t="n">
        <v>0</v>
      </c>
      <c r="J510" s="72" t="n">
        <v>5.75</v>
      </c>
      <c r="K510" s="69" t="inlineStr">
        <is>
          <t>Fixed rate</t>
        </is>
      </c>
      <c r="L510" s="68" t="n">
        <v>60</v>
      </c>
      <c r="M510" s="68" t="n"/>
      <c r="N510" s="68" t="n">
        <v>366</v>
      </c>
      <c r="O510" s="68" t="n">
        <v>6</v>
      </c>
      <c r="P510" s="68" t="n"/>
      <c r="Q510" s="68" t="n"/>
      <c r="R510" s="69" t="inlineStr">
        <is>
          <t>IO then Amort</t>
        </is>
      </c>
      <c r="S510" s="69" t="inlineStr">
        <is>
          <t>No</t>
        </is>
      </c>
      <c r="T510" s="73" t="n">
        <v>43556</v>
      </c>
      <c r="U510" s="73" t="n">
        <v>45388</v>
      </c>
      <c r="V510" s="73" t="n"/>
      <c r="W510" s="69" t="n"/>
      <c r="X510" s="69" t="inlineStr">
        <is>
          <t>Current</t>
        </is>
      </c>
      <c r="Y510" s="68" t="n"/>
      <c r="Z510" s="69" t="inlineStr">
        <is>
          <t>No Defeasance Occurred</t>
        </is>
      </c>
      <c r="AA510" s="69" t="inlineStr">
        <is>
          <t>Previously</t>
        </is>
      </c>
      <c r="AB510" s="69" t="inlineStr">
        <is>
          <t>Never special serv</t>
        </is>
      </c>
      <c r="AC510" s="73" t="n"/>
      <c r="AD510" s="69" t="n"/>
      <c r="AE510" s="69" t="n"/>
      <c r="AF510" s="69" t="inlineStr">
        <is>
          <t>TX</t>
        </is>
      </c>
      <c r="AG510" s="69" t="inlineStr">
        <is>
          <t>Richardson</t>
        </is>
      </c>
      <c r="AH510" s="69" t="inlineStr">
        <is>
          <t>Dallas-Fort Worth-Arlington, TX</t>
        </is>
      </c>
      <c r="AI510" s="69" t="inlineStr">
        <is>
          <t>South / Central West</t>
        </is>
      </c>
      <c r="AJ510" s="69" t="inlineStr">
        <is>
          <t>OF</t>
        </is>
      </c>
      <c r="AK510" s="69" t="inlineStr">
        <is>
          <t>Suburban</t>
        </is>
      </c>
      <c r="AL510" s="68" t="n">
        <v>1</v>
      </c>
      <c r="AM510" s="68" t="n"/>
      <c r="AN510" s="68" t="n">
        <v>67959</v>
      </c>
      <c r="AO510" s="69" t="inlineStr">
        <is>
          <t>1962</t>
        </is>
      </c>
      <c r="AP510" s="70" t="n">
        <v>1962</v>
      </c>
      <c r="AQ510" s="74" t="n">
        <v>1.3</v>
      </c>
      <c r="AR510" s="74" t="n">
        <v>1.55</v>
      </c>
      <c r="AS510" s="74" t="n">
        <v>74.69</v>
      </c>
      <c r="AT510" s="74" t="n"/>
      <c r="AU510" s="74" t="n">
        <v>70.3</v>
      </c>
      <c r="AV510" s="74" t="n">
        <v>9.100669456</v>
      </c>
      <c r="AW510" s="74" t="n"/>
      <c r="AX510" s="75" t="n">
        <v>89</v>
      </c>
      <c r="AY510" s="71" t="n">
        <v>8000000</v>
      </c>
      <c r="AZ510" s="71" t="n">
        <v>8000000</v>
      </c>
      <c r="BA510" s="71" t="n">
        <v>543765</v>
      </c>
      <c r="BB510" s="71" t="n">
        <v>650400.0699999999</v>
      </c>
      <c r="BC510" s="69" t="inlineStr">
        <is>
          <t>Refinance</t>
        </is>
      </c>
      <c r="BD510" s="69" t="inlineStr">
        <is>
          <t>N</t>
        </is>
      </c>
      <c r="BE510" s="71" t="n"/>
      <c r="BF510" s="71" t="n"/>
      <c r="BG510" s="71" t="n"/>
      <c r="BH510" s="71" t="n">
        <v>0</v>
      </c>
      <c r="BI510" s="71" t="n">
        <v>0</v>
      </c>
      <c r="BJ510" s="69" t="inlineStr">
        <is>
          <t>N</t>
        </is>
      </c>
      <c r="BK510" s="69" t="inlineStr">
        <is>
          <t>Comerica Bank</t>
        </is>
      </c>
      <c r="BL510" s="75" t="n">
        <v>11.76</v>
      </c>
      <c r="BM510" s="73" t="n">
        <v>45961</v>
      </c>
      <c r="BN510" s="69" t="inlineStr">
        <is>
          <t>Murtuza Ghouse; Mujahid Anwar</t>
        </is>
      </c>
      <c r="BO510" s="69" t="inlineStr">
        <is>
          <t>Argentic Real Estate Finance</t>
        </is>
      </c>
      <c r="BP510" s="69" t="inlineStr">
        <is>
          <t>Midland Loan Services</t>
        </is>
      </c>
      <c r="BQ510" s="69" t="inlineStr">
        <is>
          <t>K-Star Asset Management LLC</t>
        </is>
      </c>
      <c r="BR510" s="69" t="inlineStr">
        <is>
          <t>Full Payoff At Maturity</t>
        </is>
      </c>
      <c r="BS510" s="73" t="n">
        <v>45393</v>
      </c>
      <c r="BU510" s="76">
        <f>IF($C510="","",IFERROR(INDEX(dmName,MATCH($C510,dmID,0)),"Unmapped"))</f>
        <v/>
      </c>
      <c r="BV510" s="76">
        <f>IF($C510="","",IFERROR(INDEX(dmEntity,MATCH($C510,dmID,0)),"Unmapped"))</f>
        <v/>
      </c>
      <c r="BW510" s="77">
        <f>IF($C510="","",IFERROR(INDEX(dmVintage,MATCH($C510,dmID,0)),""))</f>
        <v/>
      </c>
      <c r="BX510" s="78">
        <f>IFERROR(INDEX(dmInclude,MATCH($C510,dmID,0)),0)</f>
        <v/>
      </c>
      <c r="BY510" s="78">
        <f>IF(N($I510)&gt;0,1,0)</f>
        <v/>
      </c>
      <c r="BZ510" s="76">
        <f>IF($AJ510="","Other / Leased Fee",IFERROR(INDEX(mapPTGroup,MATCH(LEFT(TRIM($AJ510),2),mapPTCode,0)),"Other / Leased Fee"))</f>
        <v/>
      </c>
      <c r="CA510" s="76">
        <f>IF(TRIM($AF510&amp;"")="","NR",LEFT(TRIM($AF510),2))</f>
        <v/>
      </c>
      <c r="CB510" s="76">
        <f>IFERROR(LOOKUP(2,1/(LEFT(TRIM($AI510&amp;""),LEN(mapRegion))=mapRegion),mapRegion),"Not Reported")</f>
        <v/>
      </c>
      <c r="CC510" s="76">
        <f>IF($BY510=0,"",IF(TRIM($W510&amp;"")="REO","REO",IF(TRIM($W510&amp;"")="FC","Foreclosure",IF(TRIM($W510&amp;"")="90+","90+ Days Delinquent",IF(TRIM($W510&amp;"")="60","60 Days Delinquent",IF(TRIM($W510&amp;"")="30","30 Days Delinquent",IF($X510="Non-Performing Matured Balloon","Non-Performing Matured Balloon",IF(OR($X510="Late Payment But Less Than 30 Days Delinquent",LEFT($X510&amp;"",20)="Payment Not Received"),"Late / In Grace (&lt;30 Days)",IF($X510="Performing Matured Balloon","Performing Matured Balloon","Current")))))))))</f>
        <v/>
      </c>
      <c r="CD510" s="78">
        <f>IF(OR($CC510="REO",$CC510="Foreclosure",$CC510="90+ Days Delinquent",$CC510="60 Days Delinquent",$CC510="30 Days Delinquent",$CC510="Non-Performing Matured Balloon"),1,0)</f>
        <v/>
      </c>
      <c r="CE510" s="76">
        <f>IF($AB510="Currently special serv","Currently Specially Serviced",IF($AB510="Returned to master serv","Previously Specially Serviced","Never Specially Serviced"))</f>
        <v/>
      </c>
      <c r="CF510" s="78">
        <f>IF($CE510="Currently Specially Serviced",1,0)</f>
        <v/>
      </c>
      <c r="CG510" s="76">
        <f>IF($AA510="Yes","Currently on Watchlist",IF($AA510="Previously","Previously on Watchlist","Never on Watchlist"))</f>
        <v/>
      </c>
      <c r="CH510" s="78">
        <f>IF($CG510="Currently on Watchlist",1,0)</f>
        <v/>
      </c>
      <c r="CI510" s="76">
        <f>IF($Z510="Full Defeasance","Fully Defeased",IF($Z510="Portion Of Loan Previously Defeased","Partially Defeased",IF($Z510="Defeasance Not Allowable","Not Defeased (Not Permitted)","Not Defeased")))</f>
        <v/>
      </c>
      <c r="CJ510" s="78">
        <f>IF($CI510="Fully Defeased",1,0)</f>
        <v/>
      </c>
      <c r="CK510" s="76">
        <f>IF($R510="IO","Full IO",IF(LEFT($R510&amp;"",7)="IO then","Partial IO","Amortizing"))</f>
        <v/>
      </c>
      <c r="CL510" s="78">
        <f>IF($CK510="Full IO",1,0)</f>
        <v/>
      </c>
      <c r="CM510" s="78">
        <f>IF($CK510="Partial IO",1,0)</f>
        <v/>
      </c>
      <c r="CN510" s="76">
        <f>IF(LEFT($F510&amp;"",10)="SPLIT_LOAN","Pari Passu Split","Standalone")</f>
        <v/>
      </c>
      <c r="CO510" s="78">
        <f>IF($CN510="Pari Passu Split",1,0)</f>
        <v/>
      </c>
      <c r="CP510" s="77">
        <f>IF(ISNUMBER($T510),YEAR($T510),"")</f>
        <v/>
      </c>
      <c r="CQ510" s="79">
        <f>IF(ISNUMBER($V510),$V510,IF(ISNUMBER($U510),$U510,""))</f>
        <v/>
      </c>
      <c r="CR510" s="77">
        <f>IF(ISNUMBER($CQ510),YEAR($CQ510),"")</f>
        <v/>
      </c>
      <c r="CS510" s="78">
        <f>IF(ISNUMBER($M510),MAX(0,$M510),IF(TRIM($M510&amp;"")="matured",0,""))</f>
        <v/>
      </c>
      <c r="CT510" s="78">
        <f>IF(AND(ISNUMBER($CS510),N($CS510)&lt;=mMatWindow),1,0)</f>
        <v/>
      </c>
      <c r="CU510" s="80">
        <f>IF(ISNUMBER($J510),$J510/100,"")</f>
        <v/>
      </c>
      <c r="CV510" s="81">
        <f>IF(ISNUMBER($AQ510),$AQ510,"")</f>
        <v/>
      </c>
      <c r="CW510" s="81">
        <f>IF(ISNUMBER($AR510),$AR510,"")</f>
        <v/>
      </c>
      <c r="CX510" s="82">
        <f>IF(ISNUMBER($AS510),$AS510/100,"")</f>
        <v/>
      </c>
      <c r="CY510" s="82">
        <f>IF(ISNUMBER($AT510),$AT510/100,"")</f>
        <v/>
      </c>
      <c r="CZ510" s="82">
        <f>IF(ISNUMBER($AU510),$AU510/100,"")</f>
        <v/>
      </c>
      <c r="DA510" s="82">
        <f>IF(ISNUMBER($AV510),$AV510/100,"")</f>
        <v/>
      </c>
      <c r="DB510" s="82">
        <f>IF(ISNUMBER($AW510),$AW510/100,"")</f>
        <v/>
      </c>
      <c r="DC510" s="82">
        <f>IF(ISNUMBER($AX510),$AX510/100,"")</f>
        <v/>
      </c>
      <c r="DD510" s="77">
        <f>IFERROR(VALUE(LEFT(TRIM($AO510&amp;""),4)),"")</f>
        <v/>
      </c>
      <c r="DE510" s="78">
        <f>IF(AND($BY510=1,$BX510=1,OR(fDeal="All Deals",$BU510=fDeal),OR(fEntity="All Entities",$BV510=fEntity),OR(fPType="All Property Types",$BZ510=fPType),OR(fDefeased="Include",$CJ510=0)),1,0)</f>
        <v/>
      </c>
      <c r="DF510" s="83">
        <f>$DE510*N($I510)</f>
        <v/>
      </c>
      <c r="DG510" s="78">
        <f>IF($DE510=1,IF(COUNTIFS($F$8:$F510,$F510,$DE$8:$DE510,1)=1,1,0),0)</f>
        <v/>
      </c>
      <c r="DH510" s="83">
        <f>IF($DG510=1,SUMIFS($DF$8:$DF$1600,$F$8:$F$1600,$F510),0)</f>
        <v/>
      </c>
      <c r="DI510" s="78">
        <f>IF($DG510=1,COUNTIFS($F$8:$F$1600,$F510,$DE$8:$DE$1600,1),0)</f>
        <v/>
      </c>
      <c r="DJ510" s="84">
        <f>IF($DG510=1,$DH510+(100000-ROW())/mTieBreak,0)</f>
        <v/>
      </c>
    </row>
    <row r="511">
      <c r="B511" s="68" t="n">
        <v>34</v>
      </c>
      <c r="C511" s="69" t="inlineStr">
        <is>
          <t>MSC19H6</t>
        </is>
      </c>
      <c r="D511" s="69" t="inlineStr">
        <is>
          <t>34.000</t>
        </is>
      </c>
      <c r="E511" s="69" t="inlineStr">
        <is>
          <t>Lake Jackson Center</t>
        </is>
      </c>
      <c r="F511" s="69" t="inlineStr">
        <is>
          <t>LNMSC19H6-34.000</t>
        </is>
      </c>
      <c r="G511" s="70" t="n"/>
      <c r="H511" s="71" t="n">
        <v>5850000</v>
      </c>
      <c r="I511" s="71" t="n">
        <v>5356858.27999725</v>
      </c>
      <c r="J511" s="72" t="n">
        <v>5.05</v>
      </c>
      <c r="K511" s="69" t="inlineStr">
        <is>
          <t>Fixed rate</t>
        </is>
      </c>
      <c r="L511" s="68" t="n">
        <v>120</v>
      </c>
      <c r="M511" s="68" t="n">
        <v>31</v>
      </c>
      <c r="N511" s="68" t="n">
        <v>384</v>
      </c>
      <c r="O511" s="68" t="n">
        <v>24</v>
      </c>
      <c r="P511" s="68" t="n">
        <v>0</v>
      </c>
      <c r="Q511" s="68" t="n">
        <v>89</v>
      </c>
      <c r="R511" s="69" t="inlineStr">
        <is>
          <t>IO then Amort</t>
        </is>
      </c>
      <c r="S511" s="69" t="inlineStr">
        <is>
          <t>No</t>
        </is>
      </c>
      <c r="T511" s="73" t="n">
        <v>43556</v>
      </c>
      <c r="U511" s="73" t="n">
        <v>47214</v>
      </c>
      <c r="V511" s="73" t="n"/>
      <c r="W511" s="69" t="n"/>
      <c r="X511" s="69" t="inlineStr">
        <is>
          <t>Current</t>
        </is>
      </c>
      <c r="Y511" s="68" t="n"/>
      <c r="Z511" s="69" t="inlineStr">
        <is>
          <t>No Defeasance Occurred</t>
        </is>
      </c>
      <c r="AA511" s="69" t="inlineStr">
        <is>
          <t>Yes</t>
        </is>
      </c>
      <c r="AB511" s="69" t="inlineStr">
        <is>
          <t>Never special serv</t>
        </is>
      </c>
      <c r="AC511" s="73" t="n"/>
      <c r="AD511" s="69" t="n"/>
      <c r="AE511" s="69" t="n"/>
      <c r="AF511" s="69" t="inlineStr">
        <is>
          <t>TX</t>
        </is>
      </c>
      <c r="AG511" s="69" t="inlineStr">
        <is>
          <t>Lake Jackson</t>
        </is>
      </c>
      <c r="AH511" s="69" t="inlineStr">
        <is>
          <t>Houston-Pasadena-The Woodlands, TX</t>
        </is>
      </c>
      <c r="AI511" s="69" t="inlineStr">
        <is>
          <t>South / Central West</t>
        </is>
      </c>
      <c r="AJ511" s="69" t="inlineStr">
        <is>
          <t>RT</t>
        </is>
      </c>
      <c r="AK511" s="69" t="inlineStr">
        <is>
          <t>Unanchored</t>
        </is>
      </c>
      <c r="AL511" s="68" t="n">
        <v>1</v>
      </c>
      <c r="AM511" s="68" t="n"/>
      <c r="AN511" s="68" t="n">
        <v>34564</v>
      </c>
      <c r="AO511" s="69" t="inlineStr">
        <is>
          <t>2006</t>
        </is>
      </c>
      <c r="AP511" s="70" t="n">
        <v>2006</v>
      </c>
      <c r="AQ511" s="74" t="n">
        <v>1.38</v>
      </c>
      <c r="AR511" s="74" t="n">
        <v>1.55</v>
      </c>
      <c r="AS511" s="74" t="n">
        <v>68</v>
      </c>
      <c r="AT511" s="74" t="n">
        <v>62.29</v>
      </c>
      <c r="AU511" s="74" t="n">
        <v>59</v>
      </c>
      <c r="AV511" s="74" t="n">
        <v>8.921957436</v>
      </c>
      <c r="AW511" s="74" t="n">
        <v>10.941146459</v>
      </c>
      <c r="AX511" s="75" t="n">
        <v>97</v>
      </c>
      <c r="AY511" s="71" t="n">
        <v>8600000</v>
      </c>
      <c r="AZ511" s="71" t="n">
        <v>8600000</v>
      </c>
      <c r="BA511" s="71" t="n">
        <v>521934.51</v>
      </c>
      <c r="BB511" s="71" t="n">
        <v>586101.71</v>
      </c>
      <c r="BC511" s="69" t="inlineStr">
        <is>
          <t>Refinance</t>
        </is>
      </c>
      <c r="BD511" s="69" t="inlineStr">
        <is>
          <t>N</t>
        </is>
      </c>
      <c r="BE511" s="71" t="n"/>
      <c r="BF511" s="71" t="n"/>
      <c r="BG511" s="71" t="n"/>
      <c r="BH511" s="71" t="n">
        <v>0</v>
      </c>
      <c r="BI511" s="71" t="n">
        <v>0</v>
      </c>
      <c r="BJ511" s="69" t="inlineStr">
        <is>
          <t>N</t>
        </is>
      </c>
      <c r="BK511" s="69" t="inlineStr">
        <is>
          <t>Floors for Living</t>
        </is>
      </c>
      <c r="BL511" s="75" t="n">
        <v>15.33</v>
      </c>
      <c r="BM511" s="73" t="n">
        <v>47026</v>
      </c>
      <c r="BN511" s="69" t="inlineStr">
        <is>
          <t>Todd A. Carlson; Stephen J. Pheigaru</t>
        </is>
      </c>
      <c r="BO511" s="69" t="inlineStr">
        <is>
          <t>Starwood</t>
        </is>
      </c>
      <c r="BP511" s="69" t="inlineStr">
        <is>
          <t>Midland Loan Services</t>
        </is>
      </c>
      <c r="BQ511" s="69" t="inlineStr">
        <is>
          <t>K-Star Asset Management LLC</t>
        </is>
      </c>
      <c r="BR511" s="69" t="n"/>
      <c r="BS511" s="73" t="n">
        <v>46276</v>
      </c>
      <c r="BU511" s="76">
        <f>IF($C511="","",IFERROR(INDEX(dmName,MATCH($C511,dmID,0)),"Unmapped"))</f>
        <v/>
      </c>
      <c r="BV511" s="76">
        <f>IF($C511="","",IFERROR(INDEX(dmEntity,MATCH($C511,dmID,0)),"Unmapped"))</f>
        <v/>
      </c>
      <c r="BW511" s="77">
        <f>IF($C511="","",IFERROR(INDEX(dmVintage,MATCH($C511,dmID,0)),""))</f>
        <v/>
      </c>
      <c r="BX511" s="78">
        <f>IFERROR(INDEX(dmInclude,MATCH($C511,dmID,0)),0)</f>
        <v/>
      </c>
      <c r="BY511" s="78">
        <f>IF(N($I511)&gt;0,1,0)</f>
        <v/>
      </c>
      <c r="BZ511" s="76">
        <f>IF($AJ511="","Other / Leased Fee",IFERROR(INDEX(mapPTGroup,MATCH(LEFT(TRIM($AJ511),2),mapPTCode,0)),"Other / Leased Fee"))</f>
        <v/>
      </c>
      <c r="CA511" s="76">
        <f>IF(TRIM($AF511&amp;"")="","NR",LEFT(TRIM($AF511),2))</f>
        <v/>
      </c>
      <c r="CB511" s="76">
        <f>IFERROR(LOOKUP(2,1/(LEFT(TRIM($AI511&amp;""),LEN(mapRegion))=mapRegion),mapRegion),"Not Reported")</f>
        <v/>
      </c>
      <c r="CC511" s="76">
        <f>IF($BY511=0,"",IF(TRIM($W511&amp;"")="REO","REO",IF(TRIM($W511&amp;"")="FC","Foreclosure",IF(TRIM($W511&amp;"")="90+","90+ Days Delinquent",IF(TRIM($W511&amp;"")="60","60 Days Delinquent",IF(TRIM($W511&amp;"")="30","30 Days Delinquent",IF($X511="Non-Performing Matured Balloon","Non-Performing Matured Balloon",IF(OR($X511="Late Payment But Less Than 30 Days Delinquent",LEFT($X511&amp;"",20)="Payment Not Received"),"Late / In Grace (&lt;30 Days)",IF($X511="Performing Matured Balloon","Performing Matured Balloon","Current")))))))))</f>
        <v/>
      </c>
      <c r="CD511" s="78">
        <f>IF(OR($CC511="REO",$CC511="Foreclosure",$CC511="90+ Days Delinquent",$CC511="60 Days Delinquent",$CC511="30 Days Delinquent",$CC511="Non-Performing Matured Balloon"),1,0)</f>
        <v/>
      </c>
      <c r="CE511" s="76">
        <f>IF($AB511="Currently special serv","Currently Specially Serviced",IF($AB511="Returned to master serv","Previously Specially Serviced","Never Specially Serviced"))</f>
        <v/>
      </c>
      <c r="CF511" s="78">
        <f>IF($CE511="Currently Specially Serviced",1,0)</f>
        <v/>
      </c>
      <c r="CG511" s="76">
        <f>IF($AA511="Yes","Currently on Watchlist",IF($AA511="Previously","Previously on Watchlist","Never on Watchlist"))</f>
        <v/>
      </c>
      <c r="CH511" s="78">
        <f>IF($CG511="Currently on Watchlist",1,0)</f>
        <v/>
      </c>
      <c r="CI511" s="76">
        <f>IF($Z511="Full Defeasance","Fully Defeased",IF($Z511="Portion Of Loan Previously Defeased","Partially Defeased",IF($Z511="Defeasance Not Allowable","Not Defeased (Not Permitted)","Not Defeased")))</f>
        <v/>
      </c>
      <c r="CJ511" s="78">
        <f>IF($CI511="Fully Defeased",1,0)</f>
        <v/>
      </c>
      <c r="CK511" s="76">
        <f>IF($R511="IO","Full IO",IF(LEFT($R511&amp;"",7)="IO then","Partial IO","Amortizing"))</f>
        <v/>
      </c>
      <c r="CL511" s="78">
        <f>IF($CK511="Full IO",1,0)</f>
        <v/>
      </c>
      <c r="CM511" s="78">
        <f>IF($CK511="Partial IO",1,0)</f>
        <v/>
      </c>
      <c r="CN511" s="76">
        <f>IF(LEFT($F511&amp;"",10)="SPLIT_LOAN","Pari Passu Split","Standalone")</f>
        <v/>
      </c>
      <c r="CO511" s="78">
        <f>IF($CN511="Pari Passu Split",1,0)</f>
        <v/>
      </c>
      <c r="CP511" s="77">
        <f>IF(ISNUMBER($T511),YEAR($T511),"")</f>
        <v/>
      </c>
      <c r="CQ511" s="79">
        <f>IF(ISNUMBER($V511),$V511,IF(ISNUMBER($U511),$U511,""))</f>
        <v/>
      </c>
      <c r="CR511" s="77">
        <f>IF(ISNUMBER($CQ511),YEAR($CQ511),"")</f>
        <v/>
      </c>
      <c r="CS511" s="78">
        <f>IF(ISNUMBER($M511),MAX(0,$M511),IF(TRIM($M511&amp;"")="matured",0,""))</f>
        <v/>
      </c>
      <c r="CT511" s="78">
        <f>IF(AND(ISNUMBER($CS511),N($CS511)&lt;=mMatWindow),1,0)</f>
        <v/>
      </c>
      <c r="CU511" s="80">
        <f>IF(ISNUMBER($J511),$J511/100,"")</f>
        <v/>
      </c>
      <c r="CV511" s="81">
        <f>IF(ISNUMBER($AQ511),$AQ511,"")</f>
        <v/>
      </c>
      <c r="CW511" s="81">
        <f>IF(ISNUMBER($AR511),$AR511,"")</f>
        <v/>
      </c>
      <c r="CX511" s="82">
        <f>IF(ISNUMBER($AS511),$AS511/100,"")</f>
        <v/>
      </c>
      <c r="CY511" s="82">
        <f>IF(ISNUMBER($AT511),$AT511/100,"")</f>
        <v/>
      </c>
      <c r="CZ511" s="82">
        <f>IF(ISNUMBER($AU511),$AU511/100,"")</f>
        <v/>
      </c>
      <c r="DA511" s="82">
        <f>IF(ISNUMBER($AV511),$AV511/100,"")</f>
        <v/>
      </c>
      <c r="DB511" s="82">
        <f>IF(ISNUMBER($AW511),$AW511/100,"")</f>
        <v/>
      </c>
      <c r="DC511" s="82">
        <f>IF(ISNUMBER($AX511),$AX511/100,"")</f>
        <v/>
      </c>
      <c r="DD511" s="77">
        <f>IFERROR(VALUE(LEFT(TRIM($AO511&amp;""),4)),"")</f>
        <v/>
      </c>
      <c r="DE511" s="78">
        <f>IF(AND($BY511=1,$BX511=1,OR(fDeal="All Deals",$BU511=fDeal),OR(fEntity="All Entities",$BV511=fEntity),OR(fPType="All Property Types",$BZ511=fPType),OR(fDefeased="Include",$CJ511=0)),1,0)</f>
        <v/>
      </c>
      <c r="DF511" s="83">
        <f>$DE511*N($I511)</f>
        <v/>
      </c>
      <c r="DG511" s="78">
        <f>IF($DE511=1,IF(COUNTIFS($F$8:$F511,$F511,$DE$8:$DE511,1)=1,1,0),0)</f>
        <v/>
      </c>
      <c r="DH511" s="83">
        <f>IF($DG511=1,SUMIFS($DF$8:$DF$1600,$F$8:$F$1600,$F511),0)</f>
        <v/>
      </c>
      <c r="DI511" s="78">
        <f>IF($DG511=1,COUNTIFS($F$8:$F$1600,$F511,$DE$8:$DE$1600,1),0)</f>
        <v/>
      </c>
      <c r="DJ511" s="84">
        <f>IF($DG511=1,$DH511+(100000-ROW())/mTieBreak,0)</f>
        <v/>
      </c>
    </row>
    <row r="512">
      <c r="B512" s="68" t="n">
        <v>35</v>
      </c>
      <c r="C512" s="69" t="inlineStr">
        <is>
          <t>MSC19H6</t>
        </is>
      </c>
      <c r="D512" s="69" t="inlineStr">
        <is>
          <t>35.000</t>
        </is>
      </c>
      <c r="E512" s="69" t="inlineStr">
        <is>
          <t>Parkwood Village</t>
        </is>
      </c>
      <c r="F512" s="69" t="inlineStr">
        <is>
          <t>LNMSC19H6-35.000</t>
        </is>
      </c>
      <c r="G512" s="70" t="n"/>
      <c r="H512" s="71" t="n">
        <v>5000000</v>
      </c>
      <c r="I512" s="71" t="n">
        <v>4646872.080000001</v>
      </c>
      <c r="J512" s="72" t="n">
        <v>4.75</v>
      </c>
      <c r="K512" s="69" t="inlineStr">
        <is>
          <t>Fixed rate</t>
        </is>
      </c>
      <c r="L512" s="68" t="n">
        <v>120</v>
      </c>
      <c r="M512" s="68" t="n">
        <v>31</v>
      </c>
      <c r="N512" s="68" t="n">
        <v>396</v>
      </c>
      <c r="O512" s="68" t="n">
        <v>36</v>
      </c>
      <c r="P512" s="68" t="n">
        <v>0</v>
      </c>
      <c r="Q512" s="68" t="n">
        <v>89</v>
      </c>
      <c r="R512" s="69" t="inlineStr">
        <is>
          <t>IO then Amort</t>
        </is>
      </c>
      <c r="S512" s="69" t="inlineStr">
        <is>
          <t>No</t>
        </is>
      </c>
      <c r="T512" s="73" t="n">
        <v>43556</v>
      </c>
      <c r="U512" s="73" t="n">
        <v>47209</v>
      </c>
      <c r="V512" s="73" t="n"/>
      <c r="W512" s="69" t="n"/>
      <c r="X512" s="69" t="inlineStr">
        <is>
          <t>Current</t>
        </is>
      </c>
      <c r="Y512" s="68" t="n"/>
      <c r="Z512" s="69" t="inlineStr">
        <is>
          <t>Full Defeasance</t>
        </is>
      </c>
      <c r="AA512" s="69" t="n"/>
      <c r="AB512" s="69" t="inlineStr">
        <is>
          <t>Never special serv</t>
        </is>
      </c>
      <c r="AC512" s="73" t="n"/>
      <c r="AD512" s="69" t="n"/>
      <c r="AE512" s="69" t="n"/>
      <c r="AF512" s="69" t="inlineStr">
        <is>
          <t>GA</t>
        </is>
      </c>
      <c r="AG512" s="69" t="inlineStr">
        <is>
          <t>Douglasville</t>
        </is>
      </c>
      <c r="AH512" s="69" t="inlineStr">
        <is>
          <t>Atlanta-Sandy Springs-Roswell, GA</t>
        </is>
      </c>
      <c r="AI512" s="69" t="inlineStr">
        <is>
          <t>South / Atlantic</t>
        </is>
      </c>
      <c r="AJ512" s="69" t="inlineStr">
        <is>
          <t>MF</t>
        </is>
      </c>
      <c r="AK512" s="69" t="inlineStr">
        <is>
          <t>Garden</t>
        </is>
      </c>
      <c r="AL512" s="68" t="n">
        <v>1</v>
      </c>
      <c r="AM512" s="68" t="n">
        <v>135</v>
      </c>
      <c r="AN512" s="68" t="n"/>
      <c r="AO512" s="69" t="inlineStr">
        <is>
          <t>1986</t>
        </is>
      </c>
      <c r="AP512" s="70" t="n">
        <v>1986</v>
      </c>
      <c r="AQ512" s="74" t="n">
        <v>1.75</v>
      </c>
      <c r="AR512" s="74" t="n">
        <v>2.97</v>
      </c>
      <c r="AS512" s="74" t="n">
        <v>54.9</v>
      </c>
      <c r="AT512" s="74" t="n">
        <v>51.06</v>
      </c>
      <c r="AU512" s="74" t="n">
        <v>48.5</v>
      </c>
      <c r="AV512" s="74" t="n">
        <v>10.9735236</v>
      </c>
      <c r="AW512" s="74" t="n">
        <v>15.36878846</v>
      </c>
      <c r="AX512" s="75" t="n">
        <v>94</v>
      </c>
      <c r="AY512" s="71" t="n">
        <v>9100000</v>
      </c>
      <c r="AZ512" s="71" t="n">
        <v>9100000</v>
      </c>
      <c r="BA512" s="71" t="n">
        <v>548676.1800000001</v>
      </c>
      <c r="BB512" s="71" t="n">
        <v>714167.9399999999</v>
      </c>
      <c r="BC512" s="69" t="inlineStr">
        <is>
          <t>Refinance</t>
        </is>
      </c>
      <c r="BD512" s="69" t="inlineStr">
        <is>
          <t>N</t>
        </is>
      </c>
      <c r="BE512" s="71" t="n"/>
      <c r="BF512" s="71" t="n"/>
      <c r="BG512" s="71" t="n"/>
      <c r="BH512" s="71" t="n">
        <v>0</v>
      </c>
      <c r="BI512" s="71" t="n">
        <v>0</v>
      </c>
      <c r="BJ512" s="69" t="inlineStr">
        <is>
          <t>N</t>
        </is>
      </c>
      <c r="BK512" s="69" t="n"/>
      <c r="BL512" s="75" t="n"/>
      <c r="BM512" s="73" t="n"/>
      <c r="BN512" s="69" t="inlineStr">
        <is>
          <t>Shimon Verschleisser</t>
        </is>
      </c>
      <c r="BO512" s="69" t="inlineStr">
        <is>
          <t>Cantor Commercial Real Estate Lending</t>
        </is>
      </c>
      <c r="BP512" s="69" t="inlineStr">
        <is>
          <t>Midland Loan Services</t>
        </is>
      </c>
      <c r="BQ512" s="69" t="inlineStr">
        <is>
          <t>K-Star Asset Management LLC</t>
        </is>
      </c>
      <c r="BR512" s="69" t="n"/>
      <c r="BS512" s="73" t="n">
        <v>46276</v>
      </c>
      <c r="BU512" s="76">
        <f>IF($C512="","",IFERROR(INDEX(dmName,MATCH($C512,dmID,0)),"Unmapped"))</f>
        <v/>
      </c>
      <c r="BV512" s="76">
        <f>IF($C512="","",IFERROR(INDEX(dmEntity,MATCH($C512,dmID,0)),"Unmapped"))</f>
        <v/>
      </c>
      <c r="BW512" s="77">
        <f>IF($C512="","",IFERROR(INDEX(dmVintage,MATCH($C512,dmID,0)),""))</f>
        <v/>
      </c>
      <c r="BX512" s="78">
        <f>IFERROR(INDEX(dmInclude,MATCH($C512,dmID,0)),0)</f>
        <v/>
      </c>
      <c r="BY512" s="78">
        <f>IF(N($I512)&gt;0,1,0)</f>
        <v/>
      </c>
      <c r="BZ512" s="76">
        <f>IF($AJ512="","Other / Leased Fee",IFERROR(INDEX(mapPTGroup,MATCH(LEFT(TRIM($AJ512),2),mapPTCode,0)),"Other / Leased Fee"))</f>
        <v/>
      </c>
      <c r="CA512" s="76">
        <f>IF(TRIM($AF512&amp;"")="","NR",LEFT(TRIM($AF512),2))</f>
        <v/>
      </c>
      <c r="CB512" s="76">
        <f>IFERROR(LOOKUP(2,1/(LEFT(TRIM($AI512&amp;""),LEN(mapRegion))=mapRegion),mapRegion),"Not Reported")</f>
        <v/>
      </c>
      <c r="CC512" s="76">
        <f>IF($BY512=0,"",IF(TRIM($W512&amp;"")="REO","REO",IF(TRIM($W512&amp;"")="FC","Foreclosure",IF(TRIM($W512&amp;"")="90+","90+ Days Delinquent",IF(TRIM($W512&amp;"")="60","60 Days Delinquent",IF(TRIM($W512&amp;"")="30","30 Days Delinquent",IF($X512="Non-Performing Matured Balloon","Non-Performing Matured Balloon",IF(OR($X512="Late Payment But Less Than 30 Days Delinquent",LEFT($X512&amp;"",20)="Payment Not Received"),"Late / In Grace (&lt;30 Days)",IF($X512="Performing Matured Balloon","Performing Matured Balloon","Current")))))))))</f>
        <v/>
      </c>
      <c r="CD512" s="78">
        <f>IF(OR($CC512="REO",$CC512="Foreclosure",$CC512="90+ Days Delinquent",$CC512="60 Days Delinquent",$CC512="30 Days Delinquent",$CC512="Non-Performing Matured Balloon"),1,0)</f>
        <v/>
      </c>
      <c r="CE512" s="76">
        <f>IF($AB512="Currently special serv","Currently Specially Serviced",IF($AB512="Returned to master serv","Previously Specially Serviced","Never Specially Serviced"))</f>
        <v/>
      </c>
      <c r="CF512" s="78">
        <f>IF($CE512="Currently Specially Serviced",1,0)</f>
        <v/>
      </c>
      <c r="CG512" s="76">
        <f>IF($AA512="Yes","Currently on Watchlist",IF($AA512="Previously","Previously on Watchlist","Never on Watchlist"))</f>
        <v/>
      </c>
      <c r="CH512" s="78">
        <f>IF($CG512="Currently on Watchlist",1,0)</f>
        <v/>
      </c>
      <c r="CI512" s="76">
        <f>IF($Z512="Full Defeasance","Fully Defeased",IF($Z512="Portion Of Loan Previously Defeased","Partially Defeased",IF($Z512="Defeasance Not Allowable","Not Defeased (Not Permitted)","Not Defeased")))</f>
        <v/>
      </c>
      <c r="CJ512" s="78">
        <f>IF($CI512="Fully Defeased",1,0)</f>
        <v/>
      </c>
      <c r="CK512" s="76">
        <f>IF($R512="IO","Full IO",IF(LEFT($R512&amp;"",7)="IO then","Partial IO","Amortizing"))</f>
        <v/>
      </c>
      <c r="CL512" s="78">
        <f>IF($CK512="Full IO",1,0)</f>
        <v/>
      </c>
      <c r="CM512" s="78">
        <f>IF($CK512="Partial IO",1,0)</f>
        <v/>
      </c>
      <c r="CN512" s="76">
        <f>IF(LEFT($F512&amp;"",10)="SPLIT_LOAN","Pari Passu Split","Standalone")</f>
        <v/>
      </c>
      <c r="CO512" s="78">
        <f>IF($CN512="Pari Passu Split",1,0)</f>
        <v/>
      </c>
      <c r="CP512" s="77">
        <f>IF(ISNUMBER($T512),YEAR($T512),"")</f>
        <v/>
      </c>
      <c r="CQ512" s="79">
        <f>IF(ISNUMBER($V512),$V512,IF(ISNUMBER($U512),$U512,""))</f>
        <v/>
      </c>
      <c r="CR512" s="77">
        <f>IF(ISNUMBER($CQ512),YEAR($CQ512),"")</f>
        <v/>
      </c>
      <c r="CS512" s="78">
        <f>IF(ISNUMBER($M512),MAX(0,$M512),IF(TRIM($M512&amp;"")="matured",0,""))</f>
        <v/>
      </c>
      <c r="CT512" s="78">
        <f>IF(AND(ISNUMBER($CS512),N($CS512)&lt;=mMatWindow),1,0)</f>
        <v/>
      </c>
      <c r="CU512" s="80">
        <f>IF(ISNUMBER($J512),$J512/100,"")</f>
        <v/>
      </c>
      <c r="CV512" s="81">
        <f>IF(ISNUMBER($AQ512),$AQ512,"")</f>
        <v/>
      </c>
      <c r="CW512" s="81">
        <f>IF(ISNUMBER($AR512),$AR512,"")</f>
        <v/>
      </c>
      <c r="CX512" s="82">
        <f>IF(ISNUMBER($AS512),$AS512/100,"")</f>
        <v/>
      </c>
      <c r="CY512" s="82">
        <f>IF(ISNUMBER($AT512),$AT512/100,"")</f>
        <v/>
      </c>
      <c r="CZ512" s="82">
        <f>IF(ISNUMBER($AU512),$AU512/100,"")</f>
        <v/>
      </c>
      <c r="DA512" s="82">
        <f>IF(ISNUMBER($AV512),$AV512/100,"")</f>
        <v/>
      </c>
      <c r="DB512" s="82">
        <f>IF(ISNUMBER($AW512),$AW512/100,"")</f>
        <v/>
      </c>
      <c r="DC512" s="82">
        <f>IF(ISNUMBER($AX512),$AX512/100,"")</f>
        <v/>
      </c>
      <c r="DD512" s="77">
        <f>IFERROR(VALUE(LEFT(TRIM($AO512&amp;""),4)),"")</f>
        <v/>
      </c>
      <c r="DE512" s="78">
        <f>IF(AND($BY512=1,$BX512=1,OR(fDeal="All Deals",$BU512=fDeal),OR(fEntity="All Entities",$BV512=fEntity),OR(fPType="All Property Types",$BZ512=fPType),OR(fDefeased="Include",$CJ512=0)),1,0)</f>
        <v/>
      </c>
      <c r="DF512" s="83">
        <f>$DE512*N($I512)</f>
        <v/>
      </c>
      <c r="DG512" s="78">
        <f>IF($DE512=1,IF(COUNTIFS($F$8:$F512,$F512,$DE$8:$DE512,1)=1,1,0),0)</f>
        <v/>
      </c>
      <c r="DH512" s="83">
        <f>IF($DG512=1,SUMIFS($DF$8:$DF$1600,$F$8:$F$1600,$F512),0)</f>
        <v/>
      </c>
      <c r="DI512" s="78">
        <f>IF($DG512=1,COUNTIFS($F$8:$F$1600,$F512,$DE$8:$DE$1600,1),0)</f>
        <v/>
      </c>
      <c r="DJ512" s="84">
        <f>IF($DG512=1,$DH512+(100000-ROW())/mTieBreak,0)</f>
        <v/>
      </c>
    </row>
    <row r="513">
      <c r="B513" s="68" t="n">
        <v>36</v>
      </c>
      <c r="C513" s="69" t="inlineStr">
        <is>
          <t>MSC19H6</t>
        </is>
      </c>
      <c r="D513" s="69" t="inlineStr">
        <is>
          <t>36.000</t>
        </is>
      </c>
      <c r="E513" s="69" t="inlineStr">
        <is>
          <t>Coral Ridge Office</t>
        </is>
      </c>
      <c r="F513" s="69" t="inlineStr">
        <is>
          <t>LNMSC19H6-36.000</t>
        </is>
      </c>
      <c r="G513" s="70" t="n"/>
      <c r="H513" s="71" t="n">
        <v>5000000</v>
      </c>
      <c r="I513" s="71" t="n">
        <v>5000000</v>
      </c>
      <c r="J513" s="72" t="n">
        <v>4.85</v>
      </c>
      <c r="K513" s="69" t="inlineStr">
        <is>
          <t>Fixed rate</t>
        </is>
      </c>
      <c r="L513" s="68" t="n">
        <v>120</v>
      </c>
      <c r="M513" s="68" t="n">
        <v>32</v>
      </c>
      <c r="N513" s="68" t="n">
        <v>120</v>
      </c>
      <c r="O513" s="68" t="n">
        <v>120</v>
      </c>
      <c r="P513" s="68" t="n">
        <v>32</v>
      </c>
      <c r="Q513" s="68" t="n">
        <v>88</v>
      </c>
      <c r="R513" s="69" t="inlineStr">
        <is>
          <t>IO</t>
        </is>
      </c>
      <c r="S513" s="69" t="inlineStr">
        <is>
          <t>Yes</t>
        </is>
      </c>
      <c r="T513" s="73" t="n">
        <v>43586</v>
      </c>
      <c r="U513" s="73" t="n">
        <v>47244</v>
      </c>
      <c r="V513" s="73" t="n"/>
      <c r="W513" s="69" t="n"/>
      <c r="X513" s="69" t="inlineStr">
        <is>
          <t>Current</t>
        </is>
      </c>
      <c r="Y513" s="68" t="n"/>
      <c r="Z513" s="69" t="inlineStr">
        <is>
          <t>No Defeasance Occurred</t>
        </is>
      </c>
      <c r="AA513" s="69" t="n"/>
      <c r="AB513" s="69" t="inlineStr">
        <is>
          <t>Never special serv</t>
        </is>
      </c>
      <c r="AC513" s="73" t="n"/>
      <c r="AD513" s="69" t="n"/>
      <c r="AE513" s="69" t="n"/>
      <c r="AF513" s="69" t="inlineStr">
        <is>
          <t>FL</t>
        </is>
      </c>
      <c r="AG513" s="69" t="inlineStr">
        <is>
          <t>Coral Springs</t>
        </is>
      </c>
      <c r="AH513" s="69" t="inlineStr">
        <is>
          <t>Miami-Fort Lauderdale-West Palm Beach, FL</t>
        </is>
      </c>
      <c r="AI513" s="69" t="inlineStr">
        <is>
          <t>South / Atlantic</t>
        </is>
      </c>
      <c r="AJ513" s="69" t="inlineStr">
        <is>
          <t>OF</t>
        </is>
      </c>
      <c r="AK513" s="69" t="inlineStr">
        <is>
          <t>Suburban</t>
        </is>
      </c>
      <c r="AL513" s="68" t="n">
        <v>1</v>
      </c>
      <c r="AM513" s="68" t="n"/>
      <c r="AN513" s="68" t="n">
        <v>27769</v>
      </c>
      <c r="AO513" s="69" t="inlineStr">
        <is>
          <t>2005</t>
        </is>
      </c>
      <c r="AP513" s="70" t="n">
        <v>2005</v>
      </c>
      <c r="AQ513" s="74" t="n">
        <v>1.66</v>
      </c>
      <c r="AR513" s="74" t="n">
        <v>2.66</v>
      </c>
      <c r="AS513" s="74" t="n">
        <v>65.8</v>
      </c>
      <c r="AT513" s="74" t="n">
        <v>65.79000000000001</v>
      </c>
      <c r="AU513" s="74" t="n">
        <v>65.8</v>
      </c>
      <c r="AV513" s="74" t="n">
        <v>8.1608722</v>
      </c>
      <c r="AW513" s="74" t="n">
        <v>11.2469424</v>
      </c>
      <c r="AX513" s="75" t="n">
        <v>100</v>
      </c>
      <c r="AY513" s="71" t="n">
        <v>7600000</v>
      </c>
      <c r="AZ513" s="71" t="n">
        <v>7600000</v>
      </c>
      <c r="BA513" s="71" t="n">
        <v>408043.61</v>
      </c>
      <c r="BB513" s="71" t="n">
        <v>654863.6</v>
      </c>
      <c r="BC513" s="69" t="inlineStr">
        <is>
          <t>Refinance</t>
        </is>
      </c>
      <c r="BD513" s="69" t="inlineStr">
        <is>
          <t>N</t>
        </is>
      </c>
      <c r="BE513" s="71" t="n"/>
      <c r="BF513" s="71" t="n"/>
      <c r="BG513" s="71" t="n"/>
      <c r="BH513" s="71" t="n">
        <v>0</v>
      </c>
      <c r="BI513" s="71" t="n">
        <v>0</v>
      </c>
      <c r="BJ513" s="69" t="inlineStr">
        <is>
          <t>N</t>
        </is>
      </c>
      <c r="BK513" s="69" t="inlineStr">
        <is>
          <t>Frontier Surgical Holdings Inc</t>
        </is>
      </c>
      <c r="BL513" s="75" t="n">
        <v>30.25</v>
      </c>
      <c r="BM513" s="73" t="n">
        <v>47391</v>
      </c>
      <c r="BN513" s="69" t="inlineStr">
        <is>
          <t>Jeffrey B. Chauncey</t>
        </is>
      </c>
      <c r="BO513" s="69" t="inlineStr">
        <is>
          <t>Starwood</t>
        </is>
      </c>
      <c r="BP513" s="69" t="inlineStr">
        <is>
          <t>Midland Loan Services</t>
        </is>
      </c>
      <c r="BQ513" s="69" t="inlineStr">
        <is>
          <t>K-Star Asset Management LLC</t>
        </is>
      </c>
      <c r="BR513" s="69" t="n"/>
      <c r="BS513" s="73" t="n">
        <v>46276</v>
      </c>
      <c r="BU513" s="76">
        <f>IF($C513="","",IFERROR(INDEX(dmName,MATCH($C513,dmID,0)),"Unmapped"))</f>
        <v/>
      </c>
      <c r="BV513" s="76">
        <f>IF($C513="","",IFERROR(INDEX(dmEntity,MATCH($C513,dmID,0)),"Unmapped"))</f>
        <v/>
      </c>
      <c r="BW513" s="77">
        <f>IF($C513="","",IFERROR(INDEX(dmVintage,MATCH($C513,dmID,0)),""))</f>
        <v/>
      </c>
      <c r="BX513" s="78">
        <f>IFERROR(INDEX(dmInclude,MATCH($C513,dmID,0)),0)</f>
        <v/>
      </c>
      <c r="BY513" s="78">
        <f>IF(N($I513)&gt;0,1,0)</f>
        <v/>
      </c>
      <c r="BZ513" s="76">
        <f>IF($AJ513="","Other / Leased Fee",IFERROR(INDEX(mapPTGroup,MATCH(LEFT(TRIM($AJ513),2),mapPTCode,0)),"Other / Leased Fee"))</f>
        <v/>
      </c>
      <c r="CA513" s="76">
        <f>IF(TRIM($AF513&amp;"")="","NR",LEFT(TRIM($AF513),2))</f>
        <v/>
      </c>
      <c r="CB513" s="76">
        <f>IFERROR(LOOKUP(2,1/(LEFT(TRIM($AI513&amp;""),LEN(mapRegion))=mapRegion),mapRegion),"Not Reported")</f>
        <v/>
      </c>
      <c r="CC513" s="76">
        <f>IF($BY513=0,"",IF(TRIM($W513&amp;"")="REO","REO",IF(TRIM($W513&amp;"")="FC","Foreclosure",IF(TRIM($W513&amp;"")="90+","90+ Days Delinquent",IF(TRIM($W513&amp;"")="60","60 Days Delinquent",IF(TRIM($W513&amp;"")="30","30 Days Delinquent",IF($X513="Non-Performing Matured Balloon","Non-Performing Matured Balloon",IF(OR($X513="Late Payment But Less Than 30 Days Delinquent",LEFT($X513&amp;"",20)="Payment Not Received"),"Late / In Grace (&lt;30 Days)",IF($X513="Performing Matured Balloon","Performing Matured Balloon","Current")))))))))</f>
        <v/>
      </c>
      <c r="CD513" s="78">
        <f>IF(OR($CC513="REO",$CC513="Foreclosure",$CC513="90+ Days Delinquent",$CC513="60 Days Delinquent",$CC513="30 Days Delinquent",$CC513="Non-Performing Matured Balloon"),1,0)</f>
        <v/>
      </c>
      <c r="CE513" s="76">
        <f>IF($AB513="Currently special serv","Currently Specially Serviced",IF($AB513="Returned to master serv","Previously Specially Serviced","Never Specially Serviced"))</f>
        <v/>
      </c>
      <c r="CF513" s="78">
        <f>IF($CE513="Currently Specially Serviced",1,0)</f>
        <v/>
      </c>
      <c r="CG513" s="76">
        <f>IF($AA513="Yes","Currently on Watchlist",IF($AA513="Previously","Previously on Watchlist","Never on Watchlist"))</f>
        <v/>
      </c>
      <c r="CH513" s="78">
        <f>IF($CG513="Currently on Watchlist",1,0)</f>
        <v/>
      </c>
      <c r="CI513" s="76">
        <f>IF($Z513="Full Defeasance","Fully Defeased",IF($Z513="Portion Of Loan Previously Defeased","Partially Defeased",IF($Z513="Defeasance Not Allowable","Not Defeased (Not Permitted)","Not Defeased")))</f>
        <v/>
      </c>
      <c r="CJ513" s="78">
        <f>IF($CI513="Fully Defeased",1,0)</f>
        <v/>
      </c>
      <c r="CK513" s="76">
        <f>IF($R513="IO","Full IO",IF(LEFT($R513&amp;"",7)="IO then","Partial IO","Amortizing"))</f>
        <v/>
      </c>
      <c r="CL513" s="78">
        <f>IF($CK513="Full IO",1,0)</f>
        <v/>
      </c>
      <c r="CM513" s="78">
        <f>IF($CK513="Partial IO",1,0)</f>
        <v/>
      </c>
      <c r="CN513" s="76">
        <f>IF(LEFT($F513&amp;"",10)="SPLIT_LOAN","Pari Passu Split","Standalone")</f>
        <v/>
      </c>
      <c r="CO513" s="78">
        <f>IF($CN513="Pari Passu Split",1,0)</f>
        <v/>
      </c>
      <c r="CP513" s="77">
        <f>IF(ISNUMBER($T513),YEAR($T513),"")</f>
        <v/>
      </c>
      <c r="CQ513" s="79">
        <f>IF(ISNUMBER($V513),$V513,IF(ISNUMBER($U513),$U513,""))</f>
        <v/>
      </c>
      <c r="CR513" s="77">
        <f>IF(ISNUMBER($CQ513),YEAR($CQ513),"")</f>
        <v/>
      </c>
      <c r="CS513" s="78">
        <f>IF(ISNUMBER($M513),MAX(0,$M513),IF(TRIM($M513&amp;"")="matured",0,""))</f>
        <v/>
      </c>
      <c r="CT513" s="78">
        <f>IF(AND(ISNUMBER($CS513),N($CS513)&lt;=mMatWindow),1,0)</f>
        <v/>
      </c>
      <c r="CU513" s="80">
        <f>IF(ISNUMBER($J513),$J513/100,"")</f>
        <v/>
      </c>
      <c r="CV513" s="81">
        <f>IF(ISNUMBER($AQ513),$AQ513,"")</f>
        <v/>
      </c>
      <c r="CW513" s="81">
        <f>IF(ISNUMBER($AR513),$AR513,"")</f>
        <v/>
      </c>
      <c r="CX513" s="82">
        <f>IF(ISNUMBER($AS513),$AS513/100,"")</f>
        <v/>
      </c>
      <c r="CY513" s="82">
        <f>IF(ISNUMBER($AT513),$AT513/100,"")</f>
        <v/>
      </c>
      <c r="CZ513" s="82">
        <f>IF(ISNUMBER($AU513),$AU513/100,"")</f>
        <v/>
      </c>
      <c r="DA513" s="82">
        <f>IF(ISNUMBER($AV513),$AV513/100,"")</f>
        <v/>
      </c>
      <c r="DB513" s="82">
        <f>IF(ISNUMBER($AW513),$AW513/100,"")</f>
        <v/>
      </c>
      <c r="DC513" s="82">
        <f>IF(ISNUMBER($AX513),$AX513/100,"")</f>
        <v/>
      </c>
      <c r="DD513" s="77">
        <f>IFERROR(VALUE(LEFT(TRIM($AO513&amp;""),4)),"")</f>
        <v/>
      </c>
      <c r="DE513" s="78">
        <f>IF(AND($BY513=1,$BX513=1,OR(fDeal="All Deals",$BU513=fDeal),OR(fEntity="All Entities",$BV513=fEntity),OR(fPType="All Property Types",$BZ513=fPType),OR(fDefeased="Include",$CJ513=0)),1,0)</f>
        <v/>
      </c>
      <c r="DF513" s="83">
        <f>$DE513*N($I513)</f>
        <v/>
      </c>
      <c r="DG513" s="78">
        <f>IF($DE513=1,IF(COUNTIFS($F$8:$F513,$F513,$DE$8:$DE513,1)=1,1,0),0)</f>
        <v/>
      </c>
      <c r="DH513" s="83">
        <f>IF($DG513=1,SUMIFS($DF$8:$DF$1600,$F$8:$F$1600,$F513),0)</f>
        <v/>
      </c>
      <c r="DI513" s="78">
        <f>IF($DG513=1,COUNTIFS($F$8:$F$1600,$F513,$DE$8:$DE$1600,1),0)</f>
        <v/>
      </c>
      <c r="DJ513" s="84">
        <f>IF($DG513=1,$DH513+(100000-ROW())/mTieBreak,0)</f>
        <v/>
      </c>
    </row>
    <row r="514">
      <c r="B514" s="68" t="n">
        <v>37</v>
      </c>
      <c r="C514" s="69" t="inlineStr">
        <is>
          <t>MSC19H6</t>
        </is>
      </c>
      <c r="D514" s="69" t="inlineStr">
        <is>
          <t>37.000</t>
        </is>
      </c>
      <c r="E514" s="69" t="inlineStr">
        <is>
          <t>Autumn Grove Plaza</t>
        </is>
      </c>
      <c r="F514" s="69" t="inlineStr">
        <is>
          <t>LNMSC19H6-37.000</t>
        </is>
      </c>
      <c r="G514" s="70" t="n"/>
      <c r="H514" s="71" t="n">
        <v>4875000</v>
      </c>
      <c r="I514" s="71" t="n">
        <v>4262444.089999875</v>
      </c>
      <c r="J514" s="72" t="n">
        <v>4.86</v>
      </c>
      <c r="K514" s="69" t="inlineStr">
        <is>
          <t>Fixed rate</t>
        </is>
      </c>
      <c r="L514" s="68" t="n">
        <v>120</v>
      </c>
      <c r="M514" s="68" t="n">
        <v>31</v>
      </c>
      <c r="N514" s="68" t="n">
        <v>360</v>
      </c>
      <c r="O514" s="68" t="n"/>
      <c r="P514" s="68" t="n"/>
      <c r="Q514" s="68" t="n">
        <v>89</v>
      </c>
      <c r="R514" s="69" t="n"/>
      <c r="S514" s="69" t="inlineStr">
        <is>
          <t>No</t>
        </is>
      </c>
      <c r="T514" s="73" t="n">
        <v>43556</v>
      </c>
      <c r="U514" s="73" t="n">
        <v>47209</v>
      </c>
      <c r="V514" s="73" t="n"/>
      <c r="W514" s="69" t="n"/>
      <c r="X514" s="69" t="inlineStr">
        <is>
          <t>Current</t>
        </is>
      </c>
      <c r="Y514" s="68" t="n"/>
      <c r="Z514" s="69" t="inlineStr">
        <is>
          <t>No Defeasance Occurred</t>
        </is>
      </c>
      <c r="AA514" s="69" t="inlineStr">
        <is>
          <t>Previously</t>
        </is>
      </c>
      <c r="AB514" s="69" t="inlineStr">
        <is>
          <t>Never special serv</t>
        </is>
      </c>
      <c r="AC514" s="73" t="n"/>
      <c r="AD514" s="69" t="n"/>
      <c r="AE514" s="69" t="n"/>
      <c r="AF514" s="69" t="inlineStr">
        <is>
          <t>WI</t>
        </is>
      </c>
      <c r="AG514" s="69" t="inlineStr">
        <is>
          <t>Elm Grove</t>
        </is>
      </c>
      <c r="AH514" s="69" t="inlineStr">
        <is>
          <t>Milwaukee-Waukesha, WI</t>
        </is>
      </c>
      <c r="AI514" s="69" t="inlineStr">
        <is>
          <t>Midwest / Central East</t>
        </is>
      </c>
      <c r="AJ514" s="69" t="inlineStr">
        <is>
          <t>RT</t>
        </is>
      </c>
      <c r="AK514" s="69" t="inlineStr">
        <is>
          <t>Unanchored</t>
        </is>
      </c>
      <c r="AL514" s="68" t="n">
        <v>1</v>
      </c>
      <c r="AM514" s="68" t="n"/>
      <c r="AN514" s="68" t="n">
        <v>28760</v>
      </c>
      <c r="AO514" s="69" t="inlineStr">
        <is>
          <t>2005</t>
        </is>
      </c>
      <c r="AP514" s="70" t="n">
        <v>2005</v>
      </c>
      <c r="AQ514" s="74" t="n">
        <v>1.53</v>
      </c>
      <c r="AR514" s="74" t="n">
        <v>1.72</v>
      </c>
      <c r="AS514" s="74" t="n">
        <v>73.59999999999999</v>
      </c>
      <c r="AT514" s="74" t="n">
        <v>64.48</v>
      </c>
      <c r="AU514" s="74" t="n">
        <v>60.5</v>
      </c>
      <c r="AV514" s="74" t="n">
        <v>9.717585846</v>
      </c>
      <c r="AW514" s="74" t="n">
        <v>12.466065684</v>
      </c>
      <c r="AX514" s="75" t="n">
        <v>100</v>
      </c>
      <c r="AY514" s="71" t="n">
        <v>6610000</v>
      </c>
      <c r="AZ514" s="71" t="n">
        <v>6610000</v>
      </c>
      <c r="BA514" s="71" t="n">
        <v>473732.31</v>
      </c>
      <c r="BB514" s="71" t="n">
        <v>531359.08</v>
      </c>
      <c r="BC514" s="69" t="inlineStr">
        <is>
          <t>Refinance</t>
        </is>
      </c>
      <c r="BD514" s="69" t="inlineStr">
        <is>
          <t>N</t>
        </is>
      </c>
      <c r="BE514" s="71" t="n"/>
      <c r="BF514" s="71" t="n"/>
      <c r="BG514" s="71" t="n"/>
      <c r="BH514" s="71" t="n">
        <v>0</v>
      </c>
      <c r="BI514" s="71" t="n">
        <v>0</v>
      </c>
      <c r="BJ514" s="69" t="inlineStr">
        <is>
          <t>N</t>
        </is>
      </c>
      <c r="BK514" s="69" t="inlineStr">
        <is>
          <t>The Huntington National Bank</t>
        </is>
      </c>
      <c r="BL514" s="75" t="n">
        <v>15.92</v>
      </c>
      <c r="BM514" s="73" t="n">
        <v>46691</v>
      </c>
      <c r="BN514" s="69" t="inlineStr">
        <is>
          <t>Next Realty Fund VIII, L.P.</t>
        </is>
      </c>
      <c r="BO514" s="69" t="inlineStr">
        <is>
          <t>Morgan Stanley</t>
        </is>
      </c>
      <c r="BP514" s="69" t="inlineStr">
        <is>
          <t>Midland Loan Services</t>
        </is>
      </c>
      <c r="BQ514" s="69" t="inlineStr">
        <is>
          <t>K-Star Asset Management LLC</t>
        </is>
      </c>
      <c r="BR514" s="69" t="n"/>
      <c r="BS514" s="73" t="n">
        <v>46276</v>
      </c>
      <c r="BU514" s="76">
        <f>IF($C514="","",IFERROR(INDEX(dmName,MATCH($C514,dmID,0)),"Unmapped"))</f>
        <v/>
      </c>
      <c r="BV514" s="76">
        <f>IF($C514="","",IFERROR(INDEX(dmEntity,MATCH($C514,dmID,0)),"Unmapped"))</f>
        <v/>
      </c>
      <c r="BW514" s="77">
        <f>IF($C514="","",IFERROR(INDEX(dmVintage,MATCH($C514,dmID,0)),""))</f>
        <v/>
      </c>
      <c r="BX514" s="78">
        <f>IFERROR(INDEX(dmInclude,MATCH($C514,dmID,0)),0)</f>
        <v/>
      </c>
      <c r="BY514" s="78">
        <f>IF(N($I514)&gt;0,1,0)</f>
        <v/>
      </c>
      <c r="BZ514" s="76">
        <f>IF($AJ514="","Other / Leased Fee",IFERROR(INDEX(mapPTGroup,MATCH(LEFT(TRIM($AJ514),2),mapPTCode,0)),"Other / Leased Fee"))</f>
        <v/>
      </c>
      <c r="CA514" s="76">
        <f>IF(TRIM($AF514&amp;"")="","NR",LEFT(TRIM($AF514),2))</f>
        <v/>
      </c>
      <c r="CB514" s="76">
        <f>IFERROR(LOOKUP(2,1/(LEFT(TRIM($AI514&amp;""),LEN(mapRegion))=mapRegion),mapRegion),"Not Reported")</f>
        <v/>
      </c>
      <c r="CC514" s="76">
        <f>IF($BY514=0,"",IF(TRIM($W514&amp;"")="REO","REO",IF(TRIM($W514&amp;"")="FC","Foreclosure",IF(TRIM($W514&amp;"")="90+","90+ Days Delinquent",IF(TRIM($W514&amp;"")="60","60 Days Delinquent",IF(TRIM($W514&amp;"")="30","30 Days Delinquent",IF($X514="Non-Performing Matured Balloon","Non-Performing Matured Balloon",IF(OR($X514="Late Payment But Less Than 30 Days Delinquent",LEFT($X514&amp;"",20)="Payment Not Received"),"Late / In Grace (&lt;30 Days)",IF($X514="Performing Matured Balloon","Performing Matured Balloon","Current")))))))))</f>
        <v/>
      </c>
      <c r="CD514" s="78">
        <f>IF(OR($CC514="REO",$CC514="Foreclosure",$CC514="90+ Days Delinquent",$CC514="60 Days Delinquent",$CC514="30 Days Delinquent",$CC514="Non-Performing Matured Balloon"),1,0)</f>
        <v/>
      </c>
      <c r="CE514" s="76">
        <f>IF($AB514="Currently special serv","Currently Specially Serviced",IF($AB514="Returned to master serv","Previously Specially Serviced","Never Specially Serviced"))</f>
        <v/>
      </c>
      <c r="CF514" s="78">
        <f>IF($CE514="Currently Specially Serviced",1,0)</f>
        <v/>
      </c>
      <c r="CG514" s="76">
        <f>IF($AA514="Yes","Currently on Watchlist",IF($AA514="Previously","Previously on Watchlist","Never on Watchlist"))</f>
        <v/>
      </c>
      <c r="CH514" s="78">
        <f>IF($CG514="Currently on Watchlist",1,0)</f>
        <v/>
      </c>
      <c r="CI514" s="76">
        <f>IF($Z514="Full Defeasance","Fully Defeased",IF($Z514="Portion Of Loan Previously Defeased","Partially Defeased",IF($Z514="Defeasance Not Allowable","Not Defeased (Not Permitted)","Not Defeased")))</f>
        <v/>
      </c>
      <c r="CJ514" s="78">
        <f>IF($CI514="Fully Defeased",1,0)</f>
        <v/>
      </c>
      <c r="CK514" s="76">
        <f>IF($R514="IO","Full IO",IF(LEFT($R514&amp;"",7)="IO then","Partial IO","Amortizing"))</f>
        <v/>
      </c>
      <c r="CL514" s="78">
        <f>IF($CK514="Full IO",1,0)</f>
        <v/>
      </c>
      <c r="CM514" s="78">
        <f>IF($CK514="Partial IO",1,0)</f>
        <v/>
      </c>
      <c r="CN514" s="76">
        <f>IF(LEFT($F514&amp;"",10)="SPLIT_LOAN","Pari Passu Split","Standalone")</f>
        <v/>
      </c>
      <c r="CO514" s="78">
        <f>IF($CN514="Pari Passu Split",1,0)</f>
        <v/>
      </c>
      <c r="CP514" s="77">
        <f>IF(ISNUMBER($T514),YEAR($T514),"")</f>
        <v/>
      </c>
      <c r="CQ514" s="79">
        <f>IF(ISNUMBER($V514),$V514,IF(ISNUMBER($U514),$U514,""))</f>
        <v/>
      </c>
      <c r="CR514" s="77">
        <f>IF(ISNUMBER($CQ514),YEAR($CQ514),"")</f>
        <v/>
      </c>
      <c r="CS514" s="78">
        <f>IF(ISNUMBER($M514),MAX(0,$M514),IF(TRIM($M514&amp;"")="matured",0,""))</f>
        <v/>
      </c>
      <c r="CT514" s="78">
        <f>IF(AND(ISNUMBER($CS514),N($CS514)&lt;=mMatWindow),1,0)</f>
        <v/>
      </c>
      <c r="CU514" s="80">
        <f>IF(ISNUMBER($J514),$J514/100,"")</f>
        <v/>
      </c>
      <c r="CV514" s="81">
        <f>IF(ISNUMBER($AQ514),$AQ514,"")</f>
        <v/>
      </c>
      <c r="CW514" s="81">
        <f>IF(ISNUMBER($AR514),$AR514,"")</f>
        <v/>
      </c>
      <c r="CX514" s="82">
        <f>IF(ISNUMBER($AS514),$AS514/100,"")</f>
        <v/>
      </c>
      <c r="CY514" s="82">
        <f>IF(ISNUMBER($AT514),$AT514/100,"")</f>
        <v/>
      </c>
      <c r="CZ514" s="82">
        <f>IF(ISNUMBER($AU514),$AU514/100,"")</f>
        <v/>
      </c>
      <c r="DA514" s="82">
        <f>IF(ISNUMBER($AV514),$AV514/100,"")</f>
        <v/>
      </c>
      <c r="DB514" s="82">
        <f>IF(ISNUMBER($AW514),$AW514/100,"")</f>
        <v/>
      </c>
      <c r="DC514" s="82">
        <f>IF(ISNUMBER($AX514),$AX514/100,"")</f>
        <v/>
      </c>
      <c r="DD514" s="77">
        <f>IFERROR(VALUE(LEFT(TRIM($AO514&amp;""),4)),"")</f>
        <v/>
      </c>
      <c r="DE514" s="78">
        <f>IF(AND($BY514=1,$BX514=1,OR(fDeal="All Deals",$BU514=fDeal),OR(fEntity="All Entities",$BV514=fEntity),OR(fPType="All Property Types",$BZ514=fPType),OR(fDefeased="Include",$CJ514=0)),1,0)</f>
        <v/>
      </c>
      <c r="DF514" s="83">
        <f>$DE514*N($I514)</f>
        <v/>
      </c>
      <c r="DG514" s="78">
        <f>IF($DE514=1,IF(COUNTIFS($F$8:$F514,$F514,$DE$8:$DE514,1)=1,1,0),0)</f>
        <v/>
      </c>
      <c r="DH514" s="83">
        <f>IF($DG514=1,SUMIFS($DF$8:$DF$1600,$F$8:$F$1600,$F514),0)</f>
        <v/>
      </c>
      <c r="DI514" s="78">
        <f>IF($DG514=1,COUNTIFS($F$8:$F$1600,$F514,$DE$8:$DE$1600,1),0)</f>
        <v/>
      </c>
      <c r="DJ514" s="84">
        <f>IF($DG514=1,$DH514+(100000-ROW())/mTieBreak,0)</f>
        <v/>
      </c>
    </row>
    <row r="515">
      <c r="B515" s="68" t="n">
        <v>38</v>
      </c>
      <c r="C515" s="69" t="inlineStr">
        <is>
          <t>MSC19H6</t>
        </is>
      </c>
      <c r="D515" s="69" t="inlineStr">
        <is>
          <t>38.000</t>
        </is>
      </c>
      <c r="E515" s="69" t="inlineStr">
        <is>
          <t>River Mall Plaza</t>
        </is>
      </c>
      <c r="F515" s="69" t="inlineStr">
        <is>
          <t>LNMSC19H6-38.000</t>
        </is>
      </c>
      <c r="G515" s="70" t="n"/>
      <c r="H515" s="71" t="n">
        <v>4752000</v>
      </c>
      <c r="I515" s="71" t="n">
        <v>4429152.670000608</v>
      </c>
      <c r="J515" s="72" t="n">
        <v>4.73</v>
      </c>
      <c r="K515" s="69" t="inlineStr">
        <is>
          <t>Fixed rate</t>
        </is>
      </c>
      <c r="L515" s="68" t="n">
        <v>120</v>
      </c>
      <c r="M515" s="68" t="n">
        <v>33</v>
      </c>
      <c r="N515" s="68" t="n">
        <v>396</v>
      </c>
      <c r="O515" s="68" t="n">
        <v>36</v>
      </c>
      <c r="P515" s="68" t="n">
        <v>0</v>
      </c>
      <c r="Q515" s="68" t="n">
        <v>87</v>
      </c>
      <c r="R515" s="69" t="inlineStr">
        <is>
          <t>IO then Amort</t>
        </is>
      </c>
      <c r="S515" s="69" t="inlineStr">
        <is>
          <t>No</t>
        </is>
      </c>
      <c r="T515" s="73" t="n">
        <v>43617</v>
      </c>
      <c r="U515" s="73" t="n">
        <v>47275</v>
      </c>
      <c r="V515" s="73" t="n"/>
      <c r="W515" s="69" t="n"/>
      <c r="X515" s="69" t="inlineStr">
        <is>
          <t>Current</t>
        </is>
      </c>
      <c r="Y515" s="68" t="n"/>
      <c r="Z515" s="69" t="inlineStr">
        <is>
          <t>No Defeasance Occurred</t>
        </is>
      </c>
      <c r="AA515" s="69" t="inlineStr">
        <is>
          <t>Yes</t>
        </is>
      </c>
      <c r="AB515" s="69" t="inlineStr">
        <is>
          <t>Never special serv</t>
        </is>
      </c>
      <c r="AC515" s="73" t="n"/>
      <c r="AD515" s="69" t="n"/>
      <c r="AE515" s="69" t="n"/>
      <c r="AF515" s="69" t="inlineStr">
        <is>
          <t>NY</t>
        </is>
      </c>
      <c r="AG515" s="69" t="inlineStr">
        <is>
          <t>Baldwinsville</t>
        </is>
      </c>
      <c r="AH515" s="69" t="inlineStr">
        <is>
          <t>Syracuse, NY</t>
        </is>
      </c>
      <c r="AI515" s="69" t="inlineStr">
        <is>
          <t>Northeast / Mid-Atlantic</t>
        </is>
      </c>
      <c r="AJ515" s="69" t="inlineStr">
        <is>
          <t>RT</t>
        </is>
      </c>
      <c r="AK515" s="69" t="inlineStr">
        <is>
          <t>Anchored</t>
        </is>
      </c>
      <c r="AL515" s="68" t="n">
        <v>1</v>
      </c>
      <c r="AM515" s="68" t="n"/>
      <c r="AN515" s="68" t="n">
        <v>164661</v>
      </c>
      <c r="AO515" s="69" t="inlineStr">
        <is>
          <t>1971, 1984, 1998, 2003</t>
        </is>
      </c>
      <c r="AP515" s="70" t="n">
        <v>2003</v>
      </c>
      <c r="AQ515" s="74" t="n">
        <v>1.89</v>
      </c>
      <c r="AR515" s="74" t="n">
        <v>1.37</v>
      </c>
      <c r="AS515" s="74" t="n">
        <v>64.3</v>
      </c>
      <c r="AT515" s="74" t="n">
        <v>59.93</v>
      </c>
      <c r="AU515" s="74" t="n">
        <v>56.69</v>
      </c>
      <c r="AV515" s="74" t="n">
        <v>11.801473064</v>
      </c>
      <c r="AW515" s="74" t="n">
        <v>12.25535696</v>
      </c>
      <c r="AX515" s="75" t="n">
        <v>100</v>
      </c>
      <c r="AY515" s="71" t="n">
        <v>7390000</v>
      </c>
      <c r="AZ515" s="71" t="n">
        <v>7390000</v>
      </c>
      <c r="BA515" s="71" t="n">
        <v>560806</v>
      </c>
      <c r="BB515" s="71" t="n">
        <v>101523.64</v>
      </c>
      <c r="BC515" s="69" t="inlineStr">
        <is>
          <t>Acquisition</t>
        </is>
      </c>
      <c r="BD515" s="69" t="inlineStr">
        <is>
          <t>N</t>
        </is>
      </c>
      <c r="BE515" s="71" t="n"/>
      <c r="BF515" s="71" t="n"/>
      <c r="BG515" s="71" t="n"/>
      <c r="BH515" s="71" t="n">
        <v>0</v>
      </c>
      <c r="BI515" s="71" t="n">
        <v>0</v>
      </c>
      <c r="BJ515" s="69" t="inlineStr">
        <is>
          <t>N</t>
        </is>
      </c>
      <c r="BK515" s="69" t="inlineStr">
        <is>
          <t>Tops Market</t>
        </is>
      </c>
      <c r="BL515" s="75" t="n">
        <v>30.88</v>
      </c>
      <c r="BM515" s="73" t="n">
        <v>49887</v>
      </c>
      <c r="BN515" s="69" t="inlineStr">
        <is>
          <t>Robert Gershon</t>
        </is>
      </c>
      <c r="BO515" s="69" t="inlineStr">
        <is>
          <t>Argentic Real Estate Finance</t>
        </is>
      </c>
      <c r="BP515" s="69" t="inlineStr">
        <is>
          <t>Midland Loan Services</t>
        </is>
      </c>
      <c r="BQ515" s="69" t="inlineStr">
        <is>
          <t>K-Star Asset Management LLC</t>
        </is>
      </c>
      <c r="BR515" s="69" t="n"/>
      <c r="BS515" s="73" t="n">
        <v>46276</v>
      </c>
      <c r="BU515" s="76">
        <f>IF($C515="","",IFERROR(INDEX(dmName,MATCH($C515,dmID,0)),"Unmapped"))</f>
        <v/>
      </c>
      <c r="BV515" s="76">
        <f>IF($C515="","",IFERROR(INDEX(dmEntity,MATCH($C515,dmID,0)),"Unmapped"))</f>
        <v/>
      </c>
      <c r="BW515" s="77">
        <f>IF($C515="","",IFERROR(INDEX(dmVintage,MATCH($C515,dmID,0)),""))</f>
        <v/>
      </c>
      <c r="BX515" s="78">
        <f>IFERROR(INDEX(dmInclude,MATCH($C515,dmID,0)),0)</f>
        <v/>
      </c>
      <c r="BY515" s="78">
        <f>IF(N($I515)&gt;0,1,0)</f>
        <v/>
      </c>
      <c r="BZ515" s="76">
        <f>IF($AJ515="","Other / Leased Fee",IFERROR(INDEX(mapPTGroup,MATCH(LEFT(TRIM($AJ515),2),mapPTCode,0)),"Other / Leased Fee"))</f>
        <v/>
      </c>
      <c r="CA515" s="76">
        <f>IF(TRIM($AF515&amp;"")="","NR",LEFT(TRIM($AF515),2))</f>
        <v/>
      </c>
      <c r="CB515" s="76">
        <f>IFERROR(LOOKUP(2,1/(LEFT(TRIM($AI515&amp;""),LEN(mapRegion))=mapRegion),mapRegion),"Not Reported")</f>
        <v/>
      </c>
      <c r="CC515" s="76">
        <f>IF($BY515=0,"",IF(TRIM($W515&amp;"")="REO","REO",IF(TRIM($W515&amp;"")="FC","Foreclosure",IF(TRIM($W515&amp;"")="90+","90+ Days Delinquent",IF(TRIM($W515&amp;"")="60","60 Days Delinquent",IF(TRIM($W515&amp;"")="30","30 Days Delinquent",IF($X515="Non-Performing Matured Balloon","Non-Performing Matured Balloon",IF(OR($X515="Late Payment But Less Than 30 Days Delinquent",LEFT($X515&amp;"",20)="Payment Not Received"),"Late / In Grace (&lt;30 Days)",IF($X515="Performing Matured Balloon","Performing Matured Balloon","Current")))))))))</f>
        <v/>
      </c>
      <c r="CD515" s="78">
        <f>IF(OR($CC515="REO",$CC515="Foreclosure",$CC515="90+ Days Delinquent",$CC515="60 Days Delinquent",$CC515="30 Days Delinquent",$CC515="Non-Performing Matured Balloon"),1,0)</f>
        <v/>
      </c>
      <c r="CE515" s="76">
        <f>IF($AB515="Currently special serv","Currently Specially Serviced",IF($AB515="Returned to master serv","Previously Specially Serviced","Never Specially Serviced"))</f>
        <v/>
      </c>
      <c r="CF515" s="78">
        <f>IF($CE515="Currently Specially Serviced",1,0)</f>
        <v/>
      </c>
      <c r="CG515" s="76">
        <f>IF($AA515="Yes","Currently on Watchlist",IF($AA515="Previously","Previously on Watchlist","Never on Watchlist"))</f>
        <v/>
      </c>
      <c r="CH515" s="78">
        <f>IF($CG515="Currently on Watchlist",1,0)</f>
        <v/>
      </c>
      <c r="CI515" s="76">
        <f>IF($Z515="Full Defeasance","Fully Defeased",IF($Z515="Portion Of Loan Previously Defeased","Partially Defeased",IF($Z515="Defeasance Not Allowable","Not Defeased (Not Permitted)","Not Defeased")))</f>
        <v/>
      </c>
      <c r="CJ515" s="78">
        <f>IF($CI515="Fully Defeased",1,0)</f>
        <v/>
      </c>
      <c r="CK515" s="76">
        <f>IF($R515="IO","Full IO",IF(LEFT($R515&amp;"",7)="IO then","Partial IO","Amortizing"))</f>
        <v/>
      </c>
      <c r="CL515" s="78">
        <f>IF($CK515="Full IO",1,0)</f>
        <v/>
      </c>
      <c r="CM515" s="78">
        <f>IF($CK515="Partial IO",1,0)</f>
        <v/>
      </c>
      <c r="CN515" s="76">
        <f>IF(LEFT($F515&amp;"",10)="SPLIT_LOAN","Pari Passu Split","Standalone")</f>
        <v/>
      </c>
      <c r="CO515" s="78">
        <f>IF($CN515="Pari Passu Split",1,0)</f>
        <v/>
      </c>
      <c r="CP515" s="77">
        <f>IF(ISNUMBER($T515),YEAR($T515),"")</f>
        <v/>
      </c>
      <c r="CQ515" s="79">
        <f>IF(ISNUMBER($V515),$V515,IF(ISNUMBER($U515),$U515,""))</f>
        <v/>
      </c>
      <c r="CR515" s="77">
        <f>IF(ISNUMBER($CQ515),YEAR($CQ515),"")</f>
        <v/>
      </c>
      <c r="CS515" s="78">
        <f>IF(ISNUMBER($M515),MAX(0,$M515),IF(TRIM($M515&amp;"")="matured",0,""))</f>
        <v/>
      </c>
      <c r="CT515" s="78">
        <f>IF(AND(ISNUMBER($CS515),N($CS515)&lt;=mMatWindow),1,0)</f>
        <v/>
      </c>
      <c r="CU515" s="80">
        <f>IF(ISNUMBER($J515),$J515/100,"")</f>
        <v/>
      </c>
      <c r="CV515" s="81">
        <f>IF(ISNUMBER($AQ515),$AQ515,"")</f>
        <v/>
      </c>
      <c r="CW515" s="81">
        <f>IF(ISNUMBER($AR515),$AR515,"")</f>
        <v/>
      </c>
      <c r="CX515" s="82">
        <f>IF(ISNUMBER($AS515),$AS515/100,"")</f>
        <v/>
      </c>
      <c r="CY515" s="82">
        <f>IF(ISNUMBER($AT515),$AT515/100,"")</f>
        <v/>
      </c>
      <c r="CZ515" s="82">
        <f>IF(ISNUMBER($AU515),$AU515/100,"")</f>
        <v/>
      </c>
      <c r="DA515" s="82">
        <f>IF(ISNUMBER($AV515),$AV515/100,"")</f>
        <v/>
      </c>
      <c r="DB515" s="82">
        <f>IF(ISNUMBER($AW515),$AW515/100,"")</f>
        <v/>
      </c>
      <c r="DC515" s="82">
        <f>IF(ISNUMBER($AX515),$AX515/100,"")</f>
        <v/>
      </c>
      <c r="DD515" s="77">
        <f>IFERROR(VALUE(LEFT(TRIM($AO515&amp;""),4)),"")</f>
        <v/>
      </c>
      <c r="DE515" s="78">
        <f>IF(AND($BY515=1,$BX515=1,OR(fDeal="All Deals",$BU515=fDeal),OR(fEntity="All Entities",$BV515=fEntity),OR(fPType="All Property Types",$BZ515=fPType),OR(fDefeased="Include",$CJ515=0)),1,0)</f>
        <v/>
      </c>
      <c r="DF515" s="83">
        <f>$DE515*N($I515)</f>
        <v/>
      </c>
      <c r="DG515" s="78">
        <f>IF($DE515=1,IF(COUNTIFS($F$8:$F515,$F515,$DE$8:$DE515,1)=1,1,0),0)</f>
        <v/>
      </c>
      <c r="DH515" s="83">
        <f>IF($DG515=1,SUMIFS($DF$8:$DF$1600,$F$8:$F$1600,$F515),0)</f>
        <v/>
      </c>
      <c r="DI515" s="78">
        <f>IF($DG515=1,COUNTIFS($F$8:$F$1600,$F515,$DE$8:$DE$1600,1),0)</f>
        <v/>
      </c>
      <c r="DJ515" s="84">
        <f>IF($DG515=1,$DH515+(100000-ROW())/mTieBreak,0)</f>
        <v/>
      </c>
    </row>
    <row r="516">
      <c r="B516" s="68" t="n">
        <v>39</v>
      </c>
      <c r="C516" s="69" t="inlineStr">
        <is>
          <t>MSC19H6</t>
        </is>
      </c>
      <c r="D516" s="69" t="inlineStr">
        <is>
          <t>39.000</t>
        </is>
      </c>
      <c r="E516" s="69" t="inlineStr">
        <is>
          <t>White Building</t>
        </is>
      </c>
      <c r="F516" s="69" t="inlineStr">
        <is>
          <t>LNMSC19H6-39.000</t>
        </is>
      </c>
      <c r="G516" s="70" t="n"/>
      <c r="H516" s="71" t="n">
        <v>4600000</v>
      </c>
      <c r="I516" s="71" t="n">
        <v>4600000</v>
      </c>
      <c r="J516" s="72" t="n">
        <v>4.745</v>
      </c>
      <c r="K516" s="69" t="inlineStr">
        <is>
          <t>Fixed rate</t>
        </is>
      </c>
      <c r="L516" s="68" t="n">
        <v>120</v>
      </c>
      <c r="M516" s="68" t="n">
        <v>33</v>
      </c>
      <c r="N516" s="68" t="n">
        <v>120</v>
      </c>
      <c r="O516" s="68" t="n">
        <v>120</v>
      </c>
      <c r="P516" s="68" t="n">
        <v>33</v>
      </c>
      <c r="Q516" s="68" t="n">
        <v>87</v>
      </c>
      <c r="R516" s="69" t="inlineStr">
        <is>
          <t>IO</t>
        </is>
      </c>
      <c r="S516" s="69" t="inlineStr">
        <is>
          <t>Yes</t>
        </is>
      </c>
      <c r="T516" s="73" t="n">
        <v>43617</v>
      </c>
      <c r="U516" s="73" t="n">
        <v>47275</v>
      </c>
      <c r="V516" s="73" t="n"/>
      <c r="W516" s="69" t="n"/>
      <c r="X516" s="69" t="inlineStr">
        <is>
          <t>Payment Not Received But Still In Grace Period Or Not Yet Due</t>
        </is>
      </c>
      <c r="Y516" s="68" t="n"/>
      <c r="Z516" s="69" t="inlineStr">
        <is>
          <t>No Defeasance Occurred</t>
        </is>
      </c>
      <c r="AA516" s="69" t="inlineStr">
        <is>
          <t>Yes</t>
        </is>
      </c>
      <c r="AB516" s="69" t="inlineStr">
        <is>
          <t>Never special serv</t>
        </is>
      </c>
      <c r="AC516" s="73" t="n"/>
      <c r="AD516" s="69" t="n"/>
      <c r="AE516" s="69" t="n"/>
      <c r="AF516" s="69" t="inlineStr">
        <is>
          <t>PA</t>
        </is>
      </c>
      <c r="AG516" s="69" t="inlineStr">
        <is>
          <t>Philadelphia</t>
        </is>
      </c>
      <c r="AH516" s="69" t="inlineStr">
        <is>
          <t>Philadelphia-Camden-Wilmington, PA-NJ-DE-MD</t>
        </is>
      </c>
      <c r="AI516" s="69" t="inlineStr">
        <is>
          <t>Northeast / Mid-Atlantic</t>
        </is>
      </c>
      <c r="AJ516" s="69" t="inlineStr">
        <is>
          <t>RT</t>
        </is>
      </c>
      <c r="AK516" s="69" t="inlineStr">
        <is>
          <t>Unanchored</t>
        </is>
      </c>
      <c r="AL516" s="68" t="n">
        <v>1</v>
      </c>
      <c r="AM516" s="68" t="n"/>
      <c r="AN516" s="68" t="n">
        <v>11936</v>
      </c>
      <c r="AO516" s="69" t="inlineStr">
        <is>
          <t>1867</t>
        </is>
      </c>
      <c r="AP516" s="70" t="n">
        <v>2006</v>
      </c>
      <c r="AQ516" s="74" t="n">
        <v>1.87</v>
      </c>
      <c r="AR516" s="74" t="n">
        <v>-0.03</v>
      </c>
      <c r="AS516" s="74" t="n">
        <v>51.69</v>
      </c>
      <c r="AT516" s="74" t="n">
        <v>51.69</v>
      </c>
      <c r="AU516" s="74" t="n">
        <v>51.69</v>
      </c>
      <c r="AV516" s="74" t="n">
        <v>8.978717391</v>
      </c>
      <c r="AW516" s="74" t="n">
        <v>-9.506003043</v>
      </c>
      <c r="AX516" s="75" t="n">
        <v>31</v>
      </c>
      <c r="AY516" s="71" t="n">
        <v>8900000</v>
      </c>
      <c r="AZ516" s="71" t="n">
        <v>8900000</v>
      </c>
      <c r="BA516" s="71" t="n">
        <v>413021</v>
      </c>
      <c r="BB516" s="71" t="n">
        <v>-1704.82</v>
      </c>
      <c r="BC516" s="69" t="inlineStr">
        <is>
          <t>Refinance</t>
        </is>
      </c>
      <c r="BD516" s="69" t="inlineStr">
        <is>
          <t>N</t>
        </is>
      </c>
      <c r="BE516" s="71" t="n"/>
      <c r="BF516" s="71" t="n"/>
      <c r="BG516" s="71" t="n"/>
      <c r="BH516" s="71" t="n">
        <v>0</v>
      </c>
      <c r="BI516" s="71" t="n">
        <v>18775.66</v>
      </c>
      <c r="BJ516" s="69" t="inlineStr">
        <is>
          <t>N</t>
        </is>
      </c>
      <c r="BK516" s="69" t="inlineStr">
        <is>
          <t>Shake Shack PA BSMT- #1248 -PA</t>
        </is>
      </c>
      <c r="BL516" s="75" t="n">
        <v>24.9</v>
      </c>
      <c r="BM516" s="73" t="n">
        <v>47149</v>
      </c>
      <c r="BN516" s="69" t="inlineStr">
        <is>
          <t>Paragon Real Estate Fund, LLC</t>
        </is>
      </c>
      <c r="BO516" s="69" t="inlineStr">
        <is>
          <t>Argentic Real Estate Finance</t>
        </is>
      </c>
      <c r="BP516" s="69" t="inlineStr">
        <is>
          <t>Midland Loan Services</t>
        </is>
      </c>
      <c r="BQ516" s="69" t="inlineStr">
        <is>
          <t>K-Star Asset Management LLC</t>
        </is>
      </c>
      <c r="BR516" s="69" t="n"/>
      <c r="BS516" s="73" t="n">
        <v>46276</v>
      </c>
      <c r="BU516" s="76">
        <f>IF($C516="","",IFERROR(INDEX(dmName,MATCH($C516,dmID,0)),"Unmapped"))</f>
        <v/>
      </c>
      <c r="BV516" s="76">
        <f>IF($C516="","",IFERROR(INDEX(dmEntity,MATCH($C516,dmID,0)),"Unmapped"))</f>
        <v/>
      </c>
      <c r="BW516" s="77">
        <f>IF($C516="","",IFERROR(INDEX(dmVintage,MATCH($C516,dmID,0)),""))</f>
        <v/>
      </c>
      <c r="BX516" s="78">
        <f>IFERROR(INDEX(dmInclude,MATCH($C516,dmID,0)),0)</f>
        <v/>
      </c>
      <c r="BY516" s="78">
        <f>IF(N($I516)&gt;0,1,0)</f>
        <v/>
      </c>
      <c r="BZ516" s="76">
        <f>IF($AJ516="","Other / Leased Fee",IFERROR(INDEX(mapPTGroup,MATCH(LEFT(TRIM($AJ516),2),mapPTCode,0)),"Other / Leased Fee"))</f>
        <v/>
      </c>
      <c r="CA516" s="76">
        <f>IF(TRIM($AF516&amp;"")="","NR",LEFT(TRIM($AF516),2))</f>
        <v/>
      </c>
      <c r="CB516" s="76">
        <f>IFERROR(LOOKUP(2,1/(LEFT(TRIM($AI516&amp;""),LEN(mapRegion))=mapRegion),mapRegion),"Not Reported")</f>
        <v/>
      </c>
      <c r="CC516" s="76">
        <f>IF($BY516=0,"",IF(TRIM($W516&amp;"")="REO","REO",IF(TRIM($W516&amp;"")="FC","Foreclosure",IF(TRIM($W516&amp;"")="90+","90+ Days Delinquent",IF(TRIM($W516&amp;"")="60","60 Days Delinquent",IF(TRIM($W516&amp;"")="30","30 Days Delinquent",IF($X516="Non-Performing Matured Balloon","Non-Performing Matured Balloon",IF(OR($X516="Late Payment But Less Than 30 Days Delinquent",LEFT($X516&amp;"",20)="Payment Not Received"),"Late / In Grace (&lt;30 Days)",IF($X516="Performing Matured Balloon","Performing Matured Balloon","Current")))))))))</f>
        <v/>
      </c>
      <c r="CD516" s="78">
        <f>IF(OR($CC516="REO",$CC516="Foreclosure",$CC516="90+ Days Delinquent",$CC516="60 Days Delinquent",$CC516="30 Days Delinquent",$CC516="Non-Performing Matured Balloon"),1,0)</f>
        <v/>
      </c>
      <c r="CE516" s="76">
        <f>IF($AB516="Currently special serv","Currently Specially Serviced",IF($AB516="Returned to master serv","Previously Specially Serviced","Never Specially Serviced"))</f>
        <v/>
      </c>
      <c r="CF516" s="78">
        <f>IF($CE516="Currently Specially Serviced",1,0)</f>
        <v/>
      </c>
      <c r="CG516" s="76">
        <f>IF($AA516="Yes","Currently on Watchlist",IF($AA516="Previously","Previously on Watchlist","Never on Watchlist"))</f>
        <v/>
      </c>
      <c r="CH516" s="78">
        <f>IF($CG516="Currently on Watchlist",1,0)</f>
        <v/>
      </c>
      <c r="CI516" s="76">
        <f>IF($Z516="Full Defeasance","Fully Defeased",IF($Z516="Portion Of Loan Previously Defeased","Partially Defeased",IF($Z516="Defeasance Not Allowable","Not Defeased (Not Permitted)","Not Defeased")))</f>
        <v/>
      </c>
      <c r="CJ516" s="78">
        <f>IF($CI516="Fully Defeased",1,0)</f>
        <v/>
      </c>
      <c r="CK516" s="76">
        <f>IF($R516="IO","Full IO",IF(LEFT($R516&amp;"",7)="IO then","Partial IO","Amortizing"))</f>
        <v/>
      </c>
      <c r="CL516" s="78">
        <f>IF($CK516="Full IO",1,0)</f>
        <v/>
      </c>
      <c r="CM516" s="78">
        <f>IF($CK516="Partial IO",1,0)</f>
        <v/>
      </c>
      <c r="CN516" s="76">
        <f>IF(LEFT($F516&amp;"",10)="SPLIT_LOAN","Pari Passu Split","Standalone")</f>
        <v/>
      </c>
      <c r="CO516" s="78">
        <f>IF($CN516="Pari Passu Split",1,0)</f>
        <v/>
      </c>
      <c r="CP516" s="77">
        <f>IF(ISNUMBER($T516),YEAR($T516),"")</f>
        <v/>
      </c>
      <c r="CQ516" s="79">
        <f>IF(ISNUMBER($V516),$V516,IF(ISNUMBER($U516),$U516,""))</f>
        <v/>
      </c>
      <c r="CR516" s="77">
        <f>IF(ISNUMBER($CQ516),YEAR($CQ516),"")</f>
        <v/>
      </c>
      <c r="CS516" s="78">
        <f>IF(ISNUMBER($M516),MAX(0,$M516),IF(TRIM($M516&amp;"")="matured",0,""))</f>
        <v/>
      </c>
      <c r="CT516" s="78">
        <f>IF(AND(ISNUMBER($CS516),N($CS516)&lt;=mMatWindow),1,0)</f>
        <v/>
      </c>
      <c r="CU516" s="80">
        <f>IF(ISNUMBER($J516),$J516/100,"")</f>
        <v/>
      </c>
      <c r="CV516" s="81">
        <f>IF(ISNUMBER($AQ516),$AQ516,"")</f>
        <v/>
      </c>
      <c r="CW516" s="81">
        <f>IF(ISNUMBER($AR516),$AR516,"")</f>
        <v/>
      </c>
      <c r="CX516" s="82">
        <f>IF(ISNUMBER($AS516),$AS516/100,"")</f>
        <v/>
      </c>
      <c r="CY516" s="82">
        <f>IF(ISNUMBER($AT516),$AT516/100,"")</f>
        <v/>
      </c>
      <c r="CZ516" s="82">
        <f>IF(ISNUMBER($AU516),$AU516/100,"")</f>
        <v/>
      </c>
      <c r="DA516" s="82">
        <f>IF(ISNUMBER($AV516),$AV516/100,"")</f>
        <v/>
      </c>
      <c r="DB516" s="82">
        <f>IF(ISNUMBER($AW516),$AW516/100,"")</f>
        <v/>
      </c>
      <c r="DC516" s="82">
        <f>IF(ISNUMBER($AX516),$AX516/100,"")</f>
        <v/>
      </c>
      <c r="DD516" s="77">
        <f>IFERROR(VALUE(LEFT(TRIM($AO516&amp;""),4)),"")</f>
        <v/>
      </c>
      <c r="DE516" s="78">
        <f>IF(AND($BY516=1,$BX516=1,OR(fDeal="All Deals",$BU516=fDeal),OR(fEntity="All Entities",$BV516=fEntity),OR(fPType="All Property Types",$BZ516=fPType),OR(fDefeased="Include",$CJ516=0)),1,0)</f>
        <v/>
      </c>
      <c r="DF516" s="83">
        <f>$DE516*N($I516)</f>
        <v/>
      </c>
      <c r="DG516" s="78">
        <f>IF($DE516=1,IF(COUNTIFS($F$8:$F516,$F516,$DE$8:$DE516,1)=1,1,0),0)</f>
        <v/>
      </c>
      <c r="DH516" s="83">
        <f>IF($DG516=1,SUMIFS($DF$8:$DF$1600,$F$8:$F$1600,$F516),0)</f>
        <v/>
      </c>
      <c r="DI516" s="78">
        <f>IF($DG516=1,COUNTIFS($F$8:$F$1600,$F516,$DE$8:$DE$1600,1),0)</f>
        <v/>
      </c>
      <c r="DJ516" s="84">
        <f>IF($DG516=1,$DH516+(100000-ROW())/mTieBreak,0)</f>
        <v/>
      </c>
    </row>
    <row r="517">
      <c r="B517" s="68" t="n">
        <v>40</v>
      </c>
      <c r="C517" s="69" t="inlineStr">
        <is>
          <t>MSC19H6</t>
        </is>
      </c>
      <c r="D517" s="69" t="inlineStr">
        <is>
          <t>40.000</t>
        </is>
      </c>
      <c r="E517" s="69" t="inlineStr">
        <is>
          <t>400 Karin Lane</t>
        </is>
      </c>
      <c r="F517" s="69" t="inlineStr">
        <is>
          <t>LNMSC19H6-40.000</t>
        </is>
      </c>
      <c r="G517" s="70" t="n"/>
      <c r="H517" s="71" t="n">
        <v>4550000</v>
      </c>
      <c r="I517" s="71" t="n">
        <v>4009419.01000095</v>
      </c>
      <c r="J517" s="72" t="n">
        <v>5.11</v>
      </c>
      <c r="K517" s="69" t="inlineStr">
        <is>
          <t>Fixed rate</t>
        </is>
      </c>
      <c r="L517" s="68" t="n">
        <v>120</v>
      </c>
      <c r="M517" s="68" t="n">
        <v>32</v>
      </c>
      <c r="N517" s="68" t="n">
        <v>360</v>
      </c>
      <c r="O517" s="68" t="n"/>
      <c r="P517" s="68" t="n"/>
      <c r="Q517" s="68" t="n">
        <v>88</v>
      </c>
      <c r="R517" s="69" t="n"/>
      <c r="S517" s="69" t="inlineStr">
        <is>
          <t>No</t>
        </is>
      </c>
      <c r="T517" s="73" t="n">
        <v>43586</v>
      </c>
      <c r="U517" s="73" t="n">
        <v>47239</v>
      </c>
      <c r="V517" s="73" t="n"/>
      <c r="W517" s="69" t="n"/>
      <c r="X517" s="69" t="inlineStr">
        <is>
          <t>Late Payment But Less Than 30 Days Delinquent</t>
        </is>
      </c>
      <c r="Y517" s="68" t="n"/>
      <c r="Z517" s="69" t="inlineStr">
        <is>
          <t>No Defeasance Occurred</t>
        </is>
      </c>
      <c r="AA517" s="69" t="inlineStr">
        <is>
          <t>Yes</t>
        </is>
      </c>
      <c r="AB517" s="69" t="inlineStr">
        <is>
          <t>Never special serv</t>
        </is>
      </c>
      <c r="AC517" s="73" t="n"/>
      <c r="AD517" s="69" t="n"/>
      <c r="AE517" s="69" t="n"/>
      <c r="AF517" s="69" t="inlineStr">
        <is>
          <t>NY</t>
        </is>
      </c>
      <c r="AG517" s="69" t="inlineStr">
        <is>
          <t>Hicksville</t>
        </is>
      </c>
      <c r="AH517" s="69" t="inlineStr">
        <is>
          <t>New York-Newark-Jersey City, NY-NJ</t>
        </is>
      </c>
      <c r="AI517" s="69" t="inlineStr">
        <is>
          <t>Northeast / Mid-Atlantic</t>
        </is>
      </c>
      <c r="AJ517" s="69" t="inlineStr">
        <is>
          <t>IN</t>
        </is>
      </c>
      <c r="AK517" s="69" t="inlineStr">
        <is>
          <t>Flex</t>
        </is>
      </c>
      <c r="AL517" s="68" t="n">
        <v>1</v>
      </c>
      <c r="AM517" s="68" t="n"/>
      <c r="AN517" s="68" t="n">
        <v>40091</v>
      </c>
      <c r="AO517" s="69" t="inlineStr">
        <is>
          <t>1981</t>
        </is>
      </c>
      <c r="AP517" s="70" t="n">
        <v>1981</v>
      </c>
      <c r="AQ517" s="74" t="n">
        <v>1.74</v>
      </c>
      <c r="AR517" s="74" t="n">
        <v>1.26</v>
      </c>
      <c r="AS517" s="74" t="n">
        <v>66.8</v>
      </c>
      <c r="AT517" s="74" t="n">
        <v>58.96</v>
      </c>
      <c r="AU517" s="74" t="n">
        <v>55.4</v>
      </c>
      <c r="AV517" s="74" t="n">
        <v>11.327418901</v>
      </c>
      <c r="AW517" s="74" t="n">
        <v>9.620372403999999</v>
      </c>
      <c r="AX517" s="75" t="n">
        <v>100</v>
      </c>
      <c r="AY517" s="71" t="n">
        <v>6800000</v>
      </c>
      <c r="AZ517" s="71" t="n">
        <v>6800000</v>
      </c>
      <c r="BA517" s="71" t="n">
        <v>515397.56</v>
      </c>
      <c r="BB517" s="71" t="n">
        <v>374488.02</v>
      </c>
      <c r="BC517" s="69" t="inlineStr">
        <is>
          <t>Acquisition</t>
        </is>
      </c>
      <c r="BD517" s="69" t="inlineStr">
        <is>
          <t>N</t>
        </is>
      </c>
      <c r="BE517" s="71" t="n"/>
      <c r="BF517" s="71" t="n"/>
      <c r="BG517" s="71" t="n"/>
      <c r="BH517" s="71" t="n">
        <v>0</v>
      </c>
      <c r="BI517" s="71" t="n">
        <v>24714.89</v>
      </c>
      <c r="BJ517" s="69" t="inlineStr">
        <is>
          <t>N</t>
        </is>
      </c>
      <c r="BK517" s="69" t="inlineStr">
        <is>
          <t>Acutis Diaganostics</t>
        </is>
      </c>
      <c r="BL517" s="75" t="n">
        <v>100</v>
      </c>
      <c r="BM517" s="73" t="n">
        <v>54544</v>
      </c>
      <c r="BN517" s="69" t="inlineStr">
        <is>
          <t>Hasib Mikael Sarij; Wahid Jibreel Sarij</t>
        </is>
      </c>
      <c r="BO517" s="69" t="inlineStr">
        <is>
          <t>Morgan Stanley</t>
        </is>
      </c>
      <c r="BP517" s="69" t="inlineStr">
        <is>
          <t>Midland Loan Services</t>
        </is>
      </c>
      <c r="BQ517" s="69" t="inlineStr">
        <is>
          <t>K-Star Asset Management LLC</t>
        </is>
      </c>
      <c r="BR517" s="69" t="n"/>
      <c r="BS517" s="73" t="n">
        <v>46276</v>
      </c>
      <c r="BU517" s="76">
        <f>IF($C517="","",IFERROR(INDEX(dmName,MATCH($C517,dmID,0)),"Unmapped"))</f>
        <v/>
      </c>
      <c r="BV517" s="76">
        <f>IF($C517="","",IFERROR(INDEX(dmEntity,MATCH($C517,dmID,0)),"Unmapped"))</f>
        <v/>
      </c>
      <c r="BW517" s="77">
        <f>IF($C517="","",IFERROR(INDEX(dmVintage,MATCH($C517,dmID,0)),""))</f>
        <v/>
      </c>
      <c r="BX517" s="78">
        <f>IFERROR(INDEX(dmInclude,MATCH($C517,dmID,0)),0)</f>
        <v/>
      </c>
      <c r="BY517" s="78">
        <f>IF(N($I517)&gt;0,1,0)</f>
        <v/>
      </c>
      <c r="BZ517" s="76">
        <f>IF($AJ517="","Other / Leased Fee",IFERROR(INDEX(mapPTGroup,MATCH(LEFT(TRIM($AJ517),2),mapPTCode,0)),"Other / Leased Fee"))</f>
        <v/>
      </c>
      <c r="CA517" s="76">
        <f>IF(TRIM($AF517&amp;"")="","NR",LEFT(TRIM($AF517),2))</f>
        <v/>
      </c>
      <c r="CB517" s="76">
        <f>IFERROR(LOOKUP(2,1/(LEFT(TRIM($AI517&amp;""),LEN(mapRegion))=mapRegion),mapRegion),"Not Reported")</f>
        <v/>
      </c>
      <c r="CC517" s="76">
        <f>IF($BY517=0,"",IF(TRIM($W517&amp;"")="REO","REO",IF(TRIM($W517&amp;"")="FC","Foreclosure",IF(TRIM($W517&amp;"")="90+","90+ Days Delinquent",IF(TRIM($W517&amp;"")="60","60 Days Delinquent",IF(TRIM($W517&amp;"")="30","30 Days Delinquent",IF($X517="Non-Performing Matured Balloon","Non-Performing Matured Balloon",IF(OR($X517="Late Payment But Less Than 30 Days Delinquent",LEFT($X517&amp;"",20)="Payment Not Received"),"Late / In Grace (&lt;30 Days)",IF($X517="Performing Matured Balloon","Performing Matured Balloon","Current")))))))))</f>
        <v/>
      </c>
      <c r="CD517" s="78">
        <f>IF(OR($CC517="REO",$CC517="Foreclosure",$CC517="90+ Days Delinquent",$CC517="60 Days Delinquent",$CC517="30 Days Delinquent",$CC517="Non-Performing Matured Balloon"),1,0)</f>
        <v/>
      </c>
      <c r="CE517" s="76">
        <f>IF($AB517="Currently special serv","Currently Specially Serviced",IF($AB517="Returned to master serv","Previously Specially Serviced","Never Specially Serviced"))</f>
        <v/>
      </c>
      <c r="CF517" s="78">
        <f>IF($CE517="Currently Specially Serviced",1,0)</f>
        <v/>
      </c>
      <c r="CG517" s="76">
        <f>IF($AA517="Yes","Currently on Watchlist",IF($AA517="Previously","Previously on Watchlist","Never on Watchlist"))</f>
        <v/>
      </c>
      <c r="CH517" s="78">
        <f>IF($CG517="Currently on Watchlist",1,0)</f>
        <v/>
      </c>
      <c r="CI517" s="76">
        <f>IF($Z517="Full Defeasance","Fully Defeased",IF($Z517="Portion Of Loan Previously Defeased","Partially Defeased",IF($Z517="Defeasance Not Allowable","Not Defeased (Not Permitted)","Not Defeased")))</f>
        <v/>
      </c>
      <c r="CJ517" s="78">
        <f>IF($CI517="Fully Defeased",1,0)</f>
        <v/>
      </c>
      <c r="CK517" s="76">
        <f>IF($R517="IO","Full IO",IF(LEFT($R517&amp;"",7)="IO then","Partial IO","Amortizing"))</f>
        <v/>
      </c>
      <c r="CL517" s="78">
        <f>IF($CK517="Full IO",1,0)</f>
        <v/>
      </c>
      <c r="CM517" s="78">
        <f>IF($CK517="Partial IO",1,0)</f>
        <v/>
      </c>
      <c r="CN517" s="76">
        <f>IF(LEFT($F517&amp;"",10)="SPLIT_LOAN","Pari Passu Split","Standalone")</f>
        <v/>
      </c>
      <c r="CO517" s="78">
        <f>IF($CN517="Pari Passu Split",1,0)</f>
        <v/>
      </c>
      <c r="CP517" s="77">
        <f>IF(ISNUMBER($T517),YEAR($T517),"")</f>
        <v/>
      </c>
      <c r="CQ517" s="79">
        <f>IF(ISNUMBER($V517),$V517,IF(ISNUMBER($U517),$U517,""))</f>
        <v/>
      </c>
      <c r="CR517" s="77">
        <f>IF(ISNUMBER($CQ517),YEAR($CQ517),"")</f>
        <v/>
      </c>
      <c r="CS517" s="78">
        <f>IF(ISNUMBER($M517),MAX(0,$M517),IF(TRIM($M517&amp;"")="matured",0,""))</f>
        <v/>
      </c>
      <c r="CT517" s="78">
        <f>IF(AND(ISNUMBER($CS517),N($CS517)&lt;=mMatWindow),1,0)</f>
        <v/>
      </c>
      <c r="CU517" s="80">
        <f>IF(ISNUMBER($J517),$J517/100,"")</f>
        <v/>
      </c>
      <c r="CV517" s="81">
        <f>IF(ISNUMBER($AQ517),$AQ517,"")</f>
        <v/>
      </c>
      <c r="CW517" s="81">
        <f>IF(ISNUMBER($AR517),$AR517,"")</f>
        <v/>
      </c>
      <c r="CX517" s="82">
        <f>IF(ISNUMBER($AS517),$AS517/100,"")</f>
        <v/>
      </c>
      <c r="CY517" s="82">
        <f>IF(ISNUMBER($AT517),$AT517/100,"")</f>
        <v/>
      </c>
      <c r="CZ517" s="82">
        <f>IF(ISNUMBER($AU517),$AU517/100,"")</f>
        <v/>
      </c>
      <c r="DA517" s="82">
        <f>IF(ISNUMBER($AV517),$AV517/100,"")</f>
        <v/>
      </c>
      <c r="DB517" s="82">
        <f>IF(ISNUMBER($AW517),$AW517/100,"")</f>
        <v/>
      </c>
      <c r="DC517" s="82">
        <f>IF(ISNUMBER($AX517),$AX517/100,"")</f>
        <v/>
      </c>
      <c r="DD517" s="77">
        <f>IFERROR(VALUE(LEFT(TRIM($AO517&amp;""),4)),"")</f>
        <v/>
      </c>
      <c r="DE517" s="78">
        <f>IF(AND($BY517=1,$BX517=1,OR(fDeal="All Deals",$BU517=fDeal),OR(fEntity="All Entities",$BV517=fEntity),OR(fPType="All Property Types",$BZ517=fPType),OR(fDefeased="Include",$CJ517=0)),1,0)</f>
        <v/>
      </c>
      <c r="DF517" s="83">
        <f>$DE517*N($I517)</f>
        <v/>
      </c>
      <c r="DG517" s="78">
        <f>IF($DE517=1,IF(COUNTIFS($F$8:$F517,$F517,$DE$8:$DE517,1)=1,1,0),0)</f>
        <v/>
      </c>
      <c r="DH517" s="83">
        <f>IF($DG517=1,SUMIFS($DF$8:$DF$1600,$F$8:$F$1600,$F517),0)</f>
        <v/>
      </c>
      <c r="DI517" s="78">
        <f>IF($DG517=1,COUNTIFS($F$8:$F$1600,$F517,$DE$8:$DE$1600,1),0)</f>
        <v/>
      </c>
      <c r="DJ517" s="84">
        <f>IF($DG517=1,$DH517+(100000-ROW())/mTieBreak,0)</f>
        <v/>
      </c>
    </row>
    <row r="518">
      <c r="B518" s="68" t="n">
        <v>41</v>
      </c>
      <c r="C518" s="69" t="inlineStr">
        <is>
          <t>MSC19H6</t>
        </is>
      </c>
      <c r="D518" s="69" t="inlineStr">
        <is>
          <t>41.000</t>
        </is>
      </c>
      <c r="E518" s="69" t="inlineStr">
        <is>
          <t>Rockingham Square</t>
        </is>
      </c>
      <c r="F518" s="69" t="inlineStr">
        <is>
          <t>LNMSC19H6-41.000</t>
        </is>
      </c>
      <c r="G518" s="70" t="n"/>
      <c r="H518" s="71" t="n">
        <v>4000000</v>
      </c>
      <c r="I518" s="71" t="n">
        <v>3748510.450000001</v>
      </c>
      <c r="J518" s="72" t="n">
        <v>5.26</v>
      </c>
      <c r="K518" s="69" t="inlineStr">
        <is>
          <t>Fixed rate</t>
        </is>
      </c>
      <c r="L518" s="68" t="n">
        <v>120</v>
      </c>
      <c r="M518" s="68" t="n">
        <v>32</v>
      </c>
      <c r="N518" s="68" t="n">
        <v>396</v>
      </c>
      <c r="O518" s="68" t="n">
        <v>36</v>
      </c>
      <c r="P518" s="68" t="n">
        <v>0</v>
      </c>
      <c r="Q518" s="68" t="n">
        <v>88</v>
      </c>
      <c r="R518" s="69" t="inlineStr">
        <is>
          <t>IO then Amort</t>
        </is>
      </c>
      <c r="S518" s="69" t="inlineStr">
        <is>
          <t>No</t>
        </is>
      </c>
      <c r="T518" s="73" t="n">
        <v>43586</v>
      </c>
      <c r="U518" s="73" t="n">
        <v>47239</v>
      </c>
      <c r="V518" s="73" t="n"/>
      <c r="W518" s="69" t="n"/>
      <c r="X518" s="69" t="inlineStr">
        <is>
          <t>Current</t>
        </is>
      </c>
      <c r="Y518" s="68" t="n"/>
      <c r="Z518" s="69" t="inlineStr">
        <is>
          <t>Full Defeasance</t>
        </is>
      </c>
      <c r="AA518" s="69" t="inlineStr">
        <is>
          <t>Previously</t>
        </is>
      </c>
      <c r="AB518" s="69" t="inlineStr">
        <is>
          <t>Never special serv</t>
        </is>
      </c>
      <c r="AC518" s="73" t="n"/>
      <c r="AD518" s="69" t="n"/>
      <c r="AE518" s="69" t="n"/>
      <c r="AF518" s="69" t="inlineStr">
        <is>
          <t>VA</t>
        </is>
      </c>
      <c r="AG518" s="69" t="inlineStr">
        <is>
          <t>Harrisonburg</t>
        </is>
      </c>
      <c r="AH518" s="69" t="inlineStr">
        <is>
          <t>Harrisonburg, VA</t>
        </is>
      </c>
      <c r="AI518" s="69" t="inlineStr">
        <is>
          <t>South / Atlantic</t>
        </is>
      </c>
      <c r="AJ518" s="69" t="inlineStr">
        <is>
          <t>RT</t>
        </is>
      </c>
      <c r="AK518" s="69" t="inlineStr">
        <is>
          <t>Anchored</t>
        </is>
      </c>
      <c r="AL518" s="68" t="n">
        <v>1</v>
      </c>
      <c r="AM518" s="68" t="n"/>
      <c r="AN518" s="68" t="n">
        <v>55857</v>
      </c>
      <c r="AO518" s="69" t="inlineStr">
        <is>
          <t>1984</t>
        </is>
      </c>
      <c r="AP518" s="70" t="n">
        <v>2007</v>
      </c>
      <c r="AQ518" s="74" t="n">
        <v>1.57</v>
      </c>
      <c r="AR518" s="74" t="n">
        <v>1.56</v>
      </c>
      <c r="AS518" s="74" t="n">
        <v>65.59999999999999</v>
      </c>
      <c r="AT518" s="74" t="n">
        <v>61.45</v>
      </c>
      <c r="AU518" s="74" t="n">
        <v>58.5</v>
      </c>
      <c r="AV518" s="74" t="n">
        <v>10.396973</v>
      </c>
      <c r="AW518" s="74" t="n">
        <v>9.453791439</v>
      </c>
      <c r="AX518" s="75" t="n">
        <v>100</v>
      </c>
      <c r="AY518" s="71" t="n">
        <v>6100000</v>
      </c>
      <c r="AZ518" s="71" t="n">
        <v>6100000</v>
      </c>
      <c r="BA518" s="71" t="n">
        <v>415878.92</v>
      </c>
      <c r="BB518" s="71" t="n">
        <v>413614.19</v>
      </c>
      <c r="BC518" s="69" t="inlineStr">
        <is>
          <t>Refinance</t>
        </is>
      </c>
      <c r="BD518" s="69" t="inlineStr">
        <is>
          <t>N</t>
        </is>
      </c>
      <c r="BE518" s="71" t="n"/>
      <c r="BF518" s="71" t="n"/>
      <c r="BG518" s="71" t="n"/>
      <c r="BH518" s="71" t="n">
        <v>0</v>
      </c>
      <c r="BI518" s="71" t="n">
        <v>0</v>
      </c>
      <c r="BJ518" s="69" t="inlineStr">
        <is>
          <t>N</t>
        </is>
      </c>
      <c r="BK518" s="69" t="inlineStr">
        <is>
          <t>FOOD LION #266</t>
        </is>
      </c>
      <c r="BL518" s="75" t="n">
        <v>55.01</v>
      </c>
      <c r="BM518" s="73" t="n">
        <v>47435</v>
      </c>
      <c r="BN518" s="69" t="inlineStr">
        <is>
          <t>George W. Stewart, IV</t>
        </is>
      </c>
      <c r="BO518" s="69" t="inlineStr">
        <is>
          <t>Morgan Stanley</t>
        </is>
      </c>
      <c r="BP518" s="69" t="inlineStr">
        <is>
          <t>Midland Loan Services</t>
        </is>
      </c>
      <c r="BQ518" s="69" t="inlineStr">
        <is>
          <t>K-Star Asset Management LLC</t>
        </is>
      </c>
      <c r="BR518" s="69" t="n"/>
      <c r="BS518" s="73" t="n">
        <v>46276</v>
      </c>
      <c r="BU518" s="76">
        <f>IF($C518="","",IFERROR(INDEX(dmName,MATCH($C518,dmID,0)),"Unmapped"))</f>
        <v/>
      </c>
      <c r="BV518" s="76">
        <f>IF($C518="","",IFERROR(INDEX(dmEntity,MATCH($C518,dmID,0)),"Unmapped"))</f>
        <v/>
      </c>
      <c r="BW518" s="77">
        <f>IF($C518="","",IFERROR(INDEX(dmVintage,MATCH($C518,dmID,0)),""))</f>
        <v/>
      </c>
      <c r="BX518" s="78">
        <f>IFERROR(INDEX(dmInclude,MATCH($C518,dmID,0)),0)</f>
        <v/>
      </c>
      <c r="BY518" s="78">
        <f>IF(N($I518)&gt;0,1,0)</f>
        <v/>
      </c>
      <c r="BZ518" s="76">
        <f>IF($AJ518="","Other / Leased Fee",IFERROR(INDEX(mapPTGroup,MATCH(LEFT(TRIM($AJ518),2),mapPTCode,0)),"Other / Leased Fee"))</f>
        <v/>
      </c>
      <c r="CA518" s="76">
        <f>IF(TRIM($AF518&amp;"")="","NR",LEFT(TRIM($AF518),2))</f>
        <v/>
      </c>
      <c r="CB518" s="76">
        <f>IFERROR(LOOKUP(2,1/(LEFT(TRIM($AI518&amp;""),LEN(mapRegion))=mapRegion),mapRegion),"Not Reported")</f>
        <v/>
      </c>
      <c r="CC518" s="76">
        <f>IF($BY518=0,"",IF(TRIM($W518&amp;"")="REO","REO",IF(TRIM($W518&amp;"")="FC","Foreclosure",IF(TRIM($W518&amp;"")="90+","90+ Days Delinquent",IF(TRIM($W518&amp;"")="60","60 Days Delinquent",IF(TRIM($W518&amp;"")="30","30 Days Delinquent",IF($X518="Non-Performing Matured Balloon","Non-Performing Matured Balloon",IF(OR($X518="Late Payment But Less Than 30 Days Delinquent",LEFT($X518&amp;"",20)="Payment Not Received"),"Late / In Grace (&lt;30 Days)",IF($X518="Performing Matured Balloon","Performing Matured Balloon","Current")))))))))</f>
        <v/>
      </c>
      <c r="CD518" s="78">
        <f>IF(OR($CC518="REO",$CC518="Foreclosure",$CC518="90+ Days Delinquent",$CC518="60 Days Delinquent",$CC518="30 Days Delinquent",$CC518="Non-Performing Matured Balloon"),1,0)</f>
        <v/>
      </c>
      <c r="CE518" s="76">
        <f>IF($AB518="Currently special serv","Currently Specially Serviced",IF($AB518="Returned to master serv","Previously Specially Serviced","Never Specially Serviced"))</f>
        <v/>
      </c>
      <c r="CF518" s="78">
        <f>IF($CE518="Currently Specially Serviced",1,0)</f>
        <v/>
      </c>
      <c r="CG518" s="76">
        <f>IF($AA518="Yes","Currently on Watchlist",IF($AA518="Previously","Previously on Watchlist","Never on Watchlist"))</f>
        <v/>
      </c>
      <c r="CH518" s="78">
        <f>IF($CG518="Currently on Watchlist",1,0)</f>
        <v/>
      </c>
      <c r="CI518" s="76">
        <f>IF($Z518="Full Defeasance","Fully Defeased",IF($Z518="Portion Of Loan Previously Defeased","Partially Defeased",IF($Z518="Defeasance Not Allowable","Not Defeased (Not Permitted)","Not Defeased")))</f>
        <v/>
      </c>
      <c r="CJ518" s="78">
        <f>IF($CI518="Fully Defeased",1,0)</f>
        <v/>
      </c>
      <c r="CK518" s="76">
        <f>IF($R518="IO","Full IO",IF(LEFT($R518&amp;"",7)="IO then","Partial IO","Amortizing"))</f>
        <v/>
      </c>
      <c r="CL518" s="78">
        <f>IF($CK518="Full IO",1,0)</f>
        <v/>
      </c>
      <c r="CM518" s="78">
        <f>IF($CK518="Partial IO",1,0)</f>
        <v/>
      </c>
      <c r="CN518" s="76">
        <f>IF(LEFT($F518&amp;"",10)="SPLIT_LOAN","Pari Passu Split","Standalone")</f>
        <v/>
      </c>
      <c r="CO518" s="78">
        <f>IF($CN518="Pari Passu Split",1,0)</f>
        <v/>
      </c>
      <c r="CP518" s="77">
        <f>IF(ISNUMBER($T518),YEAR($T518),"")</f>
        <v/>
      </c>
      <c r="CQ518" s="79">
        <f>IF(ISNUMBER($V518),$V518,IF(ISNUMBER($U518),$U518,""))</f>
        <v/>
      </c>
      <c r="CR518" s="77">
        <f>IF(ISNUMBER($CQ518),YEAR($CQ518),"")</f>
        <v/>
      </c>
      <c r="CS518" s="78">
        <f>IF(ISNUMBER($M518),MAX(0,$M518),IF(TRIM($M518&amp;"")="matured",0,""))</f>
        <v/>
      </c>
      <c r="CT518" s="78">
        <f>IF(AND(ISNUMBER($CS518),N($CS518)&lt;=mMatWindow),1,0)</f>
        <v/>
      </c>
      <c r="CU518" s="80">
        <f>IF(ISNUMBER($J518),$J518/100,"")</f>
        <v/>
      </c>
      <c r="CV518" s="81">
        <f>IF(ISNUMBER($AQ518),$AQ518,"")</f>
        <v/>
      </c>
      <c r="CW518" s="81">
        <f>IF(ISNUMBER($AR518),$AR518,"")</f>
        <v/>
      </c>
      <c r="CX518" s="82">
        <f>IF(ISNUMBER($AS518),$AS518/100,"")</f>
        <v/>
      </c>
      <c r="CY518" s="82">
        <f>IF(ISNUMBER($AT518),$AT518/100,"")</f>
        <v/>
      </c>
      <c r="CZ518" s="82">
        <f>IF(ISNUMBER($AU518),$AU518/100,"")</f>
        <v/>
      </c>
      <c r="DA518" s="82">
        <f>IF(ISNUMBER($AV518),$AV518/100,"")</f>
        <v/>
      </c>
      <c r="DB518" s="82">
        <f>IF(ISNUMBER($AW518),$AW518/100,"")</f>
        <v/>
      </c>
      <c r="DC518" s="82">
        <f>IF(ISNUMBER($AX518),$AX518/100,"")</f>
        <v/>
      </c>
      <c r="DD518" s="77">
        <f>IFERROR(VALUE(LEFT(TRIM($AO518&amp;""),4)),"")</f>
        <v/>
      </c>
      <c r="DE518" s="78">
        <f>IF(AND($BY518=1,$BX518=1,OR(fDeal="All Deals",$BU518=fDeal),OR(fEntity="All Entities",$BV518=fEntity),OR(fPType="All Property Types",$BZ518=fPType),OR(fDefeased="Include",$CJ518=0)),1,0)</f>
        <v/>
      </c>
      <c r="DF518" s="83">
        <f>$DE518*N($I518)</f>
        <v/>
      </c>
      <c r="DG518" s="78">
        <f>IF($DE518=1,IF(COUNTIFS($F$8:$F518,$F518,$DE$8:$DE518,1)=1,1,0),0)</f>
        <v/>
      </c>
      <c r="DH518" s="83">
        <f>IF($DG518=1,SUMIFS($DF$8:$DF$1600,$F$8:$F$1600,$F518),0)</f>
        <v/>
      </c>
      <c r="DI518" s="78">
        <f>IF($DG518=1,COUNTIFS($F$8:$F$1600,$F518,$DE$8:$DE$1600,1),0)</f>
        <v/>
      </c>
      <c r="DJ518" s="84">
        <f>IF($DG518=1,$DH518+(100000-ROW())/mTieBreak,0)</f>
        <v/>
      </c>
    </row>
    <row r="519">
      <c r="B519" s="68" t="n">
        <v>42</v>
      </c>
      <c r="C519" s="69" t="inlineStr">
        <is>
          <t>MSC19H6</t>
        </is>
      </c>
      <c r="D519" s="69" t="inlineStr">
        <is>
          <t>42.000</t>
        </is>
      </c>
      <c r="E519" s="69" t="inlineStr">
        <is>
          <t>Robin Springs</t>
        </is>
      </c>
      <c r="F519" s="69" t="inlineStr">
        <is>
          <t>LNMSC19H6-42.000</t>
        </is>
      </c>
      <c r="G519" s="70" t="n"/>
      <c r="H519" s="71" t="n">
        <v>3975000</v>
      </c>
      <c r="I519" s="71" t="n">
        <v>3698293.1700003</v>
      </c>
      <c r="J519" s="72" t="n">
        <v>4.83</v>
      </c>
      <c r="K519" s="69" t="inlineStr">
        <is>
          <t>Fixed rate</t>
        </is>
      </c>
      <c r="L519" s="68" t="n">
        <v>120</v>
      </c>
      <c r="M519" s="68" t="n">
        <v>31</v>
      </c>
      <c r="N519" s="68" t="n">
        <v>396</v>
      </c>
      <c r="O519" s="68" t="n">
        <v>36</v>
      </c>
      <c r="P519" s="68" t="n">
        <v>0</v>
      </c>
      <c r="Q519" s="68" t="n">
        <v>89</v>
      </c>
      <c r="R519" s="69" t="inlineStr">
        <is>
          <t>IO then Amort</t>
        </is>
      </c>
      <c r="S519" s="69" t="inlineStr">
        <is>
          <t>No</t>
        </is>
      </c>
      <c r="T519" s="73" t="n">
        <v>43556</v>
      </c>
      <c r="U519" s="73" t="n">
        <v>47214</v>
      </c>
      <c r="V519" s="73" t="n"/>
      <c r="W519" s="69" t="n"/>
      <c r="X519" s="69" t="inlineStr">
        <is>
          <t>Current</t>
        </is>
      </c>
      <c r="Y519" s="68" t="n"/>
      <c r="Z519" s="69" t="inlineStr">
        <is>
          <t>No Defeasance Occurred</t>
        </is>
      </c>
      <c r="AA519" s="69" t="inlineStr">
        <is>
          <t>Previously</t>
        </is>
      </c>
      <c r="AB519" s="69" t="inlineStr">
        <is>
          <t>Never special serv</t>
        </is>
      </c>
      <c r="AC519" s="73" t="n"/>
      <c r="AD519" s="69" t="n"/>
      <c r="AE519" s="69" t="n"/>
      <c r="AF519" s="69" t="inlineStr">
        <is>
          <t>OH</t>
        </is>
      </c>
      <c r="AG519" s="69" t="inlineStr">
        <is>
          <t>Middletown</t>
        </is>
      </c>
      <c r="AH519" s="69" t="inlineStr">
        <is>
          <t>Cincinnati, OH-KY-IN</t>
        </is>
      </c>
      <c r="AI519" s="69" t="inlineStr">
        <is>
          <t>Midwest / Central East</t>
        </is>
      </c>
      <c r="AJ519" s="69" t="inlineStr">
        <is>
          <t>MF</t>
        </is>
      </c>
      <c r="AK519" s="69" t="inlineStr">
        <is>
          <t>Garden</t>
        </is>
      </c>
      <c r="AL519" s="68" t="n">
        <v>1</v>
      </c>
      <c r="AM519" s="68" t="n">
        <v>120</v>
      </c>
      <c r="AN519" s="68" t="n"/>
      <c r="AO519" s="69" t="inlineStr">
        <is>
          <t>1972</t>
        </is>
      </c>
      <c r="AP519" s="70" t="n">
        <v>2005</v>
      </c>
      <c r="AQ519" s="74" t="n">
        <v>2.04</v>
      </c>
      <c r="AR519" s="74" t="n">
        <v>2.98</v>
      </c>
      <c r="AS519" s="74" t="n">
        <v>66.25</v>
      </c>
      <c r="AT519" s="74" t="n">
        <v>61.64</v>
      </c>
      <c r="AU519" s="74" t="n">
        <v>58.54</v>
      </c>
      <c r="AV519" s="74" t="n">
        <v>12.863056604</v>
      </c>
      <c r="AW519" s="74" t="n">
        <v>20.204239244</v>
      </c>
      <c r="AX519" s="75" t="n">
        <v>91</v>
      </c>
      <c r="AY519" s="71" t="n">
        <v>6000000</v>
      </c>
      <c r="AZ519" s="71" t="n">
        <v>6000000</v>
      </c>
      <c r="BA519" s="71" t="n">
        <v>511306.5</v>
      </c>
      <c r="BB519" s="71" t="n">
        <v>747212</v>
      </c>
      <c r="BC519" s="69" t="inlineStr">
        <is>
          <t>Acquisition</t>
        </is>
      </c>
      <c r="BD519" s="69" t="inlineStr">
        <is>
          <t>N</t>
        </is>
      </c>
      <c r="BE519" s="71" t="n"/>
      <c r="BF519" s="71" t="n"/>
      <c r="BG519" s="71" t="n"/>
      <c r="BH519" s="71" t="n">
        <v>0</v>
      </c>
      <c r="BI519" s="71" t="n">
        <v>0</v>
      </c>
      <c r="BJ519" s="69" t="inlineStr">
        <is>
          <t>N</t>
        </is>
      </c>
      <c r="BK519" s="69" t="n"/>
      <c r="BL519" s="75" t="n"/>
      <c r="BM519" s="73" t="n"/>
      <c r="BN519" s="69" t="inlineStr">
        <is>
          <t>Azi Mandel; Adam Mermelstein</t>
        </is>
      </c>
      <c r="BO519" s="69" t="inlineStr">
        <is>
          <t>Argentic Real Estate Finance</t>
        </is>
      </c>
      <c r="BP519" s="69" t="inlineStr">
        <is>
          <t>Midland Loan Services</t>
        </is>
      </c>
      <c r="BQ519" s="69" t="inlineStr">
        <is>
          <t>K-Star Asset Management LLC</t>
        </is>
      </c>
      <c r="BR519" s="69" t="n"/>
      <c r="BS519" s="73" t="n">
        <v>46276</v>
      </c>
      <c r="BU519" s="76">
        <f>IF($C519="","",IFERROR(INDEX(dmName,MATCH($C519,dmID,0)),"Unmapped"))</f>
        <v/>
      </c>
      <c r="BV519" s="76">
        <f>IF($C519="","",IFERROR(INDEX(dmEntity,MATCH($C519,dmID,0)),"Unmapped"))</f>
        <v/>
      </c>
      <c r="BW519" s="77">
        <f>IF($C519="","",IFERROR(INDEX(dmVintage,MATCH($C519,dmID,0)),""))</f>
        <v/>
      </c>
      <c r="BX519" s="78">
        <f>IFERROR(INDEX(dmInclude,MATCH($C519,dmID,0)),0)</f>
        <v/>
      </c>
      <c r="BY519" s="78">
        <f>IF(N($I519)&gt;0,1,0)</f>
        <v/>
      </c>
      <c r="BZ519" s="76">
        <f>IF($AJ519="","Other / Leased Fee",IFERROR(INDEX(mapPTGroup,MATCH(LEFT(TRIM($AJ519),2),mapPTCode,0)),"Other / Leased Fee"))</f>
        <v/>
      </c>
      <c r="CA519" s="76">
        <f>IF(TRIM($AF519&amp;"")="","NR",LEFT(TRIM($AF519),2))</f>
        <v/>
      </c>
      <c r="CB519" s="76">
        <f>IFERROR(LOOKUP(2,1/(LEFT(TRIM($AI519&amp;""),LEN(mapRegion))=mapRegion),mapRegion),"Not Reported")</f>
        <v/>
      </c>
      <c r="CC519" s="76">
        <f>IF($BY519=0,"",IF(TRIM($W519&amp;"")="REO","REO",IF(TRIM($W519&amp;"")="FC","Foreclosure",IF(TRIM($W519&amp;"")="90+","90+ Days Delinquent",IF(TRIM($W519&amp;"")="60","60 Days Delinquent",IF(TRIM($W519&amp;"")="30","30 Days Delinquent",IF($X519="Non-Performing Matured Balloon","Non-Performing Matured Balloon",IF(OR($X519="Late Payment But Less Than 30 Days Delinquent",LEFT($X519&amp;"",20)="Payment Not Received"),"Late / In Grace (&lt;30 Days)",IF($X519="Performing Matured Balloon","Performing Matured Balloon","Current")))))))))</f>
        <v/>
      </c>
      <c r="CD519" s="78">
        <f>IF(OR($CC519="REO",$CC519="Foreclosure",$CC519="90+ Days Delinquent",$CC519="60 Days Delinquent",$CC519="30 Days Delinquent",$CC519="Non-Performing Matured Balloon"),1,0)</f>
        <v/>
      </c>
      <c r="CE519" s="76">
        <f>IF($AB519="Currently special serv","Currently Specially Serviced",IF($AB519="Returned to master serv","Previously Specially Serviced","Never Specially Serviced"))</f>
        <v/>
      </c>
      <c r="CF519" s="78">
        <f>IF($CE519="Currently Specially Serviced",1,0)</f>
        <v/>
      </c>
      <c r="CG519" s="76">
        <f>IF($AA519="Yes","Currently on Watchlist",IF($AA519="Previously","Previously on Watchlist","Never on Watchlist"))</f>
        <v/>
      </c>
      <c r="CH519" s="78">
        <f>IF($CG519="Currently on Watchlist",1,0)</f>
        <v/>
      </c>
      <c r="CI519" s="76">
        <f>IF($Z519="Full Defeasance","Fully Defeased",IF($Z519="Portion Of Loan Previously Defeased","Partially Defeased",IF($Z519="Defeasance Not Allowable","Not Defeased (Not Permitted)","Not Defeased")))</f>
        <v/>
      </c>
      <c r="CJ519" s="78">
        <f>IF($CI519="Fully Defeased",1,0)</f>
        <v/>
      </c>
      <c r="CK519" s="76">
        <f>IF($R519="IO","Full IO",IF(LEFT($R519&amp;"",7)="IO then","Partial IO","Amortizing"))</f>
        <v/>
      </c>
      <c r="CL519" s="78">
        <f>IF($CK519="Full IO",1,0)</f>
        <v/>
      </c>
      <c r="CM519" s="78">
        <f>IF($CK519="Partial IO",1,0)</f>
        <v/>
      </c>
      <c r="CN519" s="76">
        <f>IF(LEFT($F519&amp;"",10)="SPLIT_LOAN","Pari Passu Split","Standalone")</f>
        <v/>
      </c>
      <c r="CO519" s="78">
        <f>IF($CN519="Pari Passu Split",1,0)</f>
        <v/>
      </c>
      <c r="CP519" s="77">
        <f>IF(ISNUMBER($T519),YEAR($T519),"")</f>
        <v/>
      </c>
      <c r="CQ519" s="79">
        <f>IF(ISNUMBER($V519),$V519,IF(ISNUMBER($U519),$U519,""))</f>
        <v/>
      </c>
      <c r="CR519" s="77">
        <f>IF(ISNUMBER($CQ519),YEAR($CQ519),"")</f>
        <v/>
      </c>
      <c r="CS519" s="78">
        <f>IF(ISNUMBER($M519),MAX(0,$M519),IF(TRIM($M519&amp;"")="matured",0,""))</f>
        <v/>
      </c>
      <c r="CT519" s="78">
        <f>IF(AND(ISNUMBER($CS519),N($CS519)&lt;=mMatWindow),1,0)</f>
        <v/>
      </c>
      <c r="CU519" s="80">
        <f>IF(ISNUMBER($J519),$J519/100,"")</f>
        <v/>
      </c>
      <c r="CV519" s="81">
        <f>IF(ISNUMBER($AQ519),$AQ519,"")</f>
        <v/>
      </c>
      <c r="CW519" s="81">
        <f>IF(ISNUMBER($AR519),$AR519,"")</f>
        <v/>
      </c>
      <c r="CX519" s="82">
        <f>IF(ISNUMBER($AS519),$AS519/100,"")</f>
        <v/>
      </c>
      <c r="CY519" s="82">
        <f>IF(ISNUMBER($AT519),$AT519/100,"")</f>
        <v/>
      </c>
      <c r="CZ519" s="82">
        <f>IF(ISNUMBER($AU519),$AU519/100,"")</f>
        <v/>
      </c>
      <c r="DA519" s="82">
        <f>IF(ISNUMBER($AV519),$AV519/100,"")</f>
        <v/>
      </c>
      <c r="DB519" s="82">
        <f>IF(ISNUMBER($AW519),$AW519/100,"")</f>
        <v/>
      </c>
      <c r="DC519" s="82">
        <f>IF(ISNUMBER($AX519),$AX519/100,"")</f>
        <v/>
      </c>
      <c r="DD519" s="77">
        <f>IFERROR(VALUE(LEFT(TRIM($AO519&amp;""),4)),"")</f>
        <v/>
      </c>
      <c r="DE519" s="78">
        <f>IF(AND($BY519=1,$BX519=1,OR(fDeal="All Deals",$BU519=fDeal),OR(fEntity="All Entities",$BV519=fEntity),OR(fPType="All Property Types",$BZ519=fPType),OR(fDefeased="Include",$CJ519=0)),1,0)</f>
        <v/>
      </c>
      <c r="DF519" s="83">
        <f>$DE519*N($I519)</f>
        <v/>
      </c>
      <c r="DG519" s="78">
        <f>IF($DE519=1,IF(COUNTIFS($F$8:$F519,$F519,$DE$8:$DE519,1)=1,1,0),0)</f>
        <v/>
      </c>
      <c r="DH519" s="83">
        <f>IF($DG519=1,SUMIFS($DF$8:$DF$1600,$F$8:$F$1600,$F519),0)</f>
        <v/>
      </c>
      <c r="DI519" s="78">
        <f>IF($DG519=1,COUNTIFS($F$8:$F$1600,$F519,$DE$8:$DE$1600,1),0)</f>
        <v/>
      </c>
      <c r="DJ519" s="84">
        <f>IF($DG519=1,$DH519+(100000-ROW())/mTieBreak,0)</f>
        <v/>
      </c>
    </row>
    <row r="520">
      <c r="B520" s="68" t="n">
        <v>43</v>
      </c>
      <c r="C520" s="69" t="inlineStr">
        <is>
          <t>MSC19H6</t>
        </is>
      </c>
      <c r="D520" s="69" t="inlineStr">
        <is>
          <t>43.000</t>
        </is>
      </c>
      <c r="E520" s="69" t="inlineStr">
        <is>
          <t>Greenfield Towne Center II</t>
        </is>
      </c>
      <c r="F520" s="69" t="inlineStr">
        <is>
          <t>LNMSC19H6-43.000</t>
        </is>
      </c>
      <c r="G520" s="70" t="n"/>
      <c r="H520" s="71" t="n">
        <v>3415000</v>
      </c>
      <c r="I520" s="71" t="n">
        <v>2986603.560001645</v>
      </c>
      <c r="J520" s="72" t="n">
        <v>4.87</v>
      </c>
      <c r="K520" s="69" t="inlineStr">
        <is>
          <t>Fixed rate</t>
        </is>
      </c>
      <c r="L520" s="68" t="n">
        <v>120</v>
      </c>
      <c r="M520" s="68" t="n">
        <v>31</v>
      </c>
      <c r="N520" s="68" t="n">
        <v>360</v>
      </c>
      <c r="O520" s="68" t="n"/>
      <c r="P520" s="68" t="n"/>
      <c r="Q520" s="68" t="n">
        <v>89</v>
      </c>
      <c r="R520" s="69" t="n"/>
      <c r="S520" s="69" t="inlineStr">
        <is>
          <t>No</t>
        </is>
      </c>
      <c r="T520" s="73" t="n">
        <v>43556</v>
      </c>
      <c r="U520" s="73" t="n">
        <v>47209</v>
      </c>
      <c r="V520" s="73" t="n"/>
      <c r="W520" s="69" t="n"/>
      <c r="X520" s="69" t="inlineStr">
        <is>
          <t>Current</t>
        </is>
      </c>
      <c r="Y520" s="68" t="n"/>
      <c r="Z520" s="69" t="inlineStr">
        <is>
          <t>No Defeasance Occurred</t>
        </is>
      </c>
      <c r="AA520" s="69" t="inlineStr">
        <is>
          <t>Previously</t>
        </is>
      </c>
      <c r="AB520" s="69" t="inlineStr">
        <is>
          <t>Never special serv</t>
        </is>
      </c>
      <c r="AC520" s="73" t="n"/>
      <c r="AD520" s="69" t="n"/>
      <c r="AE520" s="69" t="n"/>
      <c r="AF520" s="69" t="inlineStr">
        <is>
          <t>WI</t>
        </is>
      </c>
      <c r="AG520" s="69" t="inlineStr">
        <is>
          <t>Greenfield</t>
        </is>
      </c>
      <c r="AH520" s="69" t="inlineStr">
        <is>
          <t>Milwaukee-Waukesha, WI</t>
        </is>
      </c>
      <c r="AI520" s="69" t="inlineStr">
        <is>
          <t>Midwest / Central East</t>
        </is>
      </c>
      <c r="AJ520" s="69" t="inlineStr">
        <is>
          <t>RT</t>
        </is>
      </c>
      <c r="AK520" s="69" t="inlineStr">
        <is>
          <t>Unanchored</t>
        </is>
      </c>
      <c r="AL520" s="68" t="n">
        <v>1</v>
      </c>
      <c r="AM520" s="68" t="n"/>
      <c r="AN520" s="68" t="n">
        <v>32174</v>
      </c>
      <c r="AO520" s="69" t="inlineStr">
        <is>
          <t>1995</t>
        </is>
      </c>
      <c r="AP520" s="70" t="n">
        <v>1995</v>
      </c>
      <c r="AQ520" s="74" t="n">
        <v>1.55</v>
      </c>
      <c r="AR520" s="74" t="n">
        <v>2.34</v>
      </c>
      <c r="AS520" s="74" t="n">
        <v>73</v>
      </c>
      <c r="AT520" s="74" t="n">
        <v>63.95</v>
      </c>
      <c r="AU520" s="74" t="n">
        <v>60</v>
      </c>
      <c r="AV520" s="74" t="n">
        <v>9.867122401</v>
      </c>
      <c r="AW520" s="74" t="n">
        <v>16.968656865</v>
      </c>
      <c r="AX520" s="75" t="n">
        <v>100</v>
      </c>
      <c r="AY520" s="71" t="n">
        <v>4670000</v>
      </c>
      <c r="AZ520" s="71" t="n">
        <v>4670000</v>
      </c>
      <c r="BA520" s="71" t="n">
        <v>336962.23</v>
      </c>
      <c r="BB520" s="71" t="n">
        <v>506786.51</v>
      </c>
      <c r="BC520" s="69" t="inlineStr">
        <is>
          <t>Refinance</t>
        </is>
      </c>
      <c r="BD520" s="69" t="inlineStr">
        <is>
          <t>N</t>
        </is>
      </c>
      <c r="BE520" s="71" t="n"/>
      <c r="BF520" s="71" t="n"/>
      <c r="BG520" s="71" t="n"/>
      <c r="BH520" s="71" t="n">
        <v>0</v>
      </c>
      <c r="BI520" s="71" t="n">
        <v>0</v>
      </c>
      <c r="BJ520" s="69" t="inlineStr">
        <is>
          <t>N</t>
        </is>
      </c>
      <c r="BK520" s="69" t="inlineStr">
        <is>
          <t>Medical Diagnostic Imaging LLC</t>
        </is>
      </c>
      <c r="BL520" s="75" t="n">
        <v>27.18</v>
      </c>
      <c r="BM520" s="73" t="n">
        <v>48029</v>
      </c>
      <c r="BN520" s="69" t="inlineStr">
        <is>
          <t>Next Realty Fund VIII, L.P.</t>
        </is>
      </c>
      <c r="BO520" s="69" t="inlineStr">
        <is>
          <t>Morgan Stanley</t>
        </is>
      </c>
      <c r="BP520" s="69" t="inlineStr">
        <is>
          <t>Midland Loan Services</t>
        </is>
      </c>
      <c r="BQ520" s="69" t="inlineStr">
        <is>
          <t>K-Star Asset Management LLC</t>
        </is>
      </c>
      <c r="BR520" s="69" t="n"/>
      <c r="BS520" s="73" t="n">
        <v>46276</v>
      </c>
      <c r="BU520" s="76">
        <f>IF($C520="","",IFERROR(INDEX(dmName,MATCH($C520,dmID,0)),"Unmapped"))</f>
        <v/>
      </c>
      <c r="BV520" s="76">
        <f>IF($C520="","",IFERROR(INDEX(dmEntity,MATCH($C520,dmID,0)),"Unmapped"))</f>
        <v/>
      </c>
      <c r="BW520" s="77">
        <f>IF($C520="","",IFERROR(INDEX(dmVintage,MATCH($C520,dmID,0)),""))</f>
        <v/>
      </c>
      <c r="BX520" s="78">
        <f>IFERROR(INDEX(dmInclude,MATCH($C520,dmID,0)),0)</f>
        <v/>
      </c>
      <c r="BY520" s="78">
        <f>IF(N($I520)&gt;0,1,0)</f>
        <v/>
      </c>
      <c r="BZ520" s="76">
        <f>IF($AJ520="","Other / Leased Fee",IFERROR(INDEX(mapPTGroup,MATCH(LEFT(TRIM($AJ520),2),mapPTCode,0)),"Other / Leased Fee"))</f>
        <v/>
      </c>
      <c r="CA520" s="76">
        <f>IF(TRIM($AF520&amp;"")="","NR",LEFT(TRIM($AF520),2))</f>
        <v/>
      </c>
      <c r="CB520" s="76">
        <f>IFERROR(LOOKUP(2,1/(LEFT(TRIM($AI520&amp;""),LEN(mapRegion))=mapRegion),mapRegion),"Not Reported")</f>
        <v/>
      </c>
      <c r="CC520" s="76">
        <f>IF($BY520=0,"",IF(TRIM($W520&amp;"")="REO","REO",IF(TRIM($W520&amp;"")="FC","Foreclosure",IF(TRIM($W520&amp;"")="90+","90+ Days Delinquent",IF(TRIM($W520&amp;"")="60","60 Days Delinquent",IF(TRIM($W520&amp;"")="30","30 Days Delinquent",IF($X520="Non-Performing Matured Balloon","Non-Performing Matured Balloon",IF(OR($X520="Late Payment But Less Than 30 Days Delinquent",LEFT($X520&amp;"",20)="Payment Not Received"),"Late / In Grace (&lt;30 Days)",IF($X520="Performing Matured Balloon","Performing Matured Balloon","Current")))))))))</f>
        <v/>
      </c>
      <c r="CD520" s="78">
        <f>IF(OR($CC520="REO",$CC520="Foreclosure",$CC520="90+ Days Delinquent",$CC520="60 Days Delinquent",$CC520="30 Days Delinquent",$CC520="Non-Performing Matured Balloon"),1,0)</f>
        <v/>
      </c>
      <c r="CE520" s="76">
        <f>IF($AB520="Currently special serv","Currently Specially Serviced",IF($AB520="Returned to master serv","Previously Specially Serviced","Never Specially Serviced"))</f>
        <v/>
      </c>
      <c r="CF520" s="78">
        <f>IF($CE520="Currently Specially Serviced",1,0)</f>
        <v/>
      </c>
      <c r="CG520" s="76">
        <f>IF($AA520="Yes","Currently on Watchlist",IF($AA520="Previously","Previously on Watchlist","Never on Watchlist"))</f>
        <v/>
      </c>
      <c r="CH520" s="78">
        <f>IF($CG520="Currently on Watchlist",1,0)</f>
        <v/>
      </c>
      <c r="CI520" s="76">
        <f>IF($Z520="Full Defeasance","Fully Defeased",IF($Z520="Portion Of Loan Previously Defeased","Partially Defeased",IF($Z520="Defeasance Not Allowable","Not Defeased (Not Permitted)","Not Defeased")))</f>
        <v/>
      </c>
      <c r="CJ520" s="78">
        <f>IF($CI520="Fully Defeased",1,0)</f>
        <v/>
      </c>
      <c r="CK520" s="76">
        <f>IF($R520="IO","Full IO",IF(LEFT($R520&amp;"",7)="IO then","Partial IO","Amortizing"))</f>
        <v/>
      </c>
      <c r="CL520" s="78">
        <f>IF($CK520="Full IO",1,0)</f>
        <v/>
      </c>
      <c r="CM520" s="78">
        <f>IF($CK520="Partial IO",1,0)</f>
        <v/>
      </c>
      <c r="CN520" s="76">
        <f>IF(LEFT($F520&amp;"",10)="SPLIT_LOAN","Pari Passu Split","Standalone")</f>
        <v/>
      </c>
      <c r="CO520" s="78">
        <f>IF($CN520="Pari Passu Split",1,0)</f>
        <v/>
      </c>
      <c r="CP520" s="77">
        <f>IF(ISNUMBER($T520),YEAR($T520),"")</f>
        <v/>
      </c>
      <c r="CQ520" s="79">
        <f>IF(ISNUMBER($V520),$V520,IF(ISNUMBER($U520),$U520,""))</f>
        <v/>
      </c>
      <c r="CR520" s="77">
        <f>IF(ISNUMBER($CQ520),YEAR($CQ520),"")</f>
        <v/>
      </c>
      <c r="CS520" s="78">
        <f>IF(ISNUMBER($M520),MAX(0,$M520),IF(TRIM($M520&amp;"")="matured",0,""))</f>
        <v/>
      </c>
      <c r="CT520" s="78">
        <f>IF(AND(ISNUMBER($CS520),N($CS520)&lt;=mMatWindow),1,0)</f>
        <v/>
      </c>
      <c r="CU520" s="80">
        <f>IF(ISNUMBER($J520),$J520/100,"")</f>
        <v/>
      </c>
      <c r="CV520" s="81">
        <f>IF(ISNUMBER($AQ520),$AQ520,"")</f>
        <v/>
      </c>
      <c r="CW520" s="81">
        <f>IF(ISNUMBER($AR520),$AR520,"")</f>
        <v/>
      </c>
      <c r="CX520" s="82">
        <f>IF(ISNUMBER($AS520),$AS520/100,"")</f>
        <v/>
      </c>
      <c r="CY520" s="82">
        <f>IF(ISNUMBER($AT520),$AT520/100,"")</f>
        <v/>
      </c>
      <c r="CZ520" s="82">
        <f>IF(ISNUMBER($AU520),$AU520/100,"")</f>
        <v/>
      </c>
      <c r="DA520" s="82">
        <f>IF(ISNUMBER($AV520),$AV520/100,"")</f>
        <v/>
      </c>
      <c r="DB520" s="82">
        <f>IF(ISNUMBER($AW520),$AW520/100,"")</f>
        <v/>
      </c>
      <c r="DC520" s="82">
        <f>IF(ISNUMBER($AX520),$AX520/100,"")</f>
        <v/>
      </c>
      <c r="DD520" s="77">
        <f>IFERROR(VALUE(LEFT(TRIM($AO520&amp;""),4)),"")</f>
        <v/>
      </c>
      <c r="DE520" s="78">
        <f>IF(AND($BY520=1,$BX520=1,OR(fDeal="All Deals",$BU520=fDeal),OR(fEntity="All Entities",$BV520=fEntity),OR(fPType="All Property Types",$BZ520=fPType),OR(fDefeased="Include",$CJ520=0)),1,0)</f>
        <v/>
      </c>
      <c r="DF520" s="83">
        <f>$DE520*N($I520)</f>
        <v/>
      </c>
      <c r="DG520" s="78">
        <f>IF($DE520=1,IF(COUNTIFS($F$8:$F520,$F520,$DE$8:$DE520,1)=1,1,0),0)</f>
        <v/>
      </c>
      <c r="DH520" s="83">
        <f>IF($DG520=1,SUMIFS($DF$8:$DF$1600,$F$8:$F$1600,$F520),0)</f>
        <v/>
      </c>
      <c r="DI520" s="78">
        <f>IF($DG520=1,COUNTIFS($F$8:$F$1600,$F520,$DE$8:$DE$1600,1),0)</f>
        <v/>
      </c>
      <c r="DJ520" s="84">
        <f>IF($DG520=1,$DH520+(100000-ROW())/mTieBreak,0)</f>
        <v/>
      </c>
    </row>
    <row r="521">
      <c r="B521" s="68" t="n">
        <v>44</v>
      </c>
      <c r="C521" s="69" t="inlineStr">
        <is>
          <t>MSC19H6</t>
        </is>
      </c>
      <c r="D521" s="69" t="inlineStr">
        <is>
          <t>44.000</t>
        </is>
      </c>
      <c r="E521" s="69" t="inlineStr">
        <is>
          <t>Kachina Self Storage</t>
        </is>
      </c>
      <c r="F521" s="69" t="inlineStr">
        <is>
          <t>LNMSC19H6-44.000</t>
        </is>
      </c>
      <c r="G521" s="70" t="n"/>
      <c r="H521" s="71" t="n">
        <v>3000000</v>
      </c>
      <c r="I521" s="71" t="n">
        <v>3000000</v>
      </c>
      <c r="J521" s="72" t="n">
        <v>5.1</v>
      </c>
      <c r="K521" s="69" t="inlineStr">
        <is>
          <t>Fixed rate</t>
        </is>
      </c>
      <c r="L521" s="68" t="n">
        <v>120</v>
      </c>
      <c r="M521" s="68" t="n">
        <v>31</v>
      </c>
      <c r="N521" s="68" t="n">
        <v>120</v>
      </c>
      <c r="O521" s="68" t="n">
        <v>120</v>
      </c>
      <c r="P521" s="68" t="n">
        <v>31</v>
      </c>
      <c r="Q521" s="68" t="n">
        <v>89</v>
      </c>
      <c r="R521" s="69" t="inlineStr">
        <is>
          <t>IO</t>
        </is>
      </c>
      <c r="S521" s="69" t="inlineStr">
        <is>
          <t>Yes</t>
        </is>
      </c>
      <c r="T521" s="73" t="n">
        <v>43556</v>
      </c>
      <c r="U521" s="73" t="n">
        <v>47209</v>
      </c>
      <c r="V521" s="73" t="n"/>
      <c r="W521" s="69" t="n"/>
      <c r="X521" s="69" t="inlineStr">
        <is>
          <t>Current</t>
        </is>
      </c>
      <c r="Y521" s="68" t="n"/>
      <c r="Z521" s="69" t="inlineStr">
        <is>
          <t>No Defeasance Occurred</t>
        </is>
      </c>
      <c r="AA521" s="69" t="inlineStr">
        <is>
          <t>Yes</t>
        </is>
      </c>
      <c r="AB521" s="69" t="inlineStr">
        <is>
          <t>Never special serv</t>
        </is>
      </c>
      <c r="AC521" s="73" t="n"/>
      <c r="AD521" s="69" t="n"/>
      <c r="AE521" s="69" t="n"/>
      <c r="AF521" s="69" t="inlineStr">
        <is>
          <t>AZ</t>
        </is>
      </c>
      <c r="AG521" s="69" t="inlineStr">
        <is>
          <t>Dewey</t>
        </is>
      </c>
      <c r="AH521" s="69" t="inlineStr">
        <is>
          <t>Prescott Valley-Prescott, AZ</t>
        </is>
      </c>
      <c r="AI521" s="69" t="inlineStr">
        <is>
          <t>West / Mountain</t>
        </is>
      </c>
      <c r="AJ521" s="69" t="inlineStr">
        <is>
          <t>SS</t>
        </is>
      </c>
      <c r="AK521" s="69" t="n"/>
      <c r="AL521" s="68" t="n">
        <v>1</v>
      </c>
      <c r="AM521" s="68" t="n"/>
      <c r="AN521" s="68" t="n">
        <v>38055</v>
      </c>
      <c r="AO521" s="69" t="inlineStr">
        <is>
          <t>2005</t>
        </is>
      </c>
      <c r="AP521" s="70" t="n">
        <v>2005</v>
      </c>
      <c r="AQ521" s="74" t="n">
        <v>1.87</v>
      </c>
      <c r="AR521" s="74" t="n">
        <v>2.18</v>
      </c>
      <c r="AS521" s="74" t="n">
        <v>62.9</v>
      </c>
      <c r="AT521" s="74" t="n">
        <v>62.89</v>
      </c>
      <c r="AU521" s="74" t="n">
        <v>62.9</v>
      </c>
      <c r="AV521" s="74" t="n">
        <v>9.66376</v>
      </c>
      <c r="AW521" s="74" t="n">
        <v>10.292507333</v>
      </c>
      <c r="AX521" s="75" t="n">
        <v>64</v>
      </c>
      <c r="AY521" s="71" t="n">
        <v>4770000</v>
      </c>
      <c r="AZ521" s="71" t="n">
        <v>4770000</v>
      </c>
      <c r="BA521" s="71" t="n">
        <v>289912.8</v>
      </c>
      <c r="BB521" s="71" t="n">
        <v>338401.9</v>
      </c>
      <c r="BC521" s="69" t="inlineStr">
        <is>
          <t>Refinance</t>
        </is>
      </c>
      <c r="BD521" s="69" t="inlineStr">
        <is>
          <t>N</t>
        </is>
      </c>
      <c r="BE521" s="71" t="n"/>
      <c r="BF521" s="71" t="n"/>
      <c r="BG521" s="71" t="n"/>
      <c r="BH521" s="71" t="n">
        <v>0</v>
      </c>
      <c r="BI521" s="71" t="n">
        <v>0</v>
      </c>
      <c r="BJ521" s="69" t="inlineStr">
        <is>
          <t>N</t>
        </is>
      </c>
      <c r="BK521" s="69" t="n"/>
      <c r="BL521" s="75" t="n"/>
      <c r="BM521" s="73" t="n"/>
      <c r="BN521" s="69" t="inlineStr">
        <is>
          <t>Erik Hemingway; Rachel Hemingway</t>
        </is>
      </c>
      <c r="BO521" s="69" t="inlineStr">
        <is>
          <t>Morgan Stanley</t>
        </is>
      </c>
      <c r="BP521" s="69" t="inlineStr">
        <is>
          <t>Midland Loan Services</t>
        </is>
      </c>
      <c r="BQ521" s="69" t="inlineStr">
        <is>
          <t>K-Star Asset Management LLC</t>
        </is>
      </c>
      <c r="BR521" s="69" t="n"/>
      <c r="BS521" s="73" t="n">
        <v>46276</v>
      </c>
      <c r="BU521" s="76">
        <f>IF($C521="","",IFERROR(INDEX(dmName,MATCH($C521,dmID,0)),"Unmapped"))</f>
        <v/>
      </c>
      <c r="BV521" s="76">
        <f>IF($C521="","",IFERROR(INDEX(dmEntity,MATCH($C521,dmID,0)),"Unmapped"))</f>
        <v/>
      </c>
      <c r="BW521" s="77">
        <f>IF($C521="","",IFERROR(INDEX(dmVintage,MATCH($C521,dmID,0)),""))</f>
        <v/>
      </c>
      <c r="BX521" s="78">
        <f>IFERROR(INDEX(dmInclude,MATCH($C521,dmID,0)),0)</f>
        <v/>
      </c>
      <c r="BY521" s="78">
        <f>IF(N($I521)&gt;0,1,0)</f>
        <v/>
      </c>
      <c r="BZ521" s="76">
        <f>IF($AJ521="","Other / Leased Fee",IFERROR(INDEX(mapPTGroup,MATCH(LEFT(TRIM($AJ521),2),mapPTCode,0)),"Other / Leased Fee"))</f>
        <v/>
      </c>
      <c r="CA521" s="76">
        <f>IF(TRIM($AF521&amp;"")="","NR",LEFT(TRIM($AF521),2))</f>
        <v/>
      </c>
      <c r="CB521" s="76">
        <f>IFERROR(LOOKUP(2,1/(LEFT(TRIM($AI521&amp;""),LEN(mapRegion))=mapRegion),mapRegion),"Not Reported")</f>
        <v/>
      </c>
      <c r="CC521" s="76">
        <f>IF($BY521=0,"",IF(TRIM($W521&amp;"")="REO","REO",IF(TRIM($W521&amp;"")="FC","Foreclosure",IF(TRIM($W521&amp;"")="90+","90+ Days Delinquent",IF(TRIM($W521&amp;"")="60","60 Days Delinquent",IF(TRIM($W521&amp;"")="30","30 Days Delinquent",IF($X521="Non-Performing Matured Balloon","Non-Performing Matured Balloon",IF(OR($X521="Late Payment But Less Than 30 Days Delinquent",LEFT($X521&amp;"",20)="Payment Not Received"),"Late / In Grace (&lt;30 Days)",IF($X521="Performing Matured Balloon","Performing Matured Balloon","Current")))))))))</f>
        <v/>
      </c>
      <c r="CD521" s="78">
        <f>IF(OR($CC521="REO",$CC521="Foreclosure",$CC521="90+ Days Delinquent",$CC521="60 Days Delinquent",$CC521="30 Days Delinquent",$CC521="Non-Performing Matured Balloon"),1,0)</f>
        <v/>
      </c>
      <c r="CE521" s="76">
        <f>IF($AB521="Currently special serv","Currently Specially Serviced",IF($AB521="Returned to master serv","Previously Specially Serviced","Never Specially Serviced"))</f>
        <v/>
      </c>
      <c r="CF521" s="78">
        <f>IF($CE521="Currently Specially Serviced",1,0)</f>
        <v/>
      </c>
      <c r="CG521" s="76">
        <f>IF($AA521="Yes","Currently on Watchlist",IF($AA521="Previously","Previously on Watchlist","Never on Watchlist"))</f>
        <v/>
      </c>
      <c r="CH521" s="78">
        <f>IF($CG521="Currently on Watchlist",1,0)</f>
        <v/>
      </c>
      <c r="CI521" s="76">
        <f>IF($Z521="Full Defeasance","Fully Defeased",IF($Z521="Portion Of Loan Previously Defeased","Partially Defeased",IF($Z521="Defeasance Not Allowable","Not Defeased (Not Permitted)","Not Defeased")))</f>
        <v/>
      </c>
      <c r="CJ521" s="78">
        <f>IF($CI521="Fully Defeased",1,0)</f>
        <v/>
      </c>
      <c r="CK521" s="76">
        <f>IF($R521="IO","Full IO",IF(LEFT($R521&amp;"",7)="IO then","Partial IO","Amortizing"))</f>
        <v/>
      </c>
      <c r="CL521" s="78">
        <f>IF($CK521="Full IO",1,0)</f>
        <v/>
      </c>
      <c r="CM521" s="78">
        <f>IF($CK521="Partial IO",1,0)</f>
        <v/>
      </c>
      <c r="CN521" s="76">
        <f>IF(LEFT($F521&amp;"",10)="SPLIT_LOAN","Pari Passu Split","Standalone")</f>
        <v/>
      </c>
      <c r="CO521" s="78">
        <f>IF($CN521="Pari Passu Split",1,0)</f>
        <v/>
      </c>
      <c r="CP521" s="77">
        <f>IF(ISNUMBER($T521),YEAR($T521),"")</f>
        <v/>
      </c>
      <c r="CQ521" s="79">
        <f>IF(ISNUMBER($V521),$V521,IF(ISNUMBER($U521),$U521,""))</f>
        <v/>
      </c>
      <c r="CR521" s="77">
        <f>IF(ISNUMBER($CQ521),YEAR($CQ521),"")</f>
        <v/>
      </c>
      <c r="CS521" s="78">
        <f>IF(ISNUMBER($M521),MAX(0,$M521),IF(TRIM($M521&amp;"")="matured",0,""))</f>
        <v/>
      </c>
      <c r="CT521" s="78">
        <f>IF(AND(ISNUMBER($CS521),N($CS521)&lt;=mMatWindow),1,0)</f>
        <v/>
      </c>
      <c r="CU521" s="80">
        <f>IF(ISNUMBER($J521),$J521/100,"")</f>
        <v/>
      </c>
      <c r="CV521" s="81">
        <f>IF(ISNUMBER($AQ521),$AQ521,"")</f>
        <v/>
      </c>
      <c r="CW521" s="81">
        <f>IF(ISNUMBER($AR521),$AR521,"")</f>
        <v/>
      </c>
      <c r="CX521" s="82">
        <f>IF(ISNUMBER($AS521),$AS521/100,"")</f>
        <v/>
      </c>
      <c r="CY521" s="82">
        <f>IF(ISNUMBER($AT521),$AT521/100,"")</f>
        <v/>
      </c>
      <c r="CZ521" s="82">
        <f>IF(ISNUMBER($AU521),$AU521/100,"")</f>
        <v/>
      </c>
      <c r="DA521" s="82">
        <f>IF(ISNUMBER($AV521),$AV521/100,"")</f>
        <v/>
      </c>
      <c r="DB521" s="82">
        <f>IF(ISNUMBER($AW521),$AW521/100,"")</f>
        <v/>
      </c>
      <c r="DC521" s="82">
        <f>IF(ISNUMBER($AX521),$AX521/100,"")</f>
        <v/>
      </c>
      <c r="DD521" s="77">
        <f>IFERROR(VALUE(LEFT(TRIM($AO521&amp;""),4)),"")</f>
        <v/>
      </c>
      <c r="DE521" s="78">
        <f>IF(AND($BY521=1,$BX521=1,OR(fDeal="All Deals",$BU521=fDeal),OR(fEntity="All Entities",$BV521=fEntity),OR(fPType="All Property Types",$BZ521=fPType),OR(fDefeased="Include",$CJ521=0)),1,0)</f>
        <v/>
      </c>
      <c r="DF521" s="83">
        <f>$DE521*N($I521)</f>
        <v/>
      </c>
      <c r="DG521" s="78">
        <f>IF($DE521=1,IF(COUNTIFS($F$8:$F521,$F521,$DE$8:$DE521,1)=1,1,0),0)</f>
        <v/>
      </c>
      <c r="DH521" s="83">
        <f>IF($DG521=1,SUMIFS($DF$8:$DF$1600,$F$8:$F$1600,$F521),0)</f>
        <v/>
      </c>
      <c r="DI521" s="78">
        <f>IF($DG521=1,COUNTIFS($F$8:$F$1600,$F521,$DE$8:$DE$1600,1),0)</f>
        <v/>
      </c>
      <c r="DJ521" s="84">
        <f>IF($DG521=1,$DH521+(100000-ROW())/mTieBreak,0)</f>
        <v/>
      </c>
    </row>
    <row r="522">
      <c r="B522" s="68" t="n">
        <v>45</v>
      </c>
      <c r="C522" s="69" t="inlineStr">
        <is>
          <t>MSC19H6</t>
        </is>
      </c>
      <c r="D522" s="69" t="inlineStr">
        <is>
          <t>45.000</t>
        </is>
      </c>
      <c r="E522" s="69" t="inlineStr">
        <is>
          <t>Swifts MHP</t>
        </is>
      </c>
      <c r="F522" s="69" t="inlineStr">
        <is>
          <t>LNMSC19H6-45.000</t>
        </is>
      </c>
      <c r="G522" s="70" t="n"/>
      <c r="H522" s="71" t="n">
        <v>2358820</v>
      </c>
      <c r="I522" s="71" t="n">
        <v>2198525.899999452</v>
      </c>
      <c r="J522" s="72" t="n">
        <v>4.84</v>
      </c>
      <c r="K522" s="69" t="inlineStr">
        <is>
          <t>Fixed rate</t>
        </is>
      </c>
      <c r="L522" s="68" t="n">
        <v>120</v>
      </c>
      <c r="M522" s="68" t="n">
        <v>32</v>
      </c>
      <c r="N522" s="68" t="n">
        <v>396</v>
      </c>
      <c r="O522" s="68" t="n">
        <v>36</v>
      </c>
      <c r="P522" s="68" t="n">
        <v>0</v>
      </c>
      <c r="Q522" s="68" t="n">
        <v>88</v>
      </c>
      <c r="R522" s="69" t="inlineStr">
        <is>
          <t>IO then Amort</t>
        </is>
      </c>
      <c r="S522" s="69" t="inlineStr">
        <is>
          <t>No</t>
        </is>
      </c>
      <c r="T522" s="73" t="n">
        <v>43586</v>
      </c>
      <c r="U522" s="73" t="n">
        <v>47239</v>
      </c>
      <c r="V522" s="73" t="n"/>
      <c r="W522" s="69" t="n"/>
      <c r="X522" s="69" t="inlineStr">
        <is>
          <t>Current</t>
        </is>
      </c>
      <c r="Y522" s="68" t="n"/>
      <c r="Z522" s="69" t="inlineStr">
        <is>
          <t>Full Defeasance</t>
        </is>
      </c>
      <c r="AA522" s="69" t="inlineStr">
        <is>
          <t>Previously</t>
        </is>
      </c>
      <c r="AB522" s="69" t="inlineStr">
        <is>
          <t>Never special serv</t>
        </is>
      </c>
      <c r="AC522" s="73" t="n"/>
      <c r="AD522" s="69" t="n"/>
      <c r="AE522" s="69" t="n"/>
      <c r="AF522" s="69" t="inlineStr">
        <is>
          <t>FL</t>
        </is>
      </c>
      <c r="AG522" s="69" t="inlineStr">
        <is>
          <t>North Fort Myers</t>
        </is>
      </c>
      <c r="AH522" s="69" t="inlineStr">
        <is>
          <t>Cape Coral-Fort Myers, FL</t>
        </is>
      </c>
      <c r="AI522" s="69" t="inlineStr">
        <is>
          <t>South / Atlantic</t>
        </is>
      </c>
      <c r="AJ522" s="69" t="inlineStr">
        <is>
          <t>MH</t>
        </is>
      </c>
      <c r="AK522" s="69" t="n"/>
      <c r="AL522" s="68" t="n">
        <v>1</v>
      </c>
      <c r="AM522" s="68" t="n">
        <v>87</v>
      </c>
      <c r="AN522" s="68" t="n"/>
      <c r="AO522" s="69" t="inlineStr">
        <is>
          <t>1949</t>
        </is>
      </c>
      <c r="AP522" s="70" t="n">
        <v>1949</v>
      </c>
      <c r="AQ522" s="74" t="n">
        <v>1.61</v>
      </c>
      <c r="AR522" s="74" t="n">
        <v>1.78</v>
      </c>
      <c r="AS522" s="74" t="n">
        <v>69.40000000000001</v>
      </c>
      <c r="AT522" s="74" t="n">
        <v>64.66</v>
      </c>
      <c r="AU522" s="74" t="n">
        <v>61.3</v>
      </c>
      <c r="AV522" s="74" t="n">
        <v>10.206954325</v>
      </c>
      <c r="AW522" s="74" t="n">
        <v>8.724926097000001</v>
      </c>
      <c r="AX522" s="75" t="n">
        <v>92</v>
      </c>
      <c r="AY522" s="71" t="n">
        <v>3400000</v>
      </c>
      <c r="AZ522" s="71" t="n">
        <v>3400000</v>
      </c>
      <c r="BA522" s="71" t="n">
        <v>240763.68</v>
      </c>
      <c r="BB522" s="71" t="n">
        <v>266164.51</v>
      </c>
      <c r="BC522" s="69" t="inlineStr">
        <is>
          <t>Refinance</t>
        </is>
      </c>
      <c r="BD522" s="69" t="inlineStr">
        <is>
          <t>N</t>
        </is>
      </c>
      <c r="BE522" s="71" t="n"/>
      <c r="BF522" s="71" t="n"/>
      <c r="BG522" s="71" t="n"/>
      <c r="BH522" s="71" t="n">
        <v>0</v>
      </c>
      <c r="BI522" s="71" t="n">
        <v>0</v>
      </c>
      <c r="BJ522" s="69" t="inlineStr">
        <is>
          <t>N</t>
        </is>
      </c>
      <c r="BK522" s="69" t="n"/>
      <c r="BL522" s="75" t="n"/>
      <c r="BM522" s="73" t="n"/>
      <c r="BN522" s="69" t="inlineStr">
        <is>
          <t>David M. Ruby</t>
        </is>
      </c>
      <c r="BO522" s="69" t="inlineStr">
        <is>
          <t>Morgan Stanley</t>
        </is>
      </c>
      <c r="BP522" s="69" t="inlineStr">
        <is>
          <t>Midland Loan Services</t>
        </is>
      </c>
      <c r="BQ522" s="69" t="inlineStr">
        <is>
          <t>K-Star Asset Management LLC</t>
        </is>
      </c>
      <c r="BR522" s="69" t="n"/>
      <c r="BS522" s="73" t="n">
        <v>46276</v>
      </c>
      <c r="BU522" s="76">
        <f>IF($C522="","",IFERROR(INDEX(dmName,MATCH($C522,dmID,0)),"Unmapped"))</f>
        <v/>
      </c>
      <c r="BV522" s="76">
        <f>IF($C522="","",IFERROR(INDEX(dmEntity,MATCH($C522,dmID,0)),"Unmapped"))</f>
        <v/>
      </c>
      <c r="BW522" s="77">
        <f>IF($C522="","",IFERROR(INDEX(dmVintage,MATCH($C522,dmID,0)),""))</f>
        <v/>
      </c>
      <c r="BX522" s="78">
        <f>IFERROR(INDEX(dmInclude,MATCH($C522,dmID,0)),0)</f>
        <v/>
      </c>
      <c r="BY522" s="78">
        <f>IF(N($I522)&gt;0,1,0)</f>
        <v/>
      </c>
      <c r="BZ522" s="76">
        <f>IF($AJ522="","Other / Leased Fee",IFERROR(INDEX(mapPTGroup,MATCH(LEFT(TRIM($AJ522),2),mapPTCode,0)),"Other / Leased Fee"))</f>
        <v/>
      </c>
      <c r="CA522" s="76">
        <f>IF(TRIM($AF522&amp;"")="","NR",LEFT(TRIM($AF522),2))</f>
        <v/>
      </c>
      <c r="CB522" s="76">
        <f>IFERROR(LOOKUP(2,1/(LEFT(TRIM($AI522&amp;""),LEN(mapRegion))=mapRegion),mapRegion),"Not Reported")</f>
        <v/>
      </c>
      <c r="CC522" s="76">
        <f>IF($BY522=0,"",IF(TRIM($W522&amp;"")="REO","REO",IF(TRIM($W522&amp;"")="FC","Foreclosure",IF(TRIM($W522&amp;"")="90+","90+ Days Delinquent",IF(TRIM($W522&amp;"")="60","60 Days Delinquent",IF(TRIM($W522&amp;"")="30","30 Days Delinquent",IF($X522="Non-Performing Matured Balloon","Non-Performing Matured Balloon",IF(OR($X522="Late Payment But Less Than 30 Days Delinquent",LEFT($X522&amp;"",20)="Payment Not Received"),"Late / In Grace (&lt;30 Days)",IF($X522="Performing Matured Balloon","Performing Matured Balloon","Current")))))))))</f>
        <v/>
      </c>
      <c r="CD522" s="78">
        <f>IF(OR($CC522="REO",$CC522="Foreclosure",$CC522="90+ Days Delinquent",$CC522="60 Days Delinquent",$CC522="30 Days Delinquent",$CC522="Non-Performing Matured Balloon"),1,0)</f>
        <v/>
      </c>
      <c r="CE522" s="76">
        <f>IF($AB522="Currently special serv","Currently Specially Serviced",IF($AB522="Returned to master serv","Previously Specially Serviced","Never Specially Serviced"))</f>
        <v/>
      </c>
      <c r="CF522" s="78">
        <f>IF($CE522="Currently Specially Serviced",1,0)</f>
        <v/>
      </c>
      <c r="CG522" s="76">
        <f>IF($AA522="Yes","Currently on Watchlist",IF($AA522="Previously","Previously on Watchlist","Never on Watchlist"))</f>
        <v/>
      </c>
      <c r="CH522" s="78">
        <f>IF($CG522="Currently on Watchlist",1,0)</f>
        <v/>
      </c>
      <c r="CI522" s="76">
        <f>IF($Z522="Full Defeasance","Fully Defeased",IF($Z522="Portion Of Loan Previously Defeased","Partially Defeased",IF($Z522="Defeasance Not Allowable","Not Defeased (Not Permitted)","Not Defeased")))</f>
        <v/>
      </c>
      <c r="CJ522" s="78">
        <f>IF($CI522="Fully Defeased",1,0)</f>
        <v/>
      </c>
      <c r="CK522" s="76">
        <f>IF($R522="IO","Full IO",IF(LEFT($R522&amp;"",7)="IO then","Partial IO","Amortizing"))</f>
        <v/>
      </c>
      <c r="CL522" s="78">
        <f>IF($CK522="Full IO",1,0)</f>
        <v/>
      </c>
      <c r="CM522" s="78">
        <f>IF($CK522="Partial IO",1,0)</f>
        <v/>
      </c>
      <c r="CN522" s="76">
        <f>IF(LEFT($F522&amp;"",10)="SPLIT_LOAN","Pari Passu Split","Standalone")</f>
        <v/>
      </c>
      <c r="CO522" s="78">
        <f>IF($CN522="Pari Passu Split",1,0)</f>
        <v/>
      </c>
      <c r="CP522" s="77">
        <f>IF(ISNUMBER($T522),YEAR($T522),"")</f>
        <v/>
      </c>
      <c r="CQ522" s="79">
        <f>IF(ISNUMBER($V522),$V522,IF(ISNUMBER($U522),$U522,""))</f>
        <v/>
      </c>
      <c r="CR522" s="77">
        <f>IF(ISNUMBER($CQ522),YEAR($CQ522),"")</f>
        <v/>
      </c>
      <c r="CS522" s="78">
        <f>IF(ISNUMBER($M522),MAX(0,$M522),IF(TRIM($M522&amp;"")="matured",0,""))</f>
        <v/>
      </c>
      <c r="CT522" s="78">
        <f>IF(AND(ISNUMBER($CS522),N($CS522)&lt;=mMatWindow),1,0)</f>
        <v/>
      </c>
      <c r="CU522" s="80">
        <f>IF(ISNUMBER($J522),$J522/100,"")</f>
        <v/>
      </c>
      <c r="CV522" s="81">
        <f>IF(ISNUMBER($AQ522),$AQ522,"")</f>
        <v/>
      </c>
      <c r="CW522" s="81">
        <f>IF(ISNUMBER($AR522),$AR522,"")</f>
        <v/>
      </c>
      <c r="CX522" s="82">
        <f>IF(ISNUMBER($AS522),$AS522/100,"")</f>
        <v/>
      </c>
      <c r="CY522" s="82">
        <f>IF(ISNUMBER($AT522),$AT522/100,"")</f>
        <v/>
      </c>
      <c r="CZ522" s="82">
        <f>IF(ISNUMBER($AU522),$AU522/100,"")</f>
        <v/>
      </c>
      <c r="DA522" s="82">
        <f>IF(ISNUMBER($AV522),$AV522/100,"")</f>
        <v/>
      </c>
      <c r="DB522" s="82">
        <f>IF(ISNUMBER($AW522),$AW522/100,"")</f>
        <v/>
      </c>
      <c r="DC522" s="82">
        <f>IF(ISNUMBER($AX522),$AX522/100,"")</f>
        <v/>
      </c>
      <c r="DD522" s="77">
        <f>IFERROR(VALUE(LEFT(TRIM($AO522&amp;""),4)),"")</f>
        <v/>
      </c>
      <c r="DE522" s="78">
        <f>IF(AND($BY522=1,$BX522=1,OR(fDeal="All Deals",$BU522=fDeal),OR(fEntity="All Entities",$BV522=fEntity),OR(fPType="All Property Types",$BZ522=fPType),OR(fDefeased="Include",$CJ522=0)),1,0)</f>
        <v/>
      </c>
      <c r="DF522" s="83">
        <f>$DE522*N($I522)</f>
        <v/>
      </c>
      <c r="DG522" s="78">
        <f>IF($DE522=1,IF(COUNTIFS($F$8:$F522,$F522,$DE$8:$DE522,1)=1,1,0),0)</f>
        <v/>
      </c>
      <c r="DH522" s="83">
        <f>IF($DG522=1,SUMIFS($DF$8:$DF$1600,$F$8:$F$1600,$F522),0)</f>
        <v/>
      </c>
      <c r="DI522" s="78">
        <f>IF($DG522=1,COUNTIFS($F$8:$F$1600,$F522,$DE$8:$DE$1600,1),0)</f>
        <v/>
      </c>
      <c r="DJ522" s="84">
        <f>IF($DG522=1,$DH522+(100000-ROW())/mTieBreak,0)</f>
        <v/>
      </c>
    </row>
    <row r="523">
      <c r="B523" s="68" t="n">
        <v>46</v>
      </c>
      <c r="C523" s="69" t="inlineStr">
        <is>
          <t>MSC19H6</t>
        </is>
      </c>
      <c r="D523" s="69" t="inlineStr">
        <is>
          <t>46.000</t>
        </is>
      </c>
      <c r="E523" s="69" t="inlineStr">
        <is>
          <t>Beach Crossing</t>
        </is>
      </c>
      <c r="F523" s="69" t="inlineStr">
        <is>
          <t>LNMSC19H6-46.000</t>
        </is>
      </c>
      <c r="G523" s="70" t="n"/>
      <c r="H523" s="71" t="n">
        <v>1950000</v>
      </c>
      <c r="I523" s="71" t="n">
        <v>1746385.22000085</v>
      </c>
      <c r="J523" s="72" t="n">
        <v>4.95</v>
      </c>
      <c r="K523" s="69" t="inlineStr">
        <is>
          <t>Fixed rate</t>
        </is>
      </c>
      <c r="L523" s="68" t="n">
        <v>120</v>
      </c>
      <c r="M523" s="68" t="n">
        <v>31</v>
      </c>
      <c r="N523" s="68" t="n">
        <v>372</v>
      </c>
      <c r="O523" s="68" t="n">
        <v>12</v>
      </c>
      <c r="P523" s="68" t="n">
        <v>0</v>
      </c>
      <c r="Q523" s="68" t="n">
        <v>89</v>
      </c>
      <c r="R523" s="69" t="inlineStr">
        <is>
          <t>IO then Amort</t>
        </is>
      </c>
      <c r="S523" s="69" t="inlineStr">
        <is>
          <t>No</t>
        </is>
      </c>
      <c r="T523" s="73" t="n">
        <v>43556</v>
      </c>
      <c r="U523" s="73" t="n">
        <v>47209</v>
      </c>
      <c r="V523" s="73" t="n"/>
      <c r="W523" s="69" t="n"/>
      <c r="X523" s="69" t="inlineStr">
        <is>
          <t>Current</t>
        </is>
      </c>
      <c r="Y523" s="68" t="n"/>
      <c r="Z523" s="69" t="inlineStr">
        <is>
          <t>Full Defeasance</t>
        </is>
      </c>
      <c r="AA523" s="69" t="inlineStr">
        <is>
          <t>Previously</t>
        </is>
      </c>
      <c r="AB523" s="69" t="inlineStr">
        <is>
          <t>Never special serv</t>
        </is>
      </c>
      <c r="AC523" s="73" t="n"/>
      <c r="AD523" s="69" t="n"/>
      <c r="AE523" s="69" t="n"/>
      <c r="AF523" s="69" t="inlineStr">
        <is>
          <t>SC</t>
        </is>
      </c>
      <c r="AG523" s="69" t="inlineStr">
        <is>
          <t>Myrtle Beach</t>
        </is>
      </c>
      <c r="AH523" s="69" t="inlineStr">
        <is>
          <t>Myrtle Beach-Conway-North Myrtle Beach, SC</t>
        </is>
      </c>
      <c r="AI523" s="69" t="inlineStr">
        <is>
          <t>South / Atlantic</t>
        </is>
      </c>
      <c r="AJ523" s="69" t="inlineStr">
        <is>
          <t>RT</t>
        </is>
      </c>
      <c r="AK523" s="69" t="inlineStr">
        <is>
          <t>Unanchored</t>
        </is>
      </c>
      <c r="AL523" s="68" t="n">
        <v>1</v>
      </c>
      <c r="AM523" s="68" t="n"/>
      <c r="AN523" s="68" t="n">
        <v>45790</v>
      </c>
      <c r="AO523" s="69" t="inlineStr">
        <is>
          <t>1984</t>
        </is>
      </c>
      <c r="AP523" s="70" t="n">
        <v>2013</v>
      </c>
      <c r="AQ523" s="74" t="n">
        <v>1.6</v>
      </c>
      <c r="AR523" s="74" t="n">
        <v>1.09</v>
      </c>
      <c r="AS523" s="74" t="n">
        <v>75</v>
      </c>
      <c r="AT523" s="74" t="n">
        <v>67.17</v>
      </c>
      <c r="AU523" s="74" t="n">
        <v>63.4</v>
      </c>
      <c r="AV523" s="74" t="n">
        <v>10.24067641</v>
      </c>
      <c r="AW523" s="74" t="n">
        <v>7.647499445</v>
      </c>
      <c r="AX523" s="75" t="n">
        <v>100</v>
      </c>
      <c r="AY523" s="71" t="n">
        <v>2600000</v>
      </c>
      <c r="AZ523" s="71" t="n">
        <v>2600000</v>
      </c>
      <c r="BA523" s="71" t="n">
        <v>199693.19</v>
      </c>
      <c r="BB523" s="71" t="n">
        <v>136587.49</v>
      </c>
      <c r="BC523" s="69" t="inlineStr">
        <is>
          <t>Refinance</t>
        </is>
      </c>
      <c r="BD523" s="69" t="inlineStr">
        <is>
          <t>N</t>
        </is>
      </c>
      <c r="BE523" s="71" t="n"/>
      <c r="BF523" s="71" t="n"/>
      <c r="BG523" s="71" t="n"/>
      <c r="BH523" s="71" t="n">
        <v>0</v>
      </c>
      <c r="BI523" s="71" t="n">
        <v>0</v>
      </c>
      <c r="BJ523" s="69" t="inlineStr">
        <is>
          <t>N</t>
        </is>
      </c>
      <c r="BK523" s="69" t="inlineStr">
        <is>
          <t>Advance Auto Parts</t>
        </is>
      </c>
      <c r="BL523" s="75" t="n">
        <v>45.86</v>
      </c>
      <c r="BM523" s="73" t="n">
        <v>45431</v>
      </c>
      <c r="BN523" s="69" t="inlineStr">
        <is>
          <t>Big V Property Group</t>
        </is>
      </c>
      <c r="BO523" s="69" t="inlineStr">
        <is>
          <t>Morgan Stanley</t>
        </is>
      </c>
      <c r="BP523" s="69" t="inlineStr">
        <is>
          <t>Midland Loan Services</t>
        </is>
      </c>
      <c r="BQ523" s="69" t="inlineStr">
        <is>
          <t>K-Star Asset Management LLC</t>
        </is>
      </c>
      <c r="BR523" s="69" t="n"/>
      <c r="BS523" s="73" t="n">
        <v>46276</v>
      </c>
      <c r="BU523" s="76">
        <f>IF($C523="","",IFERROR(INDEX(dmName,MATCH($C523,dmID,0)),"Unmapped"))</f>
        <v/>
      </c>
      <c r="BV523" s="76">
        <f>IF($C523="","",IFERROR(INDEX(dmEntity,MATCH($C523,dmID,0)),"Unmapped"))</f>
        <v/>
      </c>
      <c r="BW523" s="77">
        <f>IF($C523="","",IFERROR(INDEX(dmVintage,MATCH($C523,dmID,0)),""))</f>
        <v/>
      </c>
      <c r="BX523" s="78">
        <f>IFERROR(INDEX(dmInclude,MATCH($C523,dmID,0)),0)</f>
        <v/>
      </c>
      <c r="BY523" s="78">
        <f>IF(N($I523)&gt;0,1,0)</f>
        <v/>
      </c>
      <c r="BZ523" s="76">
        <f>IF($AJ523="","Other / Leased Fee",IFERROR(INDEX(mapPTGroup,MATCH(LEFT(TRIM($AJ523),2),mapPTCode,0)),"Other / Leased Fee"))</f>
        <v/>
      </c>
      <c r="CA523" s="76">
        <f>IF(TRIM($AF523&amp;"")="","NR",LEFT(TRIM($AF523),2))</f>
        <v/>
      </c>
      <c r="CB523" s="76">
        <f>IFERROR(LOOKUP(2,1/(LEFT(TRIM($AI523&amp;""),LEN(mapRegion))=mapRegion),mapRegion),"Not Reported")</f>
        <v/>
      </c>
      <c r="CC523" s="76">
        <f>IF($BY523=0,"",IF(TRIM($W523&amp;"")="REO","REO",IF(TRIM($W523&amp;"")="FC","Foreclosure",IF(TRIM($W523&amp;"")="90+","90+ Days Delinquent",IF(TRIM($W523&amp;"")="60","60 Days Delinquent",IF(TRIM($W523&amp;"")="30","30 Days Delinquent",IF($X523="Non-Performing Matured Balloon","Non-Performing Matured Balloon",IF(OR($X523="Late Payment But Less Than 30 Days Delinquent",LEFT($X523&amp;"",20)="Payment Not Received"),"Late / In Grace (&lt;30 Days)",IF($X523="Performing Matured Balloon","Performing Matured Balloon","Current")))))))))</f>
        <v/>
      </c>
      <c r="CD523" s="78">
        <f>IF(OR($CC523="REO",$CC523="Foreclosure",$CC523="90+ Days Delinquent",$CC523="60 Days Delinquent",$CC523="30 Days Delinquent",$CC523="Non-Performing Matured Balloon"),1,0)</f>
        <v/>
      </c>
      <c r="CE523" s="76">
        <f>IF($AB523="Currently special serv","Currently Specially Serviced",IF($AB523="Returned to master serv","Previously Specially Serviced","Never Specially Serviced"))</f>
        <v/>
      </c>
      <c r="CF523" s="78">
        <f>IF($CE523="Currently Specially Serviced",1,0)</f>
        <v/>
      </c>
      <c r="CG523" s="76">
        <f>IF($AA523="Yes","Currently on Watchlist",IF($AA523="Previously","Previously on Watchlist","Never on Watchlist"))</f>
        <v/>
      </c>
      <c r="CH523" s="78">
        <f>IF($CG523="Currently on Watchlist",1,0)</f>
        <v/>
      </c>
      <c r="CI523" s="76">
        <f>IF($Z523="Full Defeasance","Fully Defeased",IF($Z523="Portion Of Loan Previously Defeased","Partially Defeased",IF($Z523="Defeasance Not Allowable","Not Defeased (Not Permitted)","Not Defeased")))</f>
        <v/>
      </c>
      <c r="CJ523" s="78">
        <f>IF($CI523="Fully Defeased",1,0)</f>
        <v/>
      </c>
      <c r="CK523" s="76">
        <f>IF($R523="IO","Full IO",IF(LEFT($R523&amp;"",7)="IO then","Partial IO","Amortizing"))</f>
        <v/>
      </c>
      <c r="CL523" s="78">
        <f>IF($CK523="Full IO",1,0)</f>
        <v/>
      </c>
      <c r="CM523" s="78">
        <f>IF($CK523="Partial IO",1,0)</f>
        <v/>
      </c>
      <c r="CN523" s="76">
        <f>IF(LEFT($F523&amp;"",10)="SPLIT_LOAN","Pari Passu Split","Standalone")</f>
        <v/>
      </c>
      <c r="CO523" s="78">
        <f>IF($CN523="Pari Passu Split",1,0)</f>
        <v/>
      </c>
      <c r="CP523" s="77">
        <f>IF(ISNUMBER($T523),YEAR($T523),"")</f>
        <v/>
      </c>
      <c r="CQ523" s="79">
        <f>IF(ISNUMBER($V523),$V523,IF(ISNUMBER($U523),$U523,""))</f>
        <v/>
      </c>
      <c r="CR523" s="77">
        <f>IF(ISNUMBER($CQ523),YEAR($CQ523),"")</f>
        <v/>
      </c>
      <c r="CS523" s="78">
        <f>IF(ISNUMBER($M523),MAX(0,$M523),IF(TRIM($M523&amp;"")="matured",0,""))</f>
        <v/>
      </c>
      <c r="CT523" s="78">
        <f>IF(AND(ISNUMBER($CS523),N($CS523)&lt;=mMatWindow),1,0)</f>
        <v/>
      </c>
      <c r="CU523" s="80">
        <f>IF(ISNUMBER($J523),$J523/100,"")</f>
        <v/>
      </c>
      <c r="CV523" s="81">
        <f>IF(ISNUMBER($AQ523),$AQ523,"")</f>
        <v/>
      </c>
      <c r="CW523" s="81">
        <f>IF(ISNUMBER($AR523),$AR523,"")</f>
        <v/>
      </c>
      <c r="CX523" s="82">
        <f>IF(ISNUMBER($AS523),$AS523/100,"")</f>
        <v/>
      </c>
      <c r="CY523" s="82">
        <f>IF(ISNUMBER($AT523),$AT523/100,"")</f>
        <v/>
      </c>
      <c r="CZ523" s="82">
        <f>IF(ISNUMBER($AU523),$AU523/100,"")</f>
        <v/>
      </c>
      <c r="DA523" s="82">
        <f>IF(ISNUMBER($AV523),$AV523/100,"")</f>
        <v/>
      </c>
      <c r="DB523" s="82">
        <f>IF(ISNUMBER($AW523),$AW523/100,"")</f>
        <v/>
      </c>
      <c r="DC523" s="82">
        <f>IF(ISNUMBER($AX523),$AX523/100,"")</f>
        <v/>
      </c>
      <c r="DD523" s="77">
        <f>IFERROR(VALUE(LEFT(TRIM($AO523&amp;""),4)),"")</f>
        <v/>
      </c>
      <c r="DE523" s="78">
        <f>IF(AND($BY523=1,$BX523=1,OR(fDeal="All Deals",$BU523=fDeal),OR(fEntity="All Entities",$BV523=fEntity),OR(fPType="All Property Types",$BZ523=fPType),OR(fDefeased="Include",$CJ523=0)),1,0)</f>
        <v/>
      </c>
      <c r="DF523" s="83">
        <f>$DE523*N($I523)</f>
        <v/>
      </c>
      <c r="DG523" s="78">
        <f>IF($DE523=1,IF(COUNTIFS($F$8:$F523,$F523,$DE$8:$DE523,1)=1,1,0),0)</f>
        <v/>
      </c>
      <c r="DH523" s="83">
        <f>IF($DG523=1,SUMIFS($DF$8:$DF$1600,$F$8:$F$1600,$F523),0)</f>
        <v/>
      </c>
      <c r="DI523" s="78">
        <f>IF($DG523=1,COUNTIFS($F$8:$F$1600,$F523,$DE$8:$DE$1600,1),0)</f>
        <v/>
      </c>
      <c r="DJ523" s="84">
        <f>IF($DG523=1,$DH523+(100000-ROW())/mTieBreak,0)</f>
        <v/>
      </c>
    </row>
    <row r="524">
      <c r="B524" s="68" t="n">
        <v>1</v>
      </c>
      <c r="C524" s="69" t="inlineStr">
        <is>
          <t>WFC19C49</t>
        </is>
      </c>
      <c r="D524" s="69" t="inlineStr">
        <is>
          <t>1.000</t>
        </is>
      </c>
      <c r="E524" s="69" t="inlineStr">
        <is>
          <t>Innisfree Portfolio</t>
        </is>
      </c>
      <c r="F524" s="69" t="inlineStr">
        <is>
          <t>LNWFC19C49-1.000</t>
        </is>
      </c>
      <c r="G524" s="70" t="n"/>
      <c r="H524" s="71" t="n">
        <v>58500000</v>
      </c>
      <c r="I524" s="71" t="n">
        <v>45087009.2699715</v>
      </c>
      <c r="J524" s="72" t="n">
        <v>5.21</v>
      </c>
      <c r="K524" s="69" t="inlineStr">
        <is>
          <t>Fixed rate</t>
        </is>
      </c>
      <c r="L524" s="68" t="n">
        <v>120</v>
      </c>
      <c r="M524" s="68" t="n">
        <v>29</v>
      </c>
      <c r="N524" s="68" t="n">
        <v>360</v>
      </c>
      <c r="O524" s="68" t="n"/>
      <c r="P524" s="68" t="n"/>
      <c r="Q524" s="68" t="n">
        <v>91</v>
      </c>
      <c r="R524" s="69" t="n"/>
      <c r="S524" s="69" t="inlineStr">
        <is>
          <t>No</t>
        </is>
      </c>
      <c r="T524" s="73" t="n">
        <v>43497</v>
      </c>
      <c r="U524" s="73" t="n">
        <v>47155</v>
      </c>
      <c r="V524" s="73" t="n"/>
      <c r="W524" s="69" t="n"/>
      <c r="X524" s="69" t="inlineStr">
        <is>
          <t>Current</t>
        </is>
      </c>
      <c r="Y524" s="68" t="n"/>
      <c r="Z524" s="69" t="inlineStr">
        <is>
          <t>No Defeasance Occurred</t>
        </is>
      </c>
      <c r="AA524" s="69" t="n"/>
      <c r="AB524" s="69" t="inlineStr">
        <is>
          <t>Never special serv</t>
        </is>
      </c>
      <c r="AC524" s="73" t="n"/>
      <c r="AD524" s="69" t="n"/>
      <c r="AE524" s="69" t="n"/>
      <c r="AF524" s="69" t="inlineStr">
        <is>
          <t>FL</t>
        </is>
      </c>
      <c r="AG524" s="69" t="inlineStr">
        <is>
          <t>Fort Walton Beach</t>
        </is>
      </c>
      <c r="AH524" s="69" t="inlineStr">
        <is>
          <t>Crestview-Fort Walton Beach-Destin, FL</t>
        </is>
      </c>
      <c r="AI524" s="69" t="inlineStr">
        <is>
          <t>South / Atlantic</t>
        </is>
      </c>
      <c r="AJ524" s="69" t="inlineStr">
        <is>
          <t>HT</t>
        </is>
      </c>
      <c r="AK524" s="69" t="inlineStr">
        <is>
          <t>Full Service</t>
        </is>
      </c>
      <c r="AL524" s="68" t="n">
        <v>2</v>
      </c>
      <c r="AM524" s="68" t="n">
        <v>330</v>
      </c>
      <c r="AN524" s="68" t="n"/>
      <c r="AO524" s="69" t="n"/>
      <c r="AP524" s="70" t="n">
        <v>2017</v>
      </c>
      <c r="AQ524" s="74" t="n">
        <v>1.94</v>
      </c>
      <c r="AR524" s="74" t="n">
        <v>2.3</v>
      </c>
      <c r="AS524" s="74" t="n">
        <v>61.6</v>
      </c>
      <c r="AT524" s="74" t="n">
        <v>47.56</v>
      </c>
      <c r="AU524" s="74" t="n">
        <v>51.1</v>
      </c>
      <c r="AV524" s="74" t="n">
        <v>12.814760479</v>
      </c>
      <c r="AW524" s="74" t="n">
        <v>20.776241875</v>
      </c>
      <c r="AX524" s="75" t="n">
        <v>86</v>
      </c>
      <c r="AY524" s="71" t="n">
        <v>94800000</v>
      </c>
      <c r="AZ524" s="71" t="n">
        <v>94800000</v>
      </c>
      <c r="BA524" s="71" t="n">
        <v>7496634.88</v>
      </c>
      <c r="BB524" s="71" t="n">
        <v>8878928.6</v>
      </c>
      <c r="BC524" s="69" t="inlineStr">
        <is>
          <t>Refinance</t>
        </is>
      </c>
      <c r="BD524" s="69" t="inlineStr">
        <is>
          <t>Y</t>
        </is>
      </c>
      <c r="BE524" s="71" t="n"/>
      <c r="BF524" s="71" t="n"/>
      <c r="BG524" s="71" t="n"/>
      <c r="BH524" s="71" t="n">
        <v>0</v>
      </c>
      <c r="BI524" s="71" t="n">
        <v>0</v>
      </c>
      <c r="BJ524" s="69" t="inlineStr">
        <is>
          <t>N</t>
        </is>
      </c>
      <c r="BK524" s="69" t="n"/>
      <c r="BL524" s="75" t="n"/>
      <c r="BM524" s="73" t="n"/>
      <c r="BN524" s="69" t="inlineStr">
        <is>
          <t>Julian MacQueen</t>
        </is>
      </c>
      <c r="BO524" s="69" t="inlineStr">
        <is>
          <t>Ladder Capital Finance</t>
        </is>
      </c>
      <c r="BP524" s="69" t="inlineStr">
        <is>
          <t>TriMont Real Estate Advisors</t>
        </is>
      </c>
      <c r="BQ524" s="69" t="inlineStr">
        <is>
          <t>K-Star Asset Management LLC</t>
        </is>
      </c>
      <c r="BR524" s="69" t="inlineStr">
        <is>
          <t>Partial Liquidation (Curtailment)</t>
        </is>
      </c>
      <c r="BS524" s="73" t="n">
        <v>46276</v>
      </c>
      <c r="BU524" s="76">
        <f>IF($C524="","",IFERROR(INDEX(dmName,MATCH($C524,dmID,0)),"Unmapped"))</f>
        <v/>
      </c>
      <c r="BV524" s="76">
        <f>IF($C524="","",IFERROR(INDEX(dmEntity,MATCH($C524,dmID,0)),"Unmapped"))</f>
        <v/>
      </c>
      <c r="BW524" s="77">
        <f>IF($C524="","",IFERROR(INDEX(dmVintage,MATCH($C524,dmID,0)),""))</f>
        <v/>
      </c>
      <c r="BX524" s="78">
        <f>IFERROR(INDEX(dmInclude,MATCH($C524,dmID,0)),0)</f>
        <v/>
      </c>
      <c r="BY524" s="78">
        <f>IF(N($I524)&gt;0,1,0)</f>
        <v/>
      </c>
      <c r="BZ524" s="76">
        <f>IF($AJ524="","Other / Leased Fee",IFERROR(INDEX(mapPTGroup,MATCH(LEFT(TRIM($AJ524),2),mapPTCode,0)),"Other / Leased Fee"))</f>
        <v/>
      </c>
      <c r="CA524" s="76">
        <f>IF(TRIM($AF524&amp;"")="","NR",LEFT(TRIM($AF524),2))</f>
        <v/>
      </c>
      <c r="CB524" s="76">
        <f>IFERROR(LOOKUP(2,1/(LEFT(TRIM($AI524&amp;""),LEN(mapRegion))=mapRegion),mapRegion),"Not Reported")</f>
        <v/>
      </c>
      <c r="CC524" s="76">
        <f>IF($BY524=0,"",IF(TRIM($W524&amp;"")="REO","REO",IF(TRIM($W524&amp;"")="FC","Foreclosure",IF(TRIM($W524&amp;"")="90+","90+ Days Delinquent",IF(TRIM($W524&amp;"")="60","60 Days Delinquent",IF(TRIM($W524&amp;"")="30","30 Days Delinquent",IF($X524="Non-Performing Matured Balloon","Non-Performing Matured Balloon",IF(OR($X524="Late Payment But Less Than 30 Days Delinquent",LEFT($X524&amp;"",20)="Payment Not Received"),"Late / In Grace (&lt;30 Days)",IF($X524="Performing Matured Balloon","Performing Matured Balloon","Current")))))))))</f>
        <v/>
      </c>
      <c r="CD524" s="78">
        <f>IF(OR($CC524="REO",$CC524="Foreclosure",$CC524="90+ Days Delinquent",$CC524="60 Days Delinquent",$CC524="30 Days Delinquent",$CC524="Non-Performing Matured Balloon"),1,0)</f>
        <v/>
      </c>
      <c r="CE524" s="76">
        <f>IF($AB524="Currently special serv","Currently Specially Serviced",IF($AB524="Returned to master serv","Previously Specially Serviced","Never Specially Serviced"))</f>
        <v/>
      </c>
      <c r="CF524" s="78">
        <f>IF($CE524="Currently Specially Serviced",1,0)</f>
        <v/>
      </c>
      <c r="CG524" s="76">
        <f>IF($AA524="Yes","Currently on Watchlist",IF($AA524="Previously","Previously on Watchlist","Never on Watchlist"))</f>
        <v/>
      </c>
      <c r="CH524" s="78">
        <f>IF($CG524="Currently on Watchlist",1,0)</f>
        <v/>
      </c>
      <c r="CI524" s="76">
        <f>IF($Z524="Full Defeasance","Fully Defeased",IF($Z524="Portion Of Loan Previously Defeased","Partially Defeased",IF($Z524="Defeasance Not Allowable","Not Defeased (Not Permitted)","Not Defeased")))</f>
        <v/>
      </c>
      <c r="CJ524" s="78">
        <f>IF($CI524="Fully Defeased",1,0)</f>
        <v/>
      </c>
      <c r="CK524" s="76">
        <f>IF($R524="IO","Full IO",IF(LEFT($R524&amp;"",7)="IO then","Partial IO","Amortizing"))</f>
        <v/>
      </c>
      <c r="CL524" s="78">
        <f>IF($CK524="Full IO",1,0)</f>
        <v/>
      </c>
      <c r="CM524" s="78">
        <f>IF($CK524="Partial IO",1,0)</f>
        <v/>
      </c>
      <c r="CN524" s="76">
        <f>IF(LEFT($F524&amp;"",10)="SPLIT_LOAN","Pari Passu Split","Standalone")</f>
        <v/>
      </c>
      <c r="CO524" s="78">
        <f>IF($CN524="Pari Passu Split",1,0)</f>
        <v/>
      </c>
      <c r="CP524" s="77">
        <f>IF(ISNUMBER($T524),YEAR($T524),"")</f>
        <v/>
      </c>
      <c r="CQ524" s="79">
        <f>IF(ISNUMBER($V524),$V524,IF(ISNUMBER($U524),$U524,""))</f>
        <v/>
      </c>
      <c r="CR524" s="77">
        <f>IF(ISNUMBER($CQ524),YEAR($CQ524),"")</f>
        <v/>
      </c>
      <c r="CS524" s="78">
        <f>IF(ISNUMBER($M524),MAX(0,$M524),IF(TRIM($M524&amp;"")="matured",0,""))</f>
        <v/>
      </c>
      <c r="CT524" s="78">
        <f>IF(AND(ISNUMBER($CS524),N($CS524)&lt;=mMatWindow),1,0)</f>
        <v/>
      </c>
      <c r="CU524" s="80">
        <f>IF(ISNUMBER($J524),$J524/100,"")</f>
        <v/>
      </c>
      <c r="CV524" s="81">
        <f>IF(ISNUMBER($AQ524),$AQ524,"")</f>
        <v/>
      </c>
      <c r="CW524" s="81">
        <f>IF(ISNUMBER($AR524),$AR524,"")</f>
        <v/>
      </c>
      <c r="CX524" s="82">
        <f>IF(ISNUMBER($AS524),$AS524/100,"")</f>
        <v/>
      </c>
      <c r="CY524" s="82">
        <f>IF(ISNUMBER($AT524),$AT524/100,"")</f>
        <v/>
      </c>
      <c r="CZ524" s="82">
        <f>IF(ISNUMBER($AU524),$AU524/100,"")</f>
        <v/>
      </c>
      <c r="DA524" s="82">
        <f>IF(ISNUMBER($AV524),$AV524/100,"")</f>
        <v/>
      </c>
      <c r="DB524" s="82">
        <f>IF(ISNUMBER($AW524),$AW524/100,"")</f>
        <v/>
      </c>
      <c r="DC524" s="82">
        <f>IF(ISNUMBER($AX524),$AX524/100,"")</f>
        <v/>
      </c>
      <c r="DD524" s="77">
        <f>IFERROR(VALUE(LEFT(TRIM($AO524&amp;""),4)),"")</f>
        <v/>
      </c>
      <c r="DE524" s="78">
        <f>IF(AND($BY524=1,$BX524=1,OR(fDeal="All Deals",$BU524=fDeal),OR(fEntity="All Entities",$BV524=fEntity),OR(fPType="All Property Types",$BZ524=fPType),OR(fDefeased="Include",$CJ524=0)),1,0)</f>
        <v/>
      </c>
      <c r="DF524" s="83">
        <f>$DE524*N($I524)</f>
        <v/>
      </c>
      <c r="DG524" s="78">
        <f>IF($DE524=1,IF(COUNTIFS($F$8:$F524,$F524,$DE$8:$DE524,1)=1,1,0),0)</f>
        <v/>
      </c>
      <c r="DH524" s="83">
        <f>IF($DG524=1,SUMIFS($DF$8:$DF$1600,$F$8:$F$1600,$F524),0)</f>
        <v/>
      </c>
      <c r="DI524" s="78">
        <f>IF($DG524=1,COUNTIFS($F$8:$F$1600,$F524,$DE$8:$DE$1600,1),0)</f>
        <v/>
      </c>
      <c r="DJ524" s="84">
        <f>IF($DG524=1,$DH524+(100000-ROW())/mTieBreak,0)</f>
        <v/>
      </c>
    </row>
    <row r="525">
      <c r="B525" s="68" t="n">
        <v>2</v>
      </c>
      <c r="C525" s="69" t="inlineStr">
        <is>
          <t>WFC19C49</t>
        </is>
      </c>
      <c r="D525" s="69" t="inlineStr">
        <is>
          <t>2.000</t>
        </is>
      </c>
      <c r="E525" s="69" t="inlineStr">
        <is>
          <t>Bristow Center</t>
        </is>
      </c>
      <c r="F525" s="69" t="inlineStr">
        <is>
          <t>LNWFC19C49-2.000</t>
        </is>
      </c>
      <c r="G525" s="70" t="n"/>
      <c r="H525" s="71" t="n">
        <v>53000000</v>
      </c>
      <c r="I525" s="71" t="n">
        <v>53000000</v>
      </c>
      <c r="J525" s="72" t="n">
        <v>5.1</v>
      </c>
      <c r="K525" s="69" t="inlineStr">
        <is>
          <t>Fixed rate</t>
        </is>
      </c>
      <c r="L525" s="68" t="n">
        <v>120</v>
      </c>
      <c r="M525" s="68" t="n">
        <v>29</v>
      </c>
      <c r="N525" s="68" t="n">
        <v>120</v>
      </c>
      <c r="O525" s="68" t="n">
        <v>120</v>
      </c>
      <c r="P525" s="68" t="n">
        <v>29</v>
      </c>
      <c r="Q525" s="68" t="n">
        <v>91</v>
      </c>
      <c r="R525" s="69" t="inlineStr">
        <is>
          <t>IO</t>
        </is>
      </c>
      <c r="S525" s="69" t="inlineStr">
        <is>
          <t>Yes</t>
        </is>
      </c>
      <c r="T525" s="73" t="n">
        <v>43497</v>
      </c>
      <c r="U525" s="73" t="n">
        <v>47150</v>
      </c>
      <c r="V525" s="73" t="n"/>
      <c r="W525" s="69" t="n"/>
      <c r="X525" s="69" t="inlineStr">
        <is>
          <t>Current</t>
        </is>
      </c>
      <c r="Y525" s="68" t="n"/>
      <c r="Z525" s="69" t="inlineStr">
        <is>
          <t>No Defeasance Occurred</t>
        </is>
      </c>
      <c r="AA525" s="69" t="inlineStr">
        <is>
          <t>Yes</t>
        </is>
      </c>
      <c r="AB525" s="69" t="inlineStr">
        <is>
          <t>Never special serv</t>
        </is>
      </c>
      <c r="AC525" s="73" t="n"/>
      <c r="AD525" s="69" t="n"/>
      <c r="AE525" s="69" t="n"/>
      <c r="AF525" s="69" t="inlineStr">
        <is>
          <t>VA</t>
        </is>
      </c>
      <c r="AG525" s="69" t="inlineStr">
        <is>
          <t>Bristow</t>
        </is>
      </c>
      <c r="AH525" s="69" t="inlineStr">
        <is>
          <t>Washington-Arlington-Alexandria, DC-VA-MD-WV</t>
        </is>
      </c>
      <c r="AI525" s="69" t="inlineStr">
        <is>
          <t>South / Atlantic</t>
        </is>
      </c>
      <c r="AJ525" s="69" t="inlineStr">
        <is>
          <t>RT</t>
        </is>
      </c>
      <c r="AK525" s="69" t="inlineStr">
        <is>
          <t>Anchored</t>
        </is>
      </c>
      <c r="AL525" s="68" t="n">
        <v>1</v>
      </c>
      <c r="AM525" s="68" t="n"/>
      <c r="AN525" s="68" t="n">
        <v>158082</v>
      </c>
      <c r="AO525" s="69" t="inlineStr">
        <is>
          <t>2007</t>
        </is>
      </c>
      <c r="AP525" s="70" t="n">
        <v>2007</v>
      </c>
      <c r="AQ525" s="74" t="n">
        <v>1.51</v>
      </c>
      <c r="AR525" s="74" t="n">
        <v>1.54</v>
      </c>
      <c r="AS525" s="74" t="n">
        <v>67.40000000000001</v>
      </c>
      <c r="AT525" s="74" t="n">
        <v>67.43000000000001</v>
      </c>
      <c r="AU525" s="74" t="n">
        <v>67.40000000000001</v>
      </c>
      <c r="AV525" s="74" t="n">
        <v>7.815115094</v>
      </c>
      <c r="AW525" s="74" t="n">
        <v>8.22402866</v>
      </c>
      <c r="AX525" s="75" t="n">
        <v>99</v>
      </c>
      <c r="AY525" s="71" t="n">
        <v>78600000</v>
      </c>
      <c r="AZ525" s="71" t="n">
        <v>78600000</v>
      </c>
      <c r="BA525" s="71" t="n">
        <v>4142011</v>
      </c>
      <c r="BB525" s="71" t="n">
        <v>2098339.57</v>
      </c>
      <c r="BC525" s="69" t="inlineStr">
        <is>
          <t>Refinance</t>
        </is>
      </c>
      <c r="BD525" s="69" t="inlineStr">
        <is>
          <t>N</t>
        </is>
      </c>
      <c r="BE525" s="71" t="n"/>
      <c r="BF525" s="71" t="n"/>
      <c r="BG525" s="71" t="n"/>
      <c r="BH525" s="71" t="n">
        <v>0</v>
      </c>
      <c r="BI525" s="71" t="n">
        <v>0</v>
      </c>
      <c r="BJ525" s="69" t="inlineStr">
        <is>
          <t>N</t>
        </is>
      </c>
      <c r="BK525" s="69" t="inlineStr">
        <is>
          <t>Harris Teeter</t>
        </is>
      </c>
      <c r="BL525" s="75" t="n">
        <v>35.61</v>
      </c>
      <c r="BM525" s="73" t="n">
        <v>46538</v>
      </c>
      <c r="BN525" s="69" t="inlineStr">
        <is>
          <t>Gary D. Rappaport</t>
        </is>
      </c>
      <c r="BO525" s="69" t="inlineStr">
        <is>
          <t>Wells Fargo</t>
        </is>
      </c>
      <c r="BP525" s="69" t="inlineStr">
        <is>
          <t>TriMont Real Estate Advisors</t>
        </is>
      </c>
      <c r="BQ525" s="69" t="inlineStr">
        <is>
          <t>K-Star Asset Management LLC</t>
        </is>
      </c>
      <c r="BR525" s="69" t="n"/>
      <c r="BS525" s="73" t="n">
        <v>46276</v>
      </c>
      <c r="BU525" s="76">
        <f>IF($C525="","",IFERROR(INDEX(dmName,MATCH($C525,dmID,0)),"Unmapped"))</f>
        <v/>
      </c>
      <c r="BV525" s="76">
        <f>IF($C525="","",IFERROR(INDEX(dmEntity,MATCH($C525,dmID,0)),"Unmapped"))</f>
        <v/>
      </c>
      <c r="BW525" s="77">
        <f>IF($C525="","",IFERROR(INDEX(dmVintage,MATCH($C525,dmID,0)),""))</f>
        <v/>
      </c>
      <c r="BX525" s="78">
        <f>IFERROR(INDEX(dmInclude,MATCH($C525,dmID,0)),0)</f>
        <v/>
      </c>
      <c r="BY525" s="78">
        <f>IF(N($I525)&gt;0,1,0)</f>
        <v/>
      </c>
      <c r="BZ525" s="76">
        <f>IF($AJ525="","Other / Leased Fee",IFERROR(INDEX(mapPTGroup,MATCH(LEFT(TRIM($AJ525),2),mapPTCode,0)),"Other / Leased Fee"))</f>
        <v/>
      </c>
      <c r="CA525" s="76">
        <f>IF(TRIM($AF525&amp;"")="","NR",LEFT(TRIM($AF525),2))</f>
        <v/>
      </c>
      <c r="CB525" s="76">
        <f>IFERROR(LOOKUP(2,1/(LEFT(TRIM($AI525&amp;""),LEN(mapRegion))=mapRegion),mapRegion),"Not Reported")</f>
        <v/>
      </c>
      <c r="CC525" s="76">
        <f>IF($BY525=0,"",IF(TRIM($W525&amp;"")="REO","REO",IF(TRIM($W525&amp;"")="FC","Foreclosure",IF(TRIM($W525&amp;"")="90+","90+ Days Delinquent",IF(TRIM($W525&amp;"")="60","60 Days Delinquent",IF(TRIM($W525&amp;"")="30","30 Days Delinquent",IF($X525="Non-Performing Matured Balloon","Non-Performing Matured Balloon",IF(OR($X525="Late Payment But Less Than 30 Days Delinquent",LEFT($X525&amp;"",20)="Payment Not Received"),"Late / In Grace (&lt;30 Days)",IF($X525="Performing Matured Balloon","Performing Matured Balloon","Current")))))))))</f>
        <v/>
      </c>
      <c r="CD525" s="78">
        <f>IF(OR($CC525="REO",$CC525="Foreclosure",$CC525="90+ Days Delinquent",$CC525="60 Days Delinquent",$CC525="30 Days Delinquent",$CC525="Non-Performing Matured Balloon"),1,0)</f>
        <v/>
      </c>
      <c r="CE525" s="76">
        <f>IF($AB525="Currently special serv","Currently Specially Serviced",IF($AB525="Returned to master serv","Previously Specially Serviced","Never Specially Serviced"))</f>
        <v/>
      </c>
      <c r="CF525" s="78">
        <f>IF($CE525="Currently Specially Serviced",1,0)</f>
        <v/>
      </c>
      <c r="CG525" s="76">
        <f>IF($AA525="Yes","Currently on Watchlist",IF($AA525="Previously","Previously on Watchlist","Never on Watchlist"))</f>
        <v/>
      </c>
      <c r="CH525" s="78">
        <f>IF($CG525="Currently on Watchlist",1,0)</f>
        <v/>
      </c>
      <c r="CI525" s="76">
        <f>IF($Z525="Full Defeasance","Fully Defeased",IF($Z525="Portion Of Loan Previously Defeased","Partially Defeased",IF($Z525="Defeasance Not Allowable","Not Defeased (Not Permitted)","Not Defeased")))</f>
        <v/>
      </c>
      <c r="CJ525" s="78">
        <f>IF($CI525="Fully Defeased",1,0)</f>
        <v/>
      </c>
      <c r="CK525" s="76">
        <f>IF($R525="IO","Full IO",IF(LEFT($R525&amp;"",7)="IO then","Partial IO","Amortizing"))</f>
        <v/>
      </c>
      <c r="CL525" s="78">
        <f>IF($CK525="Full IO",1,0)</f>
        <v/>
      </c>
      <c r="CM525" s="78">
        <f>IF($CK525="Partial IO",1,0)</f>
        <v/>
      </c>
      <c r="CN525" s="76">
        <f>IF(LEFT($F525&amp;"",10)="SPLIT_LOAN","Pari Passu Split","Standalone")</f>
        <v/>
      </c>
      <c r="CO525" s="78">
        <f>IF($CN525="Pari Passu Split",1,0)</f>
        <v/>
      </c>
      <c r="CP525" s="77">
        <f>IF(ISNUMBER($T525),YEAR($T525),"")</f>
        <v/>
      </c>
      <c r="CQ525" s="79">
        <f>IF(ISNUMBER($V525),$V525,IF(ISNUMBER($U525),$U525,""))</f>
        <v/>
      </c>
      <c r="CR525" s="77">
        <f>IF(ISNUMBER($CQ525),YEAR($CQ525),"")</f>
        <v/>
      </c>
      <c r="CS525" s="78">
        <f>IF(ISNUMBER($M525),MAX(0,$M525),IF(TRIM($M525&amp;"")="matured",0,""))</f>
        <v/>
      </c>
      <c r="CT525" s="78">
        <f>IF(AND(ISNUMBER($CS525),N($CS525)&lt;=mMatWindow),1,0)</f>
        <v/>
      </c>
      <c r="CU525" s="80">
        <f>IF(ISNUMBER($J525),$J525/100,"")</f>
        <v/>
      </c>
      <c r="CV525" s="81">
        <f>IF(ISNUMBER($AQ525),$AQ525,"")</f>
        <v/>
      </c>
      <c r="CW525" s="81">
        <f>IF(ISNUMBER($AR525),$AR525,"")</f>
        <v/>
      </c>
      <c r="CX525" s="82">
        <f>IF(ISNUMBER($AS525),$AS525/100,"")</f>
        <v/>
      </c>
      <c r="CY525" s="82">
        <f>IF(ISNUMBER($AT525),$AT525/100,"")</f>
        <v/>
      </c>
      <c r="CZ525" s="82">
        <f>IF(ISNUMBER($AU525),$AU525/100,"")</f>
        <v/>
      </c>
      <c r="DA525" s="82">
        <f>IF(ISNUMBER($AV525),$AV525/100,"")</f>
        <v/>
      </c>
      <c r="DB525" s="82">
        <f>IF(ISNUMBER($AW525),$AW525/100,"")</f>
        <v/>
      </c>
      <c r="DC525" s="82">
        <f>IF(ISNUMBER($AX525),$AX525/100,"")</f>
        <v/>
      </c>
      <c r="DD525" s="77">
        <f>IFERROR(VALUE(LEFT(TRIM($AO525&amp;""),4)),"")</f>
        <v/>
      </c>
      <c r="DE525" s="78">
        <f>IF(AND($BY525=1,$BX525=1,OR(fDeal="All Deals",$BU525=fDeal),OR(fEntity="All Entities",$BV525=fEntity),OR(fPType="All Property Types",$BZ525=fPType),OR(fDefeased="Include",$CJ525=0)),1,0)</f>
        <v/>
      </c>
      <c r="DF525" s="83">
        <f>$DE525*N($I525)</f>
        <v/>
      </c>
      <c r="DG525" s="78">
        <f>IF($DE525=1,IF(COUNTIFS($F$8:$F525,$F525,$DE$8:$DE525,1)=1,1,0),0)</f>
        <v/>
      </c>
      <c r="DH525" s="83">
        <f>IF($DG525=1,SUMIFS($DF$8:$DF$1600,$F$8:$F$1600,$F525),0)</f>
        <v/>
      </c>
      <c r="DI525" s="78">
        <f>IF($DG525=1,COUNTIFS($F$8:$F$1600,$F525,$DE$8:$DE$1600,1),0)</f>
        <v/>
      </c>
      <c r="DJ525" s="84">
        <f>IF($DG525=1,$DH525+(100000-ROW())/mTieBreak,0)</f>
        <v/>
      </c>
    </row>
    <row r="526">
      <c r="B526" s="68" t="n">
        <v>3</v>
      </c>
      <c r="C526" s="69" t="inlineStr">
        <is>
          <t>WFC19C49</t>
        </is>
      </c>
      <c r="D526" s="69" t="inlineStr">
        <is>
          <t>3.000</t>
        </is>
      </c>
      <c r="E526" s="69" t="inlineStr">
        <is>
          <t>Residence Inn Denver City Center</t>
        </is>
      </c>
      <c r="F526" s="69" t="inlineStr">
        <is>
          <t>LNWFC19C49-3.000</t>
        </is>
      </c>
      <c r="G526" s="70" t="n"/>
      <c r="H526" s="71" t="n">
        <v>47500000</v>
      </c>
      <c r="I526" s="71" t="n">
        <v>0</v>
      </c>
      <c r="J526" s="72" t="n">
        <v>5.14</v>
      </c>
      <c r="K526" s="69" t="inlineStr">
        <is>
          <t>Fixed rate</t>
        </is>
      </c>
      <c r="L526" s="68" t="n">
        <v>84</v>
      </c>
      <c r="M526" s="68" t="n"/>
      <c r="N526" s="68" t="n">
        <v>84</v>
      </c>
      <c r="O526" s="68" t="n">
        <v>84</v>
      </c>
      <c r="P526" s="68" t="n"/>
      <c r="Q526" s="68" t="n"/>
      <c r="R526" s="69" t="inlineStr">
        <is>
          <t>IO</t>
        </is>
      </c>
      <c r="S526" s="69" t="inlineStr">
        <is>
          <t>Yes</t>
        </is>
      </c>
      <c r="T526" s="73" t="n">
        <v>43497</v>
      </c>
      <c r="U526" s="73" t="n">
        <v>46033</v>
      </c>
      <c r="V526" s="73" t="n"/>
      <c r="W526" s="69" t="n"/>
      <c r="X526" s="69" t="inlineStr">
        <is>
          <t>Current</t>
        </is>
      </c>
      <c r="Y526" s="68" t="n"/>
      <c r="Z526" s="69" t="inlineStr">
        <is>
          <t>Defeasance Not Allowable</t>
        </is>
      </c>
      <c r="AA526" s="69" t="inlineStr">
        <is>
          <t>Previously</t>
        </is>
      </c>
      <c r="AB526" s="69" t="inlineStr">
        <is>
          <t>Never special serv</t>
        </is>
      </c>
      <c r="AC526" s="73" t="n"/>
      <c r="AD526" s="69" t="n"/>
      <c r="AE526" s="69" t="n"/>
      <c r="AF526" s="69" t="inlineStr">
        <is>
          <t>CO</t>
        </is>
      </c>
      <c r="AG526" s="69" t="inlineStr">
        <is>
          <t>Denver</t>
        </is>
      </c>
      <c r="AH526" s="69" t="inlineStr">
        <is>
          <t>Denver-Aurora-Centennial, CO</t>
        </is>
      </c>
      <c r="AI526" s="69" t="inlineStr">
        <is>
          <t>West / Mountain</t>
        </is>
      </c>
      <c r="AJ526" s="69" t="inlineStr">
        <is>
          <t>HT</t>
        </is>
      </c>
      <c r="AK526" s="69" t="inlineStr">
        <is>
          <t>Extended Stay</t>
        </is>
      </c>
      <c r="AL526" s="68" t="n">
        <v>1</v>
      </c>
      <c r="AM526" s="68" t="n">
        <v>228</v>
      </c>
      <c r="AN526" s="68" t="n"/>
      <c r="AO526" s="69" t="inlineStr">
        <is>
          <t>2006</t>
        </is>
      </c>
      <c r="AP526" s="70" t="n">
        <v>2018</v>
      </c>
      <c r="AQ526" s="74" t="n">
        <v>2.32</v>
      </c>
      <c r="AR526" s="74" t="n">
        <v>1.47</v>
      </c>
      <c r="AS526" s="74" t="n">
        <v>59.8</v>
      </c>
      <c r="AT526" s="74" t="n"/>
      <c r="AU526" s="74" t="n">
        <v>59.8</v>
      </c>
      <c r="AV526" s="74" t="n">
        <v>12.120669516</v>
      </c>
      <c r="AW526" s="74" t="n"/>
      <c r="AX526" s="75" t="n">
        <v>71.23</v>
      </c>
      <c r="AY526" s="71" t="n">
        <v>79400000</v>
      </c>
      <c r="AZ526" s="71" t="n">
        <v>79400000</v>
      </c>
      <c r="BA526" s="71" t="n">
        <v>5757318.02</v>
      </c>
      <c r="BB526" s="71" t="n">
        <v>3643511.18</v>
      </c>
      <c r="BC526" s="69" t="inlineStr">
        <is>
          <t>Acquisition</t>
        </is>
      </c>
      <c r="BD526" s="69" t="inlineStr">
        <is>
          <t>N</t>
        </is>
      </c>
      <c r="BE526" s="71" t="n"/>
      <c r="BF526" s="71" t="n"/>
      <c r="BG526" s="71" t="n"/>
      <c r="BH526" s="71" t="n">
        <v>0</v>
      </c>
      <c r="BI526" s="71" t="n">
        <v>0</v>
      </c>
      <c r="BJ526" s="69" t="inlineStr">
        <is>
          <t>N</t>
        </is>
      </c>
      <c r="BK526" s="69" t="n"/>
      <c r="BL526" s="75" t="n"/>
      <c r="BM526" s="73" t="n"/>
      <c r="BN526" s="69" t="inlineStr">
        <is>
          <t>Noble Hospitality Fund IV - Income, L.P.</t>
        </is>
      </c>
      <c r="BO526" s="69" t="inlineStr">
        <is>
          <t>Wells Fargo</t>
        </is>
      </c>
      <c r="BP526" s="69" t="inlineStr">
        <is>
          <t>TriMont Real Estate Advisors</t>
        </is>
      </c>
      <c r="BQ526" s="69" t="inlineStr">
        <is>
          <t>K-Star Asset Management LLC</t>
        </is>
      </c>
      <c r="BR526" s="69" t="inlineStr">
        <is>
          <t>Full Payoff At Maturity</t>
        </is>
      </c>
      <c r="BS526" s="73" t="n">
        <v>46034</v>
      </c>
      <c r="BU526" s="76">
        <f>IF($C526="","",IFERROR(INDEX(dmName,MATCH($C526,dmID,0)),"Unmapped"))</f>
        <v/>
      </c>
      <c r="BV526" s="76">
        <f>IF($C526="","",IFERROR(INDEX(dmEntity,MATCH($C526,dmID,0)),"Unmapped"))</f>
        <v/>
      </c>
      <c r="BW526" s="77">
        <f>IF($C526="","",IFERROR(INDEX(dmVintage,MATCH($C526,dmID,0)),""))</f>
        <v/>
      </c>
      <c r="BX526" s="78">
        <f>IFERROR(INDEX(dmInclude,MATCH($C526,dmID,0)),0)</f>
        <v/>
      </c>
      <c r="BY526" s="78">
        <f>IF(N($I526)&gt;0,1,0)</f>
        <v/>
      </c>
      <c r="BZ526" s="76">
        <f>IF($AJ526="","Other / Leased Fee",IFERROR(INDEX(mapPTGroup,MATCH(LEFT(TRIM($AJ526),2),mapPTCode,0)),"Other / Leased Fee"))</f>
        <v/>
      </c>
      <c r="CA526" s="76">
        <f>IF(TRIM($AF526&amp;"")="","NR",LEFT(TRIM($AF526),2))</f>
        <v/>
      </c>
      <c r="CB526" s="76">
        <f>IFERROR(LOOKUP(2,1/(LEFT(TRIM($AI526&amp;""),LEN(mapRegion))=mapRegion),mapRegion),"Not Reported")</f>
        <v/>
      </c>
      <c r="CC526" s="76">
        <f>IF($BY526=0,"",IF(TRIM($W526&amp;"")="REO","REO",IF(TRIM($W526&amp;"")="FC","Foreclosure",IF(TRIM($W526&amp;"")="90+","90+ Days Delinquent",IF(TRIM($W526&amp;"")="60","60 Days Delinquent",IF(TRIM($W526&amp;"")="30","30 Days Delinquent",IF($X526="Non-Performing Matured Balloon","Non-Performing Matured Balloon",IF(OR($X526="Late Payment But Less Than 30 Days Delinquent",LEFT($X526&amp;"",20)="Payment Not Received"),"Late / In Grace (&lt;30 Days)",IF($X526="Performing Matured Balloon","Performing Matured Balloon","Current")))))))))</f>
        <v/>
      </c>
      <c r="CD526" s="78">
        <f>IF(OR($CC526="REO",$CC526="Foreclosure",$CC526="90+ Days Delinquent",$CC526="60 Days Delinquent",$CC526="30 Days Delinquent",$CC526="Non-Performing Matured Balloon"),1,0)</f>
        <v/>
      </c>
      <c r="CE526" s="76">
        <f>IF($AB526="Currently special serv","Currently Specially Serviced",IF($AB526="Returned to master serv","Previously Specially Serviced","Never Specially Serviced"))</f>
        <v/>
      </c>
      <c r="CF526" s="78">
        <f>IF($CE526="Currently Specially Serviced",1,0)</f>
        <v/>
      </c>
      <c r="CG526" s="76">
        <f>IF($AA526="Yes","Currently on Watchlist",IF($AA526="Previously","Previously on Watchlist","Never on Watchlist"))</f>
        <v/>
      </c>
      <c r="CH526" s="78">
        <f>IF($CG526="Currently on Watchlist",1,0)</f>
        <v/>
      </c>
      <c r="CI526" s="76">
        <f>IF($Z526="Full Defeasance","Fully Defeased",IF($Z526="Portion Of Loan Previously Defeased","Partially Defeased",IF($Z526="Defeasance Not Allowable","Not Defeased (Not Permitted)","Not Defeased")))</f>
        <v/>
      </c>
      <c r="CJ526" s="78">
        <f>IF($CI526="Fully Defeased",1,0)</f>
        <v/>
      </c>
      <c r="CK526" s="76">
        <f>IF($R526="IO","Full IO",IF(LEFT($R526&amp;"",7)="IO then","Partial IO","Amortizing"))</f>
        <v/>
      </c>
      <c r="CL526" s="78">
        <f>IF($CK526="Full IO",1,0)</f>
        <v/>
      </c>
      <c r="CM526" s="78">
        <f>IF($CK526="Partial IO",1,0)</f>
        <v/>
      </c>
      <c r="CN526" s="76">
        <f>IF(LEFT($F526&amp;"",10)="SPLIT_LOAN","Pari Passu Split","Standalone")</f>
        <v/>
      </c>
      <c r="CO526" s="78">
        <f>IF($CN526="Pari Passu Split",1,0)</f>
        <v/>
      </c>
      <c r="CP526" s="77">
        <f>IF(ISNUMBER($T526),YEAR($T526),"")</f>
        <v/>
      </c>
      <c r="CQ526" s="79">
        <f>IF(ISNUMBER($V526),$V526,IF(ISNUMBER($U526),$U526,""))</f>
        <v/>
      </c>
      <c r="CR526" s="77">
        <f>IF(ISNUMBER($CQ526),YEAR($CQ526),"")</f>
        <v/>
      </c>
      <c r="CS526" s="78">
        <f>IF(ISNUMBER($M526),MAX(0,$M526),IF(TRIM($M526&amp;"")="matured",0,""))</f>
        <v/>
      </c>
      <c r="CT526" s="78">
        <f>IF(AND(ISNUMBER($CS526),N($CS526)&lt;=mMatWindow),1,0)</f>
        <v/>
      </c>
      <c r="CU526" s="80">
        <f>IF(ISNUMBER($J526),$J526/100,"")</f>
        <v/>
      </c>
      <c r="CV526" s="81">
        <f>IF(ISNUMBER($AQ526),$AQ526,"")</f>
        <v/>
      </c>
      <c r="CW526" s="81">
        <f>IF(ISNUMBER($AR526),$AR526,"")</f>
        <v/>
      </c>
      <c r="CX526" s="82">
        <f>IF(ISNUMBER($AS526),$AS526/100,"")</f>
        <v/>
      </c>
      <c r="CY526" s="82">
        <f>IF(ISNUMBER($AT526),$AT526/100,"")</f>
        <v/>
      </c>
      <c r="CZ526" s="82">
        <f>IF(ISNUMBER($AU526),$AU526/100,"")</f>
        <v/>
      </c>
      <c r="DA526" s="82">
        <f>IF(ISNUMBER($AV526),$AV526/100,"")</f>
        <v/>
      </c>
      <c r="DB526" s="82">
        <f>IF(ISNUMBER($AW526),$AW526/100,"")</f>
        <v/>
      </c>
      <c r="DC526" s="82">
        <f>IF(ISNUMBER($AX526),$AX526/100,"")</f>
        <v/>
      </c>
      <c r="DD526" s="77">
        <f>IFERROR(VALUE(LEFT(TRIM($AO526&amp;""),4)),"")</f>
        <v/>
      </c>
      <c r="DE526" s="78">
        <f>IF(AND($BY526=1,$BX526=1,OR(fDeal="All Deals",$BU526=fDeal),OR(fEntity="All Entities",$BV526=fEntity),OR(fPType="All Property Types",$BZ526=fPType),OR(fDefeased="Include",$CJ526=0)),1,0)</f>
        <v/>
      </c>
      <c r="DF526" s="83">
        <f>$DE526*N($I526)</f>
        <v/>
      </c>
      <c r="DG526" s="78">
        <f>IF($DE526=1,IF(COUNTIFS($F$8:$F526,$F526,$DE$8:$DE526,1)=1,1,0),0)</f>
        <v/>
      </c>
      <c r="DH526" s="83">
        <f>IF($DG526=1,SUMIFS($DF$8:$DF$1600,$F$8:$F$1600,$F526),0)</f>
        <v/>
      </c>
      <c r="DI526" s="78">
        <f>IF($DG526=1,COUNTIFS($F$8:$F$1600,$F526,$DE$8:$DE$1600,1),0)</f>
        <v/>
      </c>
      <c r="DJ526" s="84">
        <f>IF($DG526=1,$DH526+(100000-ROW())/mTieBreak,0)</f>
        <v/>
      </c>
    </row>
    <row r="527">
      <c r="B527" s="68" t="n">
        <v>4</v>
      </c>
      <c r="C527" s="69" t="inlineStr">
        <is>
          <t>WFC19C49</t>
        </is>
      </c>
      <c r="D527" s="69" t="inlineStr">
        <is>
          <t>4.000</t>
        </is>
      </c>
      <c r="E527" s="69" t="inlineStr">
        <is>
          <t>Shops at Trace Fork</t>
        </is>
      </c>
      <c r="F527" s="69" t="inlineStr">
        <is>
          <t>LNWFC19C49-4.000</t>
        </is>
      </c>
      <c r="G527" s="70" t="n"/>
      <c r="H527" s="71" t="n">
        <v>40350000</v>
      </c>
      <c r="I527" s="71" t="n">
        <v>40350000</v>
      </c>
      <c r="J527" s="72" t="n">
        <v>4.88</v>
      </c>
      <c r="K527" s="69" t="inlineStr">
        <is>
          <t>Fixed rate</t>
        </is>
      </c>
      <c r="L527" s="68" t="n">
        <v>120</v>
      </c>
      <c r="M527" s="68" t="n">
        <v>29</v>
      </c>
      <c r="N527" s="68" t="n">
        <v>120</v>
      </c>
      <c r="O527" s="68" t="n">
        <v>120</v>
      </c>
      <c r="P527" s="68" t="n">
        <v>29</v>
      </c>
      <c r="Q527" s="68" t="n">
        <v>91</v>
      </c>
      <c r="R527" s="69" t="inlineStr">
        <is>
          <t>IO</t>
        </is>
      </c>
      <c r="S527" s="69" t="inlineStr">
        <is>
          <t>Yes</t>
        </is>
      </c>
      <c r="T527" s="73" t="n">
        <v>43497</v>
      </c>
      <c r="U527" s="73" t="n">
        <v>47155</v>
      </c>
      <c r="V527" s="73" t="n"/>
      <c r="W527" s="69" t="n"/>
      <c r="X527" s="69" t="inlineStr">
        <is>
          <t>Current</t>
        </is>
      </c>
      <c r="Y527" s="68" t="n"/>
      <c r="Z527" s="69" t="inlineStr">
        <is>
          <t>Defeasance Not Allowable</t>
        </is>
      </c>
      <c r="AA527" s="69" t="inlineStr">
        <is>
          <t>Previously</t>
        </is>
      </c>
      <c r="AB527" s="69" t="inlineStr">
        <is>
          <t>Never special serv</t>
        </is>
      </c>
      <c r="AC527" s="73" t="n"/>
      <c r="AD527" s="69" t="n"/>
      <c r="AE527" s="69" t="n"/>
      <c r="AF527" s="69" t="inlineStr">
        <is>
          <t>WV</t>
        </is>
      </c>
      <c r="AG527" s="69" t="inlineStr">
        <is>
          <t>Charleston</t>
        </is>
      </c>
      <c r="AH527" s="69" t="inlineStr">
        <is>
          <t>Charleston, WV</t>
        </is>
      </c>
      <c r="AI527" s="69" t="inlineStr">
        <is>
          <t>South / Atlantic</t>
        </is>
      </c>
      <c r="AJ527" s="69" t="inlineStr">
        <is>
          <t>RT</t>
        </is>
      </c>
      <c r="AK527" s="69" t="inlineStr">
        <is>
          <t>Anchored</t>
        </is>
      </c>
      <c r="AL527" s="68" t="n">
        <v>1</v>
      </c>
      <c r="AM527" s="68" t="n"/>
      <c r="AN527" s="68" t="n">
        <v>367460</v>
      </c>
      <c r="AO527" s="69" t="inlineStr">
        <is>
          <t>1999</t>
        </is>
      </c>
      <c r="AP527" s="70" t="n">
        <v>1999</v>
      </c>
      <c r="AQ527" s="74" t="n">
        <v>2.12</v>
      </c>
      <c r="AR527" s="74" t="n">
        <v>2.21</v>
      </c>
      <c r="AS527" s="74" t="n">
        <v>59.7</v>
      </c>
      <c r="AT527" s="74" t="n">
        <v>59.73</v>
      </c>
      <c r="AU527" s="74" t="n">
        <v>59.7</v>
      </c>
      <c r="AV527" s="74" t="n">
        <v>10.517298637</v>
      </c>
      <c r="AW527" s="74" t="n">
        <v>11.445662974</v>
      </c>
      <c r="AX527" s="75" t="n">
        <v>96</v>
      </c>
      <c r="AY527" s="71" t="n">
        <v>67550000</v>
      </c>
      <c r="AZ527" s="71" t="n">
        <v>67550000</v>
      </c>
      <c r="BA527" s="71" t="n">
        <v>4243730</v>
      </c>
      <c r="BB527" s="71" t="n">
        <v>2199204.75</v>
      </c>
      <c r="BC527" s="69" t="inlineStr">
        <is>
          <t>Refinance</t>
        </is>
      </c>
      <c r="BD527" s="69" t="inlineStr">
        <is>
          <t>N</t>
        </is>
      </c>
      <c r="BE527" s="71" t="n"/>
      <c r="BF527" s="71" t="n"/>
      <c r="BG527" s="71" t="n"/>
      <c r="BH527" s="71" t="n">
        <v>0</v>
      </c>
      <c r="BI527" s="71" t="n">
        <v>0</v>
      </c>
      <c r="BJ527" s="69" t="inlineStr">
        <is>
          <t>N</t>
        </is>
      </c>
      <c r="BK527" s="69" t="inlineStr">
        <is>
          <t>Lowe's Home Improvement</t>
        </is>
      </c>
      <c r="BL527" s="75" t="n">
        <v>36.79</v>
      </c>
      <c r="BM527" s="73" t="n">
        <v>47330</v>
      </c>
      <c r="BN527" s="69" t="inlineStr">
        <is>
          <t>E. Stanley Kroenke</t>
        </is>
      </c>
      <c r="BO527" s="69" t="inlineStr">
        <is>
          <t>RMF</t>
        </is>
      </c>
      <c r="BP527" s="69" t="inlineStr">
        <is>
          <t>TriMont Real Estate Advisors</t>
        </is>
      </c>
      <c r="BQ527" s="69" t="inlineStr">
        <is>
          <t>K-Star Asset Management LLC</t>
        </is>
      </c>
      <c r="BR527" s="69" t="n"/>
      <c r="BS527" s="73" t="n">
        <v>46276</v>
      </c>
      <c r="BU527" s="76">
        <f>IF($C527="","",IFERROR(INDEX(dmName,MATCH($C527,dmID,0)),"Unmapped"))</f>
        <v/>
      </c>
      <c r="BV527" s="76">
        <f>IF($C527="","",IFERROR(INDEX(dmEntity,MATCH($C527,dmID,0)),"Unmapped"))</f>
        <v/>
      </c>
      <c r="BW527" s="77">
        <f>IF($C527="","",IFERROR(INDEX(dmVintage,MATCH($C527,dmID,0)),""))</f>
        <v/>
      </c>
      <c r="BX527" s="78">
        <f>IFERROR(INDEX(dmInclude,MATCH($C527,dmID,0)),0)</f>
        <v/>
      </c>
      <c r="BY527" s="78">
        <f>IF(N($I527)&gt;0,1,0)</f>
        <v/>
      </c>
      <c r="BZ527" s="76">
        <f>IF($AJ527="","Other / Leased Fee",IFERROR(INDEX(mapPTGroup,MATCH(LEFT(TRIM($AJ527),2),mapPTCode,0)),"Other / Leased Fee"))</f>
        <v/>
      </c>
      <c r="CA527" s="76">
        <f>IF(TRIM($AF527&amp;"")="","NR",LEFT(TRIM($AF527),2))</f>
        <v/>
      </c>
      <c r="CB527" s="76">
        <f>IFERROR(LOOKUP(2,1/(LEFT(TRIM($AI527&amp;""),LEN(mapRegion))=mapRegion),mapRegion),"Not Reported")</f>
        <v/>
      </c>
      <c r="CC527" s="76">
        <f>IF($BY527=0,"",IF(TRIM($W527&amp;"")="REO","REO",IF(TRIM($W527&amp;"")="FC","Foreclosure",IF(TRIM($W527&amp;"")="90+","90+ Days Delinquent",IF(TRIM($W527&amp;"")="60","60 Days Delinquent",IF(TRIM($W527&amp;"")="30","30 Days Delinquent",IF($X527="Non-Performing Matured Balloon","Non-Performing Matured Balloon",IF(OR($X527="Late Payment But Less Than 30 Days Delinquent",LEFT($X527&amp;"",20)="Payment Not Received"),"Late / In Grace (&lt;30 Days)",IF($X527="Performing Matured Balloon","Performing Matured Balloon","Current")))))))))</f>
        <v/>
      </c>
      <c r="CD527" s="78">
        <f>IF(OR($CC527="REO",$CC527="Foreclosure",$CC527="90+ Days Delinquent",$CC527="60 Days Delinquent",$CC527="30 Days Delinquent",$CC527="Non-Performing Matured Balloon"),1,0)</f>
        <v/>
      </c>
      <c r="CE527" s="76">
        <f>IF($AB527="Currently special serv","Currently Specially Serviced",IF($AB527="Returned to master serv","Previously Specially Serviced","Never Specially Serviced"))</f>
        <v/>
      </c>
      <c r="CF527" s="78">
        <f>IF($CE527="Currently Specially Serviced",1,0)</f>
        <v/>
      </c>
      <c r="CG527" s="76">
        <f>IF($AA527="Yes","Currently on Watchlist",IF($AA527="Previously","Previously on Watchlist","Never on Watchlist"))</f>
        <v/>
      </c>
      <c r="CH527" s="78">
        <f>IF($CG527="Currently on Watchlist",1,0)</f>
        <v/>
      </c>
      <c r="CI527" s="76">
        <f>IF($Z527="Full Defeasance","Fully Defeased",IF($Z527="Portion Of Loan Previously Defeased","Partially Defeased",IF($Z527="Defeasance Not Allowable","Not Defeased (Not Permitted)","Not Defeased")))</f>
        <v/>
      </c>
      <c r="CJ527" s="78">
        <f>IF($CI527="Fully Defeased",1,0)</f>
        <v/>
      </c>
      <c r="CK527" s="76">
        <f>IF($R527="IO","Full IO",IF(LEFT($R527&amp;"",7)="IO then","Partial IO","Amortizing"))</f>
        <v/>
      </c>
      <c r="CL527" s="78">
        <f>IF($CK527="Full IO",1,0)</f>
        <v/>
      </c>
      <c r="CM527" s="78">
        <f>IF($CK527="Partial IO",1,0)</f>
        <v/>
      </c>
      <c r="CN527" s="76">
        <f>IF(LEFT($F527&amp;"",10)="SPLIT_LOAN","Pari Passu Split","Standalone")</f>
        <v/>
      </c>
      <c r="CO527" s="78">
        <f>IF($CN527="Pari Passu Split",1,0)</f>
        <v/>
      </c>
      <c r="CP527" s="77">
        <f>IF(ISNUMBER($T527),YEAR($T527),"")</f>
        <v/>
      </c>
      <c r="CQ527" s="79">
        <f>IF(ISNUMBER($V527),$V527,IF(ISNUMBER($U527),$U527,""))</f>
        <v/>
      </c>
      <c r="CR527" s="77">
        <f>IF(ISNUMBER($CQ527),YEAR($CQ527),"")</f>
        <v/>
      </c>
      <c r="CS527" s="78">
        <f>IF(ISNUMBER($M527),MAX(0,$M527),IF(TRIM($M527&amp;"")="matured",0,""))</f>
        <v/>
      </c>
      <c r="CT527" s="78">
        <f>IF(AND(ISNUMBER($CS527),N($CS527)&lt;=mMatWindow),1,0)</f>
        <v/>
      </c>
      <c r="CU527" s="80">
        <f>IF(ISNUMBER($J527),$J527/100,"")</f>
        <v/>
      </c>
      <c r="CV527" s="81">
        <f>IF(ISNUMBER($AQ527),$AQ527,"")</f>
        <v/>
      </c>
      <c r="CW527" s="81">
        <f>IF(ISNUMBER($AR527),$AR527,"")</f>
        <v/>
      </c>
      <c r="CX527" s="82">
        <f>IF(ISNUMBER($AS527),$AS527/100,"")</f>
        <v/>
      </c>
      <c r="CY527" s="82">
        <f>IF(ISNUMBER($AT527),$AT527/100,"")</f>
        <v/>
      </c>
      <c r="CZ527" s="82">
        <f>IF(ISNUMBER($AU527),$AU527/100,"")</f>
        <v/>
      </c>
      <c r="DA527" s="82">
        <f>IF(ISNUMBER($AV527),$AV527/100,"")</f>
        <v/>
      </c>
      <c r="DB527" s="82">
        <f>IF(ISNUMBER($AW527),$AW527/100,"")</f>
        <v/>
      </c>
      <c r="DC527" s="82">
        <f>IF(ISNUMBER($AX527),$AX527/100,"")</f>
        <v/>
      </c>
      <c r="DD527" s="77">
        <f>IFERROR(VALUE(LEFT(TRIM($AO527&amp;""),4)),"")</f>
        <v/>
      </c>
      <c r="DE527" s="78">
        <f>IF(AND($BY527=1,$BX527=1,OR(fDeal="All Deals",$BU527=fDeal),OR(fEntity="All Entities",$BV527=fEntity),OR(fPType="All Property Types",$BZ527=fPType),OR(fDefeased="Include",$CJ527=0)),1,0)</f>
        <v/>
      </c>
      <c r="DF527" s="83">
        <f>$DE527*N($I527)</f>
        <v/>
      </c>
      <c r="DG527" s="78">
        <f>IF($DE527=1,IF(COUNTIFS($F$8:$F527,$F527,$DE$8:$DE527,1)=1,1,0),0)</f>
        <v/>
      </c>
      <c r="DH527" s="83">
        <f>IF($DG527=1,SUMIFS($DF$8:$DF$1600,$F$8:$F$1600,$F527),0)</f>
        <v/>
      </c>
      <c r="DI527" s="78">
        <f>IF($DG527=1,COUNTIFS($F$8:$F$1600,$F527,$DE$8:$DE$1600,1),0)</f>
        <v/>
      </c>
      <c r="DJ527" s="84">
        <f>IF($DG527=1,$DH527+(100000-ROW())/mTieBreak,0)</f>
        <v/>
      </c>
    </row>
    <row r="528">
      <c r="B528" s="68" t="n">
        <v>5</v>
      </c>
      <c r="C528" s="69" t="inlineStr">
        <is>
          <t>WFC19C49</t>
        </is>
      </c>
      <c r="D528" s="69" t="inlineStr">
        <is>
          <t>5.000</t>
        </is>
      </c>
      <c r="E528" s="69" t="inlineStr">
        <is>
          <t>575 Maryville</t>
        </is>
      </c>
      <c r="F528" s="69" t="inlineStr">
        <is>
          <t>LNWFC19C49-5.000</t>
        </is>
      </c>
      <c r="G528" s="70" t="n"/>
      <c r="H528" s="71" t="n">
        <v>35000000</v>
      </c>
      <c r="I528" s="71" t="n">
        <v>35000000</v>
      </c>
      <c r="J528" s="72" t="n">
        <v>4.822</v>
      </c>
      <c r="K528" s="69" t="inlineStr">
        <is>
          <t>Fixed rate</t>
        </is>
      </c>
      <c r="L528" s="68" t="n">
        <v>120</v>
      </c>
      <c r="M528" s="68" t="n">
        <v>28</v>
      </c>
      <c r="N528" s="68" t="n">
        <v>120</v>
      </c>
      <c r="O528" s="68" t="n">
        <v>120</v>
      </c>
      <c r="P528" s="68" t="n">
        <v>28</v>
      </c>
      <c r="Q528" s="68" t="n">
        <v>92</v>
      </c>
      <c r="R528" s="69" t="inlineStr">
        <is>
          <t>IO</t>
        </is>
      </c>
      <c r="S528" s="69" t="inlineStr">
        <is>
          <t>Yes</t>
        </is>
      </c>
      <c r="T528" s="73" t="n">
        <v>43466</v>
      </c>
      <c r="U528" s="73" t="n">
        <v>47124</v>
      </c>
      <c r="V528" s="73" t="n"/>
      <c r="W528" s="69" t="n"/>
      <c r="X528" s="69" t="inlineStr">
        <is>
          <t>Current</t>
        </is>
      </c>
      <c r="Y528" s="68" t="n"/>
      <c r="Z528" s="69" t="inlineStr">
        <is>
          <t>No Defeasance Occurred</t>
        </is>
      </c>
      <c r="AA528" s="69" t="inlineStr">
        <is>
          <t>Yes</t>
        </is>
      </c>
      <c r="AB528" s="69" t="inlineStr">
        <is>
          <t>Never special serv</t>
        </is>
      </c>
      <c r="AC528" s="73" t="n"/>
      <c r="AD528" s="69" t="n"/>
      <c r="AE528" s="69" t="n"/>
      <c r="AF528" s="69" t="inlineStr">
        <is>
          <t>MO</t>
        </is>
      </c>
      <c r="AG528" s="69" t="inlineStr">
        <is>
          <t>Town &amp; Country</t>
        </is>
      </c>
      <c r="AH528" s="69" t="inlineStr">
        <is>
          <t>St. Louis, MO-IL</t>
        </is>
      </c>
      <c r="AI528" s="69" t="inlineStr">
        <is>
          <t>Midwest / Central West</t>
        </is>
      </c>
      <c r="AJ528" s="69" t="inlineStr">
        <is>
          <t>OF</t>
        </is>
      </c>
      <c r="AK528" s="69" t="inlineStr">
        <is>
          <t>Suburban</t>
        </is>
      </c>
      <c r="AL528" s="68" t="n">
        <v>1</v>
      </c>
      <c r="AM528" s="68" t="n"/>
      <c r="AN528" s="68" t="n">
        <v>253492</v>
      </c>
      <c r="AO528" s="69" t="inlineStr">
        <is>
          <t>1999</t>
        </is>
      </c>
      <c r="AP528" s="70" t="n">
        <v>1999</v>
      </c>
      <c r="AQ528" s="74" t="n">
        <v>2</v>
      </c>
      <c r="AR528" s="74" t="n">
        <v>1.95</v>
      </c>
      <c r="AS528" s="74" t="n">
        <v>69.59999999999999</v>
      </c>
      <c r="AT528" s="74" t="n">
        <v>69.61</v>
      </c>
      <c r="AU528" s="74" t="n">
        <v>69.59999999999999</v>
      </c>
      <c r="AV528" s="74" t="n">
        <v>9.785592513999999</v>
      </c>
      <c r="AW528" s="74" t="n">
        <v>9.704719943000001</v>
      </c>
      <c r="AX528" s="75" t="n">
        <v>86</v>
      </c>
      <c r="AY528" s="71" t="n">
        <v>50280000</v>
      </c>
      <c r="AZ528" s="71" t="n">
        <v>50280000</v>
      </c>
      <c r="BA528" s="71" t="n">
        <v>3424957.38</v>
      </c>
      <c r="BB528" s="71" t="n">
        <v>1663197.55</v>
      </c>
      <c r="BC528" s="69" t="inlineStr">
        <is>
          <t>Acquisition</t>
        </is>
      </c>
      <c r="BD528" s="69" t="inlineStr">
        <is>
          <t>N</t>
        </is>
      </c>
      <c r="BE528" s="71" t="n"/>
      <c r="BF528" s="71" t="n"/>
      <c r="BG528" s="71" t="n"/>
      <c r="BH528" s="71" t="n">
        <v>0</v>
      </c>
      <c r="BI528" s="71" t="n">
        <v>0</v>
      </c>
      <c r="BJ528" s="69" t="inlineStr">
        <is>
          <t>N</t>
        </is>
      </c>
      <c r="BK528" s="69" t="inlineStr">
        <is>
          <t>DTZ UK Guarantor Limited  a UK Corporation</t>
        </is>
      </c>
      <c r="BL528" s="75" t="n">
        <v>54.31</v>
      </c>
      <c r="BM528" s="73" t="n">
        <v>46599</v>
      </c>
      <c r="BN528" s="69" t="inlineStr">
        <is>
          <t>Pembroke IV LLC; Ten Capital Management</t>
        </is>
      </c>
      <c r="BO528" s="69" t="inlineStr">
        <is>
          <t>Barclays</t>
        </is>
      </c>
      <c r="BP528" s="69" t="inlineStr">
        <is>
          <t>TriMont Real Estate Advisors</t>
        </is>
      </c>
      <c r="BQ528" s="69" t="inlineStr">
        <is>
          <t>K-Star Asset Management LLC</t>
        </is>
      </c>
      <c r="BR528" s="69" t="n"/>
      <c r="BS528" s="73" t="n">
        <v>46276</v>
      </c>
      <c r="BU528" s="76">
        <f>IF($C528="","",IFERROR(INDEX(dmName,MATCH($C528,dmID,0)),"Unmapped"))</f>
        <v/>
      </c>
      <c r="BV528" s="76">
        <f>IF($C528="","",IFERROR(INDEX(dmEntity,MATCH($C528,dmID,0)),"Unmapped"))</f>
        <v/>
      </c>
      <c r="BW528" s="77">
        <f>IF($C528="","",IFERROR(INDEX(dmVintage,MATCH($C528,dmID,0)),""))</f>
        <v/>
      </c>
      <c r="BX528" s="78">
        <f>IFERROR(INDEX(dmInclude,MATCH($C528,dmID,0)),0)</f>
        <v/>
      </c>
      <c r="BY528" s="78">
        <f>IF(N($I528)&gt;0,1,0)</f>
        <v/>
      </c>
      <c r="BZ528" s="76">
        <f>IF($AJ528="","Other / Leased Fee",IFERROR(INDEX(mapPTGroup,MATCH(LEFT(TRIM($AJ528),2),mapPTCode,0)),"Other / Leased Fee"))</f>
        <v/>
      </c>
      <c r="CA528" s="76">
        <f>IF(TRIM($AF528&amp;"")="","NR",LEFT(TRIM($AF528),2))</f>
        <v/>
      </c>
      <c r="CB528" s="76">
        <f>IFERROR(LOOKUP(2,1/(LEFT(TRIM($AI528&amp;""),LEN(mapRegion))=mapRegion),mapRegion),"Not Reported")</f>
        <v/>
      </c>
      <c r="CC528" s="76">
        <f>IF($BY528=0,"",IF(TRIM($W528&amp;"")="REO","REO",IF(TRIM($W528&amp;"")="FC","Foreclosure",IF(TRIM($W528&amp;"")="90+","90+ Days Delinquent",IF(TRIM($W528&amp;"")="60","60 Days Delinquent",IF(TRIM($W528&amp;"")="30","30 Days Delinquent",IF($X528="Non-Performing Matured Balloon","Non-Performing Matured Balloon",IF(OR($X528="Late Payment But Less Than 30 Days Delinquent",LEFT($X528&amp;"",20)="Payment Not Received"),"Late / In Grace (&lt;30 Days)",IF($X528="Performing Matured Balloon","Performing Matured Balloon","Current")))))))))</f>
        <v/>
      </c>
      <c r="CD528" s="78">
        <f>IF(OR($CC528="REO",$CC528="Foreclosure",$CC528="90+ Days Delinquent",$CC528="60 Days Delinquent",$CC528="30 Days Delinquent",$CC528="Non-Performing Matured Balloon"),1,0)</f>
        <v/>
      </c>
      <c r="CE528" s="76">
        <f>IF($AB528="Currently special serv","Currently Specially Serviced",IF($AB528="Returned to master serv","Previously Specially Serviced","Never Specially Serviced"))</f>
        <v/>
      </c>
      <c r="CF528" s="78">
        <f>IF($CE528="Currently Specially Serviced",1,0)</f>
        <v/>
      </c>
      <c r="CG528" s="76">
        <f>IF($AA528="Yes","Currently on Watchlist",IF($AA528="Previously","Previously on Watchlist","Never on Watchlist"))</f>
        <v/>
      </c>
      <c r="CH528" s="78">
        <f>IF($CG528="Currently on Watchlist",1,0)</f>
        <v/>
      </c>
      <c r="CI528" s="76">
        <f>IF($Z528="Full Defeasance","Fully Defeased",IF($Z528="Portion Of Loan Previously Defeased","Partially Defeased",IF($Z528="Defeasance Not Allowable","Not Defeased (Not Permitted)","Not Defeased")))</f>
        <v/>
      </c>
      <c r="CJ528" s="78">
        <f>IF($CI528="Fully Defeased",1,0)</f>
        <v/>
      </c>
      <c r="CK528" s="76">
        <f>IF($R528="IO","Full IO",IF(LEFT($R528&amp;"",7)="IO then","Partial IO","Amortizing"))</f>
        <v/>
      </c>
      <c r="CL528" s="78">
        <f>IF($CK528="Full IO",1,0)</f>
        <v/>
      </c>
      <c r="CM528" s="78">
        <f>IF($CK528="Partial IO",1,0)</f>
        <v/>
      </c>
      <c r="CN528" s="76">
        <f>IF(LEFT($F528&amp;"",10)="SPLIT_LOAN","Pari Passu Split","Standalone")</f>
        <v/>
      </c>
      <c r="CO528" s="78">
        <f>IF($CN528="Pari Passu Split",1,0)</f>
        <v/>
      </c>
      <c r="CP528" s="77">
        <f>IF(ISNUMBER($T528),YEAR($T528),"")</f>
        <v/>
      </c>
      <c r="CQ528" s="79">
        <f>IF(ISNUMBER($V528),$V528,IF(ISNUMBER($U528),$U528,""))</f>
        <v/>
      </c>
      <c r="CR528" s="77">
        <f>IF(ISNUMBER($CQ528),YEAR($CQ528),"")</f>
        <v/>
      </c>
      <c r="CS528" s="78">
        <f>IF(ISNUMBER($M528),MAX(0,$M528),IF(TRIM($M528&amp;"")="matured",0,""))</f>
        <v/>
      </c>
      <c r="CT528" s="78">
        <f>IF(AND(ISNUMBER($CS528),N($CS528)&lt;=mMatWindow),1,0)</f>
        <v/>
      </c>
      <c r="CU528" s="80">
        <f>IF(ISNUMBER($J528),$J528/100,"")</f>
        <v/>
      </c>
      <c r="CV528" s="81">
        <f>IF(ISNUMBER($AQ528),$AQ528,"")</f>
        <v/>
      </c>
      <c r="CW528" s="81">
        <f>IF(ISNUMBER($AR528),$AR528,"")</f>
        <v/>
      </c>
      <c r="CX528" s="82">
        <f>IF(ISNUMBER($AS528),$AS528/100,"")</f>
        <v/>
      </c>
      <c r="CY528" s="82">
        <f>IF(ISNUMBER($AT528),$AT528/100,"")</f>
        <v/>
      </c>
      <c r="CZ528" s="82">
        <f>IF(ISNUMBER($AU528),$AU528/100,"")</f>
        <v/>
      </c>
      <c r="DA528" s="82">
        <f>IF(ISNUMBER($AV528),$AV528/100,"")</f>
        <v/>
      </c>
      <c r="DB528" s="82">
        <f>IF(ISNUMBER($AW528),$AW528/100,"")</f>
        <v/>
      </c>
      <c r="DC528" s="82">
        <f>IF(ISNUMBER($AX528),$AX528/100,"")</f>
        <v/>
      </c>
      <c r="DD528" s="77">
        <f>IFERROR(VALUE(LEFT(TRIM($AO528&amp;""),4)),"")</f>
        <v/>
      </c>
      <c r="DE528" s="78">
        <f>IF(AND($BY528=1,$BX528=1,OR(fDeal="All Deals",$BU528=fDeal),OR(fEntity="All Entities",$BV528=fEntity),OR(fPType="All Property Types",$BZ528=fPType),OR(fDefeased="Include",$CJ528=0)),1,0)</f>
        <v/>
      </c>
      <c r="DF528" s="83">
        <f>$DE528*N($I528)</f>
        <v/>
      </c>
      <c r="DG528" s="78">
        <f>IF($DE528=1,IF(COUNTIFS($F$8:$F528,$F528,$DE$8:$DE528,1)=1,1,0),0)</f>
        <v/>
      </c>
      <c r="DH528" s="83">
        <f>IF($DG528=1,SUMIFS($DF$8:$DF$1600,$F$8:$F$1600,$F528),0)</f>
        <v/>
      </c>
      <c r="DI528" s="78">
        <f>IF($DG528=1,COUNTIFS($F$8:$F$1600,$F528,$DE$8:$DE$1600,1),0)</f>
        <v/>
      </c>
      <c r="DJ528" s="84">
        <f>IF($DG528=1,$DH528+(100000-ROW())/mTieBreak,0)</f>
        <v/>
      </c>
    </row>
    <row r="529">
      <c r="B529" s="68" t="n">
        <v>6</v>
      </c>
      <c r="C529" s="69" t="inlineStr">
        <is>
          <t>WFC19C49</t>
        </is>
      </c>
      <c r="D529" s="69" t="inlineStr">
        <is>
          <t>6.000</t>
        </is>
      </c>
      <c r="E529" s="69" t="inlineStr">
        <is>
          <t>Grapevine Station</t>
        </is>
      </c>
      <c r="F529" s="69" t="inlineStr">
        <is>
          <t>LNWFC19C49-6.000</t>
        </is>
      </c>
      <c r="G529" s="70" t="n"/>
      <c r="H529" s="71" t="n">
        <v>34000000</v>
      </c>
      <c r="I529" s="71" t="n">
        <v>34000000</v>
      </c>
      <c r="J529" s="72" t="n">
        <v>5.15</v>
      </c>
      <c r="K529" s="69" t="inlineStr">
        <is>
          <t>Fixed rate</t>
        </is>
      </c>
      <c r="L529" s="68" t="n">
        <v>120</v>
      </c>
      <c r="M529" s="68" t="n">
        <v>28</v>
      </c>
      <c r="N529" s="68" t="n">
        <v>120</v>
      </c>
      <c r="O529" s="68" t="n">
        <v>120</v>
      </c>
      <c r="P529" s="68" t="n">
        <v>28</v>
      </c>
      <c r="Q529" s="68" t="n">
        <v>92</v>
      </c>
      <c r="R529" s="69" t="inlineStr">
        <is>
          <t>IO</t>
        </is>
      </c>
      <c r="S529" s="69" t="inlineStr">
        <is>
          <t>Yes</t>
        </is>
      </c>
      <c r="T529" s="73" t="n">
        <v>43466</v>
      </c>
      <c r="U529" s="73" t="n">
        <v>47129</v>
      </c>
      <c r="V529" s="73" t="n"/>
      <c r="W529" s="69" t="n"/>
      <c r="X529" s="69" t="inlineStr">
        <is>
          <t>Current</t>
        </is>
      </c>
      <c r="Y529" s="68" t="n"/>
      <c r="Z529" s="69" t="inlineStr">
        <is>
          <t>No Defeasance Occurred</t>
        </is>
      </c>
      <c r="AA529" s="69" t="inlineStr">
        <is>
          <t>Previously</t>
        </is>
      </c>
      <c r="AB529" s="69" t="inlineStr">
        <is>
          <t>Never special serv</t>
        </is>
      </c>
      <c r="AC529" s="73" t="n"/>
      <c r="AD529" s="69" t="n"/>
      <c r="AE529" s="69" t="n"/>
      <c r="AF529" s="69" t="inlineStr">
        <is>
          <t>TX</t>
        </is>
      </c>
      <c r="AG529" s="69" t="inlineStr">
        <is>
          <t>Grapevine</t>
        </is>
      </c>
      <c r="AH529" s="69" t="inlineStr">
        <is>
          <t>Dallas-Fort Worth-Arlington, TX</t>
        </is>
      </c>
      <c r="AI529" s="69" t="inlineStr">
        <is>
          <t>South / Central West</t>
        </is>
      </c>
      <c r="AJ529" s="69" t="inlineStr">
        <is>
          <t>MF</t>
        </is>
      </c>
      <c r="AK529" s="69" t="inlineStr">
        <is>
          <t>Garden</t>
        </is>
      </c>
      <c r="AL529" s="68" t="n">
        <v>1</v>
      </c>
      <c r="AM529" s="68" t="n">
        <v>273</v>
      </c>
      <c r="AN529" s="68" t="n"/>
      <c r="AO529" s="69" t="inlineStr">
        <is>
          <t>2013</t>
        </is>
      </c>
      <c r="AP529" s="70" t="n">
        <v>2013</v>
      </c>
      <c r="AQ529" s="74" t="n">
        <v>1.45</v>
      </c>
      <c r="AR529" s="74" t="n">
        <v>1.51</v>
      </c>
      <c r="AS529" s="74" t="n">
        <v>64.2</v>
      </c>
      <c r="AT529" s="74" t="n">
        <v>64.15000000000001</v>
      </c>
      <c r="AU529" s="74" t="n">
        <v>64.2</v>
      </c>
      <c r="AV529" s="74" t="n">
        <v>7.585952471</v>
      </c>
      <c r="AW529" s="74" t="n">
        <v>8.369060441</v>
      </c>
      <c r="AX529" s="75" t="n">
        <v>97</v>
      </c>
      <c r="AY529" s="71" t="n">
        <v>53000000</v>
      </c>
      <c r="AZ529" s="71" t="n">
        <v>53000000</v>
      </c>
      <c r="BA529" s="71" t="n">
        <v>2579223.84</v>
      </c>
      <c r="BB529" s="71" t="n">
        <v>1334785.66</v>
      </c>
      <c r="BC529" s="69" t="inlineStr">
        <is>
          <t>Acquisition</t>
        </is>
      </c>
      <c r="BD529" s="69" t="inlineStr">
        <is>
          <t>N</t>
        </is>
      </c>
      <c r="BE529" s="71" t="n"/>
      <c r="BF529" s="71" t="n"/>
      <c r="BG529" s="71" t="n"/>
      <c r="BH529" s="71" t="n">
        <v>0</v>
      </c>
      <c r="BI529" s="71" t="n">
        <v>0</v>
      </c>
      <c r="BJ529" s="69" t="inlineStr">
        <is>
          <t>N</t>
        </is>
      </c>
      <c r="BK529" s="69" t="n"/>
      <c r="BL529" s="75" t="n"/>
      <c r="BM529" s="73" t="n"/>
      <c r="BN529" s="69" t="inlineStr">
        <is>
          <t>Myron a/k/a Michael Blackman; Michel D. Hibbert</t>
        </is>
      </c>
      <c r="BO529" s="69" t="inlineStr">
        <is>
          <t>Wells Fargo</t>
        </is>
      </c>
      <c r="BP529" s="69" t="inlineStr">
        <is>
          <t>TriMont Real Estate Advisors</t>
        </is>
      </c>
      <c r="BQ529" s="69" t="inlineStr">
        <is>
          <t>K-Star Asset Management LLC</t>
        </is>
      </c>
      <c r="BR529" s="69" t="n"/>
      <c r="BS529" s="73" t="n">
        <v>46276</v>
      </c>
      <c r="BU529" s="76">
        <f>IF($C529="","",IFERROR(INDEX(dmName,MATCH($C529,dmID,0)),"Unmapped"))</f>
        <v/>
      </c>
      <c r="BV529" s="76">
        <f>IF($C529="","",IFERROR(INDEX(dmEntity,MATCH($C529,dmID,0)),"Unmapped"))</f>
        <v/>
      </c>
      <c r="BW529" s="77">
        <f>IF($C529="","",IFERROR(INDEX(dmVintage,MATCH($C529,dmID,0)),""))</f>
        <v/>
      </c>
      <c r="BX529" s="78">
        <f>IFERROR(INDEX(dmInclude,MATCH($C529,dmID,0)),0)</f>
        <v/>
      </c>
      <c r="BY529" s="78">
        <f>IF(N($I529)&gt;0,1,0)</f>
        <v/>
      </c>
      <c r="BZ529" s="76">
        <f>IF($AJ529="","Other / Leased Fee",IFERROR(INDEX(mapPTGroup,MATCH(LEFT(TRIM($AJ529),2),mapPTCode,0)),"Other / Leased Fee"))</f>
        <v/>
      </c>
      <c r="CA529" s="76">
        <f>IF(TRIM($AF529&amp;"")="","NR",LEFT(TRIM($AF529),2))</f>
        <v/>
      </c>
      <c r="CB529" s="76">
        <f>IFERROR(LOOKUP(2,1/(LEFT(TRIM($AI529&amp;""),LEN(mapRegion))=mapRegion),mapRegion),"Not Reported")</f>
        <v/>
      </c>
      <c r="CC529" s="76">
        <f>IF($BY529=0,"",IF(TRIM($W529&amp;"")="REO","REO",IF(TRIM($W529&amp;"")="FC","Foreclosure",IF(TRIM($W529&amp;"")="90+","90+ Days Delinquent",IF(TRIM($W529&amp;"")="60","60 Days Delinquent",IF(TRIM($W529&amp;"")="30","30 Days Delinquent",IF($X529="Non-Performing Matured Balloon","Non-Performing Matured Balloon",IF(OR($X529="Late Payment But Less Than 30 Days Delinquent",LEFT($X529&amp;"",20)="Payment Not Received"),"Late / In Grace (&lt;30 Days)",IF($X529="Performing Matured Balloon","Performing Matured Balloon","Current")))))))))</f>
        <v/>
      </c>
      <c r="CD529" s="78">
        <f>IF(OR($CC529="REO",$CC529="Foreclosure",$CC529="90+ Days Delinquent",$CC529="60 Days Delinquent",$CC529="30 Days Delinquent",$CC529="Non-Performing Matured Balloon"),1,0)</f>
        <v/>
      </c>
      <c r="CE529" s="76">
        <f>IF($AB529="Currently special serv","Currently Specially Serviced",IF($AB529="Returned to master serv","Previously Specially Serviced","Never Specially Serviced"))</f>
        <v/>
      </c>
      <c r="CF529" s="78">
        <f>IF($CE529="Currently Specially Serviced",1,0)</f>
        <v/>
      </c>
      <c r="CG529" s="76">
        <f>IF($AA529="Yes","Currently on Watchlist",IF($AA529="Previously","Previously on Watchlist","Never on Watchlist"))</f>
        <v/>
      </c>
      <c r="CH529" s="78">
        <f>IF($CG529="Currently on Watchlist",1,0)</f>
        <v/>
      </c>
      <c r="CI529" s="76">
        <f>IF($Z529="Full Defeasance","Fully Defeased",IF($Z529="Portion Of Loan Previously Defeased","Partially Defeased",IF($Z529="Defeasance Not Allowable","Not Defeased (Not Permitted)","Not Defeased")))</f>
        <v/>
      </c>
      <c r="CJ529" s="78">
        <f>IF($CI529="Fully Defeased",1,0)</f>
        <v/>
      </c>
      <c r="CK529" s="76">
        <f>IF($R529="IO","Full IO",IF(LEFT($R529&amp;"",7)="IO then","Partial IO","Amortizing"))</f>
        <v/>
      </c>
      <c r="CL529" s="78">
        <f>IF($CK529="Full IO",1,0)</f>
        <v/>
      </c>
      <c r="CM529" s="78">
        <f>IF($CK529="Partial IO",1,0)</f>
        <v/>
      </c>
      <c r="CN529" s="76">
        <f>IF(LEFT($F529&amp;"",10)="SPLIT_LOAN","Pari Passu Split","Standalone")</f>
        <v/>
      </c>
      <c r="CO529" s="78">
        <f>IF($CN529="Pari Passu Split",1,0)</f>
        <v/>
      </c>
      <c r="CP529" s="77">
        <f>IF(ISNUMBER($T529),YEAR($T529),"")</f>
        <v/>
      </c>
      <c r="CQ529" s="79">
        <f>IF(ISNUMBER($V529),$V529,IF(ISNUMBER($U529),$U529,""))</f>
        <v/>
      </c>
      <c r="CR529" s="77">
        <f>IF(ISNUMBER($CQ529),YEAR($CQ529),"")</f>
        <v/>
      </c>
      <c r="CS529" s="78">
        <f>IF(ISNUMBER($M529),MAX(0,$M529),IF(TRIM($M529&amp;"")="matured",0,""))</f>
        <v/>
      </c>
      <c r="CT529" s="78">
        <f>IF(AND(ISNUMBER($CS529),N($CS529)&lt;=mMatWindow),1,0)</f>
        <v/>
      </c>
      <c r="CU529" s="80">
        <f>IF(ISNUMBER($J529),$J529/100,"")</f>
        <v/>
      </c>
      <c r="CV529" s="81">
        <f>IF(ISNUMBER($AQ529),$AQ529,"")</f>
        <v/>
      </c>
      <c r="CW529" s="81">
        <f>IF(ISNUMBER($AR529),$AR529,"")</f>
        <v/>
      </c>
      <c r="CX529" s="82">
        <f>IF(ISNUMBER($AS529),$AS529/100,"")</f>
        <v/>
      </c>
      <c r="CY529" s="82">
        <f>IF(ISNUMBER($AT529),$AT529/100,"")</f>
        <v/>
      </c>
      <c r="CZ529" s="82">
        <f>IF(ISNUMBER($AU529),$AU529/100,"")</f>
        <v/>
      </c>
      <c r="DA529" s="82">
        <f>IF(ISNUMBER($AV529),$AV529/100,"")</f>
        <v/>
      </c>
      <c r="DB529" s="82">
        <f>IF(ISNUMBER($AW529),$AW529/100,"")</f>
        <v/>
      </c>
      <c r="DC529" s="82">
        <f>IF(ISNUMBER($AX529),$AX529/100,"")</f>
        <v/>
      </c>
      <c r="DD529" s="77">
        <f>IFERROR(VALUE(LEFT(TRIM($AO529&amp;""),4)),"")</f>
        <v/>
      </c>
      <c r="DE529" s="78">
        <f>IF(AND($BY529=1,$BX529=1,OR(fDeal="All Deals",$BU529=fDeal),OR(fEntity="All Entities",$BV529=fEntity),OR(fPType="All Property Types",$BZ529=fPType),OR(fDefeased="Include",$CJ529=0)),1,0)</f>
        <v/>
      </c>
      <c r="DF529" s="83">
        <f>$DE529*N($I529)</f>
        <v/>
      </c>
      <c r="DG529" s="78">
        <f>IF($DE529=1,IF(COUNTIFS($F$8:$F529,$F529,$DE$8:$DE529,1)=1,1,0),0)</f>
        <v/>
      </c>
      <c r="DH529" s="83">
        <f>IF($DG529=1,SUMIFS($DF$8:$DF$1600,$F$8:$F$1600,$F529),0)</f>
        <v/>
      </c>
      <c r="DI529" s="78">
        <f>IF($DG529=1,COUNTIFS($F$8:$F$1600,$F529,$DE$8:$DE$1600,1),0)</f>
        <v/>
      </c>
      <c r="DJ529" s="84">
        <f>IF($DG529=1,$DH529+(100000-ROW())/mTieBreak,0)</f>
        <v/>
      </c>
    </row>
    <row r="530">
      <c r="B530" s="68" t="n">
        <v>7</v>
      </c>
      <c r="C530" s="69" t="inlineStr">
        <is>
          <t>WFC19C49</t>
        </is>
      </c>
      <c r="D530" s="69" t="inlineStr">
        <is>
          <t>7.000</t>
        </is>
      </c>
      <c r="E530" s="69" t="inlineStr">
        <is>
          <t>Nostrand Avenue Shopping Center</t>
        </is>
      </c>
      <c r="F530" s="69" t="inlineStr">
        <is>
          <t>LNWFC19C49-7.000</t>
        </is>
      </c>
      <c r="G530" s="70" t="n"/>
      <c r="H530" s="71" t="n">
        <v>26775000</v>
      </c>
      <c r="I530" s="71" t="n">
        <v>26775000</v>
      </c>
      <c r="J530" s="72" t="n">
        <v>5.13</v>
      </c>
      <c r="K530" s="69" t="inlineStr">
        <is>
          <t>Fixed rate</t>
        </is>
      </c>
      <c r="L530" s="68" t="n">
        <v>120</v>
      </c>
      <c r="M530" s="68" t="n">
        <v>28</v>
      </c>
      <c r="N530" s="68" t="n">
        <v>120</v>
      </c>
      <c r="O530" s="68" t="n">
        <v>120</v>
      </c>
      <c r="P530" s="68" t="n">
        <v>28</v>
      </c>
      <c r="Q530" s="68" t="n">
        <v>92</v>
      </c>
      <c r="R530" s="69" t="inlineStr">
        <is>
          <t>IO</t>
        </is>
      </c>
      <c r="S530" s="69" t="inlineStr">
        <is>
          <t>Yes</t>
        </is>
      </c>
      <c r="T530" s="73" t="n">
        <v>43466</v>
      </c>
      <c r="U530" s="73" t="n">
        <v>47124</v>
      </c>
      <c r="V530" s="73" t="n"/>
      <c r="W530" s="69" t="n"/>
      <c r="X530" s="69" t="inlineStr">
        <is>
          <t>Current</t>
        </is>
      </c>
      <c r="Y530" s="68" t="n"/>
      <c r="Z530" s="69" t="inlineStr">
        <is>
          <t>No Defeasance Occurred</t>
        </is>
      </c>
      <c r="AA530" s="69" t="inlineStr">
        <is>
          <t>Yes</t>
        </is>
      </c>
      <c r="AB530" s="69" t="inlineStr">
        <is>
          <t>Never special serv</t>
        </is>
      </c>
      <c r="AC530" s="73" t="n"/>
      <c r="AD530" s="69" t="n"/>
      <c r="AE530" s="69" t="n"/>
      <c r="AF530" s="69" t="inlineStr">
        <is>
          <t>NY</t>
        </is>
      </c>
      <c r="AG530" s="69" t="inlineStr">
        <is>
          <t>Brooklyn</t>
        </is>
      </c>
      <c r="AH530" s="69" t="inlineStr">
        <is>
          <t>New York-Newark-Jersey City, NY-NJ</t>
        </is>
      </c>
      <c r="AI530" s="69" t="inlineStr">
        <is>
          <t>Northeast / Mid-Atlantic</t>
        </is>
      </c>
      <c r="AJ530" s="69" t="inlineStr">
        <is>
          <t>RT</t>
        </is>
      </c>
      <c r="AK530" s="69" t="inlineStr">
        <is>
          <t>Anchored</t>
        </is>
      </c>
      <c r="AL530" s="68" t="n">
        <v>1</v>
      </c>
      <c r="AM530" s="68" t="n"/>
      <c r="AN530" s="68" t="n">
        <v>80991</v>
      </c>
      <c r="AO530" s="69" t="inlineStr">
        <is>
          <t>1960</t>
        </is>
      </c>
      <c r="AP530" s="70" t="n">
        <v>1960</v>
      </c>
      <c r="AQ530" s="74" t="n">
        <v>1.46</v>
      </c>
      <c r="AR530" s="74" t="n">
        <v>0.9</v>
      </c>
      <c r="AS530" s="74" t="n">
        <v>66.90000000000001</v>
      </c>
      <c r="AT530" s="74" t="n">
        <v>66.94</v>
      </c>
      <c r="AU530" s="74" t="n">
        <v>66.90000000000001</v>
      </c>
      <c r="AV530" s="74" t="n">
        <v>7.601546741</v>
      </c>
      <c r="AW530" s="74" t="n">
        <v>4.949860392</v>
      </c>
      <c r="AX530" s="75" t="n">
        <v>74</v>
      </c>
      <c r="AY530" s="71" t="n">
        <v>40000000</v>
      </c>
      <c r="AZ530" s="71" t="n">
        <v>40000000</v>
      </c>
      <c r="BA530" s="71" t="n">
        <v>2035314.14</v>
      </c>
      <c r="BB530" s="71" t="n">
        <v>1246553.06</v>
      </c>
      <c r="BC530" s="69" t="inlineStr">
        <is>
          <t>Acquisition</t>
        </is>
      </c>
      <c r="BD530" s="69" t="inlineStr">
        <is>
          <t>N</t>
        </is>
      </c>
      <c r="BE530" s="71" t="n"/>
      <c r="BF530" s="71" t="n"/>
      <c r="BG530" s="71" t="n"/>
      <c r="BH530" s="71" t="n">
        <v>0</v>
      </c>
      <c r="BI530" s="71" t="n">
        <v>0</v>
      </c>
      <c r="BJ530" s="69" t="inlineStr">
        <is>
          <t>N</t>
        </is>
      </c>
      <c r="BK530" s="69" t="inlineStr">
        <is>
          <t>Aldi Food Store</t>
        </is>
      </c>
      <c r="BL530" s="75" t="n">
        <v>22.82</v>
      </c>
      <c r="BM530" s="73" t="n">
        <v>46965</v>
      </c>
      <c r="BN530" s="69" t="inlineStr">
        <is>
          <t>Ashkenazy Acquisition Corporation; Ben Ashkenazy</t>
        </is>
      </c>
      <c r="BO530" s="69" t="inlineStr">
        <is>
          <t>Barclays</t>
        </is>
      </c>
      <c r="BP530" s="69" t="inlineStr">
        <is>
          <t>TriMont Real Estate Advisors</t>
        </is>
      </c>
      <c r="BQ530" s="69" t="inlineStr">
        <is>
          <t>K-Star Asset Management LLC</t>
        </is>
      </c>
      <c r="BR530" s="69" t="n"/>
      <c r="BS530" s="73" t="n">
        <v>46276</v>
      </c>
      <c r="BU530" s="76">
        <f>IF($C530="","",IFERROR(INDEX(dmName,MATCH($C530,dmID,0)),"Unmapped"))</f>
        <v/>
      </c>
      <c r="BV530" s="76">
        <f>IF($C530="","",IFERROR(INDEX(dmEntity,MATCH($C530,dmID,0)),"Unmapped"))</f>
        <v/>
      </c>
      <c r="BW530" s="77">
        <f>IF($C530="","",IFERROR(INDEX(dmVintage,MATCH($C530,dmID,0)),""))</f>
        <v/>
      </c>
      <c r="BX530" s="78">
        <f>IFERROR(INDEX(dmInclude,MATCH($C530,dmID,0)),0)</f>
        <v/>
      </c>
      <c r="BY530" s="78">
        <f>IF(N($I530)&gt;0,1,0)</f>
        <v/>
      </c>
      <c r="BZ530" s="76">
        <f>IF($AJ530="","Other / Leased Fee",IFERROR(INDEX(mapPTGroup,MATCH(LEFT(TRIM($AJ530),2),mapPTCode,0)),"Other / Leased Fee"))</f>
        <v/>
      </c>
      <c r="CA530" s="76">
        <f>IF(TRIM($AF530&amp;"")="","NR",LEFT(TRIM($AF530),2))</f>
        <v/>
      </c>
      <c r="CB530" s="76">
        <f>IFERROR(LOOKUP(2,1/(LEFT(TRIM($AI530&amp;""),LEN(mapRegion))=mapRegion),mapRegion),"Not Reported")</f>
        <v/>
      </c>
      <c r="CC530" s="76">
        <f>IF($BY530=0,"",IF(TRIM($W530&amp;"")="REO","REO",IF(TRIM($W530&amp;"")="FC","Foreclosure",IF(TRIM($W530&amp;"")="90+","90+ Days Delinquent",IF(TRIM($W530&amp;"")="60","60 Days Delinquent",IF(TRIM($W530&amp;"")="30","30 Days Delinquent",IF($X530="Non-Performing Matured Balloon","Non-Performing Matured Balloon",IF(OR($X530="Late Payment But Less Than 30 Days Delinquent",LEFT($X530&amp;"",20)="Payment Not Received"),"Late / In Grace (&lt;30 Days)",IF($X530="Performing Matured Balloon","Performing Matured Balloon","Current")))))))))</f>
        <v/>
      </c>
      <c r="CD530" s="78">
        <f>IF(OR($CC530="REO",$CC530="Foreclosure",$CC530="90+ Days Delinquent",$CC530="60 Days Delinquent",$CC530="30 Days Delinquent",$CC530="Non-Performing Matured Balloon"),1,0)</f>
        <v/>
      </c>
      <c r="CE530" s="76">
        <f>IF($AB530="Currently special serv","Currently Specially Serviced",IF($AB530="Returned to master serv","Previously Specially Serviced","Never Specially Serviced"))</f>
        <v/>
      </c>
      <c r="CF530" s="78">
        <f>IF($CE530="Currently Specially Serviced",1,0)</f>
        <v/>
      </c>
      <c r="CG530" s="76">
        <f>IF($AA530="Yes","Currently on Watchlist",IF($AA530="Previously","Previously on Watchlist","Never on Watchlist"))</f>
        <v/>
      </c>
      <c r="CH530" s="78">
        <f>IF($CG530="Currently on Watchlist",1,0)</f>
        <v/>
      </c>
      <c r="CI530" s="76">
        <f>IF($Z530="Full Defeasance","Fully Defeased",IF($Z530="Portion Of Loan Previously Defeased","Partially Defeased",IF($Z530="Defeasance Not Allowable","Not Defeased (Not Permitted)","Not Defeased")))</f>
        <v/>
      </c>
      <c r="CJ530" s="78">
        <f>IF($CI530="Fully Defeased",1,0)</f>
        <v/>
      </c>
      <c r="CK530" s="76">
        <f>IF($R530="IO","Full IO",IF(LEFT($R530&amp;"",7)="IO then","Partial IO","Amortizing"))</f>
        <v/>
      </c>
      <c r="CL530" s="78">
        <f>IF($CK530="Full IO",1,0)</f>
        <v/>
      </c>
      <c r="CM530" s="78">
        <f>IF($CK530="Partial IO",1,0)</f>
        <v/>
      </c>
      <c r="CN530" s="76">
        <f>IF(LEFT($F530&amp;"",10)="SPLIT_LOAN","Pari Passu Split","Standalone")</f>
        <v/>
      </c>
      <c r="CO530" s="78">
        <f>IF($CN530="Pari Passu Split",1,0)</f>
        <v/>
      </c>
      <c r="CP530" s="77">
        <f>IF(ISNUMBER($T530),YEAR($T530),"")</f>
        <v/>
      </c>
      <c r="CQ530" s="79">
        <f>IF(ISNUMBER($V530),$V530,IF(ISNUMBER($U530),$U530,""))</f>
        <v/>
      </c>
      <c r="CR530" s="77">
        <f>IF(ISNUMBER($CQ530),YEAR($CQ530),"")</f>
        <v/>
      </c>
      <c r="CS530" s="78">
        <f>IF(ISNUMBER($M530),MAX(0,$M530),IF(TRIM($M530&amp;"")="matured",0,""))</f>
        <v/>
      </c>
      <c r="CT530" s="78">
        <f>IF(AND(ISNUMBER($CS530),N($CS530)&lt;=mMatWindow),1,0)</f>
        <v/>
      </c>
      <c r="CU530" s="80">
        <f>IF(ISNUMBER($J530),$J530/100,"")</f>
        <v/>
      </c>
      <c r="CV530" s="81">
        <f>IF(ISNUMBER($AQ530),$AQ530,"")</f>
        <v/>
      </c>
      <c r="CW530" s="81">
        <f>IF(ISNUMBER($AR530),$AR530,"")</f>
        <v/>
      </c>
      <c r="CX530" s="82">
        <f>IF(ISNUMBER($AS530),$AS530/100,"")</f>
        <v/>
      </c>
      <c r="CY530" s="82">
        <f>IF(ISNUMBER($AT530),$AT530/100,"")</f>
        <v/>
      </c>
      <c r="CZ530" s="82">
        <f>IF(ISNUMBER($AU530),$AU530/100,"")</f>
        <v/>
      </c>
      <c r="DA530" s="82">
        <f>IF(ISNUMBER($AV530),$AV530/100,"")</f>
        <v/>
      </c>
      <c r="DB530" s="82">
        <f>IF(ISNUMBER($AW530),$AW530/100,"")</f>
        <v/>
      </c>
      <c r="DC530" s="82">
        <f>IF(ISNUMBER($AX530),$AX530/100,"")</f>
        <v/>
      </c>
      <c r="DD530" s="77">
        <f>IFERROR(VALUE(LEFT(TRIM($AO530&amp;""),4)),"")</f>
        <v/>
      </c>
      <c r="DE530" s="78">
        <f>IF(AND($BY530=1,$BX530=1,OR(fDeal="All Deals",$BU530=fDeal),OR(fEntity="All Entities",$BV530=fEntity),OR(fPType="All Property Types",$BZ530=fPType),OR(fDefeased="Include",$CJ530=0)),1,0)</f>
        <v/>
      </c>
      <c r="DF530" s="83">
        <f>$DE530*N($I530)</f>
        <v/>
      </c>
      <c r="DG530" s="78">
        <f>IF($DE530=1,IF(COUNTIFS($F$8:$F530,$F530,$DE$8:$DE530,1)=1,1,0),0)</f>
        <v/>
      </c>
      <c r="DH530" s="83">
        <f>IF($DG530=1,SUMIFS($DF$8:$DF$1600,$F$8:$F$1600,$F530),0)</f>
        <v/>
      </c>
      <c r="DI530" s="78">
        <f>IF($DG530=1,COUNTIFS($F$8:$F$1600,$F530,$DE$8:$DE$1600,1),0)</f>
        <v/>
      </c>
      <c r="DJ530" s="84">
        <f>IF($DG530=1,$DH530+(100000-ROW())/mTieBreak,0)</f>
        <v/>
      </c>
    </row>
    <row r="531">
      <c r="B531" s="68" t="n">
        <v>8</v>
      </c>
      <c r="C531" s="69" t="inlineStr">
        <is>
          <t>WFC19C49</t>
        </is>
      </c>
      <c r="D531" s="69" t="inlineStr">
        <is>
          <t>8.000</t>
        </is>
      </c>
      <c r="E531" s="69" t="inlineStr">
        <is>
          <t>Roseville Shopping Center</t>
        </is>
      </c>
      <c r="F531" s="69" t="inlineStr">
        <is>
          <t>LNWFC19C49-8.000</t>
        </is>
      </c>
      <c r="G531" s="70" t="n"/>
      <c r="H531" s="71" t="n">
        <v>23887500</v>
      </c>
      <c r="I531" s="71" t="n">
        <v>22088476.39000958</v>
      </c>
      <c r="J531" s="72" t="n">
        <v>4.75</v>
      </c>
      <c r="K531" s="69" t="inlineStr">
        <is>
          <t>Fixed rate</t>
        </is>
      </c>
      <c r="L531" s="68" t="n">
        <v>120</v>
      </c>
      <c r="M531" s="68" t="n">
        <v>28</v>
      </c>
      <c r="N531" s="68" t="n">
        <v>396</v>
      </c>
      <c r="O531" s="68" t="n">
        <v>36</v>
      </c>
      <c r="P531" s="68" t="n">
        <v>0</v>
      </c>
      <c r="Q531" s="68" t="n">
        <v>92</v>
      </c>
      <c r="R531" s="69" t="inlineStr">
        <is>
          <t>IO then Amort</t>
        </is>
      </c>
      <c r="S531" s="69" t="inlineStr">
        <is>
          <t>No</t>
        </is>
      </c>
      <c r="T531" s="73" t="n">
        <v>43466</v>
      </c>
      <c r="U531" s="73" t="n">
        <v>47124</v>
      </c>
      <c r="V531" s="73" t="n"/>
      <c r="W531" s="69" t="n"/>
      <c r="X531" s="69" t="inlineStr">
        <is>
          <t>Current</t>
        </is>
      </c>
      <c r="Y531" s="68" t="n"/>
      <c r="Z531" s="69" t="inlineStr">
        <is>
          <t>No Defeasance Occurred</t>
        </is>
      </c>
      <c r="AA531" s="69" t="n"/>
      <c r="AB531" s="69" t="inlineStr">
        <is>
          <t>Never special serv</t>
        </is>
      </c>
      <c r="AC531" s="73" t="n"/>
      <c r="AD531" s="69" t="n"/>
      <c r="AE531" s="69" t="n"/>
      <c r="AF531" s="69" t="inlineStr">
        <is>
          <t>CA</t>
        </is>
      </c>
      <c r="AG531" s="69" t="inlineStr">
        <is>
          <t>Roseville</t>
        </is>
      </c>
      <c r="AH531" s="69" t="inlineStr">
        <is>
          <t>Sacramento-Roseville-Folsom, CA</t>
        </is>
      </c>
      <c r="AI531" s="69" t="inlineStr">
        <is>
          <t>West / Pacific North</t>
        </is>
      </c>
      <c r="AJ531" s="69" t="inlineStr">
        <is>
          <t>RT</t>
        </is>
      </c>
      <c r="AK531" s="69" t="inlineStr">
        <is>
          <t>Shadow Anchored</t>
        </is>
      </c>
      <c r="AL531" s="68" t="n">
        <v>1</v>
      </c>
      <c r="AM531" s="68" t="n"/>
      <c r="AN531" s="68" t="n">
        <v>96791</v>
      </c>
      <c r="AO531" s="69" t="inlineStr">
        <is>
          <t>1991</t>
        </is>
      </c>
      <c r="AP531" s="70" t="n">
        <v>1991</v>
      </c>
      <c r="AQ531" s="74" t="n">
        <v>1.74</v>
      </c>
      <c r="AR531" s="74" t="n">
        <v>2.06</v>
      </c>
      <c r="AS531" s="74" t="n">
        <v>69.2</v>
      </c>
      <c r="AT531" s="74" t="n">
        <v>64.02</v>
      </c>
      <c r="AU531" s="74" t="n">
        <v>61</v>
      </c>
      <c r="AV531" s="74" t="n">
        <v>10.890779696</v>
      </c>
      <c r="AW531" s="74" t="n">
        <v>13.169409282</v>
      </c>
      <c r="AX531" s="75" t="n">
        <v>92</v>
      </c>
      <c r="AY531" s="71" t="n">
        <v>34500000</v>
      </c>
      <c r="AZ531" s="71" t="n">
        <v>34500000</v>
      </c>
      <c r="BA531" s="71" t="n">
        <v>2601535</v>
      </c>
      <c r="BB531" s="71" t="n">
        <v>1538449.01</v>
      </c>
      <c r="BC531" s="69" t="inlineStr">
        <is>
          <t>Acquisition</t>
        </is>
      </c>
      <c r="BD531" s="69" t="inlineStr">
        <is>
          <t>N</t>
        </is>
      </c>
      <c r="BE531" s="71" t="n"/>
      <c r="BF531" s="71" t="n"/>
      <c r="BG531" s="71" t="n"/>
      <c r="BH531" s="71" t="n">
        <v>0</v>
      </c>
      <c r="BI531" s="71" t="n">
        <v>0</v>
      </c>
      <c r="BJ531" s="69" t="inlineStr">
        <is>
          <t>N</t>
        </is>
      </c>
      <c r="BK531" s="69" t="inlineStr">
        <is>
          <t>Petco</t>
        </is>
      </c>
      <c r="BL531" s="75" t="n">
        <v>16</v>
      </c>
      <c r="BM531" s="73" t="n">
        <v>46568</v>
      </c>
      <c r="BN531" s="69" t="inlineStr">
        <is>
          <t>Trevor Smith; Joshua Volen</t>
        </is>
      </c>
      <c r="BO531" s="69" t="inlineStr">
        <is>
          <t>RMF</t>
        </is>
      </c>
      <c r="BP531" s="69" t="inlineStr">
        <is>
          <t>TriMont Real Estate Advisors</t>
        </is>
      </c>
      <c r="BQ531" s="69" t="inlineStr">
        <is>
          <t>K-Star Asset Management LLC</t>
        </is>
      </c>
      <c r="BR531" s="69" t="n"/>
      <c r="BS531" s="73" t="n">
        <v>46276</v>
      </c>
      <c r="BU531" s="76">
        <f>IF($C531="","",IFERROR(INDEX(dmName,MATCH($C531,dmID,0)),"Unmapped"))</f>
        <v/>
      </c>
      <c r="BV531" s="76">
        <f>IF($C531="","",IFERROR(INDEX(dmEntity,MATCH($C531,dmID,0)),"Unmapped"))</f>
        <v/>
      </c>
      <c r="BW531" s="77">
        <f>IF($C531="","",IFERROR(INDEX(dmVintage,MATCH($C531,dmID,0)),""))</f>
        <v/>
      </c>
      <c r="BX531" s="78">
        <f>IFERROR(INDEX(dmInclude,MATCH($C531,dmID,0)),0)</f>
        <v/>
      </c>
      <c r="BY531" s="78">
        <f>IF(N($I531)&gt;0,1,0)</f>
        <v/>
      </c>
      <c r="BZ531" s="76">
        <f>IF($AJ531="","Other / Leased Fee",IFERROR(INDEX(mapPTGroup,MATCH(LEFT(TRIM($AJ531),2),mapPTCode,0)),"Other / Leased Fee"))</f>
        <v/>
      </c>
      <c r="CA531" s="76">
        <f>IF(TRIM($AF531&amp;"")="","NR",LEFT(TRIM($AF531),2))</f>
        <v/>
      </c>
      <c r="CB531" s="76">
        <f>IFERROR(LOOKUP(2,1/(LEFT(TRIM($AI531&amp;""),LEN(mapRegion))=mapRegion),mapRegion),"Not Reported")</f>
        <v/>
      </c>
      <c r="CC531" s="76">
        <f>IF($BY531=0,"",IF(TRIM($W531&amp;"")="REO","REO",IF(TRIM($W531&amp;"")="FC","Foreclosure",IF(TRIM($W531&amp;"")="90+","90+ Days Delinquent",IF(TRIM($W531&amp;"")="60","60 Days Delinquent",IF(TRIM($W531&amp;"")="30","30 Days Delinquent",IF($X531="Non-Performing Matured Balloon","Non-Performing Matured Balloon",IF(OR($X531="Late Payment But Less Than 30 Days Delinquent",LEFT($X531&amp;"",20)="Payment Not Received"),"Late / In Grace (&lt;30 Days)",IF($X531="Performing Matured Balloon","Performing Matured Balloon","Current")))))))))</f>
        <v/>
      </c>
      <c r="CD531" s="78">
        <f>IF(OR($CC531="REO",$CC531="Foreclosure",$CC531="90+ Days Delinquent",$CC531="60 Days Delinquent",$CC531="30 Days Delinquent",$CC531="Non-Performing Matured Balloon"),1,0)</f>
        <v/>
      </c>
      <c r="CE531" s="76">
        <f>IF($AB531="Currently special serv","Currently Specially Serviced",IF($AB531="Returned to master serv","Previously Specially Serviced","Never Specially Serviced"))</f>
        <v/>
      </c>
      <c r="CF531" s="78">
        <f>IF($CE531="Currently Specially Serviced",1,0)</f>
        <v/>
      </c>
      <c r="CG531" s="76">
        <f>IF($AA531="Yes","Currently on Watchlist",IF($AA531="Previously","Previously on Watchlist","Never on Watchlist"))</f>
        <v/>
      </c>
      <c r="CH531" s="78">
        <f>IF($CG531="Currently on Watchlist",1,0)</f>
        <v/>
      </c>
      <c r="CI531" s="76">
        <f>IF($Z531="Full Defeasance","Fully Defeased",IF($Z531="Portion Of Loan Previously Defeased","Partially Defeased",IF($Z531="Defeasance Not Allowable","Not Defeased (Not Permitted)","Not Defeased")))</f>
        <v/>
      </c>
      <c r="CJ531" s="78">
        <f>IF($CI531="Fully Defeased",1,0)</f>
        <v/>
      </c>
      <c r="CK531" s="76">
        <f>IF($R531="IO","Full IO",IF(LEFT($R531&amp;"",7)="IO then","Partial IO","Amortizing"))</f>
        <v/>
      </c>
      <c r="CL531" s="78">
        <f>IF($CK531="Full IO",1,0)</f>
        <v/>
      </c>
      <c r="CM531" s="78">
        <f>IF($CK531="Partial IO",1,0)</f>
        <v/>
      </c>
      <c r="CN531" s="76">
        <f>IF(LEFT($F531&amp;"",10)="SPLIT_LOAN","Pari Passu Split","Standalone")</f>
        <v/>
      </c>
      <c r="CO531" s="78">
        <f>IF($CN531="Pari Passu Split",1,0)</f>
        <v/>
      </c>
      <c r="CP531" s="77">
        <f>IF(ISNUMBER($T531),YEAR($T531),"")</f>
        <v/>
      </c>
      <c r="CQ531" s="79">
        <f>IF(ISNUMBER($V531),$V531,IF(ISNUMBER($U531),$U531,""))</f>
        <v/>
      </c>
      <c r="CR531" s="77">
        <f>IF(ISNUMBER($CQ531),YEAR($CQ531),"")</f>
        <v/>
      </c>
      <c r="CS531" s="78">
        <f>IF(ISNUMBER($M531),MAX(0,$M531),IF(TRIM($M531&amp;"")="matured",0,""))</f>
        <v/>
      </c>
      <c r="CT531" s="78">
        <f>IF(AND(ISNUMBER($CS531),N($CS531)&lt;=mMatWindow),1,0)</f>
        <v/>
      </c>
      <c r="CU531" s="80">
        <f>IF(ISNUMBER($J531),$J531/100,"")</f>
        <v/>
      </c>
      <c r="CV531" s="81">
        <f>IF(ISNUMBER($AQ531),$AQ531,"")</f>
        <v/>
      </c>
      <c r="CW531" s="81">
        <f>IF(ISNUMBER($AR531),$AR531,"")</f>
        <v/>
      </c>
      <c r="CX531" s="82">
        <f>IF(ISNUMBER($AS531),$AS531/100,"")</f>
        <v/>
      </c>
      <c r="CY531" s="82">
        <f>IF(ISNUMBER($AT531),$AT531/100,"")</f>
        <v/>
      </c>
      <c r="CZ531" s="82">
        <f>IF(ISNUMBER($AU531),$AU531/100,"")</f>
        <v/>
      </c>
      <c r="DA531" s="82">
        <f>IF(ISNUMBER($AV531),$AV531/100,"")</f>
        <v/>
      </c>
      <c r="DB531" s="82">
        <f>IF(ISNUMBER($AW531),$AW531/100,"")</f>
        <v/>
      </c>
      <c r="DC531" s="82">
        <f>IF(ISNUMBER($AX531),$AX531/100,"")</f>
        <v/>
      </c>
      <c r="DD531" s="77">
        <f>IFERROR(VALUE(LEFT(TRIM($AO531&amp;""),4)),"")</f>
        <v/>
      </c>
      <c r="DE531" s="78">
        <f>IF(AND($BY531=1,$BX531=1,OR(fDeal="All Deals",$BU531=fDeal),OR(fEntity="All Entities",$BV531=fEntity),OR(fPType="All Property Types",$BZ531=fPType),OR(fDefeased="Include",$CJ531=0)),1,0)</f>
        <v/>
      </c>
      <c r="DF531" s="83">
        <f>$DE531*N($I531)</f>
        <v/>
      </c>
      <c r="DG531" s="78">
        <f>IF($DE531=1,IF(COUNTIFS($F$8:$F531,$F531,$DE$8:$DE531,1)=1,1,0),0)</f>
        <v/>
      </c>
      <c r="DH531" s="83">
        <f>IF($DG531=1,SUMIFS($DF$8:$DF$1600,$F$8:$F$1600,$F531),0)</f>
        <v/>
      </c>
      <c r="DI531" s="78">
        <f>IF($DG531=1,COUNTIFS($F$8:$F$1600,$F531,$DE$8:$DE$1600,1),0)</f>
        <v/>
      </c>
      <c r="DJ531" s="84">
        <f>IF($DG531=1,$DH531+(100000-ROW())/mTieBreak,0)</f>
        <v/>
      </c>
    </row>
    <row r="532">
      <c r="B532" s="68" t="n">
        <v>9</v>
      </c>
      <c r="C532" s="69" t="inlineStr">
        <is>
          <t>WFC19C49</t>
        </is>
      </c>
      <c r="D532" s="69" t="inlineStr">
        <is>
          <t>9.000</t>
        </is>
      </c>
      <c r="E532" s="69" t="inlineStr">
        <is>
          <t>Northchase Office Portfolio</t>
        </is>
      </c>
      <c r="F532" s="69" t="inlineStr">
        <is>
          <t>LNWFC19C49-9.000</t>
        </is>
      </c>
      <c r="G532" s="70" t="n"/>
      <c r="H532" s="71" t="n">
        <v>19500000</v>
      </c>
      <c r="I532" s="71" t="n">
        <v>19500000</v>
      </c>
      <c r="J532" s="72" t="n">
        <v>5</v>
      </c>
      <c r="K532" s="69" t="inlineStr">
        <is>
          <t>Fixed rate</t>
        </is>
      </c>
      <c r="L532" s="68" t="n">
        <v>120</v>
      </c>
      <c r="M532" s="68" t="n">
        <v>29</v>
      </c>
      <c r="N532" s="68" t="n">
        <v>120</v>
      </c>
      <c r="O532" s="68" t="n">
        <v>120</v>
      </c>
      <c r="P532" s="68" t="n">
        <v>29</v>
      </c>
      <c r="Q532" s="68" t="n">
        <v>91</v>
      </c>
      <c r="R532" s="69" t="inlineStr">
        <is>
          <t>IO</t>
        </is>
      </c>
      <c r="S532" s="69" t="inlineStr">
        <is>
          <t>Yes</t>
        </is>
      </c>
      <c r="T532" s="73" t="n">
        <v>43497</v>
      </c>
      <c r="U532" s="73" t="n">
        <v>47160</v>
      </c>
      <c r="V532" s="73" t="n"/>
      <c r="W532" s="69" t="n"/>
      <c r="X532" s="69" t="inlineStr">
        <is>
          <t>Current</t>
        </is>
      </c>
      <c r="Y532" s="68" t="n"/>
      <c r="Z532" s="69" t="inlineStr">
        <is>
          <t>No Defeasance Occurred</t>
        </is>
      </c>
      <c r="AA532" s="69" t="n"/>
      <c r="AB532" s="69" t="inlineStr">
        <is>
          <t>Never special serv</t>
        </is>
      </c>
      <c r="AC532" s="73" t="n"/>
      <c r="AD532" s="69" t="n"/>
      <c r="AE532" s="69" t="n"/>
      <c r="AF532" s="69" t="inlineStr">
        <is>
          <t>GA</t>
        </is>
      </c>
      <c r="AG532" s="69" t="n"/>
      <c r="AH532" s="69" t="inlineStr">
        <is>
          <t>Atlanta-Sandy Springs-Roswell, GA</t>
        </is>
      </c>
      <c r="AI532" s="69" t="inlineStr">
        <is>
          <t>South / Atlantic</t>
        </is>
      </c>
      <c r="AJ532" s="69" t="inlineStr">
        <is>
          <t>OF</t>
        </is>
      </c>
      <c r="AK532" s="69" t="inlineStr">
        <is>
          <t>Suburban</t>
        </is>
      </c>
      <c r="AL532" s="68" t="n">
        <v>3</v>
      </c>
      <c r="AM532" s="68" t="n"/>
      <c r="AN532" s="68" t="n">
        <v>255726</v>
      </c>
      <c r="AO532" s="69" t="n"/>
      <c r="AP532" s="70" t="n">
        <v>2018</v>
      </c>
      <c r="AQ532" s="74" t="n">
        <v>2.28</v>
      </c>
      <c r="AR532" s="74" t="n">
        <v>2.45</v>
      </c>
      <c r="AS532" s="74" t="n">
        <v>64</v>
      </c>
      <c r="AT532" s="74" t="n">
        <v>64.04000000000001</v>
      </c>
      <c r="AU532" s="74" t="n">
        <v>64</v>
      </c>
      <c r="AV532" s="74" t="n">
        <v>11.591814821</v>
      </c>
      <c r="AW532" s="74" t="n">
        <v>11.414743487</v>
      </c>
      <c r="AX532" s="75" t="n">
        <v>92</v>
      </c>
      <c r="AY532" s="71" t="n">
        <v>30450000</v>
      </c>
      <c r="AZ532" s="71" t="n">
        <v>30450000</v>
      </c>
      <c r="BA532" s="71" t="n">
        <v>2260403.89</v>
      </c>
      <c r="BB532" s="71" t="n">
        <v>1205652.33</v>
      </c>
      <c r="BC532" s="69" t="inlineStr">
        <is>
          <t>Refinance</t>
        </is>
      </c>
      <c r="BD532" s="69" t="inlineStr">
        <is>
          <t>N</t>
        </is>
      </c>
      <c r="BE532" s="71" t="n"/>
      <c r="BF532" s="71" t="n"/>
      <c r="BG532" s="71" t="n"/>
      <c r="BH532" s="71" t="n">
        <v>0</v>
      </c>
      <c r="BI532" s="71" t="n">
        <v>0</v>
      </c>
      <c r="BJ532" s="69" t="inlineStr">
        <is>
          <t>N</t>
        </is>
      </c>
      <c r="BK532" s="69" t="inlineStr">
        <is>
          <t>NorthPoint Executives Suite Duluth  LLC</t>
        </is>
      </c>
      <c r="BL532" s="75" t="n">
        <v>8.15</v>
      </c>
      <c r="BM532" s="73" t="n">
        <v>47149</v>
      </c>
      <c r="BN532" s="69" t="inlineStr">
        <is>
          <t>Rose Jarboe</t>
        </is>
      </c>
      <c r="BO532" s="69" t="inlineStr">
        <is>
          <t>Wells Fargo</t>
        </is>
      </c>
      <c r="BP532" s="69" t="inlineStr">
        <is>
          <t>TriMont Real Estate Advisors</t>
        </is>
      </c>
      <c r="BQ532" s="69" t="inlineStr">
        <is>
          <t>K-Star Asset Management LLC</t>
        </is>
      </c>
      <c r="BR532" s="69" t="n"/>
      <c r="BS532" s="73" t="n">
        <v>46276</v>
      </c>
      <c r="BU532" s="76">
        <f>IF($C532="","",IFERROR(INDEX(dmName,MATCH($C532,dmID,0)),"Unmapped"))</f>
        <v/>
      </c>
      <c r="BV532" s="76">
        <f>IF($C532="","",IFERROR(INDEX(dmEntity,MATCH($C532,dmID,0)),"Unmapped"))</f>
        <v/>
      </c>
      <c r="BW532" s="77">
        <f>IF($C532="","",IFERROR(INDEX(dmVintage,MATCH($C532,dmID,0)),""))</f>
        <v/>
      </c>
      <c r="BX532" s="78">
        <f>IFERROR(INDEX(dmInclude,MATCH($C532,dmID,0)),0)</f>
        <v/>
      </c>
      <c r="BY532" s="78">
        <f>IF(N($I532)&gt;0,1,0)</f>
        <v/>
      </c>
      <c r="BZ532" s="76">
        <f>IF($AJ532="","Other / Leased Fee",IFERROR(INDEX(mapPTGroup,MATCH(LEFT(TRIM($AJ532),2),mapPTCode,0)),"Other / Leased Fee"))</f>
        <v/>
      </c>
      <c r="CA532" s="76">
        <f>IF(TRIM($AF532&amp;"")="","NR",LEFT(TRIM($AF532),2))</f>
        <v/>
      </c>
      <c r="CB532" s="76">
        <f>IFERROR(LOOKUP(2,1/(LEFT(TRIM($AI532&amp;""),LEN(mapRegion))=mapRegion),mapRegion),"Not Reported")</f>
        <v/>
      </c>
      <c r="CC532" s="76">
        <f>IF($BY532=0,"",IF(TRIM($W532&amp;"")="REO","REO",IF(TRIM($W532&amp;"")="FC","Foreclosure",IF(TRIM($W532&amp;"")="90+","90+ Days Delinquent",IF(TRIM($W532&amp;"")="60","60 Days Delinquent",IF(TRIM($W532&amp;"")="30","30 Days Delinquent",IF($X532="Non-Performing Matured Balloon","Non-Performing Matured Balloon",IF(OR($X532="Late Payment But Less Than 30 Days Delinquent",LEFT($X532&amp;"",20)="Payment Not Received"),"Late / In Grace (&lt;30 Days)",IF($X532="Performing Matured Balloon","Performing Matured Balloon","Current")))))))))</f>
        <v/>
      </c>
      <c r="CD532" s="78">
        <f>IF(OR($CC532="REO",$CC532="Foreclosure",$CC532="90+ Days Delinquent",$CC532="60 Days Delinquent",$CC532="30 Days Delinquent",$CC532="Non-Performing Matured Balloon"),1,0)</f>
        <v/>
      </c>
      <c r="CE532" s="76">
        <f>IF($AB532="Currently special serv","Currently Specially Serviced",IF($AB532="Returned to master serv","Previously Specially Serviced","Never Specially Serviced"))</f>
        <v/>
      </c>
      <c r="CF532" s="78">
        <f>IF($CE532="Currently Specially Serviced",1,0)</f>
        <v/>
      </c>
      <c r="CG532" s="76">
        <f>IF($AA532="Yes","Currently on Watchlist",IF($AA532="Previously","Previously on Watchlist","Never on Watchlist"))</f>
        <v/>
      </c>
      <c r="CH532" s="78">
        <f>IF($CG532="Currently on Watchlist",1,0)</f>
        <v/>
      </c>
      <c r="CI532" s="76">
        <f>IF($Z532="Full Defeasance","Fully Defeased",IF($Z532="Portion Of Loan Previously Defeased","Partially Defeased",IF($Z532="Defeasance Not Allowable","Not Defeased (Not Permitted)","Not Defeased")))</f>
        <v/>
      </c>
      <c r="CJ532" s="78">
        <f>IF($CI532="Fully Defeased",1,0)</f>
        <v/>
      </c>
      <c r="CK532" s="76">
        <f>IF($R532="IO","Full IO",IF(LEFT($R532&amp;"",7)="IO then","Partial IO","Amortizing"))</f>
        <v/>
      </c>
      <c r="CL532" s="78">
        <f>IF($CK532="Full IO",1,0)</f>
        <v/>
      </c>
      <c r="CM532" s="78">
        <f>IF($CK532="Partial IO",1,0)</f>
        <v/>
      </c>
      <c r="CN532" s="76">
        <f>IF(LEFT($F532&amp;"",10)="SPLIT_LOAN","Pari Passu Split","Standalone")</f>
        <v/>
      </c>
      <c r="CO532" s="78">
        <f>IF($CN532="Pari Passu Split",1,0)</f>
        <v/>
      </c>
      <c r="CP532" s="77">
        <f>IF(ISNUMBER($T532),YEAR($T532),"")</f>
        <v/>
      </c>
      <c r="CQ532" s="79">
        <f>IF(ISNUMBER($V532),$V532,IF(ISNUMBER($U532),$U532,""))</f>
        <v/>
      </c>
      <c r="CR532" s="77">
        <f>IF(ISNUMBER($CQ532),YEAR($CQ532),"")</f>
        <v/>
      </c>
      <c r="CS532" s="78">
        <f>IF(ISNUMBER($M532),MAX(0,$M532),IF(TRIM($M532&amp;"")="matured",0,""))</f>
        <v/>
      </c>
      <c r="CT532" s="78">
        <f>IF(AND(ISNUMBER($CS532),N($CS532)&lt;=mMatWindow),1,0)</f>
        <v/>
      </c>
      <c r="CU532" s="80">
        <f>IF(ISNUMBER($J532),$J532/100,"")</f>
        <v/>
      </c>
      <c r="CV532" s="81">
        <f>IF(ISNUMBER($AQ532),$AQ532,"")</f>
        <v/>
      </c>
      <c r="CW532" s="81">
        <f>IF(ISNUMBER($AR532),$AR532,"")</f>
        <v/>
      </c>
      <c r="CX532" s="82">
        <f>IF(ISNUMBER($AS532),$AS532/100,"")</f>
        <v/>
      </c>
      <c r="CY532" s="82">
        <f>IF(ISNUMBER($AT532),$AT532/100,"")</f>
        <v/>
      </c>
      <c r="CZ532" s="82">
        <f>IF(ISNUMBER($AU532),$AU532/100,"")</f>
        <v/>
      </c>
      <c r="DA532" s="82">
        <f>IF(ISNUMBER($AV532),$AV532/100,"")</f>
        <v/>
      </c>
      <c r="DB532" s="82">
        <f>IF(ISNUMBER($AW532),$AW532/100,"")</f>
        <v/>
      </c>
      <c r="DC532" s="82">
        <f>IF(ISNUMBER($AX532),$AX532/100,"")</f>
        <v/>
      </c>
      <c r="DD532" s="77">
        <f>IFERROR(VALUE(LEFT(TRIM($AO532&amp;""),4)),"")</f>
        <v/>
      </c>
      <c r="DE532" s="78">
        <f>IF(AND($BY532=1,$BX532=1,OR(fDeal="All Deals",$BU532=fDeal),OR(fEntity="All Entities",$BV532=fEntity),OR(fPType="All Property Types",$BZ532=fPType),OR(fDefeased="Include",$CJ532=0)),1,0)</f>
        <v/>
      </c>
      <c r="DF532" s="83">
        <f>$DE532*N($I532)</f>
        <v/>
      </c>
      <c r="DG532" s="78">
        <f>IF($DE532=1,IF(COUNTIFS($F$8:$F532,$F532,$DE$8:$DE532,1)=1,1,0),0)</f>
        <v/>
      </c>
      <c r="DH532" s="83">
        <f>IF($DG532=1,SUMIFS($DF$8:$DF$1600,$F$8:$F$1600,$F532),0)</f>
        <v/>
      </c>
      <c r="DI532" s="78">
        <f>IF($DG532=1,COUNTIFS($F$8:$F$1600,$F532,$DE$8:$DE$1600,1),0)</f>
        <v/>
      </c>
      <c r="DJ532" s="84">
        <f>IF($DG532=1,$DH532+(100000-ROW())/mTieBreak,0)</f>
        <v/>
      </c>
    </row>
    <row r="533">
      <c r="B533" s="68" t="n">
        <v>10</v>
      </c>
      <c r="C533" s="69" t="inlineStr">
        <is>
          <t>WFC19C49</t>
        </is>
      </c>
      <c r="D533" s="69" t="inlineStr">
        <is>
          <t>10.000</t>
        </is>
      </c>
      <c r="E533" s="69" t="inlineStr">
        <is>
          <t>Catania Pasadena</t>
        </is>
      </c>
      <c r="F533" s="69" t="inlineStr">
        <is>
          <t>LNWFC19C49-10.000</t>
        </is>
      </c>
      <c r="G533" s="70" t="n"/>
      <c r="H533" s="71" t="n">
        <v>17700000</v>
      </c>
      <c r="I533" s="71" t="n">
        <v>17700000</v>
      </c>
      <c r="J533" s="72" t="n">
        <v>5.32</v>
      </c>
      <c r="K533" s="69" t="inlineStr">
        <is>
          <t>Fixed rate</t>
        </is>
      </c>
      <c r="L533" s="68" t="n">
        <v>120</v>
      </c>
      <c r="M533" s="68" t="n">
        <v>28</v>
      </c>
      <c r="N533" s="68" t="n">
        <v>120</v>
      </c>
      <c r="O533" s="68" t="n">
        <v>120</v>
      </c>
      <c r="P533" s="68" t="n">
        <v>28</v>
      </c>
      <c r="Q533" s="68" t="n">
        <v>92</v>
      </c>
      <c r="R533" s="69" t="inlineStr">
        <is>
          <t>IO</t>
        </is>
      </c>
      <c r="S533" s="69" t="inlineStr">
        <is>
          <t>Yes</t>
        </is>
      </c>
      <c r="T533" s="73" t="n">
        <v>43466</v>
      </c>
      <c r="U533" s="73" t="n">
        <v>47119</v>
      </c>
      <c r="V533" s="73" t="n"/>
      <c r="W533" s="69" t="n"/>
      <c r="X533" s="69" t="inlineStr">
        <is>
          <t>Current</t>
        </is>
      </c>
      <c r="Y533" s="68" t="n"/>
      <c r="Z533" s="69" t="inlineStr">
        <is>
          <t>No Defeasance Occurred</t>
        </is>
      </c>
      <c r="AA533" s="69" t="inlineStr">
        <is>
          <t>Previously</t>
        </is>
      </c>
      <c r="AB533" s="69" t="inlineStr">
        <is>
          <t>Never special serv</t>
        </is>
      </c>
      <c r="AC533" s="73" t="n"/>
      <c r="AD533" s="69" t="n"/>
      <c r="AE533" s="69" t="n"/>
      <c r="AF533" s="69" t="inlineStr">
        <is>
          <t>CA</t>
        </is>
      </c>
      <c r="AG533" s="69" t="inlineStr">
        <is>
          <t>Pasadena</t>
        </is>
      </c>
      <c r="AH533" s="69" t="inlineStr">
        <is>
          <t>Los Angeles-Long Beach-Anaheim, CA</t>
        </is>
      </c>
      <c r="AI533" s="69" t="inlineStr">
        <is>
          <t>West / Pacific South</t>
        </is>
      </c>
      <c r="AJ533" s="69" t="inlineStr">
        <is>
          <t>MF</t>
        </is>
      </c>
      <c r="AK533" s="69" t="inlineStr">
        <is>
          <t>Mid Rise</t>
        </is>
      </c>
      <c r="AL533" s="68" t="n">
        <v>1</v>
      </c>
      <c r="AM533" s="68" t="n">
        <v>33</v>
      </c>
      <c r="AN533" s="68" t="n"/>
      <c r="AO533" s="69" t="inlineStr">
        <is>
          <t>2012</t>
        </is>
      </c>
      <c r="AP533" s="70" t="n">
        <v>2012</v>
      </c>
      <c r="AQ533" s="74" t="n">
        <v>1.39</v>
      </c>
      <c r="AR533" s="74" t="n">
        <v>1.49</v>
      </c>
      <c r="AS533" s="74" t="n">
        <v>56.4</v>
      </c>
      <c r="AT533" s="74" t="n">
        <v>56.37</v>
      </c>
      <c r="AU533" s="74" t="n">
        <v>56.4</v>
      </c>
      <c r="AV533" s="74" t="n">
        <v>7.533816328</v>
      </c>
      <c r="AW533" s="74" t="n">
        <v>8.827913559000001</v>
      </c>
      <c r="AX533" s="75" t="n">
        <v>91</v>
      </c>
      <c r="AY533" s="71" t="n">
        <v>31400000</v>
      </c>
      <c r="AZ533" s="71" t="n">
        <v>31400000</v>
      </c>
      <c r="BA533" s="71" t="n">
        <v>1333485.49</v>
      </c>
      <c r="BB533" s="71" t="n">
        <v>710792.36</v>
      </c>
      <c r="BC533" s="69" t="inlineStr">
        <is>
          <t>Refinance</t>
        </is>
      </c>
      <c r="BD533" s="69" t="inlineStr">
        <is>
          <t>N</t>
        </is>
      </c>
      <c r="BE533" s="71" t="n"/>
      <c r="BF533" s="71" t="n"/>
      <c r="BG533" s="71" t="n"/>
      <c r="BH533" s="71" t="n">
        <v>0</v>
      </c>
      <c r="BI533" s="71" t="n">
        <v>0</v>
      </c>
      <c r="BJ533" s="69" t="inlineStr">
        <is>
          <t>N</t>
        </is>
      </c>
      <c r="BK533" s="69" t="n"/>
      <c r="BL533" s="75" t="n"/>
      <c r="BM533" s="73" t="n"/>
      <c r="BN533" s="69" t="inlineStr">
        <is>
          <t>SKR Holdings, LLC (f/k/a CIM Group (CA), LLC)</t>
        </is>
      </c>
      <c r="BO533" s="69" t="inlineStr">
        <is>
          <t>Barclays</t>
        </is>
      </c>
      <c r="BP533" s="69" t="inlineStr">
        <is>
          <t>TriMont Real Estate Advisors</t>
        </is>
      </c>
      <c r="BQ533" s="69" t="inlineStr">
        <is>
          <t>K-Star Asset Management LLC</t>
        </is>
      </c>
      <c r="BR533" s="69" t="n"/>
      <c r="BS533" s="73" t="n">
        <v>46276</v>
      </c>
      <c r="BU533" s="76">
        <f>IF($C533="","",IFERROR(INDEX(dmName,MATCH($C533,dmID,0)),"Unmapped"))</f>
        <v/>
      </c>
      <c r="BV533" s="76">
        <f>IF($C533="","",IFERROR(INDEX(dmEntity,MATCH($C533,dmID,0)),"Unmapped"))</f>
        <v/>
      </c>
      <c r="BW533" s="77">
        <f>IF($C533="","",IFERROR(INDEX(dmVintage,MATCH($C533,dmID,0)),""))</f>
        <v/>
      </c>
      <c r="BX533" s="78">
        <f>IFERROR(INDEX(dmInclude,MATCH($C533,dmID,0)),0)</f>
        <v/>
      </c>
      <c r="BY533" s="78">
        <f>IF(N($I533)&gt;0,1,0)</f>
        <v/>
      </c>
      <c r="BZ533" s="76">
        <f>IF($AJ533="","Other / Leased Fee",IFERROR(INDEX(mapPTGroup,MATCH(LEFT(TRIM($AJ533),2),mapPTCode,0)),"Other / Leased Fee"))</f>
        <v/>
      </c>
      <c r="CA533" s="76">
        <f>IF(TRIM($AF533&amp;"")="","NR",LEFT(TRIM($AF533),2))</f>
        <v/>
      </c>
      <c r="CB533" s="76">
        <f>IFERROR(LOOKUP(2,1/(LEFT(TRIM($AI533&amp;""),LEN(mapRegion))=mapRegion),mapRegion),"Not Reported")</f>
        <v/>
      </c>
      <c r="CC533" s="76">
        <f>IF($BY533=0,"",IF(TRIM($W533&amp;"")="REO","REO",IF(TRIM($W533&amp;"")="FC","Foreclosure",IF(TRIM($W533&amp;"")="90+","90+ Days Delinquent",IF(TRIM($W533&amp;"")="60","60 Days Delinquent",IF(TRIM($W533&amp;"")="30","30 Days Delinquent",IF($X533="Non-Performing Matured Balloon","Non-Performing Matured Balloon",IF(OR($X533="Late Payment But Less Than 30 Days Delinquent",LEFT($X533&amp;"",20)="Payment Not Received"),"Late / In Grace (&lt;30 Days)",IF($X533="Performing Matured Balloon","Performing Matured Balloon","Current")))))))))</f>
        <v/>
      </c>
      <c r="CD533" s="78">
        <f>IF(OR($CC533="REO",$CC533="Foreclosure",$CC533="90+ Days Delinquent",$CC533="60 Days Delinquent",$CC533="30 Days Delinquent",$CC533="Non-Performing Matured Balloon"),1,0)</f>
        <v/>
      </c>
      <c r="CE533" s="76">
        <f>IF($AB533="Currently special serv","Currently Specially Serviced",IF($AB533="Returned to master serv","Previously Specially Serviced","Never Specially Serviced"))</f>
        <v/>
      </c>
      <c r="CF533" s="78">
        <f>IF($CE533="Currently Specially Serviced",1,0)</f>
        <v/>
      </c>
      <c r="CG533" s="76">
        <f>IF($AA533="Yes","Currently on Watchlist",IF($AA533="Previously","Previously on Watchlist","Never on Watchlist"))</f>
        <v/>
      </c>
      <c r="CH533" s="78">
        <f>IF($CG533="Currently on Watchlist",1,0)</f>
        <v/>
      </c>
      <c r="CI533" s="76">
        <f>IF($Z533="Full Defeasance","Fully Defeased",IF($Z533="Portion Of Loan Previously Defeased","Partially Defeased",IF($Z533="Defeasance Not Allowable","Not Defeased (Not Permitted)","Not Defeased")))</f>
        <v/>
      </c>
      <c r="CJ533" s="78">
        <f>IF($CI533="Fully Defeased",1,0)</f>
        <v/>
      </c>
      <c r="CK533" s="76">
        <f>IF($R533="IO","Full IO",IF(LEFT($R533&amp;"",7)="IO then","Partial IO","Amortizing"))</f>
        <v/>
      </c>
      <c r="CL533" s="78">
        <f>IF($CK533="Full IO",1,0)</f>
        <v/>
      </c>
      <c r="CM533" s="78">
        <f>IF($CK533="Partial IO",1,0)</f>
        <v/>
      </c>
      <c r="CN533" s="76">
        <f>IF(LEFT($F533&amp;"",10)="SPLIT_LOAN","Pari Passu Split","Standalone")</f>
        <v/>
      </c>
      <c r="CO533" s="78">
        <f>IF($CN533="Pari Passu Split",1,0)</f>
        <v/>
      </c>
      <c r="CP533" s="77">
        <f>IF(ISNUMBER($T533),YEAR($T533),"")</f>
        <v/>
      </c>
      <c r="CQ533" s="79">
        <f>IF(ISNUMBER($V533),$V533,IF(ISNUMBER($U533),$U533,""))</f>
        <v/>
      </c>
      <c r="CR533" s="77">
        <f>IF(ISNUMBER($CQ533),YEAR($CQ533),"")</f>
        <v/>
      </c>
      <c r="CS533" s="78">
        <f>IF(ISNUMBER($M533),MAX(0,$M533),IF(TRIM($M533&amp;"")="matured",0,""))</f>
        <v/>
      </c>
      <c r="CT533" s="78">
        <f>IF(AND(ISNUMBER($CS533),N($CS533)&lt;=mMatWindow),1,0)</f>
        <v/>
      </c>
      <c r="CU533" s="80">
        <f>IF(ISNUMBER($J533),$J533/100,"")</f>
        <v/>
      </c>
      <c r="CV533" s="81">
        <f>IF(ISNUMBER($AQ533),$AQ533,"")</f>
        <v/>
      </c>
      <c r="CW533" s="81">
        <f>IF(ISNUMBER($AR533),$AR533,"")</f>
        <v/>
      </c>
      <c r="CX533" s="82">
        <f>IF(ISNUMBER($AS533),$AS533/100,"")</f>
        <v/>
      </c>
      <c r="CY533" s="82">
        <f>IF(ISNUMBER($AT533),$AT533/100,"")</f>
        <v/>
      </c>
      <c r="CZ533" s="82">
        <f>IF(ISNUMBER($AU533),$AU533/100,"")</f>
        <v/>
      </c>
      <c r="DA533" s="82">
        <f>IF(ISNUMBER($AV533),$AV533/100,"")</f>
        <v/>
      </c>
      <c r="DB533" s="82">
        <f>IF(ISNUMBER($AW533),$AW533/100,"")</f>
        <v/>
      </c>
      <c r="DC533" s="82">
        <f>IF(ISNUMBER($AX533),$AX533/100,"")</f>
        <v/>
      </c>
      <c r="DD533" s="77">
        <f>IFERROR(VALUE(LEFT(TRIM($AO533&amp;""),4)),"")</f>
        <v/>
      </c>
      <c r="DE533" s="78">
        <f>IF(AND($BY533=1,$BX533=1,OR(fDeal="All Deals",$BU533=fDeal),OR(fEntity="All Entities",$BV533=fEntity),OR(fPType="All Property Types",$BZ533=fPType),OR(fDefeased="Include",$CJ533=0)),1,0)</f>
        <v/>
      </c>
      <c r="DF533" s="83">
        <f>$DE533*N($I533)</f>
        <v/>
      </c>
      <c r="DG533" s="78">
        <f>IF($DE533=1,IF(COUNTIFS($F$8:$F533,$F533,$DE$8:$DE533,1)=1,1,0),0)</f>
        <v/>
      </c>
      <c r="DH533" s="83">
        <f>IF($DG533=1,SUMIFS($DF$8:$DF$1600,$F$8:$F$1600,$F533),0)</f>
        <v/>
      </c>
      <c r="DI533" s="78">
        <f>IF($DG533=1,COUNTIFS($F$8:$F$1600,$F533,$DE$8:$DE$1600,1),0)</f>
        <v/>
      </c>
      <c r="DJ533" s="84">
        <f>IF($DG533=1,$DH533+(100000-ROW())/mTieBreak,0)</f>
        <v/>
      </c>
    </row>
    <row r="534">
      <c r="B534" s="68" t="n">
        <v>11</v>
      </c>
      <c r="C534" s="69" t="inlineStr">
        <is>
          <t>WFC19C49</t>
        </is>
      </c>
      <c r="D534" s="69" t="inlineStr">
        <is>
          <t>11.000</t>
        </is>
      </c>
      <c r="E534" s="69" t="inlineStr">
        <is>
          <t>Merge Office</t>
        </is>
      </c>
      <c r="F534" s="69" t="inlineStr">
        <is>
          <t>LNWFC19C49-11.000</t>
        </is>
      </c>
      <c r="G534" s="70" t="n"/>
      <c r="H534" s="71" t="n">
        <v>17662500</v>
      </c>
      <c r="I534" s="71" t="n">
        <v>15374909.23999638</v>
      </c>
      <c r="J534" s="72" t="n">
        <v>4.93</v>
      </c>
      <c r="K534" s="69" t="inlineStr">
        <is>
          <t>Fixed rate</t>
        </is>
      </c>
      <c r="L534" s="68" t="n">
        <v>120</v>
      </c>
      <c r="M534" s="68" t="n">
        <v>28</v>
      </c>
      <c r="N534" s="68" t="n">
        <v>360</v>
      </c>
      <c r="O534" s="68" t="n"/>
      <c r="P534" s="68" t="n"/>
      <c r="Q534" s="68" t="n">
        <v>92</v>
      </c>
      <c r="R534" s="69" t="n"/>
      <c r="S534" s="69" t="inlineStr">
        <is>
          <t>No</t>
        </is>
      </c>
      <c r="T534" s="73" t="n">
        <v>43466</v>
      </c>
      <c r="U534" s="73" t="n">
        <v>47129</v>
      </c>
      <c r="V534" s="73" t="n"/>
      <c r="W534" s="69" t="inlineStr">
        <is>
          <t>90+</t>
        </is>
      </c>
      <c r="X534" s="69" t="inlineStr">
        <is>
          <t>121+ Days Delinquent</t>
        </is>
      </c>
      <c r="Y534" s="68" t="n">
        <v>7</v>
      </c>
      <c r="Z534" s="69" t="inlineStr">
        <is>
          <t>No Defeasance Occurred</t>
        </is>
      </c>
      <c r="AA534" s="69" t="inlineStr">
        <is>
          <t>Previously</t>
        </is>
      </c>
      <c r="AB534" s="69" t="inlineStr">
        <is>
          <t>Currently special serv</t>
        </is>
      </c>
      <c r="AC534" s="73" t="n">
        <v>45924</v>
      </c>
      <c r="AD534" s="69" t="inlineStr">
        <is>
          <t>Payment Default (all payments excluding Balloon/Maturity Payment)</t>
        </is>
      </c>
      <c r="AE534" s="69" t="inlineStr">
        <is>
          <t>Foreclosure</t>
        </is>
      </c>
      <c r="AF534" s="69" t="inlineStr">
        <is>
          <t>CA</t>
        </is>
      </c>
      <c r="AG534" s="69" t="inlineStr">
        <is>
          <t>Westminster</t>
        </is>
      </c>
      <c r="AH534" s="69" t="inlineStr">
        <is>
          <t>Los Angeles-Long Beach-Anaheim, CA</t>
        </is>
      </c>
      <c r="AI534" s="69" t="inlineStr">
        <is>
          <t>West / Pacific South</t>
        </is>
      </c>
      <c r="AJ534" s="69" t="inlineStr">
        <is>
          <t>OF</t>
        </is>
      </c>
      <c r="AK534" s="69" t="inlineStr">
        <is>
          <t>Suburban</t>
        </is>
      </c>
      <c r="AL534" s="68" t="n">
        <v>1</v>
      </c>
      <c r="AM534" s="68" t="n"/>
      <c r="AN534" s="68" t="n">
        <v>129655</v>
      </c>
      <c r="AO534" s="69" t="inlineStr">
        <is>
          <t>1981</t>
        </is>
      </c>
      <c r="AP534" s="70" t="n">
        <v>2017</v>
      </c>
      <c r="AQ534" s="74" t="n">
        <v>1.67</v>
      </c>
      <c r="AR534" s="74" t="n">
        <v>1.33</v>
      </c>
      <c r="AS534" s="74" t="n">
        <v>63.6</v>
      </c>
      <c r="AT534" s="74" t="n">
        <v>93.75</v>
      </c>
      <c r="AU534" s="74" t="n">
        <v>52.3</v>
      </c>
      <c r="AV534" s="74" t="n">
        <v>10.697130474</v>
      </c>
      <c r="AW534" s="74" t="n">
        <v>9.778239706000001</v>
      </c>
      <c r="AX534" s="75" t="n">
        <v>64</v>
      </c>
      <c r="AY534" s="71" t="n">
        <v>27700000</v>
      </c>
      <c r="AZ534" s="71" t="n">
        <v>16400000</v>
      </c>
      <c r="BA534" s="71" t="n">
        <v>1889380.67</v>
      </c>
      <c r="BB534" s="71" t="n">
        <v>747901.54</v>
      </c>
      <c r="BC534" s="69" t="inlineStr">
        <is>
          <t>Acquisition</t>
        </is>
      </c>
      <c r="BD534" s="69" t="inlineStr">
        <is>
          <t>N</t>
        </is>
      </c>
      <c r="BE534" s="71" t="n"/>
      <c r="BF534" s="71" t="n"/>
      <c r="BG534" s="71" t="n"/>
      <c r="BH534" s="71" t="n">
        <v>1379933.6</v>
      </c>
      <c r="BI534" s="71" t="n">
        <v>711950.28</v>
      </c>
      <c r="BJ534" s="69" t="inlineStr">
        <is>
          <t>N</t>
        </is>
      </c>
      <c r="BK534" s="69" t="inlineStr">
        <is>
          <t>ZIM AMERICAN INTERGRATED SHIPPING SERVICES COMPANY</t>
        </is>
      </c>
      <c r="BL534" s="75" t="n">
        <v>8.99</v>
      </c>
      <c r="BM534" s="73" t="n">
        <v>46660</v>
      </c>
      <c r="BN534" s="69" t="inlineStr">
        <is>
          <t>Zaya S. Younan</t>
        </is>
      </c>
      <c r="BO534" s="69" t="inlineStr">
        <is>
          <t>Wells Fargo</t>
        </is>
      </c>
      <c r="BP534" s="69" t="inlineStr">
        <is>
          <t>TriMont Real Estate Advisors</t>
        </is>
      </c>
      <c r="BQ534" s="69" t="inlineStr">
        <is>
          <t>K-Star Asset Management LLC</t>
        </is>
      </c>
      <c r="BR534" s="69" t="n"/>
      <c r="BS534" s="73" t="n">
        <v>46276</v>
      </c>
      <c r="BU534" s="76">
        <f>IF($C534="","",IFERROR(INDEX(dmName,MATCH($C534,dmID,0)),"Unmapped"))</f>
        <v/>
      </c>
      <c r="BV534" s="76">
        <f>IF($C534="","",IFERROR(INDEX(dmEntity,MATCH($C534,dmID,0)),"Unmapped"))</f>
        <v/>
      </c>
      <c r="BW534" s="77">
        <f>IF($C534="","",IFERROR(INDEX(dmVintage,MATCH($C534,dmID,0)),""))</f>
        <v/>
      </c>
      <c r="BX534" s="78">
        <f>IFERROR(INDEX(dmInclude,MATCH($C534,dmID,0)),0)</f>
        <v/>
      </c>
      <c r="BY534" s="78">
        <f>IF(N($I534)&gt;0,1,0)</f>
        <v/>
      </c>
      <c r="BZ534" s="76">
        <f>IF($AJ534="","Other / Leased Fee",IFERROR(INDEX(mapPTGroup,MATCH(LEFT(TRIM($AJ534),2),mapPTCode,0)),"Other / Leased Fee"))</f>
        <v/>
      </c>
      <c r="CA534" s="76">
        <f>IF(TRIM($AF534&amp;"")="","NR",LEFT(TRIM($AF534),2))</f>
        <v/>
      </c>
      <c r="CB534" s="76">
        <f>IFERROR(LOOKUP(2,1/(LEFT(TRIM($AI534&amp;""),LEN(mapRegion))=mapRegion),mapRegion),"Not Reported")</f>
        <v/>
      </c>
      <c r="CC534" s="76">
        <f>IF($BY534=0,"",IF(TRIM($W534&amp;"")="REO","REO",IF(TRIM($W534&amp;"")="FC","Foreclosure",IF(TRIM($W534&amp;"")="90+","90+ Days Delinquent",IF(TRIM($W534&amp;"")="60","60 Days Delinquent",IF(TRIM($W534&amp;"")="30","30 Days Delinquent",IF($X534="Non-Performing Matured Balloon","Non-Performing Matured Balloon",IF(OR($X534="Late Payment But Less Than 30 Days Delinquent",LEFT($X534&amp;"",20)="Payment Not Received"),"Late / In Grace (&lt;30 Days)",IF($X534="Performing Matured Balloon","Performing Matured Balloon","Current")))))))))</f>
        <v/>
      </c>
      <c r="CD534" s="78">
        <f>IF(OR($CC534="REO",$CC534="Foreclosure",$CC534="90+ Days Delinquent",$CC534="60 Days Delinquent",$CC534="30 Days Delinquent",$CC534="Non-Performing Matured Balloon"),1,0)</f>
        <v/>
      </c>
      <c r="CE534" s="76">
        <f>IF($AB534="Currently special serv","Currently Specially Serviced",IF($AB534="Returned to master serv","Previously Specially Serviced","Never Specially Serviced"))</f>
        <v/>
      </c>
      <c r="CF534" s="78">
        <f>IF($CE534="Currently Specially Serviced",1,0)</f>
        <v/>
      </c>
      <c r="CG534" s="76">
        <f>IF($AA534="Yes","Currently on Watchlist",IF($AA534="Previously","Previously on Watchlist","Never on Watchlist"))</f>
        <v/>
      </c>
      <c r="CH534" s="78">
        <f>IF($CG534="Currently on Watchlist",1,0)</f>
        <v/>
      </c>
      <c r="CI534" s="76">
        <f>IF($Z534="Full Defeasance","Fully Defeased",IF($Z534="Portion Of Loan Previously Defeased","Partially Defeased",IF($Z534="Defeasance Not Allowable","Not Defeased (Not Permitted)","Not Defeased")))</f>
        <v/>
      </c>
      <c r="CJ534" s="78">
        <f>IF($CI534="Fully Defeased",1,0)</f>
        <v/>
      </c>
      <c r="CK534" s="76">
        <f>IF($R534="IO","Full IO",IF(LEFT($R534&amp;"",7)="IO then","Partial IO","Amortizing"))</f>
        <v/>
      </c>
      <c r="CL534" s="78">
        <f>IF($CK534="Full IO",1,0)</f>
        <v/>
      </c>
      <c r="CM534" s="78">
        <f>IF($CK534="Partial IO",1,0)</f>
        <v/>
      </c>
      <c r="CN534" s="76">
        <f>IF(LEFT($F534&amp;"",10)="SPLIT_LOAN","Pari Passu Split","Standalone")</f>
        <v/>
      </c>
      <c r="CO534" s="78">
        <f>IF($CN534="Pari Passu Split",1,0)</f>
        <v/>
      </c>
      <c r="CP534" s="77">
        <f>IF(ISNUMBER($T534),YEAR($T534),"")</f>
        <v/>
      </c>
      <c r="CQ534" s="79">
        <f>IF(ISNUMBER($V534),$V534,IF(ISNUMBER($U534),$U534,""))</f>
        <v/>
      </c>
      <c r="CR534" s="77">
        <f>IF(ISNUMBER($CQ534),YEAR($CQ534),"")</f>
        <v/>
      </c>
      <c r="CS534" s="78">
        <f>IF(ISNUMBER($M534),MAX(0,$M534),IF(TRIM($M534&amp;"")="matured",0,""))</f>
        <v/>
      </c>
      <c r="CT534" s="78">
        <f>IF(AND(ISNUMBER($CS534),N($CS534)&lt;=mMatWindow),1,0)</f>
        <v/>
      </c>
      <c r="CU534" s="80">
        <f>IF(ISNUMBER($J534),$J534/100,"")</f>
        <v/>
      </c>
      <c r="CV534" s="81">
        <f>IF(ISNUMBER($AQ534),$AQ534,"")</f>
        <v/>
      </c>
      <c r="CW534" s="81">
        <f>IF(ISNUMBER($AR534),$AR534,"")</f>
        <v/>
      </c>
      <c r="CX534" s="82">
        <f>IF(ISNUMBER($AS534),$AS534/100,"")</f>
        <v/>
      </c>
      <c r="CY534" s="82">
        <f>IF(ISNUMBER($AT534),$AT534/100,"")</f>
        <v/>
      </c>
      <c r="CZ534" s="82">
        <f>IF(ISNUMBER($AU534),$AU534/100,"")</f>
        <v/>
      </c>
      <c r="DA534" s="82">
        <f>IF(ISNUMBER($AV534),$AV534/100,"")</f>
        <v/>
      </c>
      <c r="DB534" s="82">
        <f>IF(ISNUMBER($AW534),$AW534/100,"")</f>
        <v/>
      </c>
      <c r="DC534" s="82">
        <f>IF(ISNUMBER($AX534),$AX534/100,"")</f>
        <v/>
      </c>
      <c r="DD534" s="77">
        <f>IFERROR(VALUE(LEFT(TRIM($AO534&amp;""),4)),"")</f>
        <v/>
      </c>
      <c r="DE534" s="78">
        <f>IF(AND($BY534=1,$BX534=1,OR(fDeal="All Deals",$BU534=fDeal),OR(fEntity="All Entities",$BV534=fEntity),OR(fPType="All Property Types",$BZ534=fPType),OR(fDefeased="Include",$CJ534=0)),1,0)</f>
        <v/>
      </c>
      <c r="DF534" s="83">
        <f>$DE534*N($I534)</f>
        <v/>
      </c>
      <c r="DG534" s="78">
        <f>IF($DE534=1,IF(COUNTIFS($F$8:$F534,$F534,$DE$8:$DE534,1)=1,1,0),0)</f>
        <v/>
      </c>
      <c r="DH534" s="83">
        <f>IF($DG534=1,SUMIFS($DF$8:$DF$1600,$F$8:$F$1600,$F534),0)</f>
        <v/>
      </c>
      <c r="DI534" s="78">
        <f>IF($DG534=1,COUNTIFS($F$8:$F$1600,$F534,$DE$8:$DE$1600,1),0)</f>
        <v/>
      </c>
      <c r="DJ534" s="84">
        <f>IF($DG534=1,$DH534+(100000-ROW())/mTieBreak,0)</f>
        <v/>
      </c>
    </row>
    <row r="535">
      <c r="B535" s="68" t="n">
        <v>12</v>
      </c>
      <c r="C535" s="69" t="inlineStr">
        <is>
          <t>WFC19C49</t>
        </is>
      </c>
      <c r="D535" s="69" t="inlineStr">
        <is>
          <t>12.000</t>
        </is>
      </c>
      <c r="E535" s="69" t="inlineStr">
        <is>
          <t>DoubleTree Leominster</t>
        </is>
      </c>
      <c r="F535" s="69" t="inlineStr">
        <is>
          <t>LNWFC19C49-12.000</t>
        </is>
      </c>
      <c r="G535" s="70" t="n"/>
      <c r="H535" s="71" t="n">
        <v>16000000</v>
      </c>
      <c r="I535" s="71" t="n">
        <v>0</v>
      </c>
      <c r="J535" s="72" t="n">
        <v>5.26</v>
      </c>
      <c r="K535" s="69" t="inlineStr">
        <is>
          <t>Fixed rate</t>
        </is>
      </c>
      <c r="L535" s="68" t="n">
        <v>120</v>
      </c>
      <c r="M535" s="68" t="n"/>
      <c r="N535" s="68" t="n">
        <v>360</v>
      </c>
      <c r="O535" s="68" t="n"/>
      <c r="P535" s="68" t="n"/>
      <c r="Q535" s="68" t="n"/>
      <c r="R535" s="69" t="n"/>
      <c r="S535" s="69" t="inlineStr">
        <is>
          <t>No</t>
        </is>
      </c>
      <c r="T535" s="73" t="n">
        <v>43435</v>
      </c>
      <c r="U535" s="73" t="n">
        <v>47098</v>
      </c>
      <c r="V535" s="73" t="n"/>
      <c r="W535" s="69" t="n"/>
      <c r="X535" s="69" t="inlineStr">
        <is>
          <t>Current</t>
        </is>
      </c>
      <c r="Y535" s="68" t="n"/>
      <c r="Z535" s="69" t="inlineStr">
        <is>
          <t>Defeasance Not Allowable</t>
        </is>
      </c>
      <c r="AA535" s="69" t="inlineStr">
        <is>
          <t>Previously</t>
        </is>
      </c>
      <c r="AB535" s="69" t="inlineStr">
        <is>
          <t>Never special serv</t>
        </is>
      </c>
      <c r="AC535" s="73" t="n"/>
      <c r="AD535" s="69" t="n"/>
      <c r="AE535" s="69" t="n"/>
      <c r="AF535" s="69" t="inlineStr">
        <is>
          <t>MA</t>
        </is>
      </c>
      <c r="AG535" s="69" t="inlineStr">
        <is>
          <t>Leominster</t>
        </is>
      </c>
      <c r="AH535" s="69" t="inlineStr">
        <is>
          <t>Worcester, MA</t>
        </is>
      </c>
      <c r="AI535" s="69" t="inlineStr">
        <is>
          <t>Northeast / New England</t>
        </is>
      </c>
      <c r="AJ535" s="69" t="inlineStr">
        <is>
          <t>HT</t>
        </is>
      </c>
      <c r="AK535" s="69" t="inlineStr">
        <is>
          <t>Full Service</t>
        </is>
      </c>
      <c r="AL535" s="68" t="n">
        <v>1</v>
      </c>
      <c r="AM535" s="68" t="n">
        <v>187</v>
      </c>
      <c r="AN535" s="68" t="n"/>
      <c r="AO535" s="69" t="inlineStr">
        <is>
          <t>1988</t>
        </is>
      </c>
      <c r="AP535" s="70" t="n">
        <v>2017</v>
      </c>
      <c r="AQ535" s="74" t="n">
        <v>2.09</v>
      </c>
      <c r="AR535" s="74" t="n">
        <v>2.77</v>
      </c>
      <c r="AS535" s="74" t="n">
        <v>64.59999999999999</v>
      </c>
      <c r="AT535" s="74" t="n"/>
      <c r="AU535" s="74" t="n">
        <v>53.7</v>
      </c>
      <c r="AV535" s="74" t="n">
        <v>13.88888325</v>
      </c>
      <c r="AW535" s="74" t="n"/>
      <c r="AX535" s="75" t="n">
        <v>72.3</v>
      </c>
      <c r="AY535" s="71" t="n">
        <v>24700000</v>
      </c>
      <c r="AZ535" s="71" t="n">
        <v>24700000</v>
      </c>
      <c r="BA535" s="71" t="n">
        <v>2222221.32</v>
      </c>
      <c r="BB535" s="71" t="n">
        <v>1467666</v>
      </c>
      <c r="BC535" s="69" t="inlineStr">
        <is>
          <t>Refinance</t>
        </is>
      </c>
      <c r="BD535" s="69" t="inlineStr">
        <is>
          <t>N</t>
        </is>
      </c>
      <c r="BE535" s="71" t="n"/>
      <c r="BF535" s="71" t="n"/>
      <c r="BG535" s="71" t="n"/>
      <c r="BH535" s="71" t="n">
        <v>0</v>
      </c>
      <c r="BI535" s="71" t="n">
        <v>0</v>
      </c>
      <c r="BJ535" s="69" t="inlineStr">
        <is>
          <t>Y</t>
        </is>
      </c>
      <c r="BK535" s="69" t="n"/>
      <c r="BL535" s="75" t="n"/>
      <c r="BM535" s="73" t="n"/>
      <c r="BN535" s="69" t="inlineStr">
        <is>
          <t>Fatema Shikary; James Gerish; Kris Gerish</t>
        </is>
      </c>
      <c r="BO535" s="69" t="inlineStr">
        <is>
          <t>Wells Fargo</t>
        </is>
      </c>
      <c r="BP535" s="69" t="inlineStr">
        <is>
          <t>TriMont Real Estate Advisors</t>
        </is>
      </c>
      <c r="BQ535" s="69" t="inlineStr">
        <is>
          <t>K-Star Asset Management LLC</t>
        </is>
      </c>
      <c r="BR535" s="69" t="inlineStr">
        <is>
          <t>Payoff With Yield Maintenance</t>
        </is>
      </c>
      <c r="BS535" s="73" t="n">
        <v>45944</v>
      </c>
      <c r="BU535" s="76">
        <f>IF($C535="","",IFERROR(INDEX(dmName,MATCH($C535,dmID,0)),"Unmapped"))</f>
        <v/>
      </c>
      <c r="BV535" s="76">
        <f>IF($C535="","",IFERROR(INDEX(dmEntity,MATCH($C535,dmID,0)),"Unmapped"))</f>
        <v/>
      </c>
      <c r="BW535" s="77">
        <f>IF($C535="","",IFERROR(INDEX(dmVintage,MATCH($C535,dmID,0)),""))</f>
        <v/>
      </c>
      <c r="BX535" s="78">
        <f>IFERROR(INDEX(dmInclude,MATCH($C535,dmID,0)),0)</f>
        <v/>
      </c>
      <c r="BY535" s="78">
        <f>IF(N($I535)&gt;0,1,0)</f>
        <v/>
      </c>
      <c r="BZ535" s="76">
        <f>IF($AJ535="","Other / Leased Fee",IFERROR(INDEX(mapPTGroup,MATCH(LEFT(TRIM($AJ535),2),mapPTCode,0)),"Other / Leased Fee"))</f>
        <v/>
      </c>
      <c r="CA535" s="76">
        <f>IF(TRIM($AF535&amp;"")="","NR",LEFT(TRIM($AF535),2))</f>
        <v/>
      </c>
      <c r="CB535" s="76">
        <f>IFERROR(LOOKUP(2,1/(LEFT(TRIM($AI535&amp;""),LEN(mapRegion))=mapRegion),mapRegion),"Not Reported")</f>
        <v/>
      </c>
      <c r="CC535" s="76">
        <f>IF($BY535=0,"",IF(TRIM($W535&amp;"")="REO","REO",IF(TRIM($W535&amp;"")="FC","Foreclosure",IF(TRIM($W535&amp;"")="90+","90+ Days Delinquent",IF(TRIM($W535&amp;"")="60","60 Days Delinquent",IF(TRIM($W535&amp;"")="30","30 Days Delinquent",IF($X535="Non-Performing Matured Balloon","Non-Performing Matured Balloon",IF(OR($X535="Late Payment But Less Than 30 Days Delinquent",LEFT($X535&amp;"",20)="Payment Not Received"),"Late / In Grace (&lt;30 Days)",IF($X535="Performing Matured Balloon","Performing Matured Balloon","Current")))))))))</f>
        <v/>
      </c>
      <c r="CD535" s="78">
        <f>IF(OR($CC535="REO",$CC535="Foreclosure",$CC535="90+ Days Delinquent",$CC535="60 Days Delinquent",$CC535="30 Days Delinquent",$CC535="Non-Performing Matured Balloon"),1,0)</f>
        <v/>
      </c>
      <c r="CE535" s="76">
        <f>IF($AB535="Currently special serv","Currently Specially Serviced",IF($AB535="Returned to master serv","Previously Specially Serviced","Never Specially Serviced"))</f>
        <v/>
      </c>
      <c r="CF535" s="78">
        <f>IF($CE535="Currently Specially Serviced",1,0)</f>
        <v/>
      </c>
      <c r="CG535" s="76">
        <f>IF($AA535="Yes","Currently on Watchlist",IF($AA535="Previously","Previously on Watchlist","Never on Watchlist"))</f>
        <v/>
      </c>
      <c r="CH535" s="78">
        <f>IF($CG535="Currently on Watchlist",1,0)</f>
        <v/>
      </c>
      <c r="CI535" s="76">
        <f>IF($Z535="Full Defeasance","Fully Defeased",IF($Z535="Portion Of Loan Previously Defeased","Partially Defeased",IF($Z535="Defeasance Not Allowable","Not Defeased (Not Permitted)","Not Defeased")))</f>
        <v/>
      </c>
      <c r="CJ535" s="78">
        <f>IF($CI535="Fully Defeased",1,0)</f>
        <v/>
      </c>
      <c r="CK535" s="76">
        <f>IF($R535="IO","Full IO",IF(LEFT($R535&amp;"",7)="IO then","Partial IO","Amortizing"))</f>
        <v/>
      </c>
      <c r="CL535" s="78">
        <f>IF($CK535="Full IO",1,0)</f>
        <v/>
      </c>
      <c r="CM535" s="78">
        <f>IF($CK535="Partial IO",1,0)</f>
        <v/>
      </c>
      <c r="CN535" s="76">
        <f>IF(LEFT($F535&amp;"",10)="SPLIT_LOAN","Pari Passu Split","Standalone")</f>
        <v/>
      </c>
      <c r="CO535" s="78">
        <f>IF($CN535="Pari Passu Split",1,0)</f>
        <v/>
      </c>
      <c r="CP535" s="77">
        <f>IF(ISNUMBER($T535),YEAR($T535),"")</f>
        <v/>
      </c>
      <c r="CQ535" s="79">
        <f>IF(ISNUMBER($V535),$V535,IF(ISNUMBER($U535),$U535,""))</f>
        <v/>
      </c>
      <c r="CR535" s="77">
        <f>IF(ISNUMBER($CQ535),YEAR($CQ535),"")</f>
        <v/>
      </c>
      <c r="CS535" s="78">
        <f>IF(ISNUMBER($M535),MAX(0,$M535),IF(TRIM($M535&amp;"")="matured",0,""))</f>
        <v/>
      </c>
      <c r="CT535" s="78">
        <f>IF(AND(ISNUMBER($CS535),N($CS535)&lt;=mMatWindow),1,0)</f>
        <v/>
      </c>
      <c r="CU535" s="80">
        <f>IF(ISNUMBER($J535),$J535/100,"")</f>
        <v/>
      </c>
      <c r="CV535" s="81">
        <f>IF(ISNUMBER($AQ535),$AQ535,"")</f>
        <v/>
      </c>
      <c r="CW535" s="81">
        <f>IF(ISNUMBER($AR535),$AR535,"")</f>
        <v/>
      </c>
      <c r="CX535" s="82">
        <f>IF(ISNUMBER($AS535),$AS535/100,"")</f>
        <v/>
      </c>
      <c r="CY535" s="82">
        <f>IF(ISNUMBER($AT535),$AT535/100,"")</f>
        <v/>
      </c>
      <c r="CZ535" s="82">
        <f>IF(ISNUMBER($AU535),$AU535/100,"")</f>
        <v/>
      </c>
      <c r="DA535" s="82">
        <f>IF(ISNUMBER($AV535),$AV535/100,"")</f>
        <v/>
      </c>
      <c r="DB535" s="82">
        <f>IF(ISNUMBER($AW535),$AW535/100,"")</f>
        <v/>
      </c>
      <c r="DC535" s="82">
        <f>IF(ISNUMBER($AX535),$AX535/100,"")</f>
        <v/>
      </c>
      <c r="DD535" s="77">
        <f>IFERROR(VALUE(LEFT(TRIM($AO535&amp;""),4)),"")</f>
        <v/>
      </c>
      <c r="DE535" s="78">
        <f>IF(AND($BY535=1,$BX535=1,OR(fDeal="All Deals",$BU535=fDeal),OR(fEntity="All Entities",$BV535=fEntity),OR(fPType="All Property Types",$BZ535=fPType),OR(fDefeased="Include",$CJ535=0)),1,0)</f>
        <v/>
      </c>
      <c r="DF535" s="83">
        <f>$DE535*N($I535)</f>
        <v/>
      </c>
      <c r="DG535" s="78">
        <f>IF($DE535=1,IF(COUNTIFS($F$8:$F535,$F535,$DE$8:$DE535,1)=1,1,0),0)</f>
        <v/>
      </c>
      <c r="DH535" s="83">
        <f>IF($DG535=1,SUMIFS($DF$8:$DF$1600,$F$8:$F$1600,$F535),0)</f>
        <v/>
      </c>
      <c r="DI535" s="78">
        <f>IF($DG535=1,COUNTIFS($F$8:$F$1600,$F535,$DE$8:$DE$1600,1),0)</f>
        <v/>
      </c>
      <c r="DJ535" s="84">
        <f>IF($DG535=1,$DH535+(100000-ROW())/mTieBreak,0)</f>
        <v/>
      </c>
    </row>
    <row r="536">
      <c r="B536" s="68" t="n">
        <v>13</v>
      </c>
      <c r="C536" s="69" t="inlineStr">
        <is>
          <t>WFC19C49</t>
        </is>
      </c>
      <c r="D536" s="69" t="inlineStr">
        <is>
          <t>13.000</t>
        </is>
      </c>
      <c r="E536" s="69" t="inlineStr">
        <is>
          <t>Dominion Tower</t>
        </is>
      </c>
      <c r="F536" s="69" t="inlineStr">
        <is>
          <t>SPLIT_LOAN_01480</t>
        </is>
      </c>
      <c r="G536" s="70" t="n">
        <v>1480</v>
      </c>
      <c r="H536" s="71" t="n">
        <v>15350000</v>
      </c>
      <c r="I536" s="71" t="n">
        <v>14301576.30000065</v>
      </c>
      <c r="J536" s="72" t="n">
        <v>5.29</v>
      </c>
      <c r="K536" s="69" t="inlineStr">
        <is>
          <t>Fixed rate</t>
        </is>
      </c>
      <c r="L536" s="68" t="n">
        <v>120</v>
      </c>
      <c r="M536" s="68" t="n">
        <v>28</v>
      </c>
      <c r="N536" s="68" t="n">
        <v>396</v>
      </c>
      <c r="O536" s="68" t="n">
        <v>36</v>
      </c>
      <c r="P536" s="68" t="n">
        <v>0</v>
      </c>
      <c r="Q536" s="68" t="n">
        <v>92</v>
      </c>
      <c r="R536" s="69" t="inlineStr">
        <is>
          <t>IO then Amort</t>
        </is>
      </c>
      <c r="S536" s="69" t="inlineStr">
        <is>
          <t>No</t>
        </is>
      </c>
      <c r="T536" s="73" t="n">
        <v>43466</v>
      </c>
      <c r="U536" s="73" t="n">
        <v>47124</v>
      </c>
      <c r="V536" s="73" t="n"/>
      <c r="W536" s="69" t="n"/>
      <c r="X536" s="69" t="inlineStr">
        <is>
          <t>Current</t>
        </is>
      </c>
      <c r="Y536" s="68" t="n"/>
      <c r="Z536" s="69" t="inlineStr">
        <is>
          <t>No Defeasance Occurred</t>
        </is>
      </c>
      <c r="AA536" s="69" t="inlineStr">
        <is>
          <t>Previously</t>
        </is>
      </c>
      <c r="AB536" s="69" t="inlineStr">
        <is>
          <t>Currently special serv</t>
        </is>
      </c>
      <c r="AC536" s="73" t="n">
        <v>46150</v>
      </c>
      <c r="AD536" s="69" t="inlineStr">
        <is>
          <t>Imminent Non Monetary Default</t>
        </is>
      </c>
      <c r="AE536" s="69" t="inlineStr">
        <is>
          <t>Foreclosure</t>
        </is>
      </c>
      <c r="AF536" s="69" t="inlineStr">
        <is>
          <t>VA</t>
        </is>
      </c>
      <c r="AG536" s="69" t="inlineStr">
        <is>
          <t>Norfolk</t>
        </is>
      </c>
      <c r="AH536" s="69" t="inlineStr">
        <is>
          <t>Virginia Beach-Chesapeake-Norfolk, VA-NC</t>
        </is>
      </c>
      <c r="AI536" s="69" t="inlineStr">
        <is>
          <t>South / Atlantic</t>
        </is>
      </c>
      <c r="AJ536" s="69" t="inlineStr">
        <is>
          <t>OF</t>
        </is>
      </c>
      <c r="AK536" s="69" t="inlineStr">
        <is>
          <t>CBD</t>
        </is>
      </c>
      <c r="AL536" s="68" t="n">
        <v>1</v>
      </c>
      <c r="AM536" s="68" t="n"/>
      <c r="AN536" s="68" t="n">
        <v>403276</v>
      </c>
      <c r="AO536" s="69" t="inlineStr">
        <is>
          <t>1988</t>
        </is>
      </c>
      <c r="AP536" s="70" t="n">
        <v>2018</v>
      </c>
      <c r="AQ536" s="74" t="n">
        <v>1.53</v>
      </c>
      <c r="AR536" s="74" t="n">
        <v>1.37</v>
      </c>
      <c r="AS536" s="74" t="n">
        <v>70.5</v>
      </c>
      <c r="AT536" s="74" t="n">
        <v>65.7</v>
      </c>
      <c r="AU536" s="74" t="n">
        <v>62.8</v>
      </c>
      <c r="AV536" s="74" t="n">
        <v>10.189856675</v>
      </c>
      <c r="AW536" s="74" t="n">
        <v>9.807845410000001</v>
      </c>
      <c r="AX536" s="75" t="n">
        <v>65</v>
      </c>
      <c r="AY536" s="71" t="n">
        <v>87000000</v>
      </c>
      <c r="AZ536" s="71" t="n">
        <v>87000000</v>
      </c>
      <c r="BA536" s="71" t="n">
        <v>6251477.07</v>
      </c>
      <c r="BB536" s="71" t="n">
        <v>5606137</v>
      </c>
      <c r="BC536" s="69" t="inlineStr">
        <is>
          <t>Acquisition</t>
        </is>
      </c>
      <c r="BD536" s="69" t="inlineStr">
        <is>
          <t>N</t>
        </is>
      </c>
      <c r="BE536" s="71" t="n">
        <v>42858143.96</v>
      </c>
      <c r="BF536" s="71" t="n"/>
      <c r="BG536" s="71" t="n"/>
      <c r="BH536" s="71" t="n">
        <v>0</v>
      </c>
      <c r="BI536" s="71" t="n">
        <v>0</v>
      </c>
      <c r="BJ536" s="69" t="inlineStr">
        <is>
          <t>N</t>
        </is>
      </c>
      <c r="BK536" s="69" t="inlineStr">
        <is>
          <t>Caci</t>
        </is>
      </c>
      <c r="BL536" s="75" t="n">
        <v>8.48</v>
      </c>
      <c r="BM536" s="73" t="n">
        <v>46265</v>
      </c>
      <c r="BN536" s="69" t="inlineStr">
        <is>
          <t>Isaac Hertz; William Zev Hertz; Sarah Hertz Gordon</t>
        </is>
      </c>
      <c r="BO536" s="69" t="inlineStr">
        <is>
          <t>Ladder Capital Finance</t>
        </is>
      </c>
      <c r="BP536" s="69" t="inlineStr">
        <is>
          <t>TriMont Real Estate Advisors</t>
        </is>
      </c>
      <c r="BQ536" s="69" t="inlineStr">
        <is>
          <t>K-Star Asset Management LLC</t>
        </is>
      </c>
      <c r="BR536" s="69" t="n"/>
      <c r="BS536" s="73" t="n">
        <v>46276</v>
      </c>
      <c r="BU536" s="76">
        <f>IF($C536="","",IFERROR(INDEX(dmName,MATCH($C536,dmID,0)),"Unmapped"))</f>
        <v/>
      </c>
      <c r="BV536" s="76">
        <f>IF($C536="","",IFERROR(INDEX(dmEntity,MATCH($C536,dmID,0)),"Unmapped"))</f>
        <v/>
      </c>
      <c r="BW536" s="77">
        <f>IF($C536="","",IFERROR(INDEX(dmVintage,MATCH($C536,dmID,0)),""))</f>
        <v/>
      </c>
      <c r="BX536" s="78">
        <f>IFERROR(INDEX(dmInclude,MATCH($C536,dmID,0)),0)</f>
        <v/>
      </c>
      <c r="BY536" s="78">
        <f>IF(N($I536)&gt;0,1,0)</f>
        <v/>
      </c>
      <c r="BZ536" s="76">
        <f>IF($AJ536="","Other / Leased Fee",IFERROR(INDEX(mapPTGroup,MATCH(LEFT(TRIM($AJ536),2),mapPTCode,0)),"Other / Leased Fee"))</f>
        <v/>
      </c>
      <c r="CA536" s="76">
        <f>IF(TRIM($AF536&amp;"")="","NR",LEFT(TRIM($AF536),2))</f>
        <v/>
      </c>
      <c r="CB536" s="76">
        <f>IFERROR(LOOKUP(2,1/(LEFT(TRIM($AI536&amp;""),LEN(mapRegion))=mapRegion),mapRegion),"Not Reported")</f>
        <v/>
      </c>
      <c r="CC536" s="76">
        <f>IF($BY536=0,"",IF(TRIM($W536&amp;"")="REO","REO",IF(TRIM($W536&amp;"")="FC","Foreclosure",IF(TRIM($W536&amp;"")="90+","90+ Days Delinquent",IF(TRIM($W536&amp;"")="60","60 Days Delinquent",IF(TRIM($W536&amp;"")="30","30 Days Delinquent",IF($X536="Non-Performing Matured Balloon","Non-Performing Matured Balloon",IF(OR($X536="Late Payment But Less Than 30 Days Delinquent",LEFT($X536&amp;"",20)="Payment Not Received"),"Late / In Grace (&lt;30 Days)",IF($X536="Performing Matured Balloon","Performing Matured Balloon","Current")))))))))</f>
        <v/>
      </c>
      <c r="CD536" s="78">
        <f>IF(OR($CC536="REO",$CC536="Foreclosure",$CC536="90+ Days Delinquent",$CC536="60 Days Delinquent",$CC536="30 Days Delinquent",$CC536="Non-Performing Matured Balloon"),1,0)</f>
        <v/>
      </c>
      <c r="CE536" s="76">
        <f>IF($AB536="Currently special serv","Currently Specially Serviced",IF($AB536="Returned to master serv","Previously Specially Serviced","Never Specially Serviced"))</f>
        <v/>
      </c>
      <c r="CF536" s="78">
        <f>IF($CE536="Currently Specially Serviced",1,0)</f>
        <v/>
      </c>
      <c r="CG536" s="76">
        <f>IF($AA536="Yes","Currently on Watchlist",IF($AA536="Previously","Previously on Watchlist","Never on Watchlist"))</f>
        <v/>
      </c>
      <c r="CH536" s="78">
        <f>IF($CG536="Currently on Watchlist",1,0)</f>
        <v/>
      </c>
      <c r="CI536" s="76">
        <f>IF($Z536="Full Defeasance","Fully Defeased",IF($Z536="Portion Of Loan Previously Defeased","Partially Defeased",IF($Z536="Defeasance Not Allowable","Not Defeased (Not Permitted)","Not Defeased")))</f>
        <v/>
      </c>
      <c r="CJ536" s="78">
        <f>IF($CI536="Fully Defeased",1,0)</f>
        <v/>
      </c>
      <c r="CK536" s="76">
        <f>IF($R536="IO","Full IO",IF(LEFT($R536&amp;"",7)="IO then","Partial IO","Amortizing"))</f>
        <v/>
      </c>
      <c r="CL536" s="78">
        <f>IF($CK536="Full IO",1,0)</f>
        <v/>
      </c>
      <c r="CM536" s="78">
        <f>IF($CK536="Partial IO",1,0)</f>
        <v/>
      </c>
      <c r="CN536" s="76">
        <f>IF(LEFT($F536&amp;"",10)="SPLIT_LOAN","Pari Passu Split","Standalone")</f>
        <v/>
      </c>
      <c r="CO536" s="78">
        <f>IF($CN536="Pari Passu Split",1,0)</f>
        <v/>
      </c>
      <c r="CP536" s="77">
        <f>IF(ISNUMBER($T536),YEAR($T536),"")</f>
        <v/>
      </c>
      <c r="CQ536" s="79">
        <f>IF(ISNUMBER($V536),$V536,IF(ISNUMBER($U536),$U536,""))</f>
        <v/>
      </c>
      <c r="CR536" s="77">
        <f>IF(ISNUMBER($CQ536),YEAR($CQ536),"")</f>
        <v/>
      </c>
      <c r="CS536" s="78">
        <f>IF(ISNUMBER($M536),MAX(0,$M536),IF(TRIM($M536&amp;"")="matured",0,""))</f>
        <v/>
      </c>
      <c r="CT536" s="78">
        <f>IF(AND(ISNUMBER($CS536),N($CS536)&lt;=mMatWindow),1,0)</f>
        <v/>
      </c>
      <c r="CU536" s="80">
        <f>IF(ISNUMBER($J536),$J536/100,"")</f>
        <v/>
      </c>
      <c r="CV536" s="81">
        <f>IF(ISNUMBER($AQ536),$AQ536,"")</f>
        <v/>
      </c>
      <c r="CW536" s="81">
        <f>IF(ISNUMBER($AR536),$AR536,"")</f>
        <v/>
      </c>
      <c r="CX536" s="82">
        <f>IF(ISNUMBER($AS536),$AS536/100,"")</f>
        <v/>
      </c>
      <c r="CY536" s="82">
        <f>IF(ISNUMBER($AT536),$AT536/100,"")</f>
        <v/>
      </c>
      <c r="CZ536" s="82">
        <f>IF(ISNUMBER($AU536),$AU536/100,"")</f>
        <v/>
      </c>
      <c r="DA536" s="82">
        <f>IF(ISNUMBER($AV536),$AV536/100,"")</f>
        <v/>
      </c>
      <c r="DB536" s="82">
        <f>IF(ISNUMBER($AW536),$AW536/100,"")</f>
        <v/>
      </c>
      <c r="DC536" s="82">
        <f>IF(ISNUMBER($AX536),$AX536/100,"")</f>
        <v/>
      </c>
      <c r="DD536" s="77">
        <f>IFERROR(VALUE(LEFT(TRIM($AO536&amp;""),4)),"")</f>
        <v/>
      </c>
      <c r="DE536" s="78">
        <f>IF(AND($BY536=1,$BX536=1,OR(fDeal="All Deals",$BU536=fDeal),OR(fEntity="All Entities",$BV536=fEntity),OR(fPType="All Property Types",$BZ536=fPType),OR(fDefeased="Include",$CJ536=0)),1,0)</f>
        <v/>
      </c>
      <c r="DF536" s="83">
        <f>$DE536*N($I536)</f>
        <v/>
      </c>
      <c r="DG536" s="78">
        <f>IF($DE536=1,IF(COUNTIFS($F$8:$F536,$F536,$DE$8:$DE536,1)=1,1,0),0)</f>
        <v/>
      </c>
      <c r="DH536" s="83">
        <f>IF($DG536=1,SUMIFS($DF$8:$DF$1600,$F$8:$F$1600,$F536),0)</f>
        <v/>
      </c>
      <c r="DI536" s="78">
        <f>IF($DG536=1,COUNTIFS($F$8:$F$1600,$F536,$DE$8:$DE$1600,1),0)</f>
        <v/>
      </c>
      <c r="DJ536" s="84">
        <f>IF($DG536=1,$DH536+(100000-ROW())/mTieBreak,0)</f>
        <v/>
      </c>
    </row>
    <row r="537">
      <c r="B537" s="68" t="n">
        <v>14</v>
      </c>
      <c r="C537" s="69" t="inlineStr">
        <is>
          <t>WFC19C49</t>
        </is>
      </c>
      <c r="D537" s="69" t="inlineStr">
        <is>
          <t>14.000</t>
        </is>
      </c>
      <c r="E537" s="69" t="inlineStr">
        <is>
          <t>Tristone Flowtech USA</t>
        </is>
      </c>
      <c r="F537" s="69" t="inlineStr">
        <is>
          <t>LNWFC19C49-14.000</t>
        </is>
      </c>
      <c r="G537" s="70" t="n"/>
      <c r="H537" s="71" t="n">
        <v>14400000</v>
      </c>
      <c r="I537" s="71" t="n">
        <v>14400000</v>
      </c>
      <c r="J537" s="72" t="n">
        <v>5.239</v>
      </c>
      <c r="K537" s="69" t="inlineStr">
        <is>
          <t>Fixed rate</t>
        </is>
      </c>
      <c r="L537" s="68" t="n">
        <v>120</v>
      </c>
      <c r="M537" s="68" t="n">
        <v>29</v>
      </c>
      <c r="N537" s="68" t="n">
        <v>120</v>
      </c>
      <c r="O537" s="68" t="n">
        <v>120</v>
      </c>
      <c r="P537" s="68" t="n">
        <v>29</v>
      </c>
      <c r="Q537" s="68" t="n">
        <v>91</v>
      </c>
      <c r="R537" s="69" t="inlineStr">
        <is>
          <t>IO</t>
        </is>
      </c>
      <c r="S537" s="69" t="inlineStr">
        <is>
          <t>Yes</t>
        </is>
      </c>
      <c r="T537" s="73" t="n">
        <v>43497</v>
      </c>
      <c r="U537" s="73" t="n">
        <v>47155</v>
      </c>
      <c r="V537" s="73" t="n"/>
      <c r="W537" s="69" t="n"/>
      <c r="X537" s="69" t="inlineStr">
        <is>
          <t>Current</t>
        </is>
      </c>
      <c r="Y537" s="68" t="n"/>
      <c r="Z537" s="69" t="inlineStr">
        <is>
          <t>Defeasance Not Allowable</t>
        </is>
      </c>
      <c r="AA537" s="69" t="n"/>
      <c r="AB537" s="69" t="inlineStr">
        <is>
          <t>Never special serv</t>
        </is>
      </c>
      <c r="AC537" s="73" t="n"/>
      <c r="AD537" s="69" t="n"/>
      <c r="AE537" s="69" t="n"/>
      <c r="AF537" s="69" t="inlineStr">
        <is>
          <t>NC</t>
        </is>
      </c>
      <c r="AG537" s="69" t="inlineStr">
        <is>
          <t>Mooresville</t>
        </is>
      </c>
      <c r="AH537" s="69" t="inlineStr">
        <is>
          <t>Charlotte-Concord-Gastonia, NC-SC</t>
        </is>
      </c>
      <c r="AI537" s="69" t="inlineStr">
        <is>
          <t>South / Atlantic</t>
        </is>
      </c>
      <c r="AJ537" s="69" t="inlineStr">
        <is>
          <t>IN</t>
        </is>
      </c>
      <c r="AK537" s="69" t="n"/>
      <c r="AL537" s="68" t="n">
        <v>1</v>
      </c>
      <c r="AM537" s="68" t="n"/>
      <c r="AN537" s="68" t="n">
        <v>215000</v>
      </c>
      <c r="AO537" s="69" t="inlineStr">
        <is>
          <t>2018</t>
        </is>
      </c>
      <c r="AP537" s="70" t="n">
        <v>2018</v>
      </c>
      <c r="AQ537" s="74" t="n">
        <v>1.69</v>
      </c>
      <c r="AR537" s="74" t="n">
        <v>1.91</v>
      </c>
      <c r="AS537" s="74" t="n">
        <v>62.6</v>
      </c>
      <c r="AT537" s="74" t="n">
        <v>62.61</v>
      </c>
      <c r="AU537" s="74" t="n">
        <v>62.6</v>
      </c>
      <c r="AV537" s="74" t="n">
        <v>9.001737361</v>
      </c>
      <c r="AW537" s="74" t="n">
        <v>10.035658333</v>
      </c>
      <c r="AX537" s="75" t="n">
        <v>100</v>
      </c>
      <c r="AY537" s="71" t="n">
        <v>23000000</v>
      </c>
      <c r="AZ537" s="71" t="n">
        <v>23000000</v>
      </c>
      <c r="BA537" s="71" t="n">
        <v>1296250.18</v>
      </c>
      <c r="BB537" s="71" t="n">
        <v>729097.3</v>
      </c>
      <c r="BC537" s="69" t="inlineStr">
        <is>
          <t>Acquisition</t>
        </is>
      </c>
      <c r="BD537" s="69" t="inlineStr">
        <is>
          <t>N</t>
        </is>
      </c>
      <c r="BE537" s="71" t="n"/>
      <c r="BF537" s="71" t="n"/>
      <c r="BG537" s="71" t="n"/>
      <c r="BH537" s="71" t="n">
        <v>0</v>
      </c>
      <c r="BI537" s="71" t="n">
        <v>0</v>
      </c>
      <c r="BJ537" s="69" t="inlineStr">
        <is>
          <t>N</t>
        </is>
      </c>
      <c r="BK537" s="69" t="inlineStr">
        <is>
          <t>Best Comp USA  LLC</t>
        </is>
      </c>
      <c r="BL537" s="75" t="n">
        <v>100</v>
      </c>
      <c r="BM537" s="73" t="n">
        <v>48121</v>
      </c>
      <c r="BN537" s="69" t="inlineStr">
        <is>
          <t>David Mileski; Mileski Living Trust</t>
        </is>
      </c>
      <c r="BO537" s="69" t="inlineStr">
        <is>
          <t>Ladder Capital Finance</t>
        </is>
      </c>
      <c r="BP537" s="69" t="inlineStr">
        <is>
          <t>TriMont Real Estate Advisors</t>
        </is>
      </c>
      <c r="BQ537" s="69" t="inlineStr">
        <is>
          <t>K-Star Asset Management LLC</t>
        </is>
      </c>
      <c r="BR537" s="69" t="n"/>
      <c r="BS537" s="73" t="n">
        <v>46276</v>
      </c>
      <c r="BU537" s="76">
        <f>IF($C537="","",IFERROR(INDEX(dmName,MATCH($C537,dmID,0)),"Unmapped"))</f>
        <v/>
      </c>
      <c r="BV537" s="76">
        <f>IF($C537="","",IFERROR(INDEX(dmEntity,MATCH($C537,dmID,0)),"Unmapped"))</f>
        <v/>
      </c>
      <c r="BW537" s="77">
        <f>IF($C537="","",IFERROR(INDEX(dmVintage,MATCH($C537,dmID,0)),""))</f>
        <v/>
      </c>
      <c r="BX537" s="78">
        <f>IFERROR(INDEX(dmInclude,MATCH($C537,dmID,0)),0)</f>
        <v/>
      </c>
      <c r="BY537" s="78">
        <f>IF(N($I537)&gt;0,1,0)</f>
        <v/>
      </c>
      <c r="BZ537" s="76">
        <f>IF($AJ537="","Other / Leased Fee",IFERROR(INDEX(mapPTGroup,MATCH(LEFT(TRIM($AJ537),2),mapPTCode,0)),"Other / Leased Fee"))</f>
        <v/>
      </c>
      <c r="CA537" s="76">
        <f>IF(TRIM($AF537&amp;"")="","NR",LEFT(TRIM($AF537),2))</f>
        <v/>
      </c>
      <c r="CB537" s="76">
        <f>IFERROR(LOOKUP(2,1/(LEFT(TRIM($AI537&amp;""),LEN(mapRegion))=mapRegion),mapRegion),"Not Reported")</f>
        <v/>
      </c>
      <c r="CC537" s="76">
        <f>IF($BY537=0,"",IF(TRIM($W537&amp;"")="REO","REO",IF(TRIM($W537&amp;"")="FC","Foreclosure",IF(TRIM($W537&amp;"")="90+","90+ Days Delinquent",IF(TRIM($W537&amp;"")="60","60 Days Delinquent",IF(TRIM($W537&amp;"")="30","30 Days Delinquent",IF($X537="Non-Performing Matured Balloon","Non-Performing Matured Balloon",IF(OR($X537="Late Payment But Less Than 30 Days Delinquent",LEFT($X537&amp;"",20)="Payment Not Received"),"Late / In Grace (&lt;30 Days)",IF($X537="Performing Matured Balloon","Performing Matured Balloon","Current")))))))))</f>
        <v/>
      </c>
      <c r="CD537" s="78">
        <f>IF(OR($CC537="REO",$CC537="Foreclosure",$CC537="90+ Days Delinquent",$CC537="60 Days Delinquent",$CC537="30 Days Delinquent",$CC537="Non-Performing Matured Balloon"),1,0)</f>
        <v/>
      </c>
      <c r="CE537" s="76">
        <f>IF($AB537="Currently special serv","Currently Specially Serviced",IF($AB537="Returned to master serv","Previously Specially Serviced","Never Specially Serviced"))</f>
        <v/>
      </c>
      <c r="CF537" s="78">
        <f>IF($CE537="Currently Specially Serviced",1,0)</f>
        <v/>
      </c>
      <c r="CG537" s="76">
        <f>IF($AA537="Yes","Currently on Watchlist",IF($AA537="Previously","Previously on Watchlist","Never on Watchlist"))</f>
        <v/>
      </c>
      <c r="CH537" s="78">
        <f>IF($CG537="Currently on Watchlist",1,0)</f>
        <v/>
      </c>
      <c r="CI537" s="76">
        <f>IF($Z537="Full Defeasance","Fully Defeased",IF($Z537="Portion Of Loan Previously Defeased","Partially Defeased",IF($Z537="Defeasance Not Allowable","Not Defeased (Not Permitted)","Not Defeased")))</f>
        <v/>
      </c>
      <c r="CJ537" s="78">
        <f>IF($CI537="Fully Defeased",1,0)</f>
        <v/>
      </c>
      <c r="CK537" s="76">
        <f>IF($R537="IO","Full IO",IF(LEFT($R537&amp;"",7)="IO then","Partial IO","Amortizing"))</f>
        <v/>
      </c>
      <c r="CL537" s="78">
        <f>IF($CK537="Full IO",1,0)</f>
        <v/>
      </c>
      <c r="CM537" s="78">
        <f>IF($CK537="Partial IO",1,0)</f>
        <v/>
      </c>
      <c r="CN537" s="76">
        <f>IF(LEFT($F537&amp;"",10)="SPLIT_LOAN","Pari Passu Split","Standalone")</f>
        <v/>
      </c>
      <c r="CO537" s="78">
        <f>IF($CN537="Pari Passu Split",1,0)</f>
        <v/>
      </c>
      <c r="CP537" s="77">
        <f>IF(ISNUMBER($T537),YEAR($T537),"")</f>
        <v/>
      </c>
      <c r="CQ537" s="79">
        <f>IF(ISNUMBER($V537),$V537,IF(ISNUMBER($U537),$U537,""))</f>
        <v/>
      </c>
      <c r="CR537" s="77">
        <f>IF(ISNUMBER($CQ537),YEAR($CQ537),"")</f>
        <v/>
      </c>
      <c r="CS537" s="78">
        <f>IF(ISNUMBER($M537),MAX(0,$M537),IF(TRIM($M537&amp;"")="matured",0,""))</f>
        <v/>
      </c>
      <c r="CT537" s="78">
        <f>IF(AND(ISNUMBER($CS537),N($CS537)&lt;=mMatWindow),1,0)</f>
        <v/>
      </c>
      <c r="CU537" s="80">
        <f>IF(ISNUMBER($J537),$J537/100,"")</f>
        <v/>
      </c>
      <c r="CV537" s="81">
        <f>IF(ISNUMBER($AQ537),$AQ537,"")</f>
        <v/>
      </c>
      <c r="CW537" s="81">
        <f>IF(ISNUMBER($AR537),$AR537,"")</f>
        <v/>
      </c>
      <c r="CX537" s="82">
        <f>IF(ISNUMBER($AS537),$AS537/100,"")</f>
        <v/>
      </c>
      <c r="CY537" s="82">
        <f>IF(ISNUMBER($AT537),$AT537/100,"")</f>
        <v/>
      </c>
      <c r="CZ537" s="82">
        <f>IF(ISNUMBER($AU537),$AU537/100,"")</f>
        <v/>
      </c>
      <c r="DA537" s="82">
        <f>IF(ISNUMBER($AV537),$AV537/100,"")</f>
        <v/>
      </c>
      <c r="DB537" s="82">
        <f>IF(ISNUMBER($AW537),$AW537/100,"")</f>
        <v/>
      </c>
      <c r="DC537" s="82">
        <f>IF(ISNUMBER($AX537),$AX537/100,"")</f>
        <v/>
      </c>
      <c r="DD537" s="77">
        <f>IFERROR(VALUE(LEFT(TRIM($AO537&amp;""),4)),"")</f>
        <v/>
      </c>
      <c r="DE537" s="78">
        <f>IF(AND($BY537=1,$BX537=1,OR(fDeal="All Deals",$BU537=fDeal),OR(fEntity="All Entities",$BV537=fEntity),OR(fPType="All Property Types",$BZ537=fPType),OR(fDefeased="Include",$CJ537=0)),1,0)</f>
        <v/>
      </c>
      <c r="DF537" s="83">
        <f>$DE537*N($I537)</f>
        <v/>
      </c>
      <c r="DG537" s="78">
        <f>IF($DE537=1,IF(COUNTIFS($F$8:$F537,$F537,$DE$8:$DE537,1)=1,1,0),0)</f>
        <v/>
      </c>
      <c r="DH537" s="83">
        <f>IF($DG537=1,SUMIFS($DF$8:$DF$1600,$F$8:$F$1600,$F537),0)</f>
        <v/>
      </c>
      <c r="DI537" s="78">
        <f>IF($DG537=1,COUNTIFS($F$8:$F$1600,$F537,$DE$8:$DE$1600,1),0)</f>
        <v/>
      </c>
      <c r="DJ537" s="84">
        <f>IF($DG537=1,$DH537+(100000-ROW())/mTieBreak,0)</f>
        <v/>
      </c>
    </row>
    <row r="538">
      <c r="B538" s="68" t="n">
        <v>15</v>
      </c>
      <c r="C538" s="69" t="inlineStr">
        <is>
          <t>WFC19C49</t>
        </is>
      </c>
      <c r="D538" s="69" t="inlineStr">
        <is>
          <t>15.000</t>
        </is>
      </c>
      <c r="E538" s="69" t="inlineStr">
        <is>
          <t>StaxUp Self Storage - San Ysidro</t>
        </is>
      </c>
      <c r="F538" s="69" t="inlineStr">
        <is>
          <t>LNWFC19C49-15.000</t>
        </is>
      </c>
      <c r="G538" s="70" t="n"/>
      <c r="H538" s="71" t="n">
        <v>14200000</v>
      </c>
      <c r="I538" s="71" t="n">
        <v>13628828.8700012</v>
      </c>
      <c r="J538" s="72" t="n">
        <v>5</v>
      </c>
      <c r="K538" s="69" t="inlineStr">
        <is>
          <t>Fixed rate</t>
        </is>
      </c>
      <c r="L538" s="68" t="n">
        <v>120</v>
      </c>
      <c r="M538" s="68" t="n">
        <v>27</v>
      </c>
      <c r="N538" s="68" t="n">
        <v>420</v>
      </c>
      <c r="O538" s="68" t="n">
        <v>60</v>
      </c>
      <c r="P538" s="68" t="n">
        <v>0</v>
      </c>
      <c r="Q538" s="68" t="n">
        <v>93</v>
      </c>
      <c r="R538" s="69" t="inlineStr">
        <is>
          <t>IO then Amort</t>
        </is>
      </c>
      <c r="S538" s="69" t="inlineStr">
        <is>
          <t>No</t>
        </is>
      </c>
      <c r="T538" s="73" t="n">
        <v>43435</v>
      </c>
      <c r="U538" s="73" t="n">
        <v>47098</v>
      </c>
      <c r="V538" s="73" t="n"/>
      <c r="W538" s="69" t="n"/>
      <c r="X538" s="69" t="inlineStr">
        <is>
          <t>Current</t>
        </is>
      </c>
      <c r="Y538" s="68" t="n"/>
      <c r="Z538" s="69" t="inlineStr">
        <is>
          <t>No Defeasance Occurred</t>
        </is>
      </c>
      <c r="AA538" s="69" t="inlineStr">
        <is>
          <t>Previously</t>
        </is>
      </c>
      <c r="AB538" s="69" t="inlineStr">
        <is>
          <t>Never special serv</t>
        </is>
      </c>
      <c r="AC538" s="73" t="n"/>
      <c r="AD538" s="69" t="n"/>
      <c r="AE538" s="69" t="n"/>
      <c r="AF538" s="69" t="inlineStr">
        <is>
          <t>CA</t>
        </is>
      </c>
      <c r="AG538" s="69" t="inlineStr">
        <is>
          <t>San Diego</t>
        </is>
      </c>
      <c r="AH538" s="69" t="inlineStr">
        <is>
          <t>San Diego-Chula Vista-Carlsbad, CA</t>
        </is>
      </c>
      <c r="AI538" s="69" t="inlineStr">
        <is>
          <t>West / Pacific South</t>
        </is>
      </c>
      <c r="AJ538" s="69" t="inlineStr">
        <is>
          <t>SS</t>
        </is>
      </c>
      <c r="AK538" s="69" t="n"/>
      <c r="AL538" s="68" t="n">
        <v>1</v>
      </c>
      <c r="AM538" s="68" t="n"/>
      <c r="AN538" s="68" t="n">
        <v>162718</v>
      </c>
      <c r="AO538" s="69" t="inlineStr">
        <is>
          <t>1985</t>
        </is>
      </c>
      <c r="AP538" s="70" t="n">
        <v>1985</v>
      </c>
      <c r="AQ538" s="74" t="n">
        <v>1.35</v>
      </c>
      <c r="AR538" s="74" t="n">
        <v>2.11</v>
      </c>
      <c r="AS538" s="74" t="n">
        <v>68.90000000000001</v>
      </c>
      <c r="AT538" s="74" t="n">
        <v>66.16</v>
      </c>
      <c r="AU538" s="74" t="n">
        <v>63.6</v>
      </c>
      <c r="AV538" s="74" t="n">
        <v>8.693677606</v>
      </c>
      <c r="AW538" s="74" t="n">
        <v>13.074954473</v>
      </c>
      <c r="AX538" s="75" t="n">
        <v>91</v>
      </c>
      <c r="AY538" s="71" t="n">
        <v>20600000</v>
      </c>
      <c r="AZ538" s="71" t="n">
        <v>20600000</v>
      </c>
      <c r="BA538" s="71" t="n">
        <v>1234502.22</v>
      </c>
      <c r="BB538" s="71" t="n">
        <v>483642.46</v>
      </c>
      <c r="BC538" s="69" t="inlineStr">
        <is>
          <t>Refinance</t>
        </is>
      </c>
      <c r="BD538" s="69" t="inlineStr">
        <is>
          <t>N</t>
        </is>
      </c>
      <c r="BE538" s="71" t="n"/>
      <c r="BF538" s="71" t="n"/>
      <c r="BG538" s="71" t="n"/>
      <c r="BH538" s="71" t="n">
        <v>0</v>
      </c>
      <c r="BI538" s="71" t="n">
        <v>0</v>
      </c>
      <c r="BJ538" s="69" t="inlineStr">
        <is>
          <t>N</t>
        </is>
      </c>
      <c r="BK538" s="69" t="n"/>
      <c r="BL538" s="75" t="n"/>
      <c r="BM538" s="73" t="n"/>
      <c r="BN538" s="69" t="inlineStr">
        <is>
          <t>Randall U. Strauss</t>
        </is>
      </c>
      <c r="BO538" s="69" t="inlineStr">
        <is>
          <t>Wells Fargo</t>
        </is>
      </c>
      <c r="BP538" s="69" t="inlineStr">
        <is>
          <t>TriMont Real Estate Advisors</t>
        </is>
      </c>
      <c r="BQ538" s="69" t="inlineStr">
        <is>
          <t>K-Star Asset Management LLC</t>
        </is>
      </c>
      <c r="BR538" s="69" t="n"/>
      <c r="BS538" s="73" t="n">
        <v>46276</v>
      </c>
      <c r="BU538" s="76">
        <f>IF($C538="","",IFERROR(INDEX(dmName,MATCH($C538,dmID,0)),"Unmapped"))</f>
        <v/>
      </c>
      <c r="BV538" s="76">
        <f>IF($C538="","",IFERROR(INDEX(dmEntity,MATCH($C538,dmID,0)),"Unmapped"))</f>
        <v/>
      </c>
      <c r="BW538" s="77">
        <f>IF($C538="","",IFERROR(INDEX(dmVintage,MATCH($C538,dmID,0)),""))</f>
        <v/>
      </c>
      <c r="BX538" s="78">
        <f>IFERROR(INDEX(dmInclude,MATCH($C538,dmID,0)),0)</f>
        <v/>
      </c>
      <c r="BY538" s="78">
        <f>IF(N($I538)&gt;0,1,0)</f>
        <v/>
      </c>
      <c r="BZ538" s="76">
        <f>IF($AJ538="","Other / Leased Fee",IFERROR(INDEX(mapPTGroup,MATCH(LEFT(TRIM($AJ538),2),mapPTCode,0)),"Other / Leased Fee"))</f>
        <v/>
      </c>
      <c r="CA538" s="76">
        <f>IF(TRIM($AF538&amp;"")="","NR",LEFT(TRIM($AF538),2))</f>
        <v/>
      </c>
      <c r="CB538" s="76">
        <f>IFERROR(LOOKUP(2,1/(LEFT(TRIM($AI538&amp;""),LEN(mapRegion))=mapRegion),mapRegion),"Not Reported")</f>
        <v/>
      </c>
      <c r="CC538" s="76">
        <f>IF($BY538=0,"",IF(TRIM($W538&amp;"")="REO","REO",IF(TRIM($W538&amp;"")="FC","Foreclosure",IF(TRIM($W538&amp;"")="90+","90+ Days Delinquent",IF(TRIM($W538&amp;"")="60","60 Days Delinquent",IF(TRIM($W538&amp;"")="30","30 Days Delinquent",IF($X538="Non-Performing Matured Balloon","Non-Performing Matured Balloon",IF(OR($X538="Late Payment But Less Than 30 Days Delinquent",LEFT($X538&amp;"",20)="Payment Not Received"),"Late / In Grace (&lt;30 Days)",IF($X538="Performing Matured Balloon","Performing Matured Balloon","Current")))))))))</f>
        <v/>
      </c>
      <c r="CD538" s="78">
        <f>IF(OR($CC538="REO",$CC538="Foreclosure",$CC538="90+ Days Delinquent",$CC538="60 Days Delinquent",$CC538="30 Days Delinquent",$CC538="Non-Performing Matured Balloon"),1,0)</f>
        <v/>
      </c>
      <c r="CE538" s="76">
        <f>IF($AB538="Currently special serv","Currently Specially Serviced",IF($AB538="Returned to master serv","Previously Specially Serviced","Never Specially Serviced"))</f>
        <v/>
      </c>
      <c r="CF538" s="78">
        <f>IF($CE538="Currently Specially Serviced",1,0)</f>
        <v/>
      </c>
      <c r="CG538" s="76">
        <f>IF($AA538="Yes","Currently on Watchlist",IF($AA538="Previously","Previously on Watchlist","Never on Watchlist"))</f>
        <v/>
      </c>
      <c r="CH538" s="78">
        <f>IF($CG538="Currently on Watchlist",1,0)</f>
        <v/>
      </c>
      <c r="CI538" s="76">
        <f>IF($Z538="Full Defeasance","Fully Defeased",IF($Z538="Portion Of Loan Previously Defeased","Partially Defeased",IF($Z538="Defeasance Not Allowable","Not Defeased (Not Permitted)","Not Defeased")))</f>
        <v/>
      </c>
      <c r="CJ538" s="78">
        <f>IF($CI538="Fully Defeased",1,0)</f>
        <v/>
      </c>
      <c r="CK538" s="76">
        <f>IF($R538="IO","Full IO",IF(LEFT($R538&amp;"",7)="IO then","Partial IO","Amortizing"))</f>
        <v/>
      </c>
      <c r="CL538" s="78">
        <f>IF($CK538="Full IO",1,0)</f>
        <v/>
      </c>
      <c r="CM538" s="78">
        <f>IF($CK538="Partial IO",1,0)</f>
        <v/>
      </c>
      <c r="CN538" s="76">
        <f>IF(LEFT($F538&amp;"",10)="SPLIT_LOAN","Pari Passu Split","Standalone")</f>
        <v/>
      </c>
      <c r="CO538" s="78">
        <f>IF($CN538="Pari Passu Split",1,0)</f>
        <v/>
      </c>
      <c r="CP538" s="77">
        <f>IF(ISNUMBER($T538),YEAR($T538),"")</f>
        <v/>
      </c>
      <c r="CQ538" s="79">
        <f>IF(ISNUMBER($V538),$V538,IF(ISNUMBER($U538),$U538,""))</f>
        <v/>
      </c>
      <c r="CR538" s="77">
        <f>IF(ISNUMBER($CQ538),YEAR($CQ538),"")</f>
        <v/>
      </c>
      <c r="CS538" s="78">
        <f>IF(ISNUMBER($M538),MAX(0,$M538),IF(TRIM($M538&amp;"")="matured",0,""))</f>
        <v/>
      </c>
      <c r="CT538" s="78">
        <f>IF(AND(ISNUMBER($CS538),N($CS538)&lt;=mMatWindow),1,0)</f>
        <v/>
      </c>
      <c r="CU538" s="80">
        <f>IF(ISNUMBER($J538),$J538/100,"")</f>
        <v/>
      </c>
      <c r="CV538" s="81">
        <f>IF(ISNUMBER($AQ538),$AQ538,"")</f>
        <v/>
      </c>
      <c r="CW538" s="81">
        <f>IF(ISNUMBER($AR538),$AR538,"")</f>
        <v/>
      </c>
      <c r="CX538" s="82">
        <f>IF(ISNUMBER($AS538),$AS538/100,"")</f>
        <v/>
      </c>
      <c r="CY538" s="82">
        <f>IF(ISNUMBER($AT538),$AT538/100,"")</f>
        <v/>
      </c>
      <c r="CZ538" s="82">
        <f>IF(ISNUMBER($AU538),$AU538/100,"")</f>
        <v/>
      </c>
      <c r="DA538" s="82">
        <f>IF(ISNUMBER($AV538),$AV538/100,"")</f>
        <v/>
      </c>
      <c r="DB538" s="82">
        <f>IF(ISNUMBER($AW538),$AW538/100,"")</f>
        <v/>
      </c>
      <c r="DC538" s="82">
        <f>IF(ISNUMBER($AX538),$AX538/100,"")</f>
        <v/>
      </c>
      <c r="DD538" s="77">
        <f>IFERROR(VALUE(LEFT(TRIM($AO538&amp;""),4)),"")</f>
        <v/>
      </c>
      <c r="DE538" s="78">
        <f>IF(AND($BY538=1,$BX538=1,OR(fDeal="All Deals",$BU538=fDeal),OR(fEntity="All Entities",$BV538=fEntity),OR(fPType="All Property Types",$BZ538=fPType),OR(fDefeased="Include",$CJ538=0)),1,0)</f>
        <v/>
      </c>
      <c r="DF538" s="83">
        <f>$DE538*N($I538)</f>
        <v/>
      </c>
      <c r="DG538" s="78">
        <f>IF($DE538=1,IF(COUNTIFS($F$8:$F538,$F538,$DE$8:$DE538,1)=1,1,0),0)</f>
        <v/>
      </c>
      <c r="DH538" s="83">
        <f>IF($DG538=1,SUMIFS($DF$8:$DF$1600,$F$8:$F$1600,$F538),0)</f>
        <v/>
      </c>
      <c r="DI538" s="78">
        <f>IF($DG538=1,COUNTIFS($F$8:$F$1600,$F538,$DE$8:$DE$1600,1),0)</f>
        <v/>
      </c>
      <c r="DJ538" s="84">
        <f>IF($DG538=1,$DH538+(100000-ROW())/mTieBreak,0)</f>
        <v/>
      </c>
    </row>
    <row r="539">
      <c r="B539" s="68" t="n">
        <v>16</v>
      </c>
      <c r="C539" s="69" t="inlineStr">
        <is>
          <t>WFC19C49</t>
        </is>
      </c>
      <c r="D539" s="69" t="inlineStr">
        <is>
          <t>16.000</t>
        </is>
      </c>
      <c r="E539" s="69" t="inlineStr">
        <is>
          <t>The Edge Apartments</t>
        </is>
      </c>
      <c r="F539" s="69" t="inlineStr">
        <is>
          <t>LNWFC19C49-16.000</t>
        </is>
      </c>
      <c r="G539" s="70" t="n"/>
      <c r="H539" s="71" t="n">
        <v>14100000</v>
      </c>
      <c r="I539" s="71" t="n">
        <v>13165231.3400055</v>
      </c>
      <c r="J539" s="72" t="n">
        <v>5.35</v>
      </c>
      <c r="K539" s="69" t="inlineStr">
        <is>
          <t>Fixed rate</t>
        </is>
      </c>
      <c r="L539" s="68" t="n">
        <v>117</v>
      </c>
      <c r="M539" s="68" t="n">
        <v>26</v>
      </c>
      <c r="N539" s="68" t="n">
        <v>396</v>
      </c>
      <c r="O539" s="68" t="n">
        <v>36</v>
      </c>
      <c r="P539" s="68" t="n">
        <v>0</v>
      </c>
      <c r="Q539" s="68" t="n">
        <v>91</v>
      </c>
      <c r="R539" s="69" t="inlineStr">
        <is>
          <t>IO then Amort</t>
        </is>
      </c>
      <c r="S539" s="69" t="inlineStr">
        <is>
          <t>No</t>
        </is>
      </c>
      <c r="T539" s="73" t="n">
        <v>43497</v>
      </c>
      <c r="U539" s="73" t="n">
        <v>47063</v>
      </c>
      <c r="V539" s="73" t="n"/>
      <c r="W539" s="69" t="n"/>
      <c r="X539" s="69" t="inlineStr">
        <is>
          <t>Current</t>
        </is>
      </c>
      <c r="Y539" s="68" t="n"/>
      <c r="Z539" s="69" t="inlineStr">
        <is>
          <t>Full Defeasance</t>
        </is>
      </c>
      <c r="AA539" s="69" t="n"/>
      <c r="AB539" s="69" t="inlineStr">
        <is>
          <t>Never special serv</t>
        </is>
      </c>
      <c r="AC539" s="73" t="n"/>
      <c r="AD539" s="69" t="n"/>
      <c r="AE539" s="69" t="n"/>
      <c r="AF539" s="69" t="inlineStr">
        <is>
          <t>MI</t>
        </is>
      </c>
      <c r="AG539" s="69" t="inlineStr">
        <is>
          <t>Auburn Hills</t>
        </is>
      </c>
      <c r="AH539" s="69" t="inlineStr">
        <is>
          <t>Detroit-Warren-Dearborn, MI</t>
        </is>
      </c>
      <c r="AI539" s="69" t="inlineStr">
        <is>
          <t>Midwest / Central East</t>
        </is>
      </c>
      <c r="AJ539" s="69" t="inlineStr">
        <is>
          <t>MF</t>
        </is>
      </c>
      <c r="AK539" s="69" t="inlineStr">
        <is>
          <t>Student</t>
        </is>
      </c>
      <c r="AL539" s="68" t="n">
        <v>1</v>
      </c>
      <c r="AM539" s="68" t="n">
        <v>252</v>
      </c>
      <c r="AN539" s="68" t="n"/>
      <c r="AO539" s="69" t="inlineStr">
        <is>
          <t>1990</t>
        </is>
      </c>
      <c r="AP539" s="70" t="n">
        <v>2018</v>
      </c>
      <c r="AQ539" s="74" t="n">
        <v>1.29</v>
      </c>
      <c r="AR539" s="74" t="n">
        <v>1.71</v>
      </c>
      <c r="AS539" s="74" t="n">
        <v>61.6</v>
      </c>
      <c r="AT539" s="74" t="n">
        <v>57.49</v>
      </c>
      <c r="AU539" s="74" t="n">
        <v>54.9</v>
      </c>
      <c r="AV539" s="74" t="n">
        <v>8.628556241</v>
      </c>
      <c r="AW539" s="74" t="n">
        <v>9.930591998000001</v>
      </c>
      <c r="AX539" s="75" t="n">
        <v>96</v>
      </c>
      <c r="AY539" s="71" t="n">
        <v>22900000</v>
      </c>
      <c r="AZ539" s="71" t="n">
        <v>22900000</v>
      </c>
      <c r="BA539" s="71" t="n">
        <v>1216626.43</v>
      </c>
      <c r="BB539" s="71" t="n">
        <v>1307385.41</v>
      </c>
      <c r="BC539" s="69" t="inlineStr">
        <is>
          <t>Refinance</t>
        </is>
      </c>
      <c r="BD539" s="69" t="inlineStr">
        <is>
          <t>N</t>
        </is>
      </c>
      <c r="BE539" s="71" t="n"/>
      <c r="BF539" s="71" t="n"/>
      <c r="BG539" s="71" t="n"/>
      <c r="BH539" s="71" t="n">
        <v>0</v>
      </c>
      <c r="BI539" s="71" t="n">
        <v>0</v>
      </c>
      <c r="BJ539" s="69" t="inlineStr">
        <is>
          <t>N</t>
        </is>
      </c>
      <c r="BK539" s="69" t="n"/>
      <c r="BL539" s="75" t="n"/>
      <c r="BM539" s="73" t="n"/>
      <c r="BN539" s="69" t="inlineStr">
        <is>
          <t>Ira Mondry; Robert M. Stone</t>
        </is>
      </c>
      <c r="BO539" s="69" t="inlineStr">
        <is>
          <t>Ladder Capital Finance</t>
        </is>
      </c>
      <c r="BP539" s="69" t="inlineStr">
        <is>
          <t>TriMont Real Estate Advisors</t>
        </is>
      </c>
      <c r="BQ539" s="69" t="inlineStr">
        <is>
          <t>K-Star Asset Management LLC</t>
        </is>
      </c>
      <c r="BR539" s="69" t="n"/>
      <c r="BS539" s="73" t="n">
        <v>46276</v>
      </c>
      <c r="BU539" s="76">
        <f>IF($C539="","",IFERROR(INDEX(dmName,MATCH($C539,dmID,0)),"Unmapped"))</f>
        <v/>
      </c>
      <c r="BV539" s="76">
        <f>IF($C539="","",IFERROR(INDEX(dmEntity,MATCH($C539,dmID,0)),"Unmapped"))</f>
        <v/>
      </c>
      <c r="BW539" s="77">
        <f>IF($C539="","",IFERROR(INDEX(dmVintage,MATCH($C539,dmID,0)),""))</f>
        <v/>
      </c>
      <c r="BX539" s="78">
        <f>IFERROR(INDEX(dmInclude,MATCH($C539,dmID,0)),0)</f>
        <v/>
      </c>
      <c r="BY539" s="78">
        <f>IF(N($I539)&gt;0,1,0)</f>
        <v/>
      </c>
      <c r="BZ539" s="76">
        <f>IF($AJ539="","Other / Leased Fee",IFERROR(INDEX(mapPTGroup,MATCH(LEFT(TRIM($AJ539),2),mapPTCode,0)),"Other / Leased Fee"))</f>
        <v/>
      </c>
      <c r="CA539" s="76">
        <f>IF(TRIM($AF539&amp;"")="","NR",LEFT(TRIM($AF539),2))</f>
        <v/>
      </c>
      <c r="CB539" s="76">
        <f>IFERROR(LOOKUP(2,1/(LEFT(TRIM($AI539&amp;""),LEN(mapRegion))=mapRegion),mapRegion),"Not Reported")</f>
        <v/>
      </c>
      <c r="CC539" s="76">
        <f>IF($BY539=0,"",IF(TRIM($W539&amp;"")="REO","REO",IF(TRIM($W539&amp;"")="FC","Foreclosure",IF(TRIM($W539&amp;"")="90+","90+ Days Delinquent",IF(TRIM($W539&amp;"")="60","60 Days Delinquent",IF(TRIM($W539&amp;"")="30","30 Days Delinquent",IF($X539="Non-Performing Matured Balloon","Non-Performing Matured Balloon",IF(OR($X539="Late Payment But Less Than 30 Days Delinquent",LEFT($X539&amp;"",20)="Payment Not Received"),"Late / In Grace (&lt;30 Days)",IF($X539="Performing Matured Balloon","Performing Matured Balloon","Current")))))))))</f>
        <v/>
      </c>
      <c r="CD539" s="78">
        <f>IF(OR($CC539="REO",$CC539="Foreclosure",$CC539="90+ Days Delinquent",$CC539="60 Days Delinquent",$CC539="30 Days Delinquent",$CC539="Non-Performing Matured Balloon"),1,0)</f>
        <v/>
      </c>
      <c r="CE539" s="76">
        <f>IF($AB539="Currently special serv","Currently Specially Serviced",IF($AB539="Returned to master serv","Previously Specially Serviced","Never Specially Serviced"))</f>
        <v/>
      </c>
      <c r="CF539" s="78">
        <f>IF($CE539="Currently Specially Serviced",1,0)</f>
        <v/>
      </c>
      <c r="CG539" s="76">
        <f>IF($AA539="Yes","Currently on Watchlist",IF($AA539="Previously","Previously on Watchlist","Never on Watchlist"))</f>
        <v/>
      </c>
      <c r="CH539" s="78">
        <f>IF($CG539="Currently on Watchlist",1,0)</f>
        <v/>
      </c>
      <c r="CI539" s="76">
        <f>IF($Z539="Full Defeasance","Fully Defeased",IF($Z539="Portion Of Loan Previously Defeased","Partially Defeased",IF($Z539="Defeasance Not Allowable","Not Defeased (Not Permitted)","Not Defeased")))</f>
        <v/>
      </c>
      <c r="CJ539" s="78">
        <f>IF($CI539="Fully Defeased",1,0)</f>
        <v/>
      </c>
      <c r="CK539" s="76">
        <f>IF($R539="IO","Full IO",IF(LEFT($R539&amp;"",7)="IO then","Partial IO","Amortizing"))</f>
        <v/>
      </c>
      <c r="CL539" s="78">
        <f>IF($CK539="Full IO",1,0)</f>
        <v/>
      </c>
      <c r="CM539" s="78">
        <f>IF($CK539="Partial IO",1,0)</f>
        <v/>
      </c>
      <c r="CN539" s="76">
        <f>IF(LEFT($F539&amp;"",10)="SPLIT_LOAN","Pari Passu Split","Standalone")</f>
        <v/>
      </c>
      <c r="CO539" s="78">
        <f>IF($CN539="Pari Passu Split",1,0)</f>
        <v/>
      </c>
      <c r="CP539" s="77">
        <f>IF(ISNUMBER($T539),YEAR($T539),"")</f>
        <v/>
      </c>
      <c r="CQ539" s="79">
        <f>IF(ISNUMBER($V539),$V539,IF(ISNUMBER($U539),$U539,""))</f>
        <v/>
      </c>
      <c r="CR539" s="77">
        <f>IF(ISNUMBER($CQ539),YEAR($CQ539),"")</f>
        <v/>
      </c>
      <c r="CS539" s="78">
        <f>IF(ISNUMBER($M539),MAX(0,$M539),IF(TRIM($M539&amp;"")="matured",0,""))</f>
        <v/>
      </c>
      <c r="CT539" s="78">
        <f>IF(AND(ISNUMBER($CS539),N($CS539)&lt;=mMatWindow),1,0)</f>
        <v/>
      </c>
      <c r="CU539" s="80">
        <f>IF(ISNUMBER($J539),$J539/100,"")</f>
        <v/>
      </c>
      <c r="CV539" s="81">
        <f>IF(ISNUMBER($AQ539),$AQ539,"")</f>
        <v/>
      </c>
      <c r="CW539" s="81">
        <f>IF(ISNUMBER($AR539),$AR539,"")</f>
        <v/>
      </c>
      <c r="CX539" s="82">
        <f>IF(ISNUMBER($AS539),$AS539/100,"")</f>
        <v/>
      </c>
      <c r="CY539" s="82">
        <f>IF(ISNUMBER($AT539),$AT539/100,"")</f>
        <v/>
      </c>
      <c r="CZ539" s="82">
        <f>IF(ISNUMBER($AU539),$AU539/100,"")</f>
        <v/>
      </c>
      <c r="DA539" s="82">
        <f>IF(ISNUMBER($AV539),$AV539/100,"")</f>
        <v/>
      </c>
      <c r="DB539" s="82">
        <f>IF(ISNUMBER($AW539),$AW539/100,"")</f>
        <v/>
      </c>
      <c r="DC539" s="82">
        <f>IF(ISNUMBER($AX539),$AX539/100,"")</f>
        <v/>
      </c>
      <c r="DD539" s="77">
        <f>IFERROR(VALUE(LEFT(TRIM($AO539&amp;""),4)),"")</f>
        <v/>
      </c>
      <c r="DE539" s="78">
        <f>IF(AND($BY539=1,$BX539=1,OR(fDeal="All Deals",$BU539=fDeal),OR(fEntity="All Entities",$BV539=fEntity),OR(fPType="All Property Types",$BZ539=fPType),OR(fDefeased="Include",$CJ539=0)),1,0)</f>
        <v/>
      </c>
      <c r="DF539" s="83">
        <f>$DE539*N($I539)</f>
        <v/>
      </c>
      <c r="DG539" s="78">
        <f>IF($DE539=1,IF(COUNTIFS($F$8:$F539,$F539,$DE$8:$DE539,1)=1,1,0),0)</f>
        <v/>
      </c>
      <c r="DH539" s="83">
        <f>IF($DG539=1,SUMIFS($DF$8:$DF$1600,$F$8:$F$1600,$F539),0)</f>
        <v/>
      </c>
      <c r="DI539" s="78">
        <f>IF($DG539=1,COUNTIFS($F$8:$F$1600,$F539,$DE$8:$DE$1600,1),0)</f>
        <v/>
      </c>
      <c r="DJ539" s="84">
        <f>IF($DG539=1,$DH539+(100000-ROW())/mTieBreak,0)</f>
        <v/>
      </c>
    </row>
    <row r="540">
      <c r="B540" s="68" t="n">
        <v>17</v>
      </c>
      <c r="C540" s="69" t="inlineStr">
        <is>
          <t>WFC19C49</t>
        </is>
      </c>
      <c r="D540" s="69" t="inlineStr">
        <is>
          <t>17.000</t>
        </is>
      </c>
      <c r="E540" s="69" t="inlineStr">
        <is>
          <t>Radisson Yuma</t>
        </is>
      </c>
      <c r="F540" s="69" t="inlineStr">
        <is>
          <t>LNWFC19C49-17.000</t>
        </is>
      </c>
      <c r="G540" s="70" t="n"/>
      <c r="H540" s="71" t="n">
        <v>13750000</v>
      </c>
      <c r="I540" s="71" t="n">
        <v>12271009.95000375</v>
      </c>
      <c r="J540" s="72" t="n">
        <v>5.95</v>
      </c>
      <c r="K540" s="69" t="inlineStr">
        <is>
          <t>Fixed rate</t>
        </is>
      </c>
      <c r="L540" s="68" t="n">
        <v>120</v>
      </c>
      <c r="M540" s="68" t="n">
        <v>29</v>
      </c>
      <c r="N540" s="68" t="n">
        <v>360</v>
      </c>
      <c r="O540" s="68" t="n"/>
      <c r="P540" s="68" t="n"/>
      <c r="Q540" s="68" t="n">
        <v>91</v>
      </c>
      <c r="R540" s="69" t="n"/>
      <c r="S540" s="69" t="inlineStr">
        <is>
          <t>No</t>
        </is>
      </c>
      <c r="T540" s="73" t="n">
        <v>43497</v>
      </c>
      <c r="U540" s="73" t="n">
        <v>47155</v>
      </c>
      <c r="V540" s="73" t="n"/>
      <c r="W540" s="69" t="n"/>
      <c r="X540" s="69" t="inlineStr">
        <is>
          <t>Current</t>
        </is>
      </c>
      <c r="Y540" s="68" t="n"/>
      <c r="Z540" s="69" t="inlineStr">
        <is>
          <t>No Defeasance Occurred</t>
        </is>
      </c>
      <c r="AA540" s="69" t="inlineStr">
        <is>
          <t>Yes</t>
        </is>
      </c>
      <c r="AB540" s="69" t="inlineStr">
        <is>
          <t>Never special serv</t>
        </is>
      </c>
      <c r="AC540" s="73" t="n"/>
      <c r="AD540" s="69" t="n"/>
      <c r="AE540" s="69" t="n"/>
      <c r="AF540" s="69" t="inlineStr">
        <is>
          <t>AZ</t>
        </is>
      </c>
      <c r="AG540" s="69" t="inlineStr">
        <is>
          <t>Yuma</t>
        </is>
      </c>
      <c r="AH540" s="69" t="inlineStr">
        <is>
          <t>Yuma, AZ</t>
        </is>
      </c>
      <c r="AI540" s="69" t="inlineStr">
        <is>
          <t>West / Mountain</t>
        </is>
      </c>
      <c r="AJ540" s="69" t="inlineStr">
        <is>
          <t>HT</t>
        </is>
      </c>
      <c r="AK540" s="69" t="inlineStr">
        <is>
          <t>Full Service</t>
        </is>
      </c>
      <c r="AL540" s="68" t="n">
        <v>1</v>
      </c>
      <c r="AM540" s="68" t="n">
        <v>154</v>
      </c>
      <c r="AN540" s="68" t="n"/>
      <c r="AO540" s="69" t="inlineStr">
        <is>
          <t>2009</t>
        </is>
      </c>
      <c r="AP540" s="70" t="n">
        <v>2018</v>
      </c>
      <c r="AQ540" s="74" t="n">
        <v>1.54</v>
      </c>
      <c r="AR540" s="74" t="n">
        <v>0.75</v>
      </c>
      <c r="AS540" s="74" t="n">
        <v>67.3</v>
      </c>
      <c r="AT540" s="74" t="n">
        <v>60.15</v>
      </c>
      <c r="AU540" s="74" t="n">
        <v>57.1</v>
      </c>
      <c r="AV540" s="74" t="n">
        <v>11.0542744</v>
      </c>
      <c r="AW540" s="74" t="n">
        <v>5.985319733</v>
      </c>
      <c r="AX540" s="75" t="n">
        <v>54</v>
      </c>
      <c r="AY540" s="71" t="n">
        <v>20400000</v>
      </c>
      <c r="AZ540" s="71" t="n">
        <v>20400000</v>
      </c>
      <c r="BA540" s="71" t="n">
        <v>1519962.73</v>
      </c>
      <c r="BB540" s="71" t="n">
        <v>734459.1800000001</v>
      </c>
      <c r="BC540" s="69" t="inlineStr">
        <is>
          <t>Refinance</t>
        </is>
      </c>
      <c r="BD540" s="69" t="inlineStr">
        <is>
          <t>N</t>
        </is>
      </c>
      <c r="BE540" s="71" t="n"/>
      <c r="BF540" s="71" t="n"/>
      <c r="BG540" s="71" t="n"/>
      <c r="BH540" s="71" t="n">
        <v>0</v>
      </c>
      <c r="BI540" s="71" t="n">
        <v>0</v>
      </c>
      <c r="BJ540" s="69" t="inlineStr">
        <is>
          <t>Y</t>
        </is>
      </c>
      <c r="BK540" s="69" t="n"/>
      <c r="BL540" s="75" t="n"/>
      <c r="BM540" s="73" t="n"/>
      <c r="BN540" s="69" t="inlineStr">
        <is>
          <t>Stephen Cavadias; Jerry Philipps; The Cavadias Family 2003 Trust</t>
        </is>
      </c>
      <c r="BO540" s="69" t="inlineStr">
        <is>
          <t>Ladder Capital Finance</t>
        </is>
      </c>
      <c r="BP540" s="69" t="inlineStr">
        <is>
          <t>TriMont Real Estate Advisors</t>
        </is>
      </c>
      <c r="BQ540" s="69" t="inlineStr">
        <is>
          <t>K-Star Asset Management LLC</t>
        </is>
      </c>
      <c r="BR540" s="69" t="n"/>
      <c r="BS540" s="73" t="n">
        <v>46276</v>
      </c>
      <c r="BU540" s="76">
        <f>IF($C540="","",IFERROR(INDEX(dmName,MATCH($C540,dmID,0)),"Unmapped"))</f>
        <v/>
      </c>
      <c r="BV540" s="76">
        <f>IF($C540="","",IFERROR(INDEX(dmEntity,MATCH($C540,dmID,0)),"Unmapped"))</f>
        <v/>
      </c>
      <c r="BW540" s="77">
        <f>IF($C540="","",IFERROR(INDEX(dmVintage,MATCH($C540,dmID,0)),""))</f>
        <v/>
      </c>
      <c r="BX540" s="78">
        <f>IFERROR(INDEX(dmInclude,MATCH($C540,dmID,0)),0)</f>
        <v/>
      </c>
      <c r="BY540" s="78">
        <f>IF(N($I540)&gt;0,1,0)</f>
        <v/>
      </c>
      <c r="BZ540" s="76">
        <f>IF($AJ540="","Other / Leased Fee",IFERROR(INDEX(mapPTGroup,MATCH(LEFT(TRIM($AJ540),2),mapPTCode,0)),"Other / Leased Fee"))</f>
        <v/>
      </c>
      <c r="CA540" s="76">
        <f>IF(TRIM($AF540&amp;"")="","NR",LEFT(TRIM($AF540),2))</f>
        <v/>
      </c>
      <c r="CB540" s="76">
        <f>IFERROR(LOOKUP(2,1/(LEFT(TRIM($AI540&amp;""),LEN(mapRegion))=mapRegion),mapRegion),"Not Reported")</f>
        <v/>
      </c>
      <c r="CC540" s="76">
        <f>IF($BY540=0,"",IF(TRIM($W540&amp;"")="REO","REO",IF(TRIM($W540&amp;"")="FC","Foreclosure",IF(TRIM($W540&amp;"")="90+","90+ Days Delinquent",IF(TRIM($W540&amp;"")="60","60 Days Delinquent",IF(TRIM($W540&amp;"")="30","30 Days Delinquent",IF($X540="Non-Performing Matured Balloon","Non-Performing Matured Balloon",IF(OR($X540="Late Payment But Less Than 30 Days Delinquent",LEFT($X540&amp;"",20)="Payment Not Received"),"Late / In Grace (&lt;30 Days)",IF($X540="Performing Matured Balloon","Performing Matured Balloon","Current")))))))))</f>
        <v/>
      </c>
      <c r="CD540" s="78">
        <f>IF(OR($CC540="REO",$CC540="Foreclosure",$CC540="90+ Days Delinquent",$CC540="60 Days Delinquent",$CC540="30 Days Delinquent",$CC540="Non-Performing Matured Balloon"),1,0)</f>
        <v/>
      </c>
      <c r="CE540" s="76">
        <f>IF($AB540="Currently special serv","Currently Specially Serviced",IF($AB540="Returned to master serv","Previously Specially Serviced","Never Specially Serviced"))</f>
        <v/>
      </c>
      <c r="CF540" s="78">
        <f>IF($CE540="Currently Specially Serviced",1,0)</f>
        <v/>
      </c>
      <c r="CG540" s="76">
        <f>IF($AA540="Yes","Currently on Watchlist",IF($AA540="Previously","Previously on Watchlist","Never on Watchlist"))</f>
        <v/>
      </c>
      <c r="CH540" s="78">
        <f>IF($CG540="Currently on Watchlist",1,0)</f>
        <v/>
      </c>
      <c r="CI540" s="76">
        <f>IF($Z540="Full Defeasance","Fully Defeased",IF($Z540="Portion Of Loan Previously Defeased","Partially Defeased",IF($Z540="Defeasance Not Allowable","Not Defeased (Not Permitted)","Not Defeased")))</f>
        <v/>
      </c>
      <c r="CJ540" s="78">
        <f>IF($CI540="Fully Defeased",1,0)</f>
        <v/>
      </c>
      <c r="CK540" s="76">
        <f>IF($R540="IO","Full IO",IF(LEFT($R540&amp;"",7)="IO then","Partial IO","Amortizing"))</f>
        <v/>
      </c>
      <c r="CL540" s="78">
        <f>IF($CK540="Full IO",1,0)</f>
        <v/>
      </c>
      <c r="CM540" s="78">
        <f>IF($CK540="Partial IO",1,0)</f>
        <v/>
      </c>
      <c r="CN540" s="76">
        <f>IF(LEFT($F540&amp;"",10)="SPLIT_LOAN","Pari Passu Split","Standalone")</f>
        <v/>
      </c>
      <c r="CO540" s="78">
        <f>IF($CN540="Pari Passu Split",1,0)</f>
        <v/>
      </c>
      <c r="CP540" s="77">
        <f>IF(ISNUMBER($T540),YEAR($T540),"")</f>
        <v/>
      </c>
      <c r="CQ540" s="79">
        <f>IF(ISNUMBER($V540),$V540,IF(ISNUMBER($U540),$U540,""))</f>
        <v/>
      </c>
      <c r="CR540" s="77">
        <f>IF(ISNUMBER($CQ540),YEAR($CQ540),"")</f>
        <v/>
      </c>
      <c r="CS540" s="78">
        <f>IF(ISNUMBER($M540),MAX(0,$M540),IF(TRIM($M540&amp;"")="matured",0,""))</f>
        <v/>
      </c>
      <c r="CT540" s="78">
        <f>IF(AND(ISNUMBER($CS540),N($CS540)&lt;=mMatWindow),1,0)</f>
        <v/>
      </c>
      <c r="CU540" s="80">
        <f>IF(ISNUMBER($J540),$J540/100,"")</f>
        <v/>
      </c>
      <c r="CV540" s="81">
        <f>IF(ISNUMBER($AQ540),$AQ540,"")</f>
        <v/>
      </c>
      <c r="CW540" s="81">
        <f>IF(ISNUMBER($AR540),$AR540,"")</f>
        <v/>
      </c>
      <c r="CX540" s="82">
        <f>IF(ISNUMBER($AS540),$AS540/100,"")</f>
        <v/>
      </c>
      <c r="CY540" s="82">
        <f>IF(ISNUMBER($AT540),$AT540/100,"")</f>
        <v/>
      </c>
      <c r="CZ540" s="82">
        <f>IF(ISNUMBER($AU540),$AU540/100,"")</f>
        <v/>
      </c>
      <c r="DA540" s="82">
        <f>IF(ISNUMBER($AV540),$AV540/100,"")</f>
        <v/>
      </c>
      <c r="DB540" s="82">
        <f>IF(ISNUMBER($AW540),$AW540/100,"")</f>
        <v/>
      </c>
      <c r="DC540" s="82">
        <f>IF(ISNUMBER($AX540),$AX540/100,"")</f>
        <v/>
      </c>
      <c r="DD540" s="77">
        <f>IFERROR(VALUE(LEFT(TRIM($AO540&amp;""),4)),"")</f>
        <v/>
      </c>
      <c r="DE540" s="78">
        <f>IF(AND($BY540=1,$BX540=1,OR(fDeal="All Deals",$BU540=fDeal),OR(fEntity="All Entities",$BV540=fEntity),OR(fPType="All Property Types",$BZ540=fPType),OR(fDefeased="Include",$CJ540=0)),1,0)</f>
        <v/>
      </c>
      <c r="DF540" s="83">
        <f>$DE540*N($I540)</f>
        <v/>
      </c>
      <c r="DG540" s="78">
        <f>IF($DE540=1,IF(COUNTIFS($F$8:$F540,$F540,$DE$8:$DE540,1)=1,1,0),0)</f>
        <v/>
      </c>
      <c r="DH540" s="83">
        <f>IF($DG540=1,SUMIFS($DF$8:$DF$1600,$F$8:$F$1600,$F540),0)</f>
        <v/>
      </c>
      <c r="DI540" s="78">
        <f>IF($DG540=1,COUNTIFS($F$8:$F$1600,$F540,$DE$8:$DE$1600,1),0)</f>
        <v/>
      </c>
      <c r="DJ540" s="84">
        <f>IF($DG540=1,$DH540+(100000-ROW())/mTieBreak,0)</f>
        <v/>
      </c>
    </row>
    <row r="541">
      <c r="B541" s="68" t="n">
        <v>18</v>
      </c>
      <c r="C541" s="69" t="inlineStr">
        <is>
          <t>WFC19C49</t>
        </is>
      </c>
      <c r="D541" s="69" t="inlineStr">
        <is>
          <t>18.000</t>
        </is>
      </c>
      <c r="E541" s="69" t="inlineStr">
        <is>
          <t>Proguard Self Storage - Braeswood</t>
        </is>
      </c>
      <c r="F541" s="69" t="inlineStr">
        <is>
          <t>LNWFC19C49-18.000</t>
        </is>
      </c>
      <c r="G541" s="70" t="n"/>
      <c r="H541" s="71" t="n">
        <v>12870000</v>
      </c>
      <c r="I541" s="71" t="n">
        <v>0</v>
      </c>
      <c r="J541" s="72" t="n">
        <v>5</v>
      </c>
      <c r="K541" s="69" t="inlineStr">
        <is>
          <t>Fixed rate</t>
        </is>
      </c>
      <c r="L541" s="68" t="n">
        <v>60</v>
      </c>
      <c r="M541" s="68" t="n"/>
      <c r="N541" s="68" t="n">
        <v>60</v>
      </c>
      <c r="O541" s="68" t="n">
        <v>60</v>
      </c>
      <c r="P541" s="68" t="n"/>
      <c r="Q541" s="68" t="n"/>
      <c r="R541" s="69" t="inlineStr">
        <is>
          <t>IO</t>
        </is>
      </c>
      <c r="S541" s="69" t="inlineStr">
        <is>
          <t>Yes</t>
        </is>
      </c>
      <c r="T541" s="73" t="n">
        <v>43497</v>
      </c>
      <c r="U541" s="73" t="n">
        <v>45302</v>
      </c>
      <c r="V541" s="73" t="n"/>
      <c r="W541" s="69" t="n"/>
      <c r="X541" s="69" t="inlineStr">
        <is>
          <t>Current</t>
        </is>
      </c>
      <c r="Y541" s="68" t="n"/>
      <c r="Z541" s="69" t="inlineStr">
        <is>
          <t>Full Defeasance</t>
        </is>
      </c>
      <c r="AA541" s="69" t="inlineStr">
        <is>
          <t>Previously</t>
        </is>
      </c>
      <c r="AB541" s="69" t="inlineStr">
        <is>
          <t>Never special serv</t>
        </is>
      </c>
      <c r="AC541" s="73" t="n"/>
      <c r="AD541" s="69" t="n"/>
      <c r="AE541" s="69" t="n"/>
      <c r="AF541" s="69" t="inlineStr">
        <is>
          <t>TX</t>
        </is>
      </c>
      <c r="AG541" s="69" t="inlineStr">
        <is>
          <t>Houston</t>
        </is>
      </c>
      <c r="AH541" s="69" t="inlineStr">
        <is>
          <t>Houston-Pasadena-The Woodlands, TX</t>
        </is>
      </c>
      <c r="AI541" s="69" t="inlineStr">
        <is>
          <t>South / Central West</t>
        </is>
      </c>
      <c r="AJ541" s="69" t="inlineStr">
        <is>
          <t>SS</t>
        </is>
      </c>
      <c r="AK541" s="69" t="n"/>
      <c r="AL541" s="68" t="n">
        <v>1</v>
      </c>
      <c r="AM541" s="68" t="n"/>
      <c r="AN541" s="68" t="n">
        <v>117896</v>
      </c>
      <c r="AO541" s="69" t="inlineStr">
        <is>
          <t>2008</t>
        </is>
      </c>
      <c r="AP541" s="70" t="n">
        <v>2008</v>
      </c>
      <c r="AQ541" s="74" t="n">
        <v>1.99</v>
      </c>
      <c r="AR541" s="74" t="n">
        <v>1.45</v>
      </c>
      <c r="AS541" s="74" t="n">
        <v>65</v>
      </c>
      <c r="AT541" s="74" t="n"/>
      <c r="AU541" s="74" t="n">
        <v>65</v>
      </c>
      <c r="AV541" s="74" t="n">
        <v>10.090846698</v>
      </c>
      <c r="AW541" s="74" t="n"/>
      <c r="AX541" s="75" t="n">
        <v>93</v>
      </c>
      <c r="AY541" s="71" t="n">
        <v>19800000</v>
      </c>
      <c r="AZ541" s="71" t="n">
        <v>19800000</v>
      </c>
      <c r="BA541" s="71" t="n">
        <v>1298691.97</v>
      </c>
      <c r="BB541" s="71" t="n">
        <v>711306.1800000001</v>
      </c>
      <c r="BC541" s="69" t="inlineStr">
        <is>
          <t>Refinance</t>
        </is>
      </c>
      <c r="BD541" s="69" t="inlineStr">
        <is>
          <t>N</t>
        </is>
      </c>
      <c r="BE541" s="71" t="n"/>
      <c r="BF541" s="71" t="n"/>
      <c r="BG541" s="71" t="n"/>
      <c r="BH541" s="71" t="n">
        <v>0</v>
      </c>
      <c r="BI541" s="71" t="n">
        <v>0</v>
      </c>
      <c r="BJ541" s="69" t="inlineStr">
        <is>
          <t>N</t>
        </is>
      </c>
      <c r="BK541" s="69" t="n"/>
      <c r="BL541" s="75" t="n"/>
      <c r="BM541" s="73" t="n"/>
      <c r="BN541" s="69" t="inlineStr">
        <is>
          <t>Sam Amber; Samber, Ltd.</t>
        </is>
      </c>
      <c r="BO541" s="69" t="inlineStr">
        <is>
          <t>Wells Fargo</t>
        </is>
      </c>
      <c r="BP541" s="69" t="inlineStr">
        <is>
          <t>Wells Fargo</t>
        </is>
      </c>
      <c r="BQ541" s="69" t="inlineStr">
        <is>
          <t>K-Star Asset Management LLC</t>
        </is>
      </c>
      <c r="BR541" s="69" t="inlineStr">
        <is>
          <t>Full Payoff At Maturity</t>
        </is>
      </c>
      <c r="BS541" s="73" t="n">
        <v>45302</v>
      </c>
      <c r="BU541" s="76">
        <f>IF($C541="","",IFERROR(INDEX(dmName,MATCH($C541,dmID,0)),"Unmapped"))</f>
        <v/>
      </c>
      <c r="BV541" s="76">
        <f>IF($C541="","",IFERROR(INDEX(dmEntity,MATCH($C541,dmID,0)),"Unmapped"))</f>
        <v/>
      </c>
      <c r="BW541" s="77">
        <f>IF($C541="","",IFERROR(INDEX(dmVintage,MATCH($C541,dmID,0)),""))</f>
        <v/>
      </c>
      <c r="BX541" s="78">
        <f>IFERROR(INDEX(dmInclude,MATCH($C541,dmID,0)),0)</f>
        <v/>
      </c>
      <c r="BY541" s="78">
        <f>IF(N($I541)&gt;0,1,0)</f>
        <v/>
      </c>
      <c r="BZ541" s="76">
        <f>IF($AJ541="","Other / Leased Fee",IFERROR(INDEX(mapPTGroup,MATCH(LEFT(TRIM($AJ541),2),mapPTCode,0)),"Other / Leased Fee"))</f>
        <v/>
      </c>
      <c r="CA541" s="76">
        <f>IF(TRIM($AF541&amp;"")="","NR",LEFT(TRIM($AF541),2))</f>
        <v/>
      </c>
      <c r="CB541" s="76">
        <f>IFERROR(LOOKUP(2,1/(LEFT(TRIM($AI541&amp;""),LEN(mapRegion))=mapRegion),mapRegion),"Not Reported")</f>
        <v/>
      </c>
      <c r="CC541" s="76">
        <f>IF($BY541=0,"",IF(TRIM($W541&amp;"")="REO","REO",IF(TRIM($W541&amp;"")="FC","Foreclosure",IF(TRIM($W541&amp;"")="90+","90+ Days Delinquent",IF(TRIM($W541&amp;"")="60","60 Days Delinquent",IF(TRIM($W541&amp;"")="30","30 Days Delinquent",IF($X541="Non-Performing Matured Balloon","Non-Performing Matured Balloon",IF(OR($X541="Late Payment But Less Than 30 Days Delinquent",LEFT($X541&amp;"",20)="Payment Not Received"),"Late / In Grace (&lt;30 Days)",IF($X541="Performing Matured Balloon","Performing Matured Balloon","Current")))))))))</f>
        <v/>
      </c>
      <c r="CD541" s="78">
        <f>IF(OR($CC541="REO",$CC541="Foreclosure",$CC541="90+ Days Delinquent",$CC541="60 Days Delinquent",$CC541="30 Days Delinquent",$CC541="Non-Performing Matured Balloon"),1,0)</f>
        <v/>
      </c>
      <c r="CE541" s="76">
        <f>IF($AB541="Currently special serv","Currently Specially Serviced",IF($AB541="Returned to master serv","Previously Specially Serviced","Never Specially Serviced"))</f>
        <v/>
      </c>
      <c r="CF541" s="78">
        <f>IF($CE541="Currently Specially Serviced",1,0)</f>
        <v/>
      </c>
      <c r="CG541" s="76">
        <f>IF($AA541="Yes","Currently on Watchlist",IF($AA541="Previously","Previously on Watchlist","Never on Watchlist"))</f>
        <v/>
      </c>
      <c r="CH541" s="78">
        <f>IF($CG541="Currently on Watchlist",1,0)</f>
        <v/>
      </c>
      <c r="CI541" s="76">
        <f>IF($Z541="Full Defeasance","Fully Defeased",IF($Z541="Portion Of Loan Previously Defeased","Partially Defeased",IF($Z541="Defeasance Not Allowable","Not Defeased (Not Permitted)","Not Defeased")))</f>
        <v/>
      </c>
      <c r="CJ541" s="78">
        <f>IF($CI541="Fully Defeased",1,0)</f>
        <v/>
      </c>
      <c r="CK541" s="76">
        <f>IF($R541="IO","Full IO",IF(LEFT($R541&amp;"",7)="IO then","Partial IO","Amortizing"))</f>
        <v/>
      </c>
      <c r="CL541" s="78">
        <f>IF($CK541="Full IO",1,0)</f>
        <v/>
      </c>
      <c r="CM541" s="78">
        <f>IF($CK541="Partial IO",1,0)</f>
        <v/>
      </c>
      <c r="CN541" s="76">
        <f>IF(LEFT($F541&amp;"",10)="SPLIT_LOAN","Pari Passu Split","Standalone")</f>
        <v/>
      </c>
      <c r="CO541" s="78">
        <f>IF($CN541="Pari Passu Split",1,0)</f>
        <v/>
      </c>
      <c r="CP541" s="77">
        <f>IF(ISNUMBER($T541),YEAR($T541),"")</f>
        <v/>
      </c>
      <c r="CQ541" s="79">
        <f>IF(ISNUMBER($V541),$V541,IF(ISNUMBER($U541),$U541,""))</f>
        <v/>
      </c>
      <c r="CR541" s="77">
        <f>IF(ISNUMBER($CQ541),YEAR($CQ541),"")</f>
        <v/>
      </c>
      <c r="CS541" s="78">
        <f>IF(ISNUMBER($M541),MAX(0,$M541),IF(TRIM($M541&amp;"")="matured",0,""))</f>
        <v/>
      </c>
      <c r="CT541" s="78">
        <f>IF(AND(ISNUMBER($CS541),N($CS541)&lt;=mMatWindow),1,0)</f>
        <v/>
      </c>
      <c r="CU541" s="80">
        <f>IF(ISNUMBER($J541),$J541/100,"")</f>
        <v/>
      </c>
      <c r="CV541" s="81">
        <f>IF(ISNUMBER($AQ541),$AQ541,"")</f>
        <v/>
      </c>
      <c r="CW541" s="81">
        <f>IF(ISNUMBER($AR541),$AR541,"")</f>
        <v/>
      </c>
      <c r="CX541" s="82">
        <f>IF(ISNUMBER($AS541),$AS541/100,"")</f>
        <v/>
      </c>
      <c r="CY541" s="82">
        <f>IF(ISNUMBER($AT541),$AT541/100,"")</f>
        <v/>
      </c>
      <c r="CZ541" s="82">
        <f>IF(ISNUMBER($AU541),$AU541/100,"")</f>
        <v/>
      </c>
      <c r="DA541" s="82">
        <f>IF(ISNUMBER($AV541),$AV541/100,"")</f>
        <v/>
      </c>
      <c r="DB541" s="82">
        <f>IF(ISNUMBER($AW541),$AW541/100,"")</f>
        <v/>
      </c>
      <c r="DC541" s="82">
        <f>IF(ISNUMBER($AX541),$AX541/100,"")</f>
        <v/>
      </c>
      <c r="DD541" s="77">
        <f>IFERROR(VALUE(LEFT(TRIM($AO541&amp;""),4)),"")</f>
        <v/>
      </c>
      <c r="DE541" s="78">
        <f>IF(AND($BY541=1,$BX541=1,OR(fDeal="All Deals",$BU541=fDeal),OR(fEntity="All Entities",$BV541=fEntity),OR(fPType="All Property Types",$BZ541=fPType),OR(fDefeased="Include",$CJ541=0)),1,0)</f>
        <v/>
      </c>
      <c r="DF541" s="83">
        <f>$DE541*N($I541)</f>
        <v/>
      </c>
      <c r="DG541" s="78">
        <f>IF($DE541=1,IF(COUNTIFS($F$8:$F541,$F541,$DE$8:$DE541,1)=1,1,0),0)</f>
        <v/>
      </c>
      <c r="DH541" s="83">
        <f>IF($DG541=1,SUMIFS($DF$8:$DF$1600,$F$8:$F$1600,$F541),0)</f>
        <v/>
      </c>
      <c r="DI541" s="78">
        <f>IF($DG541=1,COUNTIFS($F$8:$F$1600,$F541,$DE$8:$DE$1600,1),0)</f>
        <v/>
      </c>
      <c r="DJ541" s="84">
        <f>IF($DG541=1,$DH541+(100000-ROW())/mTieBreak,0)</f>
        <v/>
      </c>
    </row>
    <row r="542">
      <c r="B542" s="68" t="n">
        <v>19</v>
      </c>
      <c r="C542" s="69" t="inlineStr">
        <is>
          <t>WFC19C49</t>
        </is>
      </c>
      <c r="D542" s="69" t="inlineStr">
        <is>
          <t>19.000</t>
        </is>
      </c>
      <c r="E542" s="69" t="inlineStr">
        <is>
          <t>Florissant Marketplace</t>
        </is>
      </c>
      <c r="F542" s="69" t="inlineStr">
        <is>
          <t>LNWFC19C49-19.000</t>
        </is>
      </c>
      <c r="G542" s="70" t="n"/>
      <c r="H542" s="71" t="n">
        <v>12400000</v>
      </c>
      <c r="I542" s="71" t="n">
        <v>0</v>
      </c>
      <c r="J542" s="72" t="n">
        <v>5.25</v>
      </c>
      <c r="K542" s="69" t="inlineStr">
        <is>
          <t>Fixed rate</t>
        </is>
      </c>
      <c r="L542" s="68" t="n">
        <v>120</v>
      </c>
      <c r="M542" s="68" t="n"/>
      <c r="N542" s="68" t="n">
        <v>372</v>
      </c>
      <c r="O542" s="68" t="n">
        <v>12</v>
      </c>
      <c r="P542" s="68" t="n"/>
      <c r="Q542" s="68" t="n"/>
      <c r="R542" s="69" t="inlineStr">
        <is>
          <t>IO then Amort</t>
        </is>
      </c>
      <c r="S542" s="69" t="inlineStr">
        <is>
          <t>No</t>
        </is>
      </c>
      <c r="T542" s="73" t="n">
        <v>43466</v>
      </c>
      <c r="U542" s="73" t="n">
        <v>47124</v>
      </c>
      <c r="V542" s="73" t="n"/>
      <c r="W542" s="69" t="n"/>
      <c r="X542" s="69" t="inlineStr">
        <is>
          <t>Current</t>
        </is>
      </c>
      <c r="Y542" s="68" t="n"/>
      <c r="Z542" s="69" t="inlineStr">
        <is>
          <t>No Defeasance Occurred</t>
        </is>
      </c>
      <c r="AA542" s="69" t="inlineStr">
        <is>
          <t>Previously</t>
        </is>
      </c>
      <c r="AB542" s="69" t="inlineStr">
        <is>
          <t>Currently special serv</t>
        </is>
      </c>
      <c r="AC542" s="73" t="n">
        <v>44021</v>
      </c>
      <c r="AD542" s="69" t="inlineStr">
        <is>
          <t>Payment Default (all payments excluding Balloon/Maturity Payment)</t>
        </is>
      </c>
      <c r="AE542" s="69" t="inlineStr">
        <is>
          <t>Bankruptcy</t>
        </is>
      </c>
      <c r="AF542" s="69" t="inlineStr">
        <is>
          <t>MO</t>
        </is>
      </c>
      <c r="AG542" s="69" t="inlineStr">
        <is>
          <t>Florissant</t>
        </is>
      </c>
      <c r="AH542" s="69" t="inlineStr">
        <is>
          <t>St. Louis, MO-IL</t>
        </is>
      </c>
      <c r="AI542" s="69" t="inlineStr">
        <is>
          <t>Midwest / Central West</t>
        </is>
      </c>
      <c r="AJ542" s="69" t="inlineStr">
        <is>
          <t>RT</t>
        </is>
      </c>
      <c r="AK542" s="69" t="inlineStr">
        <is>
          <t>Anchored</t>
        </is>
      </c>
      <c r="AL542" s="68" t="n">
        <v>1</v>
      </c>
      <c r="AM542" s="68" t="n"/>
      <c r="AN542" s="68" t="n">
        <v>146257</v>
      </c>
      <c r="AO542" s="69" t="inlineStr">
        <is>
          <t>1973</t>
        </is>
      </c>
      <c r="AP542" s="70" t="n">
        <v>2007</v>
      </c>
      <c r="AQ542" s="74" t="n">
        <v>1.46</v>
      </c>
      <c r="AR542" s="74" t="n">
        <v>0.34</v>
      </c>
      <c r="AS542" s="74" t="n">
        <v>71.7</v>
      </c>
      <c r="AT542" s="74" t="n"/>
      <c r="AU542" s="74" t="n">
        <v>61</v>
      </c>
      <c r="AV542" s="74" t="n">
        <v>9.644927419</v>
      </c>
      <c r="AW542" s="74" t="n"/>
      <c r="AX542" s="75" t="n">
        <v>68.67</v>
      </c>
      <c r="AY542" s="71" t="n">
        <v>17300000</v>
      </c>
      <c r="AZ542" s="71" t="n">
        <v>14200000</v>
      </c>
      <c r="BA542" s="71" t="n">
        <v>1195971</v>
      </c>
      <c r="BB542" s="71" t="n">
        <v>282412</v>
      </c>
      <c r="BC542" s="69" t="inlineStr">
        <is>
          <t>Acquisition</t>
        </is>
      </c>
      <c r="BD542" s="69" t="inlineStr">
        <is>
          <t>N</t>
        </is>
      </c>
      <c r="BE542" s="71" t="n"/>
      <c r="BF542" s="71" t="n"/>
      <c r="BG542" s="71" t="n"/>
      <c r="BH542" s="71" t="n">
        <v>0</v>
      </c>
      <c r="BI542" s="71" t="n">
        <v>0</v>
      </c>
      <c r="BJ542" s="69" t="inlineStr">
        <is>
          <t>N</t>
        </is>
      </c>
      <c r="BK542" s="69" t="inlineStr">
        <is>
          <t>Schnuck Markets, Inc.</t>
        </is>
      </c>
      <c r="BL542" s="75" t="n">
        <v>48.04</v>
      </c>
      <c r="BM542" s="73" t="n">
        <v>46356</v>
      </c>
      <c r="BN542" s="69" t="inlineStr">
        <is>
          <t>Michael J. Polimeni</t>
        </is>
      </c>
      <c r="BO542" s="69" t="inlineStr">
        <is>
          <t>RMF</t>
        </is>
      </c>
      <c r="BP542" s="69" t="inlineStr">
        <is>
          <t>TriMont Real Estate Advisors</t>
        </is>
      </c>
      <c r="BQ542" s="69" t="inlineStr">
        <is>
          <t>K-Star Asset Management LLC</t>
        </is>
      </c>
      <c r="BR542" s="69" t="inlineStr">
        <is>
          <t>Disposition / Liquidation</t>
        </is>
      </c>
      <c r="BS542" s="73" t="n">
        <v>46276</v>
      </c>
      <c r="BU542" s="76">
        <f>IF($C542="","",IFERROR(INDEX(dmName,MATCH($C542,dmID,0)),"Unmapped"))</f>
        <v/>
      </c>
      <c r="BV542" s="76">
        <f>IF($C542="","",IFERROR(INDEX(dmEntity,MATCH($C542,dmID,0)),"Unmapped"))</f>
        <v/>
      </c>
      <c r="BW542" s="77">
        <f>IF($C542="","",IFERROR(INDEX(dmVintage,MATCH($C542,dmID,0)),""))</f>
        <v/>
      </c>
      <c r="BX542" s="78">
        <f>IFERROR(INDEX(dmInclude,MATCH($C542,dmID,0)),0)</f>
        <v/>
      </c>
      <c r="BY542" s="78">
        <f>IF(N($I542)&gt;0,1,0)</f>
        <v/>
      </c>
      <c r="BZ542" s="76">
        <f>IF($AJ542="","Other / Leased Fee",IFERROR(INDEX(mapPTGroup,MATCH(LEFT(TRIM($AJ542),2),mapPTCode,0)),"Other / Leased Fee"))</f>
        <v/>
      </c>
      <c r="CA542" s="76">
        <f>IF(TRIM($AF542&amp;"")="","NR",LEFT(TRIM($AF542),2))</f>
        <v/>
      </c>
      <c r="CB542" s="76">
        <f>IFERROR(LOOKUP(2,1/(LEFT(TRIM($AI542&amp;""),LEN(mapRegion))=mapRegion),mapRegion),"Not Reported")</f>
        <v/>
      </c>
      <c r="CC542" s="76">
        <f>IF($BY542=0,"",IF(TRIM($W542&amp;"")="REO","REO",IF(TRIM($W542&amp;"")="FC","Foreclosure",IF(TRIM($W542&amp;"")="90+","90+ Days Delinquent",IF(TRIM($W542&amp;"")="60","60 Days Delinquent",IF(TRIM($W542&amp;"")="30","30 Days Delinquent",IF($X542="Non-Performing Matured Balloon","Non-Performing Matured Balloon",IF(OR($X542="Late Payment But Less Than 30 Days Delinquent",LEFT($X542&amp;"",20)="Payment Not Received"),"Late / In Grace (&lt;30 Days)",IF($X542="Performing Matured Balloon","Performing Matured Balloon","Current")))))))))</f>
        <v/>
      </c>
      <c r="CD542" s="78">
        <f>IF(OR($CC542="REO",$CC542="Foreclosure",$CC542="90+ Days Delinquent",$CC542="60 Days Delinquent",$CC542="30 Days Delinquent",$CC542="Non-Performing Matured Balloon"),1,0)</f>
        <v/>
      </c>
      <c r="CE542" s="76">
        <f>IF($AB542="Currently special serv","Currently Specially Serviced",IF($AB542="Returned to master serv","Previously Specially Serviced","Never Specially Serviced"))</f>
        <v/>
      </c>
      <c r="CF542" s="78">
        <f>IF($CE542="Currently Specially Serviced",1,0)</f>
        <v/>
      </c>
      <c r="CG542" s="76">
        <f>IF($AA542="Yes","Currently on Watchlist",IF($AA542="Previously","Previously on Watchlist","Never on Watchlist"))</f>
        <v/>
      </c>
      <c r="CH542" s="78">
        <f>IF($CG542="Currently on Watchlist",1,0)</f>
        <v/>
      </c>
      <c r="CI542" s="76">
        <f>IF($Z542="Full Defeasance","Fully Defeased",IF($Z542="Portion Of Loan Previously Defeased","Partially Defeased",IF($Z542="Defeasance Not Allowable","Not Defeased (Not Permitted)","Not Defeased")))</f>
        <v/>
      </c>
      <c r="CJ542" s="78">
        <f>IF($CI542="Fully Defeased",1,0)</f>
        <v/>
      </c>
      <c r="CK542" s="76">
        <f>IF($R542="IO","Full IO",IF(LEFT($R542&amp;"",7)="IO then","Partial IO","Amortizing"))</f>
        <v/>
      </c>
      <c r="CL542" s="78">
        <f>IF($CK542="Full IO",1,0)</f>
        <v/>
      </c>
      <c r="CM542" s="78">
        <f>IF($CK542="Partial IO",1,0)</f>
        <v/>
      </c>
      <c r="CN542" s="76">
        <f>IF(LEFT($F542&amp;"",10)="SPLIT_LOAN","Pari Passu Split","Standalone")</f>
        <v/>
      </c>
      <c r="CO542" s="78">
        <f>IF($CN542="Pari Passu Split",1,0)</f>
        <v/>
      </c>
      <c r="CP542" s="77">
        <f>IF(ISNUMBER($T542),YEAR($T542),"")</f>
        <v/>
      </c>
      <c r="CQ542" s="79">
        <f>IF(ISNUMBER($V542),$V542,IF(ISNUMBER($U542),$U542,""))</f>
        <v/>
      </c>
      <c r="CR542" s="77">
        <f>IF(ISNUMBER($CQ542),YEAR($CQ542),"")</f>
        <v/>
      </c>
      <c r="CS542" s="78">
        <f>IF(ISNUMBER($M542),MAX(0,$M542),IF(TRIM($M542&amp;"")="matured",0,""))</f>
        <v/>
      </c>
      <c r="CT542" s="78">
        <f>IF(AND(ISNUMBER($CS542),N($CS542)&lt;=mMatWindow),1,0)</f>
        <v/>
      </c>
      <c r="CU542" s="80">
        <f>IF(ISNUMBER($J542),$J542/100,"")</f>
        <v/>
      </c>
      <c r="CV542" s="81">
        <f>IF(ISNUMBER($AQ542),$AQ542,"")</f>
        <v/>
      </c>
      <c r="CW542" s="81">
        <f>IF(ISNUMBER($AR542),$AR542,"")</f>
        <v/>
      </c>
      <c r="CX542" s="82">
        <f>IF(ISNUMBER($AS542),$AS542/100,"")</f>
        <v/>
      </c>
      <c r="CY542" s="82">
        <f>IF(ISNUMBER($AT542),$AT542/100,"")</f>
        <v/>
      </c>
      <c r="CZ542" s="82">
        <f>IF(ISNUMBER($AU542),$AU542/100,"")</f>
        <v/>
      </c>
      <c r="DA542" s="82">
        <f>IF(ISNUMBER($AV542),$AV542/100,"")</f>
        <v/>
      </c>
      <c r="DB542" s="82">
        <f>IF(ISNUMBER($AW542),$AW542/100,"")</f>
        <v/>
      </c>
      <c r="DC542" s="82">
        <f>IF(ISNUMBER($AX542),$AX542/100,"")</f>
        <v/>
      </c>
      <c r="DD542" s="77">
        <f>IFERROR(VALUE(LEFT(TRIM($AO542&amp;""),4)),"")</f>
        <v/>
      </c>
      <c r="DE542" s="78">
        <f>IF(AND($BY542=1,$BX542=1,OR(fDeal="All Deals",$BU542=fDeal),OR(fEntity="All Entities",$BV542=fEntity),OR(fPType="All Property Types",$BZ542=fPType),OR(fDefeased="Include",$CJ542=0)),1,0)</f>
        <v/>
      </c>
      <c r="DF542" s="83">
        <f>$DE542*N($I542)</f>
        <v/>
      </c>
      <c r="DG542" s="78">
        <f>IF($DE542=1,IF(COUNTIFS($F$8:$F542,$F542,$DE$8:$DE542,1)=1,1,0),0)</f>
        <v/>
      </c>
      <c r="DH542" s="83">
        <f>IF($DG542=1,SUMIFS($DF$8:$DF$1600,$F$8:$F$1600,$F542),0)</f>
        <v/>
      </c>
      <c r="DI542" s="78">
        <f>IF($DG542=1,COUNTIFS($F$8:$F$1600,$F542,$DE$8:$DE$1600,1),0)</f>
        <v/>
      </c>
      <c r="DJ542" s="84">
        <f>IF($DG542=1,$DH542+(100000-ROW())/mTieBreak,0)</f>
        <v/>
      </c>
    </row>
    <row r="543">
      <c r="B543" s="68" t="n">
        <v>20</v>
      </c>
      <c r="C543" s="69" t="inlineStr">
        <is>
          <t>WFC19C49</t>
        </is>
      </c>
      <c r="D543" s="69" t="inlineStr">
        <is>
          <t>20.000</t>
        </is>
      </c>
      <c r="E543" s="69" t="inlineStr">
        <is>
          <t>9th Street Marketplace</t>
        </is>
      </c>
      <c r="F543" s="69" t="inlineStr">
        <is>
          <t>LNWFC19C49-20.000</t>
        </is>
      </c>
      <c r="G543" s="70" t="n"/>
      <c r="H543" s="71" t="n">
        <v>11650000</v>
      </c>
      <c r="I543" s="71" t="n">
        <v>10833583.19999965</v>
      </c>
      <c r="J543" s="72" t="n">
        <v>5.15</v>
      </c>
      <c r="K543" s="69" t="inlineStr">
        <is>
          <t>Fixed rate</t>
        </is>
      </c>
      <c r="L543" s="68" t="n">
        <v>120</v>
      </c>
      <c r="M543" s="68" t="n">
        <v>28</v>
      </c>
      <c r="N543" s="68" t="n">
        <v>396</v>
      </c>
      <c r="O543" s="68" t="n">
        <v>36</v>
      </c>
      <c r="P543" s="68" t="n">
        <v>0</v>
      </c>
      <c r="Q543" s="68" t="n">
        <v>92</v>
      </c>
      <c r="R543" s="69" t="inlineStr">
        <is>
          <t>IO then Amort</t>
        </is>
      </c>
      <c r="S543" s="69" t="inlineStr">
        <is>
          <t>No</t>
        </is>
      </c>
      <c r="T543" s="73" t="n">
        <v>43466</v>
      </c>
      <c r="U543" s="73" t="n">
        <v>47129</v>
      </c>
      <c r="V543" s="73" t="n"/>
      <c r="W543" s="69" t="n"/>
      <c r="X543" s="69" t="inlineStr">
        <is>
          <t>Current</t>
        </is>
      </c>
      <c r="Y543" s="68" t="n"/>
      <c r="Z543" s="69" t="inlineStr">
        <is>
          <t>No Defeasance Occurred</t>
        </is>
      </c>
      <c r="AA543" s="69" t="inlineStr">
        <is>
          <t>Previously</t>
        </is>
      </c>
      <c r="AB543" s="69" t="inlineStr">
        <is>
          <t>Never special serv</t>
        </is>
      </c>
      <c r="AC543" s="73" t="n"/>
      <c r="AD543" s="69" t="n"/>
      <c r="AE543" s="69" t="n"/>
      <c r="AF543" s="69" t="inlineStr">
        <is>
          <t>UT</t>
        </is>
      </c>
      <c r="AG543" s="69" t="inlineStr">
        <is>
          <t>Murray</t>
        </is>
      </c>
      <c r="AH543" s="69" t="inlineStr">
        <is>
          <t>Salt Lake City-Murray, UT</t>
        </is>
      </c>
      <c r="AI543" s="69" t="inlineStr">
        <is>
          <t>West / Mountain</t>
        </is>
      </c>
      <c r="AJ543" s="69" t="inlineStr">
        <is>
          <t>RT</t>
        </is>
      </c>
      <c r="AK543" s="69" t="inlineStr">
        <is>
          <t>Anchored</t>
        </is>
      </c>
      <c r="AL543" s="68" t="n">
        <v>1</v>
      </c>
      <c r="AM543" s="68" t="n"/>
      <c r="AN543" s="68" t="n">
        <v>62523</v>
      </c>
      <c r="AO543" s="69" t="inlineStr">
        <is>
          <t>1963</t>
        </is>
      </c>
      <c r="AP543" s="70" t="n">
        <v>2001</v>
      </c>
      <c r="AQ543" s="74" t="n">
        <v>1.28</v>
      </c>
      <c r="AR543" s="74" t="n">
        <v>1.59</v>
      </c>
      <c r="AS543" s="74" t="n">
        <v>70.2</v>
      </c>
      <c r="AT543" s="74" t="n">
        <v>65.26000000000001</v>
      </c>
      <c r="AU543" s="74" t="n">
        <v>62.3</v>
      </c>
      <c r="AV543" s="74" t="n">
        <v>8.412283262000001</v>
      </c>
      <c r="AW543" s="74" t="n">
        <v>12.076077101</v>
      </c>
      <c r="AX543" s="75" t="n">
        <v>100</v>
      </c>
      <c r="AY543" s="71" t="n">
        <v>16600000</v>
      </c>
      <c r="AZ543" s="71" t="n">
        <v>16600000</v>
      </c>
      <c r="BA543" s="71" t="n">
        <v>980031</v>
      </c>
      <c r="BB543" s="71" t="n">
        <v>606857.28</v>
      </c>
      <c r="BC543" s="69" t="inlineStr">
        <is>
          <t>Refinance</t>
        </is>
      </c>
      <c r="BD543" s="69" t="inlineStr">
        <is>
          <t>N</t>
        </is>
      </c>
      <c r="BE543" s="71" t="n"/>
      <c r="BF543" s="71" t="n"/>
      <c r="BG543" s="71" t="n"/>
      <c r="BH543" s="71" t="n">
        <v>0</v>
      </c>
      <c r="BI543" s="71" t="n">
        <v>0</v>
      </c>
      <c r="BJ543" s="69" t="inlineStr">
        <is>
          <t>N</t>
        </is>
      </c>
      <c r="BK543" s="69" t="inlineStr">
        <is>
          <t>Petsmart</t>
        </is>
      </c>
      <c r="BL543" s="75" t="n">
        <v>32.29</v>
      </c>
      <c r="BM543" s="73" t="n">
        <v>46843</v>
      </c>
      <c r="BN543" s="69" t="inlineStr">
        <is>
          <t>Peter W. Doerken</t>
        </is>
      </c>
      <c r="BO543" s="69" t="inlineStr">
        <is>
          <t>Wells Fargo</t>
        </is>
      </c>
      <c r="BP543" s="69" t="inlineStr">
        <is>
          <t>TriMont Real Estate Advisors</t>
        </is>
      </c>
      <c r="BQ543" s="69" t="inlineStr">
        <is>
          <t>K-Star Asset Management LLC</t>
        </is>
      </c>
      <c r="BR543" s="69" t="n"/>
      <c r="BS543" s="73" t="n">
        <v>46276</v>
      </c>
      <c r="BU543" s="76">
        <f>IF($C543="","",IFERROR(INDEX(dmName,MATCH($C543,dmID,0)),"Unmapped"))</f>
        <v/>
      </c>
      <c r="BV543" s="76">
        <f>IF($C543="","",IFERROR(INDEX(dmEntity,MATCH($C543,dmID,0)),"Unmapped"))</f>
        <v/>
      </c>
      <c r="BW543" s="77">
        <f>IF($C543="","",IFERROR(INDEX(dmVintage,MATCH($C543,dmID,0)),""))</f>
        <v/>
      </c>
      <c r="BX543" s="78">
        <f>IFERROR(INDEX(dmInclude,MATCH($C543,dmID,0)),0)</f>
        <v/>
      </c>
      <c r="BY543" s="78">
        <f>IF(N($I543)&gt;0,1,0)</f>
        <v/>
      </c>
      <c r="BZ543" s="76">
        <f>IF($AJ543="","Other / Leased Fee",IFERROR(INDEX(mapPTGroup,MATCH(LEFT(TRIM($AJ543),2),mapPTCode,0)),"Other / Leased Fee"))</f>
        <v/>
      </c>
      <c r="CA543" s="76">
        <f>IF(TRIM($AF543&amp;"")="","NR",LEFT(TRIM($AF543),2))</f>
        <v/>
      </c>
      <c r="CB543" s="76">
        <f>IFERROR(LOOKUP(2,1/(LEFT(TRIM($AI543&amp;""),LEN(mapRegion))=mapRegion),mapRegion),"Not Reported")</f>
        <v/>
      </c>
      <c r="CC543" s="76">
        <f>IF($BY543=0,"",IF(TRIM($W543&amp;"")="REO","REO",IF(TRIM($W543&amp;"")="FC","Foreclosure",IF(TRIM($W543&amp;"")="90+","90+ Days Delinquent",IF(TRIM($W543&amp;"")="60","60 Days Delinquent",IF(TRIM($W543&amp;"")="30","30 Days Delinquent",IF($X543="Non-Performing Matured Balloon","Non-Performing Matured Balloon",IF(OR($X543="Late Payment But Less Than 30 Days Delinquent",LEFT($X543&amp;"",20)="Payment Not Received"),"Late / In Grace (&lt;30 Days)",IF($X543="Performing Matured Balloon","Performing Matured Balloon","Current")))))))))</f>
        <v/>
      </c>
      <c r="CD543" s="78">
        <f>IF(OR($CC543="REO",$CC543="Foreclosure",$CC543="90+ Days Delinquent",$CC543="60 Days Delinquent",$CC543="30 Days Delinquent",$CC543="Non-Performing Matured Balloon"),1,0)</f>
        <v/>
      </c>
      <c r="CE543" s="76">
        <f>IF($AB543="Currently special serv","Currently Specially Serviced",IF($AB543="Returned to master serv","Previously Specially Serviced","Never Specially Serviced"))</f>
        <v/>
      </c>
      <c r="CF543" s="78">
        <f>IF($CE543="Currently Specially Serviced",1,0)</f>
        <v/>
      </c>
      <c r="CG543" s="76">
        <f>IF($AA543="Yes","Currently on Watchlist",IF($AA543="Previously","Previously on Watchlist","Never on Watchlist"))</f>
        <v/>
      </c>
      <c r="CH543" s="78">
        <f>IF($CG543="Currently on Watchlist",1,0)</f>
        <v/>
      </c>
      <c r="CI543" s="76">
        <f>IF($Z543="Full Defeasance","Fully Defeased",IF($Z543="Portion Of Loan Previously Defeased","Partially Defeased",IF($Z543="Defeasance Not Allowable","Not Defeased (Not Permitted)","Not Defeased")))</f>
        <v/>
      </c>
      <c r="CJ543" s="78">
        <f>IF($CI543="Fully Defeased",1,0)</f>
        <v/>
      </c>
      <c r="CK543" s="76">
        <f>IF($R543="IO","Full IO",IF(LEFT($R543&amp;"",7)="IO then","Partial IO","Amortizing"))</f>
        <v/>
      </c>
      <c r="CL543" s="78">
        <f>IF($CK543="Full IO",1,0)</f>
        <v/>
      </c>
      <c r="CM543" s="78">
        <f>IF($CK543="Partial IO",1,0)</f>
        <v/>
      </c>
      <c r="CN543" s="76">
        <f>IF(LEFT($F543&amp;"",10)="SPLIT_LOAN","Pari Passu Split","Standalone")</f>
        <v/>
      </c>
      <c r="CO543" s="78">
        <f>IF($CN543="Pari Passu Split",1,0)</f>
        <v/>
      </c>
      <c r="CP543" s="77">
        <f>IF(ISNUMBER($T543),YEAR($T543),"")</f>
        <v/>
      </c>
      <c r="CQ543" s="79">
        <f>IF(ISNUMBER($V543),$V543,IF(ISNUMBER($U543),$U543,""))</f>
        <v/>
      </c>
      <c r="CR543" s="77">
        <f>IF(ISNUMBER($CQ543),YEAR($CQ543),"")</f>
        <v/>
      </c>
      <c r="CS543" s="78">
        <f>IF(ISNUMBER($M543),MAX(0,$M543),IF(TRIM($M543&amp;"")="matured",0,""))</f>
        <v/>
      </c>
      <c r="CT543" s="78">
        <f>IF(AND(ISNUMBER($CS543),N($CS543)&lt;=mMatWindow),1,0)</f>
        <v/>
      </c>
      <c r="CU543" s="80">
        <f>IF(ISNUMBER($J543),$J543/100,"")</f>
        <v/>
      </c>
      <c r="CV543" s="81">
        <f>IF(ISNUMBER($AQ543),$AQ543,"")</f>
        <v/>
      </c>
      <c r="CW543" s="81">
        <f>IF(ISNUMBER($AR543),$AR543,"")</f>
        <v/>
      </c>
      <c r="CX543" s="82">
        <f>IF(ISNUMBER($AS543),$AS543/100,"")</f>
        <v/>
      </c>
      <c r="CY543" s="82">
        <f>IF(ISNUMBER($AT543),$AT543/100,"")</f>
        <v/>
      </c>
      <c r="CZ543" s="82">
        <f>IF(ISNUMBER($AU543),$AU543/100,"")</f>
        <v/>
      </c>
      <c r="DA543" s="82">
        <f>IF(ISNUMBER($AV543),$AV543/100,"")</f>
        <v/>
      </c>
      <c r="DB543" s="82">
        <f>IF(ISNUMBER($AW543),$AW543/100,"")</f>
        <v/>
      </c>
      <c r="DC543" s="82">
        <f>IF(ISNUMBER($AX543),$AX543/100,"")</f>
        <v/>
      </c>
      <c r="DD543" s="77">
        <f>IFERROR(VALUE(LEFT(TRIM($AO543&amp;""),4)),"")</f>
        <v/>
      </c>
      <c r="DE543" s="78">
        <f>IF(AND($BY543=1,$BX543=1,OR(fDeal="All Deals",$BU543=fDeal),OR(fEntity="All Entities",$BV543=fEntity),OR(fPType="All Property Types",$BZ543=fPType),OR(fDefeased="Include",$CJ543=0)),1,0)</f>
        <v/>
      </c>
      <c r="DF543" s="83">
        <f>$DE543*N($I543)</f>
        <v/>
      </c>
      <c r="DG543" s="78">
        <f>IF($DE543=1,IF(COUNTIFS($F$8:$F543,$F543,$DE$8:$DE543,1)=1,1,0),0)</f>
        <v/>
      </c>
      <c r="DH543" s="83">
        <f>IF($DG543=1,SUMIFS($DF$8:$DF$1600,$F$8:$F$1600,$F543),0)</f>
        <v/>
      </c>
      <c r="DI543" s="78">
        <f>IF($DG543=1,COUNTIFS($F$8:$F$1600,$F543,$DE$8:$DE$1600,1),0)</f>
        <v/>
      </c>
      <c r="DJ543" s="84">
        <f>IF($DG543=1,$DH543+(100000-ROW())/mTieBreak,0)</f>
        <v/>
      </c>
    </row>
    <row r="544">
      <c r="B544" s="68" t="n">
        <v>21</v>
      </c>
      <c r="C544" s="69" t="inlineStr">
        <is>
          <t>WFC19C49</t>
        </is>
      </c>
      <c r="D544" s="69" t="inlineStr">
        <is>
          <t>21.000</t>
        </is>
      </c>
      <c r="E544" s="69" t="inlineStr">
        <is>
          <t>Westport US Storage NY &amp; CA</t>
        </is>
      </c>
      <c r="F544" s="69" t="inlineStr">
        <is>
          <t>LNWFC19C49-21.000</t>
        </is>
      </c>
      <c r="G544" s="70" t="n"/>
      <c r="H544" s="71" t="n">
        <v>11400000</v>
      </c>
      <c r="I544" s="71" t="n">
        <v>10919047.2100008</v>
      </c>
      <c r="J544" s="72" t="n">
        <v>4.75</v>
      </c>
      <c r="K544" s="69" t="inlineStr">
        <is>
          <t>Fixed rate</t>
        </is>
      </c>
      <c r="L544" s="68" t="n">
        <v>120</v>
      </c>
      <c r="M544" s="68" t="n">
        <v>27</v>
      </c>
      <c r="N544" s="68" t="n">
        <v>420</v>
      </c>
      <c r="O544" s="68" t="n">
        <v>60</v>
      </c>
      <c r="P544" s="68" t="n">
        <v>0</v>
      </c>
      <c r="Q544" s="68" t="n">
        <v>93</v>
      </c>
      <c r="R544" s="69" t="inlineStr">
        <is>
          <t>IO then Amort</t>
        </is>
      </c>
      <c r="S544" s="69" t="inlineStr">
        <is>
          <t>No</t>
        </is>
      </c>
      <c r="T544" s="73" t="n">
        <v>43435</v>
      </c>
      <c r="U544" s="73" t="n">
        <v>47098</v>
      </c>
      <c r="V544" s="73" t="n"/>
      <c r="W544" s="69" t="n"/>
      <c r="X544" s="69" t="inlineStr">
        <is>
          <t>Current</t>
        </is>
      </c>
      <c r="Y544" s="68" t="n"/>
      <c r="Z544" s="69" t="inlineStr">
        <is>
          <t>No Defeasance Occurred</t>
        </is>
      </c>
      <c r="AA544" s="69" t="n"/>
      <c r="AB544" s="69" t="inlineStr">
        <is>
          <t>Never special serv</t>
        </is>
      </c>
      <c r="AC544" s="73" t="n"/>
      <c r="AD544" s="69" t="n"/>
      <c r="AE544" s="69" t="n"/>
      <c r="AF544" s="69" t="inlineStr">
        <is>
          <t>NY-70.175439969% CA-29.824560031%</t>
        </is>
      </c>
      <c r="AG544" s="69" t="n"/>
      <c r="AH544" s="69" t="inlineStr">
        <is>
          <t>New York-Newark-Jersey City, NY-NJ-70.175439969% Los Angeles-Long Beach-Anaheim, CA-29.824560031%</t>
        </is>
      </c>
      <c r="AI544" s="69" t="inlineStr">
        <is>
          <t>Northeast / Mid-Atlantic-70.175439969% West / Pacific South-29.824560031%</t>
        </is>
      </c>
      <c r="AJ544" s="69" t="inlineStr">
        <is>
          <t>SS</t>
        </is>
      </c>
      <c r="AK544" s="69" t="n"/>
      <c r="AL544" s="68" t="n">
        <v>2</v>
      </c>
      <c r="AM544" s="68" t="n"/>
      <c r="AN544" s="68" t="n">
        <v>70769</v>
      </c>
      <c r="AO544" s="69" t="n"/>
      <c r="AP544" s="70" t="n">
        <v>1987</v>
      </c>
      <c r="AQ544" s="74" t="n">
        <v>1.75</v>
      </c>
      <c r="AR544" s="74" t="n">
        <v>2.15</v>
      </c>
      <c r="AS544" s="74" t="n">
        <v>56.7</v>
      </c>
      <c r="AT544" s="74" t="n">
        <v>54.32</v>
      </c>
      <c r="AU544" s="74" t="n">
        <v>52.1</v>
      </c>
      <c r="AV544" s="74" t="n">
        <v>10.923389035</v>
      </c>
      <c r="AW544" s="74" t="n">
        <v>14.055431948</v>
      </c>
      <c r="AX544" s="75" t="n">
        <v>84</v>
      </c>
      <c r="AY544" s="71" t="n">
        <v>20100000</v>
      </c>
      <c r="AZ544" s="71" t="n">
        <v>20100000</v>
      </c>
      <c r="BA544" s="71" t="n">
        <v>1245266.35</v>
      </c>
      <c r="BB544" s="71" t="n">
        <v>767740.53</v>
      </c>
      <c r="BC544" s="69" t="inlineStr">
        <is>
          <t>Refinance</t>
        </is>
      </c>
      <c r="BD544" s="69" t="inlineStr">
        <is>
          <t>N</t>
        </is>
      </c>
      <c r="BE544" s="71" t="n"/>
      <c r="BF544" s="71" t="n"/>
      <c r="BG544" s="71" t="n"/>
      <c r="BH544" s="71" t="n">
        <v>0</v>
      </c>
      <c r="BI544" s="71" t="n">
        <v>0</v>
      </c>
      <c r="BJ544" s="69" t="inlineStr">
        <is>
          <t>N</t>
        </is>
      </c>
      <c r="BK544" s="69" t="n"/>
      <c r="BL544" s="75" t="n"/>
      <c r="BM544" s="73" t="n"/>
      <c r="BN544" s="69" t="inlineStr">
        <is>
          <t>Westport Properties, Inc.</t>
        </is>
      </c>
      <c r="BO544" s="69" t="inlineStr">
        <is>
          <t>Wells Fargo</t>
        </is>
      </c>
      <c r="BP544" s="69" t="inlineStr">
        <is>
          <t>TriMont Real Estate Advisors</t>
        </is>
      </c>
      <c r="BQ544" s="69" t="inlineStr">
        <is>
          <t>K-Star Asset Management LLC</t>
        </is>
      </c>
      <c r="BR544" s="69" t="n"/>
      <c r="BS544" s="73" t="n">
        <v>46276</v>
      </c>
      <c r="BU544" s="76">
        <f>IF($C544="","",IFERROR(INDEX(dmName,MATCH($C544,dmID,0)),"Unmapped"))</f>
        <v/>
      </c>
      <c r="BV544" s="76">
        <f>IF($C544="","",IFERROR(INDEX(dmEntity,MATCH($C544,dmID,0)),"Unmapped"))</f>
        <v/>
      </c>
      <c r="BW544" s="77">
        <f>IF($C544="","",IFERROR(INDEX(dmVintage,MATCH($C544,dmID,0)),""))</f>
        <v/>
      </c>
      <c r="BX544" s="78">
        <f>IFERROR(INDEX(dmInclude,MATCH($C544,dmID,0)),0)</f>
        <v/>
      </c>
      <c r="BY544" s="78">
        <f>IF(N($I544)&gt;0,1,0)</f>
        <v/>
      </c>
      <c r="BZ544" s="76">
        <f>IF($AJ544="","Other / Leased Fee",IFERROR(INDEX(mapPTGroup,MATCH(LEFT(TRIM($AJ544),2),mapPTCode,0)),"Other / Leased Fee"))</f>
        <v/>
      </c>
      <c r="CA544" s="76">
        <f>IF(TRIM($AF544&amp;"")="","NR",LEFT(TRIM($AF544),2))</f>
        <v/>
      </c>
      <c r="CB544" s="76">
        <f>IFERROR(LOOKUP(2,1/(LEFT(TRIM($AI544&amp;""),LEN(mapRegion))=mapRegion),mapRegion),"Not Reported")</f>
        <v/>
      </c>
      <c r="CC544" s="76">
        <f>IF($BY544=0,"",IF(TRIM($W544&amp;"")="REO","REO",IF(TRIM($W544&amp;"")="FC","Foreclosure",IF(TRIM($W544&amp;"")="90+","90+ Days Delinquent",IF(TRIM($W544&amp;"")="60","60 Days Delinquent",IF(TRIM($W544&amp;"")="30","30 Days Delinquent",IF($X544="Non-Performing Matured Balloon","Non-Performing Matured Balloon",IF(OR($X544="Late Payment But Less Than 30 Days Delinquent",LEFT($X544&amp;"",20)="Payment Not Received"),"Late / In Grace (&lt;30 Days)",IF($X544="Performing Matured Balloon","Performing Matured Balloon","Current")))))))))</f>
        <v/>
      </c>
      <c r="CD544" s="78">
        <f>IF(OR($CC544="REO",$CC544="Foreclosure",$CC544="90+ Days Delinquent",$CC544="60 Days Delinquent",$CC544="30 Days Delinquent",$CC544="Non-Performing Matured Balloon"),1,0)</f>
        <v/>
      </c>
      <c r="CE544" s="76">
        <f>IF($AB544="Currently special serv","Currently Specially Serviced",IF($AB544="Returned to master serv","Previously Specially Serviced","Never Specially Serviced"))</f>
        <v/>
      </c>
      <c r="CF544" s="78">
        <f>IF($CE544="Currently Specially Serviced",1,0)</f>
        <v/>
      </c>
      <c r="CG544" s="76">
        <f>IF($AA544="Yes","Currently on Watchlist",IF($AA544="Previously","Previously on Watchlist","Never on Watchlist"))</f>
        <v/>
      </c>
      <c r="CH544" s="78">
        <f>IF($CG544="Currently on Watchlist",1,0)</f>
        <v/>
      </c>
      <c r="CI544" s="76">
        <f>IF($Z544="Full Defeasance","Fully Defeased",IF($Z544="Portion Of Loan Previously Defeased","Partially Defeased",IF($Z544="Defeasance Not Allowable","Not Defeased (Not Permitted)","Not Defeased")))</f>
        <v/>
      </c>
      <c r="CJ544" s="78">
        <f>IF($CI544="Fully Defeased",1,0)</f>
        <v/>
      </c>
      <c r="CK544" s="76">
        <f>IF($R544="IO","Full IO",IF(LEFT($R544&amp;"",7)="IO then","Partial IO","Amortizing"))</f>
        <v/>
      </c>
      <c r="CL544" s="78">
        <f>IF($CK544="Full IO",1,0)</f>
        <v/>
      </c>
      <c r="CM544" s="78">
        <f>IF($CK544="Partial IO",1,0)</f>
        <v/>
      </c>
      <c r="CN544" s="76">
        <f>IF(LEFT($F544&amp;"",10)="SPLIT_LOAN","Pari Passu Split","Standalone")</f>
        <v/>
      </c>
      <c r="CO544" s="78">
        <f>IF($CN544="Pari Passu Split",1,0)</f>
        <v/>
      </c>
      <c r="CP544" s="77">
        <f>IF(ISNUMBER($T544),YEAR($T544),"")</f>
        <v/>
      </c>
      <c r="CQ544" s="79">
        <f>IF(ISNUMBER($V544),$V544,IF(ISNUMBER($U544),$U544,""))</f>
        <v/>
      </c>
      <c r="CR544" s="77">
        <f>IF(ISNUMBER($CQ544),YEAR($CQ544),"")</f>
        <v/>
      </c>
      <c r="CS544" s="78">
        <f>IF(ISNUMBER($M544),MAX(0,$M544),IF(TRIM($M544&amp;"")="matured",0,""))</f>
        <v/>
      </c>
      <c r="CT544" s="78">
        <f>IF(AND(ISNUMBER($CS544),N($CS544)&lt;=mMatWindow),1,0)</f>
        <v/>
      </c>
      <c r="CU544" s="80">
        <f>IF(ISNUMBER($J544),$J544/100,"")</f>
        <v/>
      </c>
      <c r="CV544" s="81">
        <f>IF(ISNUMBER($AQ544),$AQ544,"")</f>
        <v/>
      </c>
      <c r="CW544" s="81">
        <f>IF(ISNUMBER($AR544),$AR544,"")</f>
        <v/>
      </c>
      <c r="CX544" s="82">
        <f>IF(ISNUMBER($AS544),$AS544/100,"")</f>
        <v/>
      </c>
      <c r="CY544" s="82">
        <f>IF(ISNUMBER($AT544),$AT544/100,"")</f>
        <v/>
      </c>
      <c r="CZ544" s="82">
        <f>IF(ISNUMBER($AU544),$AU544/100,"")</f>
        <v/>
      </c>
      <c r="DA544" s="82">
        <f>IF(ISNUMBER($AV544),$AV544/100,"")</f>
        <v/>
      </c>
      <c r="DB544" s="82">
        <f>IF(ISNUMBER($AW544),$AW544/100,"")</f>
        <v/>
      </c>
      <c r="DC544" s="82">
        <f>IF(ISNUMBER($AX544),$AX544/100,"")</f>
        <v/>
      </c>
      <c r="DD544" s="77">
        <f>IFERROR(VALUE(LEFT(TRIM($AO544&amp;""),4)),"")</f>
        <v/>
      </c>
      <c r="DE544" s="78">
        <f>IF(AND($BY544=1,$BX544=1,OR(fDeal="All Deals",$BU544=fDeal),OR(fEntity="All Entities",$BV544=fEntity),OR(fPType="All Property Types",$BZ544=fPType),OR(fDefeased="Include",$CJ544=0)),1,0)</f>
        <v/>
      </c>
      <c r="DF544" s="83">
        <f>$DE544*N($I544)</f>
        <v/>
      </c>
      <c r="DG544" s="78">
        <f>IF($DE544=1,IF(COUNTIFS($F$8:$F544,$F544,$DE$8:$DE544,1)=1,1,0),0)</f>
        <v/>
      </c>
      <c r="DH544" s="83">
        <f>IF($DG544=1,SUMIFS($DF$8:$DF$1600,$F$8:$F$1600,$F544),0)</f>
        <v/>
      </c>
      <c r="DI544" s="78">
        <f>IF($DG544=1,COUNTIFS($F$8:$F$1600,$F544,$DE$8:$DE$1600,1),0)</f>
        <v/>
      </c>
      <c r="DJ544" s="84">
        <f>IF($DG544=1,$DH544+(100000-ROW())/mTieBreak,0)</f>
        <v/>
      </c>
    </row>
    <row r="545">
      <c r="B545" s="68" t="n">
        <v>22</v>
      </c>
      <c r="C545" s="69" t="inlineStr">
        <is>
          <t>WFC19C49</t>
        </is>
      </c>
      <c r="D545" s="69" t="inlineStr">
        <is>
          <t>22.000</t>
        </is>
      </c>
      <c r="E545" s="69" t="inlineStr">
        <is>
          <t>601 Hudson Street</t>
        </is>
      </c>
      <c r="F545" s="69" t="inlineStr">
        <is>
          <t>LNWFC19C49-22.000</t>
        </is>
      </c>
      <c r="G545" s="70" t="n"/>
      <c r="H545" s="71" t="n">
        <v>10900000</v>
      </c>
      <c r="I545" s="71" t="n">
        <v>10900000</v>
      </c>
      <c r="J545" s="72" t="n">
        <v>5.355</v>
      </c>
      <c r="K545" s="69" t="inlineStr">
        <is>
          <t>Fixed rate</t>
        </is>
      </c>
      <c r="L545" s="68" t="n">
        <v>120</v>
      </c>
      <c r="M545" s="68" t="n">
        <v>29</v>
      </c>
      <c r="N545" s="68" t="n">
        <v>120</v>
      </c>
      <c r="O545" s="68" t="n">
        <v>120</v>
      </c>
      <c r="P545" s="68" t="n">
        <v>29</v>
      </c>
      <c r="Q545" s="68" t="n">
        <v>91</v>
      </c>
      <c r="R545" s="69" t="inlineStr">
        <is>
          <t>IO</t>
        </is>
      </c>
      <c r="S545" s="69" t="inlineStr">
        <is>
          <t>Yes</t>
        </is>
      </c>
      <c r="T545" s="73" t="n">
        <v>43497</v>
      </c>
      <c r="U545" s="73" t="n">
        <v>47155</v>
      </c>
      <c r="V545" s="73" t="n"/>
      <c r="W545" s="69" t="n"/>
      <c r="X545" s="69" t="inlineStr">
        <is>
          <t>Current</t>
        </is>
      </c>
      <c r="Y545" s="68" t="n"/>
      <c r="Z545" s="69" t="inlineStr">
        <is>
          <t>No Defeasance Occurred</t>
        </is>
      </c>
      <c r="AA545" s="69" t="n"/>
      <c r="AB545" s="69" t="inlineStr">
        <is>
          <t>Never special serv</t>
        </is>
      </c>
      <c r="AC545" s="73" t="n"/>
      <c r="AD545" s="69" t="n"/>
      <c r="AE545" s="69" t="n"/>
      <c r="AF545" s="69" t="inlineStr">
        <is>
          <t>NY</t>
        </is>
      </c>
      <c r="AG545" s="69" t="inlineStr">
        <is>
          <t>New York</t>
        </is>
      </c>
      <c r="AH545" s="69" t="inlineStr">
        <is>
          <t>New York-Newark-Jersey City, NY-NJ</t>
        </is>
      </c>
      <c r="AI545" s="69" t="inlineStr">
        <is>
          <t>Northeast / Mid-Atlantic</t>
        </is>
      </c>
      <c r="AJ545" s="69" t="inlineStr">
        <is>
          <t>MF</t>
        </is>
      </c>
      <c r="AK545" s="69" t="inlineStr">
        <is>
          <t>Mid Rise</t>
        </is>
      </c>
      <c r="AL545" s="68" t="n">
        <v>1</v>
      </c>
      <c r="AM545" s="68" t="n">
        <v>11</v>
      </c>
      <c r="AN545" s="68" t="n"/>
      <c r="AO545" s="69" t="inlineStr">
        <is>
          <t>1885</t>
        </is>
      </c>
      <c r="AP545" s="70" t="n">
        <v>1885</v>
      </c>
      <c r="AQ545" s="74" t="n">
        <v>1.29</v>
      </c>
      <c r="AR545" s="74" t="n">
        <v>2.3</v>
      </c>
      <c r="AS545" s="74" t="n">
        <v>64.5</v>
      </c>
      <c r="AT545" s="74" t="n">
        <v>64.5</v>
      </c>
      <c r="AU545" s="74" t="n">
        <v>64.5</v>
      </c>
      <c r="AV545" s="74" t="n">
        <v>7.012947523</v>
      </c>
      <c r="AW545" s="74" t="n">
        <v>12.179667156</v>
      </c>
      <c r="AX545" s="75" t="n">
        <v>92</v>
      </c>
      <c r="AY545" s="71" t="n">
        <v>16900000</v>
      </c>
      <c r="AZ545" s="71" t="n">
        <v>16900000</v>
      </c>
      <c r="BA545" s="71" t="n">
        <v>764411.28</v>
      </c>
      <c r="BB545" s="71" t="n">
        <v>679810.01</v>
      </c>
      <c r="BC545" s="69" t="inlineStr">
        <is>
          <t>Refinance</t>
        </is>
      </c>
      <c r="BD545" s="69" t="inlineStr">
        <is>
          <t>N</t>
        </is>
      </c>
      <c r="BE545" s="71" t="n"/>
      <c r="BF545" s="71" t="n"/>
      <c r="BG545" s="71" t="n"/>
      <c r="BH545" s="71" t="n">
        <v>0</v>
      </c>
      <c r="BI545" s="71" t="n">
        <v>0</v>
      </c>
      <c r="BJ545" s="69" t="inlineStr">
        <is>
          <t>N</t>
        </is>
      </c>
      <c r="BK545" s="69" t="n"/>
      <c r="BL545" s="75" t="n"/>
      <c r="BM545" s="73" t="n"/>
      <c r="BN545" s="69" t="inlineStr">
        <is>
          <t>Abraham Sanieoff</t>
        </is>
      </c>
      <c r="BO545" s="69" t="inlineStr">
        <is>
          <t>Ladder Capital Finance</t>
        </is>
      </c>
      <c r="BP545" s="69" t="inlineStr">
        <is>
          <t>TriMont Real Estate Advisors</t>
        </is>
      </c>
      <c r="BQ545" s="69" t="inlineStr">
        <is>
          <t>K-Star Asset Management LLC</t>
        </is>
      </c>
      <c r="BR545" s="69" t="n"/>
      <c r="BS545" s="73" t="n">
        <v>46276</v>
      </c>
      <c r="BU545" s="76">
        <f>IF($C545="","",IFERROR(INDEX(dmName,MATCH($C545,dmID,0)),"Unmapped"))</f>
        <v/>
      </c>
      <c r="BV545" s="76">
        <f>IF($C545="","",IFERROR(INDEX(dmEntity,MATCH($C545,dmID,0)),"Unmapped"))</f>
        <v/>
      </c>
      <c r="BW545" s="77">
        <f>IF($C545="","",IFERROR(INDEX(dmVintage,MATCH($C545,dmID,0)),""))</f>
        <v/>
      </c>
      <c r="BX545" s="78">
        <f>IFERROR(INDEX(dmInclude,MATCH($C545,dmID,0)),0)</f>
        <v/>
      </c>
      <c r="BY545" s="78">
        <f>IF(N($I545)&gt;0,1,0)</f>
        <v/>
      </c>
      <c r="BZ545" s="76">
        <f>IF($AJ545="","Other / Leased Fee",IFERROR(INDEX(mapPTGroup,MATCH(LEFT(TRIM($AJ545),2),mapPTCode,0)),"Other / Leased Fee"))</f>
        <v/>
      </c>
      <c r="CA545" s="76">
        <f>IF(TRIM($AF545&amp;"")="","NR",LEFT(TRIM($AF545),2))</f>
        <v/>
      </c>
      <c r="CB545" s="76">
        <f>IFERROR(LOOKUP(2,1/(LEFT(TRIM($AI545&amp;""),LEN(mapRegion))=mapRegion),mapRegion),"Not Reported")</f>
        <v/>
      </c>
      <c r="CC545" s="76">
        <f>IF($BY545=0,"",IF(TRIM($W545&amp;"")="REO","REO",IF(TRIM($W545&amp;"")="FC","Foreclosure",IF(TRIM($W545&amp;"")="90+","90+ Days Delinquent",IF(TRIM($W545&amp;"")="60","60 Days Delinquent",IF(TRIM($W545&amp;"")="30","30 Days Delinquent",IF($X545="Non-Performing Matured Balloon","Non-Performing Matured Balloon",IF(OR($X545="Late Payment But Less Than 30 Days Delinquent",LEFT($X545&amp;"",20)="Payment Not Received"),"Late / In Grace (&lt;30 Days)",IF($X545="Performing Matured Balloon","Performing Matured Balloon","Current")))))))))</f>
        <v/>
      </c>
      <c r="CD545" s="78">
        <f>IF(OR($CC545="REO",$CC545="Foreclosure",$CC545="90+ Days Delinquent",$CC545="60 Days Delinquent",$CC545="30 Days Delinquent",$CC545="Non-Performing Matured Balloon"),1,0)</f>
        <v/>
      </c>
      <c r="CE545" s="76">
        <f>IF($AB545="Currently special serv","Currently Specially Serviced",IF($AB545="Returned to master serv","Previously Specially Serviced","Never Specially Serviced"))</f>
        <v/>
      </c>
      <c r="CF545" s="78">
        <f>IF($CE545="Currently Specially Serviced",1,0)</f>
        <v/>
      </c>
      <c r="CG545" s="76">
        <f>IF($AA545="Yes","Currently on Watchlist",IF($AA545="Previously","Previously on Watchlist","Never on Watchlist"))</f>
        <v/>
      </c>
      <c r="CH545" s="78">
        <f>IF($CG545="Currently on Watchlist",1,0)</f>
        <v/>
      </c>
      <c r="CI545" s="76">
        <f>IF($Z545="Full Defeasance","Fully Defeased",IF($Z545="Portion Of Loan Previously Defeased","Partially Defeased",IF($Z545="Defeasance Not Allowable","Not Defeased (Not Permitted)","Not Defeased")))</f>
        <v/>
      </c>
      <c r="CJ545" s="78">
        <f>IF($CI545="Fully Defeased",1,0)</f>
        <v/>
      </c>
      <c r="CK545" s="76">
        <f>IF($R545="IO","Full IO",IF(LEFT($R545&amp;"",7)="IO then","Partial IO","Amortizing"))</f>
        <v/>
      </c>
      <c r="CL545" s="78">
        <f>IF($CK545="Full IO",1,0)</f>
        <v/>
      </c>
      <c r="CM545" s="78">
        <f>IF($CK545="Partial IO",1,0)</f>
        <v/>
      </c>
      <c r="CN545" s="76">
        <f>IF(LEFT($F545&amp;"",10)="SPLIT_LOAN","Pari Passu Split","Standalone")</f>
        <v/>
      </c>
      <c r="CO545" s="78">
        <f>IF($CN545="Pari Passu Split",1,0)</f>
        <v/>
      </c>
      <c r="CP545" s="77">
        <f>IF(ISNUMBER($T545),YEAR($T545),"")</f>
        <v/>
      </c>
      <c r="CQ545" s="79">
        <f>IF(ISNUMBER($V545),$V545,IF(ISNUMBER($U545),$U545,""))</f>
        <v/>
      </c>
      <c r="CR545" s="77">
        <f>IF(ISNUMBER($CQ545),YEAR($CQ545),"")</f>
        <v/>
      </c>
      <c r="CS545" s="78">
        <f>IF(ISNUMBER($M545),MAX(0,$M545),IF(TRIM($M545&amp;"")="matured",0,""))</f>
        <v/>
      </c>
      <c r="CT545" s="78">
        <f>IF(AND(ISNUMBER($CS545),N($CS545)&lt;=mMatWindow),1,0)</f>
        <v/>
      </c>
      <c r="CU545" s="80">
        <f>IF(ISNUMBER($J545),$J545/100,"")</f>
        <v/>
      </c>
      <c r="CV545" s="81">
        <f>IF(ISNUMBER($AQ545),$AQ545,"")</f>
        <v/>
      </c>
      <c r="CW545" s="81">
        <f>IF(ISNUMBER($AR545),$AR545,"")</f>
        <v/>
      </c>
      <c r="CX545" s="82">
        <f>IF(ISNUMBER($AS545),$AS545/100,"")</f>
        <v/>
      </c>
      <c r="CY545" s="82">
        <f>IF(ISNUMBER($AT545),$AT545/100,"")</f>
        <v/>
      </c>
      <c r="CZ545" s="82">
        <f>IF(ISNUMBER($AU545),$AU545/100,"")</f>
        <v/>
      </c>
      <c r="DA545" s="82">
        <f>IF(ISNUMBER($AV545),$AV545/100,"")</f>
        <v/>
      </c>
      <c r="DB545" s="82">
        <f>IF(ISNUMBER($AW545),$AW545/100,"")</f>
        <v/>
      </c>
      <c r="DC545" s="82">
        <f>IF(ISNUMBER($AX545),$AX545/100,"")</f>
        <v/>
      </c>
      <c r="DD545" s="77">
        <f>IFERROR(VALUE(LEFT(TRIM($AO545&amp;""),4)),"")</f>
        <v/>
      </c>
      <c r="DE545" s="78">
        <f>IF(AND($BY545=1,$BX545=1,OR(fDeal="All Deals",$BU545=fDeal),OR(fEntity="All Entities",$BV545=fEntity),OR(fPType="All Property Types",$BZ545=fPType),OR(fDefeased="Include",$CJ545=0)),1,0)</f>
        <v/>
      </c>
      <c r="DF545" s="83">
        <f>$DE545*N($I545)</f>
        <v/>
      </c>
      <c r="DG545" s="78">
        <f>IF($DE545=1,IF(COUNTIFS($F$8:$F545,$F545,$DE$8:$DE545,1)=1,1,0),0)</f>
        <v/>
      </c>
      <c r="DH545" s="83">
        <f>IF($DG545=1,SUMIFS($DF$8:$DF$1600,$F$8:$F$1600,$F545),0)</f>
        <v/>
      </c>
      <c r="DI545" s="78">
        <f>IF($DG545=1,COUNTIFS($F$8:$F$1600,$F545,$DE$8:$DE$1600,1),0)</f>
        <v/>
      </c>
      <c r="DJ545" s="84">
        <f>IF($DG545=1,$DH545+(100000-ROW())/mTieBreak,0)</f>
        <v/>
      </c>
    </row>
    <row r="546">
      <c r="B546" s="68" t="n">
        <v>23</v>
      </c>
      <c r="C546" s="69" t="inlineStr">
        <is>
          <t>WFC19C49</t>
        </is>
      </c>
      <c r="D546" s="69" t="inlineStr">
        <is>
          <t>23.000</t>
        </is>
      </c>
      <c r="E546" s="69" t="inlineStr">
        <is>
          <t>Custer Park</t>
        </is>
      </c>
      <c r="F546" s="69" t="inlineStr">
        <is>
          <t>LNWFC19C49-23.000</t>
        </is>
      </c>
      <c r="G546" s="70" t="n"/>
      <c r="H546" s="71" t="n">
        <v>10600000</v>
      </c>
      <c r="I546" s="71" t="n">
        <v>10197799.620005</v>
      </c>
      <c r="J546" s="72" t="n">
        <v>5.3</v>
      </c>
      <c r="K546" s="69" t="inlineStr">
        <is>
          <t>Fixed rate</t>
        </is>
      </c>
      <c r="L546" s="68" t="n">
        <v>120</v>
      </c>
      <c r="M546" s="68" t="n">
        <v>27</v>
      </c>
      <c r="N546" s="68" t="n">
        <v>420</v>
      </c>
      <c r="O546" s="68" t="n">
        <v>60</v>
      </c>
      <c r="P546" s="68" t="n">
        <v>0</v>
      </c>
      <c r="Q546" s="68" t="n">
        <v>93</v>
      </c>
      <c r="R546" s="69" t="inlineStr">
        <is>
          <t>IO then Amort</t>
        </is>
      </c>
      <c r="S546" s="69" t="inlineStr">
        <is>
          <t>No</t>
        </is>
      </c>
      <c r="T546" s="73" t="n">
        <v>43435</v>
      </c>
      <c r="U546" s="73" t="n">
        <v>47093</v>
      </c>
      <c r="V546" s="73" t="n"/>
      <c r="W546" s="69" t="n"/>
      <c r="X546" s="69" t="inlineStr">
        <is>
          <t>Current</t>
        </is>
      </c>
      <c r="Y546" s="68" t="n"/>
      <c r="Z546" s="69" t="inlineStr">
        <is>
          <t>No Defeasance Occurred</t>
        </is>
      </c>
      <c r="AA546" s="69" t="inlineStr">
        <is>
          <t>Previously</t>
        </is>
      </c>
      <c r="AB546" s="69" t="inlineStr">
        <is>
          <t>Never special serv</t>
        </is>
      </c>
      <c r="AC546" s="73" t="n"/>
      <c r="AD546" s="69" t="n"/>
      <c r="AE546" s="69" t="n"/>
      <c r="AF546" s="69" t="inlineStr">
        <is>
          <t>TX</t>
        </is>
      </c>
      <c r="AG546" s="69" t="inlineStr">
        <is>
          <t>Plano</t>
        </is>
      </c>
      <c r="AH546" s="69" t="inlineStr">
        <is>
          <t>Dallas-Fort Worth-Arlington, TX</t>
        </is>
      </c>
      <c r="AI546" s="69" t="inlineStr">
        <is>
          <t>South / Central West</t>
        </is>
      </c>
      <c r="AJ546" s="69" t="inlineStr">
        <is>
          <t>RT</t>
        </is>
      </c>
      <c r="AK546" s="69" t="inlineStr">
        <is>
          <t>Shadow Anchored</t>
        </is>
      </c>
      <c r="AL546" s="68" t="n">
        <v>1</v>
      </c>
      <c r="AM546" s="68" t="n"/>
      <c r="AN546" s="68" t="n">
        <v>115931</v>
      </c>
      <c r="AO546" s="69" t="inlineStr">
        <is>
          <t>1983</t>
        </is>
      </c>
      <c r="AP546" s="70" t="n">
        <v>1983</v>
      </c>
      <c r="AQ546" s="74" t="n">
        <v>1.7</v>
      </c>
      <c r="AR546" s="74" t="n">
        <v>1.66</v>
      </c>
      <c r="AS546" s="74" t="n">
        <v>56.9</v>
      </c>
      <c r="AT546" s="74" t="n">
        <v>54.77</v>
      </c>
      <c r="AU546" s="74" t="n">
        <v>52.7</v>
      </c>
      <c r="AV546" s="74" t="n">
        <v>11.31945283</v>
      </c>
      <c r="AW546" s="74" t="n">
        <v>10.722284716</v>
      </c>
      <c r="AX546" s="75" t="n">
        <v>75</v>
      </c>
      <c r="AY546" s="71" t="n">
        <v>18620000</v>
      </c>
      <c r="AZ546" s="71" t="n">
        <v>18620000</v>
      </c>
      <c r="BA546" s="71" t="n">
        <v>1199862</v>
      </c>
      <c r="BB546" s="71" t="n">
        <v>587852.87</v>
      </c>
      <c r="BC546" s="69" t="inlineStr">
        <is>
          <t>Refinance</t>
        </is>
      </c>
      <c r="BD546" s="69" t="inlineStr">
        <is>
          <t>N</t>
        </is>
      </c>
      <c r="BE546" s="71" t="n"/>
      <c r="BF546" s="71" t="n"/>
      <c r="BG546" s="71" t="n"/>
      <c r="BH546" s="71" t="n">
        <v>0</v>
      </c>
      <c r="BI546" s="71" t="n">
        <v>0</v>
      </c>
      <c r="BJ546" s="69" t="inlineStr">
        <is>
          <t>N</t>
        </is>
      </c>
      <c r="BK546" s="69" t="inlineStr">
        <is>
          <t>The District Salon Studios</t>
        </is>
      </c>
      <c r="BL546" s="75" t="n">
        <v>5.84</v>
      </c>
      <c r="BM546" s="73" t="n">
        <v>49673</v>
      </c>
      <c r="BN546" s="69" t="inlineStr">
        <is>
          <t>William A. Morris</t>
        </is>
      </c>
      <c r="BO546" s="69" t="inlineStr">
        <is>
          <t>RMF</t>
        </is>
      </c>
      <c r="BP546" s="69" t="inlineStr">
        <is>
          <t>TriMont Real Estate Advisors</t>
        </is>
      </c>
      <c r="BQ546" s="69" t="inlineStr">
        <is>
          <t>K-Star Asset Management LLC</t>
        </is>
      </c>
      <c r="BR546" s="69" t="n"/>
      <c r="BS546" s="73" t="n">
        <v>46276</v>
      </c>
      <c r="BU546" s="76">
        <f>IF($C546="","",IFERROR(INDEX(dmName,MATCH($C546,dmID,0)),"Unmapped"))</f>
        <v/>
      </c>
      <c r="BV546" s="76">
        <f>IF($C546="","",IFERROR(INDEX(dmEntity,MATCH($C546,dmID,0)),"Unmapped"))</f>
        <v/>
      </c>
      <c r="BW546" s="77">
        <f>IF($C546="","",IFERROR(INDEX(dmVintage,MATCH($C546,dmID,0)),""))</f>
        <v/>
      </c>
      <c r="BX546" s="78">
        <f>IFERROR(INDEX(dmInclude,MATCH($C546,dmID,0)),0)</f>
        <v/>
      </c>
      <c r="BY546" s="78">
        <f>IF(N($I546)&gt;0,1,0)</f>
        <v/>
      </c>
      <c r="BZ546" s="76">
        <f>IF($AJ546="","Other / Leased Fee",IFERROR(INDEX(mapPTGroup,MATCH(LEFT(TRIM($AJ546),2),mapPTCode,0)),"Other / Leased Fee"))</f>
        <v/>
      </c>
      <c r="CA546" s="76">
        <f>IF(TRIM($AF546&amp;"")="","NR",LEFT(TRIM($AF546),2))</f>
        <v/>
      </c>
      <c r="CB546" s="76">
        <f>IFERROR(LOOKUP(2,1/(LEFT(TRIM($AI546&amp;""),LEN(mapRegion))=mapRegion),mapRegion),"Not Reported")</f>
        <v/>
      </c>
      <c r="CC546" s="76">
        <f>IF($BY546=0,"",IF(TRIM($W546&amp;"")="REO","REO",IF(TRIM($W546&amp;"")="FC","Foreclosure",IF(TRIM($W546&amp;"")="90+","90+ Days Delinquent",IF(TRIM($W546&amp;"")="60","60 Days Delinquent",IF(TRIM($W546&amp;"")="30","30 Days Delinquent",IF($X546="Non-Performing Matured Balloon","Non-Performing Matured Balloon",IF(OR($X546="Late Payment But Less Than 30 Days Delinquent",LEFT($X546&amp;"",20)="Payment Not Received"),"Late / In Grace (&lt;30 Days)",IF($X546="Performing Matured Balloon","Performing Matured Balloon","Current")))))))))</f>
        <v/>
      </c>
      <c r="CD546" s="78">
        <f>IF(OR($CC546="REO",$CC546="Foreclosure",$CC546="90+ Days Delinquent",$CC546="60 Days Delinquent",$CC546="30 Days Delinquent",$CC546="Non-Performing Matured Balloon"),1,0)</f>
        <v/>
      </c>
      <c r="CE546" s="76">
        <f>IF($AB546="Currently special serv","Currently Specially Serviced",IF($AB546="Returned to master serv","Previously Specially Serviced","Never Specially Serviced"))</f>
        <v/>
      </c>
      <c r="CF546" s="78">
        <f>IF($CE546="Currently Specially Serviced",1,0)</f>
        <v/>
      </c>
      <c r="CG546" s="76">
        <f>IF($AA546="Yes","Currently on Watchlist",IF($AA546="Previously","Previously on Watchlist","Never on Watchlist"))</f>
        <v/>
      </c>
      <c r="CH546" s="78">
        <f>IF($CG546="Currently on Watchlist",1,0)</f>
        <v/>
      </c>
      <c r="CI546" s="76">
        <f>IF($Z546="Full Defeasance","Fully Defeased",IF($Z546="Portion Of Loan Previously Defeased","Partially Defeased",IF($Z546="Defeasance Not Allowable","Not Defeased (Not Permitted)","Not Defeased")))</f>
        <v/>
      </c>
      <c r="CJ546" s="78">
        <f>IF($CI546="Fully Defeased",1,0)</f>
        <v/>
      </c>
      <c r="CK546" s="76">
        <f>IF($R546="IO","Full IO",IF(LEFT($R546&amp;"",7)="IO then","Partial IO","Amortizing"))</f>
        <v/>
      </c>
      <c r="CL546" s="78">
        <f>IF($CK546="Full IO",1,0)</f>
        <v/>
      </c>
      <c r="CM546" s="78">
        <f>IF($CK546="Partial IO",1,0)</f>
        <v/>
      </c>
      <c r="CN546" s="76">
        <f>IF(LEFT($F546&amp;"",10)="SPLIT_LOAN","Pari Passu Split","Standalone")</f>
        <v/>
      </c>
      <c r="CO546" s="78">
        <f>IF($CN546="Pari Passu Split",1,0)</f>
        <v/>
      </c>
      <c r="CP546" s="77">
        <f>IF(ISNUMBER($T546),YEAR($T546),"")</f>
        <v/>
      </c>
      <c r="CQ546" s="79">
        <f>IF(ISNUMBER($V546),$V546,IF(ISNUMBER($U546),$U546,""))</f>
        <v/>
      </c>
      <c r="CR546" s="77">
        <f>IF(ISNUMBER($CQ546),YEAR($CQ546),"")</f>
        <v/>
      </c>
      <c r="CS546" s="78">
        <f>IF(ISNUMBER($M546),MAX(0,$M546),IF(TRIM($M546&amp;"")="matured",0,""))</f>
        <v/>
      </c>
      <c r="CT546" s="78">
        <f>IF(AND(ISNUMBER($CS546),N($CS546)&lt;=mMatWindow),1,0)</f>
        <v/>
      </c>
      <c r="CU546" s="80">
        <f>IF(ISNUMBER($J546),$J546/100,"")</f>
        <v/>
      </c>
      <c r="CV546" s="81">
        <f>IF(ISNUMBER($AQ546),$AQ546,"")</f>
        <v/>
      </c>
      <c r="CW546" s="81">
        <f>IF(ISNUMBER($AR546),$AR546,"")</f>
        <v/>
      </c>
      <c r="CX546" s="82">
        <f>IF(ISNUMBER($AS546),$AS546/100,"")</f>
        <v/>
      </c>
      <c r="CY546" s="82">
        <f>IF(ISNUMBER($AT546),$AT546/100,"")</f>
        <v/>
      </c>
      <c r="CZ546" s="82">
        <f>IF(ISNUMBER($AU546),$AU546/100,"")</f>
        <v/>
      </c>
      <c r="DA546" s="82">
        <f>IF(ISNUMBER($AV546),$AV546/100,"")</f>
        <v/>
      </c>
      <c r="DB546" s="82">
        <f>IF(ISNUMBER($AW546),$AW546/100,"")</f>
        <v/>
      </c>
      <c r="DC546" s="82">
        <f>IF(ISNUMBER($AX546),$AX546/100,"")</f>
        <v/>
      </c>
      <c r="DD546" s="77">
        <f>IFERROR(VALUE(LEFT(TRIM($AO546&amp;""),4)),"")</f>
        <v/>
      </c>
      <c r="DE546" s="78">
        <f>IF(AND($BY546=1,$BX546=1,OR(fDeal="All Deals",$BU546=fDeal),OR(fEntity="All Entities",$BV546=fEntity),OR(fPType="All Property Types",$BZ546=fPType),OR(fDefeased="Include",$CJ546=0)),1,0)</f>
        <v/>
      </c>
      <c r="DF546" s="83">
        <f>$DE546*N($I546)</f>
        <v/>
      </c>
      <c r="DG546" s="78">
        <f>IF($DE546=1,IF(COUNTIFS($F$8:$F546,$F546,$DE$8:$DE546,1)=1,1,0),0)</f>
        <v/>
      </c>
      <c r="DH546" s="83">
        <f>IF($DG546=1,SUMIFS($DF$8:$DF$1600,$F$8:$F$1600,$F546),0)</f>
        <v/>
      </c>
      <c r="DI546" s="78">
        <f>IF($DG546=1,COUNTIFS($F$8:$F$1600,$F546,$DE$8:$DE$1600,1),0)</f>
        <v/>
      </c>
      <c r="DJ546" s="84">
        <f>IF($DG546=1,$DH546+(100000-ROW())/mTieBreak,0)</f>
        <v/>
      </c>
    </row>
    <row r="547">
      <c r="B547" s="68" t="n">
        <v>24</v>
      </c>
      <c r="C547" s="69" t="inlineStr">
        <is>
          <t>WFC19C49</t>
        </is>
      </c>
      <c r="D547" s="69" t="inlineStr">
        <is>
          <t>24.000</t>
        </is>
      </c>
      <c r="E547" s="69" t="inlineStr">
        <is>
          <t>One River Place</t>
        </is>
      </c>
      <c r="F547" s="69" t="inlineStr">
        <is>
          <t>SPLIT_LOAN_01447</t>
        </is>
      </c>
      <c r="G547" s="70" t="n">
        <v>1447</v>
      </c>
      <c r="H547" s="71" t="n">
        <v>10000000</v>
      </c>
      <c r="I547" s="71" t="n">
        <v>10000000</v>
      </c>
      <c r="J547" s="72" t="n">
        <v>4.735</v>
      </c>
      <c r="K547" s="69" t="inlineStr">
        <is>
          <t>Fixed rate</t>
        </is>
      </c>
      <c r="L547" s="68" t="n">
        <v>120</v>
      </c>
      <c r="M547" s="68" t="n">
        <v>26</v>
      </c>
      <c r="N547" s="68" t="n">
        <v>120</v>
      </c>
      <c r="O547" s="68" t="n">
        <v>120</v>
      </c>
      <c r="P547" s="68" t="n">
        <v>26</v>
      </c>
      <c r="Q547" s="68" t="n">
        <v>94</v>
      </c>
      <c r="R547" s="69" t="inlineStr">
        <is>
          <t>IO</t>
        </is>
      </c>
      <c r="S547" s="69" t="inlineStr">
        <is>
          <t>Yes</t>
        </is>
      </c>
      <c r="T547" s="73" t="n">
        <v>43405</v>
      </c>
      <c r="U547" s="73" t="n">
        <v>47063</v>
      </c>
      <c r="V547" s="73" t="n"/>
      <c r="W547" s="69" t="n"/>
      <c r="X547" s="69" t="inlineStr">
        <is>
          <t>Current</t>
        </is>
      </c>
      <c r="Y547" s="68" t="n"/>
      <c r="Z547" s="69" t="inlineStr">
        <is>
          <t>No Defeasance Occurred</t>
        </is>
      </c>
      <c r="AA547" s="69" t="n"/>
      <c r="AB547" s="69" t="inlineStr">
        <is>
          <t>Never special serv</t>
        </is>
      </c>
      <c r="AC547" s="73" t="n"/>
      <c r="AD547" s="69" t="n"/>
      <c r="AE547" s="69" t="n"/>
      <c r="AF547" s="69" t="inlineStr">
        <is>
          <t>DE</t>
        </is>
      </c>
      <c r="AG547" s="69" t="inlineStr">
        <is>
          <t>Wilmington</t>
        </is>
      </c>
      <c r="AH547" s="69" t="inlineStr">
        <is>
          <t>Philadelphia-Camden-Wilmington, PA-NJ-DE-MD</t>
        </is>
      </c>
      <c r="AI547" s="69" t="inlineStr">
        <is>
          <t>Northeast / Mid-Atlantic</t>
        </is>
      </c>
      <c r="AJ547" s="69" t="inlineStr">
        <is>
          <t>OF</t>
        </is>
      </c>
      <c r="AK547" s="69" t="inlineStr">
        <is>
          <t>Suburban</t>
        </is>
      </c>
      <c r="AL547" s="68" t="n">
        <v>1</v>
      </c>
      <c r="AM547" s="68" t="n"/>
      <c r="AN547" s="68" t="n">
        <v>157273</v>
      </c>
      <c r="AO547" s="69" t="inlineStr">
        <is>
          <t>2004</t>
        </is>
      </c>
      <c r="AP547" s="70" t="n">
        <v>2004</v>
      </c>
      <c r="AQ547" s="74" t="n">
        <v>2.5</v>
      </c>
      <c r="AR547" s="74" t="n">
        <v>3.09</v>
      </c>
      <c r="AS547" s="74" t="n">
        <v>50.5</v>
      </c>
      <c r="AT547" s="74" t="n">
        <v>50.51</v>
      </c>
      <c r="AU547" s="74" t="n">
        <v>50.5</v>
      </c>
      <c r="AV547" s="74" t="n">
        <v>12.03360908</v>
      </c>
      <c r="AW547" s="74" t="n">
        <v>14.81174392</v>
      </c>
      <c r="AX547" s="75" t="n">
        <v>100</v>
      </c>
      <c r="AY547" s="71" t="n">
        <v>49500000</v>
      </c>
      <c r="AZ547" s="71" t="n">
        <v>49500000</v>
      </c>
      <c r="BA547" s="71" t="n">
        <v>3008402.27</v>
      </c>
      <c r="BB547" s="71" t="n">
        <v>3702935.98</v>
      </c>
      <c r="BC547" s="69" t="inlineStr">
        <is>
          <t>Refinance</t>
        </is>
      </c>
      <c r="BD547" s="69" t="inlineStr">
        <is>
          <t>N</t>
        </is>
      </c>
      <c r="BE547" s="71" t="n">
        <v>15000000</v>
      </c>
      <c r="BF547" s="71" t="n"/>
      <c r="BG547" s="71" t="n"/>
      <c r="BH547" s="71" t="n">
        <v>0</v>
      </c>
      <c r="BI547" s="71" t="n">
        <v>0</v>
      </c>
      <c r="BJ547" s="69" t="inlineStr">
        <is>
          <t>N</t>
        </is>
      </c>
      <c r="BK547" s="69" t="inlineStr">
        <is>
          <t>AAA</t>
        </is>
      </c>
      <c r="BL547" s="75" t="n">
        <v>100</v>
      </c>
      <c r="BM547" s="73" t="n">
        <v>49490</v>
      </c>
      <c r="BN547" s="69" t="inlineStr">
        <is>
          <t>Brock J. Vinton</t>
        </is>
      </c>
      <c r="BO547" s="69" t="inlineStr">
        <is>
          <t>Barclays</t>
        </is>
      </c>
      <c r="BP547" s="69" t="inlineStr">
        <is>
          <t>TriMont Real Estate Advisors</t>
        </is>
      </c>
      <c r="BQ547" s="69" t="inlineStr">
        <is>
          <t>LNR Partners</t>
        </is>
      </c>
      <c r="BR547" s="69" t="n"/>
      <c r="BS547" s="73" t="n">
        <v>46276</v>
      </c>
      <c r="BU547" s="76">
        <f>IF($C547="","",IFERROR(INDEX(dmName,MATCH($C547,dmID,0)),"Unmapped"))</f>
        <v/>
      </c>
      <c r="BV547" s="76">
        <f>IF($C547="","",IFERROR(INDEX(dmEntity,MATCH($C547,dmID,0)),"Unmapped"))</f>
        <v/>
      </c>
      <c r="BW547" s="77">
        <f>IF($C547="","",IFERROR(INDEX(dmVintage,MATCH($C547,dmID,0)),""))</f>
        <v/>
      </c>
      <c r="BX547" s="78">
        <f>IFERROR(INDEX(dmInclude,MATCH($C547,dmID,0)),0)</f>
        <v/>
      </c>
      <c r="BY547" s="78">
        <f>IF(N($I547)&gt;0,1,0)</f>
        <v/>
      </c>
      <c r="BZ547" s="76">
        <f>IF($AJ547="","Other / Leased Fee",IFERROR(INDEX(mapPTGroup,MATCH(LEFT(TRIM($AJ547),2),mapPTCode,0)),"Other / Leased Fee"))</f>
        <v/>
      </c>
      <c r="CA547" s="76">
        <f>IF(TRIM($AF547&amp;"")="","NR",LEFT(TRIM($AF547),2))</f>
        <v/>
      </c>
      <c r="CB547" s="76">
        <f>IFERROR(LOOKUP(2,1/(LEFT(TRIM($AI547&amp;""),LEN(mapRegion))=mapRegion),mapRegion),"Not Reported")</f>
        <v/>
      </c>
      <c r="CC547" s="76">
        <f>IF($BY547=0,"",IF(TRIM($W547&amp;"")="REO","REO",IF(TRIM($W547&amp;"")="FC","Foreclosure",IF(TRIM($W547&amp;"")="90+","90+ Days Delinquent",IF(TRIM($W547&amp;"")="60","60 Days Delinquent",IF(TRIM($W547&amp;"")="30","30 Days Delinquent",IF($X547="Non-Performing Matured Balloon","Non-Performing Matured Balloon",IF(OR($X547="Late Payment But Less Than 30 Days Delinquent",LEFT($X547&amp;"",20)="Payment Not Received"),"Late / In Grace (&lt;30 Days)",IF($X547="Performing Matured Balloon","Performing Matured Balloon","Current")))))))))</f>
        <v/>
      </c>
      <c r="CD547" s="78">
        <f>IF(OR($CC547="REO",$CC547="Foreclosure",$CC547="90+ Days Delinquent",$CC547="60 Days Delinquent",$CC547="30 Days Delinquent",$CC547="Non-Performing Matured Balloon"),1,0)</f>
        <v/>
      </c>
      <c r="CE547" s="76">
        <f>IF($AB547="Currently special serv","Currently Specially Serviced",IF($AB547="Returned to master serv","Previously Specially Serviced","Never Specially Serviced"))</f>
        <v/>
      </c>
      <c r="CF547" s="78">
        <f>IF($CE547="Currently Specially Serviced",1,0)</f>
        <v/>
      </c>
      <c r="CG547" s="76">
        <f>IF($AA547="Yes","Currently on Watchlist",IF($AA547="Previously","Previously on Watchlist","Never on Watchlist"))</f>
        <v/>
      </c>
      <c r="CH547" s="78">
        <f>IF($CG547="Currently on Watchlist",1,0)</f>
        <v/>
      </c>
      <c r="CI547" s="76">
        <f>IF($Z547="Full Defeasance","Fully Defeased",IF($Z547="Portion Of Loan Previously Defeased","Partially Defeased",IF($Z547="Defeasance Not Allowable","Not Defeased (Not Permitted)","Not Defeased")))</f>
        <v/>
      </c>
      <c r="CJ547" s="78">
        <f>IF($CI547="Fully Defeased",1,0)</f>
        <v/>
      </c>
      <c r="CK547" s="76">
        <f>IF($R547="IO","Full IO",IF(LEFT($R547&amp;"",7)="IO then","Partial IO","Amortizing"))</f>
        <v/>
      </c>
      <c r="CL547" s="78">
        <f>IF($CK547="Full IO",1,0)</f>
        <v/>
      </c>
      <c r="CM547" s="78">
        <f>IF($CK547="Partial IO",1,0)</f>
        <v/>
      </c>
      <c r="CN547" s="76">
        <f>IF(LEFT($F547&amp;"",10)="SPLIT_LOAN","Pari Passu Split","Standalone")</f>
        <v/>
      </c>
      <c r="CO547" s="78">
        <f>IF($CN547="Pari Passu Split",1,0)</f>
        <v/>
      </c>
      <c r="CP547" s="77">
        <f>IF(ISNUMBER($T547),YEAR($T547),"")</f>
        <v/>
      </c>
      <c r="CQ547" s="79">
        <f>IF(ISNUMBER($V547),$V547,IF(ISNUMBER($U547),$U547,""))</f>
        <v/>
      </c>
      <c r="CR547" s="77">
        <f>IF(ISNUMBER($CQ547),YEAR($CQ547),"")</f>
        <v/>
      </c>
      <c r="CS547" s="78">
        <f>IF(ISNUMBER($M547),MAX(0,$M547),IF(TRIM($M547&amp;"")="matured",0,""))</f>
        <v/>
      </c>
      <c r="CT547" s="78">
        <f>IF(AND(ISNUMBER($CS547),N($CS547)&lt;=mMatWindow),1,0)</f>
        <v/>
      </c>
      <c r="CU547" s="80">
        <f>IF(ISNUMBER($J547),$J547/100,"")</f>
        <v/>
      </c>
      <c r="CV547" s="81">
        <f>IF(ISNUMBER($AQ547),$AQ547,"")</f>
        <v/>
      </c>
      <c r="CW547" s="81">
        <f>IF(ISNUMBER($AR547),$AR547,"")</f>
        <v/>
      </c>
      <c r="CX547" s="82">
        <f>IF(ISNUMBER($AS547),$AS547/100,"")</f>
        <v/>
      </c>
      <c r="CY547" s="82">
        <f>IF(ISNUMBER($AT547),$AT547/100,"")</f>
        <v/>
      </c>
      <c r="CZ547" s="82">
        <f>IF(ISNUMBER($AU547),$AU547/100,"")</f>
        <v/>
      </c>
      <c r="DA547" s="82">
        <f>IF(ISNUMBER($AV547),$AV547/100,"")</f>
        <v/>
      </c>
      <c r="DB547" s="82">
        <f>IF(ISNUMBER($AW547),$AW547/100,"")</f>
        <v/>
      </c>
      <c r="DC547" s="82">
        <f>IF(ISNUMBER($AX547),$AX547/100,"")</f>
        <v/>
      </c>
      <c r="DD547" s="77">
        <f>IFERROR(VALUE(LEFT(TRIM($AO547&amp;""),4)),"")</f>
        <v/>
      </c>
      <c r="DE547" s="78">
        <f>IF(AND($BY547=1,$BX547=1,OR(fDeal="All Deals",$BU547=fDeal),OR(fEntity="All Entities",$BV547=fEntity),OR(fPType="All Property Types",$BZ547=fPType),OR(fDefeased="Include",$CJ547=0)),1,0)</f>
        <v/>
      </c>
      <c r="DF547" s="83">
        <f>$DE547*N($I547)</f>
        <v/>
      </c>
      <c r="DG547" s="78">
        <f>IF($DE547=1,IF(COUNTIFS($F$8:$F547,$F547,$DE$8:$DE547,1)=1,1,0),0)</f>
        <v/>
      </c>
      <c r="DH547" s="83">
        <f>IF($DG547=1,SUMIFS($DF$8:$DF$1600,$F$8:$F$1600,$F547),0)</f>
        <v/>
      </c>
      <c r="DI547" s="78">
        <f>IF($DG547=1,COUNTIFS($F$8:$F$1600,$F547,$DE$8:$DE$1600,1),0)</f>
        <v/>
      </c>
      <c r="DJ547" s="84">
        <f>IF($DG547=1,$DH547+(100000-ROW())/mTieBreak,0)</f>
        <v/>
      </c>
    </row>
    <row r="548">
      <c r="B548" s="68" t="n">
        <v>25</v>
      </c>
      <c r="C548" s="69" t="inlineStr">
        <is>
          <t>WFC19C49</t>
        </is>
      </c>
      <c r="D548" s="69" t="inlineStr">
        <is>
          <t>25.000</t>
        </is>
      </c>
      <c r="E548" s="69" t="inlineStr">
        <is>
          <t>1302-1316 Montana Avenue</t>
        </is>
      </c>
      <c r="F548" s="69" t="inlineStr">
        <is>
          <t>LNWFC19C49-25.000</t>
        </is>
      </c>
      <c r="G548" s="70" t="n"/>
      <c r="H548" s="71" t="n">
        <v>10000000</v>
      </c>
      <c r="I548" s="71" t="n">
        <v>10000000</v>
      </c>
      <c r="J548" s="72" t="n">
        <v>5.29</v>
      </c>
      <c r="K548" s="69" t="inlineStr">
        <is>
          <t>Fixed rate</t>
        </is>
      </c>
      <c r="L548" s="68" t="n">
        <v>120</v>
      </c>
      <c r="M548" s="68" t="n">
        <v>28</v>
      </c>
      <c r="N548" s="68" t="n">
        <v>120</v>
      </c>
      <c r="O548" s="68" t="n">
        <v>120</v>
      </c>
      <c r="P548" s="68" t="n">
        <v>28</v>
      </c>
      <c r="Q548" s="68" t="n">
        <v>92</v>
      </c>
      <c r="R548" s="69" t="inlineStr">
        <is>
          <t>IO</t>
        </is>
      </c>
      <c r="S548" s="69" t="inlineStr">
        <is>
          <t>Yes</t>
        </is>
      </c>
      <c r="T548" s="73" t="n">
        <v>43466</v>
      </c>
      <c r="U548" s="73" t="n">
        <v>47124</v>
      </c>
      <c r="V548" s="73" t="n"/>
      <c r="W548" s="69" t="n"/>
      <c r="X548" s="69" t="inlineStr">
        <is>
          <t>Current</t>
        </is>
      </c>
      <c r="Y548" s="68" t="n"/>
      <c r="Z548" s="69" t="inlineStr">
        <is>
          <t>Defeasance Not Allowable</t>
        </is>
      </c>
      <c r="AA548" s="69" t="inlineStr">
        <is>
          <t>Yes</t>
        </is>
      </c>
      <c r="AB548" s="69" t="inlineStr">
        <is>
          <t>Never special serv</t>
        </is>
      </c>
      <c r="AC548" s="73" t="n"/>
      <c r="AD548" s="69" t="n"/>
      <c r="AE548" s="69" t="n"/>
      <c r="AF548" s="69" t="inlineStr">
        <is>
          <t>CA</t>
        </is>
      </c>
      <c r="AG548" s="69" t="inlineStr">
        <is>
          <t>Santa Monica</t>
        </is>
      </c>
      <c r="AH548" s="69" t="inlineStr">
        <is>
          <t>Los Angeles-Long Beach-Anaheim, CA</t>
        </is>
      </c>
      <c r="AI548" s="69" t="inlineStr">
        <is>
          <t>West / Pacific South</t>
        </is>
      </c>
      <c r="AJ548" s="69" t="inlineStr">
        <is>
          <t>MX</t>
        </is>
      </c>
      <c r="AK548" s="69" t="inlineStr">
        <is>
          <t>Retail/Office</t>
        </is>
      </c>
      <c r="AL548" s="68" t="n">
        <v>1</v>
      </c>
      <c r="AM548" s="68" t="n"/>
      <c r="AN548" s="68" t="n">
        <v>15906</v>
      </c>
      <c r="AO548" s="69" t="inlineStr">
        <is>
          <t>1934</t>
        </is>
      </c>
      <c r="AP548" s="70" t="n">
        <v>1989</v>
      </c>
      <c r="AQ548" s="74" t="n">
        <v>1.74</v>
      </c>
      <c r="AR548" s="74" t="n">
        <v>0.96</v>
      </c>
      <c r="AS548" s="74" t="n">
        <v>43.3</v>
      </c>
      <c r="AT548" s="74" t="n">
        <v>43.29</v>
      </c>
      <c r="AU548" s="74" t="n">
        <v>43.3</v>
      </c>
      <c r="AV548" s="74" t="n">
        <v>9.363281199999999</v>
      </c>
      <c r="AW548" s="74" t="n">
        <v>5.8697791</v>
      </c>
      <c r="AX548" s="75" t="n">
        <v>65</v>
      </c>
      <c r="AY548" s="71" t="n">
        <v>23100000</v>
      </c>
      <c r="AZ548" s="71" t="n">
        <v>23100000</v>
      </c>
      <c r="BA548" s="71" t="n">
        <v>936328.12</v>
      </c>
      <c r="BB548" s="71" t="n">
        <v>257703.5</v>
      </c>
      <c r="BC548" s="69" t="inlineStr">
        <is>
          <t>Refinance</t>
        </is>
      </c>
      <c r="BD548" s="69" t="inlineStr">
        <is>
          <t>N</t>
        </is>
      </c>
      <c r="BE548" s="71" t="n"/>
      <c r="BF548" s="71" t="n"/>
      <c r="BG548" s="71" t="n"/>
      <c r="BH548" s="71" t="n">
        <v>0</v>
      </c>
      <c r="BI548" s="71" t="n">
        <v>0</v>
      </c>
      <c r="BJ548" s="69" t="inlineStr">
        <is>
          <t>N</t>
        </is>
      </c>
      <c r="BK548" s="69" t="inlineStr">
        <is>
          <t>URBN US Retail LLC</t>
        </is>
      </c>
      <c r="BL548" s="75" t="n">
        <v>16.86</v>
      </c>
      <c r="BM548" s="73" t="n">
        <v>49705</v>
      </c>
      <c r="BN548" s="69" t="inlineStr">
        <is>
          <t>J. Allen Radford</t>
        </is>
      </c>
      <c r="BO548" s="69" t="inlineStr">
        <is>
          <t>Barclays</t>
        </is>
      </c>
      <c r="BP548" s="69" t="inlineStr">
        <is>
          <t>TriMont Real Estate Advisors</t>
        </is>
      </c>
      <c r="BQ548" s="69" t="inlineStr">
        <is>
          <t>K-Star Asset Management LLC</t>
        </is>
      </c>
      <c r="BR548" s="69" t="n"/>
      <c r="BS548" s="73" t="n">
        <v>46276</v>
      </c>
      <c r="BU548" s="76">
        <f>IF($C548="","",IFERROR(INDEX(dmName,MATCH($C548,dmID,0)),"Unmapped"))</f>
        <v/>
      </c>
      <c r="BV548" s="76">
        <f>IF($C548="","",IFERROR(INDEX(dmEntity,MATCH($C548,dmID,0)),"Unmapped"))</f>
        <v/>
      </c>
      <c r="BW548" s="77">
        <f>IF($C548="","",IFERROR(INDEX(dmVintage,MATCH($C548,dmID,0)),""))</f>
        <v/>
      </c>
      <c r="BX548" s="78">
        <f>IFERROR(INDEX(dmInclude,MATCH($C548,dmID,0)),0)</f>
        <v/>
      </c>
      <c r="BY548" s="78">
        <f>IF(N($I548)&gt;0,1,0)</f>
        <v/>
      </c>
      <c r="BZ548" s="76">
        <f>IF($AJ548="","Other / Leased Fee",IFERROR(INDEX(mapPTGroup,MATCH(LEFT(TRIM($AJ548),2),mapPTCode,0)),"Other / Leased Fee"))</f>
        <v/>
      </c>
      <c r="CA548" s="76">
        <f>IF(TRIM($AF548&amp;"")="","NR",LEFT(TRIM($AF548),2))</f>
        <v/>
      </c>
      <c r="CB548" s="76">
        <f>IFERROR(LOOKUP(2,1/(LEFT(TRIM($AI548&amp;""),LEN(mapRegion))=mapRegion),mapRegion),"Not Reported")</f>
        <v/>
      </c>
      <c r="CC548" s="76">
        <f>IF($BY548=0,"",IF(TRIM($W548&amp;"")="REO","REO",IF(TRIM($W548&amp;"")="FC","Foreclosure",IF(TRIM($W548&amp;"")="90+","90+ Days Delinquent",IF(TRIM($W548&amp;"")="60","60 Days Delinquent",IF(TRIM($W548&amp;"")="30","30 Days Delinquent",IF($X548="Non-Performing Matured Balloon","Non-Performing Matured Balloon",IF(OR($X548="Late Payment But Less Than 30 Days Delinquent",LEFT($X548&amp;"",20)="Payment Not Received"),"Late / In Grace (&lt;30 Days)",IF($X548="Performing Matured Balloon","Performing Matured Balloon","Current")))))))))</f>
        <v/>
      </c>
      <c r="CD548" s="78">
        <f>IF(OR($CC548="REO",$CC548="Foreclosure",$CC548="90+ Days Delinquent",$CC548="60 Days Delinquent",$CC548="30 Days Delinquent",$CC548="Non-Performing Matured Balloon"),1,0)</f>
        <v/>
      </c>
      <c r="CE548" s="76">
        <f>IF($AB548="Currently special serv","Currently Specially Serviced",IF($AB548="Returned to master serv","Previously Specially Serviced","Never Specially Serviced"))</f>
        <v/>
      </c>
      <c r="CF548" s="78">
        <f>IF($CE548="Currently Specially Serviced",1,0)</f>
        <v/>
      </c>
      <c r="CG548" s="76">
        <f>IF($AA548="Yes","Currently on Watchlist",IF($AA548="Previously","Previously on Watchlist","Never on Watchlist"))</f>
        <v/>
      </c>
      <c r="CH548" s="78">
        <f>IF($CG548="Currently on Watchlist",1,0)</f>
        <v/>
      </c>
      <c r="CI548" s="76">
        <f>IF($Z548="Full Defeasance","Fully Defeased",IF($Z548="Portion Of Loan Previously Defeased","Partially Defeased",IF($Z548="Defeasance Not Allowable","Not Defeased (Not Permitted)","Not Defeased")))</f>
        <v/>
      </c>
      <c r="CJ548" s="78">
        <f>IF($CI548="Fully Defeased",1,0)</f>
        <v/>
      </c>
      <c r="CK548" s="76">
        <f>IF($R548="IO","Full IO",IF(LEFT($R548&amp;"",7)="IO then","Partial IO","Amortizing"))</f>
        <v/>
      </c>
      <c r="CL548" s="78">
        <f>IF($CK548="Full IO",1,0)</f>
        <v/>
      </c>
      <c r="CM548" s="78">
        <f>IF($CK548="Partial IO",1,0)</f>
        <v/>
      </c>
      <c r="CN548" s="76">
        <f>IF(LEFT($F548&amp;"",10)="SPLIT_LOAN","Pari Passu Split","Standalone")</f>
        <v/>
      </c>
      <c r="CO548" s="78">
        <f>IF($CN548="Pari Passu Split",1,0)</f>
        <v/>
      </c>
      <c r="CP548" s="77">
        <f>IF(ISNUMBER($T548),YEAR($T548),"")</f>
        <v/>
      </c>
      <c r="CQ548" s="79">
        <f>IF(ISNUMBER($V548),$V548,IF(ISNUMBER($U548),$U548,""))</f>
        <v/>
      </c>
      <c r="CR548" s="77">
        <f>IF(ISNUMBER($CQ548),YEAR($CQ548),"")</f>
        <v/>
      </c>
      <c r="CS548" s="78">
        <f>IF(ISNUMBER($M548),MAX(0,$M548),IF(TRIM($M548&amp;"")="matured",0,""))</f>
        <v/>
      </c>
      <c r="CT548" s="78">
        <f>IF(AND(ISNUMBER($CS548),N($CS548)&lt;=mMatWindow),1,0)</f>
        <v/>
      </c>
      <c r="CU548" s="80">
        <f>IF(ISNUMBER($J548),$J548/100,"")</f>
        <v/>
      </c>
      <c r="CV548" s="81">
        <f>IF(ISNUMBER($AQ548),$AQ548,"")</f>
        <v/>
      </c>
      <c r="CW548" s="81">
        <f>IF(ISNUMBER($AR548),$AR548,"")</f>
        <v/>
      </c>
      <c r="CX548" s="82">
        <f>IF(ISNUMBER($AS548),$AS548/100,"")</f>
        <v/>
      </c>
      <c r="CY548" s="82">
        <f>IF(ISNUMBER($AT548),$AT548/100,"")</f>
        <v/>
      </c>
      <c r="CZ548" s="82">
        <f>IF(ISNUMBER($AU548),$AU548/100,"")</f>
        <v/>
      </c>
      <c r="DA548" s="82">
        <f>IF(ISNUMBER($AV548),$AV548/100,"")</f>
        <v/>
      </c>
      <c r="DB548" s="82">
        <f>IF(ISNUMBER($AW548),$AW548/100,"")</f>
        <v/>
      </c>
      <c r="DC548" s="82">
        <f>IF(ISNUMBER($AX548),$AX548/100,"")</f>
        <v/>
      </c>
      <c r="DD548" s="77">
        <f>IFERROR(VALUE(LEFT(TRIM($AO548&amp;""),4)),"")</f>
        <v/>
      </c>
      <c r="DE548" s="78">
        <f>IF(AND($BY548=1,$BX548=1,OR(fDeal="All Deals",$BU548=fDeal),OR(fEntity="All Entities",$BV548=fEntity),OR(fPType="All Property Types",$BZ548=fPType),OR(fDefeased="Include",$CJ548=0)),1,0)</f>
        <v/>
      </c>
      <c r="DF548" s="83">
        <f>$DE548*N($I548)</f>
        <v/>
      </c>
      <c r="DG548" s="78">
        <f>IF($DE548=1,IF(COUNTIFS($F$8:$F548,$F548,$DE$8:$DE548,1)=1,1,0),0)</f>
        <v/>
      </c>
      <c r="DH548" s="83">
        <f>IF($DG548=1,SUMIFS($DF$8:$DF$1600,$F$8:$F$1600,$F548),0)</f>
        <v/>
      </c>
      <c r="DI548" s="78">
        <f>IF($DG548=1,COUNTIFS($F$8:$F$1600,$F548,$DE$8:$DE$1600,1),0)</f>
        <v/>
      </c>
      <c r="DJ548" s="84">
        <f>IF($DG548=1,$DH548+(100000-ROW())/mTieBreak,0)</f>
        <v/>
      </c>
    </row>
    <row r="549">
      <c r="B549" s="68" t="n">
        <v>26</v>
      </c>
      <c r="C549" s="69" t="inlineStr">
        <is>
          <t>WFC19C49</t>
        </is>
      </c>
      <c r="D549" s="69" t="inlineStr">
        <is>
          <t>26.000</t>
        </is>
      </c>
      <c r="E549" s="69" t="inlineStr">
        <is>
          <t>AAA Storage</t>
        </is>
      </c>
      <c r="F549" s="69" t="inlineStr">
        <is>
          <t>LNWFC19C49-26.000</t>
        </is>
      </c>
      <c r="G549" s="70" t="n"/>
      <c r="H549" s="71" t="n">
        <v>10000000</v>
      </c>
      <c r="I549" s="71" t="n">
        <v>10000000</v>
      </c>
      <c r="J549" s="72" t="n">
        <v>4.58</v>
      </c>
      <c r="K549" s="69" t="inlineStr">
        <is>
          <t>Fixed rate</t>
        </is>
      </c>
      <c r="L549" s="68" t="n">
        <v>117</v>
      </c>
      <c r="M549" s="68" t="n">
        <v>26</v>
      </c>
      <c r="N549" s="68" t="n">
        <v>120</v>
      </c>
      <c r="O549" s="68" t="n">
        <v>117</v>
      </c>
      <c r="P549" s="68" t="n">
        <v>26</v>
      </c>
      <c r="Q549" s="68" t="n">
        <v>91</v>
      </c>
      <c r="R549" s="69" t="inlineStr">
        <is>
          <t>IO</t>
        </is>
      </c>
      <c r="S549" s="69" t="inlineStr">
        <is>
          <t>Yes</t>
        </is>
      </c>
      <c r="T549" s="73" t="n">
        <v>43497</v>
      </c>
      <c r="U549" s="73" t="n">
        <v>47063</v>
      </c>
      <c r="V549" s="73" t="n"/>
      <c r="W549" s="69" t="n"/>
      <c r="X549" s="69" t="inlineStr">
        <is>
          <t>Current</t>
        </is>
      </c>
      <c r="Y549" s="68" t="n"/>
      <c r="Z549" s="69" t="inlineStr">
        <is>
          <t>Full Defeasance</t>
        </is>
      </c>
      <c r="AA549" s="69" t="n"/>
      <c r="AB549" s="69" t="inlineStr">
        <is>
          <t>Never special serv</t>
        </is>
      </c>
      <c r="AC549" s="73" t="n"/>
      <c r="AD549" s="69" t="n"/>
      <c r="AE549" s="69" t="n"/>
      <c r="AF549" s="69" t="inlineStr">
        <is>
          <t>AL</t>
        </is>
      </c>
      <c r="AG549" s="69" t="inlineStr">
        <is>
          <t>Enterprise</t>
        </is>
      </c>
      <c r="AH549" s="69" t="inlineStr">
        <is>
          <t>Enterprise, AL</t>
        </is>
      </c>
      <c r="AI549" s="69" t="inlineStr">
        <is>
          <t>South / Central East</t>
        </is>
      </c>
      <c r="AJ549" s="69" t="inlineStr">
        <is>
          <t>SS</t>
        </is>
      </c>
      <c r="AK549" s="69" t="n"/>
      <c r="AL549" s="68" t="n">
        <v>1</v>
      </c>
      <c r="AM549" s="68" t="n"/>
      <c r="AN549" s="68" t="n">
        <v>335791</v>
      </c>
      <c r="AO549" s="69" t="inlineStr">
        <is>
          <t>1997</t>
        </is>
      </c>
      <c r="AP549" s="70" t="n">
        <v>2018</v>
      </c>
      <c r="AQ549" s="74" t="n">
        <v>2.96</v>
      </c>
      <c r="AR549" s="74" t="n">
        <v>4.17</v>
      </c>
      <c r="AS549" s="74" t="n">
        <v>43.4</v>
      </c>
      <c r="AT549" s="74" t="n">
        <v>43.38</v>
      </c>
      <c r="AU549" s="74" t="n">
        <v>43.4</v>
      </c>
      <c r="AV549" s="74" t="n">
        <v>13.8005912</v>
      </c>
      <c r="AW549" s="74" t="n">
        <v>17.6756769</v>
      </c>
      <c r="AX549" s="75" t="n">
        <v>90.64</v>
      </c>
      <c r="AY549" s="71" t="n">
        <v>23050000</v>
      </c>
      <c r="AZ549" s="71" t="n">
        <v>23050000</v>
      </c>
      <c r="BA549" s="71" t="n">
        <v>1380059.12</v>
      </c>
      <c r="BB549" s="71" t="n">
        <v>477336.74</v>
      </c>
      <c r="BC549" s="69" t="inlineStr">
        <is>
          <t>Refinance</t>
        </is>
      </c>
      <c r="BD549" s="69" t="inlineStr">
        <is>
          <t>N</t>
        </is>
      </c>
      <c r="BE549" s="71" t="n"/>
      <c r="BF549" s="71" t="n"/>
      <c r="BG549" s="71" t="n"/>
      <c r="BH549" s="71" t="n">
        <v>0</v>
      </c>
      <c r="BI549" s="71" t="n">
        <v>0</v>
      </c>
      <c r="BJ549" s="69" t="inlineStr">
        <is>
          <t>N</t>
        </is>
      </c>
      <c r="BK549" s="69" t="n"/>
      <c r="BL549" s="75" t="n"/>
      <c r="BM549" s="73" t="n"/>
      <c r="BN549" s="69" t="inlineStr">
        <is>
          <t>Richard Bray; Thomas H. Arnold; Amanda H. McLean</t>
        </is>
      </c>
      <c r="BO549" s="69" t="inlineStr">
        <is>
          <t>Barclays</t>
        </is>
      </c>
      <c r="BP549" s="69" t="inlineStr">
        <is>
          <t>TriMont Real Estate Advisors</t>
        </is>
      </c>
      <c r="BQ549" s="69" t="inlineStr">
        <is>
          <t>K-Star Asset Management LLC</t>
        </is>
      </c>
      <c r="BR549" s="69" t="n"/>
      <c r="BS549" s="73" t="n">
        <v>46276</v>
      </c>
      <c r="BU549" s="76">
        <f>IF($C549="","",IFERROR(INDEX(dmName,MATCH($C549,dmID,0)),"Unmapped"))</f>
        <v/>
      </c>
      <c r="BV549" s="76">
        <f>IF($C549="","",IFERROR(INDEX(dmEntity,MATCH($C549,dmID,0)),"Unmapped"))</f>
        <v/>
      </c>
      <c r="BW549" s="77">
        <f>IF($C549="","",IFERROR(INDEX(dmVintage,MATCH($C549,dmID,0)),""))</f>
        <v/>
      </c>
      <c r="BX549" s="78">
        <f>IFERROR(INDEX(dmInclude,MATCH($C549,dmID,0)),0)</f>
        <v/>
      </c>
      <c r="BY549" s="78">
        <f>IF(N($I549)&gt;0,1,0)</f>
        <v/>
      </c>
      <c r="BZ549" s="76">
        <f>IF($AJ549="","Other / Leased Fee",IFERROR(INDEX(mapPTGroup,MATCH(LEFT(TRIM($AJ549),2),mapPTCode,0)),"Other / Leased Fee"))</f>
        <v/>
      </c>
      <c r="CA549" s="76">
        <f>IF(TRIM($AF549&amp;"")="","NR",LEFT(TRIM($AF549),2))</f>
        <v/>
      </c>
      <c r="CB549" s="76">
        <f>IFERROR(LOOKUP(2,1/(LEFT(TRIM($AI549&amp;""),LEN(mapRegion))=mapRegion),mapRegion),"Not Reported")</f>
        <v/>
      </c>
      <c r="CC549" s="76">
        <f>IF($BY549=0,"",IF(TRIM($W549&amp;"")="REO","REO",IF(TRIM($W549&amp;"")="FC","Foreclosure",IF(TRIM($W549&amp;"")="90+","90+ Days Delinquent",IF(TRIM($W549&amp;"")="60","60 Days Delinquent",IF(TRIM($W549&amp;"")="30","30 Days Delinquent",IF($X549="Non-Performing Matured Balloon","Non-Performing Matured Balloon",IF(OR($X549="Late Payment But Less Than 30 Days Delinquent",LEFT($X549&amp;"",20)="Payment Not Received"),"Late / In Grace (&lt;30 Days)",IF($X549="Performing Matured Balloon","Performing Matured Balloon","Current")))))))))</f>
        <v/>
      </c>
      <c r="CD549" s="78">
        <f>IF(OR($CC549="REO",$CC549="Foreclosure",$CC549="90+ Days Delinquent",$CC549="60 Days Delinquent",$CC549="30 Days Delinquent",$CC549="Non-Performing Matured Balloon"),1,0)</f>
        <v/>
      </c>
      <c r="CE549" s="76">
        <f>IF($AB549="Currently special serv","Currently Specially Serviced",IF($AB549="Returned to master serv","Previously Specially Serviced","Never Specially Serviced"))</f>
        <v/>
      </c>
      <c r="CF549" s="78">
        <f>IF($CE549="Currently Specially Serviced",1,0)</f>
        <v/>
      </c>
      <c r="CG549" s="76">
        <f>IF($AA549="Yes","Currently on Watchlist",IF($AA549="Previously","Previously on Watchlist","Never on Watchlist"))</f>
        <v/>
      </c>
      <c r="CH549" s="78">
        <f>IF($CG549="Currently on Watchlist",1,0)</f>
        <v/>
      </c>
      <c r="CI549" s="76">
        <f>IF($Z549="Full Defeasance","Fully Defeased",IF($Z549="Portion Of Loan Previously Defeased","Partially Defeased",IF($Z549="Defeasance Not Allowable","Not Defeased (Not Permitted)","Not Defeased")))</f>
        <v/>
      </c>
      <c r="CJ549" s="78">
        <f>IF($CI549="Fully Defeased",1,0)</f>
        <v/>
      </c>
      <c r="CK549" s="76">
        <f>IF($R549="IO","Full IO",IF(LEFT($R549&amp;"",7)="IO then","Partial IO","Amortizing"))</f>
        <v/>
      </c>
      <c r="CL549" s="78">
        <f>IF($CK549="Full IO",1,0)</f>
        <v/>
      </c>
      <c r="CM549" s="78">
        <f>IF($CK549="Partial IO",1,0)</f>
        <v/>
      </c>
      <c r="CN549" s="76">
        <f>IF(LEFT($F549&amp;"",10)="SPLIT_LOAN","Pari Passu Split","Standalone")</f>
        <v/>
      </c>
      <c r="CO549" s="78">
        <f>IF($CN549="Pari Passu Split",1,0)</f>
        <v/>
      </c>
      <c r="CP549" s="77">
        <f>IF(ISNUMBER($T549),YEAR($T549),"")</f>
        <v/>
      </c>
      <c r="CQ549" s="79">
        <f>IF(ISNUMBER($V549),$V549,IF(ISNUMBER($U549),$U549,""))</f>
        <v/>
      </c>
      <c r="CR549" s="77">
        <f>IF(ISNUMBER($CQ549),YEAR($CQ549),"")</f>
        <v/>
      </c>
      <c r="CS549" s="78">
        <f>IF(ISNUMBER($M549),MAX(0,$M549),IF(TRIM($M549&amp;"")="matured",0,""))</f>
        <v/>
      </c>
      <c r="CT549" s="78">
        <f>IF(AND(ISNUMBER($CS549),N($CS549)&lt;=mMatWindow),1,0)</f>
        <v/>
      </c>
      <c r="CU549" s="80">
        <f>IF(ISNUMBER($J549),$J549/100,"")</f>
        <v/>
      </c>
      <c r="CV549" s="81">
        <f>IF(ISNUMBER($AQ549),$AQ549,"")</f>
        <v/>
      </c>
      <c r="CW549" s="81">
        <f>IF(ISNUMBER($AR549),$AR549,"")</f>
        <v/>
      </c>
      <c r="CX549" s="82">
        <f>IF(ISNUMBER($AS549),$AS549/100,"")</f>
        <v/>
      </c>
      <c r="CY549" s="82">
        <f>IF(ISNUMBER($AT549),$AT549/100,"")</f>
        <v/>
      </c>
      <c r="CZ549" s="82">
        <f>IF(ISNUMBER($AU549),$AU549/100,"")</f>
        <v/>
      </c>
      <c r="DA549" s="82">
        <f>IF(ISNUMBER($AV549),$AV549/100,"")</f>
        <v/>
      </c>
      <c r="DB549" s="82">
        <f>IF(ISNUMBER($AW549),$AW549/100,"")</f>
        <v/>
      </c>
      <c r="DC549" s="82">
        <f>IF(ISNUMBER($AX549),$AX549/100,"")</f>
        <v/>
      </c>
      <c r="DD549" s="77">
        <f>IFERROR(VALUE(LEFT(TRIM($AO549&amp;""),4)),"")</f>
        <v/>
      </c>
      <c r="DE549" s="78">
        <f>IF(AND($BY549=1,$BX549=1,OR(fDeal="All Deals",$BU549=fDeal),OR(fEntity="All Entities",$BV549=fEntity),OR(fPType="All Property Types",$BZ549=fPType),OR(fDefeased="Include",$CJ549=0)),1,0)</f>
        <v/>
      </c>
      <c r="DF549" s="83">
        <f>$DE549*N($I549)</f>
        <v/>
      </c>
      <c r="DG549" s="78">
        <f>IF($DE549=1,IF(COUNTIFS($F$8:$F549,$F549,$DE$8:$DE549,1)=1,1,0),0)</f>
        <v/>
      </c>
      <c r="DH549" s="83">
        <f>IF($DG549=1,SUMIFS($DF$8:$DF$1600,$F$8:$F$1600,$F549),0)</f>
        <v/>
      </c>
      <c r="DI549" s="78">
        <f>IF($DG549=1,COUNTIFS($F$8:$F$1600,$F549,$DE$8:$DE$1600,1),0)</f>
        <v/>
      </c>
      <c r="DJ549" s="84">
        <f>IF($DG549=1,$DH549+(100000-ROW())/mTieBreak,0)</f>
        <v/>
      </c>
    </row>
    <row r="550">
      <c r="B550" s="68" t="n">
        <v>27</v>
      </c>
      <c r="C550" s="69" t="inlineStr">
        <is>
          <t>WFC19C49</t>
        </is>
      </c>
      <c r="D550" s="69" t="inlineStr">
        <is>
          <t>27.000</t>
        </is>
      </c>
      <c r="E550" s="69" t="inlineStr">
        <is>
          <t>La Puente Yard</t>
        </is>
      </c>
      <c r="F550" s="69" t="inlineStr">
        <is>
          <t>LNWFC19C49-27.000</t>
        </is>
      </c>
      <c r="G550" s="70" t="n"/>
      <c r="H550" s="71" t="n">
        <v>10000000</v>
      </c>
      <c r="I550" s="71" t="n">
        <v>10000000</v>
      </c>
      <c r="J550" s="72" t="n">
        <v>4.78</v>
      </c>
      <c r="K550" s="69" t="inlineStr">
        <is>
          <t>Fixed rate</t>
        </is>
      </c>
      <c r="L550" s="68" t="n">
        <v>120</v>
      </c>
      <c r="M550" s="68" t="n">
        <v>29</v>
      </c>
      <c r="N550" s="68" t="n">
        <v>120</v>
      </c>
      <c r="O550" s="68" t="n">
        <v>120</v>
      </c>
      <c r="P550" s="68" t="n">
        <v>29</v>
      </c>
      <c r="Q550" s="68" t="n">
        <v>91</v>
      </c>
      <c r="R550" s="69" t="inlineStr">
        <is>
          <t>IO</t>
        </is>
      </c>
      <c r="S550" s="69" t="inlineStr">
        <is>
          <t>Yes</t>
        </is>
      </c>
      <c r="T550" s="73" t="n">
        <v>43497</v>
      </c>
      <c r="U550" s="73" t="n">
        <v>47160</v>
      </c>
      <c r="V550" s="73" t="n"/>
      <c r="W550" s="69" t="n"/>
      <c r="X550" s="69" t="inlineStr">
        <is>
          <t>Current</t>
        </is>
      </c>
      <c r="Y550" s="68" t="n"/>
      <c r="Z550" s="69" t="inlineStr">
        <is>
          <t>Full Defeasance</t>
        </is>
      </c>
      <c r="AA550" s="69" t="n"/>
      <c r="AB550" s="69" t="inlineStr">
        <is>
          <t>Never special serv</t>
        </is>
      </c>
      <c r="AC550" s="73" t="n"/>
      <c r="AD550" s="69" t="n"/>
      <c r="AE550" s="69" t="n"/>
      <c r="AF550" s="69" t="inlineStr">
        <is>
          <t>CA</t>
        </is>
      </c>
      <c r="AG550" s="69" t="inlineStr">
        <is>
          <t>La Puente</t>
        </is>
      </c>
      <c r="AH550" s="69" t="inlineStr">
        <is>
          <t>Los Angeles-Long Beach-Anaheim, CA</t>
        </is>
      </c>
      <c r="AI550" s="69" t="inlineStr">
        <is>
          <t>West / Pacific South</t>
        </is>
      </c>
      <c r="AJ550" s="69" t="inlineStr">
        <is>
          <t>IN</t>
        </is>
      </c>
      <c r="AK550" s="69" t="inlineStr">
        <is>
          <t>Warehouse</t>
        </is>
      </c>
      <c r="AL550" s="68" t="n">
        <v>1</v>
      </c>
      <c r="AM550" s="68" t="n"/>
      <c r="AN550" s="68" t="n">
        <v>415121</v>
      </c>
      <c r="AO550" s="69" t="inlineStr">
        <is>
          <t>1962</t>
        </is>
      </c>
      <c r="AP550" s="70" t="n">
        <v>2001</v>
      </c>
      <c r="AQ550" s="74" t="n">
        <v>2.12</v>
      </c>
      <c r="AR550" s="74" t="n">
        <v>2.32</v>
      </c>
      <c r="AS550" s="74" t="n">
        <v>57.1</v>
      </c>
      <c r="AT550" s="74" t="n">
        <v>57.14</v>
      </c>
      <c r="AU550" s="74" t="n">
        <v>57.1</v>
      </c>
      <c r="AV550" s="74" t="n">
        <v>10.30626</v>
      </c>
      <c r="AW550" s="74" t="n">
        <v>10.9672443</v>
      </c>
      <c r="AX550" s="75" t="n">
        <v>100</v>
      </c>
      <c r="AY550" s="71" t="n">
        <v>17500000</v>
      </c>
      <c r="AZ550" s="71" t="n">
        <v>17500000</v>
      </c>
      <c r="BA550" s="71" t="n">
        <v>1030626</v>
      </c>
      <c r="BB550" s="71" t="n">
        <v>845076.2</v>
      </c>
      <c r="BC550" s="69" t="inlineStr">
        <is>
          <t>Refinance</t>
        </is>
      </c>
      <c r="BD550" s="69" t="inlineStr">
        <is>
          <t>N</t>
        </is>
      </c>
      <c r="BE550" s="71" t="n"/>
      <c r="BF550" s="71" t="n"/>
      <c r="BG550" s="71" t="n"/>
      <c r="BH550" s="71" t="n">
        <v>0</v>
      </c>
      <c r="BI550" s="71" t="n">
        <v>0</v>
      </c>
      <c r="BJ550" s="69" t="inlineStr">
        <is>
          <t>N</t>
        </is>
      </c>
      <c r="BK550" s="69" t="inlineStr">
        <is>
          <t>FLEET YARDS  INC.</t>
        </is>
      </c>
      <c r="BL550" s="75" t="n">
        <v>100</v>
      </c>
      <c r="BM550" s="73" t="n">
        <v>46904</v>
      </c>
      <c r="BN550" s="69" t="inlineStr">
        <is>
          <t>Guy Christensen</t>
        </is>
      </c>
      <c r="BO550" s="69" t="inlineStr">
        <is>
          <t>Wells Fargo</t>
        </is>
      </c>
      <c r="BP550" s="69" t="inlineStr">
        <is>
          <t>TriMont Real Estate Advisors</t>
        </is>
      </c>
      <c r="BQ550" s="69" t="inlineStr">
        <is>
          <t>K-Star Asset Management LLC</t>
        </is>
      </c>
      <c r="BR550" s="69" t="n"/>
      <c r="BS550" s="73" t="n">
        <v>46276</v>
      </c>
      <c r="BU550" s="76">
        <f>IF($C550="","",IFERROR(INDEX(dmName,MATCH($C550,dmID,0)),"Unmapped"))</f>
        <v/>
      </c>
      <c r="BV550" s="76">
        <f>IF($C550="","",IFERROR(INDEX(dmEntity,MATCH($C550,dmID,0)),"Unmapped"))</f>
        <v/>
      </c>
      <c r="BW550" s="77">
        <f>IF($C550="","",IFERROR(INDEX(dmVintage,MATCH($C550,dmID,0)),""))</f>
        <v/>
      </c>
      <c r="BX550" s="78">
        <f>IFERROR(INDEX(dmInclude,MATCH($C550,dmID,0)),0)</f>
        <v/>
      </c>
      <c r="BY550" s="78">
        <f>IF(N($I550)&gt;0,1,0)</f>
        <v/>
      </c>
      <c r="BZ550" s="76">
        <f>IF($AJ550="","Other / Leased Fee",IFERROR(INDEX(mapPTGroup,MATCH(LEFT(TRIM($AJ550),2),mapPTCode,0)),"Other / Leased Fee"))</f>
        <v/>
      </c>
      <c r="CA550" s="76">
        <f>IF(TRIM($AF550&amp;"")="","NR",LEFT(TRIM($AF550),2))</f>
        <v/>
      </c>
      <c r="CB550" s="76">
        <f>IFERROR(LOOKUP(2,1/(LEFT(TRIM($AI550&amp;""),LEN(mapRegion))=mapRegion),mapRegion),"Not Reported")</f>
        <v/>
      </c>
      <c r="CC550" s="76">
        <f>IF($BY550=0,"",IF(TRIM($W550&amp;"")="REO","REO",IF(TRIM($W550&amp;"")="FC","Foreclosure",IF(TRIM($W550&amp;"")="90+","90+ Days Delinquent",IF(TRIM($W550&amp;"")="60","60 Days Delinquent",IF(TRIM($W550&amp;"")="30","30 Days Delinquent",IF($X550="Non-Performing Matured Balloon","Non-Performing Matured Balloon",IF(OR($X550="Late Payment But Less Than 30 Days Delinquent",LEFT($X550&amp;"",20)="Payment Not Received"),"Late / In Grace (&lt;30 Days)",IF($X550="Performing Matured Balloon","Performing Matured Balloon","Current")))))))))</f>
        <v/>
      </c>
      <c r="CD550" s="78">
        <f>IF(OR($CC550="REO",$CC550="Foreclosure",$CC550="90+ Days Delinquent",$CC550="60 Days Delinquent",$CC550="30 Days Delinquent",$CC550="Non-Performing Matured Balloon"),1,0)</f>
        <v/>
      </c>
      <c r="CE550" s="76">
        <f>IF($AB550="Currently special serv","Currently Specially Serviced",IF($AB550="Returned to master serv","Previously Specially Serviced","Never Specially Serviced"))</f>
        <v/>
      </c>
      <c r="CF550" s="78">
        <f>IF($CE550="Currently Specially Serviced",1,0)</f>
        <v/>
      </c>
      <c r="CG550" s="76">
        <f>IF($AA550="Yes","Currently on Watchlist",IF($AA550="Previously","Previously on Watchlist","Never on Watchlist"))</f>
        <v/>
      </c>
      <c r="CH550" s="78">
        <f>IF($CG550="Currently on Watchlist",1,0)</f>
        <v/>
      </c>
      <c r="CI550" s="76">
        <f>IF($Z550="Full Defeasance","Fully Defeased",IF($Z550="Portion Of Loan Previously Defeased","Partially Defeased",IF($Z550="Defeasance Not Allowable","Not Defeased (Not Permitted)","Not Defeased")))</f>
        <v/>
      </c>
      <c r="CJ550" s="78">
        <f>IF($CI550="Fully Defeased",1,0)</f>
        <v/>
      </c>
      <c r="CK550" s="76">
        <f>IF($R550="IO","Full IO",IF(LEFT($R550&amp;"",7)="IO then","Partial IO","Amortizing"))</f>
        <v/>
      </c>
      <c r="CL550" s="78">
        <f>IF($CK550="Full IO",1,0)</f>
        <v/>
      </c>
      <c r="CM550" s="78">
        <f>IF($CK550="Partial IO",1,0)</f>
        <v/>
      </c>
      <c r="CN550" s="76">
        <f>IF(LEFT($F550&amp;"",10)="SPLIT_LOAN","Pari Passu Split","Standalone")</f>
        <v/>
      </c>
      <c r="CO550" s="78">
        <f>IF($CN550="Pari Passu Split",1,0)</f>
        <v/>
      </c>
      <c r="CP550" s="77">
        <f>IF(ISNUMBER($T550),YEAR($T550),"")</f>
        <v/>
      </c>
      <c r="CQ550" s="79">
        <f>IF(ISNUMBER($V550),$V550,IF(ISNUMBER($U550),$U550,""))</f>
        <v/>
      </c>
      <c r="CR550" s="77">
        <f>IF(ISNUMBER($CQ550),YEAR($CQ550),"")</f>
        <v/>
      </c>
      <c r="CS550" s="78">
        <f>IF(ISNUMBER($M550),MAX(0,$M550),IF(TRIM($M550&amp;"")="matured",0,""))</f>
        <v/>
      </c>
      <c r="CT550" s="78">
        <f>IF(AND(ISNUMBER($CS550),N($CS550)&lt;=mMatWindow),1,0)</f>
        <v/>
      </c>
      <c r="CU550" s="80">
        <f>IF(ISNUMBER($J550),$J550/100,"")</f>
        <v/>
      </c>
      <c r="CV550" s="81">
        <f>IF(ISNUMBER($AQ550),$AQ550,"")</f>
        <v/>
      </c>
      <c r="CW550" s="81">
        <f>IF(ISNUMBER($AR550),$AR550,"")</f>
        <v/>
      </c>
      <c r="CX550" s="82">
        <f>IF(ISNUMBER($AS550),$AS550/100,"")</f>
        <v/>
      </c>
      <c r="CY550" s="82">
        <f>IF(ISNUMBER($AT550),$AT550/100,"")</f>
        <v/>
      </c>
      <c r="CZ550" s="82">
        <f>IF(ISNUMBER($AU550),$AU550/100,"")</f>
        <v/>
      </c>
      <c r="DA550" s="82">
        <f>IF(ISNUMBER($AV550),$AV550/100,"")</f>
        <v/>
      </c>
      <c r="DB550" s="82">
        <f>IF(ISNUMBER($AW550),$AW550/100,"")</f>
        <v/>
      </c>
      <c r="DC550" s="82">
        <f>IF(ISNUMBER($AX550),$AX550/100,"")</f>
        <v/>
      </c>
      <c r="DD550" s="77">
        <f>IFERROR(VALUE(LEFT(TRIM($AO550&amp;""),4)),"")</f>
        <v/>
      </c>
      <c r="DE550" s="78">
        <f>IF(AND($BY550=1,$BX550=1,OR(fDeal="All Deals",$BU550=fDeal),OR(fEntity="All Entities",$BV550=fEntity),OR(fPType="All Property Types",$BZ550=fPType),OR(fDefeased="Include",$CJ550=0)),1,0)</f>
        <v/>
      </c>
      <c r="DF550" s="83">
        <f>$DE550*N($I550)</f>
        <v/>
      </c>
      <c r="DG550" s="78">
        <f>IF($DE550=1,IF(COUNTIFS($F$8:$F550,$F550,$DE$8:$DE550,1)=1,1,0),0)</f>
        <v/>
      </c>
      <c r="DH550" s="83">
        <f>IF($DG550=1,SUMIFS($DF$8:$DF$1600,$F$8:$F$1600,$F550),0)</f>
        <v/>
      </c>
      <c r="DI550" s="78">
        <f>IF($DG550=1,COUNTIFS($F$8:$F$1600,$F550,$DE$8:$DE$1600,1),0)</f>
        <v/>
      </c>
      <c r="DJ550" s="84">
        <f>IF($DG550=1,$DH550+(100000-ROW())/mTieBreak,0)</f>
        <v/>
      </c>
    </row>
    <row r="551">
      <c r="B551" s="68" t="n">
        <v>28</v>
      </c>
      <c r="C551" s="69" t="inlineStr">
        <is>
          <t>WFC19C49</t>
        </is>
      </c>
      <c r="D551" s="69" t="inlineStr">
        <is>
          <t>28.000</t>
        </is>
      </c>
      <c r="E551" s="69" t="inlineStr">
        <is>
          <t>Rockaway Commons</t>
        </is>
      </c>
      <c r="F551" s="69" t="inlineStr">
        <is>
          <t>LNWFC19C49-28.000</t>
        </is>
      </c>
      <c r="G551" s="70" t="n"/>
      <c r="H551" s="71" t="n">
        <v>10000000</v>
      </c>
      <c r="I551" s="71" t="n">
        <v>8650143.98</v>
      </c>
      <c r="J551" s="72" t="n">
        <v>4.75</v>
      </c>
      <c r="K551" s="69" t="inlineStr">
        <is>
          <t>Fixed rate</t>
        </is>
      </c>
      <c r="L551" s="68" t="n">
        <v>120</v>
      </c>
      <c r="M551" s="68" t="n">
        <v>27</v>
      </c>
      <c r="N551" s="68" t="n">
        <v>360</v>
      </c>
      <c r="O551" s="68" t="n"/>
      <c r="P551" s="68" t="n"/>
      <c r="Q551" s="68" t="n">
        <v>93</v>
      </c>
      <c r="R551" s="69" t="n"/>
      <c r="S551" s="69" t="inlineStr">
        <is>
          <t>No</t>
        </is>
      </c>
      <c r="T551" s="73" t="n">
        <v>43435</v>
      </c>
      <c r="U551" s="73" t="n">
        <v>47093</v>
      </c>
      <c r="V551" s="73" t="n"/>
      <c r="W551" s="69" t="inlineStr">
        <is>
          <t>FC</t>
        </is>
      </c>
      <c r="X551" s="69" t="inlineStr">
        <is>
          <t>121+ Days Delinquent</t>
        </is>
      </c>
      <c r="Y551" s="68" t="n">
        <v>12</v>
      </c>
      <c r="Z551" s="69" t="inlineStr">
        <is>
          <t>No Defeasance Occurred</t>
        </is>
      </c>
      <c r="AA551" s="69" t="inlineStr">
        <is>
          <t>Previously</t>
        </is>
      </c>
      <c r="AB551" s="69" t="inlineStr">
        <is>
          <t>Currently special serv</t>
        </is>
      </c>
      <c r="AC551" s="73" t="n">
        <v>45635</v>
      </c>
      <c r="AD551" s="69" t="inlineStr">
        <is>
          <t>Other</t>
        </is>
      </c>
      <c r="AE551" s="69" t="inlineStr">
        <is>
          <t>Foreclosure</t>
        </is>
      </c>
      <c r="AF551" s="69" t="inlineStr">
        <is>
          <t>NJ</t>
        </is>
      </c>
      <c r="AG551" s="69" t="inlineStr">
        <is>
          <t>Rockaway</t>
        </is>
      </c>
      <c r="AH551" s="69" t="inlineStr">
        <is>
          <t>New York-Newark-Jersey City, NY-NJ</t>
        </is>
      </c>
      <c r="AI551" s="69" t="inlineStr">
        <is>
          <t>Northeast / Mid-Atlantic</t>
        </is>
      </c>
      <c r="AJ551" s="69" t="inlineStr">
        <is>
          <t>RT</t>
        </is>
      </c>
      <c r="AK551" s="69" t="inlineStr">
        <is>
          <t>Anchored</t>
        </is>
      </c>
      <c r="AL551" s="68" t="n">
        <v>1</v>
      </c>
      <c r="AM551" s="68" t="n"/>
      <c r="AN551" s="68" t="n">
        <v>86615</v>
      </c>
      <c r="AO551" s="69" t="inlineStr">
        <is>
          <t>2006</t>
        </is>
      </c>
      <c r="AP551" s="70" t="n">
        <v>2006</v>
      </c>
      <c r="AQ551" s="74" t="n">
        <v>1.99</v>
      </c>
      <c r="AR551" s="74" t="n">
        <v>2.23</v>
      </c>
      <c r="AS551" s="74" t="n">
        <v>52.4</v>
      </c>
      <c r="AT551" s="74" t="n">
        <v>33.66</v>
      </c>
      <c r="AU551" s="74" t="n">
        <v>42.9</v>
      </c>
      <c r="AV551" s="74" t="n">
        <v>12.46852</v>
      </c>
      <c r="AW551" s="74" t="n">
        <v>15.505063189</v>
      </c>
      <c r="AX551" s="75" t="n">
        <v>100</v>
      </c>
      <c r="AY551" s="71" t="n">
        <v>19000000</v>
      </c>
      <c r="AZ551" s="71" t="n">
        <v>25700000</v>
      </c>
      <c r="BA551" s="71" t="n">
        <v>1246852</v>
      </c>
      <c r="BB551" s="71" t="n">
        <v>698756.1800000001</v>
      </c>
      <c r="BC551" s="69" t="inlineStr">
        <is>
          <t>Refinance</t>
        </is>
      </c>
      <c r="BD551" s="69" t="inlineStr">
        <is>
          <t>N</t>
        </is>
      </c>
      <c r="BE551" s="71" t="n"/>
      <c r="BF551" s="71" t="n"/>
      <c r="BG551" s="71" t="n"/>
      <c r="BH551" s="71" t="n">
        <v>0</v>
      </c>
      <c r="BI551" s="71" t="n">
        <v>677659.17</v>
      </c>
      <c r="BJ551" s="69" t="inlineStr">
        <is>
          <t>N</t>
        </is>
      </c>
      <c r="BK551" s="69" t="inlineStr">
        <is>
          <t>H K Furniture</t>
        </is>
      </c>
      <c r="BL551" s="75" t="n">
        <v>38.16</v>
      </c>
      <c r="BM551" s="73" t="n">
        <v>47542</v>
      </c>
      <c r="BN551" s="69" t="inlineStr">
        <is>
          <t>Anthony Mehran</t>
        </is>
      </c>
      <c r="BO551" s="69" t="inlineStr">
        <is>
          <t>RMF</t>
        </is>
      </c>
      <c r="BP551" s="69" t="inlineStr">
        <is>
          <t>TriMont Real Estate Advisors</t>
        </is>
      </c>
      <c r="BQ551" s="69" t="inlineStr">
        <is>
          <t>K-Star Asset Management LLC</t>
        </is>
      </c>
      <c r="BR551" s="69" t="n"/>
      <c r="BS551" s="73" t="n">
        <v>46276</v>
      </c>
      <c r="BU551" s="76">
        <f>IF($C551="","",IFERROR(INDEX(dmName,MATCH($C551,dmID,0)),"Unmapped"))</f>
        <v/>
      </c>
      <c r="BV551" s="76">
        <f>IF($C551="","",IFERROR(INDEX(dmEntity,MATCH($C551,dmID,0)),"Unmapped"))</f>
        <v/>
      </c>
      <c r="BW551" s="77">
        <f>IF($C551="","",IFERROR(INDEX(dmVintage,MATCH($C551,dmID,0)),""))</f>
        <v/>
      </c>
      <c r="BX551" s="78">
        <f>IFERROR(INDEX(dmInclude,MATCH($C551,dmID,0)),0)</f>
        <v/>
      </c>
      <c r="BY551" s="78">
        <f>IF(N($I551)&gt;0,1,0)</f>
        <v/>
      </c>
      <c r="BZ551" s="76">
        <f>IF($AJ551="","Other / Leased Fee",IFERROR(INDEX(mapPTGroup,MATCH(LEFT(TRIM($AJ551),2),mapPTCode,0)),"Other / Leased Fee"))</f>
        <v/>
      </c>
      <c r="CA551" s="76">
        <f>IF(TRIM($AF551&amp;"")="","NR",LEFT(TRIM($AF551),2))</f>
        <v/>
      </c>
      <c r="CB551" s="76">
        <f>IFERROR(LOOKUP(2,1/(LEFT(TRIM($AI551&amp;""),LEN(mapRegion))=mapRegion),mapRegion),"Not Reported")</f>
        <v/>
      </c>
      <c r="CC551" s="76">
        <f>IF($BY551=0,"",IF(TRIM($W551&amp;"")="REO","REO",IF(TRIM($W551&amp;"")="FC","Foreclosure",IF(TRIM($W551&amp;"")="90+","90+ Days Delinquent",IF(TRIM($W551&amp;"")="60","60 Days Delinquent",IF(TRIM($W551&amp;"")="30","30 Days Delinquent",IF($X551="Non-Performing Matured Balloon","Non-Performing Matured Balloon",IF(OR($X551="Late Payment But Less Than 30 Days Delinquent",LEFT($X551&amp;"",20)="Payment Not Received"),"Late / In Grace (&lt;30 Days)",IF($X551="Performing Matured Balloon","Performing Matured Balloon","Current")))))))))</f>
        <v/>
      </c>
      <c r="CD551" s="78">
        <f>IF(OR($CC551="REO",$CC551="Foreclosure",$CC551="90+ Days Delinquent",$CC551="60 Days Delinquent",$CC551="30 Days Delinquent",$CC551="Non-Performing Matured Balloon"),1,0)</f>
        <v/>
      </c>
      <c r="CE551" s="76">
        <f>IF($AB551="Currently special serv","Currently Specially Serviced",IF($AB551="Returned to master serv","Previously Specially Serviced","Never Specially Serviced"))</f>
        <v/>
      </c>
      <c r="CF551" s="78">
        <f>IF($CE551="Currently Specially Serviced",1,0)</f>
        <v/>
      </c>
      <c r="CG551" s="76">
        <f>IF($AA551="Yes","Currently on Watchlist",IF($AA551="Previously","Previously on Watchlist","Never on Watchlist"))</f>
        <v/>
      </c>
      <c r="CH551" s="78">
        <f>IF($CG551="Currently on Watchlist",1,0)</f>
        <v/>
      </c>
      <c r="CI551" s="76">
        <f>IF($Z551="Full Defeasance","Fully Defeased",IF($Z551="Portion Of Loan Previously Defeased","Partially Defeased",IF($Z551="Defeasance Not Allowable","Not Defeased (Not Permitted)","Not Defeased")))</f>
        <v/>
      </c>
      <c r="CJ551" s="78">
        <f>IF($CI551="Fully Defeased",1,0)</f>
        <v/>
      </c>
      <c r="CK551" s="76">
        <f>IF($R551="IO","Full IO",IF(LEFT($R551&amp;"",7)="IO then","Partial IO","Amortizing"))</f>
        <v/>
      </c>
      <c r="CL551" s="78">
        <f>IF($CK551="Full IO",1,0)</f>
        <v/>
      </c>
      <c r="CM551" s="78">
        <f>IF($CK551="Partial IO",1,0)</f>
        <v/>
      </c>
      <c r="CN551" s="76">
        <f>IF(LEFT($F551&amp;"",10)="SPLIT_LOAN","Pari Passu Split","Standalone")</f>
        <v/>
      </c>
      <c r="CO551" s="78">
        <f>IF($CN551="Pari Passu Split",1,0)</f>
        <v/>
      </c>
      <c r="CP551" s="77">
        <f>IF(ISNUMBER($T551),YEAR($T551),"")</f>
        <v/>
      </c>
      <c r="CQ551" s="79">
        <f>IF(ISNUMBER($V551),$V551,IF(ISNUMBER($U551),$U551,""))</f>
        <v/>
      </c>
      <c r="CR551" s="77">
        <f>IF(ISNUMBER($CQ551),YEAR($CQ551),"")</f>
        <v/>
      </c>
      <c r="CS551" s="78">
        <f>IF(ISNUMBER($M551),MAX(0,$M551),IF(TRIM($M551&amp;"")="matured",0,""))</f>
        <v/>
      </c>
      <c r="CT551" s="78">
        <f>IF(AND(ISNUMBER($CS551),N($CS551)&lt;=mMatWindow),1,0)</f>
        <v/>
      </c>
      <c r="CU551" s="80">
        <f>IF(ISNUMBER($J551),$J551/100,"")</f>
        <v/>
      </c>
      <c r="CV551" s="81">
        <f>IF(ISNUMBER($AQ551),$AQ551,"")</f>
        <v/>
      </c>
      <c r="CW551" s="81">
        <f>IF(ISNUMBER($AR551),$AR551,"")</f>
        <v/>
      </c>
      <c r="CX551" s="82">
        <f>IF(ISNUMBER($AS551),$AS551/100,"")</f>
        <v/>
      </c>
      <c r="CY551" s="82">
        <f>IF(ISNUMBER($AT551),$AT551/100,"")</f>
        <v/>
      </c>
      <c r="CZ551" s="82">
        <f>IF(ISNUMBER($AU551),$AU551/100,"")</f>
        <v/>
      </c>
      <c r="DA551" s="82">
        <f>IF(ISNUMBER($AV551),$AV551/100,"")</f>
        <v/>
      </c>
      <c r="DB551" s="82">
        <f>IF(ISNUMBER($AW551),$AW551/100,"")</f>
        <v/>
      </c>
      <c r="DC551" s="82">
        <f>IF(ISNUMBER($AX551),$AX551/100,"")</f>
        <v/>
      </c>
      <c r="DD551" s="77">
        <f>IFERROR(VALUE(LEFT(TRIM($AO551&amp;""),4)),"")</f>
        <v/>
      </c>
      <c r="DE551" s="78">
        <f>IF(AND($BY551=1,$BX551=1,OR(fDeal="All Deals",$BU551=fDeal),OR(fEntity="All Entities",$BV551=fEntity),OR(fPType="All Property Types",$BZ551=fPType),OR(fDefeased="Include",$CJ551=0)),1,0)</f>
        <v/>
      </c>
      <c r="DF551" s="83">
        <f>$DE551*N($I551)</f>
        <v/>
      </c>
      <c r="DG551" s="78">
        <f>IF($DE551=1,IF(COUNTIFS($F$8:$F551,$F551,$DE$8:$DE551,1)=1,1,0),0)</f>
        <v/>
      </c>
      <c r="DH551" s="83">
        <f>IF($DG551=1,SUMIFS($DF$8:$DF$1600,$F$8:$F$1600,$F551),0)</f>
        <v/>
      </c>
      <c r="DI551" s="78">
        <f>IF($DG551=1,COUNTIFS($F$8:$F$1600,$F551,$DE$8:$DE$1600,1),0)</f>
        <v/>
      </c>
      <c r="DJ551" s="84">
        <f>IF($DG551=1,$DH551+(100000-ROW())/mTieBreak,0)</f>
        <v/>
      </c>
    </row>
    <row r="552">
      <c r="B552" s="68" t="n">
        <v>29</v>
      </c>
      <c r="C552" s="69" t="inlineStr">
        <is>
          <t>WFC19C49</t>
        </is>
      </c>
      <c r="D552" s="69" t="inlineStr">
        <is>
          <t>29.000</t>
        </is>
      </c>
      <c r="E552" s="69" t="inlineStr">
        <is>
          <t>Staybridge Suites - Oconomwoc</t>
        </is>
      </c>
      <c r="F552" s="69" t="inlineStr">
        <is>
          <t>LNWFC19C49-29.000</t>
        </is>
      </c>
      <c r="G552" s="70" t="n"/>
      <c r="H552" s="71" t="n">
        <v>9925000</v>
      </c>
      <c r="I552" s="71" t="n">
        <v>8262103.63999595</v>
      </c>
      <c r="J552" s="72" t="n">
        <v>5.75</v>
      </c>
      <c r="K552" s="69" t="inlineStr">
        <is>
          <t>Fixed rate</t>
        </is>
      </c>
      <c r="L552" s="68" t="n">
        <v>120</v>
      </c>
      <c r="M552" s="68" t="n">
        <v>27</v>
      </c>
      <c r="N552" s="68" t="n">
        <v>300</v>
      </c>
      <c r="O552" s="68" t="n"/>
      <c r="P552" s="68" t="n"/>
      <c r="Q552" s="68" t="n">
        <v>93</v>
      </c>
      <c r="R552" s="69" t="n"/>
      <c r="S552" s="69" t="inlineStr">
        <is>
          <t>No</t>
        </is>
      </c>
      <c r="T552" s="73" t="n">
        <v>43435</v>
      </c>
      <c r="U552" s="73" t="n">
        <v>47098</v>
      </c>
      <c r="V552" s="73" t="n"/>
      <c r="W552" s="69" t="n"/>
      <c r="X552" s="69" t="inlineStr">
        <is>
          <t>Current</t>
        </is>
      </c>
      <c r="Y552" s="68" t="n"/>
      <c r="Z552" s="69" t="inlineStr">
        <is>
          <t>No Defeasance Occurred</t>
        </is>
      </c>
      <c r="AA552" s="69" t="inlineStr">
        <is>
          <t>Previously</t>
        </is>
      </c>
      <c r="AB552" s="69" t="inlineStr">
        <is>
          <t>Never special serv</t>
        </is>
      </c>
      <c r="AC552" s="73" t="n"/>
      <c r="AD552" s="69" t="n"/>
      <c r="AE552" s="69" t="n"/>
      <c r="AF552" s="69" t="inlineStr">
        <is>
          <t>WI</t>
        </is>
      </c>
      <c r="AG552" s="69" t="inlineStr">
        <is>
          <t>Oconomowoc</t>
        </is>
      </c>
      <c r="AH552" s="69" t="inlineStr">
        <is>
          <t>Milwaukee-Waukesha, WI</t>
        </is>
      </c>
      <c r="AI552" s="69" t="inlineStr">
        <is>
          <t>Midwest / Central East</t>
        </is>
      </c>
      <c r="AJ552" s="69" t="inlineStr">
        <is>
          <t>HT</t>
        </is>
      </c>
      <c r="AK552" s="69" t="inlineStr">
        <is>
          <t>Extended Stay</t>
        </is>
      </c>
      <c r="AL552" s="68" t="n">
        <v>1</v>
      </c>
      <c r="AM552" s="68" t="n">
        <v>128</v>
      </c>
      <c r="AN552" s="68" t="n"/>
      <c r="AO552" s="69" t="inlineStr">
        <is>
          <t>2009</t>
        </is>
      </c>
      <c r="AP552" s="70" t="n">
        <v>2017</v>
      </c>
      <c r="AQ552" s="74" t="n">
        <v>1.92</v>
      </c>
      <c r="AR552" s="74" t="n">
        <v>2.29</v>
      </c>
      <c r="AS552" s="74" t="n">
        <v>69.59999999999999</v>
      </c>
      <c r="AT552" s="74" t="n">
        <v>58.18</v>
      </c>
      <c r="AU552" s="74" t="n">
        <v>53.7</v>
      </c>
      <c r="AV552" s="74" t="n">
        <v>14.507075063</v>
      </c>
      <c r="AW552" s="74" t="n">
        <v>18.028559734</v>
      </c>
      <c r="AX552" s="75" t="n">
        <v>54</v>
      </c>
      <c r="AY552" s="71" t="n">
        <v>14200000</v>
      </c>
      <c r="AZ552" s="71" t="n">
        <v>14200000</v>
      </c>
      <c r="BA552" s="71" t="n">
        <v>1439827.2</v>
      </c>
      <c r="BB552" s="71" t="n">
        <v>1717576.45</v>
      </c>
      <c r="BC552" s="69" t="inlineStr">
        <is>
          <t>Acquisition</t>
        </is>
      </c>
      <c r="BD552" s="69" t="inlineStr">
        <is>
          <t>N</t>
        </is>
      </c>
      <c r="BE552" s="71" t="n"/>
      <c r="BF552" s="71" t="n"/>
      <c r="BG552" s="71" t="n"/>
      <c r="BH552" s="71" t="n">
        <v>0</v>
      </c>
      <c r="BI552" s="71" t="n">
        <v>0</v>
      </c>
      <c r="BJ552" s="69" t="inlineStr">
        <is>
          <t>N</t>
        </is>
      </c>
      <c r="BK552" s="69" t="n"/>
      <c r="BL552" s="75" t="n"/>
      <c r="BM552" s="73" t="n"/>
      <c r="BN552" s="69" t="inlineStr">
        <is>
          <t>Narendrakumar M. Patel; Mahendra R. Patel</t>
        </is>
      </c>
      <c r="BO552" s="69" t="inlineStr">
        <is>
          <t>CIII Capital</t>
        </is>
      </c>
      <c r="BP552" s="69" t="inlineStr">
        <is>
          <t>TriMont Real Estate Advisors</t>
        </is>
      </c>
      <c r="BQ552" s="69" t="inlineStr">
        <is>
          <t>K-Star Asset Management LLC</t>
        </is>
      </c>
      <c r="BR552" s="69" t="n"/>
      <c r="BS552" s="73" t="n">
        <v>46276</v>
      </c>
      <c r="BU552" s="76">
        <f>IF($C552="","",IFERROR(INDEX(dmName,MATCH($C552,dmID,0)),"Unmapped"))</f>
        <v/>
      </c>
      <c r="BV552" s="76">
        <f>IF($C552="","",IFERROR(INDEX(dmEntity,MATCH($C552,dmID,0)),"Unmapped"))</f>
        <v/>
      </c>
      <c r="BW552" s="77">
        <f>IF($C552="","",IFERROR(INDEX(dmVintage,MATCH($C552,dmID,0)),""))</f>
        <v/>
      </c>
      <c r="BX552" s="78">
        <f>IFERROR(INDEX(dmInclude,MATCH($C552,dmID,0)),0)</f>
        <v/>
      </c>
      <c r="BY552" s="78">
        <f>IF(N($I552)&gt;0,1,0)</f>
        <v/>
      </c>
      <c r="BZ552" s="76">
        <f>IF($AJ552="","Other / Leased Fee",IFERROR(INDEX(mapPTGroup,MATCH(LEFT(TRIM($AJ552),2),mapPTCode,0)),"Other / Leased Fee"))</f>
        <v/>
      </c>
      <c r="CA552" s="76">
        <f>IF(TRIM($AF552&amp;"")="","NR",LEFT(TRIM($AF552),2))</f>
        <v/>
      </c>
      <c r="CB552" s="76">
        <f>IFERROR(LOOKUP(2,1/(LEFT(TRIM($AI552&amp;""),LEN(mapRegion))=mapRegion),mapRegion),"Not Reported")</f>
        <v/>
      </c>
      <c r="CC552" s="76">
        <f>IF($BY552=0,"",IF(TRIM($W552&amp;"")="REO","REO",IF(TRIM($W552&amp;"")="FC","Foreclosure",IF(TRIM($W552&amp;"")="90+","90+ Days Delinquent",IF(TRIM($W552&amp;"")="60","60 Days Delinquent",IF(TRIM($W552&amp;"")="30","30 Days Delinquent",IF($X552="Non-Performing Matured Balloon","Non-Performing Matured Balloon",IF(OR($X552="Late Payment But Less Than 30 Days Delinquent",LEFT($X552&amp;"",20)="Payment Not Received"),"Late / In Grace (&lt;30 Days)",IF($X552="Performing Matured Balloon","Performing Matured Balloon","Current")))))))))</f>
        <v/>
      </c>
      <c r="CD552" s="78">
        <f>IF(OR($CC552="REO",$CC552="Foreclosure",$CC552="90+ Days Delinquent",$CC552="60 Days Delinquent",$CC552="30 Days Delinquent",$CC552="Non-Performing Matured Balloon"),1,0)</f>
        <v/>
      </c>
      <c r="CE552" s="76">
        <f>IF($AB552="Currently special serv","Currently Specially Serviced",IF($AB552="Returned to master serv","Previously Specially Serviced","Never Specially Serviced"))</f>
        <v/>
      </c>
      <c r="CF552" s="78">
        <f>IF($CE552="Currently Specially Serviced",1,0)</f>
        <v/>
      </c>
      <c r="CG552" s="76">
        <f>IF($AA552="Yes","Currently on Watchlist",IF($AA552="Previously","Previously on Watchlist","Never on Watchlist"))</f>
        <v/>
      </c>
      <c r="CH552" s="78">
        <f>IF($CG552="Currently on Watchlist",1,0)</f>
        <v/>
      </c>
      <c r="CI552" s="76">
        <f>IF($Z552="Full Defeasance","Fully Defeased",IF($Z552="Portion Of Loan Previously Defeased","Partially Defeased",IF($Z552="Defeasance Not Allowable","Not Defeased (Not Permitted)","Not Defeased")))</f>
        <v/>
      </c>
      <c r="CJ552" s="78">
        <f>IF($CI552="Fully Defeased",1,0)</f>
        <v/>
      </c>
      <c r="CK552" s="76">
        <f>IF($R552="IO","Full IO",IF(LEFT($R552&amp;"",7)="IO then","Partial IO","Amortizing"))</f>
        <v/>
      </c>
      <c r="CL552" s="78">
        <f>IF($CK552="Full IO",1,0)</f>
        <v/>
      </c>
      <c r="CM552" s="78">
        <f>IF($CK552="Partial IO",1,0)</f>
        <v/>
      </c>
      <c r="CN552" s="76">
        <f>IF(LEFT($F552&amp;"",10)="SPLIT_LOAN","Pari Passu Split","Standalone")</f>
        <v/>
      </c>
      <c r="CO552" s="78">
        <f>IF($CN552="Pari Passu Split",1,0)</f>
        <v/>
      </c>
      <c r="CP552" s="77">
        <f>IF(ISNUMBER($T552),YEAR($T552),"")</f>
        <v/>
      </c>
      <c r="CQ552" s="79">
        <f>IF(ISNUMBER($V552),$V552,IF(ISNUMBER($U552),$U552,""))</f>
        <v/>
      </c>
      <c r="CR552" s="77">
        <f>IF(ISNUMBER($CQ552),YEAR($CQ552),"")</f>
        <v/>
      </c>
      <c r="CS552" s="78">
        <f>IF(ISNUMBER($M552),MAX(0,$M552),IF(TRIM($M552&amp;"")="matured",0,""))</f>
        <v/>
      </c>
      <c r="CT552" s="78">
        <f>IF(AND(ISNUMBER($CS552),N($CS552)&lt;=mMatWindow),1,0)</f>
        <v/>
      </c>
      <c r="CU552" s="80">
        <f>IF(ISNUMBER($J552),$J552/100,"")</f>
        <v/>
      </c>
      <c r="CV552" s="81">
        <f>IF(ISNUMBER($AQ552),$AQ552,"")</f>
        <v/>
      </c>
      <c r="CW552" s="81">
        <f>IF(ISNUMBER($AR552),$AR552,"")</f>
        <v/>
      </c>
      <c r="CX552" s="82">
        <f>IF(ISNUMBER($AS552),$AS552/100,"")</f>
        <v/>
      </c>
      <c r="CY552" s="82">
        <f>IF(ISNUMBER($AT552),$AT552/100,"")</f>
        <v/>
      </c>
      <c r="CZ552" s="82">
        <f>IF(ISNUMBER($AU552),$AU552/100,"")</f>
        <v/>
      </c>
      <c r="DA552" s="82">
        <f>IF(ISNUMBER($AV552),$AV552/100,"")</f>
        <v/>
      </c>
      <c r="DB552" s="82">
        <f>IF(ISNUMBER($AW552),$AW552/100,"")</f>
        <v/>
      </c>
      <c r="DC552" s="82">
        <f>IF(ISNUMBER($AX552),$AX552/100,"")</f>
        <v/>
      </c>
      <c r="DD552" s="77">
        <f>IFERROR(VALUE(LEFT(TRIM($AO552&amp;""),4)),"")</f>
        <v/>
      </c>
      <c r="DE552" s="78">
        <f>IF(AND($BY552=1,$BX552=1,OR(fDeal="All Deals",$BU552=fDeal),OR(fEntity="All Entities",$BV552=fEntity),OR(fPType="All Property Types",$BZ552=fPType),OR(fDefeased="Include",$CJ552=0)),1,0)</f>
        <v/>
      </c>
      <c r="DF552" s="83">
        <f>$DE552*N($I552)</f>
        <v/>
      </c>
      <c r="DG552" s="78">
        <f>IF($DE552=1,IF(COUNTIFS($F$8:$F552,$F552,$DE$8:$DE552,1)=1,1,0),0)</f>
        <v/>
      </c>
      <c r="DH552" s="83">
        <f>IF($DG552=1,SUMIFS($DF$8:$DF$1600,$F$8:$F$1600,$F552),0)</f>
        <v/>
      </c>
      <c r="DI552" s="78">
        <f>IF($DG552=1,COUNTIFS($F$8:$F$1600,$F552,$DE$8:$DE$1600,1),0)</f>
        <v/>
      </c>
      <c r="DJ552" s="84">
        <f>IF($DG552=1,$DH552+(100000-ROW())/mTieBreak,0)</f>
        <v/>
      </c>
    </row>
    <row r="553">
      <c r="B553" s="68" t="n">
        <v>30</v>
      </c>
      <c r="C553" s="69" t="inlineStr">
        <is>
          <t>WFC19C49</t>
        </is>
      </c>
      <c r="D553" s="69" t="inlineStr">
        <is>
          <t>30.000</t>
        </is>
      </c>
      <c r="E553" s="69" t="inlineStr">
        <is>
          <t>Holland Art Van</t>
        </is>
      </c>
      <c r="F553" s="69" t="inlineStr">
        <is>
          <t>LNWFC19C49-30.000</t>
        </is>
      </c>
      <c r="G553" s="70" t="n"/>
      <c r="H553" s="71" t="n">
        <v>9700000</v>
      </c>
      <c r="I553" s="71" t="n">
        <v>8033225.780004201</v>
      </c>
      <c r="J553" s="72" t="n">
        <v>5.45</v>
      </c>
      <c r="K553" s="69" t="inlineStr">
        <is>
          <t>Fixed rate</t>
        </is>
      </c>
      <c r="L553" s="68" t="n">
        <v>120</v>
      </c>
      <c r="M553" s="68" t="n">
        <v>28</v>
      </c>
      <c r="N553" s="68" t="n">
        <v>300</v>
      </c>
      <c r="O553" s="68" t="n"/>
      <c r="P553" s="68" t="n"/>
      <c r="Q553" s="68" t="n">
        <v>92</v>
      </c>
      <c r="R553" s="69" t="n"/>
      <c r="S553" s="69" t="inlineStr">
        <is>
          <t>No</t>
        </is>
      </c>
      <c r="T553" s="73" t="n">
        <v>43466</v>
      </c>
      <c r="U553" s="73" t="n">
        <v>47124</v>
      </c>
      <c r="V553" s="73" t="n"/>
      <c r="W553" s="69" t="n"/>
      <c r="X553" s="69" t="inlineStr">
        <is>
          <t>Current</t>
        </is>
      </c>
      <c r="Y553" s="68" t="n"/>
      <c r="Z553" s="69" t="inlineStr">
        <is>
          <t>Defeasance Not Allowable</t>
        </is>
      </c>
      <c r="AA553" s="69" t="inlineStr">
        <is>
          <t>Yes</t>
        </is>
      </c>
      <c r="AB553" s="69" t="inlineStr">
        <is>
          <t>Returned to master serv</t>
        </is>
      </c>
      <c r="AC553" s="73" t="n"/>
      <c r="AD553" s="69" t="inlineStr">
        <is>
          <t>Imminent Monetary Default (Single Tenant Bankruptcy/Vacate)</t>
        </is>
      </c>
      <c r="AE553" s="69" t="inlineStr">
        <is>
          <t>Resolved</t>
        </is>
      </c>
      <c r="AF553" s="69" t="inlineStr">
        <is>
          <t>OH</t>
        </is>
      </c>
      <c r="AG553" s="69" t="inlineStr">
        <is>
          <t>Holland</t>
        </is>
      </c>
      <c r="AH553" s="69" t="inlineStr">
        <is>
          <t>Toledo, OH</t>
        </is>
      </c>
      <c r="AI553" s="69" t="inlineStr">
        <is>
          <t>Midwest / Central East</t>
        </is>
      </c>
      <c r="AJ553" s="69" t="inlineStr">
        <is>
          <t>RT</t>
        </is>
      </c>
      <c r="AK553" s="69" t="inlineStr">
        <is>
          <t>Single Tenant</t>
        </is>
      </c>
      <c r="AL553" s="68" t="n">
        <v>1</v>
      </c>
      <c r="AM553" s="68" t="n"/>
      <c r="AN553" s="68" t="n">
        <v>91388</v>
      </c>
      <c r="AO553" s="69" t="inlineStr">
        <is>
          <t>2013</t>
        </is>
      </c>
      <c r="AP553" s="70" t="n">
        <v>2013</v>
      </c>
      <c r="AQ553" s="74" t="n">
        <v>1.64</v>
      </c>
      <c r="AR553" s="74" t="n">
        <v>0.85</v>
      </c>
      <c r="AS553" s="74" t="n">
        <v>57.9</v>
      </c>
      <c r="AT553" s="74" t="n">
        <v>48.1</v>
      </c>
      <c r="AU553" s="74" t="n">
        <v>44.1</v>
      </c>
      <c r="AV553" s="74" t="n">
        <v>12.05434</v>
      </c>
      <c r="AW553" s="74" t="n">
        <v>7.071132887</v>
      </c>
      <c r="AX553" s="75" t="n">
        <v>100</v>
      </c>
      <c r="AY553" s="71" t="n">
        <v>16700000</v>
      </c>
      <c r="AZ553" s="71" t="n">
        <v>16700000</v>
      </c>
      <c r="BA553" s="71" t="n">
        <v>1169270.98</v>
      </c>
      <c r="BB553" s="71" t="n">
        <v>302469.16</v>
      </c>
      <c r="BC553" s="69" t="inlineStr">
        <is>
          <t>Acquisition</t>
        </is>
      </c>
      <c r="BD553" s="69" t="inlineStr">
        <is>
          <t>N</t>
        </is>
      </c>
      <c r="BE553" s="71" t="n"/>
      <c r="BF553" s="71" t="n"/>
      <c r="BG553" s="71" t="n"/>
      <c r="BH553" s="71" t="n">
        <v>0</v>
      </c>
      <c r="BI553" s="71" t="n">
        <v>0</v>
      </c>
      <c r="BJ553" s="69" t="inlineStr">
        <is>
          <t>N</t>
        </is>
      </c>
      <c r="BK553" s="69" t="inlineStr">
        <is>
          <t>Gardner White Furniture Co Inc</t>
        </is>
      </c>
      <c r="BL553" s="75" t="n">
        <v>100</v>
      </c>
      <c r="BM553" s="73" t="n">
        <v>47149</v>
      </c>
      <c r="BN553" s="69" t="inlineStr">
        <is>
          <t>Harold Etkin; Johanne Etkin Finley</t>
        </is>
      </c>
      <c r="BO553" s="69" t="inlineStr">
        <is>
          <t>Ladder Capital Finance</t>
        </is>
      </c>
      <c r="BP553" s="69" t="inlineStr">
        <is>
          <t>TriMont Real Estate Advisors</t>
        </is>
      </c>
      <c r="BQ553" s="69" t="inlineStr">
        <is>
          <t>K-Star Asset Management LLC</t>
        </is>
      </c>
      <c r="BR553" s="69" t="n"/>
      <c r="BS553" s="73" t="n">
        <v>46276</v>
      </c>
      <c r="BU553" s="76">
        <f>IF($C553="","",IFERROR(INDEX(dmName,MATCH($C553,dmID,0)),"Unmapped"))</f>
        <v/>
      </c>
      <c r="BV553" s="76">
        <f>IF($C553="","",IFERROR(INDEX(dmEntity,MATCH($C553,dmID,0)),"Unmapped"))</f>
        <v/>
      </c>
      <c r="BW553" s="77">
        <f>IF($C553="","",IFERROR(INDEX(dmVintage,MATCH($C553,dmID,0)),""))</f>
        <v/>
      </c>
      <c r="BX553" s="78">
        <f>IFERROR(INDEX(dmInclude,MATCH($C553,dmID,0)),0)</f>
        <v/>
      </c>
      <c r="BY553" s="78">
        <f>IF(N($I553)&gt;0,1,0)</f>
        <v/>
      </c>
      <c r="BZ553" s="76">
        <f>IF($AJ553="","Other / Leased Fee",IFERROR(INDEX(mapPTGroup,MATCH(LEFT(TRIM($AJ553),2),mapPTCode,0)),"Other / Leased Fee"))</f>
        <v/>
      </c>
      <c r="CA553" s="76">
        <f>IF(TRIM($AF553&amp;"")="","NR",LEFT(TRIM($AF553),2))</f>
        <v/>
      </c>
      <c r="CB553" s="76">
        <f>IFERROR(LOOKUP(2,1/(LEFT(TRIM($AI553&amp;""),LEN(mapRegion))=mapRegion),mapRegion),"Not Reported")</f>
        <v/>
      </c>
      <c r="CC553" s="76">
        <f>IF($BY553=0,"",IF(TRIM($W553&amp;"")="REO","REO",IF(TRIM($W553&amp;"")="FC","Foreclosure",IF(TRIM($W553&amp;"")="90+","90+ Days Delinquent",IF(TRIM($W553&amp;"")="60","60 Days Delinquent",IF(TRIM($W553&amp;"")="30","30 Days Delinquent",IF($X553="Non-Performing Matured Balloon","Non-Performing Matured Balloon",IF(OR($X553="Late Payment But Less Than 30 Days Delinquent",LEFT($X553&amp;"",20)="Payment Not Received"),"Late / In Grace (&lt;30 Days)",IF($X553="Performing Matured Balloon","Performing Matured Balloon","Current")))))))))</f>
        <v/>
      </c>
      <c r="CD553" s="78">
        <f>IF(OR($CC553="REO",$CC553="Foreclosure",$CC553="90+ Days Delinquent",$CC553="60 Days Delinquent",$CC553="30 Days Delinquent",$CC553="Non-Performing Matured Balloon"),1,0)</f>
        <v/>
      </c>
      <c r="CE553" s="76">
        <f>IF($AB553="Currently special serv","Currently Specially Serviced",IF($AB553="Returned to master serv","Previously Specially Serviced","Never Specially Serviced"))</f>
        <v/>
      </c>
      <c r="CF553" s="78">
        <f>IF($CE553="Currently Specially Serviced",1,0)</f>
        <v/>
      </c>
      <c r="CG553" s="76">
        <f>IF($AA553="Yes","Currently on Watchlist",IF($AA553="Previously","Previously on Watchlist","Never on Watchlist"))</f>
        <v/>
      </c>
      <c r="CH553" s="78">
        <f>IF($CG553="Currently on Watchlist",1,0)</f>
        <v/>
      </c>
      <c r="CI553" s="76">
        <f>IF($Z553="Full Defeasance","Fully Defeased",IF($Z553="Portion Of Loan Previously Defeased","Partially Defeased",IF($Z553="Defeasance Not Allowable","Not Defeased (Not Permitted)","Not Defeased")))</f>
        <v/>
      </c>
      <c r="CJ553" s="78">
        <f>IF($CI553="Fully Defeased",1,0)</f>
        <v/>
      </c>
      <c r="CK553" s="76">
        <f>IF($R553="IO","Full IO",IF(LEFT($R553&amp;"",7)="IO then","Partial IO","Amortizing"))</f>
        <v/>
      </c>
      <c r="CL553" s="78">
        <f>IF($CK553="Full IO",1,0)</f>
        <v/>
      </c>
      <c r="CM553" s="78">
        <f>IF($CK553="Partial IO",1,0)</f>
        <v/>
      </c>
      <c r="CN553" s="76">
        <f>IF(LEFT($F553&amp;"",10)="SPLIT_LOAN","Pari Passu Split","Standalone")</f>
        <v/>
      </c>
      <c r="CO553" s="78">
        <f>IF($CN553="Pari Passu Split",1,0)</f>
        <v/>
      </c>
      <c r="CP553" s="77">
        <f>IF(ISNUMBER($T553),YEAR($T553),"")</f>
        <v/>
      </c>
      <c r="CQ553" s="79">
        <f>IF(ISNUMBER($V553),$V553,IF(ISNUMBER($U553),$U553,""))</f>
        <v/>
      </c>
      <c r="CR553" s="77">
        <f>IF(ISNUMBER($CQ553),YEAR($CQ553),"")</f>
        <v/>
      </c>
      <c r="CS553" s="78">
        <f>IF(ISNUMBER($M553),MAX(0,$M553),IF(TRIM($M553&amp;"")="matured",0,""))</f>
        <v/>
      </c>
      <c r="CT553" s="78">
        <f>IF(AND(ISNUMBER($CS553),N($CS553)&lt;=mMatWindow),1,0)</f>
        <v/>
      </c>
      <c r="CU553" s="80">
        <f>IF(ISNUMBER($J553),$J553/100,"")</f>
        <v/>
      </c>
      <c r="CV553" s="81">
        <f>IF(ISNUMBER($AQ553),$AQ553,"")</f>
        <v/>
      </c>
      <c r="CW553" s="81">
        <f>IF(ISNUMBER($AR553),$AR553,"")</f>
        <v/>
      </c>
      <c r="CX553" s="82">
        <f>IF(ISNUMBER($AS553),$AS553/100,"")</f>
        <v/>
      </c>
      <c r="CY553" s="82">
        <f>IF(ISNUMBER($AT553),$AT553/100,"")</f>
        <v/>
      </c>
      <c r="CZ553" s="82">
        <f>IF(ISNUMBER($AU553),$AU553/100,"")</f>
        <v/>
      </c>
      <c r="DA553" s="82">
        <f>IF(ISNUMBER($AV553),$AV553/100,"")</f>
        <v/>
      </c>
      <c r="DB553" s="82">
        <f>IF(ISNUMBER($AW553),$AW553/100,"")</f>
        <v/>
      </c>
      <c r="DC553" s="82">
        <f>IF(ISNUMBER($AX553),$AX553/100,"")</f>
        <v/>
      </c>
      <c r="DD553" s="77">
        <f>IFERROR(VALUE(LEFT(TRIM($AO553&amp;""),4)),"")</f>
        <v/>
      </c>
      <c r="DE553" s="78">
        <f>IF(AND($BY553=1,$BX553=1,OR(fDeal="All Deals",$BU553=fDeal),OR(fEntity="All Entities",$BV553=fEntity),OR(fPType="All Property Types",$BZ553=fPType),OR(fDefeased="Include",$CJ553=0)),1,0)</f>
        <v/>
      </c>
      <c r="DF553" s="83">
        <f>$DE553*N($I553)</f>
        <v/>
      </c>
      <c r="DG553" s="78">
        <f>IF($DE553=1,IF(COUNTIFS($F$8:$F553,$F553,$DE$8:$DE553,1)=1,1,0),0)</f>
        <v/>
      </c>
      <c r="DH553" s="83">
        <f>IF($DG553=1,SUMIFS($DF$8:$DF$1600,$F$8:$F$1600,$F553),0)</f>
        <v/>
      </c>
      <c r="DI553" s="78">
        <f>IF($DG553=1,COUNTIFS($F$8:$F$1600,$F553,$DE$8:$DE$1600,1),0)</f>
        <v/>
      </c>
      <c r="DJ553" s="84">
        <f>IF($DG553=1,$DH553+(100000-ROW())/mTieBreak,0)</f>
        <v/>
      </c>
    </row>
    <row r="554">
      <c r="B554" s="68" t="n">
        <v>31</v>
      </c>
      <c r="C554" s="69" t="inlineStr">
        <is>
          <t>WFC19C49</t>
        </is>
      </c>
      <c r="D554" s="69" t="inlineStr">
        <is>
          <t>31.000</t>
        </is>
      </c>
      <c r="E554" s="69" t="inlineStr">
        <is>
          <t>Country Inn &amp; Suites - Orlando</t>
        </is>
      </c>
      <c r="F554" s="69" t="inlineStr">
        <is>
          <t>LNWFC19C49-31.000</t>
        </is>
      </c>
      <c r="G554" s="70" t="n"/>
      <c r="H554" s="71" t="n">
        <v>9500000</v>
      </c>
      <c r="I554" s="71" t="n">
        <v>8472718.270003499</v>
      </c>
      <c r="J554" s="72" t="n">
        <v>5.92</v>
      </c>
      <c r="K554" s="69" t="inlineStr">
        <is>
          <t>Fixed rate</t>
        </is>
      </c>
      <c r="L554" s="68" t="n">
        <v>117</v>
      </c>
      <c r="M554" s="68" t="n">
        <v>26</v>
      </c>
      <c r="N554" s="68" t="n">
        <v>360</v>
      </c>
      <c r="O554" s="68" t="n"/>
      <c r="P554" s="68" t="n"/>
      <c r="Q554" s="68" t="n">
        <v>91</v>
      </c>
      <c r="R554" s="69" t="n"/>
      <c r="S554" s="69" t="inlineStr">
        <is>
          <t>No</t>
        </is>
      </c>
      <c r="T554" s="73" t="n">
        <v>43497</v>
      </c>
      <c r="U554" s="73" t="n">
        <v>47063</v>
      </c>
      <c r="V554" s="73" t="n"/>
      <c r="W554" s="69" t="n"/>
      <c r="X554" s="69" t="inlineStr">
        <is>
          <t>Current</t>
        </is>
      </c>
      <c r="Y554" s="68" t="n"/>
      <c r="Z554" s="69" t="inlineStr">
        <is>
          <t>Full Defeasance</t>
        </is>
      </c>
      <c r="AA554" s="69" t="inlineStr">
        <is>
          <t>Previously</t>
        </is>
      </c>
      <c r="AB554" s="69" t="inlineStr">
        <is>
          <t>Returned to master serv</t>
        </is>
      </c>
      <c r="AC554" s="73" t="n"/>
      <c r="AD554" s="69" t="inlineStr">
        <is>
          <t>Payment Default (all payments excluding Balloon/Maturity Payment)</t>
        </is>
      </c>
      <c r="AE554" s="69" t="inlineStr">
        <is>
          <t>Resolved</t>
        </is>
      </c>
      <c r="AF554" s="69" t="inlineStr">
        <is>
          <t>FL</t>
        </is>
      </c>
      <c r="AG554" s="69" t="inlineStr">
        <is>
          <t>Orlando</t>
        </is>
      </c>
      <c r="AH554" s="69" t="inlineStr">
        <is>
          <t>Orlando-Kissimmee-Sanford, FL</t>
        </is>
      </c>
      <c r="AI554" s="69" t="inlineStr">
        <is>
          <t>South / Atlantic</t>
        </is>
      </c>
      <c r="AJ554" s="69" t="inlineStr">
        <is>
          <t>HT</t>
        </is>
      </c>
      <c r="AK554" s="69" t="inlineStr">
        <is>
          <t>Limited Service</t>
        </is>
      </c>
      <c r="AL554" s="68" t="n">
        <v>1</v>
      </c>
      <c r="AM554" s="68" t="n">
        <v>170</v>
      </c>
      <c r="AN554" s="68" t="n"/>
      <c r="AO554" s="69" t="inlineStr">
        <is>
          <t>2000</t>
        </is>
      </c>
      <c r="AP554" s="70" t="n">
        <v>2000</v>
      </c>
      <c r="AQ554" s="74" t="n">
        <v>1.58</v>
      </c>
      <c r="AR554" s="74" t="n">
        <v>1.56</v>
      </c>
      <c r="AS554" s="74" t="n">
        <v>65</v>
      </c>
      <c r="AT554" s="74" t="n">
        <v>74.98</v>
      </c>
      <c r="AU554" s="74" t="n">
        <v>55</v>
      </c>
      <c r="AV554" s="74" t="n">
        <v>11.246473684</v>
      </c>
      <c r="AW554" s="74" t="n">
        <v>12.478836972</v>
      </c>
      <c r="AX554" s="75" t="n">
        <v>61</v>
      </c>
      <c r="AY554" s="71" t="n">
        <v>14600000</v>
      </c>
      <c r="AZ554" s="71" t="n">
        <v>11300000</v>
      </c>
      <c r="BA554" s="71" t="n">
        <v>1068415</v>
      </c>
      <c r="BB554" s="71" t="n">
        <v>1057296.7</v>
      </c>
      <c r="BC554" s="69" t="inlineStr">
        <is>
          <t>Refinance</t>
        </is>
      </c>
      <c r="BD554" s="69" t="inlineStr">
        <is>
          <t>N</t>
        </is>
      </c>
      <c r="BE554" s="71" t="n"/>
      <c r="BF554" s="71" t="n"/>
      <c r="BG554" s="71" t="n"/>
      <c r="BH554" s="71" t="n">
        <v>0</v>
      </c>
      <c r="BI554" s="71" t="n">
        <v>0</v>
      </c>
      <c r="BJ554" s="69" t="inlineStr">
        <is>
          <t>Y</t>
        </is>
      </c>
      <c r="BK554" s="69" t="n"/>
      <c r="BL554" s="75" t="n"/>
      <c r="BM554" s="73" t="n"/>
      <c r="BN554" s="69" t="inlineStr">
        <is>
          <t>Garry R. Hesselbacher; Chetan Patel</t>
        </is>
      </c>
      <c r="BO554" s="69" t="inlineStr">
        <is>
          <t>RMF</t>
        </is>
      </c>
      <c r="BP554" s="69" t="inlineStr">
        <is>
          <t>TriMont Real Estate Advisors</t>
        </is>
      </c>
      <c r="BQ554" s="69" t="inlineStr">
        <is>
          <t>K-Star Asset Management LLC</t>
        </is>
      </c>
      <c r="BR554" s="69" t="n"/>
      <c r="BS554" s="73" t="n">
        <v>46276</v>
      </c>
      <c r="BU554" s="76">
        <f>IF($C554="","",IFERROR(INDEX(dmName,MATCH($C554,dmID,0)),"Unmapped"))</f>
        <v/>
      </c>
      <c r="BV554" s="76">
        <f>IF($C554="","",IFERROR(INDEX(dmEntity,MATCH($C554,dmID,0)),"Unmapped"))</f>
        <v/>
      </c>
      <c r="BW554" s="77">
        <f>IF($C554="","",IFERROR(INDEX(dmVintage,MATCH($C554,dmID,0)),""))</f>
        <v/>
      </c>
      <c r="BX554" s="78">
        <f>IFERROR(INDEX(dmInclude,MATCH($C554,dmID,0)),0)</f>
        <v/>
      </c>
      <c r="BY554" s="78">
        <f>IF(N($I554)&gt;0,1,0)</f>
        <v/>
      </c>
      <c r="BZ554" s="76">
        <f>IF($AJ554="","Other / Leased Fee",IFERROR(INDEX(mapPTGroup,MATCH(LEFT(TRIM($AJ554),2),mapPTCode,0)),"Other / Leased Fee"))</f>
        <v/>
      </c>
      <c r="CA554" s="76">
        <f>IF(TRIM($AF554&amp;"")="","NR",LEFT(TRIM($AF554),2))</f>
        <v/>
      </c>
      <c r="CB554" s="76">
        <f>IFERROR(LOOKUP(2,1/(LEFT(TRIM($AI554&amp;""),LEN(mapRegion))=mapRegion),mapRegion),"Not Reported")</f>
        <v/>
      </c>
      <c r="CC554" s="76">
        <f>IF($BY554=0,"",IF(TRIM($W554&amp;"")="REO","REO",IF(TRIM($W554&amp;"")="FC","Foreclosure",IF(TRIM($W554&amp;"")="90+","90+ Days Delinquent",IF(TRIM($W554&amp;"")="60","60 Days Delinquent",IF(TRIM($W554&amp;"")="30","30 Days Delinquent",IF($X554="Non-Performing Matured Balloon","Non-Performing Matured Balloon",IF(OR($X554="Late Payment But Less Than 30 Days Delinquent",LEFT($X554&amp;"",20)="Payment Not Received"),"Late / In Grace (&lt;30 Days)",IF($X554="Performing Matured Balloon","Performing Matured Balloon","Current")))))))))</f>
        <v/>
      </c>
      <c r="CD554" s="78">
        <f>IF(OR($CC554="REO",$CC554="Foreclosure",$CC554="90+ Days Delinquent",$CC554="60 Days Delinquent",$CC554="30 Days Delinquent",$CC554="Non-Performing Matured Balloon"),1,0)</f>
        <v/>
      </c>
      <c r="CE554" s="76">
        <f>IF($AB554="Currently special serv","Currently Specially Serviced",IF($AB554="Returned to master serv","Previously Specially Serviced","Never Specially Serviced"))</f>
        <v/>
      </c>
      <c r="CF554" s="78">
        <f>IF($CE554="Currently Specially Serviced",1,0)</f>
        <v/>
      </c>
      <c r="CG554" s="76">
        <f>IF($AA554="Yes","Currently on Watchlist",IF($AA554="Previously","Previously on Watchlist","Never on Watchlist"))</f>
        <v/>
      </c>
      <c r="CH554" s="78">
        <f>IF($CG554="Currently on Watchlist",1,0)</f>
        <v/>
      </c>
      <c r="CI554" s="76">
        <f>IF($Z554="Full Defeasance","Fully Defeased",IF($Z554="Portion Of Loan Previously Defeased","Partially Defeased",IF($Z554="Defeasance Not Allowable","Not Defeased (Not Permitted)","Not Defeased")))</f>
        <v/>
      </c>
      <c r="CJ554" s="78">
        <f>IF($CI554="Fully Defeased",1,0)</f>
        <v/>
      </c>
      <c r="CK554" s="76">
        <f>IF($R554="IO","Full IO",IF(LEFT($R554&amp;"",7)="IO then","Partial IO","Amortizing"))</f>
        <v/>
      </c>
      <c r="CL554" s="78">
        <f>IF($CK554="Full IO",1,0)</f>
        <v/>
      </c>
      <c r="CM554" s="78">
        <f>IF($CK554="Partial IO",1,0)</f>
        <v/>
      </c>
      <c r="CN554" s="76">
        <f>IF(LEFT($F554&amp;"",10)="SPLIT_LOAN","Pari Passu Split","Standalone")</f>
        <v/>
      </c>
      <c r="CO554" s="78">
        <f>IF($CN554="Pari Passu Split",1,0)</f>
        <v/>
      </c>
      <c r="CP554" s="77">
        <f>IF(ISNUMBER($T554),YEAR($T554),"")</f>
        <v/>
      </c>
      <c r="CQ554" s="79">
        <f>IF(ISNUMBER($V554),$V554,IF(ISNUMBER($U554),$U554,""))</f>
        <v/>
      </c>
      <c r="CR554" s="77">
        <f>IF(ISNUMBER($CQ554),YEAR($CQ554),"")</f>
        <v/>
      </c>
      <c r="CS554" s="78">
        <f>IF(ISNUMBER($M554),MAX(0,$M554),IF(TRIM($M554&amp;"")="matured",0,""))</f>
        <v/>
      </c>
      <c r="CT554" s="78">
        <f>IF(AND(ISNUMBER($CS554),N($CS554)&lt;=mMatWindow),1,0)</f>
        <v/>
      </c>
      <c r="CU554" s="80">
        <f>IF(ISNUMBER($J554),$J554/100,"")</f>
        <v/>
      </c>
      <c r="CV554" s="81">
        <f>IF(ISNUMBER($AQ554),$AQ554,"")</f>
        <v/>
      </c>
      <c r="CW554" s="81">
        <f>IF(ISNUMBER($AR554),$AR554,"")</f>
        <v/>
      </c>
      <c r="CX554" s="82">
        <f>IF(ISNUMBER($AS554),$AS554/100,"")</f>
        <v/>
      </c>
      <c r="CY554" s="82">
        <f>IF(ISNUMBER($AT554),$AT554/100,"")</f>
        <v/>
      </c>
      <c r="CZ554" s="82">
        <f>IF(ISNUMBER($AU554),$AU554/100,"")</f>
        <v/>
      </c>
      <c r="DA554" s="82">
        <f>IF(ISNUMBER($AV554),$AV554/100,"")</f>
        <v/>
      </c>
      <c r="DB554" s="82">
        <f>IF(ISNUMBER($AW554),$AW554/100,"")</f>
        <v/>
      </c>
      <c r="DC554" s="82">
        <f>IF(ISNUMBER($AX554),$AX554/100,"")</f>
        <v/>
      </c>
      <c r="DD554" s="77">
        <f>IFERROR(VALUE(LEFT(TRIM($AO554&amp;""),4)),"")</f>
        <v/>
      </c>
      <c r="DE554" s="78">
        <f>IF(AND($BY554=1,$BX554=1,OR(fDeal="All Deals",$BU554=fDeal),OR(fEntity="All Entities",$BV554=fEntity),OR(fPType="All Property Types",$BZ554=fPType),OR(fDefeased="Include",$CJ554=0)),1,0)</f>
        <v/>
      </c>
      <c r="DF554" s="83">
        <f>$DE554*N($I554)</f>
        <v/>
      </c>
      <c r="DG554" s="78">
        <f>IF($DE554=1,IF(COUNTIFS($F$8:$F554,$F554,$DE$8:$DE554,1)=1,1,0),0)</f>
        <v/>
      </c>
      <c r="DH554" s="83">
        <f>IF($DG554=1,SUMIFS($DF$8:$DF$1600,$F$8:$F$1600,$F554),0)</f>
        <v/>
      </c>
      <c r="DI554" s="78">
        <f>IF($DG554=1,COUNTIFS($F$8:$F$1600,$F554,$DE$8:$DE$1600,1),0)</f>
        <v/>
      </c>
      <c r="DJ554" s="84">
        <f>IF($DG554=1,$DH554+(100000-ROW())/mTieBreak,0)</f>
        <v/>
      </c>
    </row>
    <row r="555">
      <c r="B555" s="68" t="n">
        <v>32</v>
      </c>
      <c r="C555" s="69" t="inlineStr">
        <is>
          <t>WFC19C49</t>
        </is>
      </c>
      <c r="D555" s="69" t="inlineStr">
        <is>
          <t>32.000</t>
        </is>
      </c>
      <c r="E555" s="69" t="inlineStr">
        <is>
          <t>Woodmen Corporate Center</t>
        </is>
      </c>
      <c r="F555" s="69" t="inlineStr">
        <is>
          <t>LNWFC19C49-32.000</t>
        </is>
      </c>
      <c r="G555" s="70" t="n"/>
      <c r="H555" s="71" t="n">
        <v>8500000</v>
      </c>
      <c r="I555" s="71" t="n">
        <v>8500000</v>
      </c>
      <c r="J555" s="72" t="n">
        <v>4.87</v>
      </c>
      <c r="K555" s="69" t="inlineStr">
        <is>
          <t>Fixed rate</t>
        </is>
      </c>
      <c r="L555" s="68" t="n">
        <v>120</v>
      </c>
      <c r="M555" s="68" t="n">
        <v>29</v>
      </c>
      <c r="N555" s="68" t="n">
        <v>120</v>
      </c>
      <c r="O555" s="68" t="n">
        <v>120</v>
      </c>
      <c r="P555" s="68" t="n">
        <v>29</v>
      </c>
      <c r="Q555" s="68" t="n">
        <v>91</v>
      </c>
      <c r="R555" s="69" t="inlineStr">
        <is>
          <t>IO</t>
        </is>
      </c>
      <c r="S555" s="69" t="inlineStr">
        <is>
          <t>Yes</t>
        </is>
      </c>
      <c r="T555" s="73" t="n">
        <v>43497</v>
      </c>
      <c r="U555" s="73" t="n">
        <v>47160</v>
      </c>
      <c r="V555" s="73" t="n"/>
      <c r="W555" s="69" t="n"/>
      <c r="X555" s="69" t="inlineStr">
        <is>
          <t>Current</t>
        </is>
      </c>
      <c r="Y555" s="68" t="n"/>
      <c r="Z555" s="69" t="inlineStr">
        <is>
          <t>Defeasance Not Allowable</t>
        </is>
      </c>
      <c r="AA555" s="69" t="n"/>
      <c r="AB555" s="69" t="inlineStr">
        <is>
          <t>Never special serv</t>
        </is>
      </c>
      <c r="AC555" s="73" t="n"/>
      <c r="AD555" s="69" t="n"/>
      <c r="AE555" s="69" t="n"/>
      <c r="AF555" s="69" t="inlineStr">
        <is>
          <t>CO</t>
        </is>
      </c>
      <c r="AG555" s="69" t="inlineStr">
        <is>
          <t>Colorado Springs</t>
        </is>
      </c>
      <c r="AH555" s="69" t="inlineStr">
        <is>
          <t>Colorado Springs, CO</t>
        </is>
      </c>
      <c r="AI555" s="69" t="inlineStr">
        <is>
          <t>West / Mountain</t>
        </is>
      </c>
      <c r="AJ555" s="69" t="inlineStr">
        <is>
          <t>OF</t>
        </is>
      </c>
      <c r="AK555" s="69" t="inlineStr">
        <is>
          <t>Suburban</t>
        </is>
      </c>
      <c r="AL555" s="68" t="n">
        <v>1</v>
      </c>
      <c r="AM555" s="68" t="n"/>
      <c r="AN555" s="68" t="n">
        <v>107034</v>
      </c>
      <c r="AO555" s="69" t="inlineStr">
        <is>
          <t>1985</t>
        </is>
      </c>
      <c r="AP555" s="70" t="n">
        <v>2018</v>
      </c>
      <c r="AQ555" s="74" t="n">
        <v>2.22</v>
      </c>
      <c r="AR555" s="74" t="n">
        <v>2.4</v>
      </c>
      <c r="AS555" s="74" t="n">
        <v>61.2</v>
      </c>
      <c r="AT555" s="74" t="n">
        <v>61.15</v>
      </c>
      <c r="AU555" s="74" t="n">
        <v>61.2</v>
      </c>
      <c r="AV555" s="74" t="n">
        <v>11.003611765</v>
      </c>
      <c r="AW555" s="74" t="n">
        <v>16.557978824</v>
      </c>
      <c r="AX555" s="75" t="n">
        <v>76</v>
      </c>
      <c r="AY555" s="71" t="n">
        <v>13900000</v>
      </c>
      <c r="AZ555" s="71" t="n">
        <v>13900000</v>
      </c>
      <c r="BA555" s="71" t="n">
        <v>935307</v>
      </c>
      <c r="BB555" s="71" t="n">
        <v>502733.71</v>
      </c>
      <c r="BC555" s="69" t="inlineStr">
        <is>
          <t>Acquisition</t>
        </is>
      </c>
      <c r="BD555" s="69" t="inlineStr">
        <is>
          <t>N</t>
        </is>
      </c>
      <c r="BE555" s="71" t="n"/>
      <c r="BF555" s="71" t="n"/>
      <c r="BG555" s="71" t="n"/>
      <c r="BH555" s="71" t="n">
        <v>0</v>
      </c>
      <c r="BI555" s="71" t="n">
        <v>0</v>
      </c>
      <c r="BJ555" s="69" t="inlineStr">
        <is>
          <t>N</t>
        </is>
      </c>
      <c r="BK555" s="69" t="inlineStr">
        <is>
          <t>Delta Solutions &amp; Strategies  LLC</t>
        </is>
      </c>
      <c r="BL555" s="75" t="n">
        <v>23.23</v>
      </c>
      <c r="BM555" s="73" t="n">
        <v>46965</v>
      </c>
      <c r="BN555" s="69" t="inlineStr">
        <is>
          <t>Miles Jeffrey Qvale; Miles Jeffrey Qvale and Kimberly Boyd Qvale Revocable Trust</t>
        </is>
      </c>
      <c r="BO555" s="69" t="inlineStr">
        <is>
          <t>Wells Fargo</t>
        </is>
      </c>
      <c r="BP555" s="69" t="inlineStr">
        <is>
          <t>TriMont Real Estate Advisors</t>
        </is>
      </c>
      <c r="BQ555" s="69" t="inlineStr">
        <is>
          <t>K-Star Asset Management LLC</t>
        </is>
      </c>
      <c r="BR555" s="69" t="n"/>
      <c r="BS555" s="73" t="n">
        <v>46276</v>
      </c>
      <c r="BU555" s="76">
        <f>IF($C555="","",IFERROR(INDEX(dmName,MATCH($C555,dmID,0)),"Unmapped"))</f>
        <v/>
      </c>
      <c r="BV555" s="76">
        <f>IF($C555="","",IFERROR(INDEX(dmEntity,MATCH($C555,dmID,0)),"Unmapped"))</f>
        <v/>
      </c>
      <c r="BW555" s="77">
        <f>IF($C555="","",IFERROR(INDEX(dmVintage,MATCH($C555,dmID,0)),""))</f>
        <v/>
      </c>
      <c r="BX555" s="78">
        <f>IFERROR(INDEX(dmInclude,MATCH($C555,dmID,0)),0)</f>
        <v/>
      </c>
      <c r="BY555" s="78">
        <f>IF(N($I555)&gt;0,1,0)</f>
        <v/>
      </c>
      <c r="BZ555" s="76">
        <f>IF($AJ555="","Other / Leased Fee",IFERROR(INDEX(mapPTGroup,MATCH(LEFT(TRIM($AJ555),2),mapPTCode,0)),"Other / Leased Fee"))</f>
        <v/>
      </c>
      <c r="CA555" s="76">
        <f>IF(TRIM($AF555&amp;"")="","NR",LEFT(TRIM($AF555),2))</f>
        <v/>
      </c>
      <c r="CB555" s="76">
        <f>IFERROR(LOOKUP(2,1/(LEFT(TRIM($AI555&amp;""),LEN(mapRegion))=mapRegion),mapRegion),"Not Reported")</f>
        <v/>
      </c>
      <c r="CC555" s="76">
        <f>IF($BY555=0,"",IF(TRIM($W555&amp;"")="REO","REO",IF(TRIM($W555&amp;"")="FC","Foreclosure",IF(TRIM($W555&amp;"")="90+","90+ Days Delinquent",IF(TRIM($W555&amp;"")="60","60 Days Delinquent",IF(TRIM($W555&amp;"")="30","30 Days Delinquent",IF($X555="Non-Performing Matured Balloon","Non-Performing Matured Balloon",IF(OR($X555="Late Payment But Less Than 30 Days Delinquent",LEFT($X555&amp;"",20)="Payment Not Received"),"Late / In Grace (&lt;30 Days)",IF($X555="Performing Matured Balloon","Performing Matured Balloon","Current")))))))))</f>
        <v/>
      </c>
      <c r="CD555" s="78">
        <f>IF(OR($CC555="REO",$CC555="Foreclosure",$CC555="90+ Days Delinquent",$CC555="60 Days Delinquent",$CC555="30 Days Delinquent",$CC555="Non-Performing Matured Balloon"),1,0)</f>
        <v/>
      </c>
      <c r="CE555" s="76">
        <f>IF($AB555="Currently special serv","Currently Specially Serviced",IF($AB555="Returned to master serv","Previously Specially Serviced","Never Specially Serviced"))</f>
        <v/>
      </c>
      <c r="CF555" s="78">
        <f>IF($CE555="Currently Specially Serviced",1,0)</f>
        <v/>
      </c>
      <c r="CG555" s="76">
        <f>IF($AA555="Yes","Currently on Watchlist",IF($AA555="Previously","Previously on Watchlist","Never on Watchlist"))</f>
        <v/>
      </c>
      <c r="CH555" s="78">
        <f>IF($CG555="Currently on Watchlist",1,0)</f>
        <v/>
      </c>
      <c r="CI555" s="76">
        <f>IF($Z555="Full Defeasance","Fully Defeased",IF($Z555="Portion Of Loan Previously Defeased","Partially Defeased",IF($Z555="Defeasance Not Allowable","Not Defeased (Not Permitted)","Not Defeased")))</f>
        <v/>
      </c>
      <c r="CJ555" s="78">
        <f>IF($CI555="Fully Defeased",1,0)</f>
        <v/>
      </c>
      <c r="CK555" s="76">
        <f>IF($R555="IO","Full IO",IF(LEFT($R555&amp;"",7)="IO then","Partial IO","Amortizing"))</f>
        <v/>
      </c>
      <c r="CL555" s="78">
        <f>IF($CK555="Full IO",1,0)</f>
        <v/>
      </c>
      <c r="CM555" s="78">
        <f>IF($CK555="Partial IO",1,0)</f>
        <v/>
      </c>
      <c r="CN555" s="76">
        <f>IF(LEFT($F555&amp;"",10)="SPLIT_LOAN","Pari Passu Split","Standalone")</f>
        <v/>
      </c>
      <c r="CO555" s="78">
        <f>IF($CN555="Pari Passu Split",1,0)</f>
        <v/>
      </c>
      <c r="CP555" s="77">
        <f>IF(ISNUMBER($T555),YEAR($T555),"")</f>
        <v/>
      </c>
      <c r="CQ555" s="79">
        <f>IF(ISNUMBER($V555),$V555,IF(ISNUMBER($U555),$U555,""))</f>
        <v/>
      </c>
      <c r="CR555" s="77">
        <f>IF(ISNUMBER($CQ555),YEAR($CQ555),"")</f>
        <v/>
      </c>
      <c r="CS555" s="78">
        <f>IF(ISNUMBER($M555),MAX(0,$M555),IF(TRIM($M555&amp;"")="matured",0,""))</f>
        <v/>
      </c>
      <c r="CT555" s="78">
        <f>IF(AND(ISNUMBER($CS555),N($CS555)&lt;=mMatWindow),1,0)</f>
        <v/>
      </c>
      <c r="CU555" s="80">
        <f>IF(ISNUMBER($J555),$J555/100,"")</f>
        <v/>
      </c>
      <c r="CV555" s="81">
        <f>IF(ISNUMBER($AQ555),$AQ555,"")</f>
        <v/>
      </c>
      <c r="CW555" s="81">
        <f>IF(ISNUMBER($AR555),$AR555,"")</f>
        <v/>
      </c>
      <c r="CX555" s="82">
        <f>IF(ISNUMBER($AS555),$AS555/100,"")</f>
        <v/>
      </c>
      <c r="CY555" s="82">
        <f>IF(ISNUMBER($AT555),$AT555/100,"")</f>
        <v/>
      </c>
      <c r="CZ555" s="82">
        <f>IF(ISNUMBER($AU555),$AU555/100,"")</f>
        <v/>
      </c>
      <c r="DA555" s="82">
        <f>IF(ISNUMBER($AV555),$AV555/100,"")</f>
        <v/>
      </c>
      <c r="DB555" s="82">
        <f>IF(ISNUMBER($AW555),$AW555/100,"")</f>
        <v/>
      </c>
      <c r="DC555" s="82">
        <f>IF(ISNUMBER($AX555),$AX555/100,"")</f>
        <v/>
      </c>
      <c r="DD555" s="77">
        <f>IFERROR(VALUE(LEFT(TRIM($AO555&amp;""),4)),"")</f>
        <v/>
      </c>
      <c r="DE555" s="78">
        <f>IF(AND($BY555=1,$BX555=1,OR(fDeal="All Deals",$BU555=fDeal),OR(fEntity="All Entities",$BV555=fEntity),OR(fPType="All Property Types",$BZ555=fPType),OR(fDefeased="Include",$CJ555=0)),1,0)</f>
        <v/>
      </c>
      <c r="DF555" s="83">
        <f>$DE555*N($I555)</f>
        <v/>
      </c>
      <c r="DG555" s="78">
        <f>IF($DE555=1,IF(COUNTIFS($F$8:$F555,$F555,$DE$8:$DE555,1)=1,1,0),0)</f>
        <v/>
      </c>
      <c r="DH555" s="83">
        <f>IF($DG555=1,SUMIFS($DF$8:$DF$1600,$F$8:$F$1600,$F555),0)</f>
        <v/>
      </c>
      <c r="DI555" s="78">
        <f>IF($DG555=1,COUNTIFS($F$8:$F$1600,$F555,$DE$8:$DE$1600,1),0)</f>
        <v/>
      </c>
      <c r="DJ555" s="84">
        <f>IF($DG555=1,$DH555+(100000-ROW())/mTieBreak,0)</f>
        <v/>
      </c>
    </row>
    <row r="556">
      <c r="B556" s="68" t="n">
        <v>33</v>
      </c>
      <c r="C556" s="69" t="inlineStr">
        <is>
          <t>WFC19C49</t>
        </is>
      </c>
      <c r="D556" s="69" t="inlineStr">
        <is>
          <t>33.000</t>
        </is>
      </c>
      <c r="E556" s="69" t="inlineStr">
        <is>
          <t>Westpointe Retail Center</t>
        </is>
      </c>
      <c r="F556" s="69" t="inlineStr">
        <is>
          <t>LNWFC19C49-33.000</t>
        </is>
      </c>
      <c r="G556" s="70" t="n"/>
      <c r="H556" s="71" t="n">
        <v>8500000</v>
      </c>
      <c r="I556" s="71" t="n">
        <v>0</v>
      </c>
      <c r="J556" s="72" t="n">
        <v>5.35</v>
      </c>
      <c r="K556" s="69" t="inlineStr">
        <is>
          <t>Fixed rate</t>
        </is>
      </c>
      <c r="L556" s="68" t="n">
        <v>120</v>
      </c>
      <c r="M556" s="68" t="n"/>
      <c r="N556" s="68" t="n">
        <v>360</v>
      </c>
      <c r="O556" s="68" t="n"/>
      <c r="P556" s="68" t="n"/>
      <c r="Q556" s="68" t="n"/>
      <c r="R556" s="69" t="n"/>
      <c r="S556" s="69" t="inlineStr">
        <is>
          <t>No</t>
        </is>
      </c>
      <c r="T556" s="73" t="n">
        <v>43466</v>
      </c>
      <c r="U556" s="73" t="n">
        <v>47129</v>
      </c>
      <c r="V556" s="73" t="n"/>
      <c r="W556" s="69" t="n"/>
      <c r="X556" s="69" t="inlineStr">
        <is>
          <t>Current</t>
        </is>
      </c>
      <c r="Y556" s="68" t="n"/>
      <c r="Z556" s="69" t="inlineStr">
        <is>
          <t>No Defeasance Occurred</t>
        </is>
      </c>
      <c r="AA556" s="69" t="inlineStr">
        <is>
          <t>Previously</t>
        </is>
      </c>
      <c r="AB556" s="69" t="inlineStr">
        <is>
          <t>Currently special serv</t>
        </is>
      </c>
      <c r="AC556" s="73" t="n">
        <v>45610</v>
      </c>
      <c r="AD556" s="69" t="inlineStr">
        <is>
          <t>Imminent Monetary Default (excluding Balloon/Maturity Default &amp; Single Tenant Bankruptcy/Vacate)</t>
        </is>
      </c>
      <c r="AE556" s="69" t="inlineStr">
        <is>
          <t>Full Payoff</t>
        </is>
      </c>
      <c r="AF556" s="69" t="inlineStr">
        <is>
          <t>TX</t>
        </is>
      </c>
      <c r="AG556" s="69" t="inlineStr">
        <is>
          <t>San Antonio</t>
        </is>
      </c>
      <c r="AH556" s="69" t="inlineStr">
        <is>
          <t>San Antonio-New Braunfels, TX</t>
        </is>
      </c>
      <c r="AI556" s="69" t="inlineStr">
        <is>
          <t>South / Central West</t>
        </is>
      </c>
      <c r="AJ556" s="69" t="inlineStr">
        <is>
          <t>RT</t>
        </is>
      </c>
      <c r="AK556" s="69" t="inlineStr">
        <is>
          <t>Unanchored</t>
        </is>
      </c>
      <c r="AL556" s="68" t="n">
        <v>1</v>
      </c>
      <c r="AM556" s="68" t="n"/>
      <c r="AN556" s="68" t="n">
        <v>29855</v>
      </c>
      <c r="AO556" s="69" t="inlineStr">
        <is>
          <t>2008</t>
        </is>
      </c>
      <c r="AP556" s="70" t="n">
        <v>2008</v>
      </c>
      <c r="AQ556" s="74" t="n">
        <v>1.29</v>
      </c>
      <c r="AR556" s="74" t="n">
        <v>1.26</v>
      </c>
      <c r="AS556" s="74" t="n">
        <v>71.3</v>
      </c>
      <c r="AT556" s="74" t="n"/>
      <c r="AU556" s="74" t="n">
        <v>59.4</v>
      </c>
      <c r="AV556" s="74" t="n">
        <v>8.654806824</v>
      </c>
      <c r="AW556" s="74" t="n"/>
      <c r="AX556" s="75" t="n">
        <v>95.31</v>
      </c>
      <c r="AY556" s="71" t="n">
        <v>11900000</v>
      </c>
      <c r="AZ556" s="71" t="n">
        <v>11900000</v>
      </c>
      <c r="BA556" s="71" t="n">
        <v>735658.58</v>
      </c>
      <c r="BB556" s="71" t="n">
        <v>537817.03</v>
      </c>
      <c r="BC556" s="69" t="inlineStr">
        <is>
          <t>Refinance</t>
        </is>
      </c>
      <c r="BD556" s="69" t="inlineStr">
        <is>
          <t>N</t>
        </is>
      </c>
      <c r="BE556" s="71" t="n"/>
      <c r="BF556" s="71" t="n"/>
      <c r="BG556" s="71" t="n"/>
      <c r="BH556" s="71" t="n">
        <v>0</v>
      </c>
      <c r="BI556" s="71" t="n">
        <v>0</v>
      </c>
      <c r="BJ556" s="69" t="inlineStr">
        <is>
          <t>N</t>
        </is>
      </c>
      <c r="BK556" s="69" t="inlineStr">
        <is>
          <t>First Watch Restaurant</t>
        </is>
      </c>
      <c r="BL556" s="75" t="n">
        <v>12.9</v>
      </c>
      <c r="BM556" s="73" t="n">
        <v>47208</v>
      </c>
      <c r="BN556" s="69" t="inlineStr">
        <is>
          <t>Darren B. Casey</t>
        </is>
      </c>
      <c r="BO556" s="69" t="inlineStr">
        <is>
          <t>Wells Fargo</t>
        </is>
      </c>
      <c r="BP556" s="69" t="inlineStr">
        <is>
          <t>Wells Fargo</t>
        </is>
      </c>
      <c r="BQ556" s="69" t="inlineStr">
        <is>
          <t>K-Star Asset Management LLC</t>
        </is>
      </c>
      <c r="BR556" s="69" t="inlineStr">
        <is>
          <t>Payoff With Yield Maintenance</t>
        </is>
      </c>
      <c r="BS556" s="73" t="n">
        <v>46276</v>
      </c>
      <c r="BU556" s="76">
        <f>IF($C556="","",IFERROR(INDEX(dmName,MATCH($C556,dmID,0)),"Unmapped"))</f>
        <v/>
      </c>
      <c r="BV556" s="76">
        <f>IF($C556="","",IFERROR(INDEX(dmEntity,MATCH($C556,dmID,0)),"Unmapped"))</f>
        <v/>
      </c>
      <c r="BW556" s="77">
        <f>IF($C556="","",IFERROR(INDEX(dmVintage,MATCH($C556,dmID,0)),""))</f>
        <v/>
      </c>
      <c r="BX556" s="78">
        <f>IFERROR(INDEX(dmInclude,MATCH($C556,dmID,0)),0)</f>
        <v/>
      </c>
      <c r="BY556" s="78">
        <f>IF(N($I556)&gt;0,1,0)</f>
        <v/>
      </c>
      <c r="BZ556" s="76">
        <f>IF($AJ556="","Other / Leased Fee",IFERROR(INDEX(mapPTGroup,MATCH(LEFT(TRIM($AJ556),2),mapPTCode,0)),"Other / Leased Fee"))</f>
        <v/>
      </c>
      <c r="CA556" s="76">
        <f>IF(TRIM($AF556&amp;"")="","NR",LEFT(TRIM($AF556),2))</f>
        <v/>
      </c>
      <c r="CB556" s="76">
        <f>IFERROR(LOOKUP(2,1/(LEFT(TRIM($AI556&amp;""),LEN(mapRegion))=mapRegion),mapRegion),"Not Reported")</f>
        <v/>
      </c>
      <c r="CC556" s="76">
        <f>IF($BY556=0,"",IF(TRIM($W556&amp;"")="REO","REO",IF(TRIM($W556&amp;"")="FC","Foreclosure",IF(TRIM($W556&amp;"")="90+","90+ Days Delinquent",IF(TRIM($W556&amp;"")="60","60 Days Delinquent",IF(TRIM($W556&amp;"")="30","30 Days Delinquent",IF($X556="Non-Performing Matured Balloon","Non-Performing Matured Balloon",IF(OR($X556="Late Payment But Less Than 30 Days Delinquent",LEFT($X556&amp;"",20)="Payment Not Received"),"Late / In Grace (&lt;30 Days)",IF($X556="Performing Matured Balloon","Performing Matured Balloon","Current")))))))))</f>
        <v/>
      </c>
      <c r="CD556" s="78">
        <f>IF(OR($CC556="REO",$CC556="Foreclosure",$CC556="90+ Days Delinquent",$CC556="60 Days Delinquent",$CC556="30 Days Delinquent",$CC556="Non-Performing Matured Balloon"),1,0)</f>
        <v/>
      </c>
      <c r="CE556" s="76">
        <f>IF($AB556="Currently special serv","Currently Specially Serviced",IF($AB556="Returned to master serv","Previously Specially Serviced","Never Specially Serviced"))</f>
        <v/>
      </c>
      <c r="CF556" s="78">
        <f>IF($CE556="Currently Specially Serviced",1,0)</f>
        <v/>
      </c>
      <c r="CG556" s="76">
        <f>IF($AA556="Yes","Currently on Watchlist",IF($AA556="Previously","Previously on Watchlist","Never on Watchlist"))</f>
        <v/>
      </c>
      <c r="CH556" s="78">
        <f>IF($CG556="Currently on Watchlist",1,0)</f>
        <v/>
      </c>
      <c r="CI556" s="76">
        <f>IF($Z556="Full Defeasance","Fully Defeased",IF($Z556="Portion Of Loan Previously Defeased","Partially Defeased",IF($Z556="Defeasance Not Allowable","Not Defeased (Not Permitted)","Not Defeased")))</f>
        <v/>
      </c>
      <c r="CJ556" s="78">
        <f>IF($CI556="Fully Defeased",1,0)</f>
        <v/>
      </c>
      <c r="CK556" s="76">
        <f>IF($R556="IO","Full IO",IF(LEFT($R556&amp;"",7)="IO then","Partial IO","Amortizing"))</f>
        <v/>
      </c>
      <c r="CL556" s="78">
        <f>IF($CK556="Full IO",1,0)</f>
        <v/>
      </c>
      <c r="CM556" s="78">
        <f>IF($CK556="Partial IO",1,0)</f>
        <v/>
      </c>
      <c r="CN556" s="76">
        <f>IF(LEFT($F556&amp;"",10)="SPLIT_LOAN","Pari Passu Split","Standalone")</f>
        <v/>
      </c>
      <c r="CO556" s="78">
        <f>IF($CN556="Pari Passu Split",1,0)</f>
        <v/>
      </c>
      <c r="CP556" s="77">
        <f>IF(ISNUMBER($T556),YEAR($T556),"")</f>
        <v/>
      </c>
      <c r="CQ556" s="79">
        <f>IF(ISNUMBER($V556),$V556,IF(ISNUMBER($U556),$U556,""))</f>
        <v/>
      </c>
      <c r="CR556" s="77">
        <f>IF(ISNUMBER($CQ556),YEAR($CQ556),"")</f>
        <v/>
      </c>
      <c r="CS556" s="78">
        <f>IF(ISNUMBER($M556),MAX(0,$M556),IF(TRIM($M556&amp;"")="matured",0,""))</f>
        <v/>
      </c>
      <c r="CT556" s="78">
        <f>IF(AND(ISNUMBER($CS556),N($CS556)&lt;=mMatWindow),1,0)</f>
        <v/>
      </c>
      <c r="CU556" s="80">
        <f>IF(ISNUMBER($J556),$J556/100,"")</f>
        <v/>
      </c>
      <c r="CV556" s="81">
        <f>IF(ISNUMBER($AQ556),$AQ556,"")</f>
        <v/>
      </c>
      <c r="CW556" s="81">
        <f>IF(ISNUMBER($AR556),$AR556,"")</f>
        <v/>
      </c>
      <c r="CX556" s="82">
        <f>IF(ISNUMBER($AS556),$AS556/100,"")</f>
        <v/>
      </c>
      <c r="CY556" s="82">
        <f>IF(ISNUMBER($AT556),$AT556/100,"")</f>
        <v/>
      </c>
      <c r="CZ556" s="82">
        <f>IF(ISNUMBER($AU556),$AU556/100,"")</f>
        <v/>
      </c>
      <c r="DA556" s="82">
        <f>IF(ISNUMBER($AV556),$AV556/100,"")</f>
        <v/>
      </c>
      <c r="DB556" s="82">
        <f>IF(ISNUMBER($AW556),$AW556/100,"")</f>
        <v/>
      </c>
      <c r="DC556" s="82">
        <f>IF(ISNUMBER($AX556),$AX556/100,"")</f>
        <v/>
      </c>
      <c r="DD556" s="77">
        <f>IFERROR(VALUE(LEFT(TRIM($AO556&amp;""),4)),"")</f>
        <v/>
      </c>
      <c r="DE556" s="78">
        <f>IF(AND($BY556=1,$BX556=1,OR(fDeal="All Deals",$BU556=fDeal),OR(fEntity="All Entities",$BV556=fEntity),OR(fPType="All Property Types",$BZ556=fPType),OR(fDefeased="Include",$CJ556=0)),1,0)</f>
        <v/>
      </c>
      <c r="DF556" s="83">
        <f>$DE556*N($I556)</f>
        <v/>
      </c>
      <c r="DG556" s="78">
        <f>IF($DE556=1,IF(COUNTIFS($F$8:$F556,$F556,$DE$8:$DE556,1)=1,1,0),0)</f>
        <v/>
      </c>
      <c r="DH556" s="83">
        <f>IF($DG556=1,SUMIFS($DF$8:$DF$1600,$F$8:$F$1600,$F556),0)</f>
        <v/>
      </c>
      <c r="DI556" s="78">
        <f>IF($DG556=1,COUNTIFS($F$8:$F$1600,$F556,$DE$8:$DE$1600,1),0)</f>
        <v/>
      </c>
      <c r="DJ556" s="84">
        <f>IF($DG556=1,$DH556+(100000-ROW())/mTieBreak,0)</f>
        <v/>
      </c>
    </row>
    <row r="557">
      <c r="B557" s="68" t="n">
        <v>34</v>
      </c>
      <c r="C557" s="69" t="inlineStr">
        <is>
          <t>WFC19C49</t>
        </is>
      </c>
      <c r="D557" s="69" t="inlineStr">
        <is>
          <t>34.000</t>
        </is>
      </c>
      <c r="E557" s="69" t="inlineStr">
        <is>
          <t>Homewood Suites Laredo</t>
        </is>
      </c>
      <c r="F557" s="69" t="inlineStr">
        <is>
          <t>LNWFC19C49-34.000</t>
        </is>
      </c>
      <c r="G557" s="70" t="n"/>
      <c r="H557" s="71" t="n">
        <v>8420000</v>
      </c>
      <c r="I557" s="71" t="n">
        <v>7053171.689997061</v>
      </c>
      <c r="J557" s="72" t="n">
        <v>5.8</v>
      </c>
      <c r="K557" s="69" t="inlineStr">
        <is>
          <t>Fixed rate</t>
        </is>
      </c>
      <c r="L557" s="68" t="n">
        <v>120</v>
      </c>
      <c r="M557" s="68" t="n">
        <v>29</v>
      </c>
      <c r="N557" s="68" t="n">
        <v>300</v>
      </c>
      <c r="O557" s="68" t="n"/>
      <c r="P557" s="68" t="n"/>
      <c r="Q557" s="68" t="n">
        <v>91</v>
      </c>
      <c r="R557" s="69" t="n"/>
      <c r="S557" s="69" t="inlineStr">
        <is>
          <t>No</t>
        </is>
      </c>
      <c r="T557" s="73" t="n">
        <v>43497</v>
      </c>
      <c r="U557" s="73" t="n">
        <v>47155</v>
      </c>
      <c r="V557" s="73" t="n"/>
      <c r="W557" s="69" t="n"/>
      <c r="X557" s="69" t="inlineStr">
        <is>
          <t>Current</t>
        </is>
      </c>
      <c r="Y557" s="68" t="n"/>
      <c r="Z557" s="69" t="inlineStr">
        <is>
          <t>No Defeasance Occurred</t>
        </is>
      </c>
      <c r="AA557" s="69" t="inlineStr">
        <is>
          <t>Previously</t>
        </is>
      </c>
      <c r="AB557" s="69" t="inlineStr">
        <is>
          <t>Never special serv</t>
        </is>
      </c>
      <c r="AC557" s="73" t="n"/>
      <c r="AD557" s="69" t="n"/>
      <c r="AE557" s="69" t="n"/>
      <c r="AF557" s="69" t="inlineStr">
        <is>
          <t>TX</t>
        </is>
      </c>
      <c r="AG557" s="69" t="inlineStr">
        <is>
          <t>Laredo</t>
        </is>
      </c>
      <c r="AH557" s="69" t="inlineStr">
        <is>
          <t>Laredo, TX</t>
        </is>
      </c>
      <c r="AI557" s="69" t="inlineStr">
        <is>
          <t>South / Central West</t>
        </is>
      </c>
      <c r="AJ557" s="69" t="inlineStr">
        <is>
          <t>HT</t>
        </is>
      </c>
      <c r="AK557" s="69" t="inlineStr">
        <is>
          <t>Extended Stay</t>
        </is>
      </c>
      <c r="AL557" s="68" t="n">
        <v>1</v>
      </c>
      <c r="AM557" s="68" t="n">
        <v>105</v>
      </c>
      <c r="AN557" s="68" t="n"/>
      <c r="AO557" s="69" t="inlineStr">
        <is>
          <t>2005</t>
        </is>
      </c>
      <c r="AP557" s="70" t="n">
        <v>2015</v>
      </c>
      <c r="AQ557" s="74" t="n">
        <v>1.48</v>
      </c>
      <c r="AR557" s="74" t="n">
        <v>4.69</v>
      </c>
      <c r="AS557" s="74" t="n">
        <v>65.7</v>
      </c>
      <c r="AT557" s="74" t="n">
        <v>55.1</v>
      </c>
      <c r="AU557" s="74" t="n">
        <v>50.6</v>
      </c>
      <c r="AV557" s="74" t="n">
        <v>11.194916508</v>
      </c>
      <c r="AW557" s="74" t="n">
        <v>42.468607623</v>
      </c>
      <c r="AX557" s="75" t="n">
        <v>93</v>
      </c>
      <c r="AY557" s="71" t="n">
        <v>12800000</v>
      </c>
      <c r="AZ557" s="71" t="n">
        <v>12800000</v>
      </c>
      <c r="BA557" s="71" t="n">
        <v>942611.97</v>
      </c>
      <c r="BB557" s="71" t="n">
        <v>2995383.81</v>
      </c>
      <c r="BC557" s="69" t="inlineStr">
        <is>
          <t>Acquisition</t>
        </is>
      </c>
      <c r="BD557" s="69" t="inlineStr">
        <is>
          <t>N</t>
        </is>
      </c>
      <c r="BE557" s="71" t="n"/>
      <c r="BF557" s="71" t="n"/>
      <c r="BG557" s="71" t="n"/>
      <c r="BH557" s="71" t="n">
        <v>0</v>
      </c>
      <c r="BI557" s="71" t="n">
        <v>0</v>
      </c>
      <c r="BJ557" s="69" t="inlineStr">
        <is>
          <t>N</t>
        </is>
      </c>
      <c r="BK557" s="69" t="n"/>
      <c r="BL557" s="75" t="n"/>
      <c r="BM557" s="73" t="n"/>
      <c r="BN557" s="69" t="inlineStr">
        <is>
          <t>Sanjeev K. Amin; Rupesh Amin</t>
        </is>
      </c>
      <c r="BO557" s="69" t="inlineStr">
        <is>
          <t>Ladder Capital Finance</t>
        </is>
      </c>
      <c r="BP557" s="69" t="inlineStr">
        <is>
          <t>TriMont Real Estate Advisors</t>
        </is>
      </c>
      <c r="BQ557" s="69" t="inlineStr">
        <is>
          <t>K-Star Asset Management LLC</t>
        </is>
      </c>
      <c r="BR557" s="69" t="n"/>
      <c r="BS557" s="73" t="n">
        <v>46276</v>
      </c>
      <c r="BU557" s="76">
        <f>IF($C557="","",IFERROR(INDEX(dmName,MATCH($C557,dmID,0)),"Unmapped"))</f>
        <v/>
      </c>
      <c r="BV557" s="76">
        <f>IF($C557="","",IFERROR(INDEX(dmEntity,MATCH($C557,dmID,0)),"Unmapped"))</f>
        <v/>
      </c>
      <c r="BW557" s="77">
        <f>IF($C557="","",IFERROR(INDEX(dmVintage,MATCH($C557,dmID,0)),""))</f>
        <v/>
      </c>
      <c r="BX557" s="78">
        <f>IFERROR(INDEX(dmInclude,MATCH($C557,dmID,0)),0)</f>
        <v/>
      </c>
      <c r="BY557" s="78">
        <f>IF(N($I557)&gt;0,1,0)</f>
        <v/>
      </c>
      <c r="BZ557" s="76">
        <f>IF($AJ557="","Other / Leased Fee",IFERROR(INDEX(mapPTGroup,MATCH(LEFT(TRIM($AJ557),2),mapPTCode,0)),"Other / Leased Fee"))</f>
        <v/>
      </c>
      <c r="CA557" s="76">
        <f>IF(TRIM($AF557&amp;"")="","NR",LEFT(TRIM($AF557),2))</f>
        <v/>
      </c>
      <c r="CB557" s="76">
        <f>IFERROR(LOOKUP(2,1/(LEFT(TRIM($AI557&amp;""),LEN(mapRegion))=mapRegion),mapRegion),"Not Reported")</f>
        <v/>
      </c>
      <c r="CC557" s="76">
        <f>IF($BY557=0,"",IF(TRIM($W557&amp;"")="REO","REO",IF(TRIM($W557&amp;"")="FC","Foreclosure",IF(TRIM($W557&amp;"")="90+","90+ Days Delinquent",IF(TRIM($W557&amp;"")="60","60 Days Delinquent",IF(TRIM($W557&amp;"")="30","30 Days Delinquent",IF($X557="Non-Performing Matured Balloon","Non-Performing Matured Balloon",IF(OR($X557="Late Payment But Less Than 30 Days Delinquent",LEFT($X557&amp;"",20)="Payment Not Received"),"Late / In Grace (&lt;30 Days)",IF($X557="Performing Matured Balloon","Performing Matured Balloon","Current")))))))))</f>
        <v/>
      </c>
      <c r="CD557" s="78">
        <f>IF(OR($CC557="REO",$CC557="Foreclosure",$CC557="90+ Days Delinquent",$CC557="60 Days Delinquent",$CC557="30 Days Delinquent",$CC557="Non-Performing Matured Balloon"),1,0)</f>
        <v/>
      </c>
      <c r="CE557" s="76">
        <f>IF($AB557="Currently special serv","Currently Specially Serviced",IF($AB557="Returned to master serv","Previously Specially Serviced","Never Specially Serviced"))</f>
        <v/>
      </c>
      <c r="CF557" s="78">
        <f>IF($CE557="Currently Specially Serviced",1,0)</f>
        <v/>
      </c>
      <c r="CG557" s="76">
        <f>IF($AA557="Yes","Currently on Watchlist",IF($AA557="Previously","Previously on Watchlist","Never on Watchlist"))</f>
        <v/>
      </c>
      <c r="CH557" s="78">
        <f>IF($CG557="Currently on Watchlist",1,0)</f>
        <v/>
      </c>
      <c r="CI557" s="76">
        <f>IF($Z557="Full Defeasance","Fully Defeased",IF($Z557="Portion Of Loan Previously Defeased","Partially Defeased",IF($Z557="Defeasance Not Allowable","Not Defeased (Not Permitted)","Not Defeased")))</f>
        <v/>
      </c>
      <c r="CJ557" s="78">
        <f>IF($CI557="Fully Defeased",1,0)</f>
        <v/>
      </c>
      <c r="CK557" s="76">
        <f>IF($R557="IO","Full IO",IF(LEFT($R557&amp;"",7)="IO then","Partial IO","Amortizing"))</f>
        <v/>
      </c>
      <c r="CL557" s="78">
        <f>IF($CK557="Full IO",1,0)</f>
        <v/>
      </c>
      <c r="CM557" s="78">
        <f>IF($CK557="Partial IO",1,0)</f>
        <v/>
      </c>
      <c r="CN557" s="76">
        <f>IF(LEFT($F557&amp;"",10)="SPLIT_LOAN","Pari Passu Split","Standalone")</f>
        <v/>
      </c>
      <c r="CO557" s="78">
        <f>IF($CN557="Pari Passu Split",1,0)</f>
        <v/>
      </c>
      <c r="CP557" s="77">
        <f>IF(ISNUMBER($T557),YEAR($T557),"")</f>
        <v/>
      </c>
      <c r="CQ557" s="79">
        <f>IF(ISNUMBER($V557),$V557,IF(ISNUMBER($U557),$U557,""))</f>
        <v/>
      </c>
      <c r="CR557" s="77">
        <f>IF(ISNUMBER($CQ557),YEAR($CQ557),"")</f>
        <v/>
      </c>
      <c r="CS557" s="78">
        <f>IF(ISNUMBER($M557),MAX(0,$M557),IF(TRIM($M557&amp;"")="matured",0,""))</f>
        <v/>
      </c>
      <c r="CT557" s="78">
        <f>IF(AND(ISNUMBER($CS557),N($CS557)&lt;=mMatWindow),1,0)</f>
        <v/>
      </c>
      <c r="CU557" s="80">
        <f>IF(ISNUMBER($J557),$J557/100,"")</f>
        <v/>
      </c>
      <c r="CV557" s="81">
        <f>IF(ISNUMBER($AQ557),$AQ557,"")</f>
        <v/>
      </c>
      <c r="CW557" s="81">
        <f>IF(ISNUMBER($AR557),$AR557,"")</f>
        <v/>
      </c>
      <c r="CX557" s="82">
        <f>IF(ISNUMBER($AS557),$AS557/100,"")</f>
        <v/>
      </c>
      <c r="CY557" s="82">
        <f>IF(ISNUMBER($AT557),$AT557/100,"")</f>
        <v/>
      </c>
      <c r="CZ557" s="82">
        <f>IF(ISNUMBER($AU557),$AU557/100,"")</f>
        <v/>
      </c>
      <c r="DA557" s="82">
        <f>IF(ISNUMBER($AV557),$AV557/100,"")</f>
        <v/>
      </c>
      <c r="DB557" s="82">
        <f>IF(ISNUMBER($AW557),$AW557/100,"")</f>
        <v/>
      </c>
      <c r="DC557" s="82">
        <f>IF(ISNUMBER($AX557),$AX557/100,"")</f>
        <v/>
      </c>
      <c r="DD557" s="77">
        <f>IFERROR(VALUE(LEFT(TRIM($AO557&amp;""),4)),"")</f>
        <v/>
      </c>
      <c r="DE557" s="78">
        <f>IF(AND($BY557=1,$BX557=1,OR(fDeal="All Deals",$BU557=fDeal),OR(fEntity="All Entities",$BV557=fEntity),OR(fPType="All Property Types",$BZ557=fPType),OR(fDefeased="Include",$CJ557=0)),1,0)</f>
        <v/>
      </c>
      <c r="DF557" s="83">
        <f>$DE557*N($I557)</f>
        <v/>
      </c>
      <c r="DG557" s="78">
        <f>IF($DE557=1,IF(COUNTIFS($F$8:$F557,$F557,$DE$8:$DE557,1)=1,1,0),0)</f>
        <v/>
      </c>
      <c r="DH557" s="83">
        <f>IF($DG557=1,SUMIFS($DF$8:$DF$1600,$F$8:$F$1600,$F557),0)</f>
        <v/>
      </c>
      <c r="DI557" s="78">
        <f>IF($DG557=1,COUNTIFS($F$8:$F$1600,$F557,$DE$8:$DE$1600,1),0)</f>
        <v/>
      </c>
      <c r="DJ557" s="84">
        <f>IF($DG557=1,$DH557+(100000-ROW())/mTieBreak,0)</f>
        <v/>
      </c>
    </row>
    <row r="558">
      <c r="B558" s="68" t="n">
        <v>35</v>
      </c>
      <c r="C558" s="69" t="inlineStr">
        <is>
          <t>WFC19C49</t>
        </is>
      </c>
      <c r="D558" s="69" t="inlineStr">
        <is>
          <t>35.000</t>
        </is>
      </c>
      <c r="E558" s="69" t="inlineStr">
        <is>
          <t>OKC MHP Portfolio</t>
        </is>
      </c>
      <c r="F558" s="69" t="inlineStr">
        <is>
          <t>LNWFC19C49-35.000</t>
        </is>
      </c>
      <c r="G558" s="70" t="n"/>
      <c r="H558" s="71" t="n">
        <v>8250000</v>
      </c>
      <c r="I558" s="71" t="n">
        <v>7683628.049996251</v>
      </c>
      <c r="J558" s="72" t="n">
        <v>5.16</v>
      </c>
      <c r="K558" s="69" t="inlineStr">
        <is>
          <t>Fixed rate</t>
        </is>
      </c>
      <c r="L558" s="68" t="n">
        <v>117</v>
      </c>
      <c r="M558" s="68" t="n">
        <v>26</v>
      </c>
      <c r="N558" s="68" t="n">
        <v>396</v>
      </c>
      <c r="O558" s="68" t="n">
        <v>36</v>
      </c>
      <c r="P558" s="68" t="n">
        <v>0</v>
      </c>
      <c r="Q558" s="68" t="n">
        <v>91</v>
      </c>
      <c r="R558" s="69" t="inlineStr">
        <is>
          <t>IO then Amort</t>
        </is>
      </c>
      <c r="S558" s="69" t="inlineStr">
        <is>
          <t>No</t>
        </is>
      </c>
      <c r="T558" s="73" t="n">
        <v>43497</v>
      </c>
      <c r="U558" s="73" t="n">
        <v>47068</v>
      </c>
      <c r="V558" s="73" t="n"/>
      <c r="W558" s="69" t="n"/>
      <c r="X558" s="69" t="inlineStr">
        <is>
          <t>Current</t>
        </is>
      </c>
      <c r="Y558" s="68" t="n"/>
      <c r="Z558" s="69" t="inlineStr">
        <is>
          <t>Full Defeasance</t>
        </is>
      </c>
      <c r="AA558" s="69" t="inlineStr">
        <is>
          <t>Previously</t>
        </is>
      </c>
      <c r="AB558" s="69" t="inlineStr">
        <is>
          <t>Never special serv</t>
        </is>
      </c>
      <c r="AC558" s="73" t="n"/>
      <c r="AD558" s="69" t="n"/>
      <c r="AE558" s="69" t="n"/>
      <c r="AF558" s="69" t="inlineStr">
        <is>
          <t>OK</t>
        </is>
      </c>
      <c r="AG558" s="69" t="n"/>
      <c r="AH558" s="69" t="inlineStr">
        <is>
          <t>Oklahoma City, OK</t>
        </is>
      </c>
      <c r="AI558" s="69" t="inlineStr">
        <is>
          <t>South / Central West</t>
        </is>
      </c>
      <c r="AJ558" s="69" t="inlineStr">
        <is>
          <t>MH</t>
        </is>
      </c>
      <c r="AK558" s="69" t="n"/>
      <c r="AL558" s="68" t="n">
        <v>3</v>
      </c>
      <c r="AM558" s="68" t="n">
        <v>356</v>
      </c>
      <c r="AN558" s="68" t="n"/>
      <c r="AO558" s="69" t="inlineStr">
        <is>
          <t>1980</t>
        </is>
      </c>
      <c r="AP558" s="70" t="n">
        <v>2018</v>
      </c>
      <c r="AQ558" s="74" t="n">
        <v>1.36</v>
      </c>
      <c r="AR558" s="74" t="n">
        <v>1.86</v>
      </c>
      <c r="AS558" s="74" t="n">
        <v>71.09999999999999</v>
      </c>
      <c r="AT558" s="74" t="n">
        <v>66.23999999999999</v>
      </c>
      <c r="AU558" s="74" t="n">
        <v>63.2</v>
      </c>
      <c r="AV558" s="74" t="n">
        <v>8.952891151999999</v>
      </c>
      <c r="AW558" s="74" t="n">
        <v>11.392469733</v>
      </c>
      <c r="AX558" s="75" t="n">
        <v>76</v>
      </c>
      <c r="AY558" s="71" t="n">
        <v>11600000</v>
      </c>
      <c r="AZ558" s="71" t="n">
        <v>11600000</v>
      </c>
      <c r="BA558" s="71" t="n">
        <v>738613.52</v>
      </c>
      <c r="BB558" s="71" t="n">
        <v>503173</v>
      </c>
      <c r="BC558" s="69" t="inlineStr">
        <is>
          <t>Acquisition</t>
        </is>
      </c>
      <c r="BD558" s="69" t="inlineStr">
        <is>
          <t>N</t>
        </is>
      </c>
      <c r="BE558" s="71" t="n"/>
      <c r="BF558" s="71" t="n"/>
      <c r="BG558" s="71" t="n"/>
      <c r="BH558" s="71" t="n">
        <v>0</v>
      </c>
      <c r="BI558" s="71" t="n">
        <v>0</v>
      </c>
      <c r="BJ558" s="69" t="inlineStr">
        <is>
          <t>N</t>
        </is>
      </c>
      <c r="BK558" s="69" t="n"/>
      <c r="BL558" s="75" t="n"/>
      <c r="BM558" s="73" t="n"/>
      <c r="BN558" s="69" t="inlineStr">
        <is>
          <t>Mendocino Real Estate Holdings LLC</t>
        </is>
      </c>
      <c r="BO558" s="69" t="inlineStr">
        <is>
          <t>CIII Capital</t>
        </is>
      </c>
      <c r="BP558" s="69" t="inlineStr">
        <is>
          <t>TriMont Real Estate Advisors</t>
        </is>
      </c>
      <c r="BQ558" s="69" t="inlineStr">
        <is>
          <t>K-Star Asset Management LLC</t>
        </is>
      </c>
      <c r="BR558" s="69" t="n"/>
      <c r="BS558" s="73" t="n">
        <v>46276</v>
      </c>
      <c r="BU558" s="76">
        <f>IF($C558="","",IFERROR(INDEX(dmName,MATCH($C558,dmID,0)),"Unmapped"))</f>
        <v/>
      </c>
      <c r="BV558" s="76">
        <f>IF($C558="","",IFERROR(INDEX(dmEntity,MATCH($C558,dmID,0)),"Unmapped"))</f>
        <v/>
      </c>
      <c r="BW558" s="77">
        <f>IF($C558="","",IFERROR(INDEX(dmVintage,MATCH($C558,dmID,0)),""))</f>
        <v/>
      </c>
      <c r="BX558" s="78">
        <f>IFERROR(INDEX(dmInclude,MATCH($C558,dmID,0)),0)</f>
        <v/>
      </c>
      <c r="BY558" s="78">
        <f>IF(N($I558)&gt;0,1,0)</f>
        <v/>
      </c>
      <c r="BZ558" s="76">
        <f>IF($AJ558="","Other / Leased Fee",IFERROR(INDEX(mapPTGroup,MATCH(LEFT(TRIM($AJ558),2),mapPTCode,0)),"Other / Leased Fee"))</f>
        <v/>
      </c>
      <c r="CA558" s="76">
        <f>IF(TRIM($AF558&amp;"")="","NR",LEFT(TRIM($AF558),2))</f>
        <v/>
      </c>
      <c r="CB558" s="76">
        <f>IFERROR(LOOKUP(2,1/(LEFT(TRIM($AI558&amp;""),LEN(mapRegion))=mapRegion),mapRegion),"Not Reported")</f>
        <v/>
      </c>
      <c r="CC558" s="76">
        <f>IF($BY558=0,"",IF(TRIM($W558&amp;"")="REO","REO",IF(TRIM($W558&amp;"")="FC","Foreclosure",IF(TRIM($W558&amp;"")="90+","90+ Days Delinquent",IF(TRIM($W558&amp;"")="60","60 Days Delinquent",IF(TRIM($W558&amp;"")="30","30 Days Delinquent",IF($X558="Non-Performing Matured Balloon","Non-Performing Matured Balloon",IF(OR($X558="Late Payment But Less Than 30 Days Delinquent",LEFT($X558&amp;"",20)="Payment Not Received"),"Late / In Grace (&lt;30 Days)",IF($X558="Performing Matured Balloon","Performing Matured Balloon","Current")))))))))</f>
        <v/>
      </c>
      <c r="CD558" s="78">
        <f>IF(OR($CC558="REO",$CC558="Foreclosure",$CC558="90+ Days Delinquent",$CC558="60 Days Delinquent",$CC558="30 Days Delinquent",$CC558="Non-Performing Matured Balloon"),1,0)</f>
        <v/>
      </c>
      <c r="CE558" s="76">
        <f>IF($AB558="Currently special serv","Currently Specially Serviced",IF($AB558="Returned to master serv","Previously Specially Serviced","Never Specially Serviced"))</f>
        <v/>
      </c>
      <c r="CF558" s="78">
        <f>IF($CE558="Currently Specially Serviced",1,0)</f>
        <v/>
      </c>
      <c r="CG558" s="76">
        <f>IF($AA558="Yes","Currently on Watchlist",IF($AA558="Previously","Previously on Watchlist","Never on Watchlist"))</f>
        <v/>
      </c>
      <c r="CH558" s="78">
        <f>IF($CG558="Currently on Watchlist",1,0)</f>
        <v/>
      </c>
      <c r="CI558" s="76">
        <f>IF($Z558="Full Defeasance","Fully Defeased",IF($Z558="Portion Of Loan Previously Defeased","Partially Defeased",IF($Z558="Defeasance Not Allowable","Not Defeased (Not Permitted)","Not Defeased")))</f>
        <v/>
      </c>
      <c r="CJ558" s="78">
        <f>IF($CI558="Fully Defeased",1,0)</f>
        <v/>
      </c>
      <c r="CK558" s="76">
        <f>IF($R558="IO","Full IO",IF(LEFT($R558&amp;"",7)="IO then","Partial IO","Amortizing"))</f>
        <v/>
      </c>
      <c r="CL558" s="78">
        <f>IF($CK558="Full IO",1,0)</f>
        <v/>
      </c>
      <c r="CM558" s="78">
        <f>IF($CK558="Partial IO",1,0)</f>
        <v/>
      </c>
      <c r="CN558" s="76">
        <f>IF(LEFT($F558&amp;"",10)="SPLIT_LOAN","Pari Passu Split","Standalone")</f>
        <v/>
      </c>
      <c r="CO558" s="78">
        <f>IF($CN558="Pari Passu Split",1,0)</f>
        <v/>
      </c>
      <c r="CP558" s="77">
        <f>IF(ISNUMBER($T558),YEAR($T558),"")</f>
        <v/>
      </c>
      <c r="CQ558" s="79">
        <f>IF(ISNUMBER($V558),$V558,IF(ISNUMBER($U558),$U558,""))</f>
        <v/>
      </c>
      <c r="CR558" s="77">
        <f>IF(ISNUMBER($CQ558),YEAR($CQ558),"")</f>
        <v/>
      </c>
      <c r="CS558" s="78">
        <f>IF(ISNUMBER($M558),MAX(0,$M558),IF(TRIM($M558&amp;"")="matured",0,""))</f>
        <v/>
      </c>
      <c r="CT558" s="78">
        <f>IF(AND(ISNUMBER($CS558),N($CS558)&lt;=mMatWindow),1,0)</f>
        <v/>
      </c>
      <c r="CU558" s="80">
        <f>IF(ISNUMBER($J558),$J558/100,"")</f>
        <v/>
      </c>
      <c r="CV558" s="81">
        <f>IF(ISNUMBER($AQ558),$AQ558,"")</f>
        <v/>
      </c>
      <c r="CW558" s="81">
        <f>IF(ISNUMBER($AR558),$AR558,"")</f>
        <v/>
      </c>
      <c r="CX558" s="82">
        <f>IF(ISNUMBER($AS558),$AS558/100,"")</f>
        <v/>
      </c>
      <c r="CY558" s="82">
        <f>IF(ISNUMBER($AT558),$AT558/100,"")</f>
        <v/>
      </c>
      <c r="CZ558" s="82">
        <f>IF(ISNUMBER($AU558),$AU558/100,"")</f>
        <v/>
      </c>
      <c r="DA558" s="82">
        <f>IF(ISNUMBER($AV558),$AV558/100,"")</f>
        <v/>
      </c>
      <c r="DB558" s="82">
        <f>IF(ISNUMBER($AW558),$AW558/100,"")</f>
        <v/>
      </c>
      <c r="DC558" s="82">
        <f>IF(ISNUMBER($AX558),$AX558/100,"")</f>
        <v/>
      </c>
      <c r="DD558" s="77">
        <f>IFERROR(VALUE(LEFT(TRIM($AO558&amp;""),4)),"")</f>
        <v/>
      </c>
      <c r="DE558" s="78">
        <f>IF(AND($BY558=1,$BX558=1,OR(fDeal="All Deals",$BU558=fDeal),OR(fEntity="All Entities",$BV558=fEntity),OR(fPType="All Property Types",$BZ558=fPType),OR(fDefeased="Include",$CJ558=0)),1,0)</f>
        <v/>
      </c>
      <c r="DF558" s="83">
        <f>$DE558*N($I558)</f>
        <v/>
      </c>
      <c r="DG558" s="78">
        <f>IF($DE558=1,IF(COUNTIFS($F$8:$F558,$F558,$DE$8:$DE558,1)=1,1,0),0)</f>
        <v/>
      </c>
      <c r="DH558" s="83">
        <f>IF($DG558=1,SUMIFS($DF$8:$DF$1600,$F$8:$F$1600,$F558),0)</f>
        <v/>
      </c>
      <c r="DI558" s="78">
        <f>IF($DG558=1,COUNTIFS($F$8:$F$1600,$F558,$DE$8:$DE$1600,1),0)</f>
        <v/>
      </c>
      <c r="DJ558" s="84">
        <f>IF($DG558=1,$DH558+(100000-ROW())/mTieBreak,0)</f>
        <v/>
      </c>
    </row>
    <row r="559">
      <c r="B559" s="68" t="n">
        <v>36</v>
      </c>
      <c r="C559" s="69" t="inlineStr">
        <is>
          <t>WFC19C49</t>
        </is>
      </c>
      <c r="D559" s="69" t="inlineStr">
        <is>
          <t>36.000</t>
        </is>
      </c>
      <c r="E559" s="69" t="inlineStr">
        <is>
          <t>Heatherstone Apartments</t>
        </is>
      </c>
      <c r="F559" s="69" t="inlineStr">
        <is>
          <t>LNWFC19C49-36.000</t>
        </is>
      </c>
      <c r="G559" s="70" t="n"/>
      <c r="H559" s="71" t="n">
        <v>8200000</v>
      </c>
      <c r="I559" s="71" t="n">
        <v>7506391.120003999</v>
      </c>
      <c r="J559" s="72" t="n">
        <v>5.25</v>
      </c>
      <c r="K559" s="69" t="inlineStr">
        <is>
          <t>Fixed rate</t>
        </is>
      </c>
      <c r="L559" s="68" t="n">
        <v>120</v>
      </c>
      <c r="M559" s="68" t="n">
        <v>29</v>
      </c>
      <c r="N559" s="68" t="n">
        <v>384</v>
      </c>
      <c r="O559" s="68" t="n">
        <v>24</v>
      </c>
      <c r="P559" s="68" t="n">
        <v>0</v>
      </c>
      <c r="Q559" s="68" t="n">
        <v>91</v>
      </c>
      <c r="R559" s="69" t="inlineStr">
        <is>
          <t>IO then Amort</t>
        </is>
      </c>
      <c r="S559" s="69" t="inlineStr">
        <is>
          <t>No</t>
        </is>
      </c>
      <c r="T559" s="73" t="n">
        <v>43497</v>
      </c>
      <c r="U559" s="73" t="n">
        <v>47155</v>
      </c>
      <c r="V559" s="73" t="n"/>
      <c r="W559" s="69" t="n"/>
      <c r="X559" s="69" t="inlineStr">
        <is>
          <t>Current</t>
        </is>
      </c>
      <c r="Y559" s="68" t="n"/>
      <c r="Z559" s="69" t="inlineStr">
        <is>
          <t>No Defeasance Occurred</t>
        </is>
      </c>
      <c r="AA559" s="69" t="n"/>
      <c r="AB559" s="69" t="inlineStr">
        <is>
          <t>Never special serv</t>
        </is>
      </c>
      <c r="AC559" s="73" t="n"/>
      <c r="AD559" s="69" t="n"/>
      <c r="AE559" s="69" t="n"/>
      <c r="AF559" s="69" t="inlineStr">
        <is>
          <t>OK</t>
        </is>
      </c>
      <c r="AG559" s="69" t="inlineStr">
        <is>
          <t>Tulsa</t>
        </is>
      </c>
      <c r="AH559" s="69" t="inlineStr">
        <is>
          <t>Tulsa, OK</t>
        </is>
      </c>
      <c r="AI559" s="69" t="inlineStr">
        <is>
          <t>South / Central West</t>
        </is>
      </c>
      <c r="AJ559" s="69" t="inlineStr">
        <is>
          <t>MF</t>
        </is>
      </c>
      <c r="AK559" s="69" t="inlineStr">
        <is>
          <t>Garden</t>
        </is>
      </c>
      <c r="AL559" s="68" t="n">
        <v>1</v>
      </c>
      <c r="AM559" s="68" t="n">
        <v>252</v>
      </c>
      <c r="AN559" s="68" t="n"/>
      <c r="AO559" s="69" t="inlineStr">
        <is>
          <t>1970</t>
        </is>
      </c>
      <c r="AP559" s="70" t="n">
        <v>2018</v>
      </c>
      <c r="AQ559" s="74" t="n">
        <v>1.47</v>
      </c>
      <c r="AR559" s="74" t="n">
        <v>2.81</v>
      </c>
      <c r="AS559" s="74" t="n">
        <v>67.2</v>
      </c>
      <c r="AT559" s="74" t="n">
        <v>61.53</v>
      </c>
      <c r="AU559" s="74" t="n">
        <v>58.5</v>
      </c>
      <c r="AV559" s="74" t="n">
        <v>9.733524389999999</v>
      </c>
      <c r="AW559" s="74" t="n">
        <v>18.158677029</v>
      </c>
      <c r="AX559" s="75" t="n">
        <v>99</v>
      </c>
      <c r="AY559" s="71" t="n">
        <v>12200000</v>
      </c>
      <c r="AZ559" s="71" t="n">
        <v>12200000</v>
      </c>
      <c r="BA559" s="71" t="n">
        <v>798149</v>
      </c>
      <c r="BB559" s="71" t="n">
        <v>762299.1800000001</v>
      </c>
      <c r="BC559" s="69" t="inlineStr">
        <is>
          <t>Refinance</t>
        </is>
      </c>
      <c r="BD559" s="69" t="inlineStr">
        <is>
          <t>N</t>
        </is>
      </c>
      <c r="BE559" s="71" t="n"/>
      <c r="BF559" s="71" t="n"/>
      <c r="BG559" s="71" t="n"/>
      <c r="BH559" s="71" t="n">
        <v>0</v>
      </c>
      <c r="BI559" s="71" t="n">
        <v>0</v>
      </c>
      <c r="BJ559" s="69" t="inlineStr">
        <is>
          <t>N</t>
        </is>
      </c>
      <c r="BK559" s="69" t="n"/>
      <c r="BL559" s="75" t="n"/>
      <c r="BM559" s="73" t="n"/>
      <c r="BN559" s="69" t="inlineStr">
        <is>
          <t>Brent Doeksen; Curtis Rice</t>
        </is>
      </c>
      <c r="BO559" s="69" t="inlineStr">
        <is>
          <t>RMF</t>
        </is>
      </c>
      <c r="BP559" s="69" t="inlineStr">
        <is>
          <t>TriMont Real Estate Advisors</t>
        </is>
      </c>
      <c r="BQ559" s="69" t="inlineStr">
        <is>
          <t>K-Star Asset Management LLC</t>
        </is>
      </c>
      <c r="BR559" s="69" t="n"/>
      <c r="BS559" s="73" t="n">
        <v>46276</v>
      </c>
      <c r="BU559" s="76">
        <f>IF($C559="","",IFERROR(INDEX(dmName,MATCH($C559,dmID,0)),"Unmapped"))</f>
        <v/>
      </c>
      <c r="BV559" s="76">
        <f>IF($C559="","",IFERROR(INDEX(dmEntity,MATCH($C559,dmID,0)),"Unmapped"))</f>
        <v/>
      </c>
      <c r="BW559" s="77">
        <f>IF($C559="","",IFERROR(INDEX(dmVintage,MATCH($C559,dmID,0)),""))</f>
        <v/>
      </c>
      <c r="BX559" s="78">
        <f>IFERROR(INDEX(dmInclude,MATCH($C559,dmID,0)),0)</f>
        <v/>
      </c>
      <c r="BY559" s="78">
        <f>IF(N($I559)&gt;0,1,0)</f>
        <v/>
      </c>
      <c r="BZ559" s="76">
        <f>IF($AJ559="","Other / Leased Fee",IFERROR(INDEX(mapPTGroup,MATCH(LEFT(TRIM($AJ559),2),mapPTCode,0)),"Other / Leased Fee"))</f>
        <v/>
      </c>
      <c r="CA559" s="76">
        <f>IF(TRIM($AF559&amp;"")="","NR",LEFT(TRIM($AF559),2))</f>
        <v/>
      </c>
      <c r="CB559" s="76">
        <f>IFERROR(LOOKUP(2,1/(LEFT(TRIM($AI559&amp;""),LEN(mapRegion))=mapRegion),mapRegion),"Not Reported")</f>
        <v/>
      </c>
      <c r="CC559" s="76">
        <f>IF($BY559=0,"",IF(TRIM($W559&amp;"")="REO","REO",IF(TRIM($W559&amp;"")="FC","Foreclosure",IF(TRIM($W559&amp;"")="90+","90+ Days Delinquent",IF(TRIM($W559&amp;"")="60","60 Days Delinquent",IF(TRIM($W559&amp;"")="30","30 Days Delinquent",IF($X559="Non-Performing Matured Balloon","Non-Performing Matured Balloon",IF(OR($X559="Late Payment But Less Than 30 Days Delinquent",LEFT($X559&amp;"",20)="Payment Not Received"),"Late / In Grace (&lt;30 Days)",IF($X559="Performing Matured Balloon","Performing Matured Balloon","Current")))))))))</f>
        <v/>
      </c>
      <c r="CD559" s="78">
        <f>IF(OR($CC559="REO",$CC559="Foreclosure",$CC559="90+ Days Delinquent",$CC559="60 Days Delinquent",$CC559="30 Days Delinquent",$CC559="Non-Performing Matured Balloon"),1,0)</f>
        <v/>
      </c>
      <c r="CE559" s="76">
        <f>IF($AB559="Currently special serv","Currently Specially Serviced",IF($AB559="Returned to master serv","Previously Specially Serviced","Never Specially Serviced"))</f>
        <v/>
      </c>
      <c r="CF559" s="78">
        <f>IF($CE559="Currently Specially Serviced",1,0)</f>
        <v/>
      </c>
      <c r="CG559" s="76">
        <f>IF($AA559="Yes","Currently on Watchlist",IF($AA559="Previously","Previously on Watchlist","Never on Watchlist"))</f>
        <v/>
      </c>
      <c r="CH559" s="78">
        <f>IF($CG559="Currently on Watchlist",1,0)</f>
        <v/>
      </c>
      <c r="CI559" s="76">
        <f>IF($Z559="Full Defeasance","Fully Defeased",IF($Z559="Portion Of Loan Previously Defeased","Partially Defeased",IF($Z559="Defeasance Not Allowable","Not Defeased (Not Permitted)","Not Defeased")))</f>
        <v/>
      </c>
      <c r="CJ559" s="78">
        <f>IF($CI559="Fully Defeased",1,0)</f>
        <v/>
      </c>
      <c r="CK559" s="76">
        <f>IF($R559="IO","Full IO",IF(LEFT($R559&amp;"",7)="IO then","Partial IO","Amortizing"))</f>
        <v/>
      </c>
      <c r="CL559" s="78">
        <f>IF($CK559="Full IO",1,0)</f>
        <v/>
      </c>
      <c r="CM559" s="78">
        <f>IF($CK559="Partial IO",1,0)</f>
        <v/>
      </c>
      <c r="CN559" s="76">
        <f>IF(LEFT($F559&amp;"",10)="SPLIT_LOAN","Pari Passu Split","Standalone")</f>
        <v/>
      </c>
      <c r="CO559" s="78">
        <f>IF($CN559="Pari Passu Split",1,0)</f>
        <v/>
      </c>
      <c r="CP559" s="77">
        <f>IF(ISNUMBER($T559),YEAR($T559),"")</f>
        <v/>
      </c>
      <c r="CQ559" s="79">
        <f>IF(ISNUMBER($V559),$V559,IF(ISNUMBER($U559),$U559,""))</f>
        <v/>
      </c>
      <c r="CR559" s="77">
        <f>IF(ISNUMBER($CQ559),YEAR($CQ559),"")</f>
        <v/>
      </c>
      <c r="CS559" s="78">
        <f>IF(ISNUMBER($M559),MAX(0,$M559),IF(TRIM($M559&amp;"")="matured",0,""))</f>
        <v/>
      </c>
      <c r="CT559" s="78">
        <f>IF(AND(ISNUMBER($CS559),N($CS559)&lt;=mMatWindow),1,0)</f>
        <v/>
      </c>
      <c r="CU559" s="80">
        <f>IF(ISNUMBER($J559),$J559/100,"")</f>
        <v/>
      </c>
      <c r="CV559" s="81">
        <f>IF(ISNUMBER($AQ559),$AQ559,"")</f>
        <v/>
      </c>
      <c r="CW559" s="81">
        <f>IF(ISNUMBER($AR559),$AR559,"")</f>
        <v/>
      </c>
      <c r="CX559" s="82">
        <f>IF(ISNUMBER($AS559),$AS559/100,"")</f>
        <v/>
      </c>
      <c r="CY559" s="82">
        <f>IF(ISNUMBER($AT559),$AT559/100,"")</f>
        <v/>
      </c>
      <c r="CZ559" s="82">
        <f>IF(ISNUMBER($AU559),$AU559/100,"")</f>
        <v/>
      </c>
      <c r="DA559" s="82">
        <f>IF(ISNUMBER($AV559),$AV559/100,"")</f>
        <v/>
      </c>
      <c r="DB559" s="82">
        <f>IF(ISNUMBER($AW559),$AW559/100,"")</f>
        <v/>
      </c>
      <c r="DC559" s="82">
        <f>IF(ISNUMBER($AX559),$AX559/100,"")</f>
        <v/>
      </c>
      <c r="DD559" s="77">
        <f>IFERROR(VALUE(LEFT(TRIM($AO559&amp;""),4)),"")</f>
        <v/>
      </c>
      <c r="DE559" s="78">
        <f>IF(AND($BY559=1,$BX559=1,OR(fDeal="All Deals",$BU559=fDeal),OR(fEntity="All Entities",$BV559=fEntity),OR(fPType="All Property Types",$BZ559=fPType),OR(fDefeased="Include",$CJ559=0)),1,0)</f>
        <v/>
      </c>
      <c r="DF559" s="83">
        <f>$DE559*N($I559)</f>
        <v/>
      </c>
      <c r="DG559" s="78">
        <f>IF($DE559=1,IF(COUNTIFS($F$8:$F559,$F559,$DE$8:$DE559,1)=1,1,0),0)</f>
        <v/>
      </c>
      <c r="DH559" s="83">
        <f>IF($DG559=1,SUMIFS($DF$8:$DF$1600,$F$8:$F$1600,$F559),0)</f>
        <v/>
      </c>
      <c r="DI559" s="78">
        <f>IF($DG559=1,COUNTIFS($F$8:$F$1600,$F559,$DE$8:$DE$1600,1),0)</f>
        <v/>
      </c>
      <c r="DJ559" s="84">
        <f>IF($DG559=1,$DH559+(100000-ROW())/mTieBreak,0)</f>
        <v/>
      </c>
    </row>
    <row r="560">
      <c r="B560" s="68" t="n">
        <v>37</v>
      </c>
      <c r="C560" s="69" t="inlineStr">
        <is>
          <t>WFC19C49</t>
        </is>
      </c>
      <c r="D560" s="69" t="inlineStr">
        <is>
          <t>37.000</t>
        </is>
      </c>
      <c r="E560" s="69" t="inlineStr">
        <is>
          <t>Jewel-Osco Elgin</t>
        </is>
      </c>
      <c r="F560" s="69" t="inlineStr">
        <is>
          <t>LNWFC19C49-37.000</t>
        </is>
      </c>
      <c r="G560" s="70" t="n"/>
      <c r="H560" s="71" t="n">
        <v>7600000</v>
      </c>
      <c r="I560" s="71" t="n">
        <v>7600000</v>
      </c>
      <c r="J560" s="72" t="n">
        <v>4.95</v>
      </c>
      <c r="K560" s="69" t="inlineStr">
        <is>
          <t>Fixed rate</t>
        </is>
      </c>
      <c r="L560" s="68" t="n">
        <v>120</v>
      </c>
      <c r="M560" s="68" t="n">
        <v>29</v>
      </c>
      <c r="N560" s="68" t="n">
        <v>120</v>
      </c>
      <c r="O560" s="68" t="n">
        <v>120</v>
      </c>
      <c r="P560" s="68" t="n">
        <v>29</v>
      </c>
      <c r="Q560" s="68" t="n">
        <v>91</v>
      </c>
      <c r="R560" s="69" t="inlineStr">
        <is>
          <t>IO</t>
        </is>
      </c>
      <c r="S560" s="69" t="inlineStr">
        <is>
          <t>Yes</t>
        </is>
      </c>
      <c r="T560" s="73" t="n">
        <v>43497</v>
      </c>
      <c r="U560" s="73" t="n">
        <v>47155</v>
      </c>
      <c r="V560" s="73" t="n"/>
      <c r="W560" s="69" t="n"/>
      <c r="X560" s="69" t="inlineStr">
        <is>
          <t>Current</t>
        </is>
      </c>
      <c r="Y560" s="68" t="n"/>
      <c r="Z560" s="69" t="inlineStr">
        <is>
          <t>No Defeasance Occurred</t>
        </is>
      </c>
      <c r="AA560" s="69" t="n"/>
      <c r="AB560" s="69" t="inlineStr">
        <is>
          <t>Never special serv</t>
        </is>
      </c>
      <c r="AC560" s="73" t="n"/>
      <c r="AD560" s="69" t="n"/>
      <c r="AE560" s="69" t="n"/>
      <c r="AF560" s="69" t="inlineStr">
        <is>
          <t>IL</t>
        </is>
      </c>
      <c r="AG560" s="69" t="inlineStr">
        <is>
          <t>Elgin</t>
        </is>
      </c>
      <c r="AH560" s="69" t="inlineStr">
        <is>
          <t>Chicago-Naperville-Elgin, IL-IN</t>
        </is>
      </c>
      <c r="AI560" s="69" t="inlineStr">
        <is>
          <t>Midwest / Central East</t>
        </is>
      </c>
      <c r="AJ560" s="69" t="inlineStr">
        <is>
          <t>RT</t>
        </is>
      </c>
      <c r="AK560" s="69" t="inlineStr">
        <is>
          <t>Single Tenant</t>
        </is>
      </c>
      <c r="AL560" s="68" t="n">
        <v>1</v>
      </c>
      <c r="AM560" s="68" t="n"/>
      <c r="AN560" s="68" t="n">
        <v>69129</v>
      </c>
      <c r="AO560" s="69" t="inlineStr">
        <is>
          <t>1968</t>
        </is>
      </c>
      <c r="AP560" s="70" t="n">
        <v>2009</v>
      </c>
      <c r="AQ560" s="74" t="n">
        <v>2.2</v>
      </c>
      <c r="AR560" s="74" t="n">
        <v>2.38</v>
      </c>
      <c r="AS560" s="74" t="n">
        <v>51.4</v>
      </c>
      <c r="AT560" s="74" t="n">
        <v>51.35</v>
      </c>
      <c r="AU560" s="74" t="n">
        <v>51.4</v>
      </c>
      <c r="AV560" s="74" t="n">
        <v>11.066171053</v>
      </c>
      <c r="AW560" s="74" t="n">
        <v>11.930144737</v>
      </c>
      <c r="AX560" s="75" t="n">
        <v>100</v>
      </c>
      <c r="AY560" s="71" t="n">
        <v>14800000</v>
      </c>
      <c r="AZ560" s="71" t="n">
        <v>14800000</v>
      </c>
      <c r="BA560" s="71" t="n">
        <v>841029</v>
      </c>
      <c r="BB560" s="71" t="n">
        <v>453346</v>
      </c>
      <c r="BC560" s="69" t="inlineStr">
        <is>
          <t>Acquisition</t>
        </is>
      </c>
      <c r="BD560" s="69" t="inlineStr">
        <is>
          <t>N</t>
        </is>
      </c>
      <c r="BE560" s="71" t="n"/>
      <c r="BF560" s="71" t="n"/>
      <c r="BG560" s="71" t="n"/>
      <c r="BH560" s="71" t="n">
        <v>0</v>
      </c>
      <c r="BI560" s="71" t="n">
        <v>0</v>
      </c>
      <c r="BJ560" s="69" t="inlineStr">
        <is>
          <t>N</t>
        </is>
      </c>
      <c r="BK560" s="69" t="inlineStr">
        <is>
          <t>Jewel/OSCO</t>
        </is>
      </c>
      <c r="BL560" s="75" t="n">
        <v>100</v>
      </c>
      <c r="BM560" s="73" t="n">
        <v>50436</v>
      </c>
      <c r="BN560" s="69" t="inlineStr">
        <is>
          <t>Younok Ahn; James Ahn</t>
        </is>
      </c>
      <c r="BO560" s="69" t="inlineStr">
        <is>
          <t>RMF</t>
        </is>
      </c>
      <c r="BP560" s="69" t="inlineStr">
        <is>
          <t>TriMont Real Estate Advisors</t>
        </is>
      </c>
      <c r="BQ560" s="69" t="inlineStr">
        <is>
          <t>K-Star Asset Management LLC</t>
        </is>
      </c>
      <c r="BR560" s="69" t="n"/>
      <c r="BS560" s="73" t="n">
        <v>46276</v>
      </c>
      <c r="BU560" s="76">
        <f>IF($C560="","",IFERROR(INDEX(dmName,MATCH($C560,dmID,0)),"Unmapped"))</f>
        <v/>
      </c>
      <c r="BV560" s="76">
        <f>IF($C560="","",IFERROR(INDEX(dmEntity,MATCH($C560,dmID,0)),"Unmapped"))</f>
        <v/>
      </c>
      <c r="BW560" s="77">
        <f>IF($C560="","",IFERROR(INDEX(dmVintage,MATCH($C560,dmID,0)),""))</f>
        <v/>
      </c>
      <c r="BX560" s="78">
        <f>IFERROR(INDEX(dmInclude,MATCH($C560,dmID,0)),0)</f>
        <v/>
      </c>
      <c r="BY560" s="78">
        <f>IF(N($I560)&gt;0,1,0)</f>
        <v/>
      </c>
      <c r="BZ560" s="76">
        <f>IF($AJ560="","Other / Leased Fee",IFERROR(INDEX(mapPTGroup,MATCH(LEFT(TRIM($AJ560),2),mapPTCode,0)),"Other / Leased Fee"))</f>
        <v/>
      </c>
      <c r="CA560" s="76">
        <f>IF(TRIM($AF560&amp;"")="","NR",LEFT(TRIM($AF560),2))</f>
        <v/>
      </c>
      <c r="CB560" s="76">
        <f>IFERROR(LOOKUP(2,1/(LEFT(TRIM($AI560&amp;""),LEN(mapRegion))=mapRegion),mapRegion),"Not Reported")</f>
        <v/>
      </c>
      <c r="CC560" s="76">
        <f>IF($BY560=0,"",IF(TRIM($W560&amp;"")="REO","REO",IF(TRIM($W560&amp;"")="FC","Foreclosure",IF(TRIM($W560&amp;"")="90+","90+ Days Delinquent",IF(TRIM($W560&amp;"")="60","60 Days Delinquent",IF(TRIM($W560&amp;"")="30","30 Days Delinquent",IF($X560="Non-Performing Matured Balloon","Non-Performing Matured Balloon",IF(OR($X560="Late Payment But Less Than 30 Days Delinquent",LEFT($X560&amp;"",20)="Payment Not Received"),"Late / In Grace (&lt;30 Days)",IF($X560="Performing Matured Balloon","Performing Matured Balloon","Current")))))))))</f>
        <v/>
      </c>
      <c r="CD560" s="78">
        <f>IF(OR($CC560="REO",$CC560="Foreclosure",$CC560="90+ Days Delinquent",$CC560="60 Days Delinquent",$CC560="30 Days Delinquent",$CC560="Non-Performing Matured Balloon"),1,0)</f>
        <v/>
      </c>
      <c r="CE560" s="76">
        <f>IF($AB560="Currently special serv","Currently Specially Serviced",IF($AB560="Returned to master serv","Previously Specially Serviced","Never Specially Serviced"))</f>
        <v/>
      </c>
      <c r="CF560" s="78">
        <f>IF($CE560="Currently Specially Serviced",1,0)</f>
        <v/>
      </c>
      <c r="CG560" s="76">
        <f>IF($AA560="Yes","Currently on Watchlist",IF($AA560="Previously","Previously on Watchlist","Never on Watchlist"))</f>
        <v/>
      </c>
      <c r="CH560" s="78">
        <f>IF($CG560="Currently on Watchlist",1,0)</f>
        <v/>
      </c>
      <c r="CI560" s="76">
        <f>IF($Z560="Full Defeasance","Fully Defeased",IF($Z560="Portion Of Loan Previously Defeased","Partially Defeased",IF($Z560="Defeasance Not Allowable","Not Defeased (Not Permitted)","Not Defeased")))</f>
        <v/>
      </c>
      <c r="CJ560" s="78">
        <f>IF($CI560="Fully Defeased",1,0)</f>
        <v/>
      </c>
      <c r="CK560" s="76">
        <f>IF($R560="IO","Full IO",IF(LEFT($R560&amp;"",7)="IO then","Partial IO","Amortizing"))</f>
        <v/>
      </c>
      <c r="CL560" s="78">
        <f>IF($CK560="Full IO",1,0)</f>
        <v/>
      </c>
      <c r="CM560" s="78">
        <f>IF($CK560="Partial IO",1,0)</f>
        <v/>
      </c>
      <c r="CN560" s="76">
        <f>IF(LEFT($F560&amp;"",10)="SPLIT_LOAN","Pari Passu Split","Standalone")</f>
        <v/>
      </c>
      <c r="CO560" s="78">
        <f>IF($CN560="Pari Passu Split",1,0)</f>
        <v/>
      </c>
      <c r="CP560" s="77">
        <f>IF(ISNUMBER($T560),YEAR($T560),"")</f>
        <v/>
      </c>
      <c r="CQ560" s="79">
        <f>IF(ISNUMBER($V560),$V560,IF(ISNUMBER($U560),$U560,""))</f>
        <v/>
      </c>
      <c r="CR560" s="77">
        <f>IF(ISNUMBER($CQ560),YEAR($CQ560),"")</f>
        <v/>
      </c>
      <c r="CS560" s="78">
        <f>IF(ISNUMBER($M560),MAX(0,$M560),IF(TRIM($M560&amp;"")="matured",0,""))</f>
        <v/>
      </c>
      <c r="CT560" s="78">
        <f>IF(AND(ISNUMBER($CS560),N($CS560)&lt;=mMatWindow),1,0)</f>
        <v/>
      </c>
      <c r="CU560" s="80">
        <f>IF(ISNUMBER($J560),$J560/100,"")</f>
        <v/>
      </c>
      <c r="CV560" s="81">
        <f>IF(ISNUMBER($AQ560),$AQ560,"")</f>
        <v/>
      </c>
      <c r="CW560" s="81">
        <f>IF(ISNUMBER($AR560),$AR560,"")</f>
        <v/>
      </c>
      <c r="CX560" s="82">
        <f>IF(ISNUMBER($AS560),$AS560/100,"")</f>
        <v/>
      </c>
      <c r="CY560" s="82">
        <f>IF(ISNUMBER($AT560),$AT560/100,"")</f>
        <v/>
      </c>
      <c r="CZ560" s="82">
        <f>IF(ISNUMBER($AU560),$AU560/100,"")</f>
        <v/>
      </c>
      <c r="DA560" s="82">
        <f>IF(ISNUMBER($AV560),$AV560/100,"")</f>
        <v/>
      </c>
      <c r="DB560" s="82">
        <f>IF(ISNUMBER($AW560),$AW560/100,"")</f>
        <v/>
      </c>
      <c r="DC560" s="82">
        <f>IF(ISNUMBER($AX560),$AX560/100,"")</f>
        <v/>
      </c>
      <c r="DD560" s="77">
        <f>IFERROR(VALUE(LEFT(TRIM($AO560&amp;""),4)),"")</f>
        <v/>
      </c>
      <c r="DE560" s="78">
        <f>IF(AND($BY560=1,$BX560=1,OR(fDeal="All Deals",$BU560=fDeal),OR(fEntity="All Entities",$BV560=fEntity),OR(fPType="All Property Types",$BZ560=fPType),OR(fDefeased="Include",$CJ560=0)),1,0)</f>
        <v/>
      </c>
      <c r="DF560" s="83">
        <f>$DE560*N($I560)</f>
        <v/>
      </c>
      <c r="DG560" s="78">
        <f>IF($DE560=1,IF(COUNTIFS($F$8:$F560,$F560,$DE$8:$DE560,1)=1,1,0),0)</f>
        <v/>
      </c>
      <c r="DH560" s="83">
        <f>IF($DG560=1,SUMIFS($DF$8:$DF$1600,$F$8:$F$1600,$F560),0)</f>
        <v/>
      </c>
      <c r="DI560" s="78">
        <f>IF($DG560=1,COUNTIFS($F$8:$F$1600,$F560,$DE$8:$DE$1600,1),0)</f>
        <v/>
      </c>
      <c r="DJ560" s="84">
        <f>IF($DG560=1,$DH560+(100000-ROW())/mTieBreak,0)</f>
        <v/>
      </c>
    </row>
    <row r="561">
      <c r="B561" s="68" t="n">
        <v>38</v>
      </c>
      <c r="C561" s="69" t="inlineStr">
        <is>
          <t>WFC19C49</t>
        </is>
      </c>
      <c r="D561" s="69" t="inlineStr">
        <is>
          <t>38.000</t>
        </is>
      </c>
      <c r="E561" s="69" t="inlineStr">
        <is>
          <t>19501 South Santa Fe Avenue</t>
        </is>
      </c>
      <c r="F561" s="69" t="inlineStr">
        <is>
          <t>LNWFC19C49-38.000</t>
        </is>
      </c>
      <c r="G561" s="70" t="n"/>
      <c r="H561" s="71" t="n">
        <v>7500000</v>
      </c>
      <c r="I561" s="71" t="n">
        <v>7500000</v>
      </c>
      <c r="J561" s="72" t="n">
        <v>5.6</v>
      </c>
      <c r="K561" s="69" t="inlineStr">
        <is>
          <t>Fixed rate</t>
        </is>
      </c>
      <c r="L561" s="68" t="n">
        <v>120</v>
      </c>
      <c r="M561" s="68" t="n">
        <v>28</v>
      </c>
      <c r="N561" s="68" t="n">
        <v>120</v>
      </c>
      <c r="O561" s="68" t="n">
        <v>120</v>
      </c>
      <c r="P561" s="68" t="n">
        <v>28</v>
      </c>
      <c r="Q561" s="68" t="n">
        <v>92</v>
      </c>
      <c r="R561" s="69" t="inlineStr">
        <is>
          <t>IO</t>
        </is>
      </c>
      <c r="S561" s="69" t="inlineStr">
        <is>
          <t>Yes</t>
        </is>
      </c>
      <c r="T561" s="73" t="n">
        <v>43466</v>
      </c>
      <c r="U561" s="73" t="n">
        <v>47129</v>
      </c>
      <c r="V561" s="73" t="n"/>
      <c r="W561" s="69" t="n"/>
      <c r="X561" s="69" t="inlineStr">
        <is>
          <t>Current</t>
        </is>
      </c>
      <c r="Y561" s="68" t="n"/>
      <c r="Z561" s="69" t="inlineStr">
        <is>
          <t>No Defeasance Occurred</t>
        </is>
      </c>
      <c r="AA561" s="69" t="inlineStr">
        <is>
          <t>Previously</t>
        </is>
      </c>
      <c r="AB561" s="69" t="inlineStr">
        <is>
          <t>Never special serv</t>
        </is>
      </c>
      <c r="AC561" s="73" t="n"/>
      <c r="AD561" s="69" t="n"/>
      <c r="AE561" s="69" t="n"/>
      <c r="AF561" s="69" t="inlineStr">
        <is>
          <t>CA</t>
        </is>
      </c>
      <c r="AG561" s="69" t="inlineStr">
        <is>
          <t>Rancho Dominguez</t>
        </is>
      </c>
      <c r="AH561" s="69" t="inlineStr">
        <is>
          <t>Los Angeles-Long Beach-Anaheim, CA</t>
        </is>
      </c>
      <c r="AI561" s="69" t="inlineStr">
        <is>
          <t>West / Pacific South</t>
        </is>
      </c>
      <c r="AJ561" s="69" t="inlineStr">
        <is>
          <t>IN</t>
        </is>
      </c>
      <c r="AK561" s="69" t="inlineStr">
        <is>
          <t>Warehouse</t>
        </is>
      </c>
      <c r="AL561" s="68" t="n">
        <v>1</v>
      </c>
      <c r="AM561" s="68" t="n"/>
      <c r="AN561" s="68" t="n">
        <v>71250</v>
      </c>
      <c r="AO561" s="69" t="inlineStr">
        <is>
          <t>1957</t>
        </is>
      </c>
      <c r="AP561" s="70" t="n">
        <v>1985</v>
      </c>
      <c r="AQ561" s="74" t="n">
        <v>1.72</v>
      </c>
      <c r="AR561" s="74" t="n">
        <v>1.51</v>
      </c>
      <c r="AS561" s="74" t="n">
        <v>43.4</v>
      </c>
      <c r="AT561" s="74" t="n">
        <v>43.43</v>
      </c>
      <c r="AU561" s="74" t="n">
        <v>43.4</v>
      </c>
      <c r="AV561" s="74" t="n">
        <v>9.76544</v>
      </c>
      <c r="AW561" s="74" t="n">
        <v>8.4621388</v>
      </c>
      <c r="AX561" s="75" t="n">
        <v>100</v>
      </c>
      <c r="AY561" s="71" t="n">
        <v>17270000</v>
      </c>
      <c r="AZ561" s="71" t="n">
        <v>17270000</v>
      </c>
      <c r="BA561" s="71" t="n">
        <v>732408</v>
      </c>
      <c r="BB561" s="71" t="n">
        <v>320347.2</v>
      </c>
      <c r="BC561" s="69" t="inlineStr">
        <is>
          <t>Refinance</t>
        </is>
      </c>
      <c r="BD561" s="69" t="inlineStr">
        <is>
          <t>N</t>
        </is>
      </c>
      <c r="BE561" s="71" t="n"/>
      <c r="BF561" s="71" t="n"/>
      <c r="BG561" s="71" t="n"/>
      <c r="BH561" s="71" t="n">
        <v>0</v>
      </c>
      <c r="BI561" s="71" t="n">
        <v>0</v>
      </c>
      <c r="BJ561" s="69" t="inlineStr">
        <is>
          <t>N</t>
        </is>
      </c>
      <c r="BK561" s="69" t="inlineStr">
        <is>
          <t>General Petroleum Corp</t>
        </is>
      </c>
      <c r="BL561" s="75" t="n">
        <v>100</v>
      </c>
      <c r="BM561" s="73" t="n">
        <v>48944</v>
      </c>
      <c r="BN561" s="69" t="inlineStr">
        <is>
          <t>John A. Zar, Jr.</t>
        </is>
      </c>
      <c r="BO561" s="69" t="inlineStr">
        <is>
          <t>Wells Fargo</t>
        </is>
      </c>
      <c r="BP561" s="69" t="inlineStr">
        <is>
          <t>TriMont Real Estate Advisors</t>
        </is>
      </c>
      <c r="BQ561" s="69" t="inlineStr">
        <is>
          <t>K-Star Asset Management LLC</t>
        </is>
      </c>
      <c r="BR561" s="69" t="n"/>
      <c r="BS561" s="73" t="n">
        <v>46276</v>
      </c>
      <c r="BU561" s="76">
        <f>IF($C561="","",IFERROR(INDEX(dmName,MATCH($C561,dmID,0)),"Unmapped"))</f>
        <v/>
      </c>
      <c r="BV561" s="76">
        <f>IF($C561="","",IFERROR(INDEX(dmEntity,MATCH($C561,dmID,0)),"Unmapped"))</f>
        <v/>
      </c>
      <c r="BW561" s="77">
        <f>IF($C561="","",IFERROR(INDEX(dmVintage,MATCH($C561,dmID,0)),""))</f>
        <v/>
      </c>
      <c r="BX561" s="78">
        <f>IFERROR(INDEX(dmInclude,MATCH($C561,dmID,0)),0)</f>
        <v/>
      </c>
      <c r="BY561" s="78">
        <f>IF(N($I561)&gt;0,1,0)</f>
        <v/>
      </c>
      <c r="BZ561" s="76">
        <f>IF($AJ561="","Other / Leased Fee",IFERROR(INDEX(mapPTGroup,MATCH(LEFT(TRIM($AJ561),2),mapPTCode,0)),"Other / Leased Fee"))</f>
        <v/>
      </c>
      <c r="CA561" s="76">
        <f>IF(TRIM($AF561&amp;"")="","NR",LEFT(TRIM($AF561),2))</f>
        <v/>
      </c>
      <c r="CB561" s="76">
        <f>IFERROR(LOOKUP(2,1/(LEFT(TRIM($AI561&amp;""),LEN(mapRegion))=mapRegion),mapRegion),"Not Reported")</f>
        <v/>
      </c>
      <c r="CC561" s="76">
        <f>IF($BY561=0,"",IF(TRIM($W561&amp;"")="REO","REO",IF(TRIM($W561&amp;"")="FC","Foreclosure",IF(TRIM($W561&amp;"")="90+","90+ Days Delinquent",IF(TRIM($W561&amp;"")="60","60 Days Delinquent",IF(TRIM($W561&amp;"")="30","30 Days Delinquent",IF($X561="Non-Performing Matured Balloon","Non-Performing Matured Balloon",IF(OR($X561="Late Payment But Less Than 30 Days Delinquent",LEFT($X561&amp;"",20)="Payment Not Received"),"Late / In Grace (&lt;30 Days)",IF($X561="Performing Matured Balloon","Performing Matured Balloon","Current")))))))))</f>
        <v/>
      </c>
      <c r="CD561" s="78">
        <f>IF(OR($CC561="REO",$CC561="Foreclosure",$CC561="90+ Days Delinquent",$CC561="60 Days Delinquent",$CC561="30 Days Delinquent",$CC561="Non-Performing Matured Balloon"),1,0)</f>
        <v/>
      </c>
      <c r="CE561" s="76">
        <f>IF($AB561="Currently special serv","Currently Specially Serviced",IF($AB561="Returned to master serv","Previously Specially Serviced","Never Specially Serviced"))</f>
        <v/>
      </c>
      <c r="CF561" s="78">
        <f>IF($CE561="Currently Specially Serviced",1,0)</f>
        <v/>
      </c>
      <c r="CG561" s="76">
        <f>IF($AA561="Yes","Currently on Watchlist",IF($AA561="Previously","Previously on Watchlist","Never on Watchlist"))</f>
        <v/>
      </c>
      <c r="CH561" s="78">
        <f>IF($CG561="Currently on Watchlist",1,0)</f>
        <v/>
      </c>
      <c r="CI561" s="76">
        <f>IF($Z561="Full Defeasance","Fully Defeased",IF($Z561="Portion Of Loan Previously Defeased","Partially Defeased",IF($Z561="Defeasance Not Allowable","Not Defeased (Not Permitted)","Not Defeased")))</f>
        <v/>
      </c>
      <c r="CJ561" s="78">
        <f>IF($CI561="Fully Defeased",1,0)</f>
        <v/>
      </c>
      <c r="CK561" s="76">
        <f>IF($R561="IO","Full IO",IF(LEFT($R561&amp;"",7)="IO then","Partial IO","Amortizing"))</f>
        <v/>
      </c>
      <c r="CL561" s="78">
        <f>IF($CK561="Full IO",1,0)</f>
        <v/>
      </c>
      <c r="CM561" s="78">
        <f>IF($CK561="Partial IO",1,0)</f>
        <v/>
      </c>
      <c r="CN561" s="76">
        <f>IF(LEFT($F561&amp;"",10)="SPLIT_LOAN","Pari Passu Split","Standalone")</f>
        <v/>
      </c>
      <c r="CO561" s="78">
        <f>IF($CN561="Pari Passu Split",1,0)</f>
        <v/>
      </c>
      <c r="CP561" s="77">
        <f>IF(ISNUMBER($T561),YEAR($T561),"")</f>
        <v/>
      </c>
      <c r="CQ561" s="79">
        <f>IF(ISNUMBER($V561),$V561,IF(ISNUMBER($U561),$U561,""))</f>
        <v/>
      </c>
      <c r="CR561" s="77">
        <f>IF(ISNUMBER($CQ561),YEAR($CQ561),"")</f>
        <v/>
      </c>
      <c r="CS561" s="78">
        <f>IF(ISNUMBER($M561),MAX(0,$M561),IF(TRIM($M561&amp;"")="matured",0,""))</f>
        <v/>
      </c>
      <c r="CT561" s="78">
        <f>IF(AND(ISNUMBER($CS561),N($CS561)&lt;=mMatWindow),1,0)</f>
        <v/>
      </c>
      <c r="CU561" s="80">
        <f>IF(ISNUMBER($J561),$J561/100,"")</f>
        <v/>
      </c>
      <c r="CV561" s="81">
        <f>IF(ISNUMBER($AQ561),$AQ561,"")</f>
        <v/>
      </c>
      <c r="CW561" s="81">
        <f>IF(ISNUMBER($AR561),$AR561,"")</f>
        <v/>
      </c>
      <c r="CX561" s="82">
        <f>IF(ISNUMBER($AS561),$AS561/100,"")</f>
        <v/>
      </c>
      <c r="CY561" s="82">
        <f>IF(ISNUMBER($AT561),$AT561/100,"")</f>
        <v/>
      </c>
      <c r="CZ561" s="82">
        <f>IF(ISNUMBER($AU561),$AU561/100,"")</f>
        <v/>
      </c>
      <c r="DA561" s="82">
        <f>IF(ISNUMBER($AV561),$AV561/100,"")</f>
        <v/>
      </c>
      <c r="DB561" s="82">
        <f>IF(ISNUMBER($AW561),$AW561/100,"")</f>
        <v/>
      </c>
      <c r="DC561" s="82">
        <f>IF(ISNUMBER($AX561),$AX561/100,"")</f>
        <v/>
      </c>
      <c r="DD561" s="77">
        <f>IFERROR(VALUE(LEFT(TRIM($AO561&amp;""),4)),"")</f>
        <v/>
      </c>
      <c r="DE561" s="78">
        <f>IF(AND($BY561=1,$BX561=1,OR(fDeal="All Deals",$BU561=fDeal),OR(fEntity="All Entities",$BV561=fEntity),OR(fPType="All Property Types",$BZ561=fPType),OR(fDefeased="Include",$CJ561=0)),1,0)</f>
        <v/>
      </c>
      <c r="DF561" s="83">
        <f>$DE561*N($I561)</f>
        <v/>
      </c>
      <c r="DG561" s="78">
        <f>IF($DE561=1,IF(COUNTIFS($F$8:$F561,$F561,$DE$8:$DE561,1)=1,1,0),0)</f>
        <v/>
      </c>
      <c r="DH561" s="83">
        <f>IF($DG561=1,SUMIFS($DF$8:$DF$1600,$F$8:$F$1600,$F561),0)</f>
        <v/>
      </c>
      <c r="DI561" s="78">
        <f>IF($DG561=1,COUNTIFS($F$8:$F$1600,$F561,$DE$8:$DE$1600,1),0)</f>
        <v/>
      </c>
      <c r="DJ561" s="84">
        <f>IF($DG561=1,$DH561+(100000-ROW())/mTieBreak,0)</f>
        <v/>
      </c>
    </row>
    <row r="562">
      <c r="B562" s="68" t="n">
        <v>39</v>
      </c>
      <c r="C562" s="69" t="inlineStr">
        <is>
          <t>WFC19C49</t>
        </is>
      </c>
      <c r="D562" s="69" t="inlineStr">
        <is>
          <t>39.000</t>
        </is>
      </c>
      <c r="E562" s="69" t="inlineStr">
        <is>
          <t>Stoneridge III</t>
        </is>
      </c>
      <c r="F562" s="69" t="inlineStr">
        <is>
          <t>LNWFC19C49-39.000</t>
        </is>
      </c>
      <c r="G562" s="70" t="n"/>
      <c r="H562" s="71" t="n">
        <v>7150000</v>
      </c>
      <c r="I562" s="71" t="n">
        <v>6437405.070003049</v>
      </c>
      <c r="J562" s="72" t="n">
        <v>5.3</v>
      </c>
      <c r="K562" s="69" t="inlineStr">
        <is>
          <t>Fixed rate</t>
        </is>
      </c>
      <c r="L562" s="68" t="n">
        <v>120</v>
      </c>
      <c r="M562" s="68" t="n">
        <v>29</v>
      </c>
      <c r="N562" s="68" t="n">
        <v>372</v>
      </c>
      <c r="O562" s="68" t="n">
        <v>12</v>
      </c>
      <c r="P562" s="68" t="n">
        <v>0</v>
      </c>
      <c r="Q562" s="68" t="n">
        <v>91</v>
      </c>
      <c r="R562" s="69" t="inlineStr">
        <is>
          <t>IO then Amort</t>
        </is>
      </c>
      <c r="S562" s="69" t="inlineStr">
        <is>
          <t>No</t>
        </is>
      </c>
      <c r="T562" s="73" t="n">
        <v>43497</v>
      </c>
      <c r="U562" s="73" t="n">
        <v>47160</v>
      </c>
      <c r="V562" s="73" t="n"/>
      <c r="W562" s="69" t="n"/>
      <c r="X562" s="69" t="inlineStr">
        <is>
          <t>Current</t>
        </is>
      </c>
      <c r="Y562" s="68" t="n"/>
      <c r="Z562" s="69" t="inlineStr">
        <is>
          <t>No Defeasance Occurred</t>
        </is>
      </c>
      <c r="AA562" s="69" t="inlineStr">
        <is>
          <t>Previously</t>
        </is>
      </c>
      <c r="AB562" s="69" t="inlineStr">
        <is>
          <t>Never special serv</t>
        </is>
      </c>
      <c r="AC562" s="73" t="n"/>
      <c r="AD562" s="69" t="n"/>
      <c r="AE562" s="69" t="n"/>
      <c r="AF562" s="69" t="inlineStr">
        <is>
          <t>MI</t>
        </is>
      </c>
      <c r="AG562" s="69" t="inlineStr">
        <is>
          <t>Bloomfield Hills</t>
        </is>
      </c>
      <c r="AH562" s="69" t="inlineStr">
        <is>
          <t>Detroit-Warren-Dearborn, MI</t>
        </is>
      </c>
      <c r="AI562" s="69" t="inlineStr">
        <is>
          <t>Midwest / Central East</t>
        </is>
      </c>
      <c r="AJ562" s="69" t="inlineStr">
        <is>
          <t>OF</t>
        </is>
      </c>
      <c r="AK562" s="69" t="inlineStr">
        <is>
          <t>Suburban</t>
        </is>
      </c>
      <c r="AL562" s="68" t="n">
        <v>1</v>
      </c>
      <c r="AM562" s="68" t="n"/>
      <c r="AN562" s="68" t="n">
        <v>61096</v>
      </c>
      <c r="AO562" s="69" t="inlineStr">
        <is>
          <t>1984</t>
        </is>
      </c>
      <c r="AP562" s="70" t="n">
        <v>2015</v>
      </c>
      <c r="AQ562" s="74" t="n">
        <v>1.32</v>
      </c>
      <c r="AR562" s="74" t="n">
        <v>1.69</v>
      </c>
      <c r="AS562" s="74" t="n">
        <v>70.8</v>
      </c>
      <c r="AT562" s="74" t="n">
        <v>63.74</v>
      </c>
      <c r="AU562" s="74" t="n">
        <v>60.3</v>
      </c>
      <c r="AV562" s="74" t="n">
        <v>8.79779021</v>
      </c>
      <c r="AW562" s="74" t="n">
        <v>12.313049457</v>
      </c>
      <c r="AX562" s="75" t="n">
        <v>100</v>
      </c>
      <c r="AY562" s="71" t="n">
        <v>10100000</v>
      </c>
      <c r="AZ562" s="71" t="n">
        <v>10100000</v>
      </c>
      <c r="BA562" s="71" t="n">
        <v>629042</v>
      </c>
      <c r="BB562" s="71" t="n">
        <v>402619.78</v>
      </c>
      <c r="BC562" s="69" t="inlineStr">
        <is>
          <t>Refinance</t>
        </is>
      </c>
      <c r="BD562" s="69" t="inlineStr">
        <is>
          <t>N</t>
        </is>
      </c>
      <c r="BE562" s="71" t="n"/>
      <c r="BF562" s="71" t="n"/>
      <c r="BG562" s="71" t="n"/>
      <c r="BH562" s="71" t="n">
        <v>0</v>
      </c>
      <c r="BI562" s="71" t="n">
        <v>0</v>
      </c>
      <c r="BJ562" s="69" t="inlineStr">
        <is>
          <t>N</t>
        </is>
      </c>
      <c r="BK562" s="69" t="inlineStr">
        <is>
          <t>Megatron Equity Partners V  LLC</t>
        </is>
      </c>
      <c r="BL562" s="75" t="n">
        <v>20.97</v>
      </c>
      <c r="BM562" s="73" t="n">
        <v>47664</v>
      </c>
      <c r="BN562" s="69" t="inlineStr">
        <is>
          <t>David Kornbluth; Sherman Capital LLC; Cristal Family LLC; Fortbridge Realty LLC; Mark J. Goodman; Mark Siegel; Kenneth Marblestone and KB Lecap, Ltd.</t>
        </is>
      </c>
      <c r="BO562" s="69" t="inlineStr">
        <is>
          <t>CIII Capital</t>
        </is>
      </c>
      <c r="BP562" s="69" t="inlineStr">
        <is>
          <t>TriMont Real Estate Advisors</t>
        </is>
      </c>
      <c r="BQ562" s="69" t="inlineStr">
        <is>
          <t>K-Star Asset Management LLC</t>
        </is>
      </c>
      <c r="BR562" s="69" t="n"/>
      <c r="BS562" s="73" t="n">
        <v>46276</v>
      </c>
      <c r="BU562" s="76">
        <f>IF($C562="","",IFERROR(INDEX(dmName,MATCH($C562,dmID,0)),"Unmapped"))</f>
        <v/>
      </c>
      <c r="BV562" s="76">
        <f>IF($C562="","",IFERROR(INDEX(dmEntity,MATCH($C562,dmID,0)),"Unmapped"))</f>
        <v/>
      </c>
      <c r="BW562" s="77">
        <f>IF($C562="","",IFERROR(INDEX(dmVintage,MATCH($C562,dmID,0)),""))</f>
        <v/>
      </c>
      <c r="BX562" s="78">
        <f>IFERROR(INDEX(dmInclude,MATCH($C562,dmID,0)),0)</f>
        <v/>
      </c>
      <c r="BY562" s="78">
        <f>IF(N($I562)&gt;0,1,0)</f>
        <v/>
      </c>
      <c r="BZ562" s="76">
        <f>IF($AJ562="","Other / Leased Fee",IFERROR(INDEX(mapPTGroup,MATCH(LEFT(TRIM($AJ562),2),mapPTCode,0)),"Other / Leased Fee"))</f>
        <v/>
      </c>
      <c r="CA562" s="76">
        <f>IF(TRIM($AF562&amp;"")="","NR",LEFT(TRIM($AF562),2))</f>
        <v/>
      </c>
      <c r="CB562" s="76">
        <f>IFERROR(LOOKUP(2,1/(LEFT(TRIM($AI562&amp;""),LEN(mapRegion))=mapRegion),mapRegion),"Not Reported")</f>
        <v/>
      </c>
      <c r="CC562" s="76">
        <f>IF($BY562=0,"",IF(TRIM($W562&amp;"")="REO","REO",IF(TRIM($W562&amp;"")="FC","Foreclosure",IF(TRIM($W562&amp;"")="90+","90+ Days Delinquent",IF(TRIM($W562&amp;"")="60","60 Days Delinquent",IF(TRIM($W562&amp;"")="30","30 Days Delinquent",IF($X562="Non-Performing Matured Balloon","Non-Performing Matured Balloon",IF(OR($X562="Late Payment But Less Than 30 Days Delinquent",LEFT($X562&amp;"",20)="Payment Not Received"),"Late / In Grace (&lt;30 Days)",IF($X562="Performing Matured Balloon","Performing Matured Balloon","Current")))))))))</f>
        <v/>
      </c>
      <c r="CD562" s="78">
        <f>IF(OR($CC562="REO",$CC562="Foreclosure",$CC562="90+ Days Delinquent",$CC562="60 Days Delinquent",$CC562="30 Days Delinquent",$CC562="Non-Performing Matured Balloon"),1,0)</f>
        <v/>
      </c>
      <c r="CE562" s="76">
        <f>IF($AB562="Currently special serv","Currently Specially Serviced",IF($AB562="Returned to master serv","Previously Specially Serviced","Never Specially Serviced"))</f>
        <v/>
      </c>
      <c r="CF562" s="78">
        <f>IF($CE562="Currently Specially Serviced",1,0)</f>
        <v/>
      </c>
      <c r="CG562" s="76">
        <f>IF($AA562="Yes","Currently on Watchlist",IF($AA562="Previously","Previously on Watchlist","Never on Watchlist"))</f>
        <v/>
      </c>
      <c r="CH562" s="78">
        <f>IF($CG562="Currently on Watchlist",1,0)</f>
        <v/>
      </c>
      <c r="CI562" s="76">
        <f>IF($Z562="Full Defeasance","Fully Defeased",IF($Z562="Portion Of Loan Previously Defeased","Partially Defeased",IF($Z562="Defeasance Not Allowable","Not Defeased (Not Permitted)","Not Defeased")))</f>
        <v/>
      </c>
      <c r="CJ562" s="78">
        <f>IF($CI562="Fully Defeased",1,0)</f>
        <v/>
      </c>
      <c r="CK562" s="76">
        <f>IF($R562="IO","Full IO",IF(LEFT($R562&amp;"",7)="IO then","Partial IO","Amortizing"))</f>
        <v/>
      </c>
      <c r="CL562" s="78">
        <f>IF($CK562="Full IO",1,0)</f>
        <v/>
      </c>
      <c r="CM562" s="78">
        <f>IF($CK562="Partial IO",1,0)</f>
        <v/>
      </c>
      <c r="CN562" s="76">
        <f>IF(LEFT($F562&amp;"",10)="SPLIT_LOAN","Pari Passu Split","Standalone")</f>
        <v/>
      </c>
      <c r="CO562" s="78">
        <f>IF($CN562="Pari Passu Split",1,0)</f>
        <v/>
      </c>
      <c r="CP562" s="77">
        <f>IF(ISNUMBER($T562),YEAR($T562),"")</f>
        <v/>
      </c>
      <c r="CQ562" s="79">
        <f>IF(ISNUMBER($V562),$V562,IF(ISNUMBER($U562),$U562,""))</f>
        <v/>
      </c>
      <c r="CR562" s="77">
        <f>IF(ISNUMBER($CQ562),YEAR($CQ562),"")</f>
        <v/>
      </c>
      <c r="CS562" s="78">
        <f>IF(ISNUMBER($M562),MAX(0,$M562),IF(TRIM($M562&amp;"")="matured",0,""))</f>
        <v/>
      </c>
      <c r="CT562" s="78">
        <f>IF(AND(ISNUMBER($CS562),N($CS562)&lt;=mMatWindow),1,0)</f>
        <v/>
      </c>
      <c r="CU562" s="80">
        <f>IF(ISNUMBER($J562),$J562/100,"")</f>
        <v/>
      </c>
      <c r="CV562" s="81">
        <f>IF(ISNUMBER($AQ562),$AQ562,"")</f>
        <v/>
      </c>
      <c r="CW562" s="81">
        <f>IF(ISNUMBER($AR562),$AR562,"")</f>
        <v/>
      </c>
      <c r="CX562" s="82">
        <f>IF(ISNUMBER($AS562),$AS562/100,"")</f>
        <v/>
      </c>
      <c r="CY562" s="82">
        <f>IF(ISNUMBER($AT562),$AT562/100,"")</f>
        <v/>
      </c>
      <c r="CZ562" s="82">
        <f>IF(ISNUMBER($AU562),$AU562/100,"")</f>
        <v/>
      </c>
      <c r="DA562" s="82">
        <f>IF(ISNUMBER($AV562),$AV562/100,"")</f>
        <v/>
      </c>
      <c r="DB562" s="82">
        <f>IF(ISNUMBER($AW562),$AW562/100,"")</f>
        <v/>
      </c>
      <c r="DC562" s="82">
        <f>IF(ISNUMBER($AX562),$AX562/100,"")</f>
        <v/>
      </c>
      <c r="DD562" s="77">
        <f>IFERROR(VALUE(LEFT(TRIM($AO562&amp;""),4)),"")</f>
        <v/>
      </c>
      <c r="DE562" s="78">
        <f>IF(AND($BY562=1,$BX562=1,OR(fDeal="All Deals",$BU562=fDeal),OR(fEntity="All Entities",$BV562=fEntity),OR(fPType="All Property Types",$BZ562=fPType),OR(fDefeased="Include",$CJ562=0)),1,0)</f>
        <v/>
      </c>
      <c r="DF562" s="83">
        <f>$DE562*N($I562)</f>
        <v/>
      </c>
      <c r="DG562" s="78">
        <f>IF($DE562=1,IF(COUNTIFS($F$8:$F562,$F562,$DE$8:$DE562,1)=1,1,0),0)</f>
        <v/>
      </c>
      <c r="DH562" s="83">
        <f>IF($DG562=1,SUMIFS($DF$8:$DF$1600,$F$8:$F$1600,$F562),0)</f>
        <v/>
      </c>
      <c r="DI562" s="78">
        <f>IF($DG562=1,COUNTIFS($F$8:$F$1600,$F562,$DE$8:$DE$1600,1),0)</f>
        <v/>
      </c>
      <c r="DJ562" s="84">
        <f>IF($DG562=1,$DH562+(100000-ROW())/mTieBreak,0)</f>
        <v/>
      </c>
    </row>
    <row r="563">
      <c r="B563" s="68" t="n">
        <v>40</v>
      </c>
      <c r="C563" s="69" t="inlineStr">
        <is>
          <t>WFC19C49</t>
        </is>
      </c>
      <c r="D563" s="69" t="inlineStr">
        <is>
          <t>40.000</t>
        </is>
      </c>
      <c r="E563" s="69" t="inlineStr">
        <is>
          <t>East North Self Storage</t>
        </is>
      </c>
      <c r="F563" s="69" t="inlineStr">
        <is>
          <t>LNWFC19C49-40.000</t>
        </is>
      </c>
      <c r="G563" s="70" t="n"/>
      <c r="H563" s="71" t="n">
        <v>6750000</v>
      </c>
      <c r="I563" s="71" t="n">
        <v>6296673.590001</v>
      </c>
      <c r="J563" s="72" t="n">
        <v>5.48</v>
      </c>
      <c r="K563" s="69" t="inlineStr">
        <is>
          <t>Fixed rate</t>
        </is>
      </c>
      <c r="L563" s="68" t="n">
        <v>117</v>
      </c>
      <c r="M563" s="68" t="n">
        <v>24</v>
      </c>
      <c r="N563" s="68" t="n">
        <v>396</v>
      </c>
      <c r="O563" s="68" t="n">
        <v>36</v>
      </c>
      <c r="P563" s="68" t="n">
        <v>0</v>
      </c>
      <c r="Q563" s="68" t="n">
        <v>93</v>
      </c>
      <c r="R563" s="69" t="inlineStr">
        <is>
          <t>IO then Amort</t>
        </is>
      </c>
      <c r="S563" s="69" t="inlineStr">
        <is>
          <t>No</t>
        </is>
      </c>
      <c r="T563" s="73" t="n">
        <v>43435</v>
      </c>
      <c r="U563" s="73" t="n">
        <v>47002</v>
      </c>
      <c r="V563" s="73" t="n"/>
      <c r="W563" s="69" t="n"/>
      <c r="X563" s="69" t="inlineStr">
        <is>
          <t>Current</t>
        </is>
      </c>
      <c r="Y563" s="68" t="n"/>
      <c r="Z563" s="69" t="inlineStr">
        <is>
          <t>Full Defeasance</t>
        </is>
      </c>
      <c r="AA563" s="69" t="n"/>
      <c r="AB563" s="69" t="inlineStr">
        <is>
          <t>Never special serv</t>
        </is>
      </c>
      <c r="AC563" s="73" t="n"/>
      <c r="AD563" s="69" t="n"/>
      <c r="AE563" s="69" t="n"/>
      <c r="AF563" s="69" t="inlineStr">
        <is>
          <t>SC</t>
        </is>
      </c>
      <c r="AG563" s="69" t="inlineStr">
        <is>
          <t>Greenville</t>
        </is>
      </c>
      <c r="AH563" s="69" t="inlineStr">
        <is>
          <t>Greenville-Anderson-Greer, SC</t>
        </is>
      </c>
      <c r="AI563" s="69" t="inlineStr">
        <is>
          <t>South / Atlantic</t>
        </is>
      </c>
      <c r="AJ563" s="69" t="inlineStr">
        <is>
          <t>SS</t>
        </is>
      </c>
      <c r="AK563" s="69" t="n"/>
      <c r="AL563" s="68" t="n">
        <v>1</v>
      </c>
      <c r="AM563" s="68" t="n"/>
      <c r="AN563" s="68" t="n">
        <v>71425</v>
      </c>
      <c r="AO563" s="69" t="inlineStr">
        <is>
          <t>2000</t>
        </is>
      </c>
      <c r="AP563" s="70" t="n">
        <v>2000</v>
      </c>
      <c r="AQ563" s="74" t="n">
        <v>1.28</v>
      </c>
      <c r="AR563" s="74" t="n">
        <v>1.89</v>
      </c>
      <c r="AS563" s="74" t="n">
        <v>69.59999999999999</v>
      </c>
      <c r="AT563" s="74" t="n">
        <v>64.91</v>
      </c>
      <c r="AU563" s="74" t="n">
        <v>62.2</v>
      </c>
      <c r="AV563" s="74" t="n">
        <v>8.678859258999999</v>
      </c>
      <c r="AW563" s="74" t="n">
        <v>12.97395106</v>
      </c>
      <c r="AX563" s="75" t="n">
        <v>87</v>
      </c>
      <c r="AY563" s="71" t="n">
        <v>9700000</v>
      </c>
      <c r="AZ563" s="71" t="n">
        <v>9700000</v>
      </c>
      <c r="BA563" s="71" t="n">
        <v>585823</v>
      </c>
      <c r="BB563" s="71" t="n">
        <v>216572.45</v>
      </c>
      <c r="BC563" s="69" t="inlineStr">
        <is>
          <t>Acquisition</t>
        </is>
      </c>
      <c r="BD563" s="69" t="inlineStr">
        <is>
          <t>N</t>
        </is>
      </c>
      <c r="BE563" s="71" t="n"/>
      <c r="BF563" s="71" t="n"/>
      <c r="BG563" s="71" t="n"/>
      <c r="BH563" s="71" t="n">
        <v>0</v>
      </c>
      <c r="BI563" s="71" t="n">
        <v>0</v>
      </c>
      <c r="BJ563" s="69" t="inlineStr">
        <is>
          <t>N</t>
        </is>
      </c>
      <c r="BK563" s="69" t="n"/>
      <c r="BL563" s="75" t="n"/>
      <c r="BM563" s="73" t="n"/>
      <c r="BN563" s="69" t="inlineStr">
        <is>
          <t>Robert Moser</t>
        </is>
      </c>
      <c r="BO563" s="69" t="inlineStr">
        <is>
          <t>RMF</t>
        </is>
      </c>
      <c r="BP563" s="69" t="inlineStr">
        <is>
          <t>TriMont Real Estate Advisors</t>
        </is>
      </c>
      <c r="BQ563" s="69" t="inlineStr">
        <is>
          <t>K-Star Asset Management LLC</t>
        </is>
      </c>
      <c r="BR563" s="69" t="n"/>
      <c r="BS563" s="73" t="n">
        <v>46276</v>
      </c>
      <c r="BU563" s="76">
        <f>IF($C563="","",IFERROR(INDEX(dmName,MATCH($C563,dmID,0)),"Unmapped"))</f>
        <v/>
      </c>
      <c r="BV563" s="76">
        <f>IF($C563="","",IFERROR(INDEX(dmEntity,MATCH($C563,dmID,0)),"Unmapped"))</f>
        <v/>
      </c>
      <c r="BW563" s="77">
        <f>IF($C563="","",IFERROR(INDEX(dmVintage,MATCH($C563,dmID,0)),""))</f>
        <v/>
      </c>
      <c r="BX563" s="78">
        <f>IFERROR(INDEX(dmInclude,MATCH($C563,dmID,0)),0)</f>
        <v/>
      </c>
      <c r="BY563" s="78">
        <f>IF(N($I563)&gt;0,1,0)</f>
        <v/>
      </c>
      <c r="BZ563" s="76">
        <f>IF($AJ563="","Other / Leased Fee",IFERROR(INDEX(mapPTGroup,MATCH(LEFT(TRIM($AJ563),2),mapPTCode,0)),"Other / Leased Fee"))</f>
        <v/>
      </c>
      <c r="CA563" s="76">
        <f>IF(TRIM($AF563&amp;"")="","NR",LEFT(TRIM($AF563),2))</f>
        <v/>
      </c>
      <c r="CB563" s="76">
        <f>IFERROR(LOOKUP(2,1/(LEFT(TRIM($AI563&amp;""),LEN(mapRegion))=mapRegion),mapRegion),"Not Reported")</f>
        <v/>
      </c>
      <c r="CC563" s="76">
        <f>IF($BY563=0,"",IF(TRIM($W563&amp;"")="REO","REO",IF(TRIM($W563&amp;"")="FC","Foreclosure",IF(TRIM($W563&amp;"")="90+","90+ Days Delinquent",IF(TRIM($W563&amp;"")="60","60 Days Delinquent",IF(TRIM($W563&amp;"")="30","30 Days Delinquent",IF($X563="Non-Performing Matured Balloon","Non-Performing Matured Balloon",IF(OR($X563="Late Payment But Less Than 30 Days Delinquent",LEFT($X563&amp;"",20)="Payment Not Received"),"Late / In Grace (&lt;30 Days)",IF($X563="Performing Matured Balloon","Performing Matured Balloon","Current")))))))))</f>
        <v/>
      </c>
      <c r="CD563" s="78">
        <f>IF(OR($CC563="REO",$CC563="Foreclosure",$CC563="90+ Days Delinquent",$CC563="60 Days Delinquent",$CC563="30 Days Delinquent",$CC563="Non-Performing Matured Balloon"),1,0)</f>
        <v/>
      </c>
      <c r="CE563" s="76">
        <f>IF($AB563="Currently special serv","Currently Specially Serviced",IF($AB563="Returned to master serv","Previously Specially Serviced","Never Specially Serviced"))</f>
        <v/>
      </c>
      <c r="CF563" s="78">
        <f>IF($CE563="Currently Specially Serviced",1,0)</f>
        <v/>
      </c>
      <c r="CG563" s="76">
        <f>IF($AA563="Yes","Currently on Watchlist",IF($AA563="Previously","Previously on Watchlist","Never on Watchlist"))</f>
        <v/>
      </c>
      <c r="CH563" s="78">
        <f>IF($CG563="Currently on Watchlist",1,0)</f>
        <v/>
      </c>
      <c r="CI563" s="76">
        <f>IF($Z563="Full Defeasance","Fully Defeased",IF($Z563="Portion Of Loan Previously Defeased","Partially Defeased",IF($Z563="Defeasance Not Allowable","Not Defeased (Not Permitted)","Not Defeased")))</f>
        <v/>
      </c>
      <c r="CJ563" s="78">
        <f>IF($CI563="Fully Defeased",1,0)</f>
        <v/>
      </c>
      <c r="CK563" s="76">
        <f>IF($R563="IO","Full IO",IF(LEFT($R563&amp;"",7)="IO then","Partial IO","Amortizing"))</f>
        <v/>
      </c>
      <c r="CL563" s="78">
        <f>IF($CK563="Full IO",1,0)</f>
        <v/>
      </c>
      <c r="CM563" s="78">
        <f>IF($CK563="Partial IO",1,0)</f>
        <v/>
      </c>
      <c r="CN563" s="76">
        <f>IF(LEFT($F563&amp;"",10)="SPLIT_LOAN","Pari Passu Split","Standalone")</f>
        <v/>
      </c>
      <c r="CO563" s="78">
        <f>IF($CN563="Pari Passu Split",1,0)</f>
        <v/>
      </c>
      <c r="CP563" s="77">
        <f>IF(ISNUMBER($T563),YEAR($T563),"")</f>
        <v/>
      </c>
      <c r="CQ563" s="79">
        <f>IF(ISNUMBER($V563),$V563,IF(ISNUMBER($U563),$U563,""))</f>
        <v/>
      </c>
      <c r="CR563" s="77">
        <f>IF(ISNUMBER($CQ563),YEAR($CQ563),"")</f>
        <v/>
      </c>
      <c r="CS563" s="78">
        <f>IF(ISNUMBER($M563),MAX(0,$M563),IF(TRIM($M563&amp;"")="matured",0,""))</f>
        <v/>
      </c>
      <c r="CT563" s="78">
        <f>IF(AND(ISNUMBER($CS563),N($CS563)&lt;=mMatWindow),1,0)</f>
        <v/>
      </c>
      <c r="CU563" s="80">
        <f>IF(ISNUMBER($J563),$J563/100,"")</f>
        <v/>
      </c>
      <c r="CV563" s="81">
        <f>IF(ISNUMBER($AQ563),$AQ563,"")</f>
        <v/>
      </c>
      <c r="CW563" s="81">
        <f>IF(ISNUMBER($AR563),$AR563,"")</f>
        <v/>
      </c>
      <c r="CX563" s="82">
        <f>IF(ISNUMBER($AS563),$AS563/100,"")</f>
        <v/>
      </c>
      <c r="CY563" s="82">
        <f>IF(ISNUMBER($AT563),$AT563/100,"")</f>
        <v/>
      </c>
      <c r="CZ563" s="82">
        <f>IF(ISNUMBER($AU563),$AU563/100,"")</f>
        <v/>
      </c>
      <c r="DA563" s="82">
        <f>IF(ISNUMBER($AV563),$AV563/100,"")</f>
        <v/>
      </c>
      <c r="DB563" s="82">
        <f>IF(ISNUMBER($AW563),$AW563/100,"")</f>
        <v/>
      </c>
      <c r="DC563" s="82">
        <f>IF(ISNUMBER($AX563),$AX563/100,"")</f>
        <v/>
      </c>
      <c r="DD563" s="77">
        <f>IFERROR(VALUE(LEFT(TRIM($AO563&amp;""),4)),"")</f>
        <v/>
      </c>
      <c r="DE563" s="78">
        <f>IF(AND($BY563=1,$BX563=1,OR(fDeal="All Deals",$BU563=fDeal),OR(fEntity="All Entities",$BV563=fEntity),OR(fPType="All Property Types",$BZ563=fPType),OR(fDefeased="Include",$CJ563=0)),1,0)</f>
        <v/>
      </c>
      <c r="DF563" s="83">
        <f>$DE563*N($I563)</f>
        <v/>
      </c>
      <c r="DG563" s="78">
        <f>IF($DE563=1,IF(COUNTIFS($F$8:$F563,$F563,$DE$8:$DE563,1)=1,1,0),0)</f>
        <v/>
      </c>
      <c r="DH563" s="83">
        <f>IF($DG563=1,SUMIFS($DF$8:$DF$1600,$F$8:$F$1600,$F563),0)</f>
        <v/>
      </c>
      <c r="DI563" s="78">
        <f>IF($DG563=1,COUNTIFS($F$8:$F$1600,$F563,$DE$8:$DE$1600,1),0)</f>
        <v/>
      </c>
      <c r="DJ563" s="84">
        <f>IF($DG563=1,$DH563+(100000-ROW())/mTieBreak,0)</f>
        <v/>
      </c>
    </row>
    <row r="564">
      <c r="B564" s="68" t="n">
        <v>41</v>
      </c>
      <c r="C564" s="69" t="inlineStr">
        <is>
          <t>WFC19C49</t>
        </is>
      </c>
      <c r="D564" s="69" t="inlineStr">
        <is>
          <t>41.000</t>
        </is>
      </c>
      <c r="E564" s="69" t="inlineStr">
        <is>
          <t>Central Park Apartments</t>
        </is>
      </c>
      <c r="F564" s="69" t="inlineStr">
        <is>
          <t>LNWFC19C49-41.000</t>
        </is>
      </c>
      <c r="G564" s="70" t="n"/>
      <c r="H564" s="71" t="n">
        <v>6375000</v>
      </c>
      <c r="I564" s="71" t="n">
        <v>5952447.130001625</v>
      </c>
      <c r="J564" s="72" t="n">
        <v>5.55</v>
      </c>
      <c r="K564" s="69" t="inlineStr">
        <is>
          <t>Fixed rate</t>
        </is>
      </c>
      <c r="L564" s="68" t="n">
        <v>120</v>
      </c>
      <c r="M564" s="68" t="n">
        <v>27</v>
      </c>
      <c r="N564" s="68" t="n">
        <v>396</v>
      </c>
      <c r="O564" s="68" t="n">
        <v>36</v>
      </c>
      <c r="P564" s="68" t="n">
        <v>0</v>
      </c>
      <c r="Q564" s="68" t="n">
        <v>93</v>
      </c>
      <c r="R564" s="69" t="inlineStr">
        <is>
          <t>IO then Amort</t>
        </is>
      </c>
      <c r="S564" s="69" t="inlineStr">
        <is>
          <t>No</t>
        </is>
      </c>
      <c r="T564" s="73" t="n">
        <v>43435</v>
      </c>
      <c r="U564" s="73" t="n">
        <v>47093</v>
      </c>
      <c r="V564" s="73" t="n"/>
      <c r="W564" s="69" t="n"/>
      <c r="X564" s="69" t="inlineStr">
        <is>
          <t>Current</t>
        </is>
      </c>
      <c r="Y564" s="68" t="n"/>
      <c r="Z564" s="69" t="inlineStr">
        <is>
          <t>Full Defeasance</t>
        </is>
      </c>
      <c r="AA564" s="69" t="n"/>
      <c r="AB564" s="69" t="inlineStr">
        <is>
          <t>Never special serv</t>
        </is>
      </c>
      <c r="AC564" s="73" t="n"/>
      <c r="AD564" s="69" t="n"/>
      <c r="AE564" s="69" t="n"/>
      <c r="AF564" s="69" t="inlineStr">
        <is>
          <t>MI</t>
        </is>
      </c>
      <c r="AG564" s="69" t="inlineStr">
        <is>
          <t>Detroit</t>
        </is>
      </c>
      <c r="AH564" s="69" t="inlineStr">
        <is>
          <t>Detroit-Warren-Dearborn, MI</t>
        </is>
      </c>
      <c r="AI564" s="69" t="inlineStr">
        <is>
          <t>Midwest / Central East</t>
        </is>
      </c>
      <c r="AJ564" s="69" t="inlineStr">
        <is>
          <t>MF</t>
        </is>
      </c>
      <c r="AK564" s="69" t="inlineStr">
        <is>
          <t>Garden</t>
        </is>
      </c>
      <c r="AL564" s="68" t="n">
        <v>1</v>
      </c>
      <c r="AM564" s="68" t="n">
        <v>92</v>
      </c>
      <c r="AN564" s="68" t="n"/>
      <c r="AO564" s="69" t="inlineStr">
        <is>
          <t>1963</t>
        </is>
      </c>
      <c r="AP564" s="70" t="n">
        <v>2017</v>
      </c>
      <c r="AQ564" s="74" t="n">
        <v>1.37</v>
      </c>
      <c r="AR564" s="74" t="n">
        <v>1.39</v>
      </c>
      <c r="AS564" s="74" t="n">
        <v>52.7</v>
      </c>
      <c r="AT564" s="74" t="n">
        <v>49.19</v>
      </c>
      <c r="AU564" s="74" t="n">
        <v>47.2</v>
      </c>
      <c r="AV564" s="74" t="n">
        <v>9.406821804</v>
      </c>
      <c r="AW564" s="74" t="n">
        <v>8.039706856</v>
      </c>
      <c r="AX564" s="75" t="n">
        <v>98</v>
      </c>
      <c r="AY564" s="71" t="n">
        <v>12100000</v>
      </c>
      <c r="AZ564" s="71" t="n">
        <v>12100000</v>
      </c>
      <c r="BA564" s="71" t="n">
        <v>599684.89</v>
      </c>
      <c r="BB564" s="71" t="n">
        <v>454021.78</v>
      </c>
      <c r="BC564" s="69" t="inlineStr">
        <is>
          <t>Refinance</t>
        </is>
      </c>
      <c r="BD564" s="69" t="inlineStr">
        <is>
          <t>N</t>
        </is>
      </c>
      <c r="BE564" s="71" t="n"/>
      <c r="BF564" s="71" t="n"/>
      <c r="BG564" s="71" t="n"/>
      <c r="BH564" s="71" t="n">
        <v>0</v>
      </c>
      <c r="BI564" s="71" t="n">
        <v>0</v>
      </c>
      <c r="BJ564" s="69" t="inlineStr">
        <is>
          <t>N</t>
        </is>
      </c>
      <c r="BK564" s="69" t="n"/>
      <c r="BL564" s="75" t="n"/>
      <c r="BM564" s="73" t="n"/>
      <c r="BN564" s="69" t="inlineStr">
        <is>
          <t>John Beale</t>
        </is>
      </c>
      <c r="BO564" s="69" t="inlineStr">
        <is>
          <t>Ladder Capital Finance</t>
        </is>
      </c>
      <c r="BP564" s="69" t="inlineStr">
        <is>
          <t>TriMont Real Estate Advisors</t>
        </is>
      </c>
      <c r="BQ564" s="69" t="inlineStr">
        <is>
          <t>K-Star Asset Management LLC</t>
        </is>
      </c>
      <c r="BR564" s="69" t="n"/>
      <c r="BS564" s="73" t="n">
        <v>46276</v>
      </c>
      <c r="BU564" s="76">
        <f>IF($C564="","",IFERROR(INDEX(dmName,MATCH($C564,dmID,0)),"Unmapped"))</f>
        <v/>
      </c>
      <c r="BV564" s="76">
        <f>IF($C564="","",IFERROR(INDEX(dmEntity,MATCH($C564,dmID,0)),"Unmapped"))</f>
        <v/>
      </c>
      <c r="BW564" s="77">
        <f>IF($C564="","",IFERROR(INDEX(dmVintage,MATCH($C564,dmID,0)),""))</f>
        <v/>
      </c>
      <c r="BX564" s="78">
        <f>IFERROR(INDEX(dmInclude,MATCH($C564,dmID,0)),0)</f>
        <v/>
      </c>
      <c r="BY564" s="78">
        <f>IF(N($I564)&gt;0,1,0)</f>
        <v/>
      </c>
      <c r="BZ564" s="76">
        <f>IF($AJ564="","Other / Leased Fee",IFERROR(INDEX(mapPTGroup,MATCH(LEFT(TRIM($AJ564),2),mapPTCode,0)),"Other / Leased Fee"))</f>
        <v/>
      </c>
      <c r="CA564" s="76">
        <f>IF(TRIM($AF564&amp;"")="","NR",LEFT(TRIM($AF564),2))</f>
        <v/>
      </c>
      <c r="CB564" s="76">
        <f>IFERROR(LOOKUP(2,1/(LEFT(TRIM($AI564&amp;""),LEN(mapRegion))=mapRegion),mapRegion),"Not Reported")</f>
        <v/>
      </c>
      <c r="CC564" s="76">
        <f>IF($BY564=0,"",IF(TRIM($W564&amp;"")="REO","REO",IF(TRIM($W564&amp;"")="FC","Foreclosure",IF(TRIM($W564&amp;"")="90+","90+ Days Delinquent",IF(TRIM($W564&amp;"")="60","60 Days Delinquent",IF(TRIM($W564&amp;"")="30","30 Days Delinquent",IF($X564="Non-Performing Matured Balloon","Non-Performing Matured Balloon",IF(OR($X564="Late Payment But Less Than 30 Days Delinquent",LEFT($X564&amp;"",20)="Payment Not Received"),"Late / In Grace (&lt;30 Days)",IF($X564="Performing Matured Balloon","Performing Matured Balloon","Current")))))))))</f>
        <v/>
      </c>
      <c r="CD564" s="78">
        <f>IF(OR($CC564="REO",$CC564="Foreclosure",$CC564="90+ Days Delinquent",$CC564="60 Days Delinquent",$CC564="30 Days Delinquent",$CC564="Non-Performing Matured Balloon"),1,0)</f>
        <v/>
      </c>
      <c r="CE564" s="76">
        <f>IF($AB564="Currently special serv","Currently Specially Serviced",IF($AB564="Returned to master serv","Previously Specially Serviced","Never Specially Serviced"))</f>
        <v/>
      </c>
      <c r="CF564" s="78">
        <f>IF($CE564="Currently Specially Serviced",1,0)</f>
        <v/>
      </c>
      <c r="CG564" s="76">
        <f>IF($AA564="Yes","Currently on Watchlist",IF($AA564="Previously","Previously on Watchlist","Never on Watchlist"))</f>
        <v/>
      </c>
      <c r="CH564" s="78">
        <f>IF($CG564="Currently on Watchlist",1,0)</f>
        <v/>
      </c>
      <c r="CI564" s="76">
        <f>IF($Z564="Full Defeasance","Fully Defeased",IF($Z564="Portion Of Loan Previously Defeased","Partially Defeased",IF($Z564="Defeasance Not Allowable","Not Defeased (Not Permitted)","Not Defeased")))</f>
        <v/>
      </c>
      <c r="CJ564" s="78">
        <f>IF($CI564="Fully Defeased",1,0)</f>
        <v/>
      </c>
      <c r="CK564" s="76">
        <f>IF($R564="IO","Full IO",IF(LEFT($R564&amp;"",7)="IO then","Partial IO","Amortizing"))</f>
        <v/>
      </c>
      <c r="CL564" s="78">
        <f>IF($CK564="Full IO",1,0)</f>
        <v/>
      </c>
      <c r="CM564" s="78">
        <f>IF($CK564="Partial IO",1,0)</f>
        <v/>
      </c>
      <c r="CN564" s="76">
        <f>IF(LEFT($F564&amp;"",10)="SPLIT_LOAN","Pari Passu Split","Standalone")</f>
        <v/>
      </c>
      <c r="CO564" s="78">
        <f>IF($CN564="Pari Passu Split",1,0)</f>
        <v/>
      </c>
      <c r="CP564" s="77">
        <f>IF(ISNUMBER($T564),YEAR($T564),"")</f>
        <v/>
      </c>
      <c r="CQ564" s="79">
        <f>IF(ISNUMBER($V564),$V564,IF(ISNUMBER($U564),$U564,""))</f>
        <v/>
      </c>
      <c r="CR564" s="77">
        <f>IF(ISNUMBER($CQ564),YEAR($CQ564),"")</f>
        <v/>
      </c>
      <c r="CS564" s="78">
        <f>IF(ISNUMBER($M564),MAX(0,$M564),IF(TRIM($M564&amp;"")="matured",0,""))</f>
        <v/>
      </c>
      <c r="CT564" s="78">
        <f>IF(AND(ISNUMBER($CS564),N($CS564)&lt;=mMatWindow),1,0)</f>
        <v/>
      </c>
      <c r="CU564" s="80">
        <f>IF(ISNUMBER($J564),$J564/100,"")</f>
        <v/>
      </c>
      <c r="CV564" s="81">
        <f>IF(ISNUMBER($AQ564),$AQ564,"")</f>
        <v/>
      </c>
      <c r="CW564" s="81">
        <f>IF(ISNUMBER($AR564),$AR564,"")</f>
        <v/>
      </c>
      <c r="CX564" s="82">
        <f>IF(ISNUMBER($AS564),$AS564/100,"")</f>
        <v/>
      </c>
      <c r="CY564" s="82">
        <f>IF(ISNUMBER($AT564),$AT564/100,"")</f>
        <v/>
      </c>
      <c r="CZ564" s="82">
        <f>IF(ISNUMBER($AU564),$AU564/100,"")</f>
        <v/>
      </c>
      <c r="DA564" s="82">
        <f>IF(ISNUMBER($AV564),$AV564/100,"")</f>
        <v/>
      </c>
      <c r="DB564" s="82">
        <f>IF(ISNUMBER($AW564),$AW564/100,"")</f>
        <v/>
      </c>
      <c r="DC564" s="82">
        <f>IF(ISNUMBER($AX564),$AX564/100,"")</f>
        <v/>
      </c>
      <c r="DD564" s="77">
        <f>IFERROR(VALUE(LEFT(TRIM($AO564&amp;""),4)),"")</f>
        <v/>
      </c>
      <c r="DE564" s="78">
        <f>IF(AND($BY564=1,$BX564=1,OR(fDeal="All Deals",$BU564=fDeal),OR(fEntity="All Entities",$BV564=fEntity),OR(fPType="All Property Types",$BZ564=fPType),OR(fDefeased="Include",$CJ564=0)),1,0)</f>
        <v/>
      </c>
      <c r="DF564" s="83">
        <f>$DE564*N($I564)</f>
        <v/>
      </c>
      <c r="DG564" s="78">
        <f>IF($DE564=1,IF(COUNTIFS($F$8:$F564,$F564,$DE$8:$DE564,1)=1,1,0),0)</f>
        <v/>
      </c>
      <c r="DH564" s="83">
        <f>IF($DG564=1,SUMIFS($DF$8:$DF$1600,$F$8:$F$1600,$F564),0)</f>
        <v/>
      </c>
      <c r="DI564" s="78">
        <f>IF($DG564=1,COUNTIFS($F$8:$F$1600,$F564,$DE$8:$DE$1600,1),0)</f>
        <v/>
      </c>
      <c r="DJ564" s="84">
        <f>IF($DG564=1,$DH564+(100000-ROW())/mTieBreak,0)</f>
        <v/>
      </c>
    </row>
    <row r="565">
      <c r="B565" s="68" t="n">
        <v>42</v>
      </c>
      <c r="C565" s="69" t="inlineStr">
        <is>
          <t>WFC19C49</t>
        </is>
      </c>
      <c r="D565" s="69" t="inlineStr">
        <is>
          <t>42.000</t>
        </is>
      </c>
      <c r="E565" s="69" t="inlineStr">
        <is>
          <t>Hampton Inn Brevard</t>
        </is>
      </c>
      <c r="F565" s="69" t="inlineStr">
        <is>
          <t>LNWFC19C49-42.000</t>
        </is>
      </c>
      <c r="G565" s="70" t="n"/>
      <c r="H565" s="71" t="n">
        <v>6100000</v>
      </c>
      <c r="I565" s="71" t="n">
        <v>5051977.380001501</v>
      </c>
      <c r="J565" s="72" t="n">
        <v>5.35</v>
      </c>
      <c r="K565" s="69" t="inlineStr">
        <is>
          <t>Fixed rate</t>
        </is>
      </c>
      <c r="L565" s="68" t="n">
        <v>120</v>
      </c>
      <c r="M565" s="68" t="n">
        <v>29</v>
      </c>
      <c r="N565" s="68" t="n">
        <v>300</v>
      </c>
      <c r="O565" s="68" t="n"/>
      <c r="P565" s="68" t="n"/>
      <c r="Q565" s="68" t="n">
        <v>91</v>
      </c>
      <c r="R565" s="69" t="n"/>
      <c r="S565" s="69" t="inlineStr">
        <is>
          <t>No</t>
        </is>
      </c>
      <c r="T565" s="73" t="n">
        <v>43497</v>
      </c>
      <c r="U565" s="73" t="n">
        <v>47155</v>
      </c>
      <c r="V565" s="73" t="n"/>
      <c r="W565" s="69" t="n"/>
      <c r="X565" s="69" t="inlineStr">
        <is>
          <t>Current</t>
        </is>
      </c>
      <c r="Y565" s="68" t="n"/>
      <c r="Z565" s="69" t="inlineStr">
        <is>
          <t>No Defeasance Occurred</t>
        </is>
      </c>
      <c r="AA565" s="69" t="inlineStr">
        <is>
          <t>Previously</t>
        </is>
      </c>
      <c r="AB565" s="69" t="inlineStr">
        <is>
          <t>Never special serv</t>
        </is>
      </c>
      <c r="AC565" s="73" t="n"/>
      <c r="AD565" s="69" t="n"/>
      <c r="AE565" s="69" t="n"/>
      <c r="AF565" s="69" t="inlineStr">
        <is>
          <t>NC</t>
        </is>
      </c>
      <c r="AG565" s="69" t="inlineStr">
        <is>
          <t>Pisgah Forest</t>
        </is>
      </c>
      <c r="AH565" s="69" t="inlineStr">
        <is>
          <t>Brevard, NC</t>
        </is>
      </c>
      <c r="AI565" s="69" t="inlineStr">
        <is>
          <t>South / Atlantic</t>
        </is>
      </c>
      <c r="AJ565" s="69" t="inlineStr">
        <is>
          <t>HT</t>
        </is>
      </c>
      <c r="AK565" s="69" t="inlineStr">
        <is>
          <t>Limited Service</t>
        </is>
      </c>
      <c r="AL565" s="68" t="n">
        <v>1</v>
      </c>
      <c r="AM565" s="68" t="n">
        <v>80</v>
      </c>
      <c r="AN565" s="68" t="n"/>
      <c r="AO565" s="69" t="inlineStr">
        <is>
          <t>1996</t>
        </is>
      </c>
      <c r="AP565" s="70" t="n">
        <v>2018</v>
      </c>
      <c r="AQ565" s="74" t="n">
        <v>1.55</v>
      </c>
      <c r="AR565" s="74" t="n">
        <v>1.73</v>
      </c>
      <c r="AS565" s="74" t="n">
        <v>59.1</v>
      </c>
      <c r="AT565" s="74" t="n">
        <v>49.05</v>
      </c>
      <c r="AU565" s="74" t="n">
        <v>44.8</v>
      </c>
      <c r="AV565" s="74" t="n">
        <v>11.28142623</v>
      </c>
      <c r="AW565" s="74" t="n">
        <v>18.264064159</v>
      </c>
      <c r="AX565" s="75" t="n">
        <v>61</v>
      </c>
      <c r="AY565" s="71" t="n">
        <v>10300000</v>
      </c>
      <c r="AZ565" s="71" t="n">
        <v>10300000</v>
      </c>
      <c r="BA565" s="71" t="n">
        <v>688167</v>
      </c>
      <c r="BB565" s="71" t="n">
        <v>767399.6899999999</v>
      </c>
      <c r="BC565" s="69" t="inlineStr">
        <is>
          <t>Refinance</t>
        </is>
      </c>
      <c r="BD565" s="69" t="inlineStr">
        <is>
          <t>N</t>
        </is>
      </c>
      <c r="BE565" s="71" t="n"/>
      <c r="BF565" s="71" t="n"/>
      <c r="BG565" s="71" t="n"/>
      <c r="BH565" s="71" t="n">
        <v>0</v>
      </c>
      <c r="BI565" s="71" t="n">
        <v>0</v>
      </c>
      <c r="BJ565" s="69" t="inlineStr">
        <is>
          <t>Y</t>
        </is>
      </c>
      <c r="BK565" s="69" t="n"/>
      <c r="BL565" s="75" t="n"/>
      <c r="BM565" s="73" t="n"/>
      <c r="BN565" s="69" t="inlineStr">
        <is>
          <t>Layton R. Parker; Khadijah S. Gillani</t>
        </is>
      </c>
      <c r="BO565" s="69" t="inlineStr">
        <is>
          <t>RMF</t>
        </is>
      </c>
      <c r="BP565" s="69" t="inlineStr">
        <is>
          <t>TriMont Real Estate Advisors</t>
        </is>
      </c>
      <c r="BQ565" s="69" t="inlineStr">
        <is>
          <t>K-Star Asset Management LLC</t>
        </is>
      </c>
      <c r="BR565" s="69" t="n"/>
      <c r="BS565" s="73" t="n">
        <v>46276</v>
      </c>
      <c r="BU565" s="76">
        <f>IF($C565="","",IFERROR(INDEX(dmName,MATCH($C565,dmID,0)),"Unmapped"))</f>
        <v/>
      </c>
      <c r="BV565" s="76">
        <f>IF($C565="","",IFERROR(INDEX(dmEntity,MATCH($C565,dmID,0)),"Unmapped"))</f>
        <v/>
      </c>
      <c r="BW565" s="77">
        <f>IF($C565="","",IFERROR(INDEX(dmVintage,MATCH($C565,dmID,0)),""))</f>
        <v/>
      </c>
      <c r="BX565" s="78">
        <f>IFERROR(INDEX(dmInclude,MATCH($C565,dmID,0)),0)</f>
        <v/>
      </c>
      <c r="BY565" s="78">
        <f>IF(N($I565)&gt;0,1,0)</f>
        <v/>
      </c>
      <c r="BZ565" s="76">
        <f>IF($AJ565="","Other / Leased Fee",IFERROR(INDEX(mapPTGroup,MATCH(LEFT(TRIM($AJ565),2),mapPTCode,0)),"Other / Leased Fee"))</f>
        <v/>
      </c>
      <c r="CA565" s="76">
        <f>IF(TRIM($AF565&amp;"")="","NR",LEFT(TRIM($AF565),2))</f>
        <v/>
      </c>
      <c r="CB565" s="76">
        <f>IFERROR(LOOKUP(2,1/(LEFT(TRIM($AI565&amp;""),LEN(mapRegion))=mapRegion),mapRegion),"Not Reported")</f>
        <v/>
      </c>
      <c r="CC565" s="76">
        <f>IF($BY565=0,"",IF(TRIM($W565&amp;"")="REO","REO",IF(TRIM($W565&amp;"")="FC","Foreclosure",IF(TRIM($W565&amp;"")="90+","90+ Days Delinquent",IF(TRIM($W565&amp;"")="60","60 Days Delinquent",IF(TRIM($W565&amp;"")="30","30 Days Delinquent",IF($X565="Non-Performing Matured Balloon","Non-Performing Matured Balloon",IF(OR($X565="Late Payment But Less Than 30 Days Delinquent",LEFT($X565&amp;"",20)="Payment Not Received"),"Late / In Grace (&lt;30 Days)",IF($X565="Performing Matured Balloon","Performing Matured Balloon","Current")))))))))</f>
        <v/>
      </c>
      <c r="CD565" s="78">
        <f>IF(OR($CC565="REO",$CC565="Foreclosure",$CC565="90+ Days Delinquent",$CC565="60 Days Delinquent",$CC565="30 Days Delinquent",$CC565="Non-Performing Matured Balloon"),1,0)</f>
        <v/>
      </c>
      <c r="CE565" s="76">
        <f>IF($AB565="Currently special serv","Currently Specially Serviced",IF($AB565="Returned to master serv","Previously Specially Serviced","Never Specially Serviced"))</f>
        <v/>
      </c>
      <c r="CF565" s="78">
        <f>IF($CE565="Currently Specially Serviced",1,0)</f>
        <v/>
      </c>
      <c r="CG565" s="76">
        <f>IF($AA565="Yes","Currently on Watchlist",IF($AA565="Previously","Previously on Watchlist","Never on Watchlist"))</f>
        <v/>
      </c>
      <c r="CH565" s="78">
        <f>IF($CG565="Currently on Watchlist",1,0)</f>
        <v/>
      </c>
      <c r="CI565" s="76">
        <f>IF($Z565="Full Defeasance","Fully Defeased",IF($Z565="Portion Of Loan Previously Defeased","Partially Defeased",IF($Z565="Defeasance Not Allowable","Not Defeased (Not Permitted)","Not Defeased")))</f>
        <v/>
      </c>
      <c r="CJ565" s="78">
        <f>IF($CI565="Fully Defeased",1,0)</f>
        <v/>
      </c>
      <c r="CK565" s="76">
        <f>IF($R565="IO","Full IO",IF(LEFT($R565&amp;"",7)="IO then","Partial IO","Amortizing"))</f>
        <v/>
      </c>
      <c r="CL565" s="78">
        <f>IF($CK565="Full IO",1,0)</f>
        <v/>
      </c>
      <c r="CM565" s="78">
        <f>IF($CK565="Partial IO",1,0)</f>
        <v/>
      </c>
      <c r="CN565" s="76">
        <f>IF(LEFT($F565&amp;"",10)="SPLIT_LOAN","Pari Passu Split","Standalone")</f>
        <v/>
      </c>
      <c r="CO565" s="78">
        <f>IF($CN565="Pari Passu Split",1,0)</f>
        <v/>
      </c>
      <c r="CP565" s="77">
        <f>IF(ISNUMBER($T565),YEAR($T565),"")</f>
        <v/>
      </c>
      <c r="CQ565" s="79">
        <f>IF(ISNUMBER($V565),$V565,IF(ISNUMBER($U565),$U565,""))</f>
        <v/>
      </c>
      <c r="CR565" s="77">
        <f>IF(ISNUMBER($CQ565),YEAR($CQ565),"")</f>
        <v/>
      </c>
      <c r="CS565" s="78">
        <f>IF(ISNUMBER($M565),MAX(0,$M565),IF(TRIM($M565&amp;"")="matured",0,""))</f>
        <v/>
      </c>
      <c r="CT565" s="78">
        <f>IF(AND(ISNUMBER($CS565),N($CS565)&lt;=mMatWindow),1,0)</f>
        <v/>
      </c>
      <c r="CU565" s="80">
        <f>IF(ISNUMBER($J565),$J565/100,"")</f>
        <v/>
      </c>
      <c r="CV565" s="81">
        <f>IF(ISNUMBER($AQ565),$AQ565,"")</f>
        <v/>
      </c>
      <c r="CW565" s="81">
        <f>IF(ISNUMBER($AR565),$AR565,"")</f>
        <v/>
      </c>
      <c r="CX565" s="82">
        <f>IF(ISNUMBER($AS565),$AS565/100,"")</f>
        <v/>
      </c>
      <c r="CY565" s="82">
        <f>IF(ISNUMBER($AT565),$AT565/100,"")</f>
        <v/>
      </c>
      <c r="CZ565" s="82">
        <f>IF(ISNUMBER($AU565),$AU565/100,"")</f>
        <v/>
      </c>
      <c r="DA565" s="82">
        <f>IF(ISNUMBER($AV565),$AV565/100,"")</f>
        <v/>
      </c>
      <c r="DB565" s="82">
        <f>IF(ISNUMBER($AW565),$AW565/100,"")</f>
        <v/>
      </c>
      <c r="DC565" s="82">
        <f>IF(ISNUMBER($AX565),$AX565/100,"")</f>
        <v/>
      </c>
      <c r="DD565" s="77">
        <f>IFERROR(VALUE(LEFT(TRIM($AO565&amp;""),4)),"")</f>
        <v/>
      </c>
      <c r="DE565" s="78">
        <f>IF(AND($BY565=1,$BX565=1,OR(fDeal="All Deals",$BU565=fDeal),OR(fEntity="All Entities",$BV565=fEntity),OR(fPType="All Property Types",$BZ565=fPType),OR(fDefeased="Include",$CJ565=0)),1,0)</f>
        <v/>
      </c>
      <c r="DF565" s="83">
        <f>$DE565*N($I565)</f>
        <v/>
      </c>
      <c r="DG565" s="78">
        <f>IF($DE565=1,IF(COUNTIFS($F$8:$F565,$F565,$DE$8:$DE565,1)=1,1,0),0)</f>
        <v/>
      </c>
      <c r="DH565" s="83">
        <f>IF($DG565=1,SUMIFS($DF$8:$DF$1600,$F$8:$F$1600,$F565),0)</f>
        <v/>
      </c>
      <c r="DI565" s="78">
        <f>IF($DG565=1,COUNTIFS($F$8:$F$1600,$F565,$DE$8:$DE$1600,1),0)</f>
        <v/>
      </c>
      <c r="DJ565" s="84">
        <f>IF($DG565=1,$DH565+(100000-ROW())/mTieBreak,0)</f>
        <v/>
      </c>
    </row>
    <row r="566">
      <c r="B566" s="68" t="n">
        <v>43</v>
      </c>
      <c r="C566" s="69" t="inlineStr">
        <is>
          <t>WFC19C49</t>
        </is>
      </c>
      <c r="D566" s="69" t="inlineStr">
        <is>
          <t>43.000</t>
        </is>
      </c>
      <c r="E566" s="69" t="inlineStr">
        <is>
          <t>Too Much Self Storage</t>
        </is>
      </c>
      <c r="F566" s="69" t="inlineStr">
        <is>
          <t>LNWFC19C49-43.000</t>
        </is>
      </c>
      <c r="G566" s="70" t="n"/>
      <c r="H566" s="71" t="n">
        <v>6035000</v>
      </c>
      <c r="I566" s="71" t="n">
        <v>0</v>
      </c>
      <c r="J566" s="72" t="n">
        <v>5.21</v>
      </c>
      <c r="K566" s="69" t="inlineStr">
        <is>
          <t>Fixed rate</t>
        </is>
      </c>
      <c r="L566" s="68" t="n">
        <v>120</v>
      </c>
      <c r="M566" s="68" t="n"/>
      <c r="N566" s="68" t="n">
        <v>396</v>
      </c>
      <c r="O566" s="68" t="n">
        <v>36</v>
      </c>
      <c r="P566" s="68" t="n"/>
      <c r="Q566" s="68" t="n"/>
      <c r="R566" s="69" t="inlineStr">
        <is>
          <t>IO then Amort</t>
        </is>
      </c>
      <c r="S566" s="69" t="inlineStr">
        <is>
          <t>No</t>
        </is>
      </c>
      <c r="T566" s="73" t="n">
        <v>43466</v>
      </c>
      <c r="U566" s="73" t="n">
        <v>47129</v>
      </c>
      <c r="V566" s="73" t="n"/>
      <c r="W566" s="69" t="n"/>
      <c r="X566" s="69" t="inlineStr">
        <is>
          <t>Current</t>
        </is>
      </c>
      <c r="Y566" s="68" t="n"/>
      <c r="Z566" s="69" t="inlineStr">
        <is>
          <t>Defeasance Not Allowable</t>
        </is>
      </c>
      <c r="AA566" s="69" t="n"/>
      <c r="AB566" s="69" t="inlineStr">
        <is>
          <t>Never special serv</t>
        </is>
      </c>
      <c r="AC566" s="73" t="n"/>
      <c r="AD566" s="69" t="n"/>
      <c r="AE566" s="69" t="n"/>
      <c r="AF566" s="69" t="inlineStr">
        <is>
          <t>AR</t>
        </is>
      </c>
      <c r="AG566" s="69" t="inlineStr">
        <is>
          <t>Little Rock</t>
        </is>
      </c>
      <c r="AH566" s="69" t="inlineStr">
        <is>
          <t>Little Rock-North Little Rock-Conway, AR</t>
        </is>
      </c>
      <c r="AI566" s="69" t="inlineStr">
        <is>
          <t>South / Central West</t>
        </is>
      </c>
      <c r="AJ566" s="69" t="inlineStr">
        <is>
          <t>SS</t>
        </is>
      </c>
      <c r="AK566" s="69" t="n"/>
      <c r="AL566" s="68" t="n">
        <v>1</v>
      </c>
      <c r="AM566" s="68" t="n"/>
      <c r="AN566" s="68" t="n">
        <v>75500</v>
      </c>
      <c r="AO566" s="69" t="inlineStr">
        <is>
          <t>2002</t>
        </is>
      </c>
      <c r="AP566" s="70" t="n">
        <v>2002</v>
      </c>
      <c r="AQ566" s="74" t="n">
        <v>1.37</v>
      </c>
      <c r="AR566" s="74" t="n">
        <v>1.93</v>
      </c>
      <c r="AS566" s="74" t="n">
        <v>72.3</v>
      </c>
      <c r="AT566" s="74" t="n"/>
      <c r="AU566" s="74" t="n">
        <v>64.3</v>
      </c>
      <c r="AV566" s="74" t="n">
        <v>9.039451532999999</v>
      </c>
      <c r="AW566" s="74" t="n"/>
      <c r="AX566" s="75" t="n">
        <v>85.04000000000001</v>
      </c>
      <c r="AY566" s="71" t="n">
        <v>8350000</v>
      </c>
      <c r="AZ566" s="71" t="n">
        <v>8350000</v>
      </c>
      <c r="BA566" s="71" t="n">
        <v>545530.9</v>
      </c>
      <c r="BB566" s="71" t="n">
        <v>384809.12</v>
      </c>
      <c r="BC566" s="69" t="inlineStr">
        <is>
          <t>Acquisition</t>
        </is>
      </c>
      <c r="BD566" s="69" t="inlineStr">
        <is>
          <t>N</t>
        </is>
      </c>
      <c r="BE566" s="71" t="n"/>
      <c r="BF566" s="71" t="n"/>
      <c r="BG566" s="71" t="n"/>
      <c r="BH566" s="71" t="n">
        <v>0</v>
      </c>
      <c r="BI566" s="71" t="n">
        <v>0</v>
      </c>
      <c r="BJ566" s="69" t="inlineStr">
        <is>
          <t>N</t>
        </is>
      </c>
      <c r="BK566" s="69" t="n"/>
      <c r="BL566" s="75" t="n"/>
      <c r="BM566" s="73" t="n"/>
      <c r="BN566" s="69" t="inlineStr">
        <is>
          <t>Jacob Ramage</t>
        </is>
      </c>
      <c r="BO566" s="69" t="inlineStr">
        <is>
          <t>Wells Fargo</t>
        </is>
      </c>
      <c r="BP566" s="69" t="inlineStr">
        <is>
          <t>TriMont Real Estate Advisors</t>
        </is>
      </c>
      <c r="BQ566" s="69" t="inlineStr">
        <is>
          <t>K-Star Asset Management LLC</t>
        </is>
      </c>
      <c r="BR566" s="69" t="inlineStr">
        <is>
          <t>Payoff With Yield Maintenance</t>
        </is>
      </c>
      <c r="BS566" s="73" t="n">
        <v>46002</v>
      </c>
      <c r="BU566" s="76">
        <f>IF($C566="","",IFERROR(INDEX(dmName,MATCH($C566,dmID,0)),"Unmapped"))</f>
        <v/>
      </c>
      <c r="BV566" s="76">
        <f>IF($C566="","",IFERROR(INDEX(dmEntity,MATCH($C566,dmID,0)),"Unmapped"))</f>
        <v/>
      </c>
      <c r="BW566" s="77">
        <f>IF($C566="","",IFERROR(INDEX(dmVintage,MATCH($C566,dmID,0)),""))</f>
        <v/>
      </c>
      <c r="BX566" s="78">
        <f>IFERROR(INDEX(dmInclude,MATCH($C566,dmID,0)),0)</f>
        <v/>
      </c>
      <c r="BY566" s="78">
        <f>IF(N($I566)&gt;0,1,0)</f>
        <v/>
      </c>
      <c r="BZ566" s="76">
        <f>IF($AJ566="","Other / Leased Fee",IFERROR(INDEX(mapPTGroup,MATCH(LEFT(TRIM($AJ566),2),mapPTCode,0)),"Other / Leased Fee"))</f>
        <v/>
      </c>
      <c r="CA566" s="76">
        <f>IF(TRIM($AF566&amp;"")="","NR",LEFT(TRIM($AF566),2))</f>
        <v/>
      </c>
      <c r="CB566" s="76">
        <f>IFERROR(LOOKUP(2,1/(LEFT(TRIM($AI566&amp;""),LEN(mapRegion))=mapRegion),mapRegion),"Not Reported")</f>
        <v/>
      </c>
      <c r="CC566" s="76">
        <f>IF($BY566=0,"",IF(TRIM($W566&amp;"")="REO","REO",IF(TRIM($W566&amp;"")="FC","Foreclosure",IF(TRIM($W566&amp;"")="90+","90+ Days Delinquent",IF(TRIM($W566&amp;"")="60","60 Days Delinquent",IF(TRIM($W566&amp;"")="30","30 Days Delinquent",IF($X566="Non-Performing Matured Balloon","Non-Performing Matured Balloon",IF(OR($X566="Late Payment But Less Than 30 Days Delinquent",LEFT($X566&amp;"",20)="Payment Not Received"),"Late / In Grace (&lt;30 Days)",IF($X566="Performing Matured Balloon","Performing Matured Balloon","Current")))))))))</f>
        <v/>
      </c>
      <c r="CD566" s="78">
        <f>IF(OR($CC566="REO",$CC566="Foreclosure",$CC566="90+ Days Delinquent",$CC566="60 Days Delinquent",$CC566="30 Days Delinquent",$CC566="Non-Performing Matured Balloon"),1,0)</f>
        <v/>
      </c>
      <c r="CE566" s="76">
        <f>IF($AB566="Currently special serv","Currently Specially Serviced",IF($AB566="Returned to master serv","Previously Specially Serviced","Never Specially Serviced"))</f>
        <v/>
      </c>
      <c r="CF566" s="78">
        <f>IF($CE566="Currently Specially Serviced",1,0)</f>
        <v/>
      </c>
      <c r="CG566" s="76">
        <f>IF($AA566="Yes","Currently on Watchlist",IF($AA566="Previously","Previously on Watchlist","Never on Watchlist"))</f>
        <v/>
      </c>
      <c r="CH566" s="78">
        <f>IF($CG566="Currently on Watchlist",1,0)</f>
        <v/>
      </c>
      <c r="CI566" s="76">
        <f>IF($Z566="Full Defeasance","Fully Defeased",IF($Z566="Portion Of Loan Previously Defeased","Partially Defeased",IF($Z566="Defeasance Not Allowable","Not Defeased (Not Permitted)","Not Defeased")))</f>
        <v/>
      </c>
      <c r="CJ566" s="78">
        <f>IF($CI566="Fully Defeased",1,0)</f>
        <v/>
      </c>
      <c r="CK566" s="76">
        <f>IF($R566="IO","Full IO",IF(LEFT($R566&amp;"",7)="IO then","Partial IO","Amortizing"))</f>
        <v/>
      </c>
      <c r="CL566" s="78">
        <f>IF($CK566="Full IO",1,0)</f>
        <v/>
      </c>
      <c r="CM566" s="78">
        <f>IF($CK566="Partial IO",1,0)</f>
        <v/>
      </c>
      <c r="CN566" s="76">
        <f>IF(LEFT($F566&amp;"",10)="SPLIT_LOAN","Pari Passu Split","Standalone")</f>
        <v/>
      </c>
      <c r="CO566" s="78">
        <f>IF($CN566="Pari Passu Split",1,0)</f>
        <v/>
      </c>
      <c r="CP566" s="77">
        <f>IF(ISNUMBER($T566),YEAR($T566),"")</f>
        <v/>
      </c>
      <c r="CQ566" s="79">
        <f>IF(ISNUMBER($V566),$V566,IF(ISNUMBER($U566),$U566,""))</f>
        <v/>
      </c>
      <c r="CR566" s="77">
        <f>IF(ISNUMBER($CQ566),YEAR($CQ566),"")</f>
        <v/>
      </c>
      <c r="CS566" s="78">
        <f>IF(ISNUMBER($M566),MAX(0,$M566),IF(TRIM($M566&amp;"")="matured",0,""))</f>
        <v/>
      </c>
      <c r="CT566" s="78">
        <f>IF(AND(ISNUMBER($CS566),N($CS566)&lt;=mMatWindow),1,0)</f>
        <v/>
      </c>
      <c r="CU566" s="80">
        <f>IF(ISNUMBER($J566),$J566/100,"")</f>
        <v/>
      </c>
      <c r="CV566" s="81">
        <f>IF(ISNUMBER($AQ566),$AQ566,"")</f>
        <v/>
      </c>
      <c r="CW566" s="81">
        <f>IF(ISNUMBER($AR566),$AR566,"")</f>
        <v/>
      </c>
      <c r="CX566" s="82">
        <f>IF(ISNUMBER($AS566),$AS566/100,"")</f>
        <v/>
      </c>
      <c r="CY566" s="82">
        <f>IF(ISNUMBER($AT566),$AT566/100,"")</f>
        <v/>
      </c>
      <c r="CZ566" s="82">
        <f>IF(ISNUMBER($AU566),$AU566/100,"")</f>
        <v/>
      </c>
      <c r="DA566" s="82">
        <f>IF(ISNUMBER($AV566),$AV566/100,"")</f>
        <v/>
      </c>
      <c r="DB566" s="82">
        <f>IF(ISNUMBER($AW566),$AW566/100,"")</f>
        <v/>
      </c>
      <c r="DC566" s="82">
        <f>IF(ISNUMBER($AX566),$AX566/100,"")</f>
        <v/>
      </c>
      <c r="DD566" s="77">
        <f>IFERROR(VALUE(LEFT(TRIM($AO566&amp;""),4)),"")</f>
        <v/>
      </c>
      <c r="DE566" s="78">
        <f>IF(AND($BY566=1,$BX566=1,OR(fDeal="All Deals",$BU566=fDeal),OR(fEntity="All Entities",$BV566=fEntity),OR(fPType="All Property Types",$BZ566=fPType),OR(fDefeased="Include",$CJ566=0)),1,0)</f>
        <v/>
      </c>
      <c r="DF566" s="83">
        <f>$DE566*N($I566)</f>
        <v/>
      </c>
      <c r="DG566" s="78">
        <f>IF($DE566=1,IF(COUNTIFS($F$8:$F566,$F566,$DE$8:$DE566,1)=1,1,0),0)</f>
        <v/>
      </c>
      <c r="DH566" s="83">
        <f>IF($DG566=1,SUMIFS($DF$8:$DF$1600,$F$8:$F$1600,$F566),0)</f>
        <v/>
      </c>
      <c r="DI566" s="78">
        <f>IF($DG566=1,COUNTIFS($F$8:$F$1600,$F566,$DE$8:$DE$1600,1),0)</f>
        <v/>
      </c>
      <c r="DJ566" s="84">
        <f>IF($DG566=1,$DH566+(100000-ROW())/mTieBreak,0)</f>
        <v/>
      </c>
    </row>
    <row r="567">
      <c r="B567" s="68" t="n">
        <v>44</v>
      </c>
      <c r="C567" s="69" t="inlineStr">
        <is>
          <t>WFC19C49</t>
        </is>
      </c>
      <c r="D567" s="69" t="inlineStr">
        <is>
          <t>44.000</t>
        </is>
      </c>
      <c r="E567" s="69" t="inlineStr">
        <is>
          <t>Shadow Glen Apartments</t>
        </is>
      </c>
      <c r="F567" s="69" t="inlineStr">
        <is>
          <t>LNWFC19C49-44.000</t>
        </is>
      </c>
      <c r="G567" s="70" t="n"/>
      <c r="H567" s="71" t="n">
        <v>6000000</v>
      </c>
      <c r="I567" s="71" t="n">
        <v>5609556.340002</v>
      </c>
      <c r="J567" s="72" t="n">
        <v>5.55</v>
      </c>
      <c r="K567" s="69" t="inlineStr">
        <is>
          <t>Fixed rate</t>
        </is>
      </c>
      <c r="L567" s="68" t="n">
        <v>120</v>
      </c>
      <c r="M567" s="68" t="n">
        <v>28</v>
      </c>
      <c r="N567" s="68" t="n">
        <v>396</v>
      </c>
      <c r="O567" s="68" t="n">
        <v>36</v>
      </c>
      <c r="P567" s="68" t="n">
        <v>0</v>
      </c>
      <c r="Q567" s="68" t="n">
        <v>92</v>
      </c>
      <c r="R567" s="69" t="inlineStr">
        <is>
          <t>IO then Amort</t>
        </is>
      </c>
      <c r="S567" s="69" t="inlineStr">
        <is>
          <t>No</t>
        </is>
      </c>
      <c r="T567" s="73" t="n">
        <v>43466</v>
      </c>
      <c r="U567" s="73" t="n">
        <v>47124</v>
      </c>
      <c r="V567" s="73" t="n"/>
      <c r="W567" s="69" t="n"/>
      <c r="X567" s="69" t="inlineStr">
        <is>
          <t>Current</t>
        </is>
      </c>
      <c r="Y567" s="68" t="n"/>
      <c r="Z567" s="69" t="inlineStr">
        <is>
          <t>No Defeasance Occurred</t>
        </is>
      </c>
      <c r="AA567" s="69" t="inlineStr">
        <is>
          <t>Previously</t>
        </is>
      </c>
      <c r="AB567" s="69" t="inlineStr">
        <is>
          <t>Never special serv</t>
        </is>
      </c>
      <c r="AC567" s="73" t="n"/>
      <c r="AD567" s="69" t="n"/>
      <c r="AE567" s="69" t="n"/>
      <c r="AF567" s="69" t="inlineStr">
        <is>
          <t>CA</t>
        </is>
      </c>
      <c r="AG567" s="69" t="inlineStr">
        <is>
          <t>Modesto</t>
        </is>
      </c>
      <c r="AH567" s="69" t="inlineStr">
        <is>
          <t>Modesto, CA</t>
        </is>
      </c>
      <c r="AI567" s="69" t="inlineStr">
        <is>
          <t>West / Pacific North</t>
        </is>
      </c>
      <c r="AJ567" s="69" t="inlineStr">
        <is>
          <t>MF</t>
        </is>
      </c>
      <c r="AK567" s="69" t="inlineStr">
        <is>
          <t>Garden</t>
        </is>
      </c>
      <c r="AL567" s="68" t="n">
        <v>1</v>
      </c>
      <c r="AM567" s="68" t="n">
        <v>51</v>
      </c>
      <c r="AN567" s="68" t="n"/>
      <c r="AO567" s="69" t="inlineStr">
        <is>
          <t>1987</t>
        </is>
      </c>
      <c r="AP567" s="70" t="n">
        <v>1987</v>
      </c>
      <c r="AQ567" s="74" t="n">
        <v>1.29</v>
      </c>
      <c r="AR567" s="74" t="n">
        <v>1.19</v>
      </c>
      <c r="AS567" s="74" t="n">
        <v>69.09999999999999</v>
      </c>
      <c r="AT567" s="74" t="n">
        <v>64.63</v>
      </c>
      <c r="AU567" s="74" t="n">
        <v>61.9</v>
      </c>
      <c r="AV567" s="74" t="n">
        <v>8.822850000000001</v>
      </c>
      <c r="AW567" s="74" t="n">
        <v>8.832174952000001</v>
      </c>
      <c r="AX567" s="75" t="n">
        <v>90</v>
      </c>
      <c r="AY567" s="71" t="n">
        <v>8680000</v>
      </c>
      <c r="AZ567" s="71" t="n">
        <v>8680000</v>
      </c>
      <c r="BA567" s="71" t="n">
        <v>529371</v>
      </c>
      <c r="BB567" s="71" t="n">
        <v>244568.85</v>
      </c>
      <c r="BC567" s="69" t="inlineStr">
        <is>
          <t>Refinance</t>
        </is>
      </c>
      <c r="BD567" s="69" t="inlineStr">
        <is>
          <t>N</t>
        </is>
      </c>
      <c r="BE567" s="71" t="n"/>
      <c r="BF567" s="71" t="n"/>
      <c r="BG567" s="71" t="n"/>
      <c r="BH567" s="71" t="n">
        <v>0</v>
      </c>
      <c r="BI567" s="71" t="n">
        <v>0</v>
      </c>
      <c r="BJ567" s="69" t="inlineStr">
        <is>
          <t>N</t>
        </is>
      </c>
      <c r="BK567" s="69" t="n"/>
      <c r="BL567" s="75" t="n"/>
      <c r="BM567" s="73" t="n"/>
      <c r="BN567" s="69" t="inlineStr">
        <is>
          <t>Randall P. Thomas</t>
        </is>
      </c>
      <c r="BO567" s="69" t="inlineStr">
        <is>
          <t>RMF</t>
        </is>
      </c>
      <c r="BP567" s="69" t="inlineStr">
        <is>
          <t>TriMont Real Estate Advisors</t>
        </is>
      </c>
      <c r="BQ567" s="69" t="inlineStr">
        <is>
          <t>K-Star Asset Management LLC</t>
        </is>
      </c>
      <c r="BR567" s="69" t="n"/>
      <c r="BS567" s="73" t="n">
        <v>46276</v>
      </c>
      <c r="BU567" s="76">
        <f>IF($C567="","",IFERROR(INDEX(dmName,MATCH($C567,dmID,0)),"Unmapped"))</f>
        <v/>
      </c>
      <c r="BV567" s="76">
        <f>IF($C567="","",IFERROR(INDEX(dmEntity,MATCH($C567,dmID,0)),"Unmapped"))</f>
        <v/>
      </c>
      <c r="BW567" s="77">
        <f>IF($C567="","",IFERROR(INDEX(dmVintage,MATCH($C567,dmID,0)),""))</f>
        <v/>
      </c>
      <c r="BX567" s="78">
        <f>IFERROR(INDEX(dmInclude,MATCH($C567,dmID,0)),0)</f>
        <v/>
      </c>
      <c r="BY567" s="78">
        <f>IF(N($I567)&gt;0,1,0)</f>
        <v/>
      </c>
      <c r="BZ567" s="76">
        <f>IF($AJ567="","Other / Leased Fee",IFERROR(INDEX(mapPTGroup,MATCH(LEFT(TRIM($AJ567),2),mapPTCode,0)),"Other / Leased Fee"))</f>
        <v/>
      </c>
      <c r="CA567" s="76">
        <f>IF(TRIM($AF567&amp;"")="","NR",LEFT(TRIM($AF567),2))</f>
        <v/>
      </c>
      <c r="CB567" s="76">
        <f>IFERROR(LOOKUP(2,1/(LEFT(TRIM($AI567&amp;""),LEN(mapRegion))=mapRegion),mapRegion),"Not Reported")</f>
        <v/>
      </c>
      <c r="CC567" s="76">
        <f>IF($BY567=0,"",IF(TRIM($W567&amp;"")="REO","REO",IF(TRIM($W567&amp;"")="FC","Foreclosure",IF(TRIM($W567&amp;"")="90+","90+ Days Delinquent",IF(TRIM($W567&amp;"")="60","60 Days Delinquent",IF(TRIM($W567&amp;"")="30","30 Days Delinquent",IF($X567="Non-Performing Matured Balloon","Non-Performing Matured Balloon",IF(OR($X567="Late Payment But Less Than 30 Days Delinquent",LEFT($X567&amp;"",20)="Payment Not Received"),"Late / In Grace (&lt;30 Days)",IF($X567="Performing Matured Balloon","Performing Matured Balloon","Current")))))))))</f>
        <v/>
      </c>
      <c r="CD567" s="78">
        <f>IF(OR($CC567="REO",$CC567="Foreclosure",$CC567="90+ Days Delinquent",$CC567="60 Days Delinquent",$CC567="30 Days Delinquent",$CC567="Non-Performing Matured Balloon"),1,0)</f>
        <v/>
      </c>
      <c r="CE567" s="76">
        <f>IF($AB567="Currently special serv","Currently Specially Serviced",IF($AB567="Returned to master serv","Previously Specially Serviced","Never Specially Serviced"))</f>
        <v/>
      </c>
      <c r="CF567" s="78">
        <f>IF($CE567="Currently Specially Serviced",1,0)</f>
        <v/>
      </c>
      <c r="CG567" s="76">
        <f>IF($AA567="Yes","Currently on Watchlist",IF($AA567="Previously","Previously on Watchlist","Never on Watchlist"))</f>
        <v/>
      </c>
      <c r="CH567" s="78">
        <f>IF($CG567="Currently on Watchlist",1,0)</f>
        <v/>
      </c>
      <c r="CI567" s="76">
        <f>IF($Z567="Full Defeasance","Fully Defeased",IF($Z567="Portion Of Loan Previously Defeased","Partially Defeased",IF($Z567="Defeasance Not Allowable","Not Defeased (Not Permitted)","Not Defeased")))</f>
        <v/>
      </c>
      <c r="CJ567" s="78">
        <f>IF($CI567="Fully Defeased",1,0)</f>
        <v/>
      </c>
      <c r="CK567" s="76">
        <f>IF($R567="IO","Full IO",IF(LEFT($R567&amp;"",7)="IO then","Partial IO","Amortizing"))</f>
        <v/>
      </c>
      <c r="CL567" s="78">
        <f>IF($CK567="Full IO",1,0)</f>
        <v/>
      </c>
      <c r="CM567" s="78">
        <f>IF($CK567="Partial IO",1,0)</f>
        <v/>
      </c>
      <c r="CN567" s="76">
        <f>IF(LEFT($F567&amp;"",10)="SPLIT_LOAN","Pari Passu Split","Standalone")</f>
        <v/>
      </c>
      <c r="CO567" s="78">
        <f>IF($CN567="Pari Passu Split",1,0)</f>
        <v/>
      </c>
      <c r="CP567" s="77">
        <f>IF(ISNUMBER($T567),YEAR($T567),"")</f>
        <v/>
      </c>
      <c r="CQ567" s="79">
        <f>IF(ISNUMBER($V567),$V567,IF(ISNUMBER($U567),$U567,""))</f>
        <v/>
      </c>
      <c r="CR567" s="77">
        <f>IF(ISNUMBER($CQ567),YEAR($CQ567),"")</f>
        <v/>
      </c>
      <c r="CS567" s="78">
        <f>IF(ISNUMBER($M567),MAX(0,$M567),IF(TRIM($M567&amp;"")="matured",0,""))</f>
        <v/>
      </c>
      <c r="CT567" s="78">
        <f>IF(AND(ISNUMBER($CS567),N($CS567)&lt;=mMatWindow),1,0)</f>
        <v/>
      </c>
      <c r="CU567" s="80">
        <f>IF(ISNUMBER($J567),$J567/100,"")</f>
        <v/>
      </c>
      <c r="CV567" s="81">
        <f>IF(ISNUMBER($AQ567),$AQ567,"")</f>
        <v/>
      </c>
      <c r="CW567" s="81">
        <f>IF(ISNUMBER($AR567),$AR567,"")</f>
        <v/>
      </c>
      <c r="CX567" s="82">
        <f>IF(ISNUMBER($AS567),$AS567/100,"")</f>
        <v/>
      </c>
      <c r="CY567" s="82">
        <f>IF(ISNUMBER($AT567),$AT567/100,"")</f>
        <v/>
      </c>
      <c r="CZ567" s="82">
        <f>IF(ISNUMBER($AU567),$AU567/100,"")</f>
        <v/>
      </c>
      <c r="DA567" s="82">
        <f>IF(ISNUMBER($AV567),$AV567/100,"")</f>
        <v/>
      </c>
      <c r="DB567" s="82">
        <f>IF(ISNUMBER($AW567),$AW567/100,"")</f>
        <v/>
      </c>
      <c r="DC567" s="82">
        <f>IF(ISNUMBER($AX567),$AX567/100,"")</f>
        <v/>
      </c>
      <c r="DD567" s="77">
        <f>IFERROR(VALUE(LEFT(TRIM($AO567&amp;""),4)),"")</f>
        <v/>
      </c>
      <c r="DE567" s="78">
        <f>IF(AND($BY567=1,$BX567=1,OR(fDeal="All Deals",$BU567=fDeal),OR(fEntity="All Entities",$BV567=fEntity),OR(fPType="All Property Types",$BZ567=fPType),OR(fDefeased="Include",$CJ567=0)),1,0)</f>
        <v/>
      </c>
      <c r="DF567" s="83">
        <f>$DE567*N($I567)</f>
        <v/>
      </c>
      <c r="DG567" s="78">
        <f>IF($DE567=1,IF(COUNTIFS($F$8:$F567,$F567,$DE$8:$DE567,1)=1,1,0),0)</f>
        <v/>
      </c>
      <c r="DH567" s="83">
        <f>IF($DG567=1,SUMIFS($DF$8:$DF$1600,$F$8:$F$1600,$F567),0)</f>
        <v/>
      </c>
      <c r="DI567" s="78">
        <f>IF($DG567=1,COUNTIFS($F$8:$F$1600,$F567,$DE$8:$DE$1600,1),0)</f>
        <v/>
      </c>
      <c r="DJ567" s="84">
        <f>IF($DG567=1,$DH567+(100000-ROW())/mTieBreak,0)</f>
        <v/>
      </c>
    </row>
    <row r="568">
      <c r="B568" s="68" t="n">
        <v>45</v>
      </c>
      <c r="C568" s="69" t="inlineStr">
        <is>
          <t>WFC19C49</t>
        </is>
      </c>
      <c r="D568" s="69" t="inlineStr">
        <is>
          <t>45.000</t>
        </is>
      </c>
      <c r="E568" s="69" t="inlineStr">
        <is>
          <t>599 Johnson Ave</t>
        </is>
      </c>
      <c r="F568" s="69" t="inlineStr">
        <is>
          <t>LNWFC19C49-45.000</t>
        </is>
      </c>
      <c r="G568" s="70" t="n"/>
      <c r="H568" s="71" t="n">
        <v>5800000</v>
      </c>
      <c r="I568" s="71" t="n">
        <v>5800000</v>
      </c>
      <c r="J568" s="72" t="n">
        <v>5.593</v>
      </c>
      <c r="K568" s="69" t="inlineStr">
        <is>
          <t>Fixed rate</t>
        </is>
      </c>
      <c r="L568" s="68" t="n">
        <v>120</v>
      </c>
      <c r="M568" s="68" t="n">
        <v>27</v>
      </c>
      <c r="N568" s="68" t="n">
        <v>120</v>
      </c>
      <c r="O568" s="68" t="n">
        <v>120</v>
      </c>
      <c r="P568" s="68" t="n">
        <v>27</v>
      </c>
      <c r="Q568" s="68" t="n">
        <v>93</v>
      </c>
      <c r="R568" s="69" t="inlineStr">
        <is>
          <t>IO</t>
        </is>
      </c>
      <c r="S568" s="69" t="inlineStr">
        <is>
          <t>Yes</t>
        </is>
      </c>
      <c r="T568" s="73" t="n">
        <v>43435</v>
      </c>
      <c r="U568" s="73" t="n">
        <v>47093</v>
      </c>
      <c r="V568" s="73" t="n"/>
      <c r="W568" s="69" t="n"/>
      <c r="X568" s="69" t="inlineStr">
        <is>
          <t>Current</t>
        </is>
      </c>
      <c r="Y568" s="68" t="n"/>
      <c r="Z568" s="69" t="inlineStr">
        <is>
          <t>No Defeasance Occurred</t>
        </is>
      </c>
      <c r="AA568" s="69" t="inlineStr">
        <is>
          <t>Previously</t>
        </is>
      </c>
      <c r="AB568" s="69" t="inlineStr">
        <is>
          <t>Returned to master serv</t>
        </is>
      </c>
      <c r="AC568" s="73" t="n"/>
      <c r="AD568" s="69" t="inlineStr">
        <is>
          <t>Imminent Monetary Default (excluding Balloon/Maturity Default &amp; Single Tenant Bankruptcy/Vacate)</t>
        </is>
      </c>
      <c r="AE568" s="69" t="inlineStr">
        <is>
          <t>Resolved</t>
        </is>
      </c>
      <c r="AF568" s="69" t="inlineStr">
        <is>
          <t>NY</t>
        </is>
      </c>
      <c r="AG568" s="69" t="inlineStr">
        <is>
          <t>Brooklyn</t>
        </is>
      </c>
      <c r="AH568" s="69" t="inlineStr">
        <is>
          <t>New York-Newark-Jersey City, NY-NJ</t>
        </is>
      </c>
      <c r="AI568" s="69" t="inlineStr">
        <is>
          <t>Northeast / Mid-Atlantic</t>
        </is>
      </c>
      <c r="AJ568" s="69" t="inlineStr">
        <is>
          <t>MX</t>
        </is>
      </c>
      <c r="AK568" s="69" t="n"/>
      <c r="AL568" s="68" t="n">
        <v>1</v>
      </c>
      <c r="AM568" s="68" t="n"/>
      <c r="AN568" s="68" t="n">
        <v>27414</v>
      </c>
      <c r="AO568" s="69" t="inlineStr">
        <is>
          <t>1931</t>
        </is>
      </c>
      <c r="AP568" s="70" t="n">
        <v>2017</v>
      </c>
      <c r="AQ568" s="74" t="n">
        <v>1.47</v>
      </c>
      <c r="AR568" s="74" t="n">
        <v>1.65</v>
      </c>
      <c r="AS568" s="74" t="n">
        <v>48.3</v>
      </c>
      <c r="AT568" s="74" t="n">
        <v>67.44</v>
      </c>
      <c r="AU568" s="74" t="n">
        <v>48.3</v>
      </c>
      <c r="AV568" s="74" t="n">
        <v>8.372598103</v>
      </c>
      <c r="AW568" s="74" t="n">
        <v>8.518974482999999</v>
      </c>
      <c r="AX568" s="75" t="n">
        <v>100</v>
      </c>
      <c r="AY568" s="71" t="n">
        <v>12000000</v>
      </c>
      <c r="AZ568" s="71" t="n">
        <v>8600000</v>
      </c>
      <c r="BA568" s="71" t="n">
        <v>485610.69</v>
      </c>
      <c r="BB568" s="71" t="n">
        <v>270036.04</v>
      </c>
      <c r="BC568" s="69" t="inlineStr">
        <is>
          <t>Refinance</t>
        </is>
      </c>
      <c r="BD568" s="69" t="inlineStr">
        <is>
          <t>N</t>
        </is>
      </c>
      <c r="BE568" s="71" t="n"/>
      <c r="BF568" s="71" t="n"/>
      <c r="BG568" s="71" t="n"/>
      <c r="BH568" s="71" t="n">
        <v>0</v>
      </c>
      <c r="BI568" s="71" t="n">
        <v>0</v>
      </c>
      <c r="BJ568" s="69" t="inlineStr">
        <is>
          <t>N</t>
        </is>
      </c>
      <c r="BK568" s="69" t="inlineStr">
        <is>
          <t>Elsewhere</t>
        </is>
      </c>
      <c r="BL568" s="75" t="n">
        <v>88.95</v>
      </c>
      <c r="BM568" s="73" t="n">
        <v>46721</v>
      </c>
      <c r="BN568" s="69" t="inlineStr">
        <is>
          <t>Andrew Epstein; Jon KillKelley; Dawson Stellberger</t>
        </is>
      </c>
      <c r="BO568" s="69" t="inlineStr">
        <is>
          <t>Ladder Capital Finance</t>
        </is>
      </c>
      <c r="BP568" s="69" t="inlineStr">
        <is>
          <t>TriMont Real Estate Advisors</t>
        </is>
      </c>
      <c r="BQ568" s="69" t="inlineStr">
        <is>
          <t>K-Star Asset Management LLC</t>
        </is>
      </c>
      <c r="BR568" s="69" t="n"/>
      <c r="BS568" s="73" t="n">
        <v>46276</v>
      </c>
      <c r="BU568" s="76">
        <f>IF($C568="","",IFERROR(INDEX(dmName,MATCH($C568,dmID,0)),"Unmapped"))</f>
        <v/>
      </c>
      <c r="BV568" s="76">
        <f>IF($C568="","",IFERROR(INDEX(dmEntity,MATCH($C568,dmID,0)),"Unmapped"))</f>
        <v/>
      </c>
      <c r="BW568" s="77">
        <f>IF($C568="","",IFERROR(INDEX(dmVintage,MATCH($C568,dmID,0)),""))</f>
        <v/>
      </c>
      <c r="BX568" s="78">
        <f>IFERROR(INDEX(dmInclude,MATCH($C568,dmID,0)),0)</f>
        <v/>
      </c>
      <c r="BY568" s="78">
        <f>IF(N($I568)&gt;0,1,0)</f>
        <v/>
      </c>
      <c r="BZ568" s="76">
        <f>IF($AJ568="","Other / Leased Fee",IFERROR(INDEX(mapPTGroup,MATCH(LEFT(TRIM($AJ568),2),mapPTCode,0)),"Other / Leased Fee"))</f>
        <v/>
      </c>
      <c r="CA568" s="76">
        <f>IF(TRIM($AF568&amp;"")="","NR",LEFT(TRIM($AF568),2))</f>
        <v/>
      </c>
      <c r="CB568" s="76">
        <f>IFERROR(LOOKUP(2,1/(LEFT(TRIM($AI568&amp;""),LEN(mapRegion))=mapRegion),mapRegion),"Not Reported")</f>
        <v/>
      </c>
      <c r="CC568" s="76">
        <f>IF($BY568=0,"",IF(TRIM($W568&amp;"")="REO","REO",IF(TRIM($W568&amp;"")="FC","Foreclosure",IF(TRIM($W568&amp;"")="90+","90+ Days Delinquent",IF(TRIM($W568&amp;"")="60","60 Days Delinquent",IF(TRIM($W568&amp;"")="30","30 Days Delinquent",IF($X568="Non-Performing Matured Balloon","Non-Performing Matured Balloon",IF(OR($X568="Late Payment But Less Than 30 Days Delinquent",LEFT($X568&amp;"",20)="Payment Not Received"),"Late / In Grace (&lt;30 Days)",IF($X568="Performing Matured Balloon","Performing Matured Balloon","Current")))))))))</f>
        <v/>
      </c>
      <c r="CD568" s="78">
        <f>IF(OR($CC568="REO",$CC568="Foreclosure",$CC568="90+ Days Delinquent",$CC568="60 Days Delinquent",$CC568="30 Days Delinquent",$CC568="Non-Performing Matured Balloon"),1,0)</f>
        <v/>
      </c>
      <c r="CE568" s="76">
        <f>IF($AB568="Currently special serv","Currently Specially Serviced",IF($AB568="Returned to master serv","Previously Specially Serviced","Never Specially Serviced"))</f>
        <v/>
      </c>
      <c r="CF568" s="78">
        <f>IF($CE568="Currently Specially Serviced",1,0)</f>
        <v/>
      </c>
      <c r="CG568" s="76">
        <f>IF($AA568="Yes","Currently on Watchlist",IF($AA568="Previously","Previously on Watchlist","Never on Watchlist"))</f>
        <v/>
      </c>
      <c r="CH568" s="78">
        <f>IF($CG568="Currently on Watchlist",1,0)</f>
        <v/>
      </c>
      <c r="CI568" s="76">
        <f>IF($Z568="Full Defeasance","Fully Defeased",IF($Z568="Portion Of Loan Previously Defeased","Partially Defeased",IF($Z568="Defeasance Not Allowable","Not Defeased (Not Permitted)","Not Defeased")))</f>
        <v/>
      </c>
      <c r="CJ568" s="78">
        <f>IF($CI568="Fully Defeased",1,0)</f>
        <v/>
      </c>
      <c r="CK568" s="76">
        <f>IF($R568="IO","Full IO",IF(LEFT($R568&amp;"",7)="IO then","Partial IO","Amortizing"))</f>
        <v/>
      </c>
      <c r="CL568" s="78">
        <f>IF($CK568="Full IO",1,0)</f>
        <v/>
      </c>
      <c r="CM568" s="78">
        <f>IF($CK568="Partial IO",1,0)</f>
        <v/>
      </c>
      <c r="CN568" s="76">
        <f>IF(LEFT($F568&amp;"",10)="SPLIT_LOAN","Pari Passu Split","Standalone")</f>
        <v/>
      </c>
      <c r="CO568" s="78">
        <f>IF($CN568="Pari Passu Split",1,0)</f>
        <v/>
      </c>
      <c r="CP568" s="77">
        <f>IF(ISNUMBER($T568),YEAR($T568),"")</f>
        <v/>
      </c>
      <c r="CQ568" s="79">
        <f>IF(ISNUMBER($V568),$V568,IF(ISNUMBER($U568),$U568,""))</f>
        <v/>
      </c>
      <c r="CR568" s="77">
        <f>IF(ISNUMBER($CQ568),YEAR($CQ568),"")</f>
        <v/>
      </c>
      <c r="CS568" s="78">
        <f>IF(ISNUMBER($M568),MAX(0,$M568),IF(TRIM($M568&amp;"")="matured",0,""))</f>
        <v/>
      </c>
      <c r="CT568" s="78">
        <f>IF(AND(ISNUMBER($CS568),N($CS568)&lt;=mMatWindow),1,0)</f>
        <v/>
      </c>
      <c r="CU568" s="80">
        <f>IF(ISNUMBER($J568),$J568/100,"")</f>
        <v/>
      </c>
      <c r="CV568" s="81">
        <f>IF(ISNUMBER($AQ568),$AQ568,"")</f>
        <v/>
      </c>
      <c r="CW568" s="81">
        <f>IF(ISNUMBER($AR568),$AR568,"")</f>
        <v/>
      </c>
      <c r="CX568" s="82">
        <f>IF(ISNUMBER($AS568),$AS568/100,"")</f>
        <v/>
      </c>
      <c r="CY568" s="82">
        <f>IF(ISNUMBER($AT568),$AT568/100,"")</f>
        <v/>
      </c>
      <c r="CZ568" s="82">
        <f>IF(ISNUMBER($AU568),$AU568/100,"")</f>
        <v/>
      </c>
      <c r="DA568" s="82">
        <f>IF(ISNUMBER($AV568),$AV568/100,"")</f>
        <v/>
      </c>
      <c r="DB568" s="82">
        <f>IF(ISNUMBER($AW568),$AW568/100,"")</f>
        <v/>
      </c>
      <c r="DC568" s="82">
        <f>IF(ISNUMBER($AX568),$AX568/100,"")</f>
        <v/>
      </c>
      <c r="DD568" s="77">
        <f>IFERROR(VALUE(LEFT(TRIM($AO568&amp;""),4)),"")</f>
        <v/>
      </c>
      <c r="DE568" s="78">
        <f>IF(AND($BY568=1,$BX568=1,OR(fDeal="All Deals",$BU568=fDeal),OR(fEntity="All Entities",$BV568=fEntity),OR(fPType="All Property Types",$BZ568=fPType),OR(fDefeased="Include",$CJ568=0)),1,0)</f>
        <v/>
      </c>
      <c r="DF568" s="83">
        <f>$DE568*N($I568)</f>
        <v/>
      </c>
      <c r="DG568" s="78">
        <f>IF($DE568=1,IF(COUNTIFS($F$8:$F568,$F568,$DE$8:$DE568,1)=1,1,0),0)</f>
        <v/>
      </c>
      <c r="DH568" s="83">
        <f>IF($DG568=1,SUMIFS($DF$8:$DF$1600,$F$8:$F$1600,$F568),0)</f>
        <v/>
      </c>
      <c r="DI568" s="78">
        <f>IF($DG568=1,COUNTIFS($F$8:$F$1600,$F568,$DE$8:$DE$1600,1),0)</f>
        <v/>
      </c>
      <c r="DJ568" s="84">
        <f>IF($DG568=1,$DH568+(100000-ROW())/mTieBreak,0)</f>
        <v/>
      </c>
    </row>
    <row r="569">
      <c r="B569" s="68" t="n">
        <v>46</v>
      </c>
      <c r="C569" s="69" t="inlineStr">
        <is>
          <t>WFC19C49</t>
        </is>
      </c>
      <c r="D569" s="69" t="inlineStr">
        <is>
          <t>46.000</t>
        </is>
      </c>
      <c r="E569" s="69" t="inlineStr">
        <is>
          <t>659 Broadway</t>
        </is>
      </c>
      <c r="F569" s="69" t="inlineStr">
        <is>
          <t>LNWFC19C49-46.000</t>
        </is>
      </c>
      <c r="G569" s="70" t="n"/>
      <c r="H569" s="71" t="n">
        <v>5800000</v>
      </c>
      <c r="I569" s="71" t="n">
        <v>0</v>
      </c>
      <c r="J569" s="72" t="n">
        <v>4.99</v>
      </c>
      <c r="K569" s="69" t="inlineStr">
        <is>
          <t>Fixed rate</t>
        </is>
      </c>
      <c r="L569" s="68" t="n">
        <v>120</v>
      </c>
      <c r="M569" s="68" t="n"/>
      <c r="N569" s="68" t="n">
        <v>120</v>
      </c>
      <c r="O569" s="68" t="n">
        <v>120</v>
      </c>
      <c r="P569" s="68" t="n"/>
      <c r="Q569" s="68" t="n"/>
      <c r="R569" s="69" t="inlineStr">
        <is>
          <t>IO</t>
        </is>
      </c>
      <c r="S569" s="69" t="inlineStr">
        <is>
          <t>Yes</t>
        </is>
      </c>
      <c r="T569" s="73" t="n">
        <v>43466</v>
      </c>
      <c r="U569" s="73" t="n">
        <v>47124</v>
      </c>
      <c r="V569" s="73" t="n"/>
      <c r="W569" s="69" t="n"/>
      <c r="X569" s="69" t="inlineStr">
        <is>
          <t>Current</t>
        </is>
      </c>
      <c r="Y569" s="68" t="n"/>
      <c r="Z569" s="69" t="inlineStr">
        <is>
          <t>No Defeasance Occurred</t>
        </is>
      </c>
      <c r="AA569" s="69" t="inlineStr">
        <is>
          <t>Previously</t>
        </is>
      </c>
      <c r="AB569" s="69" t="inlineStr">
        <is>
          <t>Currently special serv</t>
        </is>
      </c>
      <c r="AC569" s="73" t="n">
        <v>44050</v>
      </c>
      <c r="AD569" s="69" t="inlineStr">
        <is>
          <t>Imminent Monetary Default (excluding Balloon/Maturity Default &amp; Single Tenant Bankruptcy/Vacate)</t>
        </is>
      </c>
      <c r="AE569" s="69" t="inlineStr">
        <is>
          <t>Resolved</t>
        </is>
      </c>
      <c r="AF569" s="69" t="inlineStr">
        <is>
          <t>NY</t>
        </is>
      </c>
      <c r="AG569" s="69" t="inlineStr">
        <is>
          <t>New York</t>
        </is>
      </c>
      <c r="AH569" s="69" t="inlineStr">
        <is>
          <t>New York-Newark-Jersey City, NY-NJ</t>
        </is>
      </c>
      <c r="AI569" s="69" t="inlineStr">
        <is>
          <t>Northeast / Mid-Atlantic</t>
        </is>
      </c>
      <c r="AJ569" s="69" t="inlineStr">
        <is>
          <t>RT</t>
        </is>
      </c>
      <c r="AK569" s="69" t="inlineStr">
        <is>
          <t>Single Tenant</t>
        </is>
      </c>
      <c r="AL569" s="68" t="n">
        <v>1</v>
      </c>
      <c r="AM569" s="68" t="n"/>
      <c r="AN569" s="68" t="n">
        <v>4876</v>
      </c>
      <c r="AO569" s="69" t="inlineStr">
        <is>
          <t>1930</t>
        </is>
      </c>
      <c r="AP569" s="70" t="n">
        <v>1930</v>
      </c>
      <c r="AQ569" s="74" t="n">
        <v>1.62</v>
      </c>
      <c r="AR569" s="74" t="n">
        <v>0.64</v>
      </c>
      <c r="AS569" s="74" t="n">
        <v>63</v>
      </c>
      <c r="AT569" s="74" t="n"/>
      <c r="AU569" s="74" t="n">
        <v>63</v>
      </c>
      <c r="AV569" s="74" t="n">
        <v>8.216775862</v>
      </c>
      <c r="AW569" s="74" t="n"/>
      <c r="AX569" s="75" t="n">
        <v>0</v>
      </c>
      <c r="AY569" s="71" t="n">
        <v>9200000</v>
      </c>
      <c r="AZ569" s="71" t="n">
        <v>9200000</v>
      </c>
      <c r="BA569" s="71" t="n">
        <v>476573</v>
      </c>
      <c r="BB569" s="71" t="n">
        <v>187202</v>
      </c>
      <c r="BC569" s="69" t="inlineStr">
        <is>
          <t>Refinance</t>
        </is>
      </c>
      <c r="BD569" s="69" t="inlineStr">
        <is>
          <t>Y</t>
        </is>
      </c>
      <c r="BE569" s="71" t="n"/>
      <c r="BF569" s="71" t="n"/>
      <c r="BG569" s="71" t="n"/>
      <c r="BH569" s="71" t="n">
        <v>0</v>
      </c>
      <c r="BI569" s="71" t="n">
        <v>0</v>
      </c>
      <c r="BJ569" s="69" t="inlineStr">
        <is>
          <t>N</t>
        </is>
      </c>
      <c r="BK569" s="69" t="inlineStr">
        <is>
          <t>Blades Broadway</t>
        </is>
      </c>
      <c r="BL569" s="75" t="n">
        <v>100</v>
      </c>
      <c r="BM569" s="73" t="n">
        <v>46418</v>
      </c>
      <c r="BN569" s="69" t="inlineStr">
        <is>
          <t>Jacob Klein</t>
        </is>
      </c>
      <c r="BO569" s="69" t="inlineStr">
        <is>
          <t>RMF</t>
        </is>
      </c>
      <c r="BP569" s="69" t="inlineStr">
        <is>
          <t>TriMont Real Estate Advisors</t>
        </is>
      </c>
      <c r="BQ569" s="69" t="inlineStr">
        <is>
          <t>K-Star Asset Management LLC</t>
        </is>
      </c>
      <c r="BR569" s="69" t="inlineStr">
        <is>
          <t>Disposition / Liquidation</t>
        </is>
      </c>
      <c r="BS569" s="73" t="n">
        <v>46276</v>
      </c>
      <c r="BU569" s="76">
        <f>IF($C569="","",IFERROR(INDEX(dmName,MATCH($C569,dmID,0)),"Unmapped"))</f>
        <v/>
      </c>
      <c r="BV569" s="76">
        <f>IF($C569="","",IFERROR(INDEX(dmEntity,MATCH($C569,dmID,0)),"Unmapped"))</f>
        <v/>
      </c>
      <c r="BW569" s="77">
        <f>IF($C569="","",IFERROR(INDEX(dmVintage,MATCH($C569,dmID,0)),""))</f>
        <v/>
      </c>
      <c r="BX569" s="78">
        <f>IFERROR(INDEX(dmInclude,MATCH($C569,dmID,0)),0)</f>
        <v/>
      </c>
      <c r="BY569" s="78">
        <f>IF(N($I569)&gt;0,1,0)</f>
        <v/>
      </c>
      <c r="BZ569" s="76">
        <f>IF($AJ569="","Other / Leased Fee",IFERROR(INDEX(mapPTGroup,MATCH(LEFT(TRIM($AJ569),2),mapPTCode,0)),"Other / Leased Fee"))</f>
        <v/>
      </c>
      <c r="CA569" s="76">
        <f>IF(TRIM($AF569&amp;"")="","NR",LEFT(TRIM($AF569),2))</f>
        <v/>
      </c>
      <c r="CB569" s="76">
        <f>IFERROR(LOOKUP(2,1/(LEFT(TRIM($AI569&amp;""),LEN(mapRegion))=mapRegion),mapRegion),"Not Reported")</f>
        <v/>
      </c>
      <c r="CC569" s="76">
        <f>IF($BY569=0,"",IF(TRIM($W569&amp;"")="REO","REO",IF(TRIM($W569&amp;"")="FC","Foreclosure",IF(TRIM($W569&amp;"")="90+","90+ Days Delinquent",IF(TRIM($W569&amp;"")="60","60 Days Delinquent",IF(TRIM($W569&amp;"")="30","30 Days Delinquent",IF($X569="Non-Performing Matured Balloon","Non-Performing Matured Balloon",IF(OR($X569="Late Payment But Less Than 30 Days Delinquent",LEFT($X569&amp;"",20)="Payment Not Received"),"Late / In Grace (&lt;30 Days)",IF($X569="Performing Matured Balloon","Performing Matured Balloon","Current")))))))))</f>
        <v/>
      </c>
      <c r="CD569" s="78">
        <f>IF(OR($CC569="REO",$CC569="Foreclosure",$CC569="90+ Days Delinquent",$CC569="60 Days Delinquent",$CC569="30 Days Delinquent",$CC569="Non-Performing Matured Balloon"),1,0)</f>
        <v/>
      </c>
      <c r="CE569" s="76">
        <f>IF($AB569="Currently special serv","Currently Specially Serviced",IF($AB569="Returned to master serv","Previously Specially Serviced","Never Specially Serviced"))</f>
        <v/>
      </c>
      <c r="CF569" s="78">
        <f>IF($CE569="Currently Specially Serviced",1,0)</f>
        <v/>
      </c>
      <c r="CG569" s="76">
        <f>IF($AA569="Yes","Currently on Watchlist",IF($AA569="Previously","Previously on Watchlist","Never on Watchlist"))</f>
        <v/>
      </c>
      <c r="CH569" s="78">
        <f>IF($CG569="Currently on Watchlist",1,0)</f>
        <v/>
      </c>
      <c r="CI569" s="76">
        <f>IF($Z569="Full Defeasance","Fully Defeased",IF($Z569="Portion Of Loan Previously Defeased","Partially Defeased",IF($Z569="Defeasance Not Allowable","Not Defeased (Not Permitted)","Not Defeased")))</f>
        <v/>
      </c>
      <c r="CJ569" s="78">
        <f>IF($CI569="Fully Defeased",1,0)</f>
        <v/>
      </c>
      <c r="CK569" s="76">
        <f>IF($R569="IO","Full IO",IF(LEFT($R569&amp;"",7)="IO then","Partial IO","Amortizing"))</f>
        <v/>
      </c>
      <c r="CL569" s="78">
        <f>IF($CK569="Full IO",1,0)</f>
        <v/>
      </c>
      <c r="CM569" s="78">
        <f>IF($CK569="Partial IO",1,0)</f>
        <v/>
      </c>
      <c r="CN569" s="76">
        <f>IF(LEFT($F569&amp;"",10)="SPLIT_LOAN","Pari Passu Split","Standalone")</f>
        <v/>
      </c>
      <c r="CO569" s="78">
        <f>IF($CN569="Pari Passu Split",1,0)</f>
        <v/>
      </c>
      <c r="CP569" s="77">
        <f>IF(ISNUMBER($T569),YEAR($T569),"")</f>
        <v/>
      </c>
      <c r="CQ569" s="79">
        <f>IF(ISNUMBER($V569),$V569,IF(ISNUMBER($U569),$U569,""))</f>
        <v/>
      </c>
      <c r="CR569" s="77">
        <f>IF(ISNUMBER($CQ569),YEAR($CQ569),"")</f>
        <v/>
      </c>
      <c r="CS569" s="78">
        <f>IF(ISNUMBER($M569),MAX(0,$M569),IF(TRIM($M569&amp;"")="matured",0,""))</f>
        <v/>
      </c>
      <c r="CT569" s="78">
        <f>IF(AND(ISNUMBER($CS569),N($CS569)&lt;=mMatWindow),1,0)</f>
        <v/>
      </c>
      <c r="CU569" s="80">
        <f>IF(ISNUMBER($J569),$J569/100,"")</f>
        <v/>
      </c>
      <c r="CV569" s="81">
        <f>IF(ISNUMBER($AQ569),$AQ569,"")</f>
        <v/>
      </c>
      <c r="CW569" s="81">
        <f>IF(ISNUMBER($AR569),$AR569,"")</f>
        <v/>
      </c>
      <c r="CX569" s="82">
        <f>IF(ISNUMBER($AS569),$AS569/100,"")</f>
        <v/>
      </c>
      <c r="CY569" s="82">
        <f>IF(ISNUMBER($AT569),$AT569/100,"")</f>
        <v/>
      </c>
      <c r="CZ569" s="82">
        <f>IF(ISNUMBER($AU569),$AU569/100,"")</f>
        <v/>
      </c>
      <c r="DA569" s="82">
        <f>IF(ISNUMBER($AV569),$AV569/100,"")</f>
        <v/>
      </c>
      <c r="DB569" s="82">
        <f>IF(ISNUMBER($AW569),$AW569/100,"")</f>
        <v/>
      </c>
      <c r="DC569" s="82">
        <f>IF(ISNUMBER($AX569),$AX569/100,"")</f>
        <v/>
      </c>
      <c r="DD569" s="77">
        <f>IFERROR(VALUE(LEFT(TRIM($AO569&amp;""),4)),"")</f>
        <v/>
      </c>
      <c r="DE569" s="78">
        <f>IF(AND($BY569=1,$BX569=1,OR(fDeal="All Deals",$BU569=fDeal),OR(fEntity="All Entities",$BV569=fEntity),OR(fPType="All Property Types",$BZ569=fPType),OR(fDefeased="Include",$CJ569=0)),1,0)</f>
        <v/>
      </c>
      <c r="DF569" s="83">
        <f>$DE569*N($I569)</f>
        <v/>
      </c>
      <c r="DG569" s="78">
        <f>IF($DE569=1,IF(COUNTIFS($F$8:$F569,$F569,$DE$8:$DE569,1)=1,1,0),0)</f>
        <v/>
      </c>
      <c r="DH569" s="83">
        <f>IF($DG569=1,SUMIFS($DF$8:$DF$1600,$F$8:$F$1600,$F569),0)</f>
        <v/>
      </c>
      <c r="DI569" s="78">
        <f>IF($DG569=1,COUNTIFS($F$8:$F$1600,$F569,$DE$8:$DE$1600,1),0)</f>
        <v/>
      </c>
      <c r="DJ569" s="84">
        <f>IF($DG569=1,$DH569+(100000-ROW())/mTieBreak,0)</f>
        <v/>
      </c>
    </row>
    <row r="570">
      <c r="B570" s="68" t="n">
        <v>47</v>
      </c>
      <c r="C570" s="69" t="inlineStr">
        <is>
          <t>WFC19C49</t>
        </is>
      </c>
      <c r="D570" s="69" t="inlineStr">
        <is>
          <t>47.000</t>
        </is>
      </c>
      <c r="E570" s="69" t="inlineStr">
        <is>
          <t>100 Gardner Park</t>
        </is>
      </c>
      <c r="F570" s="69" t="inlineStr">
        <is>
          <t>LNWFC19C49-47.000</t>
        </is>
      </c>
      <c r="G570" s="70" t="n"/>
      <c r="H570" s="71" t="n">
        <v>5550000</v>
      </c>
      <c r="I570" s="71" t="n">
        <v>5168290.140001951</v>
      </c>
      <c r="J570" s="72" t="n">
        <v>5.15</v>
      </c>
      <c r="K570" s="69" t="inlineStr">
        <is>
          <t>Fixed rate</t>
        </is>
      </c>
      <c r="L570" s="68" t="n">
        <v>120</v>
      </c>
      <c r="M570" s="68" t="n">
        <v>29</v>
      </c>
      <c r="N570" s="68" t="n">
        <v>396</v>
      </c>
      <c r="O570" s="68" t="n">
        <v>36</v>
      </c>
      <c r="P570" s="68" t="n">
        <v>0</v>
      </c>
      <c r="Q570" s="68" t="n">
        <v>91</v>
      </c>
      <c r="R570" s="69" t="inlineStr">
        <is>
          <t>IO then Amort</t>
        </is>
      </c>
      <c r="S570" s="69" t="inlineStr">
        <is>
          <t>No</t>
        </is>
      </c>
      <c r="T570" s="73" t="n">
        <v>43497</v>
      </c>
      <c r="U570" s="73" t="n">
        <v>47155</v>
      </c>
      <c r="V570" s="73" t="n"/>
      <c r="W570" s="69" t="n"/>
      <c r="X570" s="69" t="inlineStr">
        <is>
          <t>Current</t>
        </is>
      </c>
      <c r="Y570" s="68" t="n"/>
      <c r="Z570" s="69" t="inlineStr">
        <is>
          <t>No Defeasance Occurred</t>
        </is>
      </c>
      <c r="AA570" s="69" t="inlineStr">
        <is>
          <t>Yes</t>
        </is>
      </c>
      <c r="AB570" s="69" t="inlineStr">
        <is>
          <t>Never special serv</t>
        </is>
      </c>
      <c r="AC570" s="73" t="n"/>
      <c r="AD570" s="69" t="n"/>
      <c r="AE570" s="69" t="n"/>
      <c r="AF570" s="69" t="inlineStr">
        <is>
          <t>GA</t>
        </is>
      </c>
      <c r="AG570" s="69" t="inlineStr">
        <is>
          <t>Peachtree City</t>
        </is>
      </c>
      <c r="AH570" s="69" t="inlineStr">
        <is>
          <t>Atlanta-Sandy Springs-Roswell, GA</t>
        </is>
      </c>
      <c r="AI570" s="69" t="inlineStr">
        <is>
          <t>South / Atlantic</t>
        </is>
      </c>
      <c r="AJ570" s="69" t="inlineStr">
        <is>
          <t>MX</t>
        </is>
      </c>
      <c r="AK570" s="69" t="inlineStr">
        <is>
          <t>Industrial/Office</t>
        </is>
      </c>
      <c r="AL570" s="68" t="n">
        <v>1</v>
      </c>
      <c r="AM570" s="68" t="n"/>
      <c r="AN570" s="68" t="n">
        <v>129861</v>
      </c>
      <c r="AO570" s="69" t="inlineStr">
        <is>
          <t>1998</t>
        </is>
      </c>
      <c r="AP570" s="70" t="n">
        <v>2017</v>
      </c>
      <c r="AQ570" s="74" t="n">
        <v>1.85</v>
      </c>
      <c r="AR570" s="74" t="n">
        <v>0.9399999999999999</v>
      </c>
      <c r="AS570" s="74" t="n">
        <v>48.3</v>
      </c>
      <c r="AT570" s="74" t="n">
        <v>44.94</v>
      </c>
      <c r="AU570" s="74" t="n">
        <v>42.9</v>
      </c>
      <c r="AV570" s="74" t="n">
        <v>12.092928468</v>
      </c>
      <c r="AW570" s="74" t="n">
        <v>13.508042913</v>
      </c>
      <c r="AX570" s="75" t="n">
        <v>54</v>
      </c>
      <c r="AY570" s="71" t="n">
        <v>11500000</v>
      </c>
      <c r="AZ570" s="71" t="n">
        <v>11500000</v>
      </c>
      <c r="BA570" s="71" t="n">
        <v>671157.53</v>
      </c>
      <c r="BB570" s="71" t="n">
        <v>170785.78</v>
      </c>
      <c r="BC570" s="69" t="inlineStr">
        <is>
          <t>Acquisition</t>
        </is>
      </c>
      <c r="BD570" s="69" t="inlineStr">
        <is>
          <t>N</t>
        </is>
      </c>
      <c r="BE570" s="71" t="n"/>
      <c r="BF570" s="71" t="n"/>
      <c r="BG570" s="71" t="n"/>
      <c r="BH570" s="71" t="n">
        <v>0</v>
      </c>
      <c r="BI570" s="71" t="n">
        <v>0</v>
      </c>
      <c r="BJ570" s="69" t="inlineStr">
        <is>
          <t>N</t>
        </is>
      </c>
      <c r="BK570" s="69" t="inlineStr">
        <is>
          <t>Atlantic Tape</t>
        </is>
      </c>
      <c r="BL570" s="75" t="n">
        <v>53.9</v>
      </c>
      <c r="BM570" s="73" t="n">
        <v>46783</v>
      </c>
      <c r="BN570" s="69" t="inlineStr">
        <is>
          <t>Sandberg Family, LLC</t>
        </is>
      </c>
      <c r="BO570" s="69" t="inlineStr">
        <is>
          <t>Ladder Capital Finance</t>
        </is>
      </c>
      <c r="BP570" s="69" t="inlineStr">
        <is>
          <t>TriMont Real Estate Advisors</t>
        </is>
      </c>
      <c r="BQ570" s="69" t="inlineStr">
        <is>
          <t>K-Star Asset Management LLC</t>
        </is>
      </c>
      <c r="BR570" s="69" t="n"/>
      <c r="BS570" s="73" t="n">
        <v>46276</v>
      </c>
      <c r="BU570" s="76">
        <f>IF($C570="","",IFERROR(INDEX(dmName,MATCH($C570,dmID,0)),"Unmapped"))</f>
        <v/>
      </c>
      <c r="BV570" s="76">
        <f>IF($C570="","",IFERROR(INDEX(dmEntity,MATCH($C570,dmID,0)),"Unmapped"))</f>
        <v/>
      </c>
      <c r="BW570" s="77">
        <f>IF($C570="","",IFERROR(INDEX(dmVintage,MATCH($C570,dmID,0)),""))</f>
        <v/>
      </c>
      <c r="BX570" s="78">
        <f>IFERROR(INDEX(dmInclude,MATCH($C570,dmID,0)),0)</f>
        <v/>
      </c>
      <c r="BY570" s="78">
        <f>IF(N($I570)&gt;0,1,0)</f>
        <v/>
      </c>
      <c r="BZ570" s="76">
        <f>IF($AJ570="","Other / Leased Fee",IFERROR(INDEX(mapPTGroup,MATCH(LEFT(TRIM($AJ570),2),mapPTCode,0)),"Other / Leased Fee"))</f>
        <v/>
      </c>
      <c r="CA570" s="76">
        <f>IF(TRIM($AF570&amp;"")="","NR",LEFT(TRIM($AF570),2))</f>
        <v/>
      </c>
      <c r="CB570" s="76">
        <f>IFERROR(LOOKUP(2,1/(LEFT(TRIM($AI570&amp;""),LEN(mapRegion))=mapRegion),mapRegion),"Not Reported")</f>
        <v/>
      </c>
      <c r="CC570" s="76">
        <f>IF($BY570=0,"",IF(TRIM($W570&amp;"")="REO","REO",IF(TRIM($W570&amp;"")="FC","Foreclosure",IF(TRIM($W570&amp;"")="90+","90+ Days Delinquent",IF(TRIM($W570&amp;"")="60","60 Days Delinquent",IF(TRIM($W570&amp;"")="30","30 Days Delinquent",IF($X570="Non-Performing Matured Balloon","Non-Performing Matured Balloon",IF(OR($X570="Late Payment But Less Than 30 Days Delinquent",LEFT($X570&amp;"",20)="Payment Not Received"),"Late / In Grace (&lt;30 Days)",IF($X570="Performing Matured Balloon","Performing Matured Balloon","Current")))))))))</f>
        <v/>
      </c>
      <c r="CD570" s="78">
        <f>IF(OR($CC570="REO",$CC570="Foreclosure",$CC570="90+ Days Delinquent",$CC570="60 Days Delinquent",$CC570="30 Days Delinquent",$CC570="Non-Performing Matured Balloon"),1,0)</f>
        <v/>
      </c>
      <c r="CE570" s="76">
        <f>IF($AB570="Currently special serv","Currently Specially Serviced",IF($AB570="Returned to master serv","Previously Specially Serviced","Never Specially Serviced"))</f>
        <v/>
      </c>
      <c r="CF570" s="78">
        <f>IF($CE570="Currently Specially Serviced",1,0)</f>
        <v/>
      </c>
      <c r="CG570" s="76">
        <f>IF($AA570="Yes","Currently on Watchlist",IF($AA570="Previously","Previously on Watchlist","Never on Watchlist"))</f>
        <v/>
      </c>
      <c r="CH570" s="78">
        <f>IF($CG570="Currently on Watchlist",1,0)</f>
        <v/>
      </c>
      <c r="CI570" s="76">
        <f>IF($Z570="Full Defeasance","Fully Defeased",IF($Z570="Portion Of Loan Previously Defeased","Partially Defeased",IF($Z570="Defeasance Not Allowable","Not Defeased (Not Permitted)","Not Defeased")))</f>
        <v/>
      </c>
      <c r="CJ570" s="78">
        <f>IF($CI570="Fully Defeased",1,0)</f>
        <v/>
      </c>
      <c r="CK570" s="76">
        <f>IF($R570="IO","Full IO",IF(LEFT($R570&amp;"",7)="IO then","Partial IO","Amortizing"))</f>
        <v/>
      </c>
      <c r="CL570" s="78">
        <f>IF($CK570="Full IO",1,0)</f>
        <v/>
      </c>
      <c r="CM570" s="78">
        <f>IF($CK570="Partial IO",1,0)</f>
        <v/>
      </c>
      <c r="CN570" s="76">
        <f>IF(LEFT($F570&amp;"",10)="SPLIT_LOAN","Pari Passu Split","Standalone")</f>
        <v/>
      </c>
      <c r="CO570" s="78">
        <f>IF($CN570="Pari Passu Split",1,0)</f>
        <v/>
      </c>
      <c r="CP570" s="77">
        <f>IF(ISNUMBER($T570),YEAR($T570),"")</f>
        <v/>
      </c>
      <c r="CQ570" s="79">
        <f>IF(ISNUMBER($V570),$V570,IF(ISNUMBER($U570),$U570,""))</f>
        <v/>
      </c>
      <c r="CR570" s="77">
        <f>IF(ISNUMBER($CQ570),YEAR($CQ570),"")</f>
        <v/>
      </c>
      <c r="CS570" s="78">
        <f>IF(ISNUMBER($M570),MAX(0,$M570),IF(TRIM($M570&amp;"")="matured",0,""))</f>
        <v/>
      </c>
      <c r="CT570" s="78">
        <f>IF(AND(ISNUMBER($CS570),N($CS570)&lt;=mMatWindow),1,0)</f>
        <v/>
      </c>
      <c r="CU570" s="80">
        <f>IF(ISNUMBER($J570),$J570/100,"")</f>
        <v/>
      </c>
      <c r="CV570" s="81">
        <f>IF(ISNUMBER($AQ570),$AQ570,"")</f>
        <v/>
      </c>
      <c r="CW570" s="81">
        <f>IF(ISNUMBER($AR570),$AR570,"")</f>
        <v/>
      </c>
      <c r="CX570" s="82">
        <f>IF(ISNUMBER($AS570),$AS570/100,"")</f>
        <v/>
      </c>
      <c r="CY570" s="82">
        <f>IF(ISNUMBER($AT570),$AT570/100,"")</f>
        <v/>
      </c>
      <c r="CZ570" s="82">
        <f>IF(ISNUMBER($AU570),$AU570/100,"")</f>
        <v/>
      </c>
      <c r="DA570" s="82">
        <f>IF(ISNUMBER($AV570),$AV570/100,"")</f>
        <v/>
      </c>
      <c r="DB570" s="82">
        <f>IF(ISNUMBER($AW570),$AW570/100,"")</f>
        <v/>
      </c>
      <c r="DC570" s="82">
        <f>IF(ISNUMBER($AX570),$AX570/100,"")</f>
        <v/>
      </c>
      <c r="DD570" s="77">
        <f>IFERROR(VALUE(LEFT(TRIM($AO570&amp;""),4)),"")</f>
        <v/>
      </c>
      <c r="DE570" s="78">
        <f>IF(AND($BY570=1,$BX570=1,OR(fDeal="All Deals",$BU570=fDeal),OR(fEntity="All Entities",$BV570=fEntity),OR(fPType="All Property Types",$BZ570=fPType),OR(fDefeased="Include",$CJ570=0)),1,0)</f>
        <v/>
      </c>
      <c r="DF570" s="83">
        <f>$DE570*N($I570)</f>
        <v/>
      </c>
      <c r="DG570" s="78">
        <f>IF($DE570=1,IF(COUNTIFS($F$8:$F570,$F570,$DE$8:$DE570,1)=1,1,0),0)</f>
        <v/>
      </c>
      <c r="DH570" s="83">
        <f>IF($DG570=1,SUMIFS($DF$8:$DF$1600,$F$8:$F$1600,$F570),0)</f>
        <v/>
      </c>
      <c r="DI570" s="78">
        <f>IF($DG570=1,COUNTIFS($F$8:$F$1600,$F570,$DE$8:$DE$1600,1),0)</f>
        <v/>
      </c>
      <c r="DJ570" s="84">
        <f>IF($DG570=1,$DH570+(100000-ROW())/mTieBreak,0)</f>
        <v/>
      </c>
    </row>
    <row r="571">
      <c r="B571" s="68" t="n">
        <v>48</v>
      </c>
      <c r="C571" s="69" t="inlineStr">
        <is>
          <t>WFC19C49</t>
        </is>
      </c>
      <c r="D571" s="69" t="inlineStr">
        <is>
          <t>48.000</t>
        </is>
      </c>
      <c r="E571" s="69" t="inlineStr">
        <is>
          <t>St. Lucie MHC</t>
        </is>
      </c>
      <c r="F571" s="69" t="inlineStr">
        <is>
          <t>LNWFC19C49-48.000</t>
        </is>
      </c>
      <c r="G571" s="70" t="n"/>
      <c r="H571" s="71" t="n">
        <v>5400000</v>
      </c>
      <c r="I571" s="71" t="n">
        <v>4750239.090002401</v>
      </c>
      <c r="J571" s="72" t="n">
        <v>5.3</v>
      </c>
      <c r="K571" s="69" t="inlineStr">
        <is>
          <t>Fixed rate</t>
        </is>
      </c>
      <c r="L571" s="68" t="n">
        <v>120</v>
      </c>
      <c r="M571" s="68" t="n">
        <v>29</v>
      </c>
      <c r="N571" s="68" t="n">
        <v>360</v>
      </c>
      <c r="O571" s="68" t="n"/>
      <c r="P571" s="68" t="n"/>
      <c r="Q571" s="68" t="n">
        <v>91</v>
      </c>
      <c r="R571" s="69" t="n"/>
      <c r="S571" s="69" t="inlineStr">
        <is>
          <t>No</t>
        </is>
      </c>
      <c r="T571" s="73" t="n">
        <v>43497</v>
      </c>
      <c r="U571" s="73" t="n">
        <v>47155</v>
      </c>
      <c r="V571" s="73" t="n"/>
      <c r="W571" s="69" t="n"/>
      <c r="X571" s="69" t="inlineStr">
        <is>
          <t>Current</t>
        </is>
      </c>
      <c r="Y571" s="68" t="n"/>
      <c r="Z571" s="69" t="inlineStr">
        <is>
          <t>No Defeasance Occurred</t>
        </is>
      </c>
      <c r="AA571" s="69" t="n"/>
      <c r="AB571" s="69" t="inlineStr">
        <is>
          <t>Never special serv</t>
        </is>
      </c>
      <c r="AC571" s="73" t="n"/>
      <c r="AD571" s="69" t="n"/>
      <c r="AE571" s="69" t="n"/>
      <c r="AF571" s="69" t="inlineStr">
        <is>
          <t>FL</t>
        </is>
      </c>
      <c r="AG571" s="69" t="inlineStr">
        <is>
          <t>Indiantown</t>
        </is>
      </c>
      <c r="AH571" s="69" t="inlineStr">
        <is>
          <t>Port St. Lucie, FL</t>
        </is>
      </c>
      <c r="AI571" s="69" t="inlineStr">
        <is>
          <t>South / Atlantic</t>
        </is>
      </c>
      <c r="AJ571" s="69" t="inlineStr">
        <is>
          <t>MH</t>
        </is>
      </c>
      <c r="AK571" s="69" t="n"/>
      <c r="AL571" s="68" t="n">
        <v>1</v>
      </c>
      <c r="AM571" s="68" t="n">
        <v>217</v>
      </c>
      <c r="AN571" s="68" t="n"/>
      <c r="AO571" s="69" t="inlineStr">
        <is>
          <t>1963</t>
        </is>
      </c>
      <c r="AP571" s="70" t="n">
        <v>1963</v>
      </c>
      <c r="AQ571" s="74" t="n">
        <v>1.46</v>
      </c>
      <c r="AR571" s="74" t="n">
        <v>2.57</v>
      </c>
      <c r="AS571" s="74" t="n">
        <v>60.2</v>
      </c>
      <c r="AT571" s="74" t="n">
        <v>53.08</v>
      </c>
      <c r="AU571" s="74" t="n">
        <v>50.1</v>
      </c>
      <c r="AV571" s="74" t="n">
        <v>9.709682037</v>
      </c>
      <c r="AW571" s="74" t="n">
        <v>16.838545489</v>
      </c>
      <c r="AX571" s="75" t="n">
        <v>90</v>
      </c>
      <c r="AY571" s="71" t="n">
        <v>8950000</v>
      </c>
      <c r="AZ571" s="71" t="n">
        <v>8950000</v>
      </c>
      <c r="BA571" s="71" t="n">
        <v>524322.83</v>
      </c>
      <c r="BB571" s="71" t="n">
        <v>462752.99</v>
      </c>
      <c r="BC571" s="69" t="inlineStr">
        <is>
          <t>Refinance</t>
        </is>
      </c>
      <c r="BD571" s="69" t="inlineStr">
        <is>
          <t>N</t>
        </is>
      </c>
      <c r="BE571" s="71" t="n"/>
      <c r="BF571" s="71" t="n"/>
      <c r="BG571" s="71" t="n"/>
      <c r="BH571" s="71" t="n">
        <v>0</v>
      </c>
      <c r="BI571" s="71" t="n">
        <v>0</v>
      </c>
      <c r="BJ571" s="69" t="inlineStr">
        <is>
          <t>N</t>
        </is>
      </c>
      <c r="BK571" s="69" t="n"/>
      <c r="BL571" s="75" t="n"/>
      <c r="BM571" s="73" t="n"/>
      <c r="BN571" s="69" t="inlineStr">
        <is>
          <t>Teresa I. Schenk</t>
        </is>
      </c>
      <c r="BO571" s="69" t="inlineStr">
        <is>
          <t>Barclays</t>
        </is>
      </c>
      <c r="BP571" s="69" t="inlineStr">
        <is>
          <t>TriMont Real Estate Advisors</t>
        </is>
      </c>
      <c r="BQ571" s="69" t="inlineStr">
        <is>
          <t>K-Star Asset Management LLC</t>
        </is>
      </c>
      <c r="BR571" s="69" t="n"/>
      <c r="BS571" s="73" t="n">
        <v>46276</v>
      </c>
      <c r="BU571" s="76">
        <f>IF($C571="","",IFERROR(INDEX(dmName,MATCH($C571,dmID,0)),"Unmapped"))</f>
        <v/>
      </c>
      <c r="BV571" s="76">
        <f>IF($C571="","",IFERROR(INDEX(dmEntity,MATCH($C571,dmID,0)),"Unmapped"))</f>
        <v/>
      </c>
      <c r="BW571" s="77">
        <f>IF($C571="","",IFERROR(INDEX(dmVintage,MATCH($C571,dmID,0)),""))</f>
        <v/>
      </c>
      <c r="BX571" s="78">
        <f>IFERROR(INDEX(dmInclude,MATCH($C571,dmID,0)),0)</f>
        <v/>
      </c>
      <c r="BY571" s="78">
        <f>IF(N($I571)&gt;0,1,0)</f>
        <v/>
      </c>
      <c r="BZ571" s="76">
        <f>IF($AJ571="","Other / Leased Fee",IFERROR(INDEX(mapPTGroup,MATCH(LEFT(TRIM($AJ571),2),mapPTCode,0)),"Other / Leased Fee"))</f>
        <v/>
      </c>
      <c r="CA571" s="76">
        <f>IF(TRIM($AF571&amp;"")="","NR",LEFT(TRIM($AF571),2))</f>
        <v/>
      </c>
      <c r="CB571" s="76">
        <f>IFERROR(LOOKUP(2,1/(LEFT(TRIM($AI571&amp;""),LEN(mapRegion))=mapRegion),mapRegion),"Not Reported")</f>
        <v/>
      </c>
      <c r="CC571" s="76">
        <f>IF($BY571=0,"",IF(TRIM($W571&amp;"")="REO","REO",IF(TRIM($W571&amp;"")="FC","Foreclosure",IF(TRIM($W571&amp;"")="90+","90+ Days Delinquent",IF(TRIM($W571&amp;"")="60","60 Days Delinquent",IF(TRIM($W571&amp;"")="30","30 Days Delinquent",IF($X571="Non-Performing Matured Balloon","Non-Performing Matured Balloon",IF(OR($X571="Late Payment But Less Than 30 Days Delinquent",LEFT($X571&amp;"",20)="Payment Not Received"),"Late / In Grace (&lt;30 Days)",IF($X571="Performing Matured Balloon","Performing Matured Balloon","Current")))))))))</f>
        <v/>
      </c>
      <c r="CD571" s="78">
        <f>IF(OR($CC571="REO",$CC571="Foreclosure",$CC571="90+ Days Delinquent",$CC571="60 Days Delinquent",$CC571="30 Days Delinquent",$CC571="Non-Performing Matured Balloon"),1,0)</f>
        <v/>
      </c>
      <c r="CE571" s="76">
        <f>IF($AB571="Currently special serv","Currently Specially Serviced",IF($AB571="Returned to master serv","Previously Specially Serviced","Never Specially Serviced"))</f>
        <v/>
      </c>
      <c r="CF571" s="78">
        <f>IF($CE571="Currently Specially Serviced",1,0)</f>
        <v/>
      </c>
      <c r="CG571" s="76">
        <f>IF($AA571="Yes","Currently on Watchlist",IF($AA571="Previously","Previously on Watchlist","Never on Watchlist"))</f>
        <v/>
      </c>
      <c r="CH571" s="78">
        <f>IF($CG571="Currently on Watchlist",1,0)</f>
        <v/>
      </c>
      <c r="CI571" s="76">
        <f>IF($Z571="Full Defeasance","Fully Defeased",IF($Z571="Portion Of Loan Previously Defeased","Partially Defeased",IF($Z571="Defeasance Not Allowable","Not Defeased (Not Permitted)","Not Defeased")))</f>
        <v/>
      </c>
      <c r="CJ571" s="78">
        <f>IF($CI571="Fully Defeased",1,0)</f>
        <v/>
      </c>
      <c r="CK571" s="76">
        <f>IF($R571="IO","Full IO",IF(LEFT($R571&amp;"",7)="IO then","Partial IO","Amortizing"))</f>
        <v/>
      </c>
      <c r="CL571" s="78">
        <f>IF($CK571="Full IO",1,0)</f>
        <v/>
      </c>
      <c r="CM571" s="78">
        <f>IF($CK571="Partial IO",1,0)</f>
        <v/>
      </c>
      <c r="CN571" s="76">
        <f>IF(LEFT($F571&amp;"",10)="SPLIT_LOAN","Pari Passu Split","Standalone")</f>
        <v/>
      </c>
      <c r="CO571" s="78">
        <f>IF($CN571="Pari Passu Split",1,0)</f>
        <v/>
      </c>
      <c r="CP571" s="77">
        <f>IF(ISNUMBER($T571),YEAR($T571),"")</f>
        <v/>
      </c>
      <c r="CQ571" s="79">
        <f>IF(ISNUMBER($V571),$V571,IF(ISNUMBER($U571),$U571,""))</f>
        <v/>
      </c>
      <c r="CR571" s="77">
        <f>IF(ISNUMBER($CQ571),YEAR($CQ571),"")</f>
        <v/>
      </c>
      <c r="CS571" s="78">
        <f>IF(ISNUMBER($M571),MAX(0,$M571),IF(TRIM($M571&amp;"")="matured",0,""))</f>
        <v/>
      </c>
      <c r="CT571" s="78">
        <f>IF(AND(ISNUMBER($CS571),N($CS571)&lt;=mMatWindow),1,0)</f>
        <v/>
      </c>
      <c r="CU571" s="80">
        <f>IF(ISNUMBER($J571),$J571/100,"")</f>
        <v/>
      </c>
      <c r="CV571" s="81">
        <f>IF(ISNUMBER($AQ571),$AQ571,"")</f>
        <v/>
      </c>
      <c r="CW571" s="81">
        <f>IF(ISNUMBER($AR571),$AR571,"")</f>
        <v/>
      </c>
      <c r="CX571" s="82">
        <f>IF(ISNUMBER($AS571),$AS571/100,"")</f>
        <v/>
      </c>
      <c r="CY571" s="82">
        <f>IF(ISNUMBER($AT571),$AT571/100,"")</f>
        <v/>
      </c>
      <c r="CZ571" s="82">
        <f>IF(ISNUMBER($AU571),$AU571/100,"")</f>
        <v/>
      </c>
      <c r="DA571" s="82">
        <f>IF(ISNUMBER($AV571),$AV571/100,"")</f>
        <v/>
      </c>
      <c r="DB571" s="82">
        <f>IF(ISNUMBER($AW571),$AW571/100,"")</f>
        <v/>
      </c>
      <c r="DC571" s="82">
        <f>IF(ISNUMBER($AX571),$AX571/100,"")</f>
        <v/>
      </c>
      <c r="DD571" s="77">
        <f>IFERROR(VALUE(LEFT(TRIM($AO571&amp;""),4)),"")</f>
        <v/>
      </c>
      <c r="DE571" s="78">
        <f>IF(AND($BY571=1,$BX571=1,OR(fDeal="All Deals",$BU571=fDeal),OR(fEntity="All Entities",$BV571=fEntity),OR(fPType="All Property Types",$BZ571=fPType),OR(fDefeased="Include",$CJ571=0)),1,0)</f>
        <v/>
      </c>
      <c r="DF571" s="83">
        <f>$DE571*N($I571)</f>
        <v/>
      </c>
      <c r="DG571" s="78">
        <f>IF($DE571=1,IF(COUNTIFS($F$8:$F571,$F571,$DE$8:$DE571,1)=1,1,0),0)</f>
        <v/>
      </c>
      <c r="DH571" s="83">
        <f>IF($DG571=1,SUMIFS($DF$8:$DF$1600,$F$8:$F$1600,$F571),0)</f>
        <v/>
      </c>
      <c r="DI571" s="78">
        <f>IF($DG571=1,COUNTIFS($F$8:$F$1600,$F571,$DE$8:$DE$1600,1),0)</f>
        <v/>
      </c>
      <c r="DJ571" s="84">
        <f>IF($DG571=1,$DH571+(100000-ROW())/mTieBreak,0)</f>
        <v/>
      </c>
    </row>
    <row r="572">
      <c r="B572" s="68" t="n">
        <v>49</v>
      </c>
      <c r="C572" s="69" t="inlineStr">
        <is>
          <t>WFC19C49</t>
        </is>
      </c>
      <c r="D572" s="69" t="inlineStr">
        <is>
          <t>49.000</t>
        </is>
      </c>
      <c r="E572" s="69" t="inlineStr">
        <is>
          <t>Carrington Ridge Phase II</t>
        </is>
      </c>
      <c r="F572" s="69" t="inlineStr">
        <is>
          <t>LNWFC19C49-49.000</t>
        </is>
      </c>
      <c r="G572" s="70" t="n"/>
      <c r="H572" s="71" t="n">
        <v>5050000</v>
      </c>
      <c r="I572" s="71" t="n">
        <v>4852029.419997499</v>
      </c>
      <c r="J572" s="72" t="n">
        <v>5.133</v>
      </c>
      <c r="K572" s="69" t="inlineStr">
        <is>
          <t>Fixed rate</t>
        </is>
      </c>
      <c r="L572" s="68" t="n">
        <v>120</v>
      </c>
      <c r="M572" s="68" t="n">
        <v>27</v>
      </c>
      <c r="N572" s="68" t="n">
        <v>420</v>
      </c>
      <c r="O572" s="68" t="n">
        <v>60</v>
      </c>
      <c r="P572" s="68" t="n">
        <v>0</v>
      </c>
      <c r="Q572" s="68" t="n">
        <v>93</v>
      </c>
      <c r="R572" s="69" t="inlineStr">
        <is>
          <t>IO then Amort</t>
        </is>
      </c>
      <c r="S572" s="69" t="inlineStr">
        <is>
          <t>No</t>
        </is>
      </c>
      <c r="T572" s="73" t="n">
        <v>43435</v>
      </c>
      <c r="U572" s="73" t="n">
        <v>47093</v>
      </c>
      <c r="V572" s="73" t="n"/>
      <c r="W572" s="69" t="n"/>
      <c r="X572" s="69" t="inlineStr">
        <is>
          <t>Current</t>
        </is>
      </c>
      <c r="Y572" s="68" t="n"/>
      <c r="Z572" s="69" t="inlineStr">
        <is>
          <t>Full Defeasance</t>
        </is>
      </c>
      <c r="AA572" s="69" t="n"/>
      <c r="AB572" s="69" t="inlineStr">
        <is>
          <t>Never special serv</t>
        </is>
      </c>
      <c r="AC572" s="73" t="n"/>
      <c r="AD572" s="69" t="n"/>
      <c r="AE572" s="69" t="n"/>
      <c r="AF572" s="69" t="inlineStr">
        <is>
          <t>OH</t>
        </is>
      </c>
      <c r="AG572" s="69" t="inlineStr">
        <is>
          <t>Pataskala</t>
        </is>
      </c>
      <c r="AH572" s="69" t="inlineStr">
        <is>
          <t>Columbus, OH</t>
        </is>
      </c>
      <c r="AI572" s="69" t="inlineStr">
        <is>
          <t>Midwest / Central East</t>
        </is>
      </c>
      <c r="AJ572" s="69" t="inlineStr">
        <is>
          <t>MF</t>
        </is>
      </c>
      <c r="AK572" s="69" t="inlineStr">
        <is>
          <t>Garden</t>
        </is>
      </c>
      <c r="AL572" s="68" t="n">
        <v>1</v>
      </c>
      <c r="AM572" s="68" t="n">
        <v>36</v>
      </c>
      <c r="AN572" s="68" t="n"/>
      <c r="AO572" s="69" t="inlineStr">
        <is>
          <t>2018</t>
        </is>
      </c>
      <c r="AP572" s="70" t="n">
        <v>2018</v>
      </c>
      <c r="AQ572" s="74" t="n">
        <v>1.38</v>
      </c>
      <c r="AR572" s="74" t="n">
        <v>1.95</v>
      </c>
      <c r="AS572" s="74" t="n">
        <v>66.40000000000001</v>
      </c>
      <c r="AT572" s="74" t="n">
        <v>63.84</v>
      </c>
      <c r="AU572" s="74" t="n">
        <v>61.4</v>
      </c>
      <c r="AV572" s="74" t="n">
        <v>9.005335248</v>
      </c>
      <c r="AW572" s="74" t="n">
        <v>11.920135884</v>
      </c>
      <c r="AX572" s="75" t="n">
        <v>100</v>
      </c>
      <c r="AY572" s="71" t="n">
        <v>7600000</v>
      </c>
      <c r="AZ572" s="71" t="n">
        <v>7600000</v>
      </c>
      <c r="BA572" s="71" t="n">
        <v>454769.43</v>
      </c>
      <c r="BB572" s="71" t="n">
        <v>321623.39</v>
      </c>
      <c r="BC572" s="69" t="inlineStr">
        <is>
          <t>Refinance</t>
        </is>
      </c>
      <c r="BD572" s="69" t="inlineStr">
        <is>
          <t>N</t>
        </is>
      </c>
      <c r="BE572" s="71" t="n"/>
      <c r="BF572" s="71" t="n"/>
      <c r="BG572" s="71" t="n"/>
      <c r="BH572" s="71" t="n">
        <v>0</v>
      </c>
      <c r="BI572" s="71" t="n">
        <v>0</v>
      </c>
      <c r="BJ572" s="69" t="inlineStr">
        <is>
          <t>N</t>
        </is>
      </c>
      <c r="BK572" s="69" t="n"/>
      <c r="BL572" s="75" t="n"/>
      <c r="BM572" s="73" t="n"/>
      <c r="BN572" s="69" t="inlineStr">
        <is>
          <t>David M. Conwill; Steven B. Kimmelman; Leslie Leohr</t>
        </is>
      </c>
      <c r="BO572" s="69" t="inlineStr">
        <is>
          <t>Ladder Capital Finance</t>
        </is>
      </c>
      <c r="BP572" s="69" t="inlineStr">
        <is>
          <t>TriMont Real Estate Advisors</t>
        </is>
      </c>
      <c r="BQ572" s="69" t="inlineStr">
        <is>
          <t>K-Star Asset Management LLC</t>
        </is>
      </c>
      <c r="BR572" s="69" t="n"/>
      <c r="BS572" s="73" t="n">
        <v>46276</v>
      </c>
      <c r="BU572" s="76">
        <f>IF($C572="","",IFERROR(INDEX(dmName,MATCH($C572,dmID,0)),"Unmapped"))</f>
        <v/>
      </c>
      <c r="BV572" s="76">
        <f>IF($C572="","",IFERROR(INDEX(dmEntity,MATCH($C572,dmID,0)),"Unmapped"))</f>
        <v/>
      </c>
      <c r="BW572" s="77">
        <f>IF($C572="","",IFERROR(INDEX(dmVintage,MATCH($C572,dmID,0)),""))</f>
        <v/>
      </c>
      <c r="BX572" s="78">
        <f>IFERROR(INDEX(dmInclude,MATCH($C572,dmID,0)),0)</f>
        <v/>
      </c>
      <c r="BY572" s="78">
        <f>IF(N($I572)&gt;0,1,0)</f>
        <v/>
      </c>
      <c r="BZ572" s="76">
        <f>IF($AJ572="","Other / Leased Fee",IFERROR(INDEX(mapPTGroup,MATCH(LEFT(TRIM($AJ572),2),mapPTCode,0)),"Other / Leased Fee"))</f>
        <v/>
      </c>
      <c r="CA572" s="76">
        <f>IF(TRIM($AF572&amp;"")="","NR",LEFT(TRIM($AF572),2))</f>
        <v/>
      </c>
      <c r="CB572" s="76">
        <f>IFERROR(LOOKUP(2,1/(LEFT(TRIM($AI572&amp;""),LEN(mapRegion))=mapRegion),mapRegion),"Not Reported")</f>
        <v/>
      </c>
      <c r="CC572" s="76">
        <f>IF($BY572=0,"",IF(TRIM($W572&amp;"")="REO","REO",IF(TRIM($W572&amp;"")="FC","Foreclosure",IF(TRIM($W572&amp;"")="90+","90+ Days Delinquent",IF(TRIM($W572&amp;"")="60","60 Days Delinquent",IF(TRIM($W572&amp;"")="30","30 Days Delinquent",IF($X572="Non-Performing Matured Balloon","Non-Performing Matured Balloon",IF(OR($X572="Late Payment But Less Than 30 Days Delinquent",LEFT($X572&amp;"",20)="Payment Not Received"),"Late / In Grace (&lt;30 Days)",IF($X572="Performing Matured Balloon","Performing Matured Balloon","Current")))))))))</f>
        <v/>
      </c>
      <c r="CD572" s="78">
        <f>IF(OR($CC572="REO",$CC572="Foreclosure",$CC572="90+ Days Delinquent",$CC572="60 Days Delinquent",$CC572="30 Days Delinquent",$CC572="Non-Performing Matured Balloon"),1,0)</f>
        <v/>
      </c>
      <c r="CE572" s="76">
        <f>IF($AB572="Currently special serv","Currently Specially Serviced",IF($AB572="Returned to master serv","Previously Specially Serviced","Never Specially Serviced"))</f>
        <v/>
      </c>
      <c r="CF572" s="78">
        <f>IF($CE572="Currently Specially Serviced",1,0)</f>
        <v/>
      </c>
      <c r="CG572" s="76">
        <f>IF($AA572="Yes","Currently on Watchlist",IF($AA572="Previously","Previously on Watchlist","Never on Watchlist"))</f>
        <v/>
      </c>
      <c r="CH572" s="78">
        <f>IF($CG572="Currently on Watchlist",1,0)</f>
        <v/>
      </c>
      <c r="CI572" s="76">
        <f>IF($Z572="Full Defeasance","Fully Defeased",IF($Z572="Portion Of Loan Previously Defeased","Partially Defeased",IF($Z572="Defeasance Not Allowable","Not Defeased (Not Permitted)","Not Defeased")))</f>
        <v/>
      </c>
      <c r="CJ572" s="78">
        <f>IF($CI572="Fully Defeased",1,0)</f>
        <v/>
      </c>
      <c r="CK572" s="76">
        <f>IF($R572="IO","Full IO",IF(LEFT($R572&amp;"",7)="IO then","Partial IO","Amortizing"))</f>
        <v/>
      </c>
      <c r="CL572" s="78">
        <f>IF($CK572="Full IO",1,0)</f>
        <v/>
      </c>
      <c r="CM572" s="78">
        <f>IF($CK572="Partial IO",1,0)</f>
        <v/>
      </c>
      <c r="CN572" s="76">
        <f>IF(LEFT($F572&amp;"",10)="SPLIT_LOAN","Pari Passu Split","Standalone")</f>
        <v/>
      </c>
      <c r="CO572" s="78">
        <f>IF($CN572="Pari Passu Split",1,0)</f>
        <v/>
      </c>
      <c r="CP572" s="77">
        <f>IF(ISNUMBER($T572),YEAR($T572),"")</f>
        <v/>
      </c>
      <c r="CQ572" s="79">
        <f>IF(ISNUMBER($V572),$V572,IF(ISNUMBER($U572),$U572,""))</f>
        <v/>
      </c>
      <c r="CR572" s="77">
        <f>IF(ISNUMBER($CQ572),YEAR($CQ572),"")</f>
        <v/>
      </c>
      <c r="CS572" s="78">
        <f>IF(ISNUMBER($M572),MAX(0,$M572),IF(TRIM($M572&amp;"")="matured",0,""))</f>
        <v/>
      </c>
      <c r="CT572" s="78">
        <f>IF(AND(ISNUMBER($CS572),N($CS572)&lt;=mMatWindow),1,0)</f>
        <v/>
      </c>
      <c r="CU572" s="80">
        <f>IF(ISNUMBER($J572),$J572/100,"")</f>
        <v/>
      </c>
      <c r="CV572" s="81">
        <f>IF(ISNUMBER($AQ572),$AQ572,"")</f>
        <v/>
      </c>
      <c r="CW572" s="81">
        <f>IF(ISNUMBER($AR572),$AR572,"")</f>
        <v/>
      </c>
      <c r="CX572" s="82">
        <f>IF(ISNUMBER($AS572),$AS572/100,"")</f>
        <v/>
      </c>
      <c r="CY572" s="82">
        <f>IF(ISNUMBER($AT572),$AT572/100,"")</f>
        <v/>
      </c>
      <c r="CZ572" s="82">
        <f>IF(ISNUMBER($AU572),$AU572/100,"")</f>
        <v/>
      </c>
      <c r="DA572" s="82">
        <f>IF(ISNUMBER($AV572),$AV572/100,"")</f>
        <v/>
      </c>
      <c r="DB572" s="82">
        <f>IF(ISNUMBER($AW572),$AW572/100,"")</f>
        <v/>
      </c>
      <c r="DC572" s="82">
        <f>IF(ISNUMBER($AX572),$AX572/100,"")</f>
        <v/>
      </c>
      <c r="DD572" s="77">
        <f>IFERROR(VALUE(LEFT(TRIM($AO572&amp;""),4)),"")</f>
        <v/>
      </c>
      <c r="DE572" s="78">
        <f>IF(AND($BY572=1,$BX572=1,OR(fDeal="All Deals",$BU572=fDeal),OR(fEntity="All Entities",$BV572=fEntity),OR(fPType="All Property Types",$BZ572=fPType),OR(fDefeased="Include",$CJ572=0)),1,0)</f>
        <v/>
      </c>
      <c r="DF572" s="83">
        <f>$DE572*N($I572)</f>
        <v/>
      </c>
      <c r="DG572" s="78">
        <f>IF($DE572=1,IF(COUNTIFS($F$8:$F572,$F572,$DE$8:$DE572,1)=1,1,0),0)</f>
        <v/>
      </c>
      <c r="DH572" s="83">
        <f>IF($DG572=1,SUMIFS($DF$8:$DF$1600,$F$8:$F$1600,$F572),0)</f>
        <v/>
      </c>
      <c r="DI572" s="78">
        <f>IF($DG572=1,COUNTIFS($F$8:$F$1600,$F572,$DE$8:$DE$1600,1),0)</f>
        <v/>
      </c>
      <c r="DJ572" s="84">
        <f>IF($DG572=1,$DH572+(100000-ROW())/mTieBreak,0)</f>
        <v/>
      </c>
    </row>
    <row r="573">
      <c r="B573" s="68" t="n">
        <v>50</v>
      </c>
      <c r="C573" s="69" t="inlineStr">
        <is>
          <t>WFC19C49</t>
        </is>
      </c>
      <c r="D573" s="69" t="inlineStr">
        <is>
          <t>50.000</t>
        </is>
      </c>
      <c r="E573" s="69" t="inlineStr">
        <is>
          <t>Tolip Apartments</t>
        </is>
      </c>
      <c r="F573" s="69" t="inlineStr">
        <is>
          <t>LNWFC19C49-50.000</t>
        </is>
      </c>
      <c r="G573" s="70" t="n"/>
      <c r="H573" s="71" t="n">
        <v>4850000</v>
      </c>
      <c r="I573" s="71" t="n">
        <v>4531431.720001451</v>
      </c>
      <c r="J573" s="72" t="n">
        <v>5.4</v>
      </c>
      <c r="K573" s="69" t="inlineStr">
        <is>
          <t>Fixed rate</t>
        </is>
      </c>
      <c r="L573" s="68" t="n">
        <v>120</v>
      </c>
      <c r="M573" s="68" t="n">
        <v>29</v>
      </c>
      <c r="N573" s="68" t="n">
        <v>396</v>
      </c>
      <c r="O573" s="68" t="n">
        <v>36</v>
      </c>
      <c r="P573" s="68" t="n">
        <v>0</v>
      </c>
      <c r="Q573" s="68" t="n">
        <v>91</v>
      </c>
      <c r="R573" s="69" t="inlineStr">
        <is>
          <t>IO then Amort</t>
        </is>
      </c>
      <c r="S573" s="69" t="inlineStr">
        <is>
          <t>No</t>
        </is>
      </c>
      <c r="T573" s="73" t="n">
        <v>43497</v>
      </c>
      <c r="U573" s="73" t="n">
        <v>47160</v>
      </c>
      <c r="V573" s="73" t="n"/>
      <c r="W573" s="69" t="n"/>
      <c r="X573" s="69" t="inlineStr">
        <is>
          <t>Current</t>
        </is>
      </c>
      <c r="Y573" s="68" t="n"/>
      <c r="Z573" s="69" t="inlineStr">
        <is>
          <t>No Defeasance Occurred</t>
        </is>
      </c>
      <c r="AA573" s="69" t="inlineStr">
        <is>
          <t>Previously</t>
        </is>
      </c>
      <c r="AB573" s="69" t="inlineStr">
        <is>
          <t>Never special serv</t>
        </is>
      </c>
      <c r="AC573" s="73" t="n"/>
      <c r="AD573" s="69" t="n"/>
      <c r="AE573" s="69" t="n"/>
      <c r="AF573" s="69" t="inlineStr">
        <is>
          <t>NY</t>
        </is>
      </c>
      <c r="AG573" s="69" t="inlineStr">
        <is>
          <t>Tonawanda</t>
        </is>
      </c>
      <c r="AH573" s="69" t="inlineStr">
        <is>
          <t>Buffalo-Cheektowaga, NY</t>
        </is>
      </c>
      <c r="AI573" s="69" t="inlineStr">
        <is>
          <t>Northeast / Mid-Atlantic</t>
        </is>
      </c>
      <c r="AJ573" s="69" t="inlineStr">
        <is>
          <t>MF</t>
        </is>
      </c>
      <c r="AK573" s="69" t="inlineStr">
        <is>
          <t>Garden</t>
        </is>
      </c>
      <c r="AL573" s="68" t="n">
        <v>1</v>
      </c>
      <c r="AM573" s="68" t="n">
        <v>107</v>
      </c>
      <c r="AN573" s="68" t="n"/>
      <c r="AO573" s="69" t="inlineStr">
        <is>
          <t>1968</t>
        </is>
      </c>
      <c r="AP573" s="70" t="n">
        <v>2018</v>
      </c>
      <c r="AQ573" s="74" t="n">
        <v>1.32</v>
      </c>
      <c r="AR573" s="74" t="n">
        <v>2.13</v>
      </c>
      <c r="AS573" s="74" t="n">
        <v>66.40000000000001</v>
      </c>
      <c r="AT573" s="74" t="n">
        <v>62.07</v>
      </c>
      <c r="AU573" s="74" t="n">
        <v>59.3</v>
      </c>
      <c r="AV573" s="74" t="n">
        <v>8.868725567</v>
      </c>
      <c r="AW573" s="74" t="n">
        <v>14.601761008</v>
      </c>
      <c r="AX573" s="75" t="n">
        <v>91</v>
      </c>
      <c r="AY573" s="71" t="n">
        <v>7300000</v>
      </c>
      <c r="AZ573" s="71" t="n">
        <v>7300000</v>
      </c>
      <c r="BA573" s="71" t="n">
        <v>430133.19</v>
      </c>
      <c r="BB573" s="71" t="n">
        <v>348634.09</v>
      </c>
      <c r="BC573" s="69" t="inlineStr">
        <is>
          <t>Refinance</t>
        </is>
      </c>
      <c r="BD573" s="69" t="inlineStr">
        <is>
          <t>N</t>
        </is>
      </c>
      <c r="BE573" s="71" t="n"/>
      <c r="BF573" s="71" t="n"/>
      <c r="BG573" s="71" t="n"/>
      <c r="BH573" s="71" t="n">
        <v>0</v>
      </c>
      <c r="BI573" s="71" t="n">
        <v>0</v>
      </c>
      <c r="BJ573" s="69" t="inlineStr">
        <is>
          <t>N</t>
        </is>
      </c>
      <c r="BK573" s="69" t="n"/>
      <c r="BL573" s="75" t="n"/>
      <c r="BM573" s="73" t="n"/>
      <c r="BN573" s="69" t="inlineStr">
        <is>
          <t>Jonathan D. Schechter; John J. Edwards</t>
        </is>
      </c>
      <c r="BO573" s="69" t="inlineStr">
        <is>
          <t>CIII Capital</t>
        </is>
      </c>
      <c r="BP573" s="69" t="inlineStr">
        <is>
          <t>TriMont Real Estate Advisors</t>
        </is>
      </c>
      <c r="BQ573" s="69" t="inlineStr">
        <is>
          <t>K-Star Asset Management LLC</t>
        </is>
      </c>
      <c r="BR573" s="69" t="n"/>
      <c r="BS573" s="73" t="n">
        <v>46276</v>
      </c>
      <c r="BU573" s="76">
        <f>IF($C573="","",IFERROR(INDEX(dmName,MATCH($C573,dmID,0)),"Unmapped"))</f>
        <v/>
      </c>
      <c r="BV573" s="76">
        <f>IF($C573="","",IFERROR(INDEX(dmEntity,MATCH($C573,dmID,0)),"Unmapped"))</f>
        <v/>
      </c>
      <c r="BW573" s="77">
        <f>IF($C573="","",IFERROR(INDEX(dmVintage,MATCH($C573,dmID,0)),""))</f>
        <v/>
      </c>
      <c r="BX573" s="78">
        <f>IFERROR(INDEX(dmInclude,MATCH($C573,dmID,0)),0)</f>
        <v/>
      </c>
      <c r="BY573" s="78">
        <f>IF(N($I573)&gt;0,1,0)</f>
        <v/>
      </c>
      <c r="BZ573" s="76">
        <f>IF($AJ573="","Other / Leased Fee",IFERROR(INDEX(mapPTGroup,MATCH(LEFT(TRIM($AJ573),2),mapPTCode,0)),"Other / Leased Fee"))</f>
        <v/>
      </c>
      <c r="CA573" s="76">
        <f>IF(TRIM($AF573&amp;"")="","NR",LEFT(TRIM($AF573),2))</f>
        <v/>
      </c>
      <c r="CB573" s="76">
        <f>IFERROR(LOOKUP(2,1/(LEFT(TRIM($AI573&amp;""),LEN(mapRegion))=mapRegion),mapRegion),"Not Reported")</f>
        <v/>
      </c>
      <c r="CC573" s="76">
        <f>IF($BY573=0,"",IF(TRIM($W573&amp;"")="REO","REO",IF(TRIM($W573&amp;"")="FC","Foreclosure",IF(TRIM($W573&amp;"")="90+","90+ Days Delinquent",IF(TRIM($W573&amp;"")="60","60 Days Delinquent",IF(TRIM($W573&amp;"")="30","30 Days Delinquent",IF($X573="Non-Performing Matured Balloon","Non-Performing Matured Balloon",IF(OR($X573="Late Payment But Less Than 30 Days Delinquent",LEFT($X573&amp;"",20)="Payment Not Received"),"Late / In Grace (&lt;30 Days)",IF($X573="Performing Matured Balloon","Performing Matured Balloon","Current")))))))))</f>
        <v/>
      </c>
      <c r="CD573" s="78">
        <f>IF(OR($CC573="REO",$CC573="Foreclosure",$CC573="90+ Days Delinquent",$CC573="60 Days Delinquent",$CC573="30 Days Delinquent",$CC573="Non-Performing Matured Balloon"),1,0)</f>
        <v/>
      </c>
      <c r="CE573" s="76">
        <f>IF($AB573="Currently special serv","Currently Specially Serviced",IF($AB573="Returned to master serv","Previously Specially Serviced","Never Specially Serviced"))</f>
        <v/>
      </c>
      <c r="CF573" s="78">
        <f>IF($CE573="Currently Specially Serviced",1,0)</f>
        <v/>
      </c>
      <c r="CG573" s="76">
        <f>IF($AA573="Yes","Currently on Watchlist",IF($AA573="Previously","Previously on Watchlist","Never on Watchlist"))</f>
        <v/>
      </c>
      <c r="CH573" s="78">
        <f>IF($CG573="Currently on Watchlist",1,0)</f>
        <v/>
      </c>
      <c r="CI573" s="76">
        <f>IF($Z573="Full Defeasance","Fully Defeased",IF($Z573="Portion Of Loan Previously Defeased","Partially Defeased",IF($Z573="Defeasance Not Allowable","Not Defeased (Not Permitted)","Not Defeased")))</f>
        <v/>
      </c>
      <c r="CJ573" s="78">
        <f>IF($CI573="Fully Defeased",1,0)</f>
        <v/>
      </c>
      <c r="CK573" s="76">
        <f>IF($R573="IO","Full IO",IF(LEFT($R573&amp;"",7)="IO then","Partial IO","Amortizing"))</f>
        <v/>
      </c>
      <c r="CL573" s="78">
        <f>IF($CK573="Full IO",1,0)</f>
        <v/>
      </c>
      <c r="CM573" s="78">
        <f>IF($CK573="Partial IO",1,0)</f>
        <v/>
      </c>
      <c r="CN573" s="76">
        <f>IF(LEFT($F573&amp;"",10)="SPLIT_LOAN","Pari Passu Split","Standalone")</f>
        <v/>
      </c>
      <c r="CO573" s="78">
        <f>IF($CN573="Pari Passu Split",1,0)</f>
        <v/>
      </c>
      <c r="CP573" s="77">
        <f>IF(ISNUMBER($T573),YEAR($T573),"")</f>
        <v/>
      </c>
      <c r="CQ573" s="79">
        <f>IF(ISNUMBER($V573),$V573,IF(ISNUMBER($U573),$U573,""))</f>
        <v/>
      </c>
      <c r="CR573" s="77">
        <f>IF(ISNUMBER($CQ573),YEAR($CQ573),"")</f>
        <v/>
      </c>
      <c r="CS573" s="78">
        <f>IF(ISNUMBER($M573),MAX(0,$M573),IF(TRIM($M573&amp;"")="matured",0,""))</f>
        <v/>
      </c>
      <c r="CT573" s="78">
        <f>IF(AND(ISNUMBER($CS573),N($CS573)&lt;=mMatWindow),1,0)</f>
        <v/>
      </c>
      <c r="CU573" s="80">
        <f>IF(ISNUMBER($J573),$J573/100,"")</f>
        <v/>
      </c>
      <c r="CV573" s="81">
        <f>IF(ISNUMBER($AQ573),$AQ573,"")</f>
        <v/>
      </c>
      <c r="CW573" s="81">
        <f>IF(ISNUMBER($AR573),$AR573,"")</f>
        <v/>
      </c>
      <c r="CX573" s="82">
        <f>IF(ISNUMBER($AS573),$AS573/100,"")</f>
        <v/>
      </c>
      <c r="CY573" s="82">
        <f>IF(ISNUMBER($AT573),$AT573/100,"")</f>
        <v/>
      </c>
      <c r="CZ573" s="82">
        <f>IF(ISNUMBER($AU573),$AU573/100,"")</f>
        <v/>
      </c>
      <c r="DA573" s="82">
        <f>IF(ISNUMBER($AV573),$AV573/100,"")</f>
        <v/>
      </c>
      <c r="DB573" s="82">
        <f>IF(ISNUMBER($AW573),$AW573/100,"")</f>
        <v/>
      </c>
      <c r="DC573" s="82">
        <f>IF(ISNUMBER($AX573),$AX573/100,"")</f>
        <v/>
      </c>
      <c r="DD573" s="77">
        <f>IFERROR(VALUE(LEFT(TRIM($AO573&amp;""),4)),"")</f>
        <v/>
      </c>
      <c r="DE573" s="78">
        <f>IF(AND($BY573=1,$BX573=1,OR(fDeal="All Deals",$BU573=fDeal),OR(fEntity="All Entities",$BV573=fEntity),OR(fPType="All Property Types",$BZ573=fPType),OR(fDefeased="Include",$CJ573=0)),1,0)</f>
        <v/>
      </c>
      <c r="DF573" s="83">
        <f>$DE573*N($I573)</f>
        <v/>
      </c>
      <c r="DG573" s="78">
        <f>IF($DE573=1,IF(COUNTIFS($F$8:$F573,$F573,$DE$8:$DE573,1)=1,1,0),0)</f>
        <v/>
      </c>
      <c r="DH573" s="83">
        <f>IF($DG573=1,SUMIFS($DF$8:$DF$1600,$F$8:$F$1600,$F573),0)</f>
        <v/>
      </c>
      <c r="DI573" s="78">
        <f>IF($DG573=1,COUNTIFS($F$8:$F$1600,$F573,$DE$8:$DE$1600,1),0)</f>
        <v/>
      </c>
      <c r="DJ573" s="84">
        <f>IF($DG573=1,$DH573+(100000-ROW())/mTieBreak,0)</f>
        <v/>
      </c>
    </row>
    <row r="574">
      <c r="B574" s="68" t="n">
        <v>51</v>
      </c>
      <c r="C574" s="69" t="inlineStr">
        <is>
          <t>WFC19C49</t>
        </is>
      </c>
      <c r="D574" s="69" t="inlineStr">
        <is>
          <t>51.000</t>
        </is>
      </c>
      <c r="E574" s="69" t="inlineStr">
        <is>
          <t>Howard Park Plaza- CA</t>
        </is>
      </c>
      <c r="F574" s="69" t="inlineStr">
        <is>
          <t>LNWFC19C49-51.000</t>
        </is>
      </c>
      <c r="G574" s="70" t="n"/>
      <c r="H574" s="71" t="n">
        <v>4800000</v>
      </c>
      <c r="I574" s="71" t="n">
        <v>4176815.4200016</v>
      </c>
      <c r="J574" s="72" t="n">
        <v>4.84</v>
      </c>
      <c r="K574" s="69" t="inlineStr">
        <is>
          <t>Fixed rate</t>
        </is>
      </c>
      <c r="L574" s="68" t="n">
        <v>120</v>
      </c>
      <c r="M574" s="68" t="n">
        <v>29</v>
      </c>
      <c r="N574" s="68" t="n">
        <v>360</v>
      </c>
      <c r="O574" s="68" t="n"/>
      <c r="P574" s="68" t="n"/>
      <c r="Q574" s="68" t="n">
        <v>91</v>
      </c>
      <c r="R574" s="69" t="n"/>
      <c r="S574" s="69" t="inlineStr">
        <is>
          <t>No</t>
        </is>
      </c>
      <c r="T574" s="73" t="n">
        <v>43497</v>
      </c>
      <c r="U574" s="73" t="n">
        <v>47160</v>
      </c>
      <c r="V574" s="73" t="n"/>
      <c r="W574" s="69" t="n"/>
      <c r="X574" s="69" t="inlineStr">
        <is>
          <t>Current</t>
        </is>
      </c>
      <c r="Y574" s="68" t="n"/>
      <c r="Z574" s="69" t="inlineStr">
        <is>
          <t>No Defeasance Occurred</t>
        </is>
      </c>
      <c r="AA574" s="69" t="inlineStr">
        <is>
          <t>Previously</t>
        </is>
      </c>
      <c r="AB574" s="69" t="inlineStr">
        <is>
          <t>Never special serv</t>
        </is>
      </c>
      <c r="AC574" s="73" t="n"/>
      <c r="AD574" s="69" t="n"/>
      <c r="AE574" s="69" t="n"/>
      <c r="AF574" s="69" t="inlineStr">
        <is>
          <t>CA</t>
        </is>
      </c>
      <c r="AG574" s="69" t="inlineStr">
        <is>
          <t>Madera</t>
        </is>
      </c>
      <c r="AH574" s="69" t="inlineStr">
        <is>
          <t>Fresno, CA</t>
        </is>
      </c>
      <c r="AI574" s="69" t="inlineStr">
        <is>
          <t>West / Pacific North</t>
        </is>
      </c>
      <c r="AJ574" s="69" t="inlineStr">
        <is>
          <t>RT</t>
        </is>
      </c>
      <c r="AK574" s="69" t="inlineStr">
        <is>
          <t>Anchored</t>
        </is>
      </c>
      <c r="AL574" s="68" t="n">
        <v>1</v>
      </c>
      <c r="AM574" s="68" t="n"/>
      <c r="AN574" s="68" t="n">
        <v>98546</v>
      </c>
      <c r="AO574" s="69" t="inlineStr">
        <is>
          <t>1972</t>
        </is>
      </c>
      <c r="AP574" s="70" t="n">
        <v>1992</v>
      </c>
      <c r="AQ574" s="74" t="n">
        <v>1.97</v>
      </c>
      <c r="AR574" s="74" t="n">
        <v>1.15</v>
      </c>
      <c r="AS574" s="74" t="n">
        <v>55.1</v>
      </c>
      <c r="AT574" s="74" t="n">
        <v>48.01</v>
      </c>
      <c r="AU574" s="74" t="n">
        <v>45.1</v>
      </c>
      <c r="AV574" s="74" t="n">
        <v>12.468250417</v>
      </c>
      <c r="AW574" s="74" t="n">
        <v>12.71378231</v>
      </c>
      <c r="AX574" s="75" t="n">
        <v>90</v>
      </c>
      <c r="AY574" s="71" t="n">
        <v>8700000</v>
      </c>
      <c r="AZ574" s="71" t="n">
        <v>8700000</v>
      </c>
      <c r="BA574" s="71" t="n">
        <v>598476.02</v>
      </c>
      <c r="BB574" s="71" t="n">
        <v>87211.48</v>
      </c>
      <c r="BC574" s="69" t="inlineStr">
        <is>
          <t>Refinance</t>
        </is>
      </c>
      <c r="BD574" s="69" t="inlineStr">
        <is>
          <t>N</t>
        </is>
      </c>
      <c r="BE574" s="71" t="n"/>
      <c r="BF574" s="71" t="n"/>
      <c r="BG574" s="71" t="n"/>
      <c r="BH574" s="71" t="n">
        <v>0</v>
      </c>
      <c r="BI574" s="71" t="n">
        <v>0</v>
      </c>
      <c r="BJ574" s="69" t="inlineStr">
        <is>
          <t>N</t>
        </is>
      </c>
      <c r="BK574" s="69" t="inlineStr">
        <is>
          <t>Save Mart</t>
        </is>
      </c>
      <c r="BL574" s="75" t="n">
        <v>45.3</v>
      </c>
      <c r="BM574" s="73" t="n">
        <v>46721</v>
      </c>
      <c r="BN574" s="69" t="inlineStr">
        <is>
          <t>Ronald Gonzales; Mirna Gonzales</t>
        </is>
      </c>
      <c r="BO574" s="69" t="inlineStr">
        <is>
          <t>Wells Fargo</t>
        </is>
      </c>
      <c r="BP574" s="69" t="inlineStr">
        <is>
          <t>TriMont Real Estate Advisors</t>
        </is>
      </c>
      <c r="BQ574" s="69" t="inlineStr">
        <is>
          <t>K-Star Asset Management LLC</t>
        </is>
      </c>
      <c r="BR574" s="69" t="n"/>
      <c r="BS574" s="73" t="n">
        <v>46276</v>
      </c>
      <c r="BU574" s="76">
        <f>IF($C574="","",IFERROR(INDEX(dmName,MATCH($C574,dmID,0)),"Unmapped"))</f>
        <v/>
      </c>
      <c r="BV574" s="76">
        <f>IF($C574="","",IFERROR(INDEX(dmEntity,MATCH($C574,dmID,0)),"Unmapped"))</f>
        <v/>
      </c>
      <c r="BW574" s="77">
        <f>IF($C574="","",IFERROR(INDEX(dmVintage,MATCH($C574,dmID,0)),""))</f>
        <v/>
      </c>
      <c r="BX574" s="78">
        <f>IFERROR(INDEX(dmInclude,MATCH($C574,dmID,0)),0)</f>
        <v/>
      </c>
      <c r="BY574" s="78">
        <f>IF(N($I574)&gt;0,1,0)</f>
        <v/>
      </c>
      <c r="BZ574" s="76">
        <f>IF($AJ574="","Other / Leased Fee",IFERROR(INDEX(mapPTGroup,MATCH(LEFT(TRIM($AJ574),2),mapPTCode,0)),"Other / Leased Fee"))</f>
        <v/>
      </c>
      <c r="CA574" s="76">
        <f>IF(TRIM($AF574&amp;"")="","NR",LEFT(TRIM($AF574),2))</f>
        <v/>
      </c>
      <c r="CB574" s="76">
        <f>IFERROR(LOOKUP(2,1/(LEFT(TRIM($AI574&amp;""),LEN(mapRegion))=mapRegion),mapRegion),"Not Reported")</f>
        <v/>
      </c>
      <c r="CC574" s="76">
        <f>IF($BY574=0,"",IF(TRIM($W574&amp;"")="REO","REO",IF(TRIM($W574&amp;"")="FC","Foreclosure",IF(TRIM($W574&amp;"")="90+","90+ Days Delinquent",IF(TRIM($W574&amp;"")="60","60 Days Delinquent",IF(TRIM($W574&amp;"")="30","30 Days Delinquent",IF($X574="Non-Performing Matured Balloon","Non-Performing Matured Balloon",IF(OR($X574="Late Payment But Less Than 30 Days Delinquent",LEFT($X574&amp;"",20)="Payment Not Received"),"Late / In Grace (&lt;30 Days)",IF($X574="Performing Matured Balloon","Performing Matured Balloon","Current")))))))))</f>
        <v/>
      </c>
      <c r="CD574" s="78">
        <f>IF(OR($CC574="REO",$CC574="Foreclosure",$CC574="90+ Days Delinquent",$CC574="60 Days Delinquent",$CC574="30 Days Delinquent",$CC574="Non-Performing Matured Balloon"),1,0)</f>
        <v/>
      </c>
      <c r="CE574" s="76">
        <f>IF($AB574="Currently special serv","Currently Specially Serviced",IF($AB574="Returned to master serv","Previously Specially Serviced","Never Specially Serviced"))</f>
        <v/>
      </c>
      <c r="CF574" s="78">
        <f>IF($CE574="Currently Specially Serviced",1,0)</f>
        <v/>
      </c>
      <c r="CG574" s="76">
        <f>IF($AA574="Yes","Currently on Watchlist",IF($AA574="Previously","Previously on Watchlist","Never on Watchlist"))</f>
        <v/>
      </c>
      <c r="CH574" s="78">
        <f>IF($CG574="Currently on Watchlist",1,0)</f>
        <v/>
      </c>
      <c r="CI574" s="76">
        <f>IF($Z574="Full Defeasance","Fully Defeased",IF($Z574="Portion Of Loan Previously Defeased","Partially Defeased",IF($Z574="Defeasance Not Allowable","Not Defeased (Not Permitted)","Not Defeased")))</f>
        <v/>
      </c>
      <c r="CJ574" s="78">
        <f>IF($CI574="Fully Defeased",1,0)</f>
        <v/>
      </c>
      <c r="CK574" s="76">
        <f>IF($R574="IO","Full IO",IF(LEFT($R574&amp;"",7)="IO then","Partial IO","Amortizing"))</f>
        <v/>
      </c>
      <c r="CL574" s="78">
        <f>IF($CK574="Full IO",1,0)</f>
        <v/>
      </c>
      <c r="CM574" s="78">
        <f>IF($CK574="Partial IO",1,0)</f>
        <v/>
      </c>
      <c r="CN574" s="76">
        <f>IF(LEFT($F574&amp;"",10)="SPLIT_LOAN","Pari Passu Split","Standalone")</f>
        <v/>
      </c>
      <c r="CO574" s="78">
        <f>IF($CN574="Pari Passu Split",1,0)</f>
        <v/>
      </c>
      <c r="CP574" s="77">
        <f>IF(ISNUMBER($T574),YEAR($T574),"")</f>
        <v/>
      </c>
      <c r="CQ574" s="79">
        <f>IF(ISNUMBER($V574),$V574,IF(ISNUMBER($U574),$U574,""))</f>
        <v/>
      </c>
      <c r="CR574" s="77">
        <f>IF(ISNUMBER($CQ574),YEAR($CQ574),"")</f>
        <v/>
      </c>
      <c r="CS574" s="78">
        <f>IF(ISNUMBER($M574),MAX(0,$M574),IF(TRIM($M574&amp;"")="matured",0,""))</f>
        <v/>
      </c>
      <c r="CT574" s="78">
        <f>IF(AND(ISNUMBER($CS574),N($CS574)&lt;=mMatWindow),1,0)</f>
        <v/>
      </c>
      <c r="CU574" s="80">
        <f>IF(ISNUMBER($J574),$J574/100,"")</f>
        <v/>
      </c>
      <c r="CV574" s="81">
        <f>IF(ISNUMBER($AQ574),$AQ574,"")</f>
        <v/>
      </c>
      <c r="CW574" s="81">
        <f>IF(ISNUMBER($AR574),$AR574,"")</f>
        <v/>
      </c>
      <c r="CX574" s="82">
        <f>IF(ISNUMBER($AS574),$AS574/100,"")</f>
        <v/>
      </c>
      <c r="CY574" s="82">
        <f>IF(ISNUMBER($AT574),$AT574/100,"")</f>
        <v/>
      </c>
      <c r="CZ574" s="82">
        <f>IF(ISNUMBER($AU574),$AU574/100,"")</f>
        <v/>
      </c>
      <c r="DA574" s="82">
        <f>IF(ISNUMBER($AV574),$AV574/100,"")</f>
        <v/>
      </c>
      <c r="DB574" s="82">
        <f>IF(ISNUMBER($AW574),$AW574/100,"")</f>
        <v/>
      </c>
      <c r="DC574" s="82">
        <f>IF(ISNUMBER($AX574),$AX574/100,"")</f>
        <v/>
      </c>
      <c r="DD574" s="77">
        <f>IFERROR(VALUE(LEFT(TRIM($AO574&amp;""),4)),"")</f>
        <v/>
      </c>
      <c r="DE574" s="78">
        <f>IF(AND($BY574=1,$BX574=1,OR(fDeal="All Deals",$BU574=fDeal),OR(fEntity="All Entities",$BV574=fEntity),OR(fPType="All Property Types",$BZ574=fPType),OR(fDefeased="Include",$CJ574=0)),1,0)</f>
        <v/>
      </c>
      <c r="DF574" s="83">
        <f>$DE574*N($I574)</f>
        <v/>
      </c>
      <c r="DG574" s="78">
        <f>IF($DE574=1,IF(COUNTIFS($F$8:$F574,$F574,$DE$8:$DE574,1)=1,1,0),0)</f>
        <v/>
      </c>
      <c r="DH574" s="83">
        <f>IF($DG574=1,SUMIFS($DF$8:$DF$1600,$F$8:$F$1600,$F574),0)</f>
        <v/>
      </c>
      <c r="DI574" s="78">
        <f>IF($DG574=1,COUNTIFS($F$8:$F$1600,$F574,$DE$8:$DE$1600,1),0)</f>
        <v/>
      </c>
      <c r="DJ574" s="84">
        <f>IF($DG574=1,$DH574+(100000-ROW())/mTieBreak,0)</f>
        <v/>
      </c>
    </row>
    <row r="575">
      <c r="B575" s="68" t="n">
        <v>52</v>
      </c>
      <c r="C575" s="69" t="inlineStr">
        <is>
          <t>WFC19C49</t>
        </is>
      </c>
      <c r="D575" s="69" t="inlineStr">
        <is>
          <t>52.000</t>
        </is>
      </c>
      <c r="E575" s="69" t="inlineStr">
        <is>
          <t>Holiday Park MHC</t>
        </is>
      </c>
      <c r="F575" s="69" t="inlineStr">
        <is>
          <t>LNWFC19C49-52.000</t>
        </is>
      </c>
      <c r="G575" s="70" t="n"/>
      <c r="H575" s="71" t="n">
        <v>4600000</v>
      </c>
      <c r="I575" s="71" t="n">
        <v>4215191.7999988</v>
      </c>
      <c r="J575" s="72" t="n">
        <v>5.4</v>
      </c>
      <c r="K575" s="69" t="inlineStr">
        <is>
          <t>Fixed rate</t>
        </is>
      </c>
      <c r="L575" s="68" t="n">
        <v>120</v>
      </c>
      <c r="M575" s="68" t="n">
        <v>28</v>
      </c>
      <c r="N575" s="68" t="n">
        <v>384</v>
      </c>
      <c r="O575" s="68" t="n">
        <v>24</v>
      </c>
      <c r="P575" s="68" t="n">
        <v>0</v>
      </c>
      <c r="Q575" s="68" t="n">
        <v>92</v>
      </c>
      <c r="R575" s="69" t="inlineStr">
        <is>
          <t>IO then Amort</t>
        </is>
      </c>
      <c r="S575" s="69" t="inlineStr">
        <is>
          <t>No</t>
        </is>
      </c>
      <c r="T575" s="73" t="n">
        <v>43466</v>
      </c>
      <c r="U575" s="73" t="n">
        <v>47129</v>
      </c>
      <c r="V575" s="73" t="n"/>
      <c r="W575" s="69" t="n"/>
      <c r="X575" s="69" t="inlineStr">
        <is>
          <t>Current</t>
        </is>
      </c>
      <c r="Y575" s="68" t="n"/>
      <c r="Z575" s="69" t="inlineStr">
        <is>
          <t>Full Defeasance</t>
        </is>
      </c>
      <c r="AA575" s="69" t="inlineStr">
        <is>
          <t>Previously</t>
        </is>
      </c>
      <c r="AB575" s="69" t="inlineStr">
        <is>
          <t>Never special serv</t>
        </is>
      </c>
      <c r="AC575" s="73" t="n"/>
      <c r="AD575" s="69" t="n"/>
      <c r="AE575" s="69" t="n"/>
      <c r="AF575" s="69" t="inlineStr">
        <is>
          <t>IN</t>
        </is>
      </c>
      <c r="AG575" s="69" t="inlineStr">
        <is>
          <t>Muncie</t>
        </is>
      </c>
      <c r="AH575" s="69" t="inlineStr">
        <is>
          <t>Muncie, IN</t>
        </is>
      </c>
      <c r="AI575" s="69" t="inlineStr">
        <is>
          <t>Midwest / Central East</t>
        </is>
      </c>
      <c r="AJ575" s="69" t="inlineStr">
        <is>
          <t>MH</t>
        </is>
      </c>
      <c r="AK575" s="69" t="n"/>
      <c r="AL575" s="68" t="n">
        <v>1</v>
      </c>
      <c r="AM575" s="68" t="n">
        <v>248</v>
      </c>
      <c r="AN575" s="68" t="n"/>
      <c r="AO575" s="69" t="inlineStr">
        <is>
          <t>1972</t>
        </is>
      </c>
      <c r="AP575" s="70" t="n">
        <v>1995</v>
      </c>
      <c r="AQ575" s="74" t="n">
        <v>1.38</v>
      </c>
      <c r="AR575" s="74" t="n">
        <v>2.23</v>
      </c>
      <c r="AS575" s="74" t="n">
        <v>67</v>
      </c>
      <c r="AT575" s="74" t="n">
        <v>61.36</v>
      </c>
      <c r="AU575" s="74" t="n">
        <v>58.5</v>
      </c>
      <c r="AV575" s="74" t="n">
        <v>9.292524782999999</v>
      </c>
      <c r="AW575" s="74" t="n">
        <v>10.993290744</v>
      </c>
      <c r="AX575" s="75" t="n">
        <v>88</v>
      </c>
      <c r="AY575" s="71" t="n">
        <v>6870000</v>
      </c>
      <c r="AZ575" s="71" t="n">
        <v>6870000</v>
      </c>
      <c r="BA575" s="71" t="n">
        <v>427456.14</v>
      </c>
      <c r="BB575" s="71" t="n">
        <v>172885.34</v>
      </c>
      <c r="BC575" s="69" t="inlineStr">
        <is>
          <t>Acquisition</t>
        </is>
      </c>
      <c r="BD575" s="69" t="inlineStr">
        <is>
          <t>N</t>
        </is>
      </c>
      <c r="BE575" s="71" t="n"/>
      <c r="BF575" s="71" t="n"/>
      <c r="BG575" s="71" t="n"/>
      <c r="BH575" s="71" t="n">
        <v>0</v>
      </c>
      <c r="BI575" s="71" t="n">
        <v>0</v>
      </c>
      <c r="BJ575" s="69" t="inlineStr">
        <is>
          <t>N</t>
        </is>
      </c>
      <c r="BK575" s="69" t="n"/>
      <c r="BL575" s="75" t="n"/>
      <c r="BM575" s="73" t="n"/>
      <c r="BN575" s="69" t="inlineStr">
        <is>
          <t>George C. Whaling</t>
        </is>
      </c>
      <c r="BO575" s="69" t="inlineStr">
        <is>
          <t>CIII Capital</t>
        </is>
      </c>
      <c r="BP575" s="69" t="inlineStr">
        <is>
          <t>TriMont Real Estate Advisors</t>
        </is>
      </c>
      <c r="BQ575" s="69" t="inlineStr">
        <is>
          <t>K-Star Asset Management LLC</t>
        </is>
      </c>
      <c r="BR575" s="69" t="n"/>
      <c r="BS575" s="73" t="n">
        <v>46276</v>
      </c>
      <c r="BU575" s="76">
        <f>IF($C575="","",IFERROR(INDEX(dmName,MATCH($C575,dmID,0)),"Unmapped"))</f>
        <v/>
      </c>
      <c r="BV575" s="76">
        <f>IF($C575="","",IFERROR(INDEX(dmEntity,MATCH($C575,dmID,0)),"Unmapped"))</f>
        <v/>
      </c>
      <c r="BW575" s="77">
        <f>IF($C575="","",IFERROR(INDEX(dmVintage,MATCH($C575,dmID,0)),""))</f>
        <v/>
      </c>
      <c r="BX575" s="78">
        <f>IFERROR(INDEX(dmInclude,MATCH($C575,dmID,0)),0)</f>
        <v/>
      </c>
      <c r="BY575" s="78">
        <f>IF(N($I575)&gt;0,1,0)</f>
        <v/>
      </c>
      <c r="BZ575" s="76">
        <f>IF($AJ575="","Other / Leased Fee",IFERROR(INDEX(mapPTGroup,MATCH(LEFT(TRIM($AJ575),2),mapPTCode,0)),"Other / Leased Fee"))</f>
        <v/>
      </c>
      <c r="CA575" s="76">
        <f>IF(TRIM($AF575&amp;"")="","NR",LEFT(TRIM($AF575),2))</f>
        <v/>
      </c>
      <c r="CB575" s="76">
        <f>IFERROR(LOOKUP(2,1/(LEFT(TRIM($AI575&amp;""),LEN(mapRegion))=mapRegion),mapRegion),"Not Reported")</f>
        <v/>
      </c>
      <c r="CC575" s="76">
        <f>IF($BY575=0,"",IF(TRIM($W575&amp;"")="REO","REO",IF(TRIM($W575&amp;"")="FC","Foreclosure",IF(TRIM($W575&amp;"")="90+","90+ Days Delinquent",IF(TRIM($W575&amp;"")="60","60 Days Delinquent",IF(TRIM($W575&amp;"")="30","30 Days Delinquent",IF($X575="Non-Performing Matured Balloon","Non-Performing Matured Balloon",IF(OR($X575="Late Payment But Less Than 30 Days Delinquent",LEFT($X575&amp;"",20)="Payment Not Received"),"Late / In Grace (&lt;30 Days)",IF($X575="Performing Matured Balloon","Performing Matured Balloon","Current")))))))))</f>
        <v/>
      </c>
      <c r="CD575" s="78">
        <f>IF(OR($CC575="REO",$CC575="Foreclosure",$CC575="90+ Days Delinquent",$CC575="60 Days Delinquent",$CC575="30 Days Delinquent",$CC575="Non-Performing Matured Balloon"),1,0)</f>
        <v/>
      </c>
      <c r="CE575" s="76">
        <f>IF($AB575="Currently special serv","Currently Specially Serviced",IF($AB575="Returned to master serv","Previously Specially Serviced","Never Specially Serviced"))</f>
        <v/>
      </c>
      <c r="CF575" s="78">
        <f>IF($CE575="Currently Specially Serviced",1,0)</f>
        <v/>
      </c>
      <c r="CG575" s="76">
        <f>IF($AA575="Yes","Currently on Watchlist",IF($AA575="Previously","Previously on Watchlist","Never on Watchlist"))</f>
        <v/>
      </c>
      <c r="CH575" s="78">
        <f>IF($CG575="Currently on Watchlist",1,0)</f>
        <v/>
      </c>
      <c r="CI575" s="76">
        <f>IF($Z575="Full Defeasance","Fully Defeased",IF($Z575="Portion Of Loan Previously Defeased","Partially Defeased",IF($Z575="Defeasance Not Allowable","Not Defeased (Not Permitted)","Not Defeased")))</f>
        <v/>
      </c>
      <c r="CJ575" s="78">
        <f>IF($CI575="Fully Defeased",1,0)</f>
        <v/>
      </c>
      <c r="CK575" s="76">
        <f>IF($R575="IO","Full IO",IF(LEFT($R575&amp;"",7)="IO then","Partial IO","Amortizing"))</f>
        <v/>
      </c>
      <c r="CL575" s="78">
        <f>IF($CK575="Full IO",1,0)</f>
        <v/>
      </c>
      <c r="CM575" s="78">
        <f>IF($CK575="Partial IO",1,0)</f>
        <v/>
      </c>
      <c r="CN575" s="76">
        <f>IF(LEFT($F575&amp;"",10)="SPLIT_LOAN","Pari Passu Split","Standalone")</f>
        <v/>
      </c>
      <c r="CO575" s="78">
        <f>IF($CN575="Pari Passu Split",1,0)</f>
        <v/>
      </c>
      <c r="CP575" s="77">
        <f>IF(ISNUMBER($T575),YEAR($T575),"")</f>
        <v/>
      </c>
      <c r="CQ575" s="79">
        <f>IF(ISNUMBER($V575),$V575,IF(ISNUMBER($U575),$U575,""))</f>
        <v/>
      </c>
      <c r="CR575" s="77">
        <f>IF(ISNUMBER($CQ575),YEAR($CQ575),"")</f>
        <v/>
      </c>
      <c r="CS575" s="78">
        <f>IF(ISNUMBER($M575),MAX(0,$M575),IF(TRIM($M575&amp;"")="matured",0,""))</f>
        <v/>
      </c>
      <c r="CT575" s="78">
        <f>IF(AND(ISNUMBER($CS575),N($CS575)&lt;=mMatWindow),1,0)</f>
        <v/>
      </c>
      <c r="CU575" s="80">
        <f>IF(ISNUMBER($J575),$J575/100,"")</f>
        <v/>
      </c>
      <c r="CV575" s="81">
        <f>IF(ISNUMBER($AQ575),$AQ575,"")</f>
        <v/>
      </c>
      <c r="CW575" s="81">
        <f>IF(ISNUMBER($AR575),$AR575,"")</f>
        <v/>
      </c>
      <c r="CX575" s="82">
        <f>IF(ISNUMBER($AS575),$AS575/100,"")</f>
        <v/>
      </c>
      <c r="CY575" s="82">
        <f>IF(ISNUMBER($AT575),$AT575/100,"")</f>
        <v/>
      </c>
      <c r="CZ575" s="82">
        <f>IF(ISNUMBER($AU575),$AU575/100,"")</f>
        <v/>
      </c>
      <c r="DA575" s="82">
        <f>IF(ISNUMBER($AV575),$AV575/100,"")</f>
        <v/>
      </c>
      <c r="DB575" s="82">
        <f>IF(ISNUMBER($AW575),$AW575/100,"")</f>
        <v/>
      </c>
      <c r="DC575" s="82">
        <f>IF(ISNUMBER($AX575),$AX575/100,"")</f>
        <v/>
      </c>
      <c r="DD575" s="77">
        <f>IFERROR(VALUE(LEFT(TRIM($AO575&amp;""),4)),"")</f>
        <v/>
      </c>
      <c r="DE575" s="78">
        <f>IF(AND($BY575=1,$BX575=1,OR(fDeal="All Deals",$BU575=fDeal),OR(fEntity="All Entities",$BV575=fEntity),OR(fPType="All Property Types",$BZ575=fPType),OR(fDefeased="Include",$CJ575=0)),1,0)</f>
        <v/>
      </c>
      <c r="DF575" s="83">
        <f>$DE575*N($I575)</f>
        <v/>
      </c>
      <c r="DG575" s="78">
        <f>IF($DE575=1,IF(COUNTIFS($F$8:$F575,$F575,$DE$8:$DE575,1)=1,1,0),0)</f>
        <v/>
      </c>
      <c r="DH575" s="83">
        <f>IF($DG575=1,SUMIFS($DF$8:$DF$1600,$F$8:$F$1600,$F575),0)</f>
        <v/>
      </c>
      <c r="DI575" s="78">
        <f>IF($DG575=1,COUNTIFS($F$8:$F$1600,$F575,$DE$8:$DE$1600,1),0)</f>
        <v/>
      </c>
      <c r="DJ575" s="84">
        <f>IF($DG575=1,$DH575+(100000-ROW())/mTieBreak,0)</f>
        <v/>
      </c>
    </row>
    <row r="576">
      <c r="B576" s="68" t="n">
        <v>53</v>
      </c>
      <c r="C576" s="69" t="inlineStr">
        <is>
          <t>WFC19C49</t>
        </is>
      </c>
      <c r="D576" s="69" t="inlineStr">
        <is>
          <t>53.000</t>
        </is>
      </c>
      <c r="E576" s="69" t="inlineStr">
        <is>
          <t>Coach Post MHC</t>
        </is>
      </c>
      <c r="F576" s="69" t="inlineStr">
        <is>
          <t>LNWFC19C49-53.000</t>
        </is>
      </c>
      <c r="G576" s="70" t="n"/>
      <c r="H576" s="71" t="n">
        <v>4170000</v>
      </c>
      <c r="I576" s="71" t="n">
        <v>3460671.599999791</v>
      </c>
      <c r="J576" s="72" t="n">
        <v>5.43</v>
      </c>
      <c r="K576" s="69" t="inlineStr">
        <is>
          <t>Fixed rate</t>
        </is>
      </c>
      <c r="L576" s="68" t="n">
        <v>120</v>
      </c>
      <c r="M576" s="68" t="n">
        <v>29</v>
      </c>
      <c r="N576" s="68" t="n">
        <v>300</v>
      </c>
      <c r="O576" s="68" t="n"/>
      <c r="P576" s="68" t="n"/>
      <c r="Q576" s="68" t="n">
        <v>91</v>
      </c>
      <c r="R576" s="69" t="n"/>
      <c r="S576" s="69" t="inlineStr">
        <is>
          <t>No</t>
        </is>
      </c>
      <c r="T576" s="73" t="n">
        <v>43497</v>
      </c>
      <c r="U576" s="73" t="n">
        <v>47160</v>
      </c>
      <c r="V576" s="73" t="n"/>
      <c r="W576" s="69" t="n"/>
      <c r="X576" s="69" t="inlineStr">
        <is>
          <t>Current</t>
        </is>
      </c>
      <c r="Y576" s="68" t="n"/>
      <c r="Z576" s="69" t="inlineStr">
        <is>
          <t>No Defeasance Occurred</t>
        </is>
      </c>
      <c r="AA576" s="69" t="inlineStr">
        <is>
          <t>Yes</t>
        </is>
      </c>
      <c r="AB576" s="69" t="inlineStr">
        <is>
          <t>Never special serv</t>
        </is>
      </c>
      <c r="AC576" s="73" t="n"/>
      <c r="AD576" s="69" t="n"/>
      <c r="AE576" s="69" t="n"/>
      <c r="AF576" s="69" t="inlineStr">
        <is>
          <t>WA</t>
        </is>
      </c>
      <c r="AG576" s="69" t="inlineStr">
        <is>
          <t>Olympia</t>
        </is>
      </c>
      <c r="AH576" s="69" t="inlineStr">
        <is>
          <t>Olympia-Lacey-Tumwater, WA</t>
        </is>
      </c>
      <c r="AI576" s="69" t="inlineStr">
        <is>
          <t>West / Pacific North</t>
        </is>
      </c>
      <c r="AJ576" s="69" t="inlineStr">
        <is>
          <t>MH</t>
        </is>
      </c>
      <c r="AK576" s="69" t="n"/>
      <c r="AL576" s="68" t="n">
        <v>1</v>
      </c>
      <c r="AM576" s="68" t="n">
        <v>75</v>
      </c>
      <c r="AN576" s="68" t="n"/>
      <c r="AO576" s="69" t="inlineStr">
        <is>
          <t>1958</t>
        </is>
      </c>
      <c r="AP576" s="70" t="n">
        <v>2017</v>
      </c>
      <c r="AQ576" s="74" t="n">
        <v>1.31</v>
      </c>
      <c r="AR576" s="74" t="n">
        <v>1.63</v>
      </c>
      <c r="AS576" s="74" t="n">
        <v>66.59999999999999</v>
      </c>
      <c r="AT576" s="74" t="n">
        <v>55.37</v>
      </c>
      <c r="AU576" s="74" t="n">
        <v>50.7</v>
      </c>
      <c r="AV576" s="74" t="n">
        <v>9.580767386</v>
      </c>
      <c r="AW576" s="74" t="n">
        <v>14.353071236</v>
      </c>
      <c r="AX576" s="75" t="n">
        <v>93</v>
      </c>
      <c r="AY576" s="71" t="n">
        <v>6250000</v>
      </c>
      <c r="AZ576" s="71" t="n">
        <v>6250000</v>
      </c>
      <c r="BA576" s="71" t="n">
        <v>399518</v>
      </c>
      <c r="BB576" s="71" t="n">
        <v>124230.06</v>
      </c>
      <c r="BC576" s="69" t="inlineStr">
        <is>
          <t>Refinance</t>
        </is>
      </c>
      <c r="BD576" s="69" t="inlineStr">
        <is>
          <t>N</t>
        </is>
      </c>
      <c r="BE576" s="71" t="n"/>
      <c r="BF576" s="71" t="n"/>
      <c r="BG576" s="71" t="n"/>
      <c r="BH576" s="71" t="n">
        <v>0</v>
      </c>
      <c r="BI576" s="71" t="n">
        <v>0</v>
      </c>
      <c r="BJ576" s="69" t="inlineStr">
        <is>
          <t>N</t>
        </is>
      </c>
      <c r="BK576" s="69" t="n"/>
      <c r="BL576" s="75" t="n"/>
      <c r="BM576" s="73" t="n"/>
      <c r="BN576" s="69" t="inlineStr">
        <is>
          <t>Andrew Cramer</t>
        </is>
      </c>
      <c r="BO576" s="69" t="inlineStr">
        <is>
          <t>CIII Capital</t>
        </is>
      </c>
      <c r="BP576" s="69" t="inlineStr">
        <is>
          <t>TriMont Real Estate Advisors</t>
        </is>
      </c>
      <c r="BQ576" s="69" t="inlineStr">
        <is>
          <t>K-Star Asset Management LLC</t>
        </is>
      </c>
      <c r="BR576" s="69" t="n"/>
      <c r="BS576" s="73" t="n">
        <v>46276</v>
      </c>
      <c r="BU576" s="76">
        <f>IF($C576="","",IFERROR(INDEX(dmName,MATCH($C576,dmID,0)),"Unmapped"))</f>
        <v/>
      </c>
      <c r="BV576" s="76">
        <f>IF($C576="","",IFERROR(INDEX(dmEntity,MATCH($C576,dmID,0)),"Unmapped"))</f>
        <v/>
      </c>
      <c r="BW576" s="77">
        <f>IF($C576="","",IFERROR(INDEX(dmVintage,MATCH($C576,dmID,0)),""))</f>
        <v/>
      </c>
      <c r="BX576" s="78">
        <f>IFERROR(INDEX(dmInclude,MATCH($C576,dmID,0)),0)</f>
        <v/>
      </c>
      <c r="BY576" s="78">
        <f>IF(N($I576)&gt;0,1,0)</f>
        <v/>
      </c>
      <c r="BZ576" s="76">
        <f>IF($AJ576="","Other / Leased Fee",IFERROR(INDEX(mapPTGroup,MATCH(LEFT(TRIM($AJ576),2),mapPTCode,0)),"Other / Leased Fee"))</f>
        <v/>
      </c>
      <c r="CA576" s="76">
        <f>IF(TRIM($AF576&amp;"")="","NR",LEFT(TRIM($AF576),2))</f>
        <v/>
      </c>
      <c r="CB576" s="76">
        <f>IFERROR(LOOKUP(2,1/(LEFT(TRIM($AI576&amp;""),LEN(mapRegion))=mapRegion),mapRegion),"Not Reported")</f>
        <v/>
      </c>
      <c r="CC576" s="76">
        <f>IF($BY576=0,"",IF(TRIM($W576&amp;"")="REO","REO",IF(TRIM($W576&amp;"")="FC","Foreclosure",IF(TRIM($W576&amp;"")="90+","90+ Days Delinquent",IF(TRIM($W576&amp;"")="60","60 Days Delinquent",IF(TRIM($W576&amp;"")="30","30 Days Delinquent",IF($X576="Non-Performing Matured Balloon","Non-Performing Matured Balloon",IF(OR($X576="Late Payment But Less Than 30 Days Delinquent",LEFT($X576&amp;"",20)="Payment Not Received"),"Late / In Grace (&lt;30 Days)",IF($X576="Performing Matured Balloon","Performing Matured Balloon","Current")))))))))</f>
        <v/>
      </c>
      <c r="CD576" s="78">
        <f>IF(OR($CC576="REO",$CC576="Foreclosure",$CC576="90+ Days Delinquent",$CC576="60 Days Delinquent",$CC576="30 Days Delinquent",$CC576="Non-Performing Matured Balloon"),1,0)</f>
        <v/>
      </c>
      <c r="CE576" s="76">
        <f>IF($AB576="Currently special serv","Currently Specially Serviced",IF($AB576="Returned to master serv","Previously Specially Serviced","Never Specially Serviced"))</f>
        <v/>
      </c>
      <c r="CF576" s="78">
        <f>IF($CE576="Currently Specially Serviced",1,0)</f>
        <v/>
      </c>
      <c r="CG576" s="76">
        <f>IF($AA576="Yes","Currently on Watchlist",IF($AA576="Previously","Previously on Watchlist","Never on Watchlist"))</f>
        <v/>
      </c>
      <c r="CH576" s="78">
        <f>IF($CG576="Currently on Watchlist",1,0)</f>
        <v/>
      </c>
      <c r="CI576" s="76">
        <f>IF($Z576="Full Defeasance","Fully Defeased",IF($Z576="Portion Of Loan Previously Defeased","Partially Defeased",IF($Z576="Defeasance Not Allowable","Not Defeased (Not Permitted)","Not Defeased")))</f>
        <v/>
      </c>
      <c r="CJ576" s="78">
        <f>IF($CI576="Fully Defeased",1,0)</f>
        <v/>
      </c>
      <c r="CK576" s="76">
        <f>IF($R576="IO","Full IO",IF(LEFT($R576&amp;"",7)="IO then","Partial IO","Amortizing"))</f>
        <v/>
      </c>
      <c r="CL576" s="78">
        <f>IF($CK576="Full IO",1,0)</f>
        <v/>
      </c>
      <c r="CM576" s="78">
        <f>IF($CK576="Partial IO",1,0)</f>
        <v/>
      </c>
      <c r="CN576" s="76">
        <f>IF(LEFT($F576&amp;"",10)="SPLIT_LOAN","Pari Passu Split","Standalone")</f>
        <v/>
      </c>
      <c r="CO576" s="78">
        <f>IF($CN576="Pari Passu Split",1,0)</f>
        <v/>
      </c>
      <c r="CP576" s="77">
        <f>IF(ISNUMBER($T576),YEAR($T576),"")</f>
        <v/>
      </c>
      <c r="CQ576" s="79">
        <f>IF(ISNUMBER($V576),$V576,IF(ISNUMBER($U576),$U576,""))</f>
        <v/>
      </c>
      <c r="CR576" s="77">
        <f>IF(ISNUMBER($CQ576),YEAR($CQ576),"")</f>
        <v/>
      </c>
      <c r="CS576" s="78">
        <f>IF(ISNUMBER($M576),MAX(0,$M576),IF(TRIM($M576&amp;"")="matured",0,""))</f>
        <v/>
      </c>
      <c r="CT576" s="78">
        <f>IF(AND(ISNUMBER($CS576),N($CS576)&lt;=mMatWindow),1,0)</f>
        <v/>
      </c>
      <c r="CU576" s="80">
        <f>IF(ISNUMBER($J576),$J576/100,"")</f>
        <v/>
      </c>
      <c r="CV576" s="81">
        <f>IF(ISNUMBER($AQ576),$AQ576,"")</f>
        <v/>
      </c>
      <c r="CW576" s="81">
        <f>IF(ISNUMBER($AR576),$AR576,"")</f>
        <v/>
      </c>
      <c r="CX576" s="82">
        <f>IF(ISNUMBER($AS576),$AS576/100,"")</f>
        <v/>
      </c>
      <c r="CY576" s="82">
        <f>IF(ISNUMBER($AT576),$AT576/100,"")</f>
        <v/>
      </c>
      <c r="CZ576" s="82">
        <f>IF(ISNUMBER($AU576),$AU576/100,"")</f>
        <v/>
      </c>
      <c r="DA576" s="82">
        <f>IF(ISNUMBER($AV576),$AV576/100,"")</f>
        <v/>
      </c>
      <c r="DB576" s="82">
        <f>IF(ISNUMBER($AW576),$AW576/100,"")</f>
        <v/>
      </c>
      <c r="DC576" s="82">
        <f>IF(ISNUMBER($AX576),$AX576/100,"")</f>
        <v/>
      </c>
      <c r="DD576" s="77">
        <f>IFERROR(VALUE(LEFT(TRIM($AO576&amp;""),4)),"")</f>
        <v/>
      </c>
      <c r="DE576" s="78">
        <f>IF(AND($BY576=1,$BX576=1,OR(fDeal="All Deals",$BU576=fDeal),OR(fEntity="All Entities",$BV576=fEntity),OR(fPType="All Property Types",$BZ576=fPType),OR(fDefeased="Include",$CJ576=0)),1,0)</f>
        <v/>
      </c>
      <c r="DF576" s="83">
        <f>$DE576*N($I576)</f>
        <v/>
      </c>
      <c r="DG576" s="78">
        <f>IF($DE576=1,IF(COUNTIFS($F$8:$F576,$F576,$DE$8:$DE576,1)=1,1,0),0)</f>
        <v/>
      </c>
      <c r="DH576" s="83">
        <f>IF($DG576=1,SUMIFS($DF$8:$DF$1600,$F$8:$F$1600,$F576),0)</f>
        <v/>
      </c>
      <c r="DI576" s="78">
        <f>IF($DG576=1,COUNTIFS($F$8:$F$1600,$F576,$DE$8:$DE$1600,1),0)</f>
        <v/>
      </c>
      <c r="DJ576" s="84">
        <f>IF($DG576=1,$DH576+(100000-ROW())/mTieBreak,0)</f>
        <v/>
      </c>
    </row>
    <row r="577">
      <c r="B577" s="68" t="n">
        <v>54</v>
      </c>
      <c r="C577" s="69" t="inlineStr">
        <is>
          <t>WFC19C49</t>
        </is>
      </c>
      <c r="D577" s="69" t="inlineStr">
        <is>
          <t>54.000</t>
        </is>
      </c>
      <c r="E577" s="69" t="inlineStr">
        <is>
          <t>Telegraph Budget Storage</t>
        </is>
      </c>
      <c r="F577" s="69" t="inlineStr">
        <is>
          <t>LNWFC19C49-54.000</t>
        </is>
      </c>
      <c r="G577" s="70" t="n"/>
      <c r="H577" s="71" t="n">
        <v>3400000</v>
      </c>
      <c r="I577" s="71" t="n">
        <v>2953864.9700004</v>
      </c>
      <c r="J577" s="72" t="n">
        <v>4.85</v>
      </c>
      <c r="K577" s="69" t="inlineStr">
        <is>
          <t>Fixed rate</t>
        </is>
      </c>
      <c r="L577" s="68" t="n">
        <v>117</v>
      </c>
      <c r="M577" s="68" t="n">
        <v>25</v>
      </c>
      <c r="N577" s="68" t="n">
        <v>360</v>
      </c>
      <c r="O577" s="68" t="n"/>
      <c r="P577" s="68" t="n"/>
      <c r="Q577" s="68" t="n">
        <v>92</v>
      </c>
      <c r="R577" s="69" t="n"/>
      <c r="S577" s="69" t="inlineStr">
        <is>
          <t>No</t>
        </is>
      </c>
      <c r="T577" s="73" t="n">
        <v>43466</v>
      </c>
      <c r="U577" s="73" t="n">
        <v>47037</v>
      </c>
      <c r="V577" s="73" t="n"/>
      <c r="W577" s="69" t="n"/>
      <c r="X577" s="69" t="inlineStr">
        <is>
          <t>Current</t>
        </is>
      </c>
      <c r="Y577" s="68" t="n"/>
      <c r="Z577" s="69" t="inlineStr">
        <is>
          <t>Full Defeasance</t>
        </is>
      </c>
      <c r="AA577" s="69" t="inlineStr">
        <is>
          <t>Previously</t>
        </is>
      </c>
      <c r="AB577" s="69" t="inlineStr">
        <is>
          <t>Never special serv</t>
        </is>
      </c>
      <c r="AC577" s="73" t="n"/>
      <c r="AD577" s="69" t="n"/>
      <c r="AE577" s="69" t="n"/>
      <c r="AF577" s="69" t="inlineStr">
        <is>
          <t>MI</t>
        </is>
      </c>
      <c r="AG577" s="69" t="inlineStr">
        <is>
          <t>Brownstown</t>
        </is>
      </c>
      <c r="AH577" s="69" t="inlineStr">
        <is>
          <t>Detroit-Warren-Dearborn, MI</t>
        </is>
      </c>
      <c r="AI577" s="69" t="inlineStr">
        <is>
          <t>Midwest / Central East</t>
        </is>
      </c>
      <c r="AJ577" s="69" t="inlineStr">
        <is>
          <t>SS</t>
        </is>
      </c>
      <c r="AK577" s="69" t="n"/>
      <c r="AL577" s="68" t="n">
        <v>1</v>
      </c>
      <c r="AM577" s="68" t="n"/>
      <c r="AN577" s="68" t="n">
        <v>46823</v>
      </c>
      <c r="AO577" s="69" t="inlineStr">
        <is>
          <t>1940</t>
        </is>
      </c>
      <c r="AP577" s="70" t="n">
        <v>2014</v>
      </c>
      <c r="AQ577" s="74" t="n">
        <v>1.78</v>
      </c>
      <c r="AR577" s="74" t="n">
        <v>1.37</v>
      </c>
      <c r="AS577" s="74" t="n">
        <v>61.7</v>
      </c>
      <c r="AT577" s="74" t="n">
        <v>53.71</v>
      </c>
      <c r="AU577" s="74" t="n">
        <v>50.6</v>
      </c>
      <c r="AV577" s="74" t="n">
        <v>11.292676471</v>
      </c>
      <c r="AW577" s="74" t="n">
        <v>10.409886813</v>
      </c>
      <c r="AX577" s="75" t="n">
        <v>89</v>
      </c>
      <c r="AY577" s="71" t="n">
        <v>5500000</v>
      </c>
      <c r="AZ577" s="71" t="n">
        <v>5500000</v>
      </c>
      <c r="BA577" s="71" t="n">
        <v>383951</v>
      </c>
      <c r="BB577" s="71" t="n">
        <v>73902.39</v>
      </c>
      <c r="BC577" s="69" t="inlineStr">
        <is>
          <t>Refinance</t>
        </is>
      </c>
      <c r="BD577" s="69" t="inlineStr">
        <is>
          <t>N</t>
        </is>
      </c>
      <c r="BE577" s="71" t="n"/>
      <c r="BF577" s="71" t="n"/>
      <c r="BG577" s="71" t="n"/>
      <c r="BH577" s="71" t="n">
        <v>0</v>
      </c>
      <c r="BI577" s="71" t="n">
        <v>0</v>
      </c>
      <c r="BJ577" s="69" t="inlineStr">
        <is>
          <t>N</t>
        </is>
      </c>
      <c r="BK577" s="69" t="n"/>
      <c r="BL577" s="75" t="n"/>
      <c r="BM577" s="73" t="n"/>
      <c r="BN577" s="69" t="inlineStr">
        <is>
          <t>Sidney I. Moss; Sidney I. Moss Trust</t>
        </is>
      </c>
      <c r="BO577" s="69" t="inlineStr">
        <is>
          <t>Wells Fargo</t>
        </is>
      </c>
      <c r="BP577" s="69" t="inlineStr">
        <is>
          <t>TriMont Real Estate Advisors</t>
        </is>
      </c>
      <c r="BQ577" s="69" t="inlineStr">
        <is>
          <t>K-Star Asset Management LLC</t>
        </is>
      </c>
      <c r="BR577" s="69" t="n"/>
      <c r="BS577" s="73" t="n">
        <v>46276</v>
      </c>
      <c r="BU577" s="76">
        <f>IF($C577="","",IFERROR(INDEX(dmName,MATCH($C577,dmID,0)),"Unmapped"))</f>
        <v/>
      </c>
      <c r="BV577" s="76">
        <f>IF($C577="","",IFERROR(INDEX(dmEntity,MATCH($C577,dmID,0)),"Unmapped"))</f>
        <v/>
      </c>
      <c r="BW577" s="77">
        <f>IF($C577="","",IFERROR(INDEX(dmVintage,MATCH($C577,dmID,0)),""))</f>
        <v/>
      </c>
      <c r="BX577" s="78">
        <f>IFERROR(INDEX(dmInclude,MATCH($C577,dmID,0)),0)</f>
        <v/>
      </c>
      <c r="BY577" s="78">
        <f>IF(N($I577)&gt;0,1,0)</f>
        <v/>
      </c>
      <c r="BZ577" s="76">
        <f>IF($AJ577="","Other / Leased Fee",IFERROR(INDEX(mapPTGroup,MATCH(LEFT(TRIM($AJ577),2),mapPTCode,0)),"Other / Leased Fee"))</f>
        <v/>
      </c>
      <c r="CA577" s="76">
        <f>IF(TRIM($AF577&amp;"")="","NR",LEFT(TRIM($AF577),2))</f>
        <v/>
      </c>
      <c r="CB577" s="76">
        <f>IFERROR(LOOKUP(2,1/(LEFT(TRIM($AI577&amp;""),LEN(mapRegion))=mapRegion),mapRegion),"Not Reported")</f>
        <v/>
      </c>
      <c r="CC577" s="76">
        <f>IF($BY577=0,"",IF(TRIM($W577&amp;"")="REO","REO",IF(TRIM($W577&amp;"")="FC","Foreclosure",IF(TRIM($W577&amp;"")="90+","90+ Days Delinquent",IF(TRIM($W577&amp;"")="60","60 Days Delinquent",IF(TRIM($W577&amp;"")="30","30 Days Delinquent",IF($X577="Non-Performing Matured Balloon","Non-Performing Matured Balloon",IF(OR($X577="Late Payment But Less Than 30 Days Delinquent",LEFT($X577&amp;"",20)="Payment Not Received"),"Late / In Grace (&lt;30 Days)",IF($X577="Performing Matured Balloon","Performing Matured Balloon","Current")))))))))</f>
        <v/>
      </c>
      <c r="CD577" s="78">
        <f>IF(OR($CC577="REO",$CC577="Foreclosure",$CC577="90+ Days Delinquent",$CC577="60 Days Delinquent",$CC577="30 Days Delinquent",$CC577="Non-Performing Matured Balloon"),1,0)</f>
        <v/>
      </c>
      <c r="CE577" s="76">
        <f>IF($AB577="Currently special serv","Currently Specially Serviced",IF($AB577="Returned to master serv","Previously Specially Serviced","Never Specially Serviced"))</f>
        <v/>
      </c>
      <c r="CF577" s="78">
        <f>IF($CE577="Currently Specially Serviced",1,0)</f>
        <v/>
      </c>
      <c r="CG577" s="76">
        <f>IF($AA577="Yes","Currently on Watchlist",IF($AA577="Previously","Previously on Watchlist","Never on Watchlist"))</f>
        <v/>
      </c>
      <c r="CH577" s="78">
        <f>IF($CG577="Currently on Watchlist",1,0)</f>
        <v/>
      </c>
      <c r="CI577" s="76">
        <f>IF($Z577="Full Defeasance","Fully Defeased",IF($Z577="Portion Of Loan Previously Defeased","Partially Defeased",IF($Z577="Defeasance Not Allowable","Not Defeased (Not Permitted)","Not Defeased")))</f>
        <v/>
      </c>
      <c r="CJ577" s="78">
        <f>IF($CI577="Fully Defeased",1,0)</f>
        <v/>
      </c>
      <c r="CK577" s="76">
        <f>IF($R577="IO","Full IO",IF(LEFT($R577&amp;"",7)="IO then","Partial IO","Amortizing"))</f>
        <v/>
      </c>
      <c r="CL577" s="78">
        <f>IF($CK577="Full IO",1,0)</f>
        <v/>
      </c>
      <c r="CM577" s="78">
        <f>IF($CK577="Partial IO",1,0)</f>
        <v/>
      </c>
      <c r="CN577" s="76">
        <f>IF(LEFT($F577&amp;"",10)="SPLIT_LOAN","Pari Passu Split","Standalone")</f>
        <v/>
      </c>
      <c r="CO577" s="78">
        <f>IF($CN577="Pari Passu Split",1,0)</f>
        <v/>
      </c>
      <c r="CP577" s="77">
        <f>IF(ISNUMBER($T577),YEAR($T577),"")</f>
        <v/>
      </c>
      <c r="CQ577" s="79">
        <f>IF(ISNUMBER($V577),$V577,IF(ISNUMBER($U577),$U577,""))</f>
        <v/>
      </c>
      <c r="CR577" s="77">
        <f>IF(ISNUMBER($CQ577),YEAR($CQ577),"")</f>
        <v/>
      </c>
      <c r="CS577" s="78">
        <f>IF(ISNUMBER($M577),MAX(0,$M577),IF(TRIM($M577&amp;"")="matured",0,""))</f>
        <v/>
      </c>
      <c r="CT577" s="78">
        <f>IF(AND(ISNUMBER($CS577),N($CS577)&lt;=mMatWindow),1,0)</f>
        <v/>
      </c>
      <c r="CU577" s="80">
        <f>IF(ISNUMBER($J577),$J577/100,"")</f>
        <v/>
      </c>
      <c r="CV577" s="81">
        <f>IF(ISNUMBER($AQ577),$AQ577,"")</f>
        <v/>
      </c>
      <c r="CW577" s="81">
        <f>IF(ISNUMBER($AR577),$AR577,"")</f>
        <v/>
      </c>
      <c r="CX577" s="82">
        <f>IF(ISNUMBER($AS577),$AS577/100,"")</f>
        <v/>
      </c>
      <c r="CY577" s="82">
        <f>IF(ISNUMBER($AT577),$AT577/100,"")</f>
        <v/>
      </c>
      <c r="CZ577" s="82">
        <f>IF(ISNUMBER($AU577),$AU577/100,"")</f>
        <v/>
      </c>
      <c r="DA577" s="82">
        <f>IF(ISNUMBER($AV577),$AV577/100,"")</f>
        <v/>
      </c>
      <c r="DB577" s="82">
        <f>IF(ISNUMBER($AW577),$AW577/100,"")</f>
        <v/>
      </c>
      <c r="DC577" s="82">
        <f>IF(ISNUMBER($AX577),$AX577/100,"")</f>
        <v/>
      </c>
      <c r="DD577" s="77">
        <f>IFERROR(VALUE(LEFT(TRIM($AO577&amp;""),4)),"")</f>
        <v/>
      </c>
      <c r="DE577" s="78">
        <f>IF(AND($BY577=1,$BX577=1,OR(fDeal="All Deals",$BU577=fDeal),OR(fEntity="All Entities",$BV577=fEntity),OR(fPType="All Property Types",$BZ577=fPType),OR(fDefeased="Include",$CJ577=0)),1,0)</f>
        <v/>
      </c>
      <c r="DF577" s="83">
        <f>$DE577*N($I577)</f>
        <v/>
      </c>
      <c r="DG577" s="78">
        <f>IF($DE577=1,IF(COUNTIFS($F$8:$F577,$F577,$DE$8:$DE577,1)=1,1,0),0)</f>
        <v/>
      </c>
      <c r="DH577" s="83">
        <f>IF($DG577=1,SUMIFS($DF$8:$DF$1600,$F$8:$F$1600,$F577),0)</f>
        <v/>
      </c>
      <c r="DI577" s="78">
        <f>IF($DG577=1,COUNTIFS($F$8:$F$1600,$F577,$DE$8:$DE$1600,1),0)</f>
        <v/>
      </c>
      <c r="DJ577" s="84">
        <f>IF($DG577=1,$DH577+(100000-ROW())/mTieBreak,0)</f>
        <v/>
      </c>
    </row>
    <row r="578">
      <c r="B578" s="68" t="n">
        <v>55</v>
      </c>
      <c r="C578" s="69" t="inlineStr">
        <is>
          <t>WFC19C49</t>
        </is>
      </c>
      <c r="D578" s="69" t="inlineStr">
        <is>
          <t>55.000</t>
        </is>
      </c>
      <c r="E578" s="69" t="inlineStr">
        <is>
          <t>Spencer Mini Storage</t>
        </is>
      </c>
      <c r="F578" s="69" t="inlineStr">
        <is>
          <t>LNWFC19C49-55.000</t>
        </is>
      </c>
      <c r="G578" s="70" t="n"/>
      <c r="H578" s="71" t="n">
        <v>3200000</v>
      </c>
      <c r="I578" s="71" t="n">
        <v>0</v>
      </c>
      <c r="J578" s="72" t="n">
        <v>4.95</v>
      </c>
      <c r="K578" s="69" t="inlineStr">
        <is>
          <t>Fixed rate</t>
        </is>
      </c>
      <c r="L578" s="68" t="n">
        <v>60</v>
      </c>
      <c r="M578" s="68" t="n"/>
      <c r="N578" s="68" t="n">
        <v>60</v>
      </c>
      <c r="O578" s="68" t="n">
        <v>60</v>
      </c>
      <c r="P578" s="68" t="n"/>
      <c r="Q578" s="68" t="n"/>
      <c r="R578" s="69" t="inlineStr">
        <is>
          <t>IO</t>
        </is>
      </c>
      <c r="S578" s="69" t="inlineStr">
        <is>
          <t>Yes</t>
        </is>
      </c>
      <c r="T578" s="73" t="n">
        <v>43525</v>
      </c>
      <c r="U578" s="73" t="n">
        <v>45328</v>
      </c>
      <c r="V578" s="73" t="n"/>
      <c r="W578" s="69" t="n"/>
      <c r="X578" s="69" t="inlineStr">
        <is>
          <t>Current</t>
        </is>
      </c>
      <c r="Y578" s="68" t="n"/>
      <c r="Z578" s="69" t="inlineStr">
        <is>
          <t>No Defeasance Occurred</t>
        </is>
      </c>
      <c r="AA578" s="69" t="inlineStr">
        <is>
          <t>Previously</t>
        </is>
      </c>
      <c r="AB578" s="69" t="inlineStr">
        <is>
          <t>Never special serv</t>
        </is>
      </c>
      <c r="AC578" s="73" t="n"/>
      <c r="AD578" s="69" t="n"/>
      <c r="AE578" s="69" t="n"/>
      <c r="AF578" s="69" t="inlineStr">
        <is>
          <t>TX</t>
        </is>
      </c>
      <c r="AG578" s="69" t="inlineStr">
        <is>
          <t>La Porte</t>
        </is>
      </c>
      <c r="AH578" s="69" t="inlineStr">
        <is>
          <t>Houston-Pasadena-The Woodlands, TX</t>
        </is>
      </c>
      <c r="AI578" s="69" t="inlineStr">
        <is>
          <t>South / Central West</t>
        </is>
      </c>
      <c r="AJ578" s="69" t="inlineStr">
        <is>
          <t>SS</t>
        </is>
      </c>
      <c r="AK578" s="69" t="n"/>
      <c r="AL578" s="68" t="n">
        <v>1</v>
      </c>
      <c r="AM578" s="68" t="n"/>
      <c r="AN578" s="68" t="n">
        <v>81685</v>
      </c>
      <c r="AO578" s="69" t="inlineStr">
        <is>
          <t>1977</t>
        </is>
      </c>
      <c r="AP578" s="70" t="n">
        <v>1977</v>
      </c>
      <c r="AQ578" s="74" t="n">
        <v>2.11</v>
      </c>
      <c r="AR578" s="74" t="n">
        <v>2.75</v>
      </c>
      <c r="AS578" s="74" t="n">
        <v>55</v>
      </c>
      <c r="AT578" s="74" t="n"/>
      <c r="AU578" s="74" t="n">
        <v>55</v>
      </c>
      <c r="AV578" s="74" t="n">
        <v>10.612627187</v>
      </c>
      <c r="AW578" s="74" t="n"/>
      <c r="AX578" s="75" t="n">
        <v>89.68000000000001</v>
      </c>
      <c r="AY578" s="71" t="n">
        <v>5820000</v>
      </c>
      <c r="AZ578" s="71" t="n">
        <v>5820000</v>
      </c>
      <c r="BA578" s="71" t="n">
        <v>339604.07</v>
      </c>
      <c r="BB578" s="71" t="n">
        <v>220525.7</v>
      </c>
      <c r="BC578" s="69" t="inlineStr">
        <is>
          <t>Acquisition</t>
        </is>
      </c>
      <c r="BD578" s="69" t="inlineStr">
        <is>
          <t>N</t>
        </is>
      </c>
      <c r="BE578" s="71" t="n"/>
      <c r="BF578" s="71" t="n"/>
      <c r="BG578" s="71" t="n"/>
      <c r="BH578" s="71" t="n">
        <v>0</v>
      </c>
      <c r="BI578" s="71" t="n">
        <v>0</v>
      </c>
      <c r="BJ578" s="69" t="inlineStr">
        <is>
          <t>N</t>
        </is>
      </c>
      <c r="BK578" s="69" t="n"/>
      <c r="BL578" s="75" t="n"/>
      <c r="BM578" s="73" t="n"/>
      <c r="BN578" s="69" t="inlineStr">
        <is>
          <t>Telos Capital, LLC; David Fisher; Joshua Ungerecht; Warren Thomas</t>
        </is>
      </c>
      <c r="BO578" s="69" t="inlineStr">
        <is>
          <t>Barclays</t>
        </is>
      </c>
      <c r="BP578" s="69" t="inlineStr">
        <is>
          <t>Wells Fargo</t>
        </is>
      </c>
      <c r="BQ578" s="69" t="inlineStr">
        <is>
          <t>K-Star Asset Management LLC</t>
        </is>
      </c>
      <c r="BR578" s="69" t="inlineStr">
        <is>
          <t>Payoff Prior To Maturity</t>
        </is>
      </c>
      <c r="BS578" s="73" t="n">
        <v>45271</v>
      </c>
      <c r="BU578" s="76">
        <f>IF($C578="","",IFERROR(INDEX(dmName,MATCH($C578,dmID,0)),"Unmapped"))</f>
        <v/>
      </c>
      <c r="BV578" s="76">
        <f>IF($C578="","",IFERROR(INDEX(dmEntity,MATCH($C578,dmID,0)),"Unmapped"))</f>
        <v/>
      </c>
      <c r="BW578" s="77">
        <f>IF($C578="","",IFERROR(INDEX(dmVintage,MATCH($C578,dmID,0)),""))</f>
        <v/>
      </c>
      <c r="BX578" s="78">
        <f>IFERROR(INDEX(dmInclude,MATCH($C578,dmID,0)),0)</f>
        <v/>
      </c>
      <c r="BY578" s="78">
        <f>IF(N($I578)&gt;0,1,0)</f>
        <v/>
      </c>
      <c r="BZ578" s="76">
        <f>IF($AJ578="","Other / Leased Fee",IFERROR(INDEX(mapPTGroup,MATCH(LEFT(TRIM($AJ578),2),mapPTCode,0)),"Other / Leased Fee"))</f>
        <v/>
      </c>
      <c r="CA578" s="76">
        <f>IF(TRIM($AF578&amp;"")="","NR",LEFT(TRIM($AF578),2))</f>
        <v/>
      </c>
      <c r="CB578" s="76">
        <f>IFERROR(LOOKUP(2,1/(LEFT(TRIM($AI578&amp;""),LEN(mapRegion))=mapRegion),mapRegion),"Not Reported")</f>
        <v/>
      </c>
      <c r="CC578" s="76">
        <f>IF($BY578=0,"",IF(TRIM($W578&amp;"")="REO","REO",IF(TRIM($W578&amp;"")="FC","Foreclosure",IF(TRIM($W578&amp;"")="90+","90+ Days Delinquent",IF(TRIM($W578&amp;"")="60","60 Days Delinquent",IF(TRIM($W578&amp;"")="30","30 Days Delinquent",IF($X578="Non-Performing Matured Balloon","Non-Performing Matured Balloon",IF(OR($X578="Late Payment But Less Than 30 Days Delinquent",LEFT($X578&amp;"",20)="Payment Not Received"),"Late / In Grace (&lt;30 Days)",IF($X578="Performing Matured Balloon","Performing Matured Balloon","Current")))))))))</f>
        <v/>
      </c>
      <c r="CD578" s="78">
        <f>IF(OR($CC578="REO",$CC578="Foreclosure",$CC578="90+ Days Delinquent",$CC578="60 Days Delinquent",$CC578="30 Days Delinquent",$CC578="Non-Performing Matured Balloon"),1,0)</f>
        <v/>
      </c>
      <c r="CE578" s="76">
        <f>IF($AB578="Currently special serv","Currently Specially Serviced",IF($AB578="Returned to master serv","Previously Specially Serviced","Never Specially Serviced"))</f>
        <v/>
      </c>
      <c r="CF578" s="78">
        <f>IF($CE578="Currently Specially Serviced",1,0)</f>
        <v/>
      </c>
      <c r="CG578" s="76">
        <f>IF($AA578="Yes","Currently on Watchlist",IF($AA578="Previously","Previously on Watchlist","Never on Watchlist"))</f>
        <v/>
      </c>
      <c r="CH578" s="78">
        <f>IF($CG578="Currently on Watchlist",1,0)</f>
        <v/>
      </c>
      <c r="CI578" s="76">
        <f>IF($Z578="Full Defeasance","Fully Defeased",IF($Z578="Portion Of Loan Previously Defeased","Partially Defeased",IF($Z578="Defeasance Not Allowable","Not Defeased (Not Permitted)","Not Defeased")))</f>
        <v/>
      </c>
      <c r="CJ578" s="78">
        <f>IF($CI578="Fully Defeased",1,0)</f>
        <v/>
      </c>
      <c r="CK578" s="76">
        <f>IF($R578="IO","Full IO",IF(LEFT($R578&amp;"",7)="IO then","Partial IO","Amortizing"))</f>
        <v/>
      </c>
      <c r="CL578" s="78">
        <f>IF($CK578="Full IO",1,0)</f>
        <v/>
      </c>
      <c r="CM578" s="78">
        <f>IF($CK578="Partial IO",1,0)</f>
        <v/>
      </c>
      <c r="CN578" s="76">
        <f>IF(LEFT($F578&amp;"",10)="SPLIT_LOAN","Pari Passu Split","Standalone")</f>
        <v/>
      </c>
      <c r="CO578" s="78">
        <f>IF($CN578="Pari Passu Split",1,0)</f>
        <v/>
      </c>
      <c r="CP578" s="77">
        <f>IF(ISNUMBER($T578),YEAR($T578),"")</f>
        <v/>
      </c>
      <c r="CQ578" s="79">
        <f>IF(ISNUMBER($V578),$V578,IF(ISNUMBER($U578),$U578,""))</f>
        <v/>
      </c>
      <c r="CR578" s="77">
        <f>IF(ISNUMBER($CQ578),YEAR($CQ578),"")</f>
        <v/>
      </c>
      <c r="CS578" s="78">
        <f>IF(ISNUMBER($M578),MAX(0,$M578),IF(TRIM($M578&amp;"")="matured",0,""))</f>
        <v/>
      </c>
      <c r="CT578" s="78">
        <f>IF(AND(ISNUMBER($CS578),N($CS578)&lt;=mMatWindow),1,0)</f>
        <v/>
      </c>
      <c r="CU578" s="80">
        <f>IF(ISNUMBER($J578),$J578/100,"")</f>
        <v/>
      </c>
      <c r="CV578" s="81">
        <f>IF(ISNUMBER($AQ578),$AQ578,"")</f>
        <v/>
      </c>
      <c r="CW578" s="81">
        <f>IF(ISNUMBER($AR578),$AR578,"")</f>
        <v/>
      </c>
      <c r="CX578" s="82">
        <f>IF(ISNUMBER($AS578),$AS578/100,"")</f>
        <v/>
      </c>
      <c r="CY578" s="82">
        <f>IF(ISNUMBER($AT578),$AT578/100,"")</f>
        <v/>
      </c>
      <c r="CZ578" s="82">
        <f>IF(ISNUMBER($AU578),$AU578/100,"")</f>
        <v/>
      </c>
      <c r="DA578" s="82">
        <f>IF(ISNUMBER($AV578),$AV578/100,"")</f>
        <v/>
      </c>
      <c r="DB578" s="82">
        <f>IF(ISNUMBER($AW578),$AW578/100,"")</f>
        <v/>
      </c>
      <c r="DC578" s="82">
        <f>IF(ISNUMBER($AX578),$AX578/100,"")</f>
        <v/>
      </c>
      <c r="DD578" s="77">
        <f>IFERROR(VALUE(LEFT(TRIM($AO578&amp;""),4)),"")</f>
        <v/>
      </c>
      <c r="DE578" s="78">
        <f>IF(AND($BY578=1,$BX578=1,OR(fDeal="All Deals",$BU578=fDeal),OR(fEntity="All Entities",$BV578=fEntity),OR(fPType="All Property Types",$BZ578=fPType),OR(fDefeased="Include",$CJ578=0)),1,0)</f>
        <v/>
      </c>
      <c r="DF578" s="83">
        <f>$DE578*N($I578)</f>
        <v/>
      </c>
      <c r="DG578" s="78">
        <f>IF($DE578=1,IF(COUNTIFS($F$8:$F578,$F578,$DE$8:$DE578,1)=1,1,0),0)</f>
        <v/>
      </c>
      <c r="DH578" s="83">
        <f>IF($DG578=1,SUMIFS($DF$8:$DF$1600,$F$8:$F$1600,$F578),0)</f>
        <v/>
      </c>
      <c r="DI578" s="78">
        <f>IF($DG578=1,COUNTIFS($F$8:$F$1600,$F578,$DE$8:$DE$1600,1),0)</f>
        <v/>
      </c>
      <c r="DJ578" s="84">
        <f>IF($DG578=1,$DH578+(100000-ROW())/mTieBreak,0)</f>
        <v/>
      </c>
    </row>
    <row r="579">
      <c r="B579" s="68" t="n">
        <v>56</v>
      </c>
      <c r="C579" s="69" t="inlineStr">
        <is>
          <t>WFC19C49</t>
        </is>
      </c>
      <c r="D579" s="69" t="inlineStr">
        <is>
          <t>56.000</t>
        </is>
      </c>
      <c r="E579" s="69" t="inlineStr">
        <is>
          <t>Colony MHC</t>
        </is>
      </c>
      <c r="F579" s="69" t="inlineStr">
        <is>
          <t>LNWFC19C49-56.000</t>
        </is>
      </c>
      <c r="G579" s="70" t="n"/>
      <c r="H579" s="71" t="n">
        <v>3050000</v>
      </c>
      <c r="I579" s="71" t="n">
        <v>0</v>
      </c>
      <c r="J579" s="72" t="n">
        <v>6</v>
      </c>
      <c r="K579" s="69" t="inlineStr">
        <is>
          <t>Fixed rate</t>
        </is>
      </c>
      <c r="L579" s="68" t="n">
        <v>57</v>
      </c>
      <c r="M579" s="68" t="n"/>
      <c r="N579" s="68" t="n">
        <v>60</v>
      </c>
      <c r="O579" s="68" t="n">
        <v>57</v>
      </c>
      <c r="P579" s="68" t="n"/>
      <c r="Q579" s="68" t="n"/>
      <c r="R579" s="69" t="inlineStr">
        <is>
          <t>IO</t>
        </is>
      </c>
      <c r="S579" s="69" t="inlineStr">
        <is>
          <t>Yes</t>
        </is>
      </c>
      <c r="T579" s="73" t="n">
        <v>43525</v>
      </c>
      <c r="U579" s="73" t="n">
        <v>45236</v>
      </c>
      <c r="V579" s="73" t="n"/>
      <c r="W579" s="69" t="n"/>
      <c r="X579" s="69" t="inlineStr">
        <is>
          <t>Current</t>
        </is>
      </c>
      <c r="Y579" s="68" t="n"/>
      <c r="Z579" s="69" t="inlineStr">
        <is>
          <t>Full Defeasance</t>
        </is>
      </c>
      <c r="AA579" s="69" t="inlineStr">
        <is>
          <t>Previously</t>
        </is>
      </c>
      <c r="AB579" s="69" t="inlineStr">
        <is>
          <t>Never special serv</t>
        </is>
      </c>
      <c r="AC579" s="73" t="n"/>
      <c r="AD579" s="69" t="n"/>
      <c r="AE579" s="69" t="n"/>
      <c r="AF579" s="69" t="inlineStr">
        <is>
          <t>FL</t>
        </is>
      </c>
      <c r="AG579" s="69" t="inlineStr">
        <is>
          <t>Merritt Island</t>
        </is>
      </c>
      <c r="AH579" s="69" t="inlineStr">
        <is>
          <t>Palm Bay-Melbourne-Titusville, FL</t>
        </is>
      </c>
      <c r="AI579" s="69" t="inlineStr">
        <is>
          <t>South / Atlantic</t>
        </is>
      </c>
      <c r="AJ579" s="69" t="inlineStr">
        <is>
          <t>MH</t>
        </is>
      </c>
      <c r="AK579" s="69" t="n"/>
      <c r="AL579" s="68" t="n">
        <v>1</v>
      </c>
      <c r="AM579" s="68" t="n">
        <v>143</v>
      </c>
      <c r="AN579" s="68" t="n"/>
      <c r="AO579" s="69" t="inlineStr">
        <is>
          <t>1969</t>
        </is>
      </c>
      <c r="AP579" s="70" t="n">
        <v>1969</v>
      </c>
      <c r="AQ579" s="74" t="n">
        <v>1.57</v>
      </c>
      <c r="AR579" s="74" t="n">
        <v>2.71</v>
      </c>
      <c r="AS579" s="74" t="n">
        <v>58.9</v>
      </c>
      <c r="AT579" s="74" t="n"/>
      <c r="AU579" s="74" t="n">
        <v>58.9</v>
      </c>
      <c r="AV579" s="74" t="n">
        <v>9.60252459</v>
      </c>
      <c r="AW579" s="74" t="n"/>
      <c r="AX579" s="75" t="n">
        <v>92</v>
      </c>
      <c r="AY579" s="71" t="n">
        <v>5180000</v>
      </c>
      <c r="AZ579" s="71" t="n">
        <v>5180000</v>
      </c>
      <c r="BA579" s="71" t="n">
        <v>292877</v>
      </c>
      <c r="BB579" s="71" t="n">
        <v>123825.17</v>
      </c>
      <c r="BC579" s="69" t="inlineStr">
        <is>
          <t>Acquisition</t>
        </is>
      </c>
      <c r="BD579" s="69" t="inlineStr">
        <is>
          <t>N</t>
        </is>
      </c>
      <c r="BE579" s="71" t="n"/>
      <c r="BF579" s="71" t="n"/>
      <c r="BG579" s="71" t="n"/>
      <c r="BH579" s="71" t="n">
        <v>0</v>
      </c>
      <c r="BI579" s="71" t="n">
        <v>0</v>
      </c>
      <c r="BJ579" s="69" t="inlineStr">
        <is>
          <t>N</t>
        </is>
      </c>
      <c r="BK579" s="69" t="n"/>
      <c r="BL579" s="75" t="n"/>
      <c r="BM579" s="73" t="n"/>
      <c r="BN579" s="69" t="inlineStr">
        <is>
          <t>Alexander Simon Rindner; Robert Moritz Blum</t>
        </is>
      </c>
      <c r="BO579" s="69" t="inlineStr">
        <is>
          <t>RMF</t>
        </is>
      </c>
      <c r="BP579" s="69" t="inlineStr">
        <is>
          <t>Wells Fargo</t>
        </is>
      </c>
      <c r="BQ579" s="69" t="inlineStr">
        <is>
          <t>K-Star Asset Management LLC</t>
        </is>
      </c>
      <c r="BR579" s="69" t="inlineStr">
        <is>
          <t>Full Payoff At Maturity</t>
        </is>
      </c>
      <c r="BS579" s="73" t="n">
        <v>45243</v>
      </c>
      <c r="BU579" s="76">
        <f>IF($C579="","",IFERROR(INDEX(dmName,MATCH($C579,dmID,0)),"Unmapped"))</f>
        <v/>
      </c>
      <c r="BV579" s="76">
        <f>IF($C579="","",IFERROR(INDEX(dmEntity,MATCH($C579,dmID,0)),"Unmapped"))</f>
        <v/>
      </c>
      <c r="BW579" s="77">
        <f>IF($C579="","",IFERROR(INDEX(dmVintage,MATCH($C579,dmID,0)),""))</f>
        <v/>
      </c>
      <c r="BX579" s="78">
        <f>IFERROR(INDEX(dmInclude,MATCH($C579,dmID,0)),0)</f>
        <v/>
      </c>
      <c r="BY579" s="78">
        <f>IF(N($I579)&gt;0,1,0)</f>
        <v/>
      </c>
      <c r="BZ579" s="76">
        <f>IF($AJ579="","Other / Leased Fee",IFERROR(INDEX(mapPTGroup,MATCH(LEFT(TRIM($AJ579),2),mapPTCode,0)),"Other / Leased Fee"))</f>
        <v/>
      </c>
      <c r="CA579" s="76">
        <f>IF(TRIM($AF579&amp;"")="","NR",LEFT(TRIM($AF579),2))</f>
        <v/>
      </c>
      <c r="CB579" s="76">
        <f>IFERROR(LOOKUP(2,1/(LEFT(TRIM($AI579&amp;""),LEN(mapRegion))=mapRegion),mapRegion),"Not Reported")</f>
        <v/>
      </c>
      <c r="CC579" s="76">
        <f>IF($BY579=0,"",IF(TRIM($W579&amp;"")="REO","REO",IF(TRIM($W579&amp;"")="FC","Foreclosure",IF(TRIM($W579&amp;"")="90+","90+ Days Delinquent",IF(TRIM($W579&amp;"")="60","60 Days Delinquent",IF(TRIM($W579&amp;"")="30","30 Days Delinquent",IF($X579="Non-Performing Matured Balloon","Non-Performing Matured Balloon",IF(OR($X579="Late Payment But Less Than 30 Days Delinquent",LEFT($X579&amp;"",20)="Payment Not Received"),"Late / In Grace (&lt;30 Days)",IF($X579="Performing Matured Balloon","Performing Matured Balloon","Current")))))))))</f>
        <v/>
      </c>
      <c r="CD579" s="78">
        <f>IF(OR($CC579="REO",$CC579="Foreclosure",$CC579="90+ Days Delinquent",$CC579="60 Days Delinquent",$CC579="30 Days Delinquent",$CC579="Non-Performing Matured Balloon"),1,0)</f>
        <v/>
      </c>
      <c r="CE579" s="76">
        <f>IF($AB579="Currently special serv","Currently Specially Serviced",IF($AB579="Returned to master serv","Previously Specially Serviced","Never Specially Serviced"))</f>
        <v/>
      </c>
      <c r="CF579" s="78">
        <f>IF($CE579="Currently Specially Serviced",1,0)</f>
        <v/>
      </c>
      <c r="CG579" s="76">
        <f>IF($AA579="Yes","Currently on Watchlist",IF($AA579="Previously","Previously on Watchlist","Never on Watchlist"))</f>
        <v/>
      </c>
      <c r="CH579" s="78">
        <f>IF($CG579="Currently on Watchlist",1,0)</f>
        <v/>
      </c>
      <c r="CI579" s="76">
        <f>IF($Z579="Full Defeasance","Fully Defeased",IF($Z579="Portion Of Loan Previously Defeased","Partially Defeased",IF($Z579="Defeasance Not Allowable","Not Defeased (Not Permitted)","Not Defeased")))</f>
        <v/>
      </c>
      <c r="CJ579" s="78">
        <f>IF($CI579="Fully Defeased",1,0)</f>
        <v/>
      </c>
      <c r="CK579" s="76">
        <f>IF($R579="IO","Full IO",IF(LEFT($R579&amp;"",7)="IO then","Partial IO","Amortizing"))</f>
        <v/>
      </c>
      <c r="CL579" s="78">
        <f>IF($CK579="Full IO",1,0)</f>
        <v/>
      </c>
      <c r="CM579" s="78">
        <f>IF($CK579="Partial IO",1,0)</f>
        <v/>
      </c>
      <c r="CN579" s="76">
        <f>IF(LEFT($F579&amp;"",10)="SPLIT_LOAN","Pari Passu Split","Standalone")</f>
        <v/>
      </c>
      <c r="CO579" s="78">
        <f>IF($CN579="Pari Passu Split",1,0)</f>
        <v/>
      </c>
      <c r="CP579" s="77">
        <f>IF(ISNUMBER($T579),YEAR($T579),"")</f>
        <v/>
      </c>
      <c r="CQ579" s="79">
        <f>IF(ISNUMBER($V579),$V579,IF(ISNUMBER($U579),$U579,""))</f>
        <v/>
      </c>
      <c r="CR579" s="77">
        <f>IF(ISNUMBER($CQ579),YEAR($CQ579),"")</f>
        <v/>
      </c>
      <c r="CS579" s="78">
        <f>IF(ISNUMBER($M579),MAX(0,$M579),IF(TRIM($M579&amp;"")="matured",0,""))</f>
        <v/>
      </c>
      <c r="CT579" s="78">
        <f>IF(AND(ISNUMBER($CS579),N($CS579)&lt;=mMatWindow),1,0)</f>
        <v/>
      </c>
      <c r="CU579" s="80">
        <f>IF(ISNUMBER($J579),$J579/100,"")</f>
        <v/>
      </c>
      <c r="CV579" s="81">
        <f>IF(ISNUMBER($AQ579),$AQ579,"")</f>
        <v/>
      </c>
      <c r="CW579" s="81">
        <f>IF(ISNUMBER($AR579),$AR579,"")</f>
        <v/>
      </c>
      <c r="CX579" s="82">
        <f>IF(ISNUMBER($AS579),$AS579/100,"")</f>
        <v/>
      </c>
      <c r="CY579" s="82">
        <f>IF(ISNUMBER($AT579),$AT579/100,"")</f>
        <v/>
      </c>
      <c r="CZ579" s="82">
        <f>IF(ISNUMBER($AU579),$AU579/100,"")</f>
        <v/>
      </c>
      <c r="DA579" s="82">
        <f>IF(ISNUMBER($AV579),$AV579/100,"")</f>
        <v/>
      </c>
      <c r="DB579" s="82">
        <f>IF(ISNUMBER($AW579),$AW579/100,"")</f>
        <v/>
      </c>
      <c r="DC579" s="82">
        <f>IF(ISNUMBER($AX579),$AX579/100,"")</f>
        <v/>
      </c>
      <c r="DD579" s="77">
        <f>IFERROR(VALUE(LEFT(TRIM($AO579&amp;""),4)),"")</f>
        <v/>
      </c>
      <c r="DE579" s="78">
        <f>IF(AND($BY579=1,$BX579=1,OR(fDeal="All Deals",$BU579=fDeal),OR(fEntity="All Entities",$BV579=fEntity),OR(fPType="All Property Types",$BZ579=fPType),OR(fDefeased="Include",$CJ579=0)),1,0)</f>
        <v/>
      </c>
      <c r="DF579" s="83">
        <f>$DE579*N($I579)</f>
        <v/>
      </c>
      <c r="DG579" s="78">
        <f>IF($DE579=1,IF(COUNTIFS($F$8:$F579,$F579,$DE$8:$DE579,1)=1,1,0),0)</f>
        <v/>
      </c>
      <c r="DH579" s="83">
        <f>IF($DG579=1,SUMIFS($DF$8:$DF$1600,$F$8:$F$1600,$F579),0)</f>
        <v/>
      </c>
      <c r="DI579" s="78">
        <f>IF($DG579=1,COUNTIFS($F$8:$F$1600,$F579,$DE$8:$DE$1600,1),0)</f>
        <v/>
      </c>
      <c r="DJ579" s="84">
        <f>IF($DG579=1,$DH579+(100000-ROW())/mTieBreak,0)</f>
        <v/>
      </c>
    </row>
    <row r="580">
      <c r="B580" s="68" t="n">
        <v>57</v>
      </c>
      <c r="C580" s="69" t="inlineStr">
        <is>
          <t>WFC19C49</t>
        </is>
      </c>
      <c r="D580" s="69" t="inlineStr">
        <is>
          <t>57.000</t>
        </is>
      </c>
      <c r="E580" s="69" t="inlineStr">
        <is>
          <t>GA MHC Portfolio</t>
        </is>
      </c>
      <c r="F580" s="69" t="inlineStr">
        <is>
          <t>LNWFC19C49-57.000</t>
        </is>
      </c>
      <c r="G580" s="70" t="n"/>
      <c r="H580" s="71" t="n">
        <v>3000000</v>
      </c>
      <c r="I580" s="71" t="n">
        <v>2646674.55</v>
      </c>
      <c r="J580" s="72" t="n">
        <v>5.57</v>
      </c>
      <c r="K580" s="69" t="inlineStr">
        <is>
          <t>Fixed rate</t>
        </is>
      </c>
      <c r="L580" s="68" t="n">
        <v>120</v>
      </c>
      <c r="M580" s="68" t="n">
        <v>27</v>
      </c>
      <c r="N580" s="68" t="n">
        <v>360</v>
      </c>
      <c r="O580" s="68" t="n"/>
      <c r="P580" s="68" t="n"/>
      <c r="Q580" s="68" t="n">
        <v>93</v>
      </c>
      <c r="R580" s="69" t="n"/>
      <c r="S580" s="69" t="inlineStr">
        <is>
          <t>No</t>
        </is>
      </c>
      <c r="T580" s="73" t="n">
        <v>43435</v>
      </c>
      <c r="U580" s="73" t="n">
        <v>47098</v>
      </c>
      <c r="V580" s="73" t="n"/>
      <c r="W580" s="69" t="n"/>
      <c r="X580" s="69" t="inlineStr">
        <is>
          <t>Current</t>
        </is>
      </c>
      <c r="Y580" s="68" t="n"/>
      <c r="Z580" s="69" t="inlineStr">
        <is>
          <t>No Defeasance Occurred</t>
        </is>
      </c>
      <c r="AA580" s="69" t="n"/>
      <c r="AB580" s="69" t="inlineStr">
        <is>
          <t>Never special serv</t>
        </is>
      </c>
      <c r="AC580" s="73" t="n"/>
      <c r="AD580" s="69" t="n"/>
      <c r="AE580" s="69" t="n"/>
      <c r="AF580" s="69" t="inlineStr">
        <is>
          <t>GA</t>
        </is>
      </c>
      <c r="AG580" s="69" t="n"/>
      <c r="AH580" s="69" t="inlineStr">
        <is>
          <t>Rome, GA-56.433329893%</t>
        </is>
      </c>
      <c r="AI580" s="69" t="inlineStr">
        <is>
          <t>South / Atlantic</t>
        </is>
      </c>
      <c r="AJ580" s="69" t="inlineStr">
        <is>
          <t>MH</t>
        </is>
      </c>
      <c r="AK580" s="69" t="n"/>
      <c r="AL580" s="68" t="n">
        <v>2</v>
      </c>
      <c r="AM580" s="68" t="n">
        <v>158</v>
      </c>
      <c r="AN580" s="68" t="n"/>
      <c r="AO580" s="69" t="n"/>
      <c r="AP580" s="70" t="n">
        <v>2018</v>
      </c>
      <c r="AQ580" s="74" t="n">
        <v>1.42</v>
      </c>
      <c r="AR580" s="74" t="n">
        <v>3.5</v>
      </c>
      <c r="AS580" s="74" t="n">
        <v>63</v>
      </c>
      <c r="AT580" s="74" t="n">
        <v>55.72</v>
      </c>
      <c r="AU580" s="74" t="n">
        <v>52.9</v>
      </c>
      <c r="AV580" s="74" t="n">
        <v>9.753557667000001</v>
      </c>
      <c r="AW580" s="74" t="n">
        <v>27.255289473</v>
      </c>
      <c r="AX580" s="75" t="n">
        <v>97</v>
      </c>
      <c r="AY580" s="71" t="n">
        <v>4750000</v>
      </c>
      <c r="AZ580" s="71" t="n">
        <v>4750000</v>
      </c>
      <c r="BA580" s="71" t="n">
        <v>292606.73</v>
      </c>
      <c r="BB580" s="71" t="n">
        <v>359991.31</v>
      </c>
      <c r="BC580" s="69" t="inlineStr">
        <is>
          <t>Refinance</t>
        </is>
      </c>
      <c r="BD580" s="69" t="inlineStr">
        <is>
          <t>N</t>
        </is>
      </c>
      <c r="BE580" s="71" t="n"/>
      <c r="BF580" s="71" t="n"/>
      <c r="BG580" s="71" t="n"/>
      <c r="BH580" s="71" t="n">
        <v>0</v>
      </c>
      <c r="BI580" s="71" t="n">
        <v>0</v>
      </c>
      <c r="BJ580" s="69" t="inlineStr">
        <is>
          <t>N</t>
        </is>
      </c>
      <c r="BK580" s="69" t="n"/>
      <c r="BL580" s="75" t="n"/>
      <c r="BM580" s="73" t="n"/>
      <c r="BN580" s="69" t="inlineStr">
        <is>
          <t>Dan Reed Davis</t>
        </is>
      </c>
      <c r="BO580" s="69" t="inlineStr">
        <is>
          <t>CIII Capital</t>
        </is>
      </c>
      <c r="BP580" s="69" t="inlineStr">
        <is>
          <t>TriMont Real Estate Advisors</t>
        </is>
      </c>
      <c r="BQ580" s="69" t="inlineStr">
        <is>
          <t>K-Star Asset Management LLC</t>
        </is>
      </c>
      <c r="BR580" s="69" t="n"/>
      <c r="BS580" s="73" t="n">
        <v>46276</v>
      </c>
      <c r="BU580" s="76">
        <f>IF($C580="","",IFERROR(INDEX(dmName,MATCH($C580,dmID,0)),"Unmapped"))</f>
        <v/>
      </c>
      <c r="BV580" s="76">
        <f>IF($C580="","",IFERROR(INDEX(dmEntity,MATCH($C580,dmID,0)),"Unmapped"))</f>
        <v/>
      </c>
      <c r="BW580" s="77">
        <f>IF($C580="","",IFERROR(INDEX(dmVintage,MATCH($C580,dmID,0)),""))</f>
        <v/>
      </c>
      <c r="BX580" s="78">
        <f>IFERROR(INDEX(dmInclude,MATCH($C580,dmID,0)),0)</f>
        <v/>
      </c>
      <c r="BY580" s="78">
        <f>IF(N($I580)&gt;0,1,0)</f>
        <v/>
      </c>
      <c r="BZ580" s="76">
        <f>IF($AJ580="","Other / Leased Fee",IFERROR(INDEX(mapPTGroup,MATCH(LEFT(TRIM($AJ580),2),mapPTCode,0)),"Other / Leased Fee"))</f>
        <v/>
      </c>
      <c r="CA580" s="76">
        <f>IF(TRIM($AF580&amp;"")="","NR",LEFT(TRIM($AF580),2))</f>
        <v/>
      </c>
      <c r="CB580" s="76">
        <f>IFERROR(LOOKUP(2,1/(LEFT(TRIM($AI580&amp;""),LEN(mapRegion))=mapRegion),mapRegion),"Not Reported")</f>
        <v/>
      </c>
      <c r="CC580" s="76">
        <f>IF($BY580=0,"",IF(TRIM($W580&amp;"")="REO","REO",IF(TRIM($W580&amp;"")="FC","Foreclosure",IF(TRIM($W580&amp;"")="90+","90+ Days Delinquent",IF(TRIM($W580&amp;"")="60","60 Days Delinquent",IF(TRIM($W580&amp;"")="30","30 Days Delinquent",IF($X580="Non-Performing Matured Balloon","Non-Performing Matured Balloon",IF(OR($X580="Late Payment But Less Than 30 Days Delinquent",LEFT($X580&amp;"",20)="Payment Not Received"),"Late / In Grace (&lt;30 Days)",IF($X580="Performing Matured Balloon","Performing Matured Balloon","Current")))))))))</f>
        <v/>
      </c>
      <c r="CD580" s="78">
        <f>IF(OR($CC580="REO",$CC580="Foreclosure",$CC580="90+ Days Delinquent",$CC580="60 Days Delinquent",$CC580="30 Days Delinquent",$CC580="Non-Performing Matured Balloon"),1,0)</f>
        <v/>
      </c>
      <c r="CE580" s="76">
        <f>IF($AB580="Currently special serv","Currently Specially Serviced",IF($AB580="Returned to master serv","Previously Specially Serviced","Never Specially Serviced"))</f>
        <v/>
      </c>
      <c r="CF580" s="78">
        <f>IF($CE580="Currently Specially Serviced",1,0)</f>
        <v/>
      </c>
      <c r="CG580" s="76">
        <f>IF($AA580="Yes","Currently on Watchlist",IF($AA580="Previously","Previously on Watchlist","Never on Watchlist"))</f>
        <v/>
      </c>
      <c r="CH580" s="78">
        <f>IF($CG580="Currently on Watchlist",1,0)</f>
        <v/>
      </c>
      <c r="CI580" s="76">
        <f>IF($Z580="Full Defeasance","Fully Defeased",IF($Z580="Portion Of Loan Previously Defeased","Partially Defeased",IF($Z580="Defeasance Not Allowable","Not Defeased (Not Permitted)","Not Defeased")))</f>
        <v/>
      </c>
      <c r="CJ580" s="78">
        <f>IF($CI580="Fully Defeased",1,0)</f>
        <v/>
      </c>
      <c r="CK580" s="76">
        <f>IF($R580="IO","Full IO",IF(LEFT($R580&amp;"",7)="IO then","Partial IO","Amortizing"))</f>
        <v/>
      </c>
      <c r="CL580" s="78">
        <f>IF($CK580="Full IO",1,0)</f>
        <v/>
      </c>
      <c r="CM580" s="78">
        <f>IF($CK580="Partial IO",1,0)</f>
        <v/>
      </c>
      <c r="CN580" s="76">
        <f>IF(LEFT($F580&amp;"",10)="SPLIT_LOAN","Pari Passu Split","Standalone")</f>
        <v/>
      </c>
      <c r="CO580" s="78">
        <f>IF($CN580="Pari Passu Split",1,0)</f>
        <v/>
      </c>
      <c r="CP580" s="77">
        <f>IF(ISNUMBER($T580),YEAR($T580),"")</f>
        <v/>
      </c>
      <c r="CQ580" s="79">
        <f>IF(ISNUMBER($V580),$V580,IF(ISNUMBER($U580),$U580,""))</f>
        <v/>
      </c>
      <c r="CR580" s="77">
        <f>IF(ISNUMBER($CQ580),YEAR($CQ580),"")</f>
        <v/>
      </c>
      <c r="CS580" s="78">
        <f>IF(ISNUMBER($M580),MAX(0,$M580),IF(TRIM($M580&amp;"")="matured",0,""))</f>
        <v/>
      </c>
      <c r="CT580" s="78">
        <f>IF(AND(ISNUMBER($CS580),N($CS580)&lt;=mMatWindow),1,0)</f>
        <v/>
      </c>
      <c r="CU580" s="80">
        <f>IF(ISNUMBER($J580),$J580/100,"")</f>
        <v/>
      </c>
      <c r="CV580" s="81">
        <f>IF(ISNUMBER($AQ580),$AQ580,"")</f>
        <v/>
      </c>
      <c r="CW580" s="81">
        <f>IF(ISNUMBER($AR580),$AR580,"")</f>
        <v/>
      </c>
      <c r="CX580" s="82">
        <f>IF(ISNUMBER($AS580),$AS580/100,"")</f>
        <v/>
      </c>
      <c r="CY580" s="82">
        <f>IF(ISNUMBER($AT580),$AT580/100,"")</f>
        <v/>
      </c>
      <c r="CZ580" s="82">
        <f>IF(ISNUMBER($AU580),$AU580/100,"")</f>
        <v/>
      </c>
      <c r="DA580" s="82">
        <f>IF(ISNUMBER($AV580),$AV580/100,"")</f>
        <v/>
      </c>
      <c r="DB580" s="82">
        <f>IF(ISNUMBER($AW580),$AW580/100,"")</f>
        <v/>
      </c>
      <c r="DC580" s="82">
        <f>IF(ISNUMBER($AX580),$AX580/100,"")</f>
        <v/>
      </c>
      <c r="DD580" s="77">
        <f>IFERROR(VALUE(LEFT(TRIM($AO580&amp;""),4)),"")</f>
        <v/>
      </c>
      <c r="DE580" s="78">
        <f>IF(AND($BY580=1,$BX580=1,OR(fDeal="All Deals",$BU580=fDeal),OR(fEntity="All Entities",$BV580=fEntity),OR(fPType="All Property Types",$BZ580=fPType),OR(fDefeased="Include",$CJ580=0)),1,0)</f>
        <v/>
      </c>
      <c r="DF580" s="83">
        <f>$DE580*N($I580)</f>
        <v/>
      </c>
      <c r="DG580" s="78">
        <f>IF($DE580=1,IF(COUNTIFS($F$8:$F580,$F580,$DE$8:$DE580,1)=1,1,0),0)</f>
        <v/>
      </c>
      <c r="DH580" s="83">
        <f>IF($DG580=1,SUMIFS($DF$8:$DF$1600,$F$8:$F$1600,$F580),0)</f>
        <v/>
      </c>
      <c r="DI580" s="78">
        <f>IF($DG580=1,COUNTIFS($F$8:$F$1600,$F580,$DE$8:$DE$1600,1),0)</f>
        <v/>
      </c>
      <c r="DJ580" s="84">
        <f>IF($DG580=1,$DH580+(100000-ROW())/mTieBreak,0)</f>
        <v/>
      </c>
    </row>
    <row r="581">
      <c r="B581" s="68" t="n">
        <v>58</v>
      </c>
      <c r="C581" s="69" t="inlineStr">
        <is>
          <t>WFC19C49</t>
        </is>
      </c>
      <c r="D581" s="69" t="inlineStr">
        <is>
          <t>58.000</t>
        </is>
      </c>
      <c r="E581" s="69" t="inlineStr">
        <is>
          <t>16755 Baseline</t>
        </is>
      </c>
      <c r="F581" s="69" t="inlineStr">
        <is>
          <t>LNWFC19C49-58.000</t>
        </is>
      </c>
      <c r="G581" s="70" t="n"/>
      <c r="H581" s="71" t="n">
        <v>2145000</v>
      </c>
      <c r="I581" s="71" t="n">
        <v>2145000</v>
      </c>
      <c r="J581" s="72" t="n">
        <v>5.25</v>
      </c>
      <c r="K581" s="69" t="inlineStr">
        <is>
          <t>Fixed rate</t>
        </is>
      </c>
      <c r="L581" s="68" t="n">
        <v>120</v>
      </c>
      <c r="M581" s="68" t="n">
        <v>28</v>
      </c>
      <c r="N581" s="68" t="n">
        <v>120</v>
      </c>
      <c r="O581" s="68" t="n">
        <v>120</v>
      </c>
      <c r="P581" s="68" t="n">
        <v>28</v>
      </c>
      <c r="Q581" s="68" t="n">
        <v>92</v>
      </c>
      <c r="R581" s="69" t="inlineStr">
        <is>
          <t>IO</t>
        </is>
      </c>
      <c r="S581" s="69" t="inlineStr">
        <is>
          <t>Yes</t>
        </is>
      </c>
      <c r="T581" s="73" t="n">
        <v>43466</v>
      </c>
      <c r="U581" s="73" t="n">
        <v>47129</v>
      </c>
      <c r="V581" s="73" t="n"/>
      <c r="W581" s="69" t="n"/>
      <c r="X581" s="69" t="inlineStr">
        <is>
          <t>Current</t>
        </is>
      </c>
      <c r="Y581" s="68" t="n"/>
      <c r="Z581" s="69" t="inlineStr">
        <is>
          <t>No Defeasance Occurred</t>
        </is>
      </c>
      <c r="AA581" s="69" t="inlineStr">
        <is>
          <t>Previously</t>
        </is>
      </c>
      <c r="AB581" s="69" t="inlineStr">
        <is>
          <t>Never special serv</t>
        </is>
      </c>
      <c r="AC581" s="73" t="n"/>
      <c r="AD581" s="69" t="n"/>
      <c r="AE581" s="69" t="n"/>
      <c r="AF581" s="69" t="inlineStr">
        <is>
          <t>OR</t>
        </is>
      </c>
      <c r="AG581" s="69" t="inlineStr">
        <is>
          <t>Beaverton</t>
        </is>
      </c>
      <c r="AH581" s="69" t="inlineStr">
        <is>
          <t>Portland-Vancouver-Hillsboro, OR-WA</t>
        </is>
      </c>
      <c r="AI581" s="69" t="inlineStr">
        <is>
          <t>West / Pacific North</t>
        </is>
      </c>
      <c r="AJ581" s="69" t="inlineStr">
        <is>
          <t>RT</t>
        </is>
      </c>
      <c r="AK581" s="69" t="inlineStr">
        <is>
          <t>Unanchored</t>
        </is>
      </c>
      <c r="AL581" s="68" t="n">
        <v>1</v>
      </c>
      <c r="AM581" s="68" t="n"/>
      <c r="AN581" s="68" t="n">
        <v>12000</v>
      </c>
      <c r="AO581" s="69" t="inlineStr">
        <is>
          <t>2004</t>
        </is>
      </c>
      <c r="AP581" s="70" t="n">
        <v>2004</v>
      </c>
      <c r="AQ581" s="74" t="n">
        <v>2.02</v>
      </c>
      <c r="AR581" s="74" t="n">
        <v>2.83</v>
      </c>
      <c r="AS581" s="74" t="n">
        <v>60</v>
      </c>
      <c r="AT581" s="74" t="n">
        <v>60</v>
      </c>
      <c r="AU581" s="74" t="n">
        <v>60</v>
      </c>
      <c r="AV581" s="74" t="n">
        <v>10.76983683</v>
      </c>
      <c r="AW581" s="74" t="n">
        <v>12.481754779</v>
      </c>
      <c r="AX581" s="75" t="n">
        <v>100</v>
      </c>
      <c r="AY581" s="71" t="n">
        <v>3575000</v>
      </c>
      <c r="AZ581" s="71" t="n">
        <v>3575000</v>
      </c>
      <c r="BA581" s="71" t="n">
        <v>231013</v>
      </c>
      <c r="BB581" s="71" t="n">
        <v>160953.89</v>
      </c>
      <c r="BC581" s="69" t="inlineStr">
        <is>
          <t>Acquisition</t>
        </is>
      </c>
      <c r="BD581" s="69" t="inlineStr">
        <is>
          <t>N</t>
        </is>
      </c>
      <c r="BE581" s="71" t="n"/>
      <c r="BF581" s="71" t="n"/>
      <c r="BG581" s="71" t="n"/>
      <c r="BH581" s="71" t="n">
        <v>0</v>
      </c>
      <c r="BI581" s="71" t="n">
        <v>0</v>
      </c>
      <c r="BJ581" s="69" t="inlineStr">
        <is>
          <t>N</t>
        </is>
      </c>
      <c r="BK581" s="69" t="inlineStr">
        <is>
          <t>5 Star Smiles Dentistry</t>
        </is>
      </c>
      <c r="BL581" s="75" t="n">
        <v>20</v>
      </c>
      <c r="BM581" s="73" t="n">
        <v>47573</v>
      </c>
      <c r="BN581" s="69" t="inlineStr">
        <is>
          <t>The Feitelberg Family Trust dated 8/6/2009; Peter H. Feitelberg; Margaret C. Feitelberg</t>
        </is>
      </c>
      <c r="BO581" s="69" t="inlineStr">
        <is>
          <t>Wells Fargo</t>
        </is>
      </c>
      <c r="BP581" s="69" t="inlineStr">
        <is>
          <t>TriMont Real Estate Advisors</t>
        </is>
      </c>
      <c r="BQ581" s="69" t="inlineStr">
        <is>
          <t>K-Star Asset Management LLC</t>
        </is>
      </c>
      <c r="BR581" s="69" t="n"/>
      <c r="BS581" s="73" t="n">
        <v>46276</v>
      </c>
      <c r="BU581" s="76">
        <f>IF($C581="","",IFERROR(INDEX(dmName,MATCH($C581,dmID,0)),"Unmapped"))</f>
        <v/>
      </c>
      <c r="BV581" s="76">
        <f>IF($C581="","",IFERROR(INDEX(dmEntity,MATCH($C581,dmID,0)),"Unmapped"))</f>
        <v/>
      </c>
      <c r="BW581" s="77">
        <f>IF($C581="","",IFERROR(INDEX(dmVintage,MATCH($C581,dmID,0)),""))</f>
        <v/>
      </c>
      <c r="BX581" s="78">
        <f>IFERROR(INDEX(dmInclude,MATCH($C581,dmID,0)),0)</f>
        <v/>
      </c>
      <c r="BY581" s="78">
        <f>IF(N($I581)&gt;0,1,0)</f>
        <v/>
      </c>
      <c r="BZ581" s="76">
        <f>IF($AJ581="","Other / Leased Fee",IFERROR(INDEX(mapPTGroup,MATCH(LEFT(TRIM($AJ581),2),mapPTCode,0)),"Other / Leased Fee"))</f>
        <v/>
      </c>
      <c r="CA581" s="76">
        <f>IF(TRIM($AF581&amp;"")="","NR",LEFT(TRIM($AF581),2))</f>
        <v/>
      </c>
      <c r="CB581" s="76">
        <f>IFERROR(LOOKUP(2,1/(LEFT(TRIM($AI581&amp;""),LEN(mapRegion))=mapRegion),mapRegion),"Not Reported")</f>
        <v/>
      </c>
      <c r="CC581" s="76">
        <f>IF($BY581=0,"",IF(TRIM($W581&amp;"")="REO","REO",IF(TRIM($W581&amp;"")="FC","Foreclosure",IF(TRIM($W581&amp;"")="90+","90+ Days Delinquent",IF(TRIM($W581&amp;"")="60","60 Days Delinquent",IF(TRIM($W581&amp;"")="30","30 Days Delinquent",IF($X581="Non-Performing Matured Balloon","Non-Performing Matured Balloon",IF(OR($X581="Late Payment But Less Than 30 Days Delinquent",LEFT($X581&amp;"",20)="Payment Not Received"),"Late / In Grace (&lt;30 Days)",IF($X581="Performing Matured Balloon","Performing Matured Balloon","Current")))))))))</f>
        <v/>
      </c>
      <c r="CD581" s="78">
        <f>IF(OR($CC581="REO",$CC581="Foreclosure",$CC581="90+ Days Delinquent",$CC581="60 Days Delinquent",$CC581="30 Days Delinquent",$CC581="Non-Performing Matured Balloon"),1,0)</f>
        <v/>
      </c>
      <c r="CE581" s="76">
        <f>IF($AB581="Currently special serv","Currently Specially Serviced",IF($AB581="Returned to master serv","Previously Specially Serviced","Never Specially Serviced"))</f>
        <v/>
      </c>
      <c r="CF581" s="78">
        <f>IF($CE581="Currently Specially Serviced",1,0)</f>
        <v/>
      </c>
      <c r="CG581" s="76">
        <f>IF($AA581="Yes","Currently on Watchlist",IF($AA581="Previously","Previously on Watchlist","Never on Watchlist"))</f>
        <v/>
      </c>
      <c r="CH581" s="78">
        <f>IF($CG581="Currently on Watchlist",1,0)</f>
        <v/>
      </c>
      <c r="CI581" s="76">
        <f>IF($Z581="Full Defeasance","Fully Defeased",IF($Z581="Portion Of Loan Previously Defeased","Partially Defeased",IF($Z581="Defeasance Not Allowable","Not Defeased (Not Permitted)","Not Defeased")))</f>
        <v/>
      </c>
      <c r="CJ581" s="78">
        <f>IF($CI581="Fully Defeased",1,0)</f>
        <v/>
      </c>
      <c r="CK581" s="76">
        <f>IF($R581="IO","Full IO",IF(LEFT($R581&amp;"",7)="IO then","Partial IO","Amortizing"))</f>
        <v/>
      </c>
      <c r="CL581" s="78">
        <f>IF($CK581="Full IO",1,0)</f>
        <v/>
      </c>
      <c r="CM581" s="78">
        <f>IF($CK581="Partial IO",1,0)</f>
        <v/>
      </c>
      <c r="CN581" s="76">
        <f>IF(LEFT($F581&amp;"",10)="SPLIT_LOAN","Pari Passu Split","Standalone")</f>
        <v/>
      </c>
      <c r="CO581" s="78">
        <f>IF($CN581="Pari Passu Split",1,0)</f>
        <v/>
      </c>
      <c r="CP581" s="77">
        <f>IF(ISNUMBER($T581),YEAR($T581),"")</f>
        <v/>
      </c>
      <c r="CQ581" s="79">
        <f>IF(ISNUMBER($V581),$V581,IF(ISNUMBER($U581),$U581,""))</f>
        <v/>
      </c>
      <c r="CR581" s="77">
        <f>IF(ISNUMBER($CQ581),YEAR($CQ581),"")</f>
        <v/>
      </c>
      <c r="CS581" s="78">
        <f>IF(ISNUMBER($M581),MAX(0,$M581),IF(TRIM($M581&amp;"")="matured",0,""))</f>
        <v/>
      </c>
      <c r="CT581" s="78">
        <f>IF(AND(ISNUMBER($CS581),N($CS581)&lt;=mMatWindow),1,0)</f>
        <v/>
      </c>
      <c r="CU581" s="80">
        <f>IF(ISNUMBER($J581),$J581/100,"")</f>
        <v/>
      </c>
      <c r="CV581" s="81">
        <f>IF(ISNUMBER($AQ581),$AQ581,"")</f>
        <v/>
      </c>
      <c r="CW581" s="81">
        <f>IF(ISNUMBER($AR581),$AR581,"")</f>
        <v/>
      </c>
      <c r="CX581" s="82">
        <f>IF(ISNUMBER($AS581),$AS581/100,"")</f>
        <v/>
      </c>
      <c r="CY581" s="82">
        <f>IF(ISNUMBER($AT581),$AT581/100,"")</f>
        <v/>
      </c>
      <c r="CZ581" s="82">
        <f>IF(ISNUMBER($AU581),$AU581/100,"")</f>
        <v/>
      </c>
      <c r="DA581" s="82">
        <f>IF(ISNUMBER($AV581),$AV581/100,"")</f>
        <v/>
      </c>
      <c r="DB581" s="82">
        <f>IF(ISNUMBER($AW581),$AW581/100,"")</f>
        <v/>
      </c>
      <c r="DC581" s="82">
        <f>IF(ISNUMBER($AX581),$AX581/100,"")</f>
        <v/>
      </c>
      <c r="DD581" s="77">
        <f>IFERROR(VALUE(LEFT(TRIM($AO581&amp;""),4)),"")</f>
        <v/>
      </c>
      <c r="DE581" s="78">
        <f>IF(AND($BY581=1,$BX581=1,OR(fDeal="All Deals",$BU581=fDeal),OR(fEntity="All Entities",$BV581=fEntity),OR(fPType="All Property Types",$BZ581=fPType),OR(fDefeased="Include",$CJ581=0)),1,0)</f>
        <v/>
      </c>
      <c r="DF581" s="83">
        <f>$DE581*N($I581)</f>
        <v/>
      </c>
      <c r="DG581" s="78">
        <f>IF($DE581=1,IF(COUNTIFS($F$8:$F581,$F581,$DE$8:$DE581,1)=1,1,0),0)</f>
        <v/>
      </c>
      <c r="DH581" s="83">
        <f>IF($DG581=1,SUMIFS($DF$8:$DF$1600,$F$8:$F$1600,$F581),0)</f>
        <v/>
      </c>
      <c r="DI581" s="78">
        <f>IF($DG581=1,COUNTIFS($F$8:$F$1600,$F581,$DE$8:$DE$1600,1),0)</f>
        <v/>
      </c>
      <c r="DJ581" s="84">
        <f>IF($DG581=1,$DH581+(100000-ROW())/mTieBreak,0)</f>
        <v/>
      </c>
    </row>
    <row r="582">
      <c r="B582" s="68" t="n">
        <v>59</v>
      </c>
      <c r="C582" s="69" t="inlineStr">
        <is>
          <t>WFC19C49</t>
        </is>
      </c>
      <c r="D582" s="69" t="inlineStr">
        <is>
          <t>59.000</t>
        </is>
      </c>
      <c r="E582" s="69" t="inlineStr">
        <is>
          <t>Starbucks - North Cicero</t>
        </is>
      </c>
      <c r="F582" s="69" t="inlineStr">
        <is>
          <t>LNWFC19C49-59.000</t>
        </is>
      </c>
      <c r="G582" s="70" t="n"/>
      <c r="H582" s="71" t="n">
        <v>1636250</v>
      </c>
      <c r="I582" s="71" t="n">
        <v>1636250</v>
      </c>
      <c r="J582" s="72" t="n">
        <v>5.45</v>
      </c>
      <c r="K582" s="69" t="inlineStr">
        <is>
          <t>Fixed rate</t>
        </is>
      </c>
      <c r="L582" s="68" t="n">
        <v>120</v>
      </c>
      <c r="M582" s="68" t="n">
        <v>27</v>
      </c>
      <c r="N582" s="68" t="n">
        <v>120</v>
      </c>
      <c r="O582" s="68" t="n">
        <v>120</v>
      </c>
      <c r="P582" s="68" t="n">
        <v>27</v>
      </c>
      <c r="Q582" s="68" t="n">
        <v>93</v>
      </c>
      <c r="R582" s="69" t="inlineStr">
        <is>
          <t>IO</t>
        </is>
      </c>
      <c r="S582" s="69" t="inlineStr">
        <is>
          <t>Yes</t>
        </is>
      </c>
      <c r="T582" s="73" t="n">
        <v>43435</v>
      </c>
      <c r="U582" s="73" t="n">
        <v>47093</v>
      </c>
      <c r="V582" s="73" t="n"/>
      <c r="W582" s="69" t="n"/>
      <c r="X582" s="69" t="inlineStr">
        <is>
          <t>Current</t>
        </is>
      </c>
      <c r="Y582" s="68" t="n"/>
      <c r="Z582" s="69" t="inlineStr">
        <is>
          <t>No Defeasance Occurred</t>
        </is>
      </c>
      <c r="AA582" s="69" t="inlineStr">
        <is>
          <t>Previously</t>
        </is>
      </c>
      <c r="AB582" s="69" t="inlineStr">
        <is>
          <t>Never special serv</t>
        </is>
      </c>
      <c r="AC582" s="73" t="n"/>
      <c r="AD582" s="69" t="n"/>
      <c r="AE582" s="69" t="n"/>
      <c r="AF582" s="69" t="inlineStr">
        <is>
          <t>IL</t>
        </is>
      </c>
      <c r="AG582" s="69" t="inlineStr">
        <is>
          <t>Chicago</t>
        </is>
      </c>
      <c r="AH582" s="69" t="inlineStr">
        <is>
          <t>Chicago-Naperville-Elgin, IL-IN</t>
        </is>
      </c>
      <c r="AI582" s="69" t="inlineStr">
        <is>
          <t>Midwest / Central East</t>
        </is>
      </c>
      <c r="AJ582" s="69" t="inlineStr">
        <is>
          <t>RT</t>
        </is>
      </c>
      <c r="AK582" s="69" t="inlineStr">
        <is>
          <t>Single Tenant</t>
        </is>
      </c>
      <c r="AL582" s="68" t="n">
        <v>1</v>
      </c>
      <c r="AM582" s="68" t="n"/>
      <c r="AN582" s="68" t="n">
        <v>2500</v>
      </c>
      <c r="AO582" s="69" t="inlineStr">
        <is>
          <t>2018</t>
        </is>
      </c>
      <c r="AP582" s="70" t="n">
        <v>2018</v>
      </c>
      <c r="AQ582" s="74" t="n">
        <v>1.53</v>
      </c>
      <c r="AR582" s="74" t="n">
        <v>1.7</v>
      </c>
      <c r="AS582" s="74" t="n">
        <v>54.5</v>
      </c>
      <c r="AT582" s="74" t="n">
        <v>54.54</v>
      </c>
      <c r="AU582" s="74" t="n">
        <v>54.5</v>
      </c>
      <c r="AV582" s="74" t="n">
        <v>8.47583071</v>
      </c>
      <c r="AW582" s="74" t="n">
        <v>9.381940413000001</v>
      </c>
      <c r="AX582" s="75" t="n">
        <v>100</v>
      </c>
      <c r="AY582" s="71" t="n">
        <v>3000000</v>
      </c>
      <c r="AZ582" s="71" t="n">
        <v>3000000</v>
      </c>
      <c r="BA582" s="71" t="n">
        <v>138685.78</v>
      </c>
      <c r="BB582" s="71" t="n">
        <v>76756</v>
      </c>
      <c r="BC582" s="69" t="inlineStr">
        <is>
          <t>Acquisition</t>
        </is>
      </c>
      <c r="BD582" s="69" t="inlineStr">
        <is>
          <t>N</t>
        </is>
      </c>
      <c r="BE582" s="71" t="n"/>
      <c r="BF582" s="71" t="n"/>
      <c r="BG582" s="71" t="n"/>
      <c r="BH582" s="71" t="n">
        <v>0</v>
      </c>
      <c r="BI582" s="71" t="n">
        <v>0</v>
      </c>
      <c r="BJ582" s="69" t="inlineStr">
        <is>
          <t>N</t>
        </is>
      </c>
      <c r="BK582" s="69" t="inlineStr">
        <is>
          <t>Starbucks</t>
        </is>
      </c>
      <c r="BL582" s="75" t="n">
        <v>100</v>
      </c>
      <c r="BM582" s="73" t="n">
        <v>46691</v>
      </c>
      <c r="BN582" s="69" t="inlineStr">
        <is>
          <t>Deanna Colletti; Paolo Colletti</t>
        </is>
      </c>
      <c r="BO582" s="69" t="inlineStr">
        <is>
          <t>Barclays</t>
        </is>
      </c>
      <c r="BP582" s="69" t="inlineStr">
        <is>
          <t>TriMont Real Estate Advisors</t>
        </is>
      </c>
      <c r="BQ582" s="69" t="inlineStr">
        <is>
          <t>K-Star Asset Management LLC</t>
        </is>
      </c>
      <c r="BR582" s="69" t="n"/>
      <c r="BS582" s="73" t="n">
        <v>46276</v>
      </c>
      <c r="BU582" s="76">
        <f>IF($C582="","",IFERROR(INDEX(dmName,MATCH($C582,dmID,0)),"Unmapped"))</f>
        <v/>
      </c>
      <c r="BV582" s="76">
        <f>IF($C582="","",IFERROR(INDEX(dmEntity,MATCH($C582,dmID,0)),"Unmapped"))</f>
        <v/>
      </c>
      <c r="BW582" s="77">
        <f>IF($C582="","",IFERROR(INDEX(dmVintage,MATCH($C582,dmID,0)),""))</f>
        <v/>
      </c>
      <c r="BX582" s="78">
        <f>IFERROR(INDEX(dmInclude,MATCH($C582,dmID,0)),0)</f>
        <v/>
      </c>
      <c r="BY582" s="78">
        <f>IF(N($I582)&gt;0,1,0)</f>
        <v/>
      </c>
      <c r="BZ582" s="76">
        <f>IF($AJ582="","Other / Leased Fee",IFERROR(INDEX(mapPTGroup,MATCH(LEFT(TRIM($AJ582),2),mapPTCode,0)),"Other / Leased Fee"))</f>
        <v/>
      </c>
      <c r="CA582" s="76">
        <f>IF(TRIM($AF582&amp;"")="","NR",LEFT(TRIM($AF582),2))</f>
        <v/>
      </c>
      <c r="CB582" s="76">
        <f>IFERROR(LOOKUP(2,1/(LEFT(TRIM($AI582&amp;""),LEN(mapRegion))=mapRegion),mapRegion),"Not Reported")</f>
        <v/>
      </c>
      <c r="CC582" s="76">
        <f>IF($BY582=0,"",IF(TRIM($W582&amp;"")="REO","REO",IF(TRIM($W582&amp;"")="FC","Foreclosure",IF(TRIM($W582&amp;"")="90+","90+ Days Delinquent",IF(TRIM($W582&amp;"")="60","60 Days Delinquent",IF(TRIM($W582&amp;"")="30","30 Days Delinquent",IF($X582="Non-Performing Matured Balloon","Non-Performing Matured Balloon",IF(OR($X582="Late Payment But Less Than 30 Days Delinquent",LEFT($X582&amp;"",20)="Payment Not Received"),"Late / In Grace (&lt;30 Days)",IF($X582="Performing Matured Balloon","Performing Matured Balloon","Current")))))))))</f>
        <v/>
      </c>
      <c r="CD582" s="78">
        <f>IF(OR($CC582="REO",$CC582="Foreclosure",$CC582="90+ Days Delinquent",$CC582="60 Days Delinquent",$CC582="30 Days Delinquent",$CC582="Non-Performing Matured Balloon"),1,0)</f>
        <v/>
      </c>
      <c r="CE582" s="76">
        <f>IF($AB582="Currently special serv","Currently Specially Serviced",IF($AB582="Returned to master serv","Previously Specially Serviced","Never Specially Serviced"))</f>
        <v/>
      </c>
      <c r="CF582" s="78">
        <f>IF($CE582="Currently Specially Serviced",1,0)</f>
        <v/>
      </c>
      <c r="CG582" s="76">
        <f>IF($AA582="Yes","Currently on Watchlist",IF($AA582="Previously","Previously on Watchlist","Never on Watchlist"))</f>
        <v/>
      </c>
      <c r="CH582" s="78">
        <f>IF($CG582="Currently on Watchlist",1,0)</f>
        <v/>
      </c>
      <c r="CI582" s="76">
        <f>IF($Z582="Full Defeasance","Fully Defeased",IF($Z582="Portion Of Loan Previously Defeased","Partially Defeased",IF($Z582="Defeasance Not Allowable","Not Defeased (Not Permitted)","Not Defeased")))</f>
        <v/>
      </c>
      <c r="CJ582" s="78">
        <f>IF($CI582="Fully Defeased",1,0)</f>
        <v/>
      </c>
      <c r="CK582" s="76">
        <f>IF($R582="IO","Full IO",IF(LEFT($R582&amp;"",7)="IO then","Partial IO","Amortizing"))</f>
        <v/>
      </c>
      <c r="CL582" s="78">
        <f>IF($CK582="Full IO",1,0)</f>
        <v/>
      </c>
      <c r="CM582" s="78">
        <f>IF($CK582="Partial IO",1,0)</f>
        <v/>
      </c>
      <c r="CN582" s="76">
        <f>IF(LEFT($F582&amp;"",10)="SPLIT_LOAN","Pari Passu Split","Standalone")</f>
        <v/>
      </c>
      <c r="CO582" s="78">
        <f>IF($CN582="Pari Passu Split",1,0)</f>
        <v/>
      </c>
      <c r="CP582" s="77">
        <f>IF(ISNUMBER($T582),YEAR($T582),"")</f>
        <v/>
      </c>
      <c r="CQ582" s="79">
        <f>IF(ISNUMBER($V582),$V582,IF(ISNUMBER($U582),$U582,""))</f>
        <v/>
      </c>
      <c r="CR582" s="77">
        <f>IF(ISNUMBER($CQ582),YEAR($CQ582),"")</f>
        <v/>
      </c>
      <c r="CS582" s="78">
        <f>IF(ISNUMBER($M582),MAX(0,$M582),IF(TRIM($M582&amp;"")="matured",0,""))</f>
        <v/>
      </c>
      <c r="CT582" s="78">
        <f>IF(AND(ISNUMBER($CS582),N($CS582)&lt;=mMatWindow),1,0)</f>
        <v/>
      </c>
      <c r="CU582" s="80">
        <f>IF(ISNUMBER($J582),$J582/100,"")</f>
        <v/>
      </c>
      <c r="CV582" s="81">
        <f>IF(ISNUMBER($AQ582),$AQ582,"")</f>
        <v/>
      </c>
      <c r="CW582" s="81">
        <f>IF(ISNUMBER($AR582),$AR582,"")</f>
        <v/>
      </c>
      <c r="CX582" s="82">
        <f>IF(ISNUMBER($AS582),$AS582/100,"")</f>
        <v/>
      </c>
      <c r="CY582" s="82">
        <f>IF(ISNUMBER($AT582),$AT582/100,"")</f>
        <v/>
      </c>
      <c r="CZ582" s="82">
        <f>IF(ISNUMBER($AU582),$AU582/100,"")</f>
        <v/>
      </c>
      <c r="DA582" s="82">
        <f>IF(ISNUMBER($AV582),$AV582/100,"")</f>
        <v/>
      </c>
      <c r="DB582" s="82">
        <f>IF(ISNUMBER($AW582),$AW582/100,"")</f>
        <v/>
      </c>
      <c r="DC582" s="82">
        <f>IF(ISNUMBER($AX582),$AX582/100,"")</f>
        <v/>
      </c>
      <c r="DD582" s="77">
        <f>IFERROR(VALUE(LEFT(TRIM($AO582&amp;""),4)),"")</f>
        <v/>
      </c>
      <c r="DE582" s="78">
        <f>IF(AND($BY582=1,$BX582=1,OR(fDeal="All Deals",$BU582=fDeal),OR(fEntity="All Entities",$BV582=fEntity),OR(fPType="All Property Types",$BZ582=fPType),OR(fDefeased="Include",$CJ582=0)),1,0)</f>
        <v/>
      </c>
      <c r="DF582" s="83">
        <f>$DE582*N($I582)</f>
        <v/>
      </c>
      <c r="DG582" s="78">
        <f>IF($DE582=1,IF(COUNTIFS($F$8:$F582,$F582,$DE$8:$DE582,1)=1,1,0),0)</f>
        <v/>
      </c>
      <c r="DH582" s="83">
        <f>IF($DG582=1,SUMIFS($DF$8:$DF$1600,$F$8:$F$1600,$F582),0)</f>
        <v/>
      </c>
      <c r="DI582" s="78">
        <f>IF($DG582=1,COUNTIFS($F$8:$F$1600,$F582,$DE$8:$DE$1600,1),0)</f>
        <v/>
      </c>
      <c r="DJ582" s="84">
        <f>IF($DG582=1,$DH582+(100000-ROW())/mTieBreak,0)</f>
        <v/>
      </c>
    </row>
    <row r="583">
      <c r="B583" s="68" t="n">
        <v>60</v>
      </c>
      <c r="C583" s="69" t="inlineStr">
        <is>
          <t>WFC19C49</t>
        </is>
      </c>
      <c r="D583" s="69" t="inlineStr">
        <is>
          <t>60.000</t>
        </is>
      </c>
      <c r="E583" s="69" t="inlineStr">
        <is>
          <t>2218 Old Middlefield Way</t>
        </is>
      </c>
      <c r="F583" s="69" t="inlineStr">
        <is>
          <t>LNWFC19C49-60.000</t>
        </is>
      </c>
      <c r="G583" s="70" t="n"/>
      <c r="H583" s="71" t="n">
        <v>1550000</v>
      </c>
      <c r="I583" s="71" t="n">
        <v>1550000</v>
      </c>
      <c r="J583" s="72" t="n">
        <v>4.985</v>
      </c>
      <c r="K583" s="69" t="inlineStr">
        <is>
          <t>Fixed rate</t>
        </is>
      </c>
      <c r="L583" s="68" t="n">
        <v>120</v>
      </c>
      <c r="M583" s="68" t="n">
        <v>27</v>
      </c>
      <c r="N583" s="68" t="n">
        <v>120</v>
      </c>
      <c r="O583" s="68" t="n">
        <v>120</v>
      </c>
      <c r="P583" s="68" t="n">
        <v>27</v>
      </c>
      <c r="Q583" s="68" t="n">
        <v>93</v>
      </c>
      <c r="R583" s="69" t="inlineStr">
        <is>
          <t>IO</t>
        </is>
      </c>
      <c r="S583" s="69" t="inlineStr">
        <is>
          <t>Yes</t>
        </is>
      </c>
      <c r="T583" s="73" t="n">
        <v>43435</v>
      </c>
      <c r="U583" s="73" t="n">
        <v>47098</v>
      </c>
      <c r="V583" s="73" t="n"/>
      <c r="W583" s="69" t="n"/>
      <c r="X583" s="69" t="inlineStr">
        <is>
          <t>Current</t>
        </is>
      </c>
      <c r="Y583" s="68" t="n"/>
      <c r="Z583" s="69" t="inlineStr">
        <is>
          <t>No Defeasance Occurred</t>
        </is>
      </c>
      <c r="AA583" s="69" t="inlineStr">
        <is>
          <t>Previously</t>
        </is>
      </c>
      <c r="AB583" s="69" t="inlineStr">
        <is>
          <t>Never special serv</t>
        </is>
      </c>
      <c r="AC583" s="73" t="n"/>
      <c r="AD583" s="69" t="n"/>
      <c r="AE583" s="69" t="n"/>
      <c r="AF583" s="69" t="inlineStr">
        <is>
          <t>CA</t>
        </is>
      </c>
      <c r="AG583" s="69" t="inlineStr">
        <is>
          <t>Mountain View</t>
        </is>
      </c>
      <c r="AH583" s="69" t="inlineStr">
        <is>
          <t>San Jose-Sunnyvale-Santa Clara, CA</t>
        </is>
      </c>
      <c r="AI583" s="69" t="inlineStr">
        <is>
          <t>West / Pacific North</t>
        </is>
      </c>
      <c r="AJ583" s="69" t="inlineStr">
        <is>
          <t>OF</t>
        </is>
      </c>
      <c r="AK583" s="69" t="inlineStr">
        <is>
          <t>R&amp;D</t>
        </is>
      </c>
      <c r="AL583" s="68" t="n">
        <v>1</v>
      </c>
      <c r="AM583" s="68" t="n"/>
      <c r="AN583" s="68" t="n">
        <v>10314</v>
      </c>
      <c r="AO583" s="69" t="inlineStr">
        <is>
          <t>1973</t>
        </is>
      </c>
      <c r="AP583" s="70" t="n">
        <v>2017</v>
      </c>
      <c r="AQ583" s="74" t="n">
        <v>3.26</v>
      </c>
      <c r="AR583" s="74" t="n">
        <v>3.18</v>
      </c>
      <c r="AS583" s="74" t="n">
        <v>43.1</v>
      </c>
      <c r="AT583" s="74" t="n">
        <v>43.06</v>
      </c>
      <c r="AU583" s="74" t="n">
        <v>43.1</v>
      </c>
      <c r="AV583" s="74" t="n">
        <v>16.504580645</v>
      </c>
      <c r="AW583" s="74" t="n">
        <v>17.908884516</v>
      </c>
      <c r="AX583" s="75" t="n">
        <v>100</v>
      </c>
      <c r="AY583" s="71" t="n">
        <v>3600000</v>
      </c>
      <c r="AZ583" s="71" t="n">
        <v>3600000</v>
      </c>
      <c r="BA583" s="71" t="n">
        <v>255821</v>
      </c>
      <c r="BB583" s="71" t="n">
        <v>249537.54</v>
      </c>
      <c r="BC583" s="69" t="inlineStr">
        <is>
          <t>Refinance</t>
        </is>
      </c>
      <c r="BD583" s="69" t="inlineStr">
        <is>
          <t>N</t>
        </is>
      </c>
      <c r="BE583" s="71" t="n"/>
      <c r="BF583" s="71" t="n"/>
      <c r="BG583" s="71" t="n"/>
      <c r="BH583" s="71" t="n">
        <v>0</v>
      </c>
      <c r="BI583" s="71" t="n">
        <v>0</v>
      </c>
      <c r="BJ583" s="69" t="inlineStr">
        <is>
          <t>N</t>
        </is>
      </c>
      <c r="BK583" s="69" t="inlineStr">
        <is>
          <t>Academy of PA Perfor</t>
        </is>
      </c>
      <c r="BL583" s="75" t="n">
        <v>16.87</v>
      </c>
      <c r="BM583" s="73" t="n">
        <v>47269</v>
      </c>
      <c r="BN583" s="69" t="inlineStr">
        <is>
          <t>Russell M. Sheppel</t>
        </is>
      </c>
      <c r="BO583" s="69" t="inlineStr">
        <is>
          <t>Wells Fargo</t>
        </is>
      </c>
      <c r="BP583" s="69" t="inlineStr">
        <is>
          <t>TriMont Real Estate Advisors</t>
        </is>
      </c>
      <c r="BQ583" s="69" t="inlineStr">
        <is>
          <t>K-Star Asset Management LLC</t>
        </is>
      </c>
      <c r="BR583" s="69" t="n"/>
      <c r="BS583" s="73" t="n">
        <v>46276</v>
      </c>
      <c r="BU583" s="76">
        <f>IF($C583="","",IFERROR(INDEX(dmName,MATCH($C583,dmID,0)),"Unmapped"))</f>
        <v/>
      </c>
      <c r="BV583" s="76">
        <f>IF($C583="","",IFERROR(INDEX(dmEntity,MATCH($C583,dmID,0)),"Unmapped"))</f>
        <v/>
      </c>
      <c r="BW583" s="77">
        <f>IF($C583="","",IFERROR(INDEX(dmVintage,MATCH($C583,dmID,0)),""))</f>
        <v/>
      </c>
      <c r="BX583" s="78">
        <f>IFERROR(INDEX(dmInclude,MATCH($C583,dmID,0)),0)</f>
        <v/>
      </c>
      <c r="BY583" s="78">
        <f>IF(N($I583)&gt;0,1,0)</f>
        <v/>
      </c>
      <c r="BZ583" s="76">
        <f>IF($AJ583="","Other / Leased Fee",IFERROR(INDEX(mapPTGroup,MATCH(LEFT(TRIM($AJ583),2),mapPTCode,0)),"Other / Leased Fee"))</f>
        <v/>
      </c>
      <c r="CA583" s="76">
        <f>IF(TRIM($AF583&amp;"")="","NR",LEFT(TRIM($AF583),2))</f>
        <v/>
      </c>
      <c r="CB583" s="76">
        <f>IFERROR(LOOKUP(2,1/(LEFT(TRIM($AI583&amp;""),LEN(mapRegion))=mapRegion),mapRegion),"Not Reported")</f>
        <v/>
      </c>
      <c r="CC583" s="76">
        <f>IF($BY583=0,"",IF(TRIM($W583&amp;"")="REO","REO",IF(TRIM($W583&amp;"")="FC","Foreclosure",IF(TRIM($W583&amp;"")="90+","90+ Days Delinquent",IF(TRIM($W583&amp;"")="60","60 Days Delinquent",IF(TRIM($W583&amp;"")="30","30 Days Delinquent",IF($X583="Non-Performing Matured Balloon","Non-Performing Matured Balloon",IF(OR($X583="Late Payment But Less Than 30 Days Delinquent",LEFT($X583&amp;"",20)="Payment Not Received"),"Late / In Grace (&lt;30 Days)",IF($X583="Performing Matured Balloon","Performing Matured Balloon","Current")))))))))</f>
        <v/>
      </c>
      <c r="CD583" s="78">
        <f>IF(OR($CC583="REO",$CC583="Foreclosure",$CC583="90+ Days Delinquent",$CC583="60 Days Delinquent",$CC583="30 Days Delinquent",$CC583="Non-Performing Matured Balloon"),1,0)</f>
        <v/>
      </c>
      <c r="CE583" s="76">
        <f>IF($AB583="Currently special serv","Currently Specially Serviced",IF($AB583="Returned to master serv","Previously Specially Serviced","Never Specially Serviced"))</f>
        <v/>
      </c>
      <c r="CF583" s="78">
        <f>IF($CE583="Currently Specially Serviced",1,0)</f>
        <v/>
      </c>
      <c r="CG583" s="76">
        <f>IF($AA583="Yes","Currently on Watchlist",IF($AA583="Previously","Previously on Watchlist","Never on Watchlist"))</f>
        <v/>
      </c>
      <c r="CH583" s="78">
        <f>IF($CG583="Currently on Watchlist",1,0)</f>
        <v/>
      </c>
      <c r="CI583" s="76">
        <f>IF($Z583="Full Defeasance","Fully Defeased",IF($Z583="Portion Of Loan Previously Defeased","Partially Defeased",IF($Z583="Defeasance Not Allowable","Not Defeased (Not Permitted)","Not Defeased")))</f>
        <v/>
      </c>
      <c r="CJ583" s="78">
        <f>IF($CI583="Fully Defeased",1,0)</f>
        <v/>
      </c>
      <c r="CK583" s="76">
        <f>IF($R583="IO","Full IO",IF(LEFT($R583&amp;"",7)="IO then","Partial IO","Amortizing"))</f>
        <v/>
      </c>
      <c r="CL583" s="78">
        <f>IF($CK583="Full IO",1,0)</f>
        <v/>
      </c>
      <c r="CM583" s="78">
        <f>IF($CK583="Partial IO",1,0)</f>
        <v/>
      </c>
      <c r="CN583" s="76">
        <f>IF(LEFT($F583&amp;"",10)="SPLIT_LOAN","Pari Passu Split","Standalone")</f>
        <v/>
      </c>
      <c r="CO583" s="78">
        <f>IF($CN583="Pari Passu Split",1,0)</f>
        <v/>
      </c>
      <c r="CP583" s="77">
        <f>IF(ISNUMBER($T583),YEAR($T583),"")</f>
        <v/>
      </c>
      <c r="CQ583" s="79">
        <f>IF(ISNUMBER($V583),$V583,IF(ISNUMBER($U583),$U583,""))</f>
        <v/>
      </c>
      <c r="CR583" s="77">
        <f>IF(ISNUMBER($CQ583),YEAR($CQ583),"")</f>
        <v/>
      </c>
      <c r="CS583" s="78">
        <f>IF(ISNUMBER($M583),MAX(0,$M583),IF(TRIM($M583&amp;"")="matured",0,""))</f>
        <v/>
      </c>
      <c r="CT583" s="78">
        <f>IF(AND(ISNUMBER($CS583),N($CS583)&lt;=mMatWindow),1,0)</f>
        <v/>
      </c>
      <c r="CU583" s="80">
        <f>IF(ISNUMBER($J583),$J583/100,"")</f>
        <v/>
      </c>
      <c r="CV583" s="81">
        <f>IF(ISNUMBER($AQ583),$AQ583,"")</f>
        <v/>
      </c>
      <c r="CW583" s="81">
        <f>IF(ISNUMBER($AR583),$AR583,"")</f>
        <v/>
      </c>
      <c r="CX583" s="82">
        <f>IF(ISNUMBER($AS583),$AS583/100,"")</f>
        <v/>
      </c>
      <c r="CY583" s="82">
        <f>IF(ISNUMBER($AT583),$AT583/100,"")</f>
        <v/>
      </c>
      <c r="CZ583" s="82">
        <f>IF(ISNUMBER($AU583),$AU583/100,"")</f>
        <v/>
      </c>
      <c r="DA583" s="82">
        <f>IF(ISNUMBER($AV583),$AV583/100,"")</f>
        <v/>
      </c>
      <c r="DB583" s="82">
        <f>IF(ISNUMBER($AW583),$AW583/100,"")</f>
        <v/>
      </c>
      <c r="DC583" s="82">
        <f>IF(ISNUMBER($AX583),$AX583/100,"")</f>
        <v/>
      </c>
      <c r="DD583" s="77">
        <f>IFERROR(VALUE(LEFT(TRIM($AO583&amp;""),4)),"")</f>
        <v/>
      </c>
      <c r="DE583" s="78">
        <f>IF(AND($BY583=1,$BX583=1,OR(fDeal="All Deals",$BU583=fDeal),OR(fEntity="All Entities",$BV583=fEntity),OR(fPType="All Property Types",$BZ583=fPType),OR(fDefeased="Include",$CJ583=0)),1,0)</f>
        <v/>
      </c>
      <c r="DF583" s="83">
        <f>$DE583*N($I583)</f>
        <v/>
      </c>
      <c r="DG583" s="78">
        <f>IF($DE583=1,IF(COUNTIFS($F$8:$F583,$F583,$DE$8:$DE583,1)=1,1,0),0)</f>
        <v/>
      </c>
      <c r="DH583" s="83">
        <f>IF($DG583=1,SUMIFS($DF$8:$DF$1600,$F$8:$F$1600,$F583),0)</f>
        <v/>
      </c>
      <c r="DI583" s="78">
        <f>IF($DG583=1,COUNTIFS($F$8:$F$1600,$F583,$DE$8:$DE$1600,1),0)</f>
        <v/>
      </c>
      <c r="DJ583" s="84">
        <f>IF($DG583=1,$DH583+(100000-ROW())/mTieBreak,0)</f>
        <v/>
      </c>
    </row>
    <row r="584">
      <c r="B584" s="68" t="n">
        <v>61</v>
      </c>
      <c r="C584" s="69" t="inlineStr">
        <is>
          <t>WFC19C49</t>
        </is>
      </c>
      <c r="D584" s="69" t="inlineStr">
        <is>
          <t>61.000</t>
        </is>
      </c>
      <c r="E584" s="69" t="inlineStr">
        <is>
          <t>Ridgewood MHC</t>
        </is>
      </c>
      <c r="F584" s="69" t="inlineStr">
        <is>
          <t>LNWFC19C49-61.000</t>
        </is>
      </c>
      <c r="G584" s="70" t="n"/>
      <c r="H584" s="71" t="n">
        <v>1525000</v>
      </c>
      <c r="I584" s="71" t="n">
        <v>1420684.880000075</v>
      </c>
      <c r="J584" s="72" t="n">
        <v>5.59</v>
      </c>
      <c r="K584" s="69" t="inlineStr">
        <is>
          <t>Fixed rate</t>
        </is>
      </c>
      <c r="L584" s="68" t="n">
        <v>120</v>
      </c>
      <c r="M584" s="68" t="n">
        <v>25</v>
      </c>
      <c r="N584" s="68" t="n">
        <v>396</v>
      </c>
      <c r="O584" s="68" t="n">
        <v>36</v>
      </c>
      <c r="P584" s="68" t="n">
        <v>0</v>
      </c>
      <c r="Q584" s="68" t="n">
        <v>95</v>
      </c>
      <c r="R584" s="69" t="inlineStr">
        <is>
          <t>IO then Amort</t>
        </is>
      </c>
      <c r="S584" s="69" t="inlineStr">
        <is>
          <t>No</t>
        </is>
      </c>
      <c r="T584" s="73" t="n">
        <v>43374</v>
      </c>
      <c r="U584" s="73" t="n">
        <v>47037</v>
      </c>
      <c r="V584" s="73" t="n"/>
      <c r="W584" s="69" t="n"/>
      <c r="X584" s="69" t="inlineStr">
        <is>
          <t>Current</t>
        </is>
      </c>
      <c r="Y584" s="68" t="n"/>
      <c r="Z584" s="69" t="inlineStr">
        <is>
          <t>Full Defeasance</t>
        </is>
      </c>
      <c r="AA584" s="69" t="inlineStr">
        <is>
          <t>Previously</t>
        </is>
      </c>
      <c r="AB584" s="69" t="inlineStr">
        <is>
          <t>Never special serv</t>
        </is>
      </c>
      <c r="AC584" s="73" t="n"/>
      <c r="AD584" s="69" t="n"/>
      <c r="AE584" s="69" t="n"/>
      <c r="AF584" s="69" t="inlineStr">
        <is>
          <t>NC</t>
        </is>
      </c>
      <c r="AG584" s="69" t="inlineStr">
        <is>
          <t>Chapel Hill</t>
        </is>
      </c>
      <c r="AH584" s="69" t="inlineStr">
        <is>
          <t>Durham-Chapel Hill, NC</t>
        </is>
      </c>
      <c r="AI584" s="69" t="inlineStr">
        <is>
          <t>South / Atlantic</t>
        </is>
      </c>
      <c r="AJ584" s="69" t="inlineStr">
        <is>
          <t>MH</t>
        </is>
      </c>
      <c r="AK584" s="69" t="n"/>
      <c r="AL584" s="68" t="n">
        <v>1</v>
      </c>
      <c r="AM584" s="68" t="n">
        <v>60</v>
      </c>
      <c r="AN584" s="68" t="n"/>
      <c r="AO584" s="69" t="inlineStr">
        <is>
          <t>1979</t>
        </is>
      </c>
      <c r="AP584" s="70" t="n">
        <v>1979</v>
      </c>
      <c r="AQ584" s="74" t="n">
        <v>1.3</v>
      </c>
      <c r="AR584" s="74" t="n">
        <v>1.83</v>
      </c>
      <c r="AS584" s="74" t="n">
        <v>67.8</v>
      </c>
      <c r="AT584" s="74" t="n">
        <v>63.14</v>
      </c>
      <c r="AU584" s="74" t="n">
        <v>60.8</v>
      </c>
      <c r="AV584" s="74" t="n">
        <v>8.954547541</v>
      </c>
      <c r="AW584" s="74" t="n">
        <v>16.012676928</v>
      </c>
      <c r="AX584" s="75" t="n">
        <v>92</v>
      </c>
      <c r="AY584" s="71" t="n">
        <v>2250000</v>
      </c>
      <c r="AZ584" s="71" t="n">
        <v>2250000</v>
      </c>
      <c r="BA584" s="71" t="n">
        <v>136556.85</v>
      </c>
      <c r="BB584" s="71" t="n">
        <v>144192.85</v>
      </c>
      <c r="BC584" s="69" t="inlineStr">
        <is>
          <t>Acquisition</t>
        </is>
      </c>
      <c r="BD584" s="69" t="inlineStr">
        <is>
          <t>N</t>
        </is>
      </c>
      <c r="BE584" s="71" t="n"/>
      <c r="BF584" s="71" t="n"/>
      <c r="BG584" s="71" t="n"/>
      <c r="BH584" s="71" t="n">
        <v>0</v>
      </c>
      <c r="BI584" s="71" t="n">
        <v>0</v>
      </c>
      <c r="BJ584" s="69" t="inlineStr">
        <is>
          <t>N</t>
        </is>
      </c>
      <c r="BK584" s="69" t="n"/>
      <c r="BL584" s="75" t="n"/>
      <c r="BM584" s="73" t="n"/>
      <c r="BN584" s="69" t="inlineStr">
        <is>
          <t>John Wesley McAdams II</t>
        </is>
      </c>
      <c r="BO584" s="69" t="inlineStr">
        <is>
          <t>CIII Capital</t>
        </is>
      </c>
      <c r="BP584" s="69" t="inlineStr">
        <is>
          <t>TriMont Real Estate Advisors</t>
        </is>
      </c>
      <c r="BQ584" s="69" t="inlineStr">
        <is>
          <t>K-Star Asset Management LLC</t>
        </is>
      </c>
      <c r="BR584" s="69" t="n"/>
      <c r="BS584" s="73" t="n">
        <v>46276</v>
      </c>
      <c r="BU584" s="76">
        <f>IF($C584="","",IFERROR(INDEX(dmName,MATCH($C584,dmID,0)),"Unmapped"))</f>
        <v/>
      </c>
      <c r="BV584" s="76">
        <f>IF($C584="","",IFERROR(INDEX(dmEntity,MATCH($C584,dmID,0)),"Unmapped"))</f>
        <v/>
      </c>
      <c r="BW584" s="77">
        <f>IF($C584="","",IFERROR(INDEX(dmVintage,MATCH($C584,dmID,0)),""))</f>
        <v/>
      </c>
      <c r="BX584" s="78">
        <f>IFERROR(INDEX(dmInclude,MATCH($C584,dmID,0)),0)</f>
        <v/>
      </c>
      <c r="BY584" s="78">
        <f>IF(N($I584)&gt;0,1,0)</f>
        <v/>
      </c>
      <c r="BZ584" s="76">
        <f>IF($AJ584="","Other / Leased Fee",IFERROR(INDEX(mapPTGroup,MATCH(LEFT(TRIM($AJ584),2),mapPTCode,0)),"Other / Leased Fee"))</f>
        <v/>
      </c>
      <c r="CA584" s="76">
        <f>IF(TRIM($AF584&amp;"")="","NR",LEFT(TRIM($AF584),2))</f>
        <v/>
      </c>
      <c r="CB584" s="76">
        <f>IFERROR(LOOKUP(2,1/(LEFT(TRIM($AI584&amp;""),LEN(mapRegion))=mapRegion),mapRegion),"Not Reported")</f>
        <v/>
      </c>
      <c r="CC584" s="76">
        <f>IF($BY584=0,"",IF(TRIM($W584&amp;"")="REO","REO",IF(TRIM($W584&amp;"")="FC","Foreclosure",IF(TRIM($W584&amp;"")="90+","90+ Days Delinquent",IF(TRIM($W584&amp;"")="60","60 Days Delinquent",IF(TRIM($W584&amp;"")="30","30 Days Delinquent",IF($X584="Non-Performing Matured Balloon","Non-Performing Matured Balloon",IF(OR($X584="Late Payment But Less Than 30 Days Delinquent",LEFT($X584&amp;"",20)="Payment Not Received"),"Late / In Grace (&lt;30 Days)",IF($X584="Performing Matured Balloon","Performing Matured Balloon","Current")))))))))</f>
        <v/>
      </c>
      <c r="CD584" s="78">
        <f>IF(OR($CC584="REO",$CC584="Foreclosure",$CC584="90+ Days Delinquent",$CC584="60 Days Delinquent",$CC584="30 Days Delinquent",$CC584="Non-Performing Matured Balloon"),1,0)</f>
        <v/>
      </c>
      <c r="CE584" s="76">
        <f>IF($AB584="Currently special serv","Currently Specially Serviced",IF($AB584="Returned to master serv","Previously Specially Serviced","Never Specially Serviced"))</f>
        <v/>
      </c>
      <c r="CF584" s="78">
        <f>IF($CE584="Currently Specially Serviced",1,0)</f>
        <v/>
      </c>
      <c r="CG584" s="76">
        <f>IF($AA584="Yes","Currently on Watchlist",IF($AA584="Previously","Previously on Watchlist","Never on Watchlist"))</f>
        <v/>
      </c>
      <c r="CH584" s="78">
        <f>IF($CG584="Currently on Watchlist",1,0)</f>
        <v/>
      </c>
      <c r="CI584" s="76">
        <f>IF($Z584="Full Defeasance","Fully Defeased",IF($Z584="Portion Of Loan Previously Defeased","Partially Defeased",IF($Z584="Defeasance Not Allowable","Not Defeased (Not Permitted)","Not Defeased")))</f>
        <v/>
      </c>
      <c r="CJ584" s="78">
        <f>IF($CI584="Fully Defeased",1,0)</f>
        <v/>
      </c>
      <c r="CK584" s="76">
        <f>IF($R584="IO","Full IO",IF(LEFT($R584&amp;"",7)="IO then","Partial IO","Amortizing"))</f>
        <v/>
      </c>
      <c r="CL584" s="78">
        <f>IF($CK584="Full IO",1,0)</f>
        <v/>
      </c>
      <c r="CM584" s="78">
        <f>IF($CK584="Partial IO",1,0)</f>
        <v/>
      </c>
      <c r="CN584" s="76">
        <f>IF(LEFT($F584&amp;"",10)="SPLIT_LOAN","Pari Passu Split","Standalone")</f>
        <v/>
      </c>
      <c r="CO584" s="78">
        <f>IF($CN584="Pari Passu Split",1,0)</f>
        <v/>
      </c>
      <c r="CP584" s="77">
        <f>IF(ISNUMBER($T584),YEAR($T584),"")</f>
        <v/>
      </c>
      <c r="CQ584" s="79">
        <f>IF(ISNUMBER($V584),$V584,IF(ISNUMBER($U584),$U584,""))</f>
        <v/>
      </c>
      <c r="CR584" s="77">
        <f>IF(ISNUMBER($CQ584),YEAR($CQ584),"")</f>
        <v/>
      </c>
      <c r="CS584" s="78">
        <f>IF(ISNUMBER($M584),MAX(0,$M584),IF(TRIM($M584&amp;"")="matured",0,""))</f>
        <v/>
      </c>
      <c r="CT584" s="78">
        <f>IF(AND(ISNUMBER($CS584),N($CS584)&lt;=mMatWindow),1,0)</f>
        <v/>
      </c>
      <c r="CU584" s="80">
        <f>IF(ISNUMBER($J584),$J584/100,"")</f>
        <v/>
      </c>
      <c r="CV584" s="81">
        <f>IF(ISNUMBER($AQ584),$AQ584,"")</f>
        <v/>
      </c>
      <c r="CW584" s="81">
        <f>IF(ISNUMBER($AR584),$AR584,"")</f>
        <v/>
      </c>
      <c r="CX584" s="82">
        <f>IF(ISNUMBER($AS584),$AS584/100,"")</f>
        <v/>
      </c>
      <c r="CY584" s="82">
        <f>IF(ISNUMBER($AT584),$AT584/100,"")</f>
        <v/>
      </c>
      <c r="CZ584" s="82">
        <f>IF(ISNUMBER($AU584),$AU584/100,"")</f>
        <v/>
      </c>
      <c r="DA584" s="82">
        <f>IF(ISNUMBER($AV584),$AV584/100,"")</f>
        <v/>
      </c>
      <c r="DB584" s="82">
        <f>IF(ISNUMBER($AW584),$AW584/100,"")</f>
        <v/>
      </c>
      <c r="DC584" s="82">
        <f>IF(ISNUMBER($AX584),$AX584/100,"")</f>
        <v/>
      </c>
      <c r="DD584" s="77">
        <f>IFERROR(VALUE(LEFT(TRIM($AO584&amp;""),4)),"")</f>
        <v/>
      </c>
      <c r="DE584" s="78">
        <f>IF(AND($BY584=1,$BX584=1,OR(fDeal="All Deals",$BU584=fDeal),OR(fEntity="All Entities",$BV584=fEntity),OR(fPType="All Property Types",$BZ584=fPType),OR(fDefeased="Include",$CJ584=0)),1,0)</f>
        <v/>
      </c>
      <c r="DF584" s="83">
        <f>$DE584*N($I584)</f>
        <v/>
      </c>
      <c r="DG584" s="78">
        <f>IF($DE584=1,IF(COUNTIFS($F$8:$F584,$F584,$DE$8:$DE584,1)=1,1,0),0)</f>
        <v/>
      </c>
      <c r="DH584" s="83">
        <f>IF($DG584=1,SUMIFS($DF$8:$DF$1600,$F$8:$F$1600,$F584),0)</f>
        <v/>
      </c>
      <c r="DI584" s="78">
        <f>IF($DG584=1,COUNTIFS($F$8:$F$1600,$F584,$DE$8:$DE$1600,1),0)</f>
        <v/>
      </c>
      <c r="DJ584" s="84">
        <f>IF($DG584=1,$DH584+(100000-ROW())/mTieBreak,0)</f>
        <v/>
      </c>
    </row>
    <row r="585">
      <c r="B585" s="68" t="n">
        <v>62</v>
      </c>
      <c r="C585" s="69" t="inlineStr">
        <is>
          <t>WFC19C49</t>
        </is>
      </c>
      <c r="D585" s="69" t="inlineStr">
        <is>
          <t>62.000</t>
        </is>
      </c>
      <c r="E585" s="69" t="inlineStr">
        <is>
          <t>Archwood Apartments</t>
        </is>
      </c>
      <c r="F585" s="69" t="inlineStr">
        <is>
          <t>LNWFC19C49-62.000</t>
        </is>
      </c>
      <c r="G585" s="70" t="n"/>
      <c r="H585" s="71" t="n">
        <v>1200000</v>
      </c>
      <c r="I585" s="71" t="n">
        <v>1053825.4400004</v>
      </c>
      <c r="J585" s="72" t="n">
        <v>5.3</v>
      </c>
      <c r="K585" s="69" t="inlineStr">
        <is>
          <t>Fixed rate</t>
        </is>
      </c>
      <c r="L585" s="68" t="n">
        <v>120</v>
      </c>
      <c r="M585" s="68" t="n">
        <v>28</v>
      </c>
      <c r="N585" s="68" t="n">
        <v>360</v>
      </c>
      <c r="O585" s="68" t="n"/>
      <c r="P585" s="68" t="n"/>
      <c r="Q585" s="68" t="n">
        <v>92</v>
      </c>
      <c r="R585" s="69" t="n"/>
      <c r="S585" s="69" t="inlineStr">
        <is>
          <t>No</t>
        </is>
      </c>
      <c r="T585" s="73" t="n">
        <v>43466</v>
      </c>
      <c r="U585" s="73" t="n">
        <v>47129</v>
      </c>
      <c r="V585" s="73" t="n"/>
      <c r="W585" s="69" t="n"/>
      <c r="X585" s="69" t="inlineStr">
        <is>
          <t>Current</t>
        </is>
      </c>
      <c r="Y585" s="68" t="n"/>
      <c r="Z585" s="69" t="inlineStr">
        <is>
          <t>Full Defeasance</t>
        </is>
      </c>
      <c r="AA585" s="69" t="inlineStr">
        <is>
          <t>Previously</t>
        </is>
      </c>
      <c r="AB585" s="69" t="inlineStr">
        <is>
          <t>Never special serv</t>
        </is>
      </c>
      <c r="AC585" s="73" t="n"/>
      <c r="AD585" s="69" t="n"/>
      <c r="AE585" s="69" t="n"/>
      <c r="AF585" s="69" t="inlineStr">
        <is>
          <t>OH</t>
        </is>
      </c>
      <c r="AG585" s="69" t="inlineStr">
        <is>
          <t>Cleveland</t>
        </is>
      </c>
      <c r="AH585" s="69" t="inlineStr">
        <is>
          <t>Cleveland, OH</t>
        </is>
      </c>
      <c r="AI585" s="69" t="inlineStr">
        <is>
          <t>Midwest / Central East</t>
        </is>
      </c>
      <c r="AJ585" s="69" t="inlineStr">
        <is>
          <t>MF</t>
        </is>
      </c>
      <c r="AK585" s="69" t="inlineStr">
        <is>
          <t>Garden</t>
        </is>
      </c>
      <c r="AL585" s="68" t="n">
        <v>1</v>
      </c>
      <c r="AM585" s="68" t="n">
        <v>44</v>
      </c>
      <c r="AN585" s="68" t="n"/>
      <c r="AO585" s="69" t="inlineStr">
        <is>
          <t>1929</t>
        </is>
      </c>
      <c r="AP585" s="70" t="n">
        <v>2018</v>
      </c>
      <c r="AQ585" s="74" t="n">
        <v>1.45</v>
      </c>
      <c r="AR585" s="74" t="n">
        <v>0.95</v>
      </c>
      <c r="AS585" s="74" t="n">
        <v>71.7</v>
      </c>
      <c r="AT585" s="74" t="n">
        <v>63.1</v>
      </c>
      <c r="AU585" s="74" t="n">
        <v>59.6</v>
      </c>
      <c r="AV585" s="74" t="n">
        <v>9.629250000000001</v>
      </c>
      <c r="AW585" s="74" t="n">
        <v>0.8740536759999999</v>
      </c>
      <c r="AX585" s="75" t="n">
        <v>57</v>
      </c>
      <c r="AY585" s="71" t="n">
        <v>1670000</v>
      </c>
      <c r="AZ585" s="71" t="n">
        <v>1670000</v>
      </c>
      <c r="BA585" s="71" t="n">
        <v>115551</v>
      </c>
      <c r="BB585" s="71" t="n">
        <v>18975.84</v>
      </c>
      <c r="BC585" s="69" t="inlineStr">
        <is>
          <t>Acquisition</t>
        </is>
      </c>
      <c r="BD585" s="69" t="inlineStr">
        <is>
          <t>N</t>
        </is>
      </c>
      <c r="BE585" s="71" t="n"/>
      <c r="BF585" s="71" t="n"/>
      <c r="BG585" s="71" t="n"/>
      <c r="BH585" s="71" t="n">
        <v>0</v>
      </c>
      <c r="BI585" s="71" t="n">
        <v>0</v>
      </c>
      <c r="BJ585" s="69" t="inlineStr">
        <is>
          <t>N</t>
        </is>
      </c>
      <c r="BK585" s="69" t="n"/>
      <c r="BL585" s="75" t="n"/>
      <c r="BM585" s="73" t="n"/>
      <c r="BN585" s="69" t="inlineStr">
        <is>
          <t>Seth Keegan McNamara; Carrie Elizabeth Bone; The McNamara/Bone Family Trust</t>
        </is>
      </c>
      <c r="BO585" s="69" t="inlineStr">
        <is>
          <t>Wells Fargo</t>
        </is>
      </c>
      <c r="BP585" s="69" t="inlineStr">
        <is>
          <t>TriMont Real Estate Advisors</t>
        </is>
      </c>
      <c r="BQ585" s="69" t="inlineStr">
        <is>
          <t>K-Star Asset Management LLC</t>
        </is>
      </c>
      <c r="BR585" s="69" t="n"/>
      <c r="BS585" s="73" t="n">
        <v>46276</v>
      </c>
      <c r="BU585" s="76">
        <f>IF($C585="","",IFERROR(INDEX(dmName,MATCH($C585,dmID,0)),"Unmapped"))</f>
        <v/>
      </c>
      <c r="BV585" s="76">
        <f>IF($C585="","",IFERROR(INDEX(dmEntity,MATCH($C585,dmID,0)),"Unmapped"))</f>
        <v/>
      </c>
      <c r="BW585" s="77">
        <f>IF($C585="","",IFERROR(INDEX(dmVintage,MATCH($C585,dmID,0)),""))</f>
        <v/>
      </c>
      <c r="BX585" s="78">
        <f>IFERROR(INDEX(dmInclude,MATCH($C585,dmID,0)),0)</f>
        <v/>
      </c>
      <c r="BY585" s="78">
        <f>IF(N($I585)&gt;0,1,0)</f>
        <v/>
      </c>
      <c r="BZ585" s="76">
        <f>IF($AJ585="","Other / Leased Fee",IFERROR(INDEX(mapPTGroup,MATCH(LEFT(TRIM($AJ585),2),mapPTCode,0)),"Other / Leased Fee"))</f>
        <v/>
      </c>
      <c r="CA585" s="76">
        <f>IF(TRIM($AF585&amp;"")="","NR",LEFT(TRIM($AF585),2))</f>
        <v/>
      </c>
      <c r="CB585" s="76">
        <f>IFERROR(LOOKUP(2,1/(LEFT(TRIM($AI585&amp;""),LEN(mapRegion))=mapRegion),mapRegion),"Not Reported")</f>
        <v/>
      </c>
      <c r="CC585" s="76">
        <f>IF($BY585=0,"",IF(TRIM($W585&amp;"")="REO","REO",IF(TRIM($W585&amp;"")="FC","Foreclosure",IF(TRIM($W585&amp;"")="90+","90+ Days Delinquent",IF(TRIM($W585&amp;"")="60","60 Days Delinquent",IF(TRIM($W585&amp;"")="30","30 Days Delinquent",IF($X585="Non-Performing Matured Balloon","Non-Performing Matured Balloon",IF(OR($X585="Late Payment But Less Than 30 Days Delinquent",LEFT($X585&amp;"",20)="Payment Not Received"),"Late / In Grace (&lt;30 Days)",IF($X585="Performing Matured Balloon","Performing Matured Balloon","Current")))))))))</f>
        <v/>
      </c>
      <c r="CD585" s="78">
        <f>IF(OR($CC585="REO",$CC585="Foreclosure",$CC585="90+ Days Delinquent",$CC585="60 Days Delinquent",$CC585="30 Days Delinquent",$CC585="Non-Performing Matured Balloon"),1,0)</f>
        <v/>
      </c>
      <c r="CE585" s="76">
        <f>IF($AB585="Currently special serv","Currently Specially Serviced",IF($AB585="Returned to master serv","Previously Specially Serviced","Never Specially Serviced"))</f>
        <v/>
      </c>
      <c r="CF585" s="78">
        <f>IF($CE585="Currently Specially Serviced",1,0)</f>
        <v/>
      </c>
      <c r="CG585" s="76">
        <f>IF($AA585="Yes","Currently on Watchlist",IF($AA585="Previously","Previously on Watchlist","Never on Watchlist"))</f>
        <v/>
      </c>
      <c r="CH585" s="78">
        <f>IF($CG585="Currently on Watchlist",1,0)</f>
        <v/>
      </c>
      <c r="CI585" s="76">
        <f>IF($Z585="Full Defeasance","Fully Defeased",IF($Z585="Portion Of Loan Previously Defeased","Partially Defeased",IF($Z585="Defeasance Not Allowable","Not Defeased (Not Permitted)","Not Defeased")))</f>
        <v/>
      </c>
      <c r="CJ585" s="78">
        <f>IF($CI585="Fully Defeased",1,0)</f>
        <v/>
      </c>
      <c r="CK585" s="76">
        <f>IF($R585="IO","Full IO",IF(LEFT($R585&amp;"",7)="IO then","Partial IO","Amortizing"))</f>
        <v/>
      </c>
      <c r="CL585" s="78">
        <f>IF($CK585="Full IO",1,0)</f>
        <v/>
      </c>
      <c r="CM585" s="78">
        <f>IF($CK585="Partial IO",1,0)</f>
        <v/>
      </c>
      <c r="CN585" s="76">
        <f>IF(LEFT($F585&amp;"",10)="SPLIT_LOAN","Pari Passu Split","Standalone")</f>
        <v/>
      </c>
      <c r="CO585" s="78">
        <f>IF($CN585="Pari Passu Split",1,0)</f>
        <v/>
      </c>
      <c r="CP585" s="77">
        <f>IF(ISNUMBER($T585),YEAR($T585),"")</f>
        <v/>
      </c>
      <c r="CQ585" s="79">
        <f>IF(ISNUMBER($V585),$V585,IF(ISNUMBER($U585),$U585,""))</f>
        <v/>
      </c>
      <c r="CR585" s="77">
        <f>IF(ISNUMBER($CQ585),YEAR($CQ585),"")</f>
        <v/>
      </c>
      <c r="CS585" s="78">
        <f>IF(ISNUMBER($M585),MAX(0,$M585),IF(TRIM($M585&amp;"")="matured",0,""))</f>
        <v/>
      </c>
      <c r="CT585" s="78">
        <f>IF(AND(ISNUMBER($CS585),N($CS585)&lt;=mMatWindow),1,0)</f>
        <v/>
      </c>
      <c r="CU585" s="80">
        <f>IF(ISNUMBER($J585),$J585/100,"")</f>
        <v/>
      </c>
      <c r="CV585" s="81">
        <f>IF(ISNUMBER($AQ585),$AQ585,"")</f>
        <v/>
      </c>
      <c r="CW585" s="81">
        <f>IF(ISNUMBER($AR585),$AR585,"")</f>
        <v/>
      </c>
      <c r="CX585" s="82">
        <f>IF(ISNUMBER($AS585),$AS585/100,"")</f>
        <v/>
      </c>
      <c r="CY585" s="82">
        <f>IF(ISNUMBER($AT585),$AT585/100,"")</f>
        <v/>
      </c>
      <c r="CZ585" s="82">
        <f>IF(ISNUMBER($AU585),$AU585/100,"")</f>
        <v/>
      </c>
      <c r="DA585" s="82">
        <f>IF(ISNUMBER($AV585),$AV585/100,"")</f>
        <v/>
      </c>
      <c r="DB585" s="82">
        <f>IF(ISNUMBER($AW585),$AW585/100,"")</f>
        <v/>
      </c>
      <c r="DC585" s="82">
        <f>IF(ISNUMBER($AX585),$AX585/100,"")</f>
        <v/>
      </c>
      <c r="DD585" s="77">
        <f>IFERROR(VALUE(LEFT(TRIM($AO585&amp;""),4)),"")</f>
        <v/>
      </c>
      <c r="DE585" s="78">
        <f>IF(AND($BY585=1,$BX585=1,OR(fDeal="All Deals",$BU585=fDeal),OR(fEntity="All Entities",$BV585=fEntity),OR(fPType="All Property Types",$BZ585=fPType),OR(fDefeased="Include",$CJ585=0)),1,0)</f>
        <v/>
      </c>
      <c r="DF585" s="83">
        <f>$DE585*N($I585)</f>
        <v/>
      </c>
      <c r="DG585" s="78">
        <f>IF($DE585=1,IF(COUNTIFS($F$8:$F585,$F585,$DE$8:$DE585,1)=1,1,0),0)</f>
        <v/>
      </c>
      <c r="DH585" s="83">
        <f>IF($DG585=1,SUMIFS($DF$8:$DF$1600,$F$8:$F$1600,$F585),0)</f>
        <v/>
      </c>
      <c r="DI585" s="78">
        <f>IF($DG585=1,COUNTIFS($F$8:$F$1600,$F585,$DE$8:$DE$1600,1),0)</f>
        <v/>
      </c>
      <c r="DJ585" s="84">
        <f>IF($DG585=1,$DH585+(100000-ROW())/mTieBreak,0)</f>
        <v/>
      </c>
    </row>
    <row r="586">
      <c r="B586" s="68" t="n">
        <v>63</v>
      </c>
      <c r="C586" s="69" t="inlineStr">
        <is>
          <t>WFC19C49</t>
        </is>
      </c>
      <c r="D586" s="69" t="inlineStr">
        <is>
          <t>63.000</t>
        </is>
      </c>
      <c r="E586" s="69" t="inlineStr">
        <is>
          <t>Dollar General New Hampton</t>
        </is>
      </c>
      <c r="F586" s="69" t="inlineStr">
        <is>
          <t>LNWFC19C49-63.000</t>
        </is>
      </c>
      <c r="G586" s="70" t="n"/>
      <c r="H586" s="71" t="n">
        <v>994000</v>
      </c>
      <c r="I586" s="71" t="n">
        <v>994000</v>
      </c>
      <c r="J586" s="72" t="n">
        <v>5.97</v>
      </c>
      <c r="K586" s="69" t="inlineStr">
        <is>
          <t>Fixed rate</t>
        </is>
      </c>
      <c r="L586" s="68" t="n">
        <v>120</v>
      </c>
      <c r="M586" s="68" t="n">
        <v>29</v>
      </c>
      <c r="N586" s="68" t="n">
        <v>120</v>
      </c>
      <c r="O586" s="68" t="n">
        <v>120</v>
      </c>
      <c r="P586" s="68" t="n">
        <v>29</v>
      </c>
      <c r="Q586" s="68" t="n">
        <v>91</v>
      </c>
      <c r="R586" s="69" t="inlineStr">
        <is>
          <t>IO</t>
        </is>
      </c>
      <c r="S586" s="69" t="inlineStr">
        <is>
          <t>Yes</t>
        </is>
      </c>
      <c r="T586" s="73" t="n">
        <v>43497</v>
      </c>
      <c r="U586" s="73" t="n">
        <v>48981</v>
      </c>
      <c r="V586" s="73" t="n">
        <v>48981</v>
      </c>
      <c r="W586" s="69" t="n"/>
      <c r="X586" s="69" t="inlineStr">
        <is>
          <t>Current</t>
        </is>
      </c>
      <c r="Y586" s="68" t="n"/>
      <c r="Z586" s="69" t="inlineStr">
        <is>
          <t>No Defeasance Occurred</t>
        </is>
      </c>
      <c r="AA586" s="69" t="inlineStr">
        <is>
          <t>Yes</t>
        </is>
      </c>
      <c r="AB586" s="69" t="inlineStr">
        <is>
          <t>Never special serv</t>
        </is>
      </c>
      <c r="AC586" s="73" t="n"/>
      <c r="AD586" s="69" t="n"/>
      <c r="AE586" s="69" t="n"/>
      <c r="AF586" s="69" t="inlineStr">
        <is>
          <t>IA</t>
        </is>
      </c>
      <c r="AG586" s="69" t="inlineStr">
        <is>
          <t>New Hampton</t>
        </is>
      </c>
      <c r="AH586" s="69" t="n"/>
      <c r="AI586" s="69" t="inlineStr">
        <is>
          <t>Midwest / Central West</t>
        </is>
      </c>
      <c r="AJ586" s="69" t="inlineStr">
        <is>
          <t>RT</t>
        </is>
      </c>
      <c r="AK586" s="69" t="inlineStr">
        <is>
          <t>Single Tenant</t>
        </is>
      </c>
      <c r="AL586" s="68" t="n">
        <v>1</v>
      </c>
      <c r="AM586" s="68" t="n"/>
      <c r="AN586" s="68" t="n">
        <v>9002</v>
      </c>
      <c r="AO586" s="69" t="inlineStr">
        <is>
          <t>2018</t>
        </is>
      </c>
      <c r="AP586" s="70" t="n">
        <v>2018</v>
      </c>
      <c r="AQ586" s="74" t="n">
        <v>1.46</v>
      </c>
      <c r="AR586" s="74" t="n">
        <v>1.52</v>
      </c>
      <c r="AS586" s="74" t="n">
        <v>70</v>
      </c>
      <c r="AT586" s="74" t="n">
        <v>70</v>
      </c>
      <c r="AU586" s="74" t="n">
        <v>70</v>
      </c>
      <c r="AV586" s="74" t="n">
        <v>8.846382294</v>
      </c>
      <c r="AW586" s="74" t="n">
        <v>9.187407445</v>
      </c>
      <c r="AX586" s="75" t="n">
        <v>100</v>
      </c>
      <c r="AY586" s="71" t="n">
        <v>1420000</v>
      </c>
      <c r="AZ586" s="71" t="n">
        <v>1420000</v>
      </c>
      <c r="BA586" s="71" t="n">
        <v>87933.03999999999</v>
      </c>
      <c r="BB586" s="71" t="n">
        <v>91322.83</v>
      </c>
      <c r="BC586" s="69" t="inlineStr">
        <is>
          <t>Acquisition</t>
        </is>
      </c>
      <c r="BD586" s="69" t="inlineStr">
        <is>
          <t>N</t>
        </is>
      </c>
      <c r="BE586" s="71" t="n"/>
      <c r="BF586" s="71" t="n"/>
      <c r="BG586" s="71" t="n"/>
      <c r="BH586" s="71" t="n">
        <v>0</v>
      </c>
      <c r="BI586" s="71" t="n">
        <v>0</v>
      </c>
      <c r="BJ586" s="69" t="inlineStr">
        <is>
          <t>N</t>
        </is>
      </c>
      <c r="BK586" s="69" t="inlineStr">
        <is>
          <t>Dollar General</t>
        </is>
      </c>
      <c r="BL586" s="75" t="n">
        <v>100</v>
      </c>
      <c r="BM586" s="73" t="n">
        <v>48852</v>
      </c>
      <c r="BN586" s="69" t="inlineStr">
        <is>
          <t>Ladder Capital CRE Equity LLC</t>
        </is>
      </c>
      <c r="BO586" s="69" t="inlineStr">
        <is>
          <t>Ladder Capital Finance</t>
        </is>
      </c>
      <c r="BP586" s="69" t="inlineStr">
        <is>
          <t>TriMont Real Estate Advisors</t>
        </is>
      </c>
      <c r="BQ586" s="69" t="inlineStr">
        <is>
          <t>K-Star Asset Management LLC</t>
        </is>
      </c>
      <c r="BR586" s="69" t="n"/>
      <c r="BS586" s="73" t="n">
        <v>46276</v>
      </c>
      <c r="BU586" s="76">
        <f>IF($C586="","",IFERROR(INDEX(dmName,MATCH($C586,dmID,0)),"Unmapped"))</f>
        <v/>
      </c>
      <c r="BV586" s="76">
        <f>IF($C586="","",IFERROR(INDEX(dmEntity,MATCH($C586,dmID,0)),"Unmapped"))</f>
        <v/>
      </c>
      <c r="BW586" s="77">
        <f>IF($C586="","",IFERROR(INDEX(dmVintage,MATCH($C586,dmID,0)),""))</f>
        <v/>
      </c>
      <c r="BX586" s="78">
        <f>IFERROR(INDEX(dmInclude,MATCH($C586,dmID,0)),0)</f>
        <v/>
      </c>
      <c r="BY586" s="78">
        <f>IF(N($I586)&gt;0,1,0)</f>
        <v/>
      </c>
      <c r="BZ586" s="76">
        <f>IF($AJ586="","Other / Leased Fee",IFERROR(INDEX(mapPTGroup,MATCH(LEFT(TRIM($AJ586),2),mapPTCode,0)),"Other / Leased Fee"))</f>
        <v/>
      </c>
      <c r="CA586" s="76">
        <f>IF(TRIM($AF586&amp;"")="","NR",LEFT(TRIM($AF586),2))</f>
        <v/>
      </c>
      <c r="CB586" s="76">
        <f>IFERROR(LOOKUP(2,1/(LEFT(TRIM($AI586&amp;""),LEN(mapRegion))=mapRegion),mapRegion),"Not Reported")</f>
        <v/>
      </c>
      <c r="CC586" s="76">
        <f>IF($BY586=0,"",IF(TRIM($W586&amp;"")="REO","REO",IF(TRIM($W586&amp;"")="FC","Foreclosure",IF(TRIM($W586&amp;"")="90+","90+ Days Delinquent",IF(TRIM($W586&amp;"")="60","60 Days Delinquent",IF(TRIM($W586&amp;"")="30","30 Days Delinquent",IF($X586="Non-Performing Matured Balloon","Non-Performing Matured Balloon",IF(OR($X586="Late Payment But Less Than 30 Days Delinquent",LEFT($X586&amp;"",20)="Payment Not Received"),"Late / In Grace (&lt;30 Days)",IF($X586="Performing Matured Balloon","Performing Matured Balloon","Current")))))))))</f>
        <v/>
      </c>
      <c r="CD586" s="78">
        <f>IF(OR($CC586="REO",$CC586="Foreclosure",$CC586="90+ Days Delinquent",$CC586="60 Days Delinquent",$CC586="30 Days Delinquent",$CC586="Non-Performing Matured Balloon"),1,0)</f>
        <v/>
      </c>
      <c r="CE586" s="76">
        <f>IF($AB586="Currently special serv","Currently Specially Serviced",IF($AB586="Returned to master serv","Previously Specially Serviced","Never Specially Serviced"))</f>
        <v/>
      </c>
      <c r="CF586" s="78">
        <f>IF($CE586="Currently Specially Serviced",1,0)</f>
        <v/>
      </c>
      <c r="CG586" s="76">
        <f>IF($AA586="Yes","Currently on Watchlist",IF($AA586="Previously","Previously on Watchlist","Never on Watchlist"))</f>
        <v/>
      </c>
      <c r="CH586" s="78">
        <f>IF($CG586="Currently on Watchlist",1,0)</f>
        <v/>
      </c>
      <c r="CI586" s="76">
        <f>IF($Z586="Full Defeasance","Fully Defeased",IF($Z586="Portion Of Loan Previously Defeased","Partially Defeased",IF($Z586="Defeasance Not Allowable","Not Defeased (Not Permitted)","Not Defeased")))</f>
        <v/>
      </c>
      <c r="CJ586" s="78">
        <f>IF($CI586="Fully Defeased",1,0)</f>
        <v/>
      </c>
      <c r="CK586" s="76">
        <f>IF($R586="IO","Full IO",IF(LEFT($R586&amp;"",7)="IO then","Partial IO","Amortizing"))</f>
        <v/>
      </c>
      <c r="CL586" s="78">
        <f>IF($CK586="Full IO",1,0)</f>
        <v/>
      </c>
      <c r="CM586" s="78">
        <f>IF($CK586="Partial IO",1,0)</f>
        <v/>
      </c>
      <c r="CN586" s="76">
        <f>IF(LEFT($F586&amp;"",10)="SPLIT_LOAN","Pari Passu Split","Standalone")</f>
        <v/>
      </c>
      <c r="CO586" s="78">
        <f>IF($CN586="Pari Passu Split",1,0)</f>
        <v/>
      </c>
      <c r="CP586" s="77">
        <f>IF(ISNUMBER($T586),YEAR($T586),"")</f>
        <v/>
      </c>
      <c r="CQ586" s="79">
        <f>IF(ISNUMBER($V586),$V586,IF(ISNUMBER($U586),$U586,""))</f>
        <v/>
      </c>
      <c r="CR586" s="77">
        <f>IF(ISNUMBER($CQ586),YEAR($CQ586),"")</f>
        <v/>
      </c>
      <c r="CS586" s="78">
        <f>IF(ISNUMBER($M586),MAX(0,$M586),IF(TRIM($M586&amp;"")="matured",0,""))</f>
        <v/>
      </c>
      <c r="CT586" s="78">
        <f>IF(AND(ISNUMBER($CS586),N($CS586)&lt;=mMatWindow),1,0)</f>
        <v/>
      </c>
      <c r="CU586" s="80">
        <f>IF(ISNUMBER($J586),$J586/100,"")</f>
        <v/>
      </c>
      <c r="CV586" s="81">
        <f>IF(ISNUMBER($AQ586),$AQ586,"")</f>
        <v/>
      </c>
      <c r="CW586" s="81">
        <f>IF(ISNUMBER($AR586),$AR586,"")</f>
        <v/>
      </c>
      <c r="CX586" s="82">
        <f>IF(ISNUMBER($AS586),$AS586/100,"")</f>
        <v/>
      </c>
      <c r="CY586" s="82">
        <f>IF(ISNUMBER($AT586),$AT586/100,"")</f>
        <v/>
      </c>
      <c r="CZ586" s="82">
        <f>IF(ISNUMBER($AU586),$AU586/100,"")</f>
        <v/>
      </c>
      <c r="DA586" s="82">
        <f>IF(ISNUMBER($AV586),$AV586/100,"")</f>
        <v/>
      </c>
      <c r="DB586" s="82">
        <f>IF(ISNUMBER($AW586),$AW586/100,"")</f>
        <v/>
      </c>
      <c r="DC586" s="82">
        <f>IF(ISNUMBER($AX586),$AX586/100,"")</f>
        <v/>
      </c>
      <c r="DD586" s="77">
        <f>IFERROR(VALUE(LEFT(TRIM($AO586&amp;""),4)),"")</f>
        <v/>
      </c>
      <c r="DE586" s="78">
        <f>IF(AND($BY586=1,$BX586=1,OR(fDeal="All Deals",$BU586=fDeal),OR(fEntity="All Entities",$BV586=fEntity),OR(fPType="All Property Types",$BZ586=fPType),OR(fDefeased="Include",$CJ586=0)),1,0)</f>
        <v/>
      </c>
      <c r="DF586" s="83">
        <f>$DE586*N($I586)</f>
        <v/>
      </c>
      <c r="DG586" s="78">
        <f>IF($DE586=1,IF(COUNTIFS($F$8:$F586,$F586,$DE$8:$DE586,1)=1,1,0),0)</f>
        <v/>
      </c>
      <c r="DH586" s="83">
        <f>IF($DG586=1,SUMIFS($DF$8:$DF$1600,$F$8:$F$1600,$F586),0)</f>
        <v/>
      </c>
      <c r="DI586" s="78">
        <f>IF($DG586=1,COUNTIFS($F$8:$F$1600,$F586,$DE$8:$DE$1600,1),0)</f>
        <v/>
      </c>
      <c r="DJ586" s="84">
        <f>IF($DG586=1,$DH586+(100000-ROW())/mTieBreak,0)</f>
        <v/>
      </c>
    </row>
    <row r="587">
      <c r="B587" s="68" t="n">
        <v>64</v>
      </c>
      <c r="C587" s="69" t="inlineStr">
        <is>
          <t>WFC19C49</t>
        </is>
      </c>
      <c r="D587" s="69" t="inlineStr">
        <is>
          <t>64.000</t>
        </is>
      </c>
      <c r="E587" s="69" t="inlineStr">
        <is>
          <t>Dollar General Pinconning</t>
        </is>
      </c>
      <c r="F587" s="69" t="inlineStr">
        <is>
          <t>LNWFC19C49-64.000</t>
        </is>
      </c>
      <c r="G587" s="70" t="n"/>
      <c r="H587" s="71" t="n">
        <v>931000</v>
      </c>
      <c r="I587" s="71" t="n">
        <v>931000</v>
      </c>
      <c r="J587" s="72" t="n">
        <v>5.99</v>
      </c>
      <c r="K587" s="69" t="inlineStr">
        <is>
          <t>Fixed rate</t>
        </is>
      </c>
      <c r="L587" s="68" t="n">
        <v>120</v>
      </c>
      <c r="M587" s="68" t="n">
        <v>29</v>
      </c>
      <c r="N587" s="68" t="n">
        <v>120</v>
      </c>
      <c r="O587" s="68" t="n">
        <v>120</v>
      </c>
      <c r="P587" s="68" t="n">
        <v>29</v>
      </c>
      <c r="Q587" s="68" t="n">
        <v>91</v>
      </c>
      <c r="R587" s="69" t="inlineStr">
        <is>
          <t>IO</t>
        </is>
      </c>
      <c r="S587" s="69" t="inlineStr">
        <is>
          <t>Yes</t>
        </is>
      </c>
      <c r="T587" s="73" t="n">
        <v>43497</v>
      </c>
      <c r="U587" s="73" t="n">
        <v>48981</v>
      </c>
      <c r="V587" s="73" t="n">
        <v>48981</v>
      </c>
      <c r="W587" s="69" t="n"/>
      <c r="X587" s="69" t="inlineStr">
        <is>
          <t>Current</t>
        </is>
      </c>
      <c r="Y587" s="68" t="n"/>
      <c r="Z587" s="69" t="inlineStr">
        <is>
          <t>No Defeasance Occurred</t>
        </is>
      </c>
      <c r="AA587" s="69" t="n"/>
      <c r="AB587" s="69" t="inlineStr">
        <is>
          <t>Never special serv</t>
        </is>
      </c>
      <c r="AC587" s="73" t="n"/>
      <c r="AD587" s="69" t="n"/>
      <c r="AE587" s="69" t="n"/>
      <c r="AF587" s="69" t="inlineStr">
        <is>
          <t>MI</t>
        </is>
      </c>
      <c r="AG587" s="69" t="inlineStr">
        <is>
          <t>Pinconning</t>
        </is>
      </c>
      <c r="AH587" s="69" t="inlineStr">
        <is>
          <t>Bay City, MI</t>
        </is>
      </c>
      <c r="AI587" s="69" t="inlineStr">
        <is>
          <t>Midwest / Central East</t>
        </is>
      </c>
      <c r="AJ587" s="69" t="inlineStr">
        <is>
          <t>RT</t>
        </is>
      </c>
      <c r="AK587" s="69" t="inlineStr">
        <is>
          <t>Single Tenant</t>
        </is>
      </c>
      <c r="AL587" s="68" t="n">
        <v>1</v>
      </c>
      <c r="AM587" s="68" t="n"/>
      <c r="AN587" s="68" t="n">
        <v>9026</v>
      </c>
      <c r="AO587" s="69" t="inlineStr">
        <is>
          <t>2018</t>
        </is>
      </c>
      <c r="AP587" s="70" t="n">
        <v>2018</v>
      </c>
      <c r="AQ587" s="74" t="n">
        <v>1.45</v>
      </c>
      <c r="AR587" s="74" t="n">
        <v>1.51</v>
      </c>
      <c r="AS587" s="74" t="n">
        <v>70</v>
      </c>
      <c r="AT587" s="74" t="n">
        <v>70</v>
      </c>
      <c r="AU587" s="74" t="n">
        <v>70</v>
      </c>
      <c r="AV587" s="74" t="n">
        <v>8.847253491</v>
      </c>
      <c r="AW587" s="74" t="n">
        <v>9.179484425</v>
      </c>
      <c r="AX587" s="75" t="n">
        <v>100</v>
      </c>
      <c r="AY587" s="71" t="n">
        <v>1330000</v>
      </c>
      <c r="AZ587" s="71" t="n">
        <v>1330000</v>
      </c>
      <c r="BA587" s="71" t="n">
        <v>82367.92999999999</v>
      </c>
      <c r="BB587" s="71" t="n">
        <v>85461</v>
      </c>
      <c r="BC587" s="69" t="inlineStr">
        <is>
          <t>Acquisition</t>
        </is>
      </c>
      <c r="BD587" s="69" t="inlineStr">
        <is>
          <t>N</t>
        </is>
      </c>
      <c r="BE587" s="71" t="n"/>
      <c r="BF587" s="71" t="n"/>
      <c r="BG587" s="71" t="n"/>
      <c r="BH587" s="71" t="n">
        <v>0</v>
      </c>
      <c r="BI587" s="71" t="n">
        <v>0</v>
      </c>
      <c r="BJ587" s="69" t="inlineStr">
        <is>
          <t>N</t>
        </is>
      </c>
      <c r="BK587" s="69" t="inlineStr">
        <is>
          <t>Dollar General</t>
        </is>
      </c>
      <c r="BL587" s="75" t="n">
        <v>100</v>
      </c>
      <c r="BM587" s="73" t="n">
        <v>48852</v>
      </c>
      <c r="BN587" s="69" t="inlineStr">
        <is>
          <t>Ladder Capital CRE Equity LLC</t>
        </is>
      </c>
      <c r="BO587" s="69" t="inlineStr">
        <is>
          <t>Ladder Capital Finance</t>
        </is>
      </c>
      <c r="BP587" s="69" t="inlineStr">
        <is>
          <t>TriMont Real Estate Advisors</t>
        </is>
      </c>
      <c r="BQ587" s="69" t="inlineStr">
        <is>
          <t>K-Star Asset Management LLC</t>
        </is>
      </c>
      <c r="BR587" s="69" t="n"/>
      <c r="BS587" s="73" t="n">
        <v>46276</v>
      </c>
      <c r="BU587" s="76">
        <f>IF($C587="","",IFERROR(INDEX(dmName,MATCH($C587,dmID,0)),"Unmapped"))</f>
        <v/>
      </c>
      <c r="BV587" s="76">
        <f>IF($C587="","",IFERROR(INDEX(dmEntity,MATCH($C587,dmID,0)),"Unmapped"))</f>
        <v/>
      </c>
      <c r="BW587" s="77">
        <f>IF($C587="","",IFERROR(INDEX(dmVintage,MATCH($C587,dmID,0)),""))</f>
        <v/>
      </c>
      <c r="BX587" s="78">
        <f>IFERROR(INDEX(dmInclude,MATCH($C587,dmID,0)),0)</f>
        <v/>
      </c>
      <c r="BY587" s="78">
        <f>IF(N($I587)&gt;0,1,0)</f>
        <v/>
      </c>
      <c r="BZ587" s="76">
        <f>IF($AJ587="","Other / Leased Fee",IFERROR(INDEX(mapPTGroup,MATCH(LEFT(TRIM($AJ587),2),mapPTCode,0)),"Other / Leased Fee"))</f>
        <v/>
      </c>
      <c r="CA587" s="76">
        <f>IF(TRIM($AF587&amp;"")="","NR",LEFT(TRIM($AF587),2))</f>
        <v/>
      </c>
      <c r="CB587" s="76">
        <f>IFERROR(LOOKUP(2,1/(LEFT(TRIM($AI587&amp;""),LEN(mapRegion))=mapRegion),mapRegion),"Not Reported")</f>
        <v/>
      </c>
      <c r="CC587" s="76">
        <f>IF($BY587=0,"",IF(TRIM($W587&amp;"")="REO","REO",IF(TRIM($W587&amp;"")="FC","Foreclosure",IF(TRIM($W587&amp;"")="90+","90+ Days Delinquent",IF(TRIM($W587&amp;"")="60","60 Days Delinquent",IF(TRIM($W587&amp;"")="30","30 Days Delinquent",IF($X587="Non-Performing Matured Balloon","Non-Performing Matured Balloon",IF(OR($X587="Late Payment But Less Than 30 Days Delinquent",LEFT($X587&amp;"",20)="Payment Not Received"),"Late / In Grace (&lt;30 Days)",IF($X587="Performing Matured Balloon","Performing Matured Balloon","Current")))))))))</f>
        <v/>
      </c>
      <c r="CD587" s="78">
        <f>IF(OR($CC587="REO",$CC587="Foreclosure",$CC587="90+ Days Delinquent",$CC587="60 Days Delinquent",$CC587="30 Days Delinquent",$CC587="Non-Performing Matured Balloon"),1,0)</f>
        <v/>
      </c>
      <c r="CE587" s="76">
        <f>IF($AB587="Currently special serv","Currently Specially Serviced",IF($AB587="Returned to master serv","Previously Specially Serviced","Never Specially Serviced"))</f>
        <v/>
      </c>
      <c r="CF587" s="78">
        <f>IF($CE587="Currently Specially Serviced",1,0)</f>
        <v/>
      </c>
      <c r="CG587" s="76">
        <f>IF($AA587="Yes","Currently on Watchlist",IF($AA587="Previously","Previously on Watchlist","Never on Watchlist"))</f>
        <v/>
      </c>
      <c r="CH587" s="78">
        <f>IF($CG587="Currently on Watchlist",1,0)</f>
        <v/>
      </c>
      <c r="CI587" s="76">
        <f>IF($Z587="Full Defeasance","Fully Defeased",IF($Z587="Portion Of Loan Previously Defeased","Partially Defeased",IF($Z587="Defeasance Not Allowable","Not Defeased (Not Permitted)","Not Defeased")))</f>
        <v/>
      </c>
      <c r="CJ587" s="78">
        <f>IF($CI587="Fully Defeased",1,0)</f>
        <v/>
      </c>
      <c r="CK587" s="76">
        <f>IF($R587="IO","Full IO",IF(LEFT($R587&amp;"",7)="IO then","Partial IO","Amortizing"))</f>
        <v/>
      </c>
      <c r="CL587" s="78">
        <f>IF($CK587="Full IO",1,0)</f>
        <v/>
      </c>
      <c r="CM587" s="78">
        <f>IF($CK587="Partial IO",1,0)</f>
        <v/>
      </c>
      <c r="CN587" s="76">
        <f>IF(LEFT($F587&amp;"",10)="SPLIT_LOAN","Pari Passu Split","Standalone")</f>
        <v/>
      </c>
      <c r="CO587" s="78">
        <f>IF($CN587="Pari Passu Split",1,0)</f>
        <v/>
      </c>
      <c r="CP587" s="77">
        <f>IF(ISNUMBER($T587),YEAR($T587),"")</f>
        <v/>
      </c>
      <c r="CQ587" s="79">
        <f>IF(ISNUMBER($V587),$V587,IF(ISNUMBER($U587),$U587,""))</f>
        <v/>
      </c>
      <c r="CR587" s="77">
        <f>IF(ISNUMBER($CQ587),YEAR($CQ587),"")</f>
        <v/>
      </c>
      <c r="CS587" s="78">
        <f>IF(ISNUMBER($M587),MAX(0,$M587),IF(TRIM($M587&amp;"")="matured",0,""))</f>
        <v/>
      </c>
      <c r="CT587" s="78">
        <f>IF(AND(ISNUMBER($CS587),N($CS587)&lt;=mMatWindow),1,0)</f>
        <v/>
      </c>
      <c r="CU587" s="80">
        <f>IF(ISNUMBER($J587),$J587/100,"")</f>
        <v/>
      </c>
      <c r="CV587" s="81">
        <f>IF(ISNUMBER($AQ587),$AQ587,"")</f>
        <v/>
      </c>
      <c r="CW587" s="81">
        <f>IF(ISNUMBER($AR587),$AR587,"")</f>
        <v/>
      </c>
      <c r="CX587" s="82">
        <f>IF(ISNUMBER($AS587),$AS587/100,"")</f>
        <v/>
      </c>
      <c r="CY587" s="82">
        <f>IF(ISNUMBER($AT587),$AT587/100,"")</f>
        <v/>
      </c>
      <c r="CZ587" s="82">
        <f>IF(ISNUMBER($AU587),$AU587/100,"")</f>
        <v/>
      </c>
      <c r="DA587" s="82">
        <f>IF(ISNUMBER($AV587),$AV587/100,"")</f>
        <v/>
      </c>
      <c r="DB587" s="82">
        <f>IF(ISNUMBER($AW587),$AW587/100,"")</f>
        <v/>
      </c>
      <c r="DC587" s="82">
        <f>IF(ISNUMBER($AX587),$AX587/100,"")</f>
        <v/>
      </c>
      <c r="DD587" s="77">
        <f>IFERROR(VALUE(LEFT(TRIM($AO587&amp;""),4)),"")</f>
        <v/>
      </c>
      <c r="DE587" s="78">
        <f>IF(AND($BY587=1,$BX587=1,OR(fDeal="All Deals",$BU587=fDeal),OR(fEntity="All Entities",$BV587=fEntity),OR(fPType="All Property Types",$BZ587=fPType),OR(fDefeased="Include",$CJ587=0)),1,0)</f>
        <v/>
      </c>
      <c r="DF587" s="83">
        <f>$DE587*N($I587)</f>
        <v/>
      </c>
      <c r="DG587" s="78">
        <f>IF($DE587=1,IF(COUNTIFS($F$8:$F587,$F587,$DE$8:$DE587,1)=1,1,0),0)</f>
        <v/>
      </c>
      <c r="DH587" s="83">
        <f>IF($DG587=1,SUMIFS($DF$8:$DF$1600,$F$8:$F$1600,$F587),0)</f>
        <v/>
      </c>
      <c r="DI587" s="78">
        <f>IF($DG587=1,COUNTIFS($F$8:$F$1600,$F587,$DE$8:$DE$1600,1),0)</f>
        <v/>
      </c>
      <c r="DJ587" s="84">
        <f>IF($DG587=1,$DH587+(100000-ROW())/mTieBreak,0)</f>
        <v/>
      </c>
    </row>
    <row r="588">
      <c r="B588" s="68" t="n">
        <v>1</v>
      </c>
      <c r="C588" s="69" t="inlineStr">
        <is>
          <t>UBS18C13</t>
        </is>
      </c>
      <c r="D588" s="69" t="inlineStr">
        <is>
          <t>1.000</t>
        </is>
      </c>
      <c r="E588" s="69" t="inlineStr">
        <is>
          <t>1670 Broadway</t>
        </is>
      </c>
      <c r="F588" s="69" t="inlineStr">
        <is>
          <t>SPLIT_LOAN_01358</t>
        </is>
      </c>
      <c r="G588" s="70" t="n">
        <v>1358</v>
      </c>
      <c r="H588" s="71" t="n">
        <v>48000000</v>
      </c>
      <c r="I588" s="71" t="n">
        <v>0</v>
      </c>
      <c r="J588" s="72" t="n">
        <v>3.8511</v>
      </c>
      <c r="K588" s="69" t="inlineStr">
        <is>
          <t>Fixed rate</t>
        </is>
      </c>
      <c r="L588" s="68" t="n">
        <v>84</v>
      </c>
      <c r="M588" s="68" t="n"/>
      <c r="N588" s="68" t="n">
        <v>84</v>
      </c>
      <c r="O588" s="68" t="n">
        <v>84</v>
      </c>
      <c r="P588" s="68" t="n"/>
      <c r="Q588" s="68" t="n"/>
      <c r="R588" s="69" t="inlineStr">
        <is>
          <t>IO</t>
        </is>
      </c>
      <c r="S588" s="69" t="inlineStr">
        <is>
          <t>Yes</t>
        </is>
      </c>
      <c r="T588" s="73" t="n">
        <v>43374</v>
      </c>
      <c r="U588" s="73" t="n">
        <v>45906</v>
      </c>
      <c r="V588" s="73" t="n"/>
      <c r="W588" s="69" t="n"/>
      <c r="X588" s="69" t="inlineStr">
        <is>
          <t>Current</t>
        </is>
      </c>
      <c r="Y588" s="68" t="n"/>
      <c r="Z588" s="69" t="inlineStr">
        <is>
          <t>Defeasance Not Allowable</t>
        </is>
      </c>
      <c r="AA588" s="69" t="inlineStr">
        <is>
          <t>Previously</t>
        </is>
      </c>
      <c r="AB588" s="69" t="inlineStr">
        <is>
          <t>Currently special serv</t>
        </is>
      </c>
      <c r="AC588" s="73" t="n">
        <v>45908</v>
      </c>
      <c r="AD588" s="69" t="inlineStr">
        <is>
          <t>Balloon Payment/Maturity Default</t>
        </is>
      </c>
      <c r="AE588" s="69" t="inlineStr">
        <is>
          <t>Full Payoff</t>
        </is>
      </c>
      <c r="AF588" s="69" t="inlineStr">
        <is>
          <t>CO</t>
        </is>
      </c>
      <c r="AG588" s="69" t="inlineStr">
        <is>
          <t>Denver</t>
        </is>
      </c>
      <c r="AH588" s="69" t="inlineStr">
        <is>
          <t>Denver-Aurora-Centennial, CO</t>
        </is>
      </c>
      <c r="AI588" s="69" t="inlineStr">
        <is>
          <t>West / Mountain</t>
        </is>
      </c>
      <c r="AJ588" s="69" t="inlineStr">
        <is>
          <t>OF</t>
        </is>
      </c>
      <c r="AK588" s="69" t="inlineStr">
        <is>
          <t>CBD</t>
        </is>
      </c>
      <c r="AL588" s="68" t="n">
        <v>1</v>
      </c>
      <c r="AM588" s="68" t="n"/>
      <c r="AN588" s="68" t="n">
        <v>703654</v>
      </c>
      <c r="AO588" s="69" t="inlineStr">
        <is>
          <t>1980</t>
        </is>
      </c>
      <c r="AP588" s="70" t="n">
        <v>2018</v>
      </c>
      <c r="AQ588" s="74" t="n">
        <v>4.22</v>
      </c>
      <c r="AR588" s="74" t="n">
        <v>5.44</v>
      </c>
      <c r="AS588" s="74" t="n">
        <v>32.6</v>
      </c>
      <c r="AT588" s="74" t="n"/>
      <c r="AU588" s="74" t="n">
        <v>32.6</v>
      </c>
      <c r="AV588" s="74" t="n">
        <v>16.466032051</v>
      </c>
      <c r="AW588" s="74" t="n"/>
      <c r="AX588" s="75" t="n">
        <v>84</v>
      </c>
      <c r="AY588" s="71" t="n">
        <v>239500000</v>
      </c>
      <c r="AZ588" s="71" t="n">
        <v>33000000</v>
      </c>
      <c r="BA588" s="71" t="n">
        <v>12843505</v>
      </c>
      <c r="BB588" s="71" t="n">
        <v>12119694.98</v>
      </c>
      <c r="BC588" s="69" t="inlineStr">
        <is>
          <t>Acquisition</t>
        </is>
      </c>
      <c r="BD588" s="69" t="inlineStr">
        <is>
          <t>Y</t>
        </is>
      </c>
      <c r="BE588" s="71" t="n">
        <v>0</v>
      </c>
      <c r="BF588" s="71" t="n"/>
      <c r="BG588" s="71" t="n">
        <v>64800000</v>
      </c>
      <c r="BH588" s="71" t="n">
        <v>0</v>
      </c>
      <c r="BI588" s="71" t="n">
        <v>0</v>
      </c>
      <c r="BJ588" s="69" t="inlineStr">
        <is>
          <t>Y</t>
        </is>
      </c>
      <c r="BK588" s="69" t="inlineStr">
        <is>
          <t>TEACHERS - EXISTING OFFICE PREMISES</t>
        </is>
      </c>
      <c r="BL588" s="75" t="n">
        <v>35.61</v>
      </c>
      <c r="BM588" s="73" t="n">
        <v>47483</v>
      </c>
      <c r="BN588" s="69" t="inlineStr">
        <is>
          <t>HFI 1670 BDWY LLC</t>
        </is>
      </c>
      <c r="BO588" s="69" t="n"/>
      <c r="BP588" s="69" t="inlineStr">
        <is>
          <t>Midland Loan Services</t>
        </is>
      </c>
      <c r="BQ588" s="69" t="inlineStr">
        <is>
          <t>Midland Loan Services</t>
        </is>
      </c>
      <c r="BR588" s="69" t="inlineStr">
        <is>
          <t>Payoff Prior To Maturity</t>
        </is>
      </c>
      <c r="BS588" s="73" t="n">
        <v>46245</v>
      </c>
      <c r="BU588" s="76">
        <f>IF($C588="","",IFERROR(INDEX(dmName,MATCH($C588,dmID,0)),"Unmapped"))</f>
        <v/>
      </c>
      <c r="BV588" s="76">
        <f>IF($C588="","",IFERROR(INDEX(dmEntity,MATCH($C588,dmID,0)),"Unmapped"))</f>
        <v/>
      </c>
      <c r="BW588" s="77">
        <f>IF($C588="","",IFERROR(INDEX(dmVintage,MATCH($C588,dmID,0)),""))</f>
        <v/>
      </c>
      <c r="BX588" s="78">
        <f>IFERROR(INDEX(dmInclude,MATCH($C588,dmID,0)),0)</f>
        <v/>
      </c>
      <c r="BY588" s="78">
        <f>IF(N($I588)&gt;0,1,0)</f>
        <v/>
      </c>
      <c r="BZ588" s="76">
        <f>IF($AJ588="","Other / Leased Fee",IFERROR(INDEX(mapPTGroup,MATCH(LEFT(TRIM($AJ588),2),mapPTCode,0)),"Other / Leased Fee"))</f>
        <v/>
      </c>
      <c r="CA588" s="76">
        <f>IF(TRIM($AF588&amp;"")="","NR",LEFT(TRIM($AF588),2))</f>
        <v/>
      </c>
      <c r="CB588" s="76">
        <f>IFERROR(LOOKUP(2,1/(LEFT(TRIM($AI588&amp;""),LEN(mapRegion))=mapRegion),mapRegion),"Not Reported")</f>
        <v/>
      </c>
      <c r="CC588" s="76">
        <f>IF($BY588=0,"",IF(TRIM($W588&amp;"")="REO","REO",IF(TRIM($W588&amp;"")="FC","Foreclosure",IF(TRIM($W588&amp;"")="90+","90+ Days Delinquent",IF(TRIM($W588&amp;"")="60","60 Days Delinquent",IF(TRIM($W588&amp;"")="30","30 Days Delinquent",IF($X588="Non-Performing Matured Balloon","Non-Performing Matured Balloon",IF(OR($X588="Late Payment But Less Than 30 Days Delinquent",LEFT($X588&amp;"",20)="Payment Not Received"),"Late / In Grace (&lt;30 Days)",IF($X588="Performing Matured Balloon","Performing Matured Balloon","Current")))))))))</f>
        <v/>
      </c>
      <c r="CD588" s="78">
        <f>IF(OR($CC588="REO",$CC588="Foreclosure",$CC588="90+ Days Delinquent",$CC588="60 Days Delinquent",$CC588="30 Days Delinquent",$CC588="Non-Performing Matured Balloon"),1,0)</f>
        <v/>
      </c>
      <c r="CE588" s="76">
        <f>IF($AB588="Currently special serv","Currently Specially Serviced",IF($AB588="Returned to master serv","Previously Specially Serviced","Never Specially Serviced"))</f>
        <v/>
      </c>
      <c r="CF588" s="78">
        <f>IF($CE588="Currently Specially Serviced",1,0)</f>
        <v/>
      </c>
      <c r="CG588" s="76">
        <f>IF($AA588="Yes","Currently on Watchlist",IF($AA588="Previously","Previously on Watchlist","Never on Watchlist"))</f>
        <v/>
      </c>
      <c r="CH588" s="78">
        <f>IF($CG588="Currently on Watchlist",1,0)</f>
        <v/>
      </c>
      <c r="CI588" s="76">
        <f>IF($Z588="Full Defeasance","Fully Defeased",IF($Z588="Portion Of Loan Previously Defeased","Partially Defeased",IF($Z588="Defeasance Not Allowable","Not Defeased (Not Permitted)","Not Defeased")))</f>
        <v/>
      </c>
      <c r="CJ588" s="78">
        <f>IF($CI588="Fully Defeased",1,0)</f>
        <v/>
      </c>
      <c r="CK588" s="76">
        <f>IF($R588="IO","Full IO",IF(LEFT($R588&amp;"",7)="IO then","Partial IO","Amortizing"))</f>
        <v/>
      </c>
      <c r="CL588" s="78">
        <f>IF($CK588="Full IO",1,0)</f>
        <v/>
      </c>
      <c r="CM588" s="78">
        <f>IF($CK588="Partial IO",1,0)</f>
        <v/>
      </c>
      <c r="CN588" s="76">
        <f>IF(LEFT($F588&amp;"",10)="SPLIT_LOAN","Pari Passu Split","Standalone")</f>
        <v/>
      </c>
      <c r="CO588" s="78">
        <f>IF($CN588="Pari Passu Split",1,0)</f>
        <v/>
      </c>
      <c r="CP588" s="77">
        <f>IF(ISNUMBER($T588),YEAR($T588),"")</f>
        <v/>
      </c>
      <c r="CQ588" s="79">
        <f>IF(ISNUMBER($V588),$V588,IF(ISNUMBER($U588),$U588,""))</f>
        <v/>
      </c>
      <c r="CR588" s="77">
        <f>IF(ISNUMBER($CQ588),YEAR($CQ588),"")</f>
        <v/>
      </c>
      <c r="CS588" s="78">
        <f>IF(ISNUMBER($M588),MAX(0,$M588),IF(TRIM($M588&amp;"")="matured",0,""))</f>
        <v/>
      </c>
      <c r="CT588" s="78">
        <f>IF(AND(ISNUMBER($CS588),N($CS588)&lt;=mMatWindow),1,0)</f>
        <v/>
      </c>
      <c r="CU588" s="80">
        <f>IF(ISNUMBER($J588),$J588/100,"")</f>
        <v/>
      </c>
      <c r="CV588" s="81">
        <f>IF(ISNUMBER($AQ588),$AQ588,"")</f>
        <v/>
      </c>
      <c r="CW588" s="81">
        <f>IF(ISNUMBER($AR588),$AR588,"")</f>
        <v/>
      </c>
      <c r="CX588" s="82">
        <f>IF(ISNUMBER($AS588),$AS588/100,"")</f>
        <v/>
      </c>
      <c r="CY588" s="82">
        <f>IF(ISNUMBER($AT588),$AT588/100,"")</f>
        <v/>
      </c>
      <c r="CZ588" s="82">
        <f>IF(ISNUMBER($AU588),$AU588/100,"")</f>
        <v/>
      </c>
      <c r="DA588" s="82">
        <f>IF(ISNUMBER($AV588),$AV588/100,"")</f>
        <v/>
      </c>
      <c r="DB588" s="82">
        <f>IF(ISNUMBER($AW588),$AW588/100,"")</f>
        <v/>
      </c>
      <c r="DC588" s="82">
        <f>IF(ISNUMBER($AX588),$AX588/100,"")</f>
        <v/>
      </c>
      <c r="DD588" s="77">
        <f>IFERROR(VALUE(LEFT(TRIM($AO588&amp;""),4)),"")</f>
        <v/>
      </c>
      <c r="DE588" s="78">
        <f>IF(AND($BY588=1,$BX588=1,OR(fDeal="All Deals",$BU588=fDeal),OR(fEntity="All Entities",$BV588=fEntity),OR(fPType="All Property Types",$BZ588=fPType),OR(fDefeased="Include",$CJ588=0)),1,0)</f>
        <v/>
      </c>
      <c r="DF588" s="83">
        <f>$DE588*N($I588)</f>
        <v/>
      </c>
      <c r="DG588" s="78">
        <f>IF($DE588=1,IF(COUNTIFS($F$8:$F588,$F588,$DE$8:$DE588,1)=1,1,0),0)</f>
        <v/>
      </c>
      <c r="DH588" s="83">
        <f>IF($DG588=1,SUMIFS($DF$8:$DF$1600,$F$8:$F$1600,$F588),0)</f>
        <v/>
      </c>
      <c r="DI588" s="78">
        <f>IF($DG588=1,COUNTIFS($F$8:$F$1600,$F588,$DE$8:$DE$1600,1),0)</f>
        <v/>
      </c>
      <c r="DJ588" s="84">
        <f>IF($DG588=1,$DH588+(100000-ROW())/mTieBreak,0)</f>
        <v/>
      </c>
    </row>
    <row r="589">
      <c r="B589" s="68" t="n">
        <v>2</v>
      </c>
      <c r="C589" s="69" t="inlineStr">
        <is>
          <t>UBS18C13</t>
        </is>
      </c>
      <c r="D589" s="69" t="inlineStr">
        <is>
          <t>2.000</t>
        </is>
      </c>
      <c r="E589" s="69" t="inlineStr">
        <is>
          <t>The Buckingham</t>
        </is>
      </c>
      <c r="F589" s="69" t="inlineStr">
        <is>
          <t>LNUBS18C13-2.000</t>
        </is>
      </c>
      <c r="G589" s="70" t="n"/>
      <c r="H589" s="71" t="n">
        <v>45300000</v>
      </c>
      <c r="I589" s="71" t="n">
        <v>42040452.70000981</v>
      </c>
      <c r="J589" s="72" t="n">
        <v>5.522</v>
      </c>
      <c r="K589" s="69" t="inlineStr">
        <is>
          <t>Fixed rate</t>
        </is>
      </c>
      <c r="L589" s="68" t="n">
        <v>120</v>
      </c>
      <c r="M589" s="68" t="n">
        <v>23</v>
      </c>
      <c r="N589" s="68" t="n">
        <v>396</v>
      </c>
      <c r="O589" s="68" t="n">
        <v>36</v>
      </c>
      <c r="P589" s="68" t="n">
        <v>0</v>
      </c>
      <c r="Q589" s="68" t="n">
        <v>97</v>
      </c>
      <c r="R589" s="69" t="inlineStr">
        <is>
          <t>IO then Amort</t>
        </is>
      </c>
      <c r="S589" s="69" t="inlineStr">
        <is>
          <t>No</t>
        </is>
      </c>
      <c r="T589" s="73" t="n">
        <v>43313</v>
      </c>
      <c r="U589" s="73" t="n">
        <v>46971</v>
      </c>
      <c r="V589" s="73" t="n"/>
      <c r="W589" s="69" t="inlineStr">
        <is>
          <t>90+</t>
        </is>
      </c>
      <c r="X589" s="69" t="inlineStr">
        <is>
          <t>90-120 Days Delinquent</t>
        </is>
      </c>
      <c r="Y589" s="68" t="n">
        <v>3</v>
      </c>
      <c r="Z589" s="69" t="inlineStr">
        <is>
          <t>Defeasance Not Allowable</t>
        </is>
      </c>
      <c r="AA589" s="69" t="inlineStr">
        <is>
          <t>Previously</t>
        </is>
      </c>
      <c r="AB589" s="69" t="inlineStr">
        <is>
          <t>Currently special serv</t>
        </is>
      </c>
      <c r="AC589" s="73" t="n">
        <v>45946</v>
      </c>
      <c r="AD589" s="69" t="inlineStr">
        <is>
          <t>Payment Default (all payments excluding Balloon/Maturity Payment)</t>
        </is>
      </c>
      <c r="AE589" s="69" t="inlineStr">
        <is>
          <t>TBD</t>
        </is>
      </c>
      <c r="AF589" s="69" t="inlineStr">
        <is>
          <t>IL</t>
        </is>
      </c>
      <c r="AG589" s="69" t="inlineStr">
        <is>
          <t>Chicago</t>
        </is>
      </c>
      <c r="AH589" s="69" t="inlineStr">
        <is>
          <t>Chicago-Naperville-Elgin, IL-IN</t>
        </is>
      </c>
      <c r="AI589" s="69" t="inlineStr">
        <is>
          <t>Midwest / Central East</t>
        </is>
      </c>
      <c r="AJ589" s="69" t="inlineStr">
        <is>
          <t>MF</t>
        </is>
      </c>
      <c r="AK589" s="69" t="inlineStr">
        <is>
          <t>Student</t>
        </is>
      </c>
      <c r="AL589" s="68" t="n">
        <v>1</v>
      </c>
      <c r="AM589" s="68" t="n">
        <v>454</v>
      </c>
      <c r="AN589" s="68" t="n"/>
      <c r="AO589" s="69" t="inlineStr">
        <is>
          <t>1927 / 1929</t>
        </is>
      </c>
      <c r="AP589" s="70" t="n">
        <v>2007</v>
      </c>
      <c r="AQ589" s="74" t="n">
        <v>1.33</v>
      </c>
      <c r="AR589" s="74" t="n">
        <v>1.16</v>
      </c>
      <c r="AS589" s="74" t="n">
        <v>63.2</v>
      </c>
      <c r="AT589" s="74" t="n">
        <v>59.89</v>
      </c>
      <c r="AU589" s="74" t="n">
        <v>56.6</v>
      </c>
      <c r="AV589" s="74" t="n">
        <v>9.079413819000001</v>
      </c>
      <c r="AW589" s="74" t="n">
        <v>6.739858917</v>
      </c>
      <c r="AX589" s="75" t="n">
        <v>79</v>
      </c>
      <c r="AY589" s="71" t="n">
        <v>71700000</v>
      </c>
      <c r="AZ589" s="71" t="n">
        <v>70200000</v>
      </c>
      <c r="BA589" s="71" t="n">
        <v>4112974.46</v>
      </c>
      <c r="BB589" s="71" t="n">
        <v>898370.29</v>
      </c>
      <c r="BC589" s="69" t="inlineStr">
        <is>
          <t>Acquisition</t>
        </is>
      </c>
      <c r="BD589" s="69" t="inlineStr">
        <is>
          <t>N</t>
        </is>
      </c>
      <c r="BE589" s="71" t="n"/>
      <c r="BF589" s="71" t="n"/>
      <c r="BG589" s="71" t="n"/>
      <c r="BH589" s="71" t="n">
        <v>0</v>
      </c>
      <c r="BI589" s="71" t="n">
        <v>1030975.86</v>
      </c>
      <c r="BJ589" s="69" t="inlineStr">
        <is>
          <t>Y</t>
        </is>
      </c>
      <c r="BK589" s="69" t="n"/>
      <c r="BL589" s="75" t="n"/>
      <c r="BM589" s="73" t="n"/>
      <c r="BN589" s="69" t="inlineStr">
        <is>
          <t>Brian Nelson</t>
        </is>
      </c>
      <c r="BO589" s="69" t="n"/>
      <c r="BP589" s="69" t="inlineStr">
        <is>
          <t>Midland Loan Services</t>
        </is>
      </c>
      <c r="BQ589" s="69" t="inlineStr">
        <is>
          <t>Midland Loan Services</t>
        </is>
      </c>
      <c r="BR589" s="69" t="n"/>
      <c r="BS589" s="73" t="n">
        <v>46276</v>
      </c>
      <c r="BU589" s="76">
        <f>IF($C589="","",IFERROR(INDEX(dmName,MATCH($C589,dmID,0)),"Unmapped"))</f>
        <v/>
      </c>
      <c r="BV589" s="76">
        <f>IF($C589="","",IFERROR(INDEX(dmEntity,MATCH($C589,dmID,0)),"Unmapped"))</f>
        <v/>
      </c>
      <c r="BW589" s="77">
        <f>IF($C589="","",IFERROR(INDEX(dmVintage,MATCH($C589,dmID,0)),""))</f>
        <v/>
      </c>
      <c r="BX589" s="78">
        <f>IFERROR(INDEX(dmInclude,MATCH($C589,dmID,0)),0)</f>
        <v/>
      </c>
      <c r="BY589" s="78">
        <f>IF(N($I589)&gt;0,1,0)</f>
        <v/>
      </c>
      <c r="BZ589" s="76">
        <f>IF($AJ589="","Other / Leased Fee",IFERROR(INDEX(mapPTGroup,MATCH(LEFT(TRIM($AJ589),2),mapPTCode,0)),"Other / Leased Fee"))</f>
        <v/>
      </c>
      <c r="CA589" s="76">
        <f>IF(TRIM($AF589&amp;"")="","NR",LEFT(TRIM($AF589),2))</f>
        <v/>
      </c>
      <c r="CB589" s="76">
        <f>IFERROR(LOOKUP(2,1/(LEFT(TRIM($AI589&amp;""),LEN(mapRegion))=mapRegion),mapRegion),"Not Reported")</f>
        <v/>
      </c>
      <c r="CC589" s="76">
        <f>IF($BY589=0,"",IF(TRIM($W589&amp;"")="REO","REO",IF(TRIM($W589&amp;"")="FC","Foreclosure",IF(TRIM($W589&amp;"")="90+","90+ Days Delinquent",IF(TRIM($W589&amp;"")="60","60 Days Delinquent",IF(TRIM($W589&amp;"")="30","30 Days Delinquent",IF($X589="Non-Performing Matured Balloon","Non-Performing Matured Balloon",IF(OR($X589="Late Payment But Less Than 30 Days Delinquent",LEFT($X589&amp;"",20)="Payment Not Received"),"Late / In Grace (&lt;30 Days)",IF($X589="Performing Matured Balloon","Performing Matured Balloon","Current")))))))))</f>
        <v/>
      </c>
      <c r="CD589" s="78">
        <f>IF(OR($CC589="REO",$CC589="Foreclosure",$CC589="90+ Days Delinquent",$CC589="60 Days Delinquent",$CC589="30 Days Delinquent",$CC589="Non-Performing Matured Balloon"),1,0)</f>
        <v/>
      </c>
      <c r="CE589" s="76">
        <f>IF($AB589="Currently special serv","Currently Specially Serviced",IF($AB589="Returned to master serv","Previously Specially Serviced","Never Specially Serviced"))</f>
        <v/>
      </c>
      <c r="CF589" s="78">
        <f>IF($CE589="Currently Specially Serviced",1,0)</f>
        <v/>
      </c>
      <c r="CG589" s="76">
        <f>IF($AA589="Yes","Currently on Watchlist",IF($AA589="Previously","Previously on Watchlist","Never on Watchlist"))</f>
        <v/>
      </c>
      <c r="CH589" s="78">
        <f>IF($CG589="Currently on Watchlist",1,0)</f>
        <v/>
      </c>
      <c r="CI589" s="76">
        <f>IF($Z589="Full Defeasance","Fully Defeased",IF($Z589="Portion Of Loan Previously Defeased","Partially Defeased",IF($Z589="Defeasance Not Allowable","Not Defeased (Not Permitted)","Not Defeased")))</f>
        <v/>
      </c>
      <c r="CJ589" s="78">
        <f>IF($CI589="Fully Defeased",1,0)</f>
        <v/>
      </c>
      <c r="CK589" s="76">
        <f>IF($R589="IO","Full IO",IF(LEFT($R589&amp;"",7)="IO then","Partial IO","Amortizing"))</f>
        <v/>
      </c>
      <c r="CL589" s="78">
        <f>IF($CK589="Full IO",1,0)</f>
        <v/>
      </c>
      <c r="CM589" s="78">
        <f>IF($CK589="Partial IO",1,0)</f>
        <v/>
      </c>
      <c r="CN589" s="76">
        <f>IF(LEFT($F589&amp;"",10)="SPLIT_LOAN","Pari Passu Split","Standalone")</f>
        <v/>
      </c>
      <c r="CO589" s="78">
        <f>IF($CN589="Pari Passu Split",1,0)</f>
        <v/>
      </c>
      <c r="CP589" s="77">
        <f>IF(ISNUMBER($T589),YEAR($T589),"")</f>
        <v/>
      </c>
      <c r="CQ589" s="79">
        <f>IF(ISNUMBER($V589),$V589,IF(ISNUMBER($U589),$U589,""))</f>
        <v/>
      </c>
      <c r="CR589" s="77">
        <f>IF(ISNUMBER($CQ589),YEAR($CQ589),"")</f>
        <v/>
      </c>
      <c r="CS589" s="78">
        <f>IF(ISNUMBER($M589),MAX(0,$M589),IF(TRIM($M589&amp;"")="matured",0,""))</f>
        <v/>
      </c>
      <c r="CT589" s="78">
        <f>IF(AND(ISNUMBER($CS589),N($CS589)&lt;=mMatWindow),1,0)</f>
        <v/>
      </c>
      <c r="CU589" s="80">
        <f>IF(ISNUMBER($J589),$J589/100,"")</f>
        <v/>
      </c>
      <c r="CV589" s="81">
        <f>IF(ISNUMBER($AQ589),$AQ589,"")</f>
        <v/>
      </c>
      <c r="CW589" s="81">
        <f>IF(ISNUMBER($AR589),$AR589,"")</f>
        <v/>
      </c>
      <c r="CX589" s="82">
        <f>IF(ISNUMBER($AS589),$AS589/100,"")</f>
        <v/>
      </c>
      <c r="CY589" s="82">
        <f>IF(ISNUMBER($AT589),$AT589/100,"")</f>
        <v/>
      </c>
      <c r="CZ589" s="82">
        <f>IF(ISNUMBER($AU589),$AU589/100,"")</f>
        <v/>
      </c>
      <c r="DA589" s="82">
        <f>IF(ISNUMBER($AV589),$AV589/100,"")</f>
        <v/>
      </c>
      <c r="DB589" s="82">
        <f>IF(ISNUMBER($AW589),$AW589/100,"")</f>
        <v/>
      </c>
      <c r="DC589" s="82">
        <f>IF(ISNUMBER($AX589),$AX589/100,"")</f>
        <v/>
      </c>
      <c r="DD589" s="77">
        <f>IFERROR(VALUE(LEFT(TRIM($AO589&amp;""),4)),"")</f>
        <v/>
      </c>
      <c r="DE589" s="78">
        <f>IF(AND($BY589=1,$BX589=1,OR(fDeal="All Deals",$BU589=fDeal),OR(fEntity="All Entities",$BV589=fEntity),OR(fPType="All Property Types",$BZ589=fPType),OR(fDefeased="Include",$CJ589=0)),1,0)</f>
        <v/>
      </c>
      <c r="DF589" s="83">
        <f>$DE589*N($I589)</f>
        <v/>
      </c>
      <c r="DG589" s="78">
        <f>IF($DE589=1,IF(COUNTIFS($F$8:$F589,$F589,$DE$8:$DE589,1)=1,1,0),0)</f>
        <v/>
      </c>
      <c r="DH589" s="83">
        <f>IF($DG589=1,SUMIFS($DF$8:$DF$1600,$F$8:$F$1600,$F589),0)</f>
        <v/>
      </c>
      <c r="DI589" s="78">
        <f>IF($DG589=1,COUNTIFS($F$8:$F$1600,$F589,$DE$8:$DE$1600,1),0)</f>
        <v/>
      </c>
      <c r="DJ589" s="84">
        <f>IF($DG589=1,$DH589+(100000-ROW())/mTieBreak,0)</f>
        <v/>
      </c>
    </row>
    <row r="590">
      <c r="B590" s="68" t="n">
        <v>3</v>
      </c>
      <c r="C590" s="69" t="inlineStr">
        <is>
          <t>UBS18C13</t>
        </is>
      </c>
      <c r="D590" s="69" t="inlineStr">
        <is>
          <t>3.000</t>
        </is>
      </c>
      <c r="E590" s="69" t="inlineStr">
        <is>
          <t>Lower Makefield Corporate Center - South</t>
        </is>
      </c>
      <c r="F590" s="69" t="inlineStr">
        <is>
          <t>LNUBS18C13-3.000</t>
        </is>
      </c>
      <c r="G590" s="70" t="n"/>
      <c r="H590" s="71" t="n">
        <v>33750000</v>
      </c>
      <c r="I590" s="71" t="n">
        <v>32196936.74999625</v>
      </c>
      <c r="J590" s="72" t="n">
        <v>4.79</v>
      </c>
      <c r="K590" s="69" t="inlineStr">
        <is>
          <t>Fixed rate</t>
        </is>
      </c>
      <c r="L590" s="68" t="n">
        <v>120</v>
      </c>
      <c r="M590" s="68" t="n">
        <v>24</v>
      </c>
      <c r="N590" s="68" t="n">
        <v>420</v>
      </c>
      <c r="O590" s="68" t="n">
        <v>60</v>
      </c>
      <c r="P590" s="68" t="n">
        <v>0</v>
      </c>
      <c r="Q590" s="68" t="n">
        <v>96</v>
      </c>
      <c r="R590" s="69" t="inlineStr">
        <is>
          <t>IO then Amort</t>
        </is>
      </c>
      <c r="S590" s="69" t="inlineStr">
        <is>
          <t>No</t>
        </is>
      </c>
      <c r="T590" s="73" t="n">
        <v>43344</v>
      </c>
      <c r="U590" s="73" t="n">
        <v>47002</v>
      </c>
      <c r="V590" s="73" t="n"/>
      <c r="W590" s="69" t="n"/>
      <c r="X590" s="69" t="inlineStr">
        <is>
          <t>Current</t>
        </is>
      </c>
      <c r="Y590" s="68" t="n"/>
      <c r="Z590" s="69" t="inlineStr">
        <is>
          <t>Full Defeasance</t>
        </is>
      </c>
      <c r="AA590" s="69" t="n"/>
      <c r="AB590" s="69" t="inlineStr">
        <is>
          <t>Never special serv</t>
        </is>
      </c>
      <c r="AC590" s="73" t="n"/>
      <c r="AD590" s="69" t="n"/>
      <c r="AE590" s="69" t="n"/>
      <c r="AF590" s="69" t="inlineStr">
        <is>
          <t>PA</t>
        </is>
      </c>
      <c r="AG590" s="69" t="inlineStr">
        <is>
          <t>Lower Makefield Township</t>
        </is>
      </c>
      <c r="AH590" s="69" t="inlineStr">
        <is>
          <t>Philadelphia-Camden-Wilmington, PA-NJ-DE-MD</t>
        </is>
      </c>
      <c r="AI590" s="69" t="inlineStr">
        <is>
          <t>Northeast / Mid-Atlantic</t>
        </is>
      </c>
      <c r="AJ590" s="69" t="inlineStr">
        <is>
          <t>OF</t>
        </is>
      </c>
      <c r="AK590" s="69" t="inlineStr">
        <is>
          <t>Suburban</t>
        </is>
      </c>
      <c r="AL590" s="68" t="n">
        <v>1</v>
      </c>
      <c r="AM590" s="68" t="n"/>
      <c r="AN590" s="68" t="n">
        <v>276533</v>
      </c>
      <c r="AO590" s="69" t="inlineStr">
        <is>
          <t>2001 - 2006</t>
        </is>
      </c>
      <c r="AP590" s="70" t="n">
        <v>2018</v>
      </c>
      <c r="AQ590" s="74" t="n">
        <v>1.54</v>
      </c>
      <c r="AR590" s="74" t="n">
        <v>2.33</v>
      </c>
      <c r="AS590" s="74" t="n">
        <v>66.2</v>
      </c>
      <c r="AT590" s="74" t="n">
        <v>63.13</v>
      </c>
      <c r="AU590" s="74" t="n">
        <v>60.8</v>
      </c>
      <c r="AV590" s="74" t="n">
        <v>9.710041480999999</v>
      </c>
      <c r="AW590" s="74" t="n">
        <v>11.854189638</v>
      </c>
      <c r="AX590" s="75" t="n">
        <v>91</v>
      </c>
      <c r="AY590" s="71" t="n">
        <v>51000000</v>
      </c>
      <c r="AZ590" s="71" t="n">
        <v>51000000</v>
      </c>
      <c r="BA590" s="71" t="n">
        <v>3277139</v>
      </c>
      <c r="BB590" s="71" t="n">
        <v>3812807.65</v>
      </c>
      <c r="BC590" s="69" t="inlineStr">
        <is>
          <t>Acquisition</t>
        </is>
      </c>
      <c r="BD590" s="69" t="inlineStr">
        <is>
          <t>N</t>
        </is>
      </c>
      <c r="BE590" s="71" t="n"/>
      <c r="BF590" s="71" t="n"/>
      <c r="BG590" s="71" t="n"/>
      <c r="BH590" s="71" t="n">
        <v>0</v>
      </c>
      <c r="BI590" s="71" t="n">
        <v>0</v>
      </c>
      <c r="BJ590" s="69" t="inlineStr">
        <is>
          <t>N</t>
        </is>
      </c>
      <c r="BK590" s="69" t="inlineStr">
        <is>
          <t>Crown Cork &amp; Seal USA Inc</t>
        </is>
      </c>
      <c r="BL590" s="75" t="n">
        <v>20.34</v>
      </c>
      <c r="BM590" s="73" t="n">
        <v>47391</v>
      </c>
      <c r="BN590" s="69" t="inlineStr">
        <is>
          <t>Rubenstein Properties Fund III, L.P.</t>
        </is>
      </c>
      <c r="BO590" s="69" t="n"/>
      <c r="BP590" s="69" t="inlineStr">
        <is>
          <t>Midland Loan Services</t>
        </is>
      </c>
      <c r="BQ590" s="69" t="inlineStr">
        <is>
          <t>Midland Loan Services</t>
        </is>
      </c>
      <c r="BR590" s="69" t="n"/>
      <c r="BS590" s="73" t="n">
        <v>46276</v>
      </c>
      <c r="BU590" s="76">
        <f>IF($C590="","",IFERROR(INDEX(dmName,MATCH($C590,dmID,0)),"Unmapped"))</f>
        <v/>
      </c>
      <c r="BV590" s="76">
        <f>IF($C590="","",IFERROR(INDEX(dmEntity,MATCH($C590,dmID,0)),"Unmapped"))</f>
        <v/>
      </c>
      <c r="BW590" s="77">
        <f>IF($C590="","",IFERROR(INDEX(dmVintage,MATCH($C590,dmID,0)),""))</f>
        <v/>
      </c>
      <c r="BX590" s="78">
        <f>IFERROR(INDEX(dmInclude,MATCH($C590,dmID,0)),0)</f>
        <v/>
      </c>
      <c r="BY590" s="78">
        <f>IF(N($I590)&gt;0,1,0)</f>
        <v/>
      </c>
      <c r="BZ590" s="76">
        <f>IF($AJ590="","Other / Leased Fee",IFERROR(INDEX(mapPTGroup,MATCH(LEFT(TRIM($AJ590),2),mapPTCode,0)),"Other / Leased Fee"))</f>
        <v/>
      </c>
      <c r="CA590" s="76">
        <f>IF(TRIM($AF590&amp;"")="","NR",LEFT(TRIM($AF590),2))</f>
        <v/>
      </c>
      <c r="CB590" s="76">
        <f>IFERROR(LOOKUP(2,1/(LEFT(TRIM($AI590&amp;""),LEN(mapRegion))=mapRegion),mapRegion),"Not Reported")</f>
        <v/>
      </c>
      <c r="CC590" s="76">
        <f>IF($BY590=0,"",IF(TRIM($W590&amp;"")="REO","REO",IF(TRIM($W590&amp;"")="FC","Foreclosure",IF(TRIM($W590&amp;"")="90+","90+ Days Delinquent",IF(TRIM($W590&amp;"")="60","60 Days Delinquent",IF(TRIM($W590&amp;"")="30","30 Days Delinquent",IF($X590="Non-Performing Matured Balloon","Non-Performing Matured Balloon",IF(OR($X590="Late Payment But Less Than 30 Days Delinquent",LEFT($X590&amp;"",20)="Payment Not Received"),"Late / In Grace (&lt;30 Days)",IF($X590="Performing Matured Balloon","Performing Matured Balloon","Current")))))))))</f>
        <v/>
      </c>
      <c r="CD590" s="78">
        <f>IF(OR($CC590="REO",$CC590="Foreclosure",$CC590="90+ Days Delinquent",$CC590="60 Days Delinquent",$CC590="30 Days Delinquent",$CC590="Non-Performing Matured Balloon"),1,0)</f>
        <v/>
      </c>
      <c r="CE590" s="76">
        <f>IF($AB590="Currently special serv","Currently Specially Serviced",IF($AB590="Returned to master serv","Previously Specially Serviced","Never Specially Serviced"))</f>
        <v/>
      </c>
      <c r="CF590" s="78">
        <f>IF($CE590="Currently Specially Serviced",1,0)</f>
        <v/>
      </c>
      <c r="CG590" s="76">
        <f>IF($AA590="Yes","Currently on Watchlist",IF($AA590="Previously","Previously on Watchlist","Never on Watchlist"))</f>
        <v/>
      </c>
      <c r="CH590" s="78">
        <f>IF($CG590="Currently on Watchlist",1,0)</f>
        <v/>
      </c>
      <c r="CI590" s="76">
        <f>IF($Z590="Full Defeasance","Fully Defeased",IF($Z590="Portion Of Loan Previously Defeased","Partially Defeased",IF($Z590="Defeasance Not Allowable","Not Defeased (Not Permitted)","Not Defeased")))</f>
        <v/>
      </c>
      <c r="CJ590" s="78">
        <f>IF($CI590="Fully Defeased",1,0)</f>
        <v/>
      </c>
      <c r="CK590" s="76">
        <f>IF($R590="IO","Full IO",IF(LEFT($R590&amp;"",7)="IO then","Partial IO","Amortizing"))</f>
        <v/>
      </c>
      <c r="CL590" s="78">
        <f>IF($CK590="Full IO",1,0)</f>
        <v/>
      </c>
      <c r="CM590" s="78">
        <f>IF($CK590="Partial IO",1,0)</f>
        <v/>
      </c>
      <c r="CN590" s="76">
        <f>IF(LEFT($F590&amp;"",10)="SPLIT_LOAN","Pari Passu Split","Standalone")</f>
        <v/>
      </c>
      <c r="CO590" s="78">
        <f>IF($CN590="Pari Passu Split",1,0)</f>
        <v/>
      </c>
      <c r="CP590" s="77">
        <f>IF(ISNUMBER($T590),YEAR($T590),"")</f>
        <v/>
      </c>
      <c r="CQ590" s="79">
        <f>IF(ISNUMBER($V590),$V590,IF(ISNUMBER($U590),$U590,""))</f>
        <v/>
      </c>
      <c r="CR590" s="77">
        <f>IF(ISNUMBER($CQ590),YEAR($CQ590),"")</f>
        <v/>
      </c>
      <c r="CS590" s="78">
        <f>IF(ISNUMBER($M590),MAX(0,$M590),IF(TRIM($M590&amp;"")="matured",0,""))</f>
        <v/>
      </c>
      <c r="CT590" s="78">
        <f>IF(AND(ISNUMBER($CS590),N($CS590)&lt;=mMatWindow),1,0)</f>
        <v/>
      </c>
      <c r="CU590" s="80">
        <f>IF(ISNUMBER($J590),$J590/100,"")</f>
        <v/>
      </c>
      <c r="CV590" s="81">
        <f>IF(ISNUMBER($AQ590),$AQ590,"")</f>
        <v/>
      </c>
      <c r="CW590" s="81">
        <f>IF(ISNUMBER($AR590),$AR590,"")</f>
        <v/>
      </c>
      <c r="CX590" s="82">
        <f>IF(ISNUMBER($AS590),$AS590/100,"")</f>
        <v/>
      </c>
      <c r="CY590" s="82">
        <f>IF(ISNUMBER($AT590),$AT590/100,"")</f>
        <v/>
      </c>
      <c r="CZ590" s="82">
        <f>IF(ISNUMBER($AU590),$AU590/100,"")</f>
        <v/>
      </c>
      <c r="DA590" s="82">
        <f>IF(ISNUMBER($AV590),$AV590/100,"")</f>
        <v/>
      </c>
      <c r="DB590" s="82">
        <f>IF(ISNUMBER($AW590),$AW590/100,"")</f>
        <v/>
      </c>
      <c r="DC590" s="82">
        <f>IF(ISNUMBER($AX590),$AX590/100,"")</f>
        <v/>
      </c>
      <c r="DD590" s="77">
        <f>IFERROR(VALUE(LEFT(TRIM($AO590&amp;""),4)),"")</f>
        <v/>
      </c>
      <c r="DE590" s="78">
        <f>IF(AND($BY590=1,$BX590=1,OR(fDeal="All Deals",$BU590=fDeal),OR(fEntity="All Entities",$BV590=fEntity),OR(fPType="All Property Types",$BZ590=fPType),OR(fDefeased="Include",$CJ590=0)),1,0)</f>
        <v/>
      </c>
      <c r="DF590" s="83">
        <f>$DE590*N($I590)</f>
        <v/>
      </c>
      <c r="DG590" s="78">
        <f>IF($DE590=1,IF(COUNTIFS($F$8:$F590,$F590,$DE$8:$DE590,1)=1,1,0),0)</f>
        <v/>
      </c>
      <c r="DH590" s="83">
        <f>IF($DG590=1,SUMIFS($DF$8:$DF$1600,$F$8:$F$1600,$F590),0)</f>
        <v/>
      </c>
      <c r="DI590" s="78">
        <f>IF($DG590=1,COUNTIFS($F$8:$F$1600,$F590,$DE$8:$DE$1600,1),0)</f>
        <v/>
      </c>
      <c r="DJ590" s="84">
        <f>IF($DG590=1,$DH590+(100000-ROW())/mTieBreak,0)</f>
        <v/>
      </c>
    </row>
    <row r="591">
      <c r="B591" s="68" t="n">
        <v>4</v>
      </c>
      <c r="C591" s="69" t="inlineStr">
        <is>
          <t>UBS18C13</t>
        </is>
      </c>
      <c r="D591" s="69" t="inlineStr">
        <is>
          <t>4.TR</t>
        </is>
      </c>
      <c r="E591" s="69" t="inlineStr">
        <is>
          <t>Christiana Mall - Trust</t>
        </is>
      </c>
      <c r="F591" s="69" t="inlineStr">
        <is>
          <t>SPLIT_LOAN_01318</t>
        </is>
      </c>
      <c r="G591" s="70" t="n">
        <v>1318</v>
      </c>
      <c r="H591" s="71" t="n">
        <v>30000000</v>
      </c>
      <c r="I591" s="71" t="n">
        <v>30000000</v>
      </c>
      <c r="J591" s="72" t="n">
        <v>4.2775</v>
      </c>
      <c r="K591" s="69" t="inlineStr">
        <is>
          <t>Fixed rate</t>
        </is>
      </c>
      <c r="L591" s="68" t="n">
        <v>120</v>
      </c>
      <c r="M591" s="68" t="n">
        <v>23</v>
      </c>
      <c r="N591" s="68" t="n">
        <v>120</v>
      </c>
      <c r="O591" s="68" t="n">
        <v>120</v>
      </c>
      <c r="P591" s="68" t="n">
        <v>23</v>
      </c>
      <c r="Q591" s="68" t="n">
        <v>97</v>
      </c>
      <c r="R591" s="69" t="inlineStr">
        <is>
          <t>IO</t>
        </is>
      </c>
      <c r="S591" s="69" t="inlineStr">
        <is>
          <t>Yes</t>
        </is>
      </c>
      <c r="T591" s="73" t="n">
        <v>43313</v>
      </c>
      <c r="U591" s="73" t="n">
        <v>46966</v>
      </c>
      <c r="V591" s="73" t="n"/>
      <c r="W591" s="69" t="n"/>
      <c r="X591" s="69" t="inlineStr">
        <is>
          <t>Current</t>
        </is>
      </c>
      <c r="Y591" s="68" t="n"/>
      <c r="Z591" s="69" t="inlineStr">
        <is>
          <t>No Defeasance Occurred</t>
        </is>
      </c>
      <c r="AA591" s="69" t="inlineStr">
        <is>
          <t>Previously</t>
        </is>
      </c>
      <c r="AB591" s="69" t="inlineStr">
        <is>
          <t>Never special serv</t>
        </is>
      </c>
      <c r="AC591" s="73" t="n"/>
      <c r="AD591" s="69" t="n"/>
      <c r="AE591" s="69" t="n"/>
      <c r="AF591" s="69" t="inlineStr">
        <is>
          <t>DE</t>
        </is>
      </c>
      <c r="AG591" s="69" t="inlineStr">
        <is>
          <t>Newark</t>
        </is>
      </c>
      <c r="AH591" s="69" t="inlineStr">
        <is>
          <t>Philadelphia-Camden-Wilmington, PA-NJ-DE-MD</t>
        </is>
      </c>
      <c r="AI591" s="69" t="inlineStr">
        <is>
          <t>Northeast / Mid-Atlantic</t>
        </is>
      </c>
      <c r="AJ591" s="69" t="inlineStr">
        <is>
          <t>RT</t>
        </is>
      </c>
      <c r="AK591" s="69" t="inlineStr">
        <is>
          <t>Super Regional Mall</t>
        </is>
      </c>
      <c r="AL591" s="68" t="n">
        <v>1</v>
      </c>
      <c r="AM591" s="68" t="n"/>
      <c r="AN591" s="68" t="n">
        <v>779084</v>
      </c>
      <c r="AO591" s="69" t="inlineStr">
        <is>
          <t>1978</t>
        </is>
      </c>
      <c r="AP591" s="70" t="n">
        <v>2014</v>
      </c>
      <c r="AQ591" s="74" t="n">
        <v>3.15</v>
      </c>
      <c r="AR591" s="74" t="n">
        <v>2.83</v>
      </c>
      <c r="AS591" s="74" t="n">
        <v>32.5</v>
      </c>
      <c r="AT591" s="74" t="n">
        <v>32.5</v>
      </c>
      <c r="AU591" s="74" t="n">
        <v>32.5</v>
      </c>
      <c r="AV591" s="74" t="n">
        <v>13.64040355</v>
      </c>
      <c r="AW591" s="74" t="n">
        <v>12.305089435</v>
      </c>
      <c r="AX591" s="75" t="n">
        <v>96</v>
      </c>
      <c r="AY591" s="71" t="n">
        <v>1040000000</v>
      </c>
      <c r="AZ591" s="71" t="n">
        <v>1040000000</v>
      </c>
      <c r="BA591" s="71" t="n">
        <v>46104564</v>
      </c>
      <c r="BB591" s="71" t="n">
        <v>41591202.29</v>
      </c>
      <c r="BC591" s="69" t="inlineStr">
        <is>
          <t>Refinance</t>
        </is>
      </c>
      <c r="BD591" s="69" t="inlineStr">
        <is>
          <t>N</t>
        </is>
      </c>
      <c r="BE591" s="71" t="n">
        <v>308000000</v>
      </c>
      <c r="BF591" s="71" t="n">
        <v>212000000</v>
      </c>
      <c r="BG591" s="71" t="n"/>
      <c r="BH591" s="71" t="n">
        <v>0</v>
      </c>
      <c r="BI591" s="71" t="n">
        <v>0</v>
      </c>
      <c r="BJ591" s="69" t="inlineStr">
        <is>
          <t>N</t>
        </is>
      </c>
      <c r="BK591" s="69" t="inlineStr">
        <is>
          <t>MACYS Non Collateral Tenant 215000 SF</t>
        </is>
      </c>
      <c r="BL591" s="75" t="n">
        <v>16.96</v>
      </c>
      <c r="BM591" s="73" t="n">
        <v>47118</v>
      </c>
      <c r="BN591" s="69" t="inlineStr">
        <is>
          <t>GGP Inc.; PPF Retail, LLC</t>
        </is>
      </c>
      <c r="BO591" s="69" t="n"/>
      <c r="BP591" s="69" t="inlineStr">
        <is>
          <t>Midland Loan Services</t>
        </is>
      </c>
      <c r="BQ591" s="69" t="inlineStr">
        <is>
          <t>Wells Fargo</t>
        </is>
      </c>
      <c r="BR591" s="69" t="n"/>
      <c r="BS591" s="73" t="n">
        <v>46276</v>
      </c>
      <c r="BU591" s="76">
        <f>IF($C591="","",IFERROR(INDEX(dmName,MATCH($C591,dmID,0)),"Unmapped"))</f>
        <v/>
      </c>
      <c r="BV591" s="76">
        <f>IF($C591="","",IFERROR(INDEX(dmEntity,MATCH($C591,dmID,0)),"Unmapped"))</f>
        <v/>
      </c>
      <c r="BW591" s="77">
        <f>IF($C591="","",IFERROR(INDEX(dmVintage,MATCH($C591,dmID,0)),""))</f>
        <v/>
      </c>
      <c r="BX591" s="78">
        <f>IFERROR(INDEX(dmInclude,MATCH($C591,dmID,0)),0)</f>
        <v/>
      </c>
      <c r="BY591" s="78">
        <f>IF(N($I591)&gt;0,1,0)</f>
        <v/>
      </c>
      <c r="BZ591" s="76">
        <f>IF($AJ591="","Other / Leased Fee",IFERROR(INDEX(mapPTGroup,MATCH(LEFT(TRIM($AJ591),2),mapPTCode,0)),"Other / Leased Fee"))</f>
        <v/>
      </c>
      <c r="CA591" s="76">
        <f>IF(TRIM($AF591&amp;"")="","NR",LEFT(TRIM($AF591),2))</f>
        <v/>
      </c>
      <c r="CB591" s="76">
        <f>IFERROR(LOOKUP(2,1/(LEFT(TRIM($AI591&amp;""),LEN(mapRegion))=mapRegion),mapRegion),"Not Reported")</f>
        <v/>
      </c>
      <c r="CC591" s="76">
        <f>IF($BY591=0,"",IF(TRIM($W591&amp;"")="REO","REO",IF(TRIM($W591&amp;"")="FC","Foreclosure",IF(TRIM($W591&amp;"")="90+","90+ Days Delinquent",IF(TRIM($W591&amp;"")="60","60 Days Delinquent",IF(TRIM($W591&amp;"")="30","30 Days Delinquent",IF($X591="Non-Performing Matured Balloon","Non-Performing Matured Balloon",IF(OR($X591="Late Payment But Less Than 30 Days Delinquent",LEFT($X591&amp;"",20)="Payment Not Received"),"Late / In Grace (&lt;30 Days)",IF($X591="Performing Matured Balloon","Performing Matured Balloon","Current")))))))))</f>
        <v/>
      </c>
      <c r="CD591" s="78">
        <f>IF(OR($CC591="REO",$CC591="Foreclosure",$CC591="90+ Days Delinquent",$CC591="60 Days Delinquent",$CC591="30 Days Delinquent",$CC591="Non-Performing Matured Balloon"),1,0)</f>
        <v/>
      </c>
      <c r="CE591" s="76">
        <f>IF($AB591="Currently special serv","Currently Specially Serviced",IF($AB591="Returned to master serv","Previously Specially Serviced","Never Specially Serviced"))</f>
        <v/>
      </c>
      <c r="CF591" s="78">
        <f>IF($CE591="Currently Specially Serviced",1,0)</f>
        <v/>
      </c>
      <c r="CG591" s="76">
        <f>IF($AA591="Yes","Currently on Watchlist",IF($AA591="Previously","Previously on Watchlist","Never on Watchlist"))</f>
        <v/>
      </c>
      <c r="CH591" s="78">
        <f>IF($CG591="Currently on Watchlist",1,0)</f>
        <v/>
      </c>
      <c r="CI591" s="76">
        <f>IF($Z591="Full Defeasance","Fully Defeased",IF($Z591="Portion Of Loan Previously Defeased","Partially Defeased",IF($Z591="Defeasance Not Allowable","Not Defeased (Not Permitted)","Not Defeased")))</f>
        <v/>
      </c>
      <c r="CJ591" s="78">
        <f>IF($CI591="Fully Defeased",1,0)</f>
        <v/>
      </c>
      <c r="CK591" s="76">
        <f>IF($R591="IO","Full IO",IF(LEFT($R591&amp;"",7)="IO then","Partial IO","Amortizing"))</f>
        <v/>
      </c>
      <c r="CL591" s="78">
        <f>IF($CK591="Full IO",1,0)</f>
        <v/>
      </c>
      <c r="CM591" s="78">
        <f>IF($CK591="Partial IO",1,0)</f>
        <v/>
      </c>
      <c r="CN591" s="76">
        <f>IF(LEFT($F591&amp;"",10)="SPLIT_LOAN","Pari Passu Split","Standalone")</f>
        <v/>
      </c>
      <c r="CO591" s="78">
        <f>IF($CN591="Pari Passu Split",1,0)</f>
        <v/>
      </c>
      <c r="CP591" s="77">
        <f>IF(ISNUMBER($T591),YEAR($T591),"")</f>
        <v/>
      </c>
      <c r="CQ591" s="79">
        <f>IF(ISNUMBER($V591),$V591,IF(ISNUMBER($U591),$U591,""))</f>
        <v/>
      </c>
      <c r="CR591" s="77">
        <f>IF(ISNUMBER($CQ591),YEAR($CQ591),"")</f>
        <v/>
      </c>
      <c r="CS591" s="78">
        <f>IF(ISNUMBER($M591),MAX(0,$M591),IF(TRIM($M591&amp;"")="matured",0,""))</f>
        <v/>
      </c>
      <c r="CT591" s="78">
        <f>IF(AND(ISNUMBER($CS591),N($CS591)&lt;=mMatWindow),1,0)</f>
        <v/>
      </c>
      <c r="CU591" s="80">
        <f>IF(ISNUMBER($J591),$J591/100,"")</f>
        <v/>
      </c>
      <c r="CV591" s="81">
        <f>IF(ISNUMBER($AQ591),$AQ591,"")</f>
        <v/>
      </c>
      <c r="CW591" s="81">
        <f>IF(ISNUMBER($AR591),$AR591,"")</f>
        <v/>
      </c>
      <c r="CX591" s="82">
        <f>IF(ISNUMBER($AS591),$AS591/100,"")</f>
        <v/>
      </c>
      <c r="CY591" s="82">
        <f>IF(ISNUMBER($AT591),$AT591/100,"")</f>
        <v/>
      </c>
      <c r="CZ591" s="82">
        <f>IF(ISNUMBER($AU591),$AU591/100,"")</f>
        <v/>
      </c>
      <c r="DA591" s="82">
        <f>IF(ISNUMBER($AV591),$AV591/100,"")</f>
        <v/>
      </c>
      <c r="DB591" s="82">
        <f>IF(ISNUMBER($AW591),$AW591/100,"")</f>
        <v/>
      </c>
      <c r="DC591" s="82">
        <f>IF(ISNUMBER($AX591),$AX591/100,"")</f>
        <v/>
      </c>
      <c r="DD591" s="77">
        <f>IFERROR(VALUE(LEFT(TRIM($AO591&amp;""),4)),"")</f>
        <v/>
      </c>
      <c r="DE591" s="78">
        <f>IF(AND($BY591=1,$BX591=1,OR(fDeal="All Deals",$BU591=fDeal),OR(fEntity="All Entities",$BV591=fEntity),OR(fPType="All Property Types",$BZ591=fPType),OR(fDefeased="Include",$CJ591=0)),1,0)</f>
        <v/>
      </c>
      <c r="DF591" s="83">
        <f>$DE591*N($I591)</f>
        <v/>
      </c>
      <c r="DG591" s="78">
        <f>IF($DE591=1,IF(COUNTIFS($F$8:$F591,$F591,$DE$8:$DE591,1)=1,1,0),0)</f>
        <v/>
      </c>
      <c r="DH591" s="83">
        <f>IF($DG591=1,SUMIFS($DF$8:$DF$1600,$F$8:$F$1600,$F591),0)</f>
        <v/>
      </c>
      <c r="DI591" s="78">
        <f>IF($DG591=1,COUNTIFS($F$8:$F$1600,$F591,$DE$8:$DE$1600,1),0)</f>
        <v/>
      </c>
      <c r="DJ591" s="84">
        <f>IF($DG591=1,$DH591+(100000-ROW())/mTieBreak,0)</f>
        <v/>
      </c>
    </row>
    <row r="592">
      <c r="B592" s="68" t="n">
        <v>5</v>
      </c>
      <c r="C592" s="69" t="inlineStr">
        <is>
          <t>UBS18C13</t>
        </is>
      </c>
      <c r="D592" s="69" t="inlineStr">
        <is>
          <t>5.000</t>
        </is>
      </c>
      <c r="E592" s="69" t="inlineStr">
        <is>
          <t>Wyvernwood Apartments</t>
        </is>
      </c>
      <c r="F592" s="69" t="inlineStr">
        <is>
          <t>SPLIT_LOAN_01330</t>
        </is>
      </c>
      <c r="G592" s="70" t="n">
        <v>1330</v>
      </c>
      <c r="H592" s="71" t="n">
        <v>28000000</v>
      </c>
      <c r="I592" s="71" t="n">
        <v>0</v>
      </c>
      <c r="J592" s="72" t="n">
        <v>3.6728</v>
      </c>
      <c r="K592" s="69" t="inlineStr">
        <is>
          <t>Fixed rate</t>
        </is>
      </c>
      <c r="L592" s="68" t="n">
        <v>60</v>
      </c>
      <c r="M592" s="68" t="n"/>
      <c r="N592" s="68" t="n">
        <v>60</v>
      </c>
      <c r="O592" s="68" t="n">
        <v>60</v>
      </c>
      <c r="P592" s="68" t="n"/>
      <c r="Q592" s="68" t="n"/>
      <c r="R592" s="69" t="inlineStr">
        <is>
          <t>IO</t>
        </is>
      </c>
      <c r="S592" s="69" t="inlineStr">
        <is>
          <t>Yes</t>
        </is>
      </c>
      <c r="T592" s="73" t="n">
        <v>43313</v>
      </c>
      <c r="U592" s="73" t="n">
        <v>45113</v>
      </c>
      <c r="V592" s="73" t="n"/>
      <c r="W592" s="69" t="n"/>
      <c r="X592" s="69" t="inlineStr">
        <is>
          <t>Current</t>
        </is>
      </c>
      <c r="Y592" s="68" t="n"/>
      <c r="Z592" s="69" t="inlineStr">
        <is>
          <t>Defeasance Not Allowable</t>
        </is>
      </c>
      <c r="AA592" s="69" t="inlineStr">
        <is>
          <t>Previously</t>
        </is>
      </c>
      <c r="AB592" s="69" t="inlineStr">
        <is>
          <t>Never special serv</t>
        </is>
      </c>
      <c r="AC592" s="73" t="n"/>
      <c r="AD592" s="69" t="n"/>
      <c r="AE592" s="69" t="n"/>
      <c r="AF592" s="69" t="inlineStr">
        <is>
          <t>CA</t>
        </is>
      </c>
      <c r="AG592" s="69" t="inlineStr">
        <is>
          <t>Los Angeles</t>
        </is>
      </c>
      <c r="AH592" s="69" t="inlineStr">
        <is>
          <t>Los Angeles-Long Beach-Anaheim, CA</t>
        </is>
      </c>
      <c r="AI592" s="69" t="inlineStr">
        <is>
          <t>West / Pacific South</t>
        </is>
      </c>
      <c r="AJ592" s="69" t="inlineStr">
        <is>
          <t>MF</t>
        </is>
      </c>
      <c r="AK592" s="69" t="inlineStr">
        <is>
          <t>Garden</t>
        </is>
      </c>
      <c r="AL592" s="68" t="n">
        <v>1</v>
      </c>
      <c r="AM592" s="68" t="n">
        <v>1175</v>
      </c>
      <c r="AN592" s="68" t="n"/>
      <c r="AO592" s="69" t="inlineStr">
        <is>
          <t>1939</t>
        </is>
      </c>
      <c r="AP592" s="70" t="n">
        <v>2000</v>
      </c>
      <c r="AQ592" s="74" t="n">
        <v>3.55</v>
      </c>
      <c r="AR592" s="74" t="n">
        <v>3.8</v>
      </c>
      <c r="AS592" s="74" t="n">
        <v>38</v>
      </c>
      <c r="AT592" s="74" t="n"/>
      <c r="AU592" s="74" t="n">
        <v>38</v>
      </c>
      <c r="AV592" s="74" t="n">
        <v>13.213765</v>
      </c>
      <c r="AW592" s="74" t="n"/>
      <c r="AX592" s="75" t="n">
        <v>99</v>
      </c>
      <c r="AY592" s="71" t="n">
        <v>205000000</v>
      </c>
      <c r="AZ592" s="71" t="n">
        <v>205000000</v>
      </c>
      <c r="BA592" s="71" t="n">
        <v>10306736.7</v>
      </c>
      <c r="BB592" s="71" t="n">
        <v>11037221.9</v>
      </c>
      <c r="BC592" s="69" t="inlineStr">
        <is>
          <t>Refinance</t>
        </is>
      </c>
      <c r="BD592" s="69" t="inlineStr">
        <is>
          <t>N</t>
        </is>
      </c>
      <c r="BE592" s="71" t="n">
        <v>0</v>
      </c>
      <c r="BF592" s="71" t="n"/>
      <c r="BG592" s="71" t="n">
        <v>77000000</v>
      </c>
      <c r="BH592" s="71" t="n">
        <v>0</v>
      </c>
      <c r="BI592" s="71" t="n">
        <v>0</v>
      </c>
      <c r="BJ592" s="69" t="inlineStr">
        <is>
          <t>N</t>
        </is>
      </c>
      <c r="BK592" s="69" t="n"/>
      <c r="BL592" s="75" t="n"/>
      <c r="BM592" s="73" t="n"/>
      <c r="BN592" s="69" t="inlineStr">
        <is>
          <t>Mark Sanders</t>
        </is>
      </c>
      <c r="BO592" s="69" t="n"/>
      <c r="BP592" s="69" t="inlineStr">
        <is>
          <t>Midland Loan Services</t>
        </is>
      </c>
      <c r="BQ592" s="69" t="inlineStr">
        <is>
          <t>K-Star Asset Management LLC</t>
        </is>
      </c>
      <c r="BR592" s="69" t="inlineStr">
        <is>
          <t>Full Payoff At Maturity</t>
        </is>
      </c>
      <c r="BS592" s="73" t="n">
        <v>45118</v>
      </c>
      <c r="BU592" s="76">
        <f>IF($C592="","",IFERROR(INDEX(dmName,MATCH($C592,dmID,0)),"Unmapped"))</f>
        <v/>
      </c>
      <c r="BV592" s="76">
        <f>IF($C592="","",IFERROR(INDEX(dmEntity,MATCH($C592,dmID,0)),"Unmapped"))</f>
        <v/>
      </c>
      <c r="BW592" s="77">
        <f>IF($C592="","",IFERROR(INDEX(dmVintage,MATCH($C592,dmID,0)),""))</f>
        <v/>
      </c>
      <c r="BX592" s="78">
        <f>IFERROR(INDEX(dmInclude,MATCH($C592,dmID,0)),0)</f>
        <v/>
      </c>
      <c r="BY592" s="78">
        <f>IF(N($I592)&gt;0,1,0)</f>
        <v/>
      </c>
      <c r="BZ592" s="76">
        <f>IF($AJ592="","Other / Leased Fee",IFERROR(INDEX(mapPTGroup,MATCH(LEFT(TRIM($AJ592),2),mapPTCode,0)),"Other / Leased Fee"))</f>
        <v/>
      </c>
      <c r="CA592" s="76">
        <f>IF(TRIM($AF592&amp;"")="","NR",LEFT(TRIM($AF592),2))</f>
        <v/>
      </c>
      <c r="CB592" s="76">
        <f>IFERROR(LOOKUP(2,1/(LEFT(TRIM($AI592&amp;""),LEN(mapRegion))=mapRegion),mapRegion),"Not Reported")</f>
        <v/>
      </c>
      <c r="CC592" s="76">
        <f>IF($BY592=0,"",IF(TRIM($W592&amp;"")="REO","REO",IF(TRIM($W592&amp;"")="FC","Foreclosure",IF(TRIM($W592&amp;"")="90+","90+ Days Delinquent",IF(TRIM($W592&amp;"")="60","60 Days Delinquent",IF(TRIM($W592&amp;"")="30","30 Days Delinquent",IF($X592="Non-Performing Matured Balloon","Non-Performing Matured Balloon",IF(OR($X592="Late Payment But Less Than 30 Days Delinquent",LEFT($X592&amp;"",20)="Payment Not Received"),"Late / In Grace (&lt;30 Days)",IF($X592="Performing Matured Balloon","Performing Matured Balloon","Current")))))))))</f>
        <v/>
      </c>
      <c r="CD592" s="78">
        <f>IF(OR($CC592="REO",$CC592="Foreclosure",$CC592="90+ Days Delinquent",$CC592="60 Days Delinquent",$CC592="30 Days Delinquent",$CC592="Non-Performing Matured Balloon"),1,0)</f>
        <v/>
      </c>
      <c r="CE592" s="76">
        <f>IF($AB592="Currently special serv","Currently Specially Serviced",IF($AB592="Returned to master serv","Previously Specially Serviced","Never Specially Serviced"))</f>
        <v/>
      </c>
      <c r="CF592" s="78">
        <f>IF($CE592="Currently Specially Serviced",1,0)</f>
        <v/>
      </c>
      <c r="CG592" s="76">
        <f>IF($AA592="Yes","Currently on Watchlist",IF($AA592="Previously","Previously on Watchlist","Never on Watchlist"))</f>
        <v/>
      </c>
      <c r="CH592" s="78">
        <f>IF($CG592="Currently on Watchlist",1,0)</f>
        <v/>
      </c>
      <c r="CI592" s="76">
        <f>IF($Z592="Full Defeasance","Fully Defeased",IF($Z592="Portion Of Loan Previously Defeased","Partially Defeased",IF($Z592="Defeasance Not Allowable","Not Defeased (Not Permitted)","Not Defeased")))</f>
        <v/>
      </c>
      <c r="CJ592" s="78">
        <f>IF($CI592="Fully Defeased",1,0)</f>
        <v/>
      </c>
      <c r="CK592" s="76">
        <f>IF($R592="IO","Full IO",IF(LEFT($R592&amp;"",7)="IO then","Partial IO","Amortizing"))</f>
        <v/>
      </c>
      <c r="CL592" s="78">
        <f>IF($CK592="Full IO",1,0)</f>
        <v/>
      </c>
      <c r="CM592" s="78">
        <f>IF($CK592="Partial IO",1,0)</f>
        <v/>
      </c>
      <c r="CN592" s="76">
        <f>IF(LEFT($F592&amp;"",10)="SPLIT_LOAN","Pari Passu Split","Standalone")</f>
        <v/>
      </c>
      <c r="CO592" s="78">
        <f>IF($CN592="Pari Passu Split",1,0)</f>
        <v/>
      </c>
      <c r="CP592" s="77">
        <f>IF(ISNUMBER($T592),YEAR($T592),"")</f>
        <v/>
      </c>
      <c r="CQ592" s="79">
        <f>IF(ISNUMBER($V592),$V592,IF(ISNUMBER($U592),$U592,""))</f>
        <v/>
      </c>
      <c r="CR592" s="77">
        <f>IF(ISNUMBER($CQ592),YEAR($CQ592),"")</f>
        <v/>
      </c>
      <c r="CS592" s="78">
        <f>IF(ISNUMBER($M592),MAX(0,$M592),IF(TRIM($M592&amp;"")="matured",0,""))</f>
        <v/>
      </c>
      <c r="CT592" s="78">
        <f>IF(AND(ISNUMBER($CS592),N($CS592)&lt;=mMatWindow),1,0)</f>
        <v/>
      </c>
      <c r="CU592" s="80">
        <f>IF(ISNUMBER($J592),$J592/100,"")</f>
        <v/>
      </c>
      <c r="CV592" s="81">
        <f>IF(ISNUMBER($AQ592),$AQ592,"")</f>
        <v/>
      </c>
      <c r="CW592" s="81">
        <f>IF(ISNUMBER($AR592),$AR592,"")</f>
        <v/>
      </c>
      <c r="CX592" s="82">
        <f>IF(ISNUMBER($AS592),$AS592/100,"")</f>
        <v/>
      </c>
      <c r="CY592" s="82">
        <f>IF(ISNUMBER($AT592),$AT592/100,"")</f>
        <v/>
      </c>
      <c r="CZ592" s="82">
        <f>IF(ISNUMBER($AU592),$AU592/100,"")</f>
        <v/>
      </c>
      <c r="DA592" s="82">
        <f>IF(ISNUMBER($AV592),$AV592/100,"")</f>
        <v/>
      </c>
      <c r="DB592" s="82">
        <f>IF(ISNUMBER($AW592),$AW592/100,"")</f>
        <v/>
      </c>
      <c r="DC592" s="82">
        <f>IF(ISNUMBER($AX592),$AX592/100,"")</f>
        <v/>
      </c>
      <c r="DD592" s="77">
        <f>IFERROR(VALUE(LEFT(TRIM($AO592&amp;""),4)),"")</f>
        <v/>
      </c>
      <c r="DE592" s="78">
        <f>IF(AND($BY592=1,$BX592=1,OR(fDeal="All Deals",$BU592=fDeal),OR(fEntity="All Entities",$BV592=fEntity),OR(fPType="All Property Types",$BZ592=fPType),OR(fDefeased="Include",$CJ592=0)),1,0)</f>
        <v/>
      </c>
      <c r="DF592" s="83">
        <f>$DE592*N($I592)</f>
        <v/>
      </c>
      <c r="DG592" s="78">
        <f>IF($DE592=1,IF(COUNTIFS($F$8:$F592,$F592,$DE$8:$DE592,1)=1,1,0),0)</f>
        <v/>
      </c>
      <c r="DH592" s="83">
        <f>IF($DG592=1,SUMIFS($DF$8:$DF$1600,$F$8:$F$1600,$F592),0)</f>
        <v/>
      </c>
      <c r="DI592" s="78">
        <f>IF($DG592=1,COUNTIFS($F$8:$F$1600,$F592,$DE$8:$DE$1600,1),0)</f>
        <v/>
      </c>
      <c r="DJ592" s="84">
        <f>IF($DG592=1,$DH592+(100000-ROW())/mTieBreak,0)</f>
        <v/>
      </c>
    </row>
    <row r="593">
      <c r="B593" s="68" t="n">
        <v>6</v>
      </c>
      <c r="C593" s="69" t="inlineStr">
        <is>
          <t>UBS18C13</t>
        </is>
      </c>
      <c r="D593" s="69" t="inlineStr">
        <is>
          <t>6.000</t>
        </is>
      </c>
      <c r="E593" s="69" t="inlineStr">
        <is>
          <t>Pier 1 Imports Headquarters</t>
        </is>
      </c>
      <c r="F593" s="69" t="inlineStr">
        <is>
          <t>SPLIT_LOAN_01359</t>
        </is>
      </c>
      <c r="G593" s="70" t="n">
        <v>1359</v>
      </c>
      <c r="H593" s="71" t="n">
        <v>28000000</v>
      </c>
      <c r="I593" s="71" t="n">
        <v>0</v>
      </c>
      <c r="J593" s="72" t="n">
        <v>4.862</v>
      </c>
      <c r="K593" s="69" t="inlineStr">
        <is>
          <t>Fixed rate</t>
        </is>
      </c>
      <c r="L593" s="68" t="n">
        <v>120</v>
      </c>
      <c r="M593" s="68" t="n"/>
      <c r="N593" s="68" t="n">
        <v>420</v>
      </c>
      <c r="O593" s="68" t="n">
        <v>60</v>
      </c>
      <c r="P593" s="68" t="n"/>
      <c r="Q593" s="68" t="n"/>
      <c r="R593" s="69" t="inlineStr">
        <is>
          <t>IO then Amort</t>
        </is>
      </c>
      <c r="S593" s="69" t="inlineStr">
        <is>
          <t>No</t>
        </is>
      </c>
      <c r="T593" s="73" t="n">
        <v>43344</v>
      </c>
      <c r="U593" s="73" t="n">
        <v>47001</v>
      </c>
      <c r="V593" s="73" t="n"/>
      <c r="W593" s="69" t="n"/>
      <c r="X593" s="69" t="inlineStr">
        <is>
          <t>Current</t>
        </is>
      </c>
      <c r="Y593" s="68" t="n"/>
      <c r="Z593" s="69" t="inlineStr">
        <is>
          <t>No Defeasance Occurred</t>
        </is>
      </c>
      <c r="AA593" s="69" t="inlineStr">
        <is>
          <t>Previously</t>
        </is>
      </c>
      <c r="AB593" s="69" t="inlineStr">
        <is>
          <t>Currently special serv</t>
        </is>
      </c>
      <c r="AC593" s="73" t="n">
        <v>43893</v>
      </c>
      <c r="AD593" s="69" t="inlineStr">
        <is>
          <t>Imminent Monetary Default (Single Tenant Bankruptcy/Vacate)</t>
        </is>
      </c>
      <c r="AE593" s="69" t="inlineStr">
        <is>
          <t>Foreclosure</t>
        </is>
      </c>
      <c r="AF593" s="69" t="inlineStr">
        <is>
          <t>TX</t>
        </is>
      </c>
      <c r="AG593" s="69" t="inlineStr">
        <is>
          <t>Fort Worth</t>
        </is>
      </c>
      <c r="AH593" s="69" t="inlineStr">
        <is>
          <t>Dallas-Fort Worth-Arlington, TX</t>
        </is>
      </c>
      <c r="AI593" s="69" t="inlineStr">
        <is>
          <t>South / Central West</t>
        </is>
      </c>
      <c r="AJ593" s="69" t="inlineStr">
        <is>
          <t>OF</t>
        </is>
      </c>
      <c r="AK593" s="69" t="inlineStr">
        <is>
          <t>CBD</t>
        </is>
      </c>
      <c r="AL593" s="68" t="n">
        <v>1</v>
      </c>
      <c r="AM593" s="68" t="n"/>
      <c r="AN593" s="68" t="n">
        <v>409977</v>
      </c>
      <c r="AO593" s="69" t="inlineStr">
        <is>
          <t>2004</t>
        </is>
      </c>
      <c r="AP593" s="70" t="n">
        <v>2004</v>
      </c>
      <c r="AQ593" s="74" t="n">
        <v>1.38</v>
      </c>
      <c r="AR593" s="74" t="n">
        <v>2.57</v>
      </c>
      <c r="AS593" s="74" t="n">
        <v>64</v>
      </c>
      <c r="AT593" s="74" t="n"/>
      <c r="AU593" s="74" t="n">
        <v>58.9</v>
      </c>
      <c r="AV593" s="74" t="n">
        <v>8.742800690999999</v>
      </c>
      <c r="AW593" s="74" t="n"/>
      <c r="AX593" s="75" t="n">
        <v>27</v>
      </c>
      <c r="AY593" s="71" t="n">
        <v>86000000</v>
      </c>
      <c r="AZ593" s="71" t="n">
        <v>44000000</v>
      </c>
      <c r="BA593" s="71" t="n">
        <v>4808540.38</v>
      </c>
      <c r="BB593" s="71" t="n">
        <v>6954581.9</v>
      </c>
      <c r="BC593" s="69" t="inlineStr">
        <is>
          <t>Acquisition</t>
        </is>
      </c>
      <c r="BD593" s="69" t="inlineStr">
        <is>
          <t>N</t>
        </is>
      </c>
      <c r="BE593" s="71" t="n">
        <v>0</v>
      </c>
      <c r="BF593" s="71" t="n"/>
      <c r="BG593" s="71" t="n"/>
      <c r="BH593" s="71" t="n">
        <v>0</v>
      </c>
      <c r="BI593" s="71" t="n">
        <v>0</v>
      </c>
      <c r="BJ593" s="69" t="inlineStr">
        <is>
          <t>N</t>
        </is>
      </c>
      <c r="BK593" s="69" t="inlineStr">
        <is>
          <t>Pier 1 Imports</t>
        </is>
      </c>
      <c r="BL593" s="75" t="n">
        <v>87.73</v>
      </c>
      <c r="BM593" s="73" t="n">
        <v>46568</v>
      </c>
      <c r="BN593" s="69" t="inlineStr">
        <is>
          <t>Sarah Rachel Gordon; Isaac Hertz; William Z. Hertz</t>
        </is>
      </c>
      <c r="BO593" s="69" t="n"/>
      <c r="BP593" s="69" t="inlineStr">
        <is>
          <t>Midland Loan Services</t>
        </is>
      </c>
      <c r="BQ593" s="69" t="inlineStr">
        <is>
          <t>Midland Loan Services</t>
        </is>
      </c>
      <c r="BR593" s="69" t="inlineStr">
        <is>
          <t>Disposition / Liquidation</t>
        </is>
      </c>
      <c r="BS593" s="73" t="n">
        <v>46216</v>
      </c>
      <c r="BU593" s="76">
        <f>IF($C593="","",IFERROR(INDEX(dmName,MATCH($C593,dmID,0)),"Unmapped"))</f>
        <v/>
      </c>
      <c r="BV593" s="76">
        <f>IF($C593="","",IFERROR(INDEX(dmEntity,MATCH($C593,dmID,0)),"Unmapped"))</f>
        <v/>
      </c>
      <c r="BW593" s="77">
        <f>IF($C593="","",IFERROR(INDEX(dmVintage,MATCH($C593,dmID,0)),""))</f>
        <v/>
      </c>
      <c r="BX593" s="78">
        <f>IFERROR(INDEX(dmInclude,MATCH($C593,dmID,0)),0)</f>
        <v/>
      </c>
      <c r="BY593" s="78">
        <f>IF(N($I593)&gt;0,1,0)</f>
        <v/>
      </c>
      <c r="BZ593" s="76">
        <f>IF($AJ593="","Other / Leased Fee",IFERROR(INDEX(mapPTGroup,MATCH(LEFT(TRIM($AJ593),2),mapPTCode,0)),"Other / Leased Fee"))</f>
        <v/>
      </c>
      <c r="CA593" s="76">
        <f>IF(TRIM($AF593&amp;"")="","NR",LEFT(TRIM($AF593),2))</f>
        <v/>
      </c>
      <c r="CB593" s="76">
        <f>IFERROR(LOOKUP(2,1/(LEFT(TRIM($AI593&amp;""),LEN(mapRegion))=mapRegion),mapRegion),"Not Reported")</f>
        <v/>
      </c>
      <c r="CC593" s="76">
        <f>IF($BY593=0,"",IF(TRIM($W593&amp;"")="REO","REO",IF(TRIM($W593&amp;"")="FC","Foreclosure",IF(TRIM($W593&amp;"")="90+","90+ Days Delinquent",IF(TRIM($W593&amp;"")="60","60 Days Delinquent",IF(TRIM($W593&amp;"")="30","30 Days Delinquent",IF($X593="Non-Performing Matured Balloon","Non-Performing Matured Balloon",IF(OR($X593="Late Payment But Less Than 30 Days Delinquent",LEFT($X593&amp;"",20)="Payment Not Received"),"Late / In Grace (&lt;30 Days)",IF($X593="Performing Matured Balloon","Performing Matured Balloon","Current")))))))))</f>
        <v/>
      </c>
      <c r="CD593" s="78">
        <f>IF(OR($CC593="REO",$CC593="Foreclosure",$CC593="90+ Days Delinquent",$CC593="60 Days Delinquent",$CC593="30 Days Delinquent",$CC593="Non-Performing Matured Balloon"),1,0)</f>
        <v/>
      </c>
      <c r="CE593" s="76">
        <f>IF($AB593="Currently special serv","Currently Specially Serviced",IF($AB593="Returned to master serv","Previously Specially Serviced","Never Specially Serviced"))</f>
        <v/>
      </c>
      <c r="CF593" s="78">
        <f>IF($CE593="Currently Specially Serviced",1,0)</f>
        <v/>
      </c>
      <c r="CG593" s="76">
        <f>IF($AA593="Yes","Currently on Watchlist",IF($AA593="Previously","Previously on Watchlist","Never on Watchlist"))</f>
        <v/>
      </c>
      <c r="CH593" s="78">
        <f>IF($CG593="Currently on Watchlist",1,0)</f>
        <v/>
      </c>
      <c r="CI593" s="76">
        <f>IF($Z593="Full Defeasance","Fully Defeased",IF($Z593="Portion Of Loan Previously Defeased","Partially Defeased",IF($Z593="Defeasance Not Allowable","Not Defeased (Not Permitted)","Not Defeased")))</f>
        <v/>
      </c>
      <c r="CJ593" s="78">
        <f>IF($CI593="Fully Defeased",1,0)</f>
        <v/>
      </c>
      <c r="CK593" s="76">
        <f>IF($R593="IO","Full IO",IF(LEFT($R593&amp;"",7)="IO then","Partial IO","Amortizing"))</f>
        <v/>
      </c>
      <c r="CL593" s="78">
        <f>IF($CK593="Full IO",1,0)</f>
        <v/>
      </c>
      <c r="CM593" s="78">
        <f>IF($CK593="Partial IO",1,0)</f>
        <v/>
      </c>
      <c r="CN593" s="76">
        <f>IF(LEFT($F593&amp;"",10)="SPLIT_LOAN","Pari Passu Split","Standalone")</f>
        <v/>
      </c>
      <c r="CO593" s="78">
        <f>IF($CN593="Pari Passu Split",1,0)</f>
        <v/>
      </c>
      <c r="CP593" s="77">
        <f>IF(ISNUMBER($T593),YEAR($T593),"")</f>
        <v/>
      </c>
      <c r="CQ593" s="79">
        <f>IF(ISNUMBER($V593),$V593,IF(ISNUMBER($U593),$U593,""))</f>
        <v/>
      </c>
      <c r="CR593" s="77">
        <f>IF(ISNUMBER($CQ593),YEAR($CQ593),"")</f>
        <v/>
      </c>
      <c r="CS593" s="78">
        <f>IF(ISNUMBER($M593),MAX(0,$M593),IF(TRIM($M593&amp;"")="matured",0,""))</f>
        <v/>
      </c>
      <c r="CT593" s="78">
        <f>IF(AND(ISNUMBER($CS593),N($CS593)&lt;=mMatWindow),1,0)</f>
        <v/>
      </c>
      <c r="CU593" s="80">
        <f>IF(ISNUMBER($J593),$J593/100,"")</f>
        <v/>
      </c>
      <c r="CV593" s="81">
        <f>IF(ISNUMBER($AQ593),$AQ593,"")</f>
        <v/>
      </c>
      <c r="CW593" s="81">
        <f>IF(ISNUMBER($AR593),$AR593,"")</f>
        <v/>
      </c>
      <c r="CX593" s="82">
        <f>IF(ISNUMBER($AS593),$AS593/100,"")</f>
        <v/>
      </c>
      <c r="CY593" s="82">
        <f>IF(ISNUMBER($AT593),$AT593/100,"")</f>
        <v/>
      </c>
      <c r="CZ593" s="82">
        <f>IF(ISNUMBER($AU593),$AU593/100,"")</f>
        <v/>
      </c>
      <c r="DA593" s="82">
        <f>IF(ISNUMBER($AV593),$AV593/100,"")</f>
        <v/>
      </c>
      <c r="DB593" s="82">
        <f>IF(ISNUMBER($AW593),$AW593/100,"")</f>
        <v/>
      </c>
      <c r="DC593" s="82">
        <f>IF(ISNUMBER($AX593),$AX593/100,"")</f>
        <v/>
      </c>
      <c r="DD593" s="77">
        <f>IFERROR(VALUE(LEFT(TRIM($AO593&amp;""),4)),"")</f>
        <v/>
      </c>
      <c r="DE593" s="78">
        <f>IF(AND($BY593=1,$BX593=1,OR(fDeal="All Deals",$BU593=fDeal),OR(fEntity="All Entities",$BV593=fEntity),OR(fPType="All Property Types",$BZ593=fPType),OR(fDefeased="Include",$CJ593=0)),1,0)</f>
        <v/>
      </c>
      <c r="DF593" s="83">
        <f>$DE593*N($I593)</f>
        <v/>
      </c>
      <c r="DG593" s="78">
        <f>IF($DE593=1,IF(COUNTIFS($F$8:$F593,$F593,$DE$8:$DE593,1)=1,1,0),0)</f>
        <v/>
      </c>
      <c r="DH593" s="83">
        <f>IF($DG593=1,SUMIFS($DF$8:$DF$1600,$F$8:$F$1600,$F593),0)</f>
        <v/>
      </c>
      <c r="DI593" s="78">
        <f>IF($DG593=1,COUNTIFS($F$8:$F$1600,$F593,$DE$8:$DE$1600,1),0)</f>
        <v/>
      </c>
      <c r="DJ593" s="84">
        <f>IF($DG593=1,$DH593+(100000-ROW())/mTieBreak,0)</f>
        <v/>
      </c>
    </row>
    <row r="594">
      <c r="B594" s="68" t="n">
        <v>7</v>
      </c>
      <c r="C594" s="69" t="inlineStr">
        <is>
          <t>UBS18C13</t>
        </is>
      </c>
      <c r="D594" s="69" t="inlineStr">
        <is>
          <t>7.000</t>
        </is>
      </c>
      <c r="E594" s="69" t="inlineStr">
        <is>
          <t>Village at Beech Hill</t>
        </is>
      </c>
      <c r="F594" s="69" t="inlineStr">
        <is>
          <t>LNUBS18C13-7.000</t>
        </is>
      </c>
      <c r="G594" s="70" t="n"/>
      <c r="H594" s="71" t="n">
        <v>27200000</v>
      </c>
      <c r="I594" s="71" t="n">
        <v>25274091.5599984</v>
      </c>
      <c r="J594" s="72" t="n">
        <v>5.51521</v>
      </c>
      <c r="K594" s="69" t="inlineStr">
        <is>
          <t>Fixed rate</t>
        </is>
      </c>
      <c r="L594" s="68" t="n">
        <v>120</v>
      </c>
      <c r="M594" s="68" t="n">
        <v>24</v>
      </c>
      <c r="N594" s="68" t="n">
        <v>396</v>
      </c>
      <c r="O594" s="68" t="n">
        <v>36</v>
      </c>
      <c r="P594" s="68" t="n">
        <v>0</v>
      </c>
      <c r="Q594" s="68" t="n">
        <v>96</v>
      </c>
      <c r="R594" s="69" t="inlineStr">
        <is>
          <t>IO then Amort</t>
        </is>
      </c>
      <c r="S594" s="69" t="inlineStr">
        <is>
          <t>No</t>
        </is>
      </c>
      <c r="T594" s="73" t="n">
        <v>43344</v>
      </c>
      <c r="U594" s="73" t="n">
        <v>47002</v>
      </c>
      <c r="V594" s="73" t="n"/>
      <c r="W594" s="69" t="inlineStr">
        <is>
          <t>90+</t>
        </is>
      </c>
      <c r="X594" s="69" t="inlineStr">
        <is>
          <t>121+ Days Delinquent</t>
        </is>
      </c>
      <c r="Y594" s="68" t="n">
        <v>13</v>
      </c>
      <c r="Z594" s="69" t="inlineStr">
        <is>
          <t>Defeasance Not Allowable</t>
        </is>
      </c>
      <c r="AA594" s="69" t="inlineStr">
        <is>
          <t>Previously</t>
        </is>
      </c>
      <c r="AB594" s="69" t="inlineStr">
        <is>
          <t>Currently special serv</t>
        </is>
      </c>
      <c r="AC594" s="73" t="n">
        <v>45512</v>
      </c>
      <c r="AD594" s="69" t="inlineStr">
        <is>
          <t>Other</t>
        </is>
      </c>
      <c r="AE594" s="69" t="inlineStr">
        <is>
          <t>Foreclosure</t>
        </is>
      </c>
      <c r="AF594" s="69" t="inlineStr">
        <is>
          <t>NH</t>
        </is>
      </c>
      <c r="AG594" s="69" t="inlineStr">
        <is>
          <t>Manchester</t>
        </is>
      </c>
      <c r="AH594" s="69" t="inlineStr">
        <is>
          <t>Manchester-Nashua, NH</t>
        </is>
      </c>
      <c r="AI594" s="69" t="inlineStr">
        <is>
          <t>Northeast / New England</t>
        </is>
      </c>
      <c r="AJ594" s="69" t="inlineStr">
        <is>
          <t>MF</t>
        </is>
      </c>
      <c r="AK594" s="69" t="inlineStr">
        <is>
          <t>Garden</t>
        </is>
      </c>
      <c r="AL594" s="68" t="n">
        <v>1</v>
      </c>
      <c r="AM594" s="68" t="n">
        <v>320</v>
      </c>
      <c r="AN594" s="68" t="n"/>
      <c r="AO594" s="69" t="inlineStr">
        <is>
          <t>1973-1974</t>
        </is>
      </c>
      <c r="AP594" s="70" t="n">
        <v>1974</v>
      </c>
      <c r="AQ594" s="74" t="n">
        <v>1.3</v>
      </c>
      <c r="AR594" s="74" t="n">
        <v>-0.01</v>
      </c>
      <c r="AS594" s="74" t="n">
        <v>72.09999999999999</v>
      </c>
      <c r="AT594" s="74" t="n">
        <v>67.04000000000001</v>
      </c>
      <c r="AU594" s="74" t="n">
        <v>64.59999999999999</v>
      </c>
      <c r="AV594" s="74" t="n">
        <v>8.868619449000001</v>
      </c>
      <c r="AW594" s="74" t="n">
        <v>9.445951299000001</v>
      </c>
      <c r="AX594" s="75" t="n">
        <v>73</v>
      </c>
      <c r="AY594" s="71" t="n">
        <v>37700000</v>
      </c>
      <c r="AZ594" s="71" t="n">
        <v>37700000</v>
      </c>
      <c r="BA594" s="71" t="n">
        <v>2412264.49</v>
      </c>
      <c r="BB594" s="71" t="n">
        <v>-27793.58</v>
      </c>
      <c r="BC594" s="69" t="inlineStr">
        <is>
          <t>Refinance</t>
        </is>
      </c>
      <c r="BD594" s="69" t="inlineStr">
        <is>
          <t>N</t>
        </is>
      </c>
      <c r="BE594" s="71" t="n"/>
      <c r="BF594" s="71" t="n"/>
      <c r="BG594" s="71" t="n"/>
      <c r="BH594" s="71" t="n">
        <v>6416905.82</v>
      </c>
      <c r="BI594" s="71" t="n">
        <v>1835838.76</v>
      </c>
      <c r="BJ594" s="69" t="inlineStr">
        <is>
          <t>N</t>
        </is>
      </c>
      <c r="BK594" s="69" t="n"/>
      <c r="BL594" s="75" t="n">
        <v>100</v>
      </c>
      <c r="BM594" s="73" t="n"/>
      <c r="BN594" s="69" t="inlineStr">
        <is>
          <t>JPC Charities</t>
        </is>
      </c>
      <c r="BO594" s="69" t="n"/>
      <c r="BP594" s="69" t="inlineStr">
        <is>
          <t>Midland Loan Services</t>
        </is>
      </c>
      <c r="BQ594" s="69" t="inlineStr">
        <is>
          <t>Midland Loan Services</t>
        </is>
      </c>
      <c r="BR594" s="69" t="n"/>
      <c r="BS594" s="73" t="n">
        <v>46276</v>
      </c>
      <c r="BU594" s="76">
        <f>IF($C594="","",IFERROR(INDEX(dmName,MATCH($C594,dmID,0)),"Unmapped"))</f>
        <v/>
      </c>
      <c r="BV594" s="76">
        <f>IF($C594="","",IFERROR(INDEX(dmEntity,MATCH($C594,dmID,0)),"Unmapped"))</f>
        <v/>
      </c>
      <c r="BW594" s="77">
        <f>IF($C594="","",IFERROR(INDEX(dmVintage,MATCH($C594,dmID,0)),""))</f>
        <v/>
      </c>
      <c r="BX594" s="78">
        <f>IFERROR(INDEX(dmInclude,MATCH($C594,dmID,0)),0)</f>
        <v/>
      </c>
      <c r="BY594" s="78">
        <f>IF(N($I594)&gt;0,1,0)</f>
        <v/>
      </c>
      <c r="BZ594" s="76">
        <f>IF($AJ594="","Other / Leased Fee",IFERROR(INDEX(mapPTGroup,MATCH(LEFT(TRIM($AJ594),2),mapPTCode,0)),"Other / Leased Fee"))</f>
        <v/>
      </c>
      <c r="CA594" s="76">
        <f>IF(TRIM($AF594&amp;"")="","NR",LEFT(TRIM($AF594),2))</f>
        <v/>
      </c>
      <c r="CB594" s="76">
        <f>IFERROR(LOOKUP(2,1/(LEFT(TRIM($AI594&amp;""),LEN(mapRegion))=mapRegion),mapRegion),"Not Reported")</f>
        <v/>
      </c>
      <c r="CC594" s="76">
        <f>IF($BY594=0,"",IF(TRIM($W594&amp;"")="REO","REO",IF(TRIM($W594&amp;"")="FC","Foreclosure",IF(TRIM($W594&amp;"")="90+","90+ Days Delinquent",IF(TRIM($W594&amp;"")="60","60 Days Delinquent",IF(TRIM($W594&amp;"")="30","30 Days Delinquent",IF($X594="Non-Performing Matured Balloon","Non-Performing Matured Balloon",IF(OR($X594="Late Payment But Less Than 30 Days Delinquent",LEFT($X594&amp;"",20)="Payment Not Received"),"Late / In Grace (&lt;30 Days)",IF($X594="Performing Matured Balloon","Performing Matured Balloon","Current")))))))))</f>
        <v/>
      </c>
      <c r="CD594" s="78">
        <f>IF(OR($CC594="REO",$CC594="Foreclosure",$CC594="90+ Days Delinquent",$CC594="60 Days Delinquent",$CC594="30 Days Delinquent",$CC594="Non-Performing Matured Balloon"),1,0)</f>
        <v/>
      </c>
      <c r="CE594" s="76">
        <f>IF($AB594="Currently special serv","Currently Specially Serviced",IF($AB594="Returned to master serv","Previously Specially Serviced","Never Specially Serviced"))</f>
        <v/>
      </c>
      <c r="CF594" s="78">
        <f>IF($CE594="Currently Specially Serviced",1,0)</f>
        <v/>
      </c>
      <c r="CG594" s="76">
        <f>IF($AA594="Yes","Currently on Watchlist",IF($AA594="Previously","Previously on Watchlist","Never on Watchlist"))</f>
        <v/>
      </c>
      <c r="CH594" s="78">
        <f>IF($CG594="Currently on Watchlist",1,0)</f>
        <v/>
      </c>
      <c r="CI594" s="76">
        <f>IF($Z594="Full Defeasance","Fully Defeased",IF($Z594="Portion Of Loan Previously Defeased","Partially Defeased",IF($Z594="Defeasance Not Allowable","Not Defeased (Not Permitted)","Not Defeased")))</f>
        <v/>
      </c>
      <c r="CJ594" s="78">
        <f>IF($CI594="Fully Defeased",1,0)</f>
        <v/>
      </c>
      <c r="CK594" s="76">
        <f>IF($R594="IO","Full IO",IF(LEFT($R594&amp;"",7)="IO then","Partial IO","Amortizing"))</f>
        <v/>
      </c>
      <c r="CL594" s="78">
        <f>IF($CK594="Full IO",1,0)</f>
        <v/>
      </c>
      <c r="CM594" s="78">
        <f>IF($CK594="Partial IO",1,0)</f>
        <v/>
      </c>
      <c r="CN594" s="76">
        <f>IF(LEFT($F594&amp;"",10)="SPLIT_LOAN","Pari Passu Split","Standalone")</f>
        <v/>
      </c>
      <c r="CO594" s="78">
        <f>IF($CN594="Pari Passu Split",1,0)</f>
        <v/>
      </c>
      <c r="CP594" s="77">
        <f>IF(ISNUMBER($T594),YEAR($T594),"")</f>
        <v/>
      </c>
      <c r="CQ594" s="79">
        <f>IF(ISNUMBER($V594),$V594,IF(ISNUMBER($U594),$U594,""))</f>
        <v/>
      </c>
      <c r="CR594" s="77">
        <f>IF(ISNUMBER($CQ594),YEAR($CQ594),"")</f>
        <v/>
      </c>
      <c r="CS594" s="78">
        <f>IF(ISNUMBER($M594),MAX(0,$M594),IF(TRIM($M594&amp;"")="matured",0,""))</f>
        <v/>
      </c>
      <c r="CT594" s="78">
        <f>IF(AND(ISNUMBER($CS594),N($CS594)&lt;=mMatWindow),1,0)</f>
        <v/>
      </c>
      <c r="CU594" s="80">
        <f>IF(ISNUMBER($J594),$J594/100,"")</f>
        <v/>
      </c>
      <c r="CV594" s="81">
        <f>IF(ISNUMBER($AQ594),$AQ594,"")</f>
        <v/>
      </c>
      <c r="CW594" s="81">
        <f>IF(ISNUMBER($AR594),$AR594,"")</f>
        <v/>
      </c>
      <c r="CX594" s="82">
        <f>IF(ISNUMBER($AS594),$AS594/100,"")</f>
        <v/>
      </c>
      <c r="CY594" s="82">
        <f>IF(ISNUMBER($AT594),$AT594/100,"")</f>
        <v/>
      </c>
      <c r="CZ594" s="82">
        <f>IF(ISNUMBER($AU594),$AU594/100,"")</f>
        <v/>
      </c>
      <c r="DA594" s="82">
        <f>IF(ISNUMBER($AV594),$AV594/100,"")</f>
        <v/>
      </c>
      <c r="DB594" s="82">
        <f>IF(ISNUMBER($AW594),$AW594/100,"")</f>
        <v/>
      </c>
      <c r="DC594" s="82">
        <f>IF(ISNUMBER($AX594),$AX594/100,"")</f>
        <v/>
      </c>
      <c r="DD594" s="77">
        <f>IFERROR(VALUE(LEFT(TRIM($AO594&amp;""),4)),"")</f>
        <v/>
      </c>
      <c r="DE594" s="78">
        <f>IF(AND($BY594=1,$BX594=1,OR(fDeal="All Deals",$BU594=fDeal),OR(fEntity="All Entities",$BV594=fEntity),OR(fPType="All Property Types",$BZ594=fPType),OR(fDefeased="Include",$CJ594=0)),1,0)</f>
        <v/>
      </c>
      <c r="DF594" s="83">
        <f>$DE594*N($I594)</f>
        <v/>
      </c>
      <c r="DG594" s="78">
        <f>IF($DE594=1,IF(COUNTIFS($F$8:$F594,$F594,$DE$8:$DE594,1)=1,1,0),0)</f>
        <v/>
      </c>
      <c r="DH594" s="83">
        <f>IF($DG594=1,SUMIFS($DF$8:$DF$1600,$F$8:$F$1600,$F594),0)</f>
        <v/>
      </c>
      <c r="DI594" s="78">
        <f>IF($DG594=1,COUNTIFS($F$8:$F$1600,$F594,$DE$8:$DE$1600,1),0)</f>
        <v/>
      </c>
      <c r="DJ594" s="84">
        <f>IF($DG594=1,$DH594+(100000-ROW())/mTieBreak,0)</f>
        <v/>
      </c>
    </row>
    <row r="595">
      <c r="B595" s="68" t="n">
        <v>8</v>
      </c>
      <c r="C595" s="69" t="inlineStr">
        <is>
          <t>UBS18C13</t>
        </is>
      </c>
      <c r="D595" s="69" t="inlineStr">
        <is>
          <t>8.000</t>
        </is>
      </c>
      <c r="E595" s="69" t="inlineStr">
        <is>
          <t>Silverado Ranch Place</t>
        </is>
      </c>
      <c r="F595" s="69" t="inlineStr">
        <is>
          <t>LNUBS18C13-8.000</t>
        </is>
      </c>
      <c r="G595" s="70" t="n"/>
      <c r="H595" s="71" t="n">
        <v>21700000</v>
      </c>
      <c r="I595" s="71" t="n">
        <v>18777731.9399908</v>
      </c>
      <c r="J595" s="72" t="n">
        <v>5.0042</v>
      </c>
      <c r="K595" s="69" t="inlineStr">
        <is>
          <t>Fixed rate</t>
        </is>
      </c>
      <c r="L595" s="68" t="n">
        <v>120</v>
      </c>
      <c r="M595" s="68" t="n">
        <v>24</v>
      </c>
      <c r="N595" s="68" t="n">
        <v>360</v>
      </c>
      <c r="O595" s="68" t="n"/>
      <c r="P595" s="68" t="n"/>
      <c r="Q595" s="68" t="n">
        <v>96</v>
      </c>
      <c r="R595" s="69" t="n"/>
      <c r="S595" s="69" t="inlineStr">
        <is>
          <t>No</t>
        </is>
      </c>
      <c r="T595" s="73" t="n">
        <v>43344</v>
      </c>
      <c r="U595" s="73" t="n">
        <v>47002</v>
      </c>
      <c r="V595" s="73" t="n"/>
      <c r="W595" s="69" t="n"/>
      <c r="X595" s="69" t="inlineStr">
        <is>
          <t>Current</t>
        </is>
      </c>
      <c r="Y595" s="68" t="n"/>
      <c r="Z595" s="69" t="inlineStr">
        <is>
          <t>Full Defeasance</t>
        </is>
      </c>
      <c r="AA595" s="69" t="inlineStr">
        <is>
          <t>Yes</t>
        </is>
      </c>
      <c r="AB595" s="69" t="inlineStr">
        <is>
          <t>Never special serv</t>
        </is>
      </c>
      <c r="AC595" s="73" t="n"/>
      <c r="AD595" s="69" t="n"/>
      <c r="AE595" s="69" t="n"/>
      <c r="AF595" s="69" t="inlineStr">
        <is>
          <t>NV</t>
        </is>
      </c>
      <c r="AG595" s="69" t="inlineStr">
        <is>
          <t>Las Vegas</t>
        </is>
      </c>
      <c r="AH595" s="69" t="inlineStr">
        <is>
          <t>Las Vegas-Henderson-North Las Vegas, NV</t>
        </is>
      </c>
      <c r="AI595" s="69" t="inlineStr">
        <is>
          <t>West / Mountain</t>
        </is>
      </c>
      <c r="AJ595" s="69" t="inlineStr">
        <is>
          <t>RT</t>
        </is>
      </c>
      <c r="AK595" s="69" t="inlineStr">
        <is>
          <t>Shadow Anchored</t>
        </is>
      </c>
      <c r="AL595" s="68" t="n">
        <v>1</v>
      </c>
      <c r="AM595" s="68" t="n"/>
      <c r="AN595" s="68" t="n">
        <v>188197</v>
      </c>
      <c r="AO595" s="69" t="inlineStr">
        <is>
          <t>2003</t>
        </is>
      </c>
      <c r="AP595" s="70" t="n">
        <v>2003</v>
      </c>
      <c r="AQ595" s="74" t="n">
        <v>1.65</v>
      </c>
      <c r="AR595" s="74" t="n">
        <v>2.14</v>
      </c>
      <c r="AS595" s="74" t="n">
        <v>69.90000000000001</v>
      </c>
      <c r="AT595" s="74" t="n">
        <v>60.57</v>
      </c>
      <c r="AU595" s="74" t="n">
        <v>57.6</v>
      </c>
      <c r="AV595" s="74" t="n">
        <v>10.646139677</v>
      </c>
      <c r="AW595" s="74" t="n">
        <v>14.076880469</v>
      </c>
      <c r="AX595" s="75" t="n">
        <v>96</v>
      </c>
      <c r="AY595" s="71" t="n">
        <v>31000000</v>
      </c>
      <c r="AZ595" s="71" t="n">
        <v>31000000</v>
      </c>
      <c r="BA595" s="71" t="n">
        <v>2310212.31</v>
      </c>
      <c r="BB595" s="71" t="n">
        <v>2989309.64</v>
      </c>
      <c r="BC595" s="69" t="inlineStr">
        <is>
          <t>Acquisition</t>
        </is>
      </c>
      <c r="BD595" s="69" t="inlineStr">
        <is>
          <t>N</t>
        </is>
      </c>
      <c r="BE595" s="71" t="n"/>
      <c r="BF595" s="71" t="n"/>
      <c r="BG595" s="71" t="n"/>
      <c r="BH595" s="71" t="n">
        <v>0</v>
      </c>
      <c r="BI595" s="71" t="n">
        <v>0</v>
      </c>
      <c r="BJ595" s="69" t="inlineStr">
        <is>
          <t>N</t>
        </is>
      </c>
      <c r="BK595" s="69" t="inlineStr">
        <is>
          <t>Silverado Fitness LLC</t>
        </is>
      </c>
      <c r="BL595" s="75" t="n">
        <v>16.42</v>
      </c>
      <c r="BM595" s="73" t="n">
        <v>46965</v>
      </c>
      <c r="BN595" s="69" t="inlineStr">
        <is>
          <t>Gilbert C. Barbieri</t>
        </is>
      </c>
      <c r="BO595" s="69" t="n"/>
      <c r="BP595" s="69" t="inlineStr">
        <is>
          <t>Midland Loan Services</t>
        </is>
      </c>
      <c r="BQ595" s="69" t="inlineStr">
        <is>
          <t>Midland Loan Services</t>
        </is>
      </c>
      <c r="BR595" s="69" t="n"/>
      <c r="BS595" s="73" t="n">
        <v>46276</v>
      </c>
      <c r="BU595" s="76">
        <f>IF($C595="","",IFERROR(INDEX(dmName,MATCH($C595,dmID,0)),"Unmapped"))</f>
        <v/>
      </c>
      <c r="BV595" s="76">
        <f>IF($C595="","",IFERROR(INDEX(dmEntity,MATCH($C595,dmID,0)),"Unmapped"))</f>
        <v/>
      </c>
      <c r="BW595" s="77">
        <f>IF($C595="","",IFERROR(INDEX(dmVintage,MATCH($C595,dmID,0)),""))</f>
        <v/>
      </c>
      <c r="BX595" s="78">
        <f>IFERROR(INDEX(dmInclude,MATCH($C595,dmID,0)),0)</f>
        <v/>
      </c>
      <c r="BY595" s="78">
        <f>IF(N($I595)&gt;0,1,0)</f>
        <v/>
      </c>
      <c r="BZ595" s="76">
        <f>IF($AJ595="","Other / Leased Fee",IFERROR(INDEX(mapPTGroup,MATCH(LEFT(TRIM($AJ595),2),mapPTCode,0)),"Other / Leased Fee"))</f>
        <v/>
      </c>
      <c r="CA595" s="76">
        <f>IF(TRIM($AF595&amp;"")="","NR",LEFT(TRIM($AF595),2))</f>
        <v/>
      </c>
      <c r="CB595" s="76">
        <f>IFERROR(LOOKUP(2,1/(LEFT(TRIM($AI595&amp;""),LEN(mapRegion))=mapRegion),mapRegion),"Not Reported")</f>
        <v/>
      </c>
      <c r="CC595" s="76">
        <f>IF($BY595=0,"",IF(TRIM($W595&amp;"")="REO","REO",IF(TRIM($W595&amp;"")="FC","Foreclosure",IF(TRIM($W595&amp;"")="90+","90+ Days Delinquent",IF(TRIM($W595&amp;"")="60","60 Days Delinquent",IF(TRIM($W595&amp;"")="30","30 Days Delinquent",IF($X595="Non-Performing Matured Balloon","Non-Performing Matured Balloon",IF(OR($X595="Late Payment But Less Than 30 Days Delinquent",LEFT($X595&amp;"",20)="Payment Not Received"),"Late / In Grace (&lt;30 Days)",IF($X595="Performing Matured Balloon","Performing Matured Balloon","Current")))))))))</f>
        <v/>
      </c>
      <c r="CD595" s="78">
        <f>IF(OR($CC595="REO",$CC595="Foreclosure",$CC595="90+ Days Delinquent",$CC595="60 Days Delinquent",$CC595="30 Days Delinquent",$CC595="Non-Performing Matured Balloon"),1,0)</f>
        <v/>
      </c>
      <c r="CE595" s="76">
        <f>IF($AB595="Currently special serv","Currently Specially Serviced",IF($AB595="Returned to master serv","Previously Specially Serviced","Never Specially Serviced"))</f>
        <v/>
      </c>
      <c r="CF595" s="78">
        <f>IF($CE595="Currently Specially Serviced",1,0)</f>
        <v/>
      </c>
      <c r="CG595" s="76">
        <f>IF($AA595="Yes","Currently on Watchlist",IF($AA595="Previously","Previously on Watchlist","Never on Watchlist"))</f>
        <v/>
      </c>
      <c r="CH595" s="78">
        <f>IF($CG595="Currently on Watchlist",1,0)</f>
        <v/>
      </c>
      <c r="CI595" s="76">
        <f>IF($Z595="Full Defeasance","Fully Defeased",IF($Z595="Portion Of Loan Previously Defeased","Partially Defeased",IF($Z595="Defeasance Not Allowable","Not Defeased (Not Permitted)","Not Defeased")))</f>
        <v/>
      </c>
      <c r="CJ595" s="78">
        <f>IF($CI595="Fully Defeased",1,0)</f>
        <v/>
      </c>
      <c r="CK595" s="76">
        <f>IF($R595="IO","Full IO",IF(LEFT($R595&amp;"",7)="IO then","Partial IO","Amortizing"))</f>
        <v/>
      </c>
      <c r="CL595" s="78">
        <f>IF($CK595="Full IO",1,0)</f>
        <v/>
      </c>
      <c r="CM595" s="78">
        <f>IF($CK595="Partial IO",1,0)</f>
        <v/>
      </c>
      <c r="CN595" s="76">
        <f>IF(LEFT($F595&amp;"",10)="SPLIT_LOAN","Pari Passu Split","Standalone")</f>
        <v/>
      </c>
      <c r="CO595" s="78">
        <f>IF($CN595="Pari Passu Split",1,0)</f>
        <v/>
      </c>
      <c r="CP595" s="77">
        <f>IF(ISNUMBER($T595),YEAR($T595),"")</f>
        <v/>
      </c>
      <c r="CQ595" s="79">
        <f>IF(ISNUMBER($V595),$V595,IF(ISNUMBER($U595),$U595,""))</f>
        <v/>
      </c>
      <c r="CR595" s="77">
        <f>IF(ISNUMBER($CQ595),YEAR($CQ595),"")</f>
        <v/>
      </c>
      <c r="CS595" s="78">
        <f>IF(ISNUMBER($M595),MAX(0,$M595),IF(TRIM($M595&amp;"")="matured",0,""))</f>
        <v/>
      </c>
      <c r="CT595" s="78">
        <f>IF(AND(ISNUMBER($CS595),N($CS595)&lt;=mMatWindow),1,0)</f>
        <v/>
      </c>
      <c r="CU595" s="80">
        <f>IF(ISNUMBER($J595),$J595/100,"")</f>
        <v/>
      </c>
      <c r="CV595" s="81">
        <f>IF(ISNUMBER($AQ595),$AQ595,"")</f>
        <v/>
      </c>
      <c r="CW595" s="81">
        <f>IF(ISNUMBER($AR595),$AR595,"")</f>
        <v/>
      </c>
      <c r="CX595" s="82">
        <f>IF(ISNUMBER($AS595),$AS595/100,"")</f>
        <v/>
      </c>
      <c r="CY595" s="82">
        <f>IF(ISNUMBER($AT595),$AT595/100,"")</f>
        <v/>
      </c>
      <c r="CZ595" s="82">
        <f>IF(ISNUMBER($AU595),$AU595/100,"")</f>
        <v/>
      </c>
      <c r="DA595" s="82">
        <f>IF(ISNUMBER($AV595),$AV595/100,"")</f>
        <v/>
      </c>
      <c r="DB595" s="82">
        <f>IF(ISNUMBER($AW595),$AW595/100,"")</f>
        <v/>
      </c>
      <c r="DC595" s="82">
        <f>IF(ISNUMBER($AX595),$AX595/100,"")</f>
        <v/>
      </c>
      <c r="DD595" s="77">
        <f>IFERROR(VALUE(LEFT(TRIM($AO595&amp;""),4)),"")</f>
        <v/>
      </c>
      <c r="DE595" s="78">
        <f>IF(AND($BY595=1,$BX595=1,OR(fDeal="All Deals",$BU595=fDeal),OR(fEntity="All Entities",$BV595=fEntity),OR(fPType="All Property Types",$BZ595=fPType),OR(fDefeased="Include",$CJ595=0)),1,0)</f>
        <v/>
      </c>
      <c r="DF595" s="83">
        <f>$DE595*N($I595)</f>
        <v/>
      </c>
      <c r="DG595" s="78">
        <f>IF($DE595=1,IF(COUNTIFS($F$8:$F595,$F595,$DE$8:$DE595,1)=1,1,0),0)</f>
        <v/>
      </c>
      <c r="DH595" s="83">
        <f>IF($DG595=1,SUMIFS($DF$8:$DF$1600,$F$8:$F$1600,$F595),0)</f>
        <v/>
      </c>
      <c r="DI595" s="78">
        <f>IF($DG595=1,COUNTIFS($F$8:$F$1600,$F595,$DE$8:$DE$1600,1),0)</f>
        <v/>
      </c>
      <c r="DJ595" s="84">
        <f>IF($DG595=1,$DH595+(100000-ROW())/mTieBreak,0)</f>
        <v/>
      </c>
    </row>
    <row r="596">
      <c r="B596" s="68" t="n">
        <v>9</v>
      </c>
      <c r="C596" s="69" t="inlineStr">
        <is>
          <t>UBS18C13</t>
        </is>
      </c>
      <c r="D596" s="69" t="inlineStr">
        <is>
          <t>9.000</t>
        </is>
      </c>
      <c r="E596" s="69" t="inlineStr">
        <is>
          <t>Barrywoods Crossing</t>
        </is>
      </c>
      <c r="F596" s="69" t="inlineStr">
        <is>
          <t>SPLIT_LOAN_01360</t>
        </is>
      </c>
      <c r="G596" s="70" t="n">
        <v>1360</v>
      </c>
      <c r="H596" s="71" t="n">
        <v>21000000</v>
      </c>
      <c r="I596" s="71" t="n">
        <v>18735640.190001</v>
      </c>
      <c r="J596" s="72" t="n">
        <v>5.3633</v>
      </c>
      <c r="K596" s="69" t="inlineStr">
        <is>
          <t>Fixed rate</t>
        </is>
      </c>
      <c r="L596" s="68" t="n">
        <v>120</v>
      </c>
      <c r="M596" s="68" t="n">
        <v>24</v>
      </c>
      <c r="N596" s="68" t="n">
        <v>372</v>
      </c>
      <c r="O596" s="68" t="n">
        <v>12</v>
      </c>
      <c r="P596" s="68" t="n">
        <v>0</v>
      </c>
      <c r="Q596" s="68" t="n">
        <v>96</v>
      </c>
      <c r="R596" s="69" t="inlineStr">
        <is>
          <t>IO then Amort</t>
        </is>
      </c>
      <c r="S596" s="69" t="inlineStr">
        <is>
          <t>No</t>
        </is>
      </c>
      <c r="T596" s="73" t="n">
        <v>43344</v>
      </c>
      <c r="U596" s="73" t="n">
        <v>47002</v>
      </c>
      <c r="V596" s="73" t="n"/>
      <c r="W596" s="69" t="n"/>
      <c r="X596" s="69" t="inlineStr">
        <is>
          <t>Current</t>
        </is>
      </c>
      <c r="Y596" s="68" t="n"/>
      <c r="Z596" s="69" t="inlineStr">
        <is>
          <t>Defeasance Not Allowable</t>
        </is>
      </c>
      <c r="AA596" s="69" t="inlineStr">
        <is>
          <t>Yes</t>
        </is>
      </c>
      <c r="AB596" s="69" t="inlineStr">
        <is>
          <t>Never special serv</t>
        </is>
      </c>
      <c r="AC596" s="73" t="n"/>
      <c r="AD596" s="69" t="n"/>
      <c r="AE596" s="69" t="n"/>
      <c r="AF596" s="69" t="inlineStr">
        <is>
          <t>MO</t>
        </is>
      </c>
      <c r="AG596" s="69" t="inlineStr">
        <is>
          <t>Kansas City</t>
        </is>
      </c>
      <c r="AH596" s="69" t="inlineStr">
        <is>
          <t>Kansas City, MO-KS</t>
        </is>
      </c>
      <c r="AI596" s="69" t="inlineStr">
        <is>
          <t>Midwest / Central West</t>
        </is>
      </c>
      <c r="AJ596" s="69" t="inlineStr">
        <is>
          <t>RT</t>
        </is>
      </c>
      <c r="AK596" s="69" t="inlineStr">
        <is>
          <t>Anchored</t>
        </is>
      </c>
      <c r="AL596" s="68" t="n">
        <v>1</v>
      </c>
      <c r="AM596" s="68" t="n"/>
      <c r="AN596" s="68" t="n">
        <v>245037</v>
      </c>
      <c r="AO596" s="69" t="inlineStr">
        <is>
          <t>1997</t>
        </is>
      </c>
      <c r="AP596" s="70" t="n">
        <v>1997</v>
      </c>
      <c r="AQ596" s="74" t="n">
        <v>1.46</v>
      </c>
      <c r="AR596" s="74" t="n">
        <v>1.67</v>
      </c>
      <c r="AS596" s="74" t="n">
        <v>68.40000000000001</v>
      </c>
      <c r="AT596" s="74" t="n">
        <v>61.05</v>
      </c>
      <c r="AU596" s="74" t="n">
        <v>58.4</v>
      </c>
      <c r="AV596" s="74" t="n">
        <v>9.766942225999999</v>
      </c>
      <c r="AW596" s="74" t="n">
        <v>13.137251068</v>
      </c>
      <c r="AX596" s="75" t="n">
        <v>85</v>
      </c>
      <c r="AY596" s="71" t="n">
        <v>45300000</v>
      </c>
      <c r="AZ596" s="71" t="n">
        <v>45300000</v>
      </c>
      <c r="BA596" s="71" t="n">
        <v>3027752.09</v>
      </c>
      <c r="BB596" s="71" t="n">
        <v>3477060.82</v>
      </c>
      <c r="BC596" s="69" t="inlineStr">
        <is>
          <t>Refinance</t>
        </is>
      </c>
      <c r="BD596" s="69" t="inlineStr">
        <is>
          <t>N</t>
        </is>
      </c>
      <c r="BE596" s="71" t="n">
        <v>8921733.42</v>
      </c>
      <c r="BF596" s="71" t="n"/>
      <c r="BG596" s="71" t="n"/>
      <c r="BH596" s="71" t="n">
        <v>0</v>
      </c>
      <c r="BI596" s="71" t="n">
        <v>0</v>
      </c>
      <c r="BJ596" s="69" t="inlineStr">
        <is>
          <t>N</t>
        </is>
      </c>
      <c r="BK596" s="69" t="inlineStr">
        <is>
          <t>AMC Theaters t0000202</t>
        </is>
      </c>
      <c r="BL596" s="75" t="n">
        <v>36.44</v>
      </c>
      <c r="BM596" s="73" t="n">
        <v>46752</v>
      </c>
      <c r="BN596" s="69" t="inlineStr">
        <is>
          <t>Timothy Rhys Duggan; Christopher Wood; Scott Lee</t>
        </is>
      </c>
      <c r="BO596" s="69" t="n"/>
      <c r="BP596" s="69" t="inlineStr">
        <is>
          <t>Midland Loan Services</t>
        </is>
      </c>
      <c r="BQ596" s="69" t="inlineStr">
        <is>
          <t>Midland Loan Services</t>
        </is>
      </c>
      <c r="BR596" s="69" t="n"/>
      <c r="BS596" s="73" t="n">
        <v>46276</v>
      </c>
      <c r="BU596" s="76">
        <f>IF($C596="","",IFERROR(INDEX(dmName,MATCH($C596,dmID,0)),"Unmapped"))</f>
        <v/>
      </c>
      <c r="BV596" s="76">
        <f>IF($C596="","",IFERROR(INDEX(dmEntity,MATCH($C596,dmID,0)),"Unmapped"))</f>
        <v/>
      </c>
      <c r="BW596" s="77">
        <f>IF($C596="","",IFERROR(INDEX(dmVintage,MATCH($C596,dmID,0)),""))</f>
        <v/>
      </c>
      <c r="BX596" s="78">
        <f>IFERROR(INDEX(dmInclude,MATCH($C596,dmID,0)),0)</f>
        <v/>
      </c>
      <c r="BY596" s="78">
        <f>IF(N($I596)&gt;0,1,0)</f>
        <v/>
      </c>
      <c r="BZ596" s="76">
        <f>IF($AJ596="","Other / Leased Fee",IFERROR(INDEX(mapPTGroup,MATCH(LEFT(TRIM($AJ596),2),mapPTCode,0)),"Other / Leased Fee"))</f>
        <v/>
      </c>
      <c r="CA596" s="76">
        <f>IF(TRIM($AF596&amp;"")="","NR",LEFT(TRIM($AF596),2))</f>
        <v/>
      </c>
      <c r="CB596" s="76">
        <f>IFERROR(LOOKUP(2,1/(LEFT(TRIM($AI596&amp;""),LEN(mapRegion))=mapRegion),mapRegion),"Not Reported")</f>
        <v/>
      </c>
      <c r="CC596" s="76">
        <f>IF($BY596=0,"",IF(TRIM($W596&amp;"")="REO","REO",IF(TRIM($W596&amp;"")="FC","Foreclosure",IF(TRIM($W596&amp;"")="90+","90+ Days Delinquent",IF(TRIM($W596&amp;"")="60","60 Days Delinquent",IF(TRIM($W596&amp;"")="30","30 Days Delinquent",IF($X596="Non-Performing Matured Balloon","Non-Performing Matured Balloon",IF(OR($X596="Late Payment But Less Than 30 Days Delinquent",LEFT($X596&amp;"",20)="Payment Not Received"),"Late / In Grace (&lt;30 Days)",IF($X596="Performing Matured Balloon","Performing Matured Balloon","Current")))))))))</f>
        <v/>
      </c>
      <c r="CD596" s="78">
        <f>IF(OR($CC596="REO",$CC596="Foreclosure",$CC596="90+ Days Delinquent",$CC596="60 Days Delinquent",$CC596="30 Days Delinquent",$CC596="Non-Performing Matured Balloon"),1,0)</f>
        <v/>
      </c>
      <c r="CE596" s="76">
        <f>IF($AB596="Currently special serv","Currently Specially Serviced",IF($AB596="Returned to master serv","Previously Specially Serviced","Never Specially Serviced"))</f>
        <v/>
      </c>
      <c r="CF596" s="78">
        <f>IF($CE596="Currently Specially Serviced",1,0)</f>
        <v/>
      </c>
      <c r="CG596" s="76">
        <f>IF($AA596="Yes","Currently on Watchlist",IF($AA596="Previously","Previously on Watchlist","Never on Watchlist"))</f>
        <v/>
      </c>
      <c r="CH596" s="78">
        <f>IF($CG596="Currently on Watchlist",1,0)</f>
        <v/>
      </c>
      <c r="CI596" s="76">
        <f>IF($Z596="Full Defeasance","Fully Defeased",IF($Z596="Portion Of Loan Previously Defeased","Partially Defeased",IF($Z596="Defeasance Not Allowable","Not Defeased (Not Permitted)","Not Defeased")))</f>
        <v/>
      </c>
      <c r="CJ596" s="78">
        <f>IF($CI596="Fully Defeased",1,0)</f>
        <v/>
      </c>
      <c r="CK596" s="76">
        <f>IF($R596="IO","Full IO",IF(LEFT($R596&amp;"",7)="IO then","Partial IO","Amortizing"))</f>
        <v/>
      </c>
      <c r="CL596" s="78">
        <f>IF($CK596="Full IO",1,0)</f>
        <v/>
      </c>
      <c r="CM596" s="78">
        <f>IF($CK596="Partial IO",1,0)</f>
        <v/>
      </c>
      <c r="CN596" s="76">
        <f>IF(LEFT($F596&amp;"",10)="SPLIT_LOAN","Pari Passu Split","Standalone")</f>
        <v/>
      </c>
      <c r="CO596" s="78">
        <f>IF($CN596="Pari Passu Split",1,0)</f>
        <v/>
      </c>
      <c r="CP596" s="77">
        <f>IF(ISNUMBER($T596),YEAR($T596),"")</f>
        <v/>
      </c>
      <c r="CQ596" s="79">
        <f>IF(ISNUMBER($V596),$V596,IF(ISNUMBER($U596),$U596,""))</f>
        <v/>
      </c>
      <c r="CR596" s="77">
        <f>IF(ISNUMBER($CQ596),YEAR($CQ596),"")</f>
        <v/>
      </c>
      <c r="CS596" s="78">
        <f>IF(ISNUMBER($M596),MAX(0,$M596),IF(TRIM($M596&amp;"")="matured",0,""))</f>
        <v/>
      </c>
      <c r="CT596" s="78">
        <f>IF(AND(ISNUMBER($CS596),N($CS596)&lt;=mMatWindow),1,0)</f>
        <v/>
      </c>
      <c r="CU596" s="80">
        <f>IF(ISNUMBER($J596),$J596/100,"")</f>
        <v/>
      </c>
      <c r="CV596" s="81">
        <f>IF(ISNUMBER($AQ596),$AQ596,"")</f>
        <v/>
      </c>
      <c r="CW596" s="81">
        <f>IF(ISNUMBER($AR596),$AR596,"")</f>
        <v/>
      </c>
      <c r="CX596" s="82">
        <f>IF(ISNUMBER($AS596),$AS596/100,"")</f>
        <v/>
      </c>
      <c r="CY596" s="82">
        <f>IF(ISNUMBER($AT596),$AT596/100,"")</f>
        <v/>
      </c>
      <c r="CZ596" s="82">
        <f>IF(ISNUMBER($AU596),$AU596/100,"")</f>
        <v/>
      </c>
      <c r="DA596" s="82">
        <f>IF(ISNUMBER($AV596),$AV596/100,"")</f>
        <v/>
      </c>
      <c r="DB596" s="82">
        <f>IF(ISNUMBER($AW596),$AW596/100,"")</f>
        <v/>
      </c>
      <c r="DC596" s="82">
        <f>IF(ISNUMBER($AX596),$AX596/100,"")</f>
        <v/>
      </c>
      <c r="DD596" s="77">
        <f>IFERROR(VALUE(LEFT(TRIM($AO596&amp;""),4)),"")</f>
        <v/>
      </c>
      <c r="DE596" s="78">
        <f>IF(AND($BY596=1,$BX596=1,OR(fDeal="All Deals",$BU596=fDeal),OR(fEntity="All Entities",$BV596=fEntity),OR(fPType="All Property Types",$BZ596=fPType),OR(fDefeased="Include",$CJ596=0)),1,0)</f>
        <v/>
      </c>
      <c r="DF596" s="83">
        <f>$DE596*N($I596)</f>
        <v/>
      </c>
      <c r="DG596" s="78">
        <f>IF($DE596=1,IF(COUNTIFS($F$8:$F596,$F596,$DE$8:$DE596,1)=1,1,0),0)</f>
        <v/>
      </c>
      <c r="DH596" s="83">
        <f>IF($DG596=1,SUMIFS($DF$8:$DF$1600,$F$8:$F$1600,$F596),0)</f>
        <v/>
      </c>
      <c r="DI596" s="78">
        <f>IF($DG596=1,COUNTIFS($F$8:$F$1600,$F596,$DE$8:$DE$1600,1),0)</f>
        <v/>
      </c>
      <c r="DJ596" s="84">
        <f>IF($DG596=1,$DH596+(100000-ROW())/mTieBreak,0)</f>
        <v/>
      </c>
    </row>
    <row r="597">
      <c r="B597" s="68" t="n">
        <v>10</v>
      </c>
      <c r="C597" s="69" t="inlineStr">
        <is>
          <t>UBS18C13</t>
        </is>
      </c>
      <c r="D597" s="69" t="inlineStr">
        <is>
          <t>10.000</t>
        </is>
      </c>
      <c r="E597" s="69" t="inlineStr">
        <is>
          <t>Shelbourne Global Portfolio I</t>
        </is>
      </c>
      <c r="F597" s="69" t="inlineStr">
        <is>
          <t>SPLIT_LOAN_01361</t>
        </is>
      </c>
      <c r="G597" s="70" t="n">
        <v>1361</v>
      </c>
      <c r="H597" s="71" t="n">
        <v>20000000</v>
      </c>
      <c r="I597" s="71" t="n">
        <v>0</v>
      </c>
      <c r="J597" s="72" t="n">
        <v>5.853</v>
      </c>
      <c r="K597" s="69" t="inlineStr">
        <is>
          <t>Fixed rate</t>
        </is>
      </c>
      <c r="L597" s="68" t="n">
        <v>120</v>
      </c>
      <c r="M597" s="68" t="n"/>
      <c r="N597" s="68" t="n">
        <v>120</v>
      </c>
      <c r="O597" s="68" t="n">
        <v>120</v>
      </c>
      <c r="P597" s="68" t="n"/>
      <c r="Q597" s="68" t="n"/>
      <c r="R597" s="69" t="inlineStr">
        <is>
          <t>IO</t>
        </is>
      </c>
      <c r="S597" s="69" t="inlineStr">
        <is>
          <t>Yes</t>
        </is>
      </c>
      <c r="T597" s="73" t="n">
        <v>43374</v>
      </c>
      <c r="U597" s="73" t="n">
        <v>47032</v>
      </c>
      <c r="V597" s="73" t="n"/>
      <c r="W597" s="69" t="n"/>
      <c r="X597" s="69" t="inlineStr">
        <is>
          <t>Current</t>
        </is>
      </c>
      <c r="Y597" s="68" t="n"/>
      <c r="Z597" s="69" t="inlineStr">
        <is>
          <t>No Defeasance Occurred</t>
        </is>
      </c>
      <c r="AA597" s="69" t="inlineStr">
        <is>
          <t>Previously</t>
        </is>
      </c>
      <c r="AB597" s="69" t="inlineStr">
        <is>
          <t>Currently special serv</t>
        </is>
      </c>
      <c r="AC597" s="73" t="n">
        <v>44896</v>
      </c>
      <c r="AD597" s="69" t="inlineStr">
        <is>
          <t>Other</t>
        </is>
      </c>
      <c r="AE597" s="69" t="inlineStr">
        <is>
          <t>DPO</t>
        </is>
      </c>
      <c r="AF597" s="69" t="inlineStr">
        <is>
          <t>NJ</t>
        </is>
      </c>
      <c r="AG597" s="69" t="n"/>
      <c r="AH597" s="69" t="inlineStr">
        <is>
          <t>New York-Newark-Jersey City, NY-NJ</t>
        </is>
      </c>
      <c r="AI597" s="69" t="inlineStr">
        <is>
          <t>Northeast / Mid-Atlantic</t>
        </is>
      </c>
      <c r="AJ597" s="69" t="inlineStr">
        <is>
          <t>OF-68.817204300% IN-31.182795700%</t>
        </is>
      </c>
      <c r="AK597" s="69" t="n"/>
      <c r="AL597" s="68" t="n">
        <v>7</v>
      </c>
      <c r="AM597" s="68" t="n"/>
      <c r="AN597" s="68" t="n">
        <v>640983</v>
      </c>
      <c r="AO597" s="69" t="n"/>
      <c r="AP597" s="70" t="n">
        <v>2012</v>
      </c>
      <c r="AQ597" s="74" t="n">
        <v>1.45</v>
      </c>
      <c r="AR597" s="74" t="n">
        <v>1.61</v>
      </c>
      <c r="AS597" s="74" t="n">
        <v>65.15000000000001</v>
      </c>
      <c r="AT597" s="74" t="n"/>
      <c r="AU597" s="74" t="n">
        <v>65.15000000000001</v>
      </c>
      <c r="AV597" s="74" t="n">
        <v>8.584808075</v>
      </c>
      <c r="AW597" s="74" t="n"/>
      <c r="AX597" s="75" t="n">
        <v>94.58</v>
      </c>
      <c r="AY597" s="71" t="n">
        <v>142750000</v>
      </c>
      <c r="AZ597" s="71" t="n">
        <v>166800000</v>
      </c>
      <c r="BA597" s="71" t="n">
        <v>7983871.51</v>
      </c>
      <c r="BB597" s="71" t="n">
        <v>8892186.609999999</v>
      </c>
      <c r="BC597" s="69" t="inlineStr">
        <is>
          <t>Refinance</t>
        </is>
      </c>
      <c r="BD597" s="69" t="inlineStr">
        <is>
          <t>N</t>
        </is>
      </c>
      <c r="BE597" s="71" t="n">
        <v>0</v>
      </c>
      <c r="BF597" s="71" t="n"/>
      <c r="BG597" s="71" t="n"/>
      <c r="BH597" s="71" t="n">
        <v>0</v>
      </c>
      <c r="BI597" s="71" t="n">
        <v>0</v>
      </c>
      <c r="BJ597" s="69" t="inlineStr">
        <is>
          <t>N</t>
        </is>
      </c>
      <c r="BK597" s="69" t="inlineStr">
        <is>
          <t>Lummus Technology Inc.</t>
        </is>
      </c>
      <c r="BL597" s="75" t="n">
        <v>13.06</v>
      </c>
      <c r="BM597" s="73" t="n">
        <v>49095</v>
      </c>
      <c r="BN597" s="69" t="inlineStr">
        <is>
          <t>Barry Friedman; Benjamin Schlossberg</t>
        </is>
      </c>
      <c r="BO597" s="69" t="n"/>
      <c r="BP597" s="69" t="inlineStr">
        <is>
          <t>Midland Loan Services</t>
        </is>
      </c>
      <c r="BQ597" s="69" t="inlineStr">
        <is>
          <t>Midland Loan Services</t>
        </is>
      </c>
      <c r="BR597" s="69" t="inlineStr">
        <is>
          <t>DPO</t>
        </is>
      </c>
      <c r="BS597" s="73" t="n">
        <v>46153</v>
      </c>
      <c r="BU597" s="76">
        <f>IF($C597="","",IFERROR(INDEX(dmName,MATCH($C597,dmID,0)),"Unmapped"))</f>
        <v/>
      </c>
      <c r="BV597" s="76">
        <f>IF($C597="","",IFERROR(INDEX(dmEntity,MATCH($C597,dmID,0)),"Unmapped"))</f>
        <v/>
      </c>
      <c r="BW597" s="77">
        <f>IF($C597="","",IFERROR(INDEX(dmVintage,MATCH($C597,dmID,0)),""))</f>
        <v/>
      </c>
      <c r="BX597" s="78">
        <f>IFERROR(INDEX(dmInclude,MATCH($C597,dmID,0)),0)</f>
        <v/>
      </c>
      <c r="BY597" s="78">
        <f>IF(N($I597)&gt;0,1,0)</f>
        <v/>
      </c>
      <c r="BZ597" s="76">
        <f>IF($AJ597="","Other / Leased Fee",IFERROR(INDEX(mapPTGroup,MATCH(LEFT(TRIM($AJ597),2),mapPTCode,0)),"Other / Leased Fee"))</f>
        <v/>
      </c>
      <c r="CA597" s="76">
        <f>IF(TRIM($AF597&amp;"")="","NR",LEFT(TRIM($AF597),2))</f>
        <v/>
      </c>
      <c r="CB597" s="76">
        <f>IFERROR(LOOKUP(2,1/(LEFT(TRIM($AI597&amp;""),LEN(mapRegion))=mapRegion),mapRegion),"Not Reported")</f>
        <v/>
      </c>
      <c r="CC597" s="76">
        <f>IF($BY597=0,"",IF(TRIM($W597&amp;"")="REO","REO",IF(TRIM($W597&amp;"")="FC","Foreclosure",IF(TRIM($W597&amp;"")="90+","90+ Days Delinquent",IF(TRIM($W597&amp;"")="60","60 Days Delinquent",IF(TRIM($W597&amp;"")="30","30 Days Delinquent",IF($X597="Non-Performing Matured Balloon","Non-Performing Matured Balloon",IF(OR($X597="Late Payment But Less Than 30 Days Delinquent",LEFT($X597&amp;"",20)="Payment Not Received"),"Late / In Grace (&lt;30 Days)",IF($X597="Performing Matured Balloon","Performing Matured Balloon","Current")))))))))</f>
        <v/>
      </c>
      <c r="CD597" s="78">
        <f>IF(OR($CC597="REO",$CC597="Foreclosure",$CC597="90+ Days Delinquent",$CC597="60 Days Delinquent",$CC597="30 Days Delinquent",$CC597="Non-Performing Matured Balloon"),1,0)</f>
        <v/>
      </c>
      <c r="CE597" s="76">
        <f>IF($AB597="Currently special serv","Currently Specially Serviced",IF($AB597="Returned to master serv","Previously Specially Serviced","Never Specially Serviced"))</f>
        <v/>
      </c>
      <c r="CF597" s="78">
        <f>IF($CE597="Currently Specially Serviced",1,0)</f>
        <v/>
      </c>
      <c r="CG597" s="76">
        <f>IF($AA597="Yes","Currently on Watchlist",IF($AA597="Previously","Previously on Watchlist","Never on Watchlist"))</f>
        <v/>
      </c>
      <c r="CH597" s="78">
        <f>IF($CG597="Currently on Watchlist",1,0)</f>
        <v/>
      </c>
      <c r="CI597" s="76">
        <f>IF($Z597="Full Defeasance","Fully Defeased",IF($Z597="Portion Of Loan Previously Defeased","Partially Defeased",IF($Z597="Defeasance Not Allowable","Not Defeased (Not Permitted)","Not Defeased")))</f>
        <v/>
      </c>
      <c r="CJ597" s="78">
        <f>IF($CI597="Fully Defeased",1,0)</f>
        <v/>
      </c>
      <c r="CK597" s="76">
        <f>IF($R597="IO","Full IO",IF(LEFT($R597&amp;"",7)="IO then","Partial IO","Amortizing"))</f>
        <v/>
      </c>
      <c r="CL597" s="78">
        <f>IF($CK597="Full IO",1,0)</f>
        <v/>
      </c>
      <c r="CM597" s="78">
        <f>IF($CK597="Partial IO",1,0)</f>
        <v/>
      </c>
      <c r="CN597" s="76">
        <f>IF(LEFT($F597&amp;"",10)="SPLIT_LOAN","Pari Passu Split","Standalone")</f>
        <v/>
      </c>
      <c r="CO597" s="78">
        <f>IF($CN597="Pari Passu Split",1,0)</f>
        <v/>
      </c>
      <c r="CP597" s="77">
        <f>IF(ISNUMBER($T597),YEAR($T597),"")</f>
        <v/>
      </c>
      <c r="CQ597" s="79">
        <f>IF(ISNUMBER($V597),$V597,IF(ISNUMBER($U597),$U597,""))</f>
        <v/>
      </c>
      <c r="CR597" s="77">
        <f>IF(ISNUMBER($CQ597),YEAR($CQ597),"")</f>
        <v/>
      </c>
      <c r="CS597" s="78">
        <f>IF(ISNUMBER($M597),MAX(0,$M597),IF(TRIM($M597&amp;"")="matured",0,""))</f>
        <v/>
      </c>
      <c r="CT597" s="78">
        <f>IF(AND(ISNUMBER($CS597),N($CS597)&lt;=mMatWindow),1,0)</f>
        <v/>
      </c>
      <c r="CU597" s="80">
        <f>IF(ISNUMBER($J597),$J597/100,"")</f>
        <v/>
      </c>
      <c r="CV597" s="81">
        <f>IF(ISNUMBER($AQ597),$AQ597,"")</f>
        <v/>
      </c>
      <c r="CW597" s="81">
        <f>IF(ISNUMBER($AR597),$AR597,"")</f>
        <v/>
      </c>
      <c r="CX597" s="82">
        <f>IF(ISNUMBER($AS597),$AS597/100,"")</f>
        <v/>
      </c>
      <c r="CY597" s="82">
        <f>IF(ISNUMBER($AT597),$AT597/100,"")</f>
        <v/>
      </c>
      <c r="CZ597" s="82">
        <f>IF(ISNUMBER($AU597),$AU597/100,"")</f>
        <v/>
      </c>
      <c r="DA597" s="82">
        <f>IF(ISNUMBER($AV597),$AV597/100,"")</f>
        <v/>
      </c>
      <c r="DB597" s="82">
        <f>IF(ISNUMBER($AW597),$AW597/100,"")</f>
        <v/>
      </c>
      <c r="DC597" s="82">
        <f>IF(ISNUMBER($AX597),$AX597/100,"")</f>
        <v/>
      </c>
      <c r="DD597" s="77">
        <f>IFERROR(VALUE(LEFT(TRIM($AO597&amp;""),4)),"")</f>
        <v/>
      </c>
      <c r="DE597" s="78">
        <f>IF(AND($BY597=1,$BX597=1,OR(fDeal="All Deals",$BU597=fDeal),OR(fEntity="All Entities",$BV597=fEntity),OR(fPType="All Property Types",$BZ597=fPType),OR(fDefeased="Include",$CJ597=0)),1,0)</f>
        <v/>
      </c>
      <c r="DF597" s="83">
        <f>$DE597*N($I597)</f>
        <v/>
      </c>
      <c r="DG597" s="78">
        <f>IF($DE597=1,IF(COUNTIFS($F$8:$F597,$F597,$DE$8:$DE597,1)=1,1,0),0)</f>
        <v/>
      </c>
      <c r="DH597" s="83">
        <f>IF($DG597=1,SUMIFS($DF$8:$DF$1600,$F$8:$F$1600,$F597),0)</f>
        <v/>
      </c>
      <c r="DI597" s="78">
        <f>IF($DG597=1,COUNTIFS($F$8:$F$1600,$F597,$DE$8:$DE$1600,1),0)</f>
        <v/>
      </c>
      <c r="DJ597" s="84">
        <f>IF($DG597=1,$DH597+(100000-ROW())/mTieBreak,0)</f>
        <v/>
      </c>
    </row>
    <row r="598">
      <c r="B598" s="68" t="n">
        <v>11</v>
      </c>
      <c r="C598" s="69" t="inlineStr">
        <is>
          <t>UBS18C13</t>
        </is>
      </c>
      <c r="D598" s="69" t="inlineStr">
        <is>
          <t>11.000</t>
        </is>
      </c>
      <c r="E598" s="69" t="inlineStr">
        <is>
          <t>Ellsworth Place</t>
        </is>
      </c>
      <c r="F598" s="69" t="inlineStr">
        <is>
          <t>SPLIT_LOAN_01362</t>
        </is>
      </c>
      <c r="G598" s="70" t="n">
        <v>1362</v>
      </c>
      <c r="H598" s="71" t="n">
        <v>20000000</v>
      </c>
      <c r="I598" s="71" t="n">
        <v>18419732.82</v>
      </c>
      <c r="J598" s="72" t="n">
        <v>5.01</v>
      </c>
      <c r="K598" s="69" t="inlineStr">
        <is>
          <t>Fixed rate</t>
        </is>
      </c>
      <c r="L598" s="68" t="n">
        <v>120</v>
      </c>
      <c r="M598" s="68" t="n">
        <v>23</v>
      </c>
      <c r="N598" s="68" t="n">
        <v>396</v>
      </c>
      <c r="O598" s="68" t="n">
        <v>36</v>
      </c>
      <c r="P598" s="68" t="n">
        <v>0</v>
      </c>
      <c r="Q598" s="68" t="n">
        <v>97</v>
      </c>
      <c r="R598" s="69" t="inlineStr">
        <is>
          <t>IO then Amort</t>
        </is>
      </c>
      <c r="S598" s="69" t="inlineStr">
        <is>
          <t>No</t>
        </is>
      </c>
      <c r="T598" s="73" t="n">
        <v>43313</v>
      </c>
      <c r="U598" s="73" t="n">
        <v>46971</v>
      </c>
      <c r="V598" s="73" t="n"/>
      <c r="W598" s="69" t="inlineStr">
        <is>
          <t>90+</t>
        </is>
      </c>
      <c r="X598" s="69" t="inlineStr">
        <is>
          <t>121+ Days Delinquent</t>
        </is>
      </c>
      <c r="Y598" s="68" t="n">
        <v>9</v>
      </c>
      <c r="Z598" s="69" t="inlineStr">
        <is>
          <t>Defeasance Not Allowable</t>
        </is>
      </c>
      <c r="AA598" s="69" t="inlineStr">
        <is>
          <t>Previously</t>
        </is>
      </c>
      <c r="AB598" s="69" t="inlineStr">
        <is>
          <t>Currently special serv</t>
        </is>
      </c>
      <c r="AC598" s="73" t="n">
        <v>45957</v>
      </c>
      <c r="AD598" s="69" t="inlineStr">
        <is>
          <t>Imminent Monetary Default (excluding Balloon/Maturity Default &amp; Single Tenant Bankruptcy/Vacate)</t>
        </is>
      </c>
      <c r="AE598" s="69" t="inlineStr">
        <is>
          <t>Foreclosure</t>
        </is>
      </c>
      <c r="AF598" s="69" t="inlineStr">
        <is>
          <t>MD</t>
        </is>
      </c>
      <c r="AG598" s="69" t="inlineStr">
        <is>
          <t>Silver Spring</t>
        </is>
      </c>
      <c r="AH598" s="69" t="inlineStr">
        <is>
          <t>Washington-Arlington-Alexandria, DC-VA-MD-WV</t>
        </is>
      </c>
      <c r="AI598" s="69" t="inlineStr">
        <is>
          <t>South / Atlantic</t>
        </is>
      </c>
      <c r="AJ598" s="69" t="inlineStr">
        <is>
          <t>RT</t>
        </is>
      </c>
      <c r="AK598" s="69" t="inlineStr">
        <is>
          <t>Anchored</t>
        </is>
      </c>
      <c r="AL598" s="68" t="n">
        <v>1</v>
      </c>
      <c r="AM598" s="68" t="n"/>
      <c r="AN598" s="68" t="n">
        <v>347758</v>
      </c>
      <c r="AO598" s="69" t="inlineStr">
        <is>
          <t>1947</t>
        </is>
      </c>
      <c r="AP598" s="70" t="n">
        <v>2015</v>
      </c>
      <c r="AQ598" s="74" t="n">
        <v>1.46</v>
      </c>
      <c r="AR598" s="74" t="n">
        <v>1.22</v>
      </c>
      <c r="AS598" s="74" t="n">
        <v>71.90000000000001</v>
      </c>
      <c r="AT598" s="74" t="n">
        <v>92.77</v>
      </c>
      <c r="AU598" s="74" t="n">
        <v>63.7</v>
      </c>
      <c r="AV598" s="74" t="n">
        <v>9.435697101000001</v>
      </c>
      <c r="AW598" s="74" t="n">
        <v>8.541078489</v>
      </c>
      <c r="AX598" s="75" t="n">
        <v>95</v>
      </c>
      <c r="AY598" s="71" t="n">
        <v>95900000</v>
      </c>
      <c r="AZ598" s="71" t="n">
        <v>68500000</v>
      </c>
      <c r="BA598" s="71" t="n">
        <v>6510631</v>
      </c>
      <c r="BB598" s="71" t="n">
        <v>5427691.24</v>
      </c>
      <c r="BC598" s="69" t="inlineStr">
        <is>
          <t>Acquisition</t>
        </is>
      </c>
      <c r="BD598" s="69" t="inlineStr">
        <is>
          <t>N</t>
        </is>
      </c>
      <c r="BE598" s="71" t="n">
        <v>45128345.41</v>
      </c>
      <c r="BF598" s="71" t="n"/>
      <c r="BG598" s="71" t="n"/>
      <c r="BH598" s="71" t="n">
        <v>1039830.1</v>
      </c>
      <c r="BI598" s="71" t="n">
        <v>1047860.38</v>
      </c>
      <c r="BJ598" s="69" t="inlineStr">
        <is>
          <t>Y</t>
        </is>
      </c>
      <c r="BK598" s="69" t="inlineStr">
        <is>
          <t>Burlington Coat Factory</t>
        </is>
      </c>
      <c r="BL598" s="75" t="n">
        <v>19.03</v>
      </c>
      <c r="BM598" s="73" t="n">
        <v>46081</v>
      </c>
      <c r="BN598" s="69" t="inlineStr">
        <is>
          <t>George B. Tomlin, Jr.</t>
        </is>
      </c>
      <c r="BO598" s="69" t="n"/>
      <c r="BP598" s="69" t="inlineStr">
        <is>
          <t>Midland Loan Services</t>
        </is>
      </c>
      <c r="BQ598" s="69" t="inlineStr">
        <is>
          <t>K-Star Asset Management LLC</t>
        </is>
      </c>
      <c r="BR598" s="69" t="n"/>
      <c r="BS598" s="73" t="n">
        <v>46276</v>
      </c>
      <c r="BU598" s="76">
        <f>IF($C598="","",IFERROR(INDEX(dmName,MATCH($C598,dmID,0)),"Unmapped"))</f>
        <v/>
      </c>
      <c r="BV598" s="76">
        <f>IF($C598="","",IFERROR(INDEX(dmEntity,MATCH($C598,dmID,0)),"Unmapped"))</f>
        <v/>
      </c>
      <c r="BW598" s="77">
        <f>IF($C598="","",IFERROR(INDEX(dmVintage,MATCH($C598,dmID,0)),""))</f>
        <v/>
      </c>
      <c r="BX598" s="78">
        <f>IFERROR(INDEX(dmInclude,MATCH($C598,dmID,0)),0)</f>
        <v/>
      </c>
      <c r="BY598" s="78">
        <f>IF(N($I598)&gt;0,1,0)</f>
        <v/>
      </c>
      <c r="BZ598" s="76">
        <f>IF($AJ598="","Other / Leased Fee",IFERROR(INDEX(mapPTGroup,MATCH(LEFT(TRIM($AJ598),2),mapPTCode,0)),"Other / Leased Fee"))</f>
        <v/>
      </c>
      <c r="CA598" s="76">
        <f>IF(TRIM($AF598&amp;"")="","NR",LEFT(TRIM($AF598),2))</f>
        <v/>
      </c>
      <c r="CB598" s="76">
        <f>IFERROR(LOOKUP(2,1/(LEFT(TRIM($AI598&amp;""),LEN(mapRegion))=mapRegion),mapRegion),"Not Reported")</f>
        <v/>
      </c>
      <c r="CC598" s="76">
        <f>IF($BY598=0,"",IF(TRIM($W598&amp;"")="REO","REO",IF(TRIM($W598&amp;"")="FC","Foreclosure",IF(TRIM($W598&amp;"")="90+","90+ Days Delinquent",IF(TRIM($W598&amp;"")="60","60 Days Delinquent",IF(TRIM($W598&amp;"")="30","30 Days Delinquent",IF($X598="Non-Performing Matured Balloon","Non-Performing Matured Balloon",IF(OR($X598="Late Payment But Less Than 30 Days Delinquent",LEFT($X598&amp;"",20)="Payment Not Received"),"Late / In Grace (&lt;30 Days)",IF($X598="Performing Matured Balloon","Performing Matured Balloon","Current")))))))))</f>
        <v/>
      </c>
      <c r="CD598" s="78">
        <f>IF(OR($CC598="REO",$CC598="Foreclosure",$CC598="90+ Days Delinquent",$CC598="60 Days Delinquent",$CC598="30 Days Delinquent",$CC598="Non-Performing Matured Balloon"),1,0)</f>
        <v/>
      </c>
      <c r="CE598" s="76">
        <f>IF($AB598="Currently special serv","Currently Specially Serviced",IF($AB598="Returned to master serv","Previously Specially Serviced","Never Specially Serviced"))</f>
        <v/>
      </c>
      <c r="CF598" s="78">
        <f>IF($CE598="Currently Specially Serviced",1,0)</f>
        <v/>
      </c>
      <c r="CG598" s="76">
        <f>IF($AA598="Yes","Currently on Watchlist",IF($AA598="Previously","Previously on Watchlist","Never on Watchlist"))</f>
        <v/>
      </c>
      <c r="CH598" s="78">
        <f>IF($CG598="Currently on Watchlist",1,0)</f>
        <v/>
      </c>
      <c r="CI598" s="76">
        <f>IF($Z598="Full Defeasance","Fully Defeased",IF($Z598="Portion Of Loan Previously Defeased","Partially Defeased",IF($Z598="Defeasance Not Allowable","Not Defeased (Not Permitted)","Not Defeased")))</f>
        <v/>
      </c>
      <c r="CJ598" s="78">
        <f>IF($CI598="Fully Defeased",1,0)</f>
        <v/>
      </c>
      <c r="CK598" s="76">
        <f>IF($R598="IO","Full IO",IF(LEFT($R598&amp;"",7)="IO then","Partial IO","Amortizing"))</f>
        <v/>
      </c>
      <c r="CL598" s="78">
        <f>IF($CK598="Full IO",1,0)</f>
        <v/>
      </c>
      <c r="CM598" s="78">
        <f>IF($CK598="Partial IO",1,0)</f>
        <v/>
      </c>
      <c r="CN598" s="76">
        <f>IF(LEFT($F598&amp;"",10)="SPLIT_LOAN","Pari Passu Split","Standalone")</f>
        <v/>
      </c>
      <c r="CO598" s="78">
        <f>IF($CN598="Pari Passu Split",1,0)</f>
        <v/>
      </c>
      <c r="CP598" s="77">
        <f>IF(ISNUMBER($T598),YEAR($T598),"")</f>
        <v/>
      </c>
      <c r="CQ598" s="79">
        <f>IF(ISNUMBER($V598),$V598,IF(ISNUMBER($U598),$U598,""))</f>
        <v/>
      </c>
      <c r="CR598" s="77">
        <f>IF(ISNUMBER($CQ598),YEAR($CQ598),"")</f>
        <v/>
      </c>
      <c r="CS598" s="78">
        <f>IF(ISNUMBER($M598),MAX(0,$M598),IF(TRIM($M598&amp;"")="matured",0,""))</f>
        <v/>
      </c>
      <c r="CT598" s="78">
        <f>IF(AND(ISNUMBER($CS598),N($CS598)&lt;=mMatWindow),1,0)</f>
        <v/>
      </c>
      <c r="CU598" s="80">
        <f>IF(ISNUMBER($J598),$J598/100,"")</f>
        <v/>
      </c>
      <c r="CV598" s="81">
        <f>IF(ISNUMBER($AQ598),$AQ598,"")</f>
        <v/>
      </c>
      <c r="CW598" s="81">
        <f>IF(ISNUMBER($AR598),$AR598,"")</f>
        <v/>
      </c>
      <c r="CX598" s="82">
        <f>IF(ISNUMBER($AS598),$AS598/100,"")</f>
        <v/>
      </c>
      <c r="CY598" s="82">
        <f>IF(ISNUMBER($AT598),$AT598/100,"")</f>
        <v/>
      </c>
      <c r="CZ598" s="82">
        <f>IF(ISNUMBER($AU598),$AU598/100,"")</f>
        <v/>
      </c>
      <c r="DA598" s="82">
        <f>IF(ISNUMBER($AV598),$AV598/100,"")</f>
        <v/>
      </c>
      <c r="DB598" s="82">
        <f>IF(ISNUMBER($AW598),$AW598/100,"")</f>
        <v/>
      </c>
      <c r="DC598" s="82">
        <f>IF(ISNUMBER($AX598),$AX598/100,"")</f>
        <v/>
      </c>
      <c r="DD598" s="77">
        <f>IFERROR(VALUE(LEFT(TRIM($AO598&amp;""),4)),"")</f>
        <v/>
      </c>
      <c r="DE598" s="78">
        <f>IF(AND($BY598=1,$BX598=1,OR(fDeal="All Deals",$BU598=fDeal),OR(fEntity="All Entities",$BV598=fEntity),OR(fPType="All Property Types",$BZ598=fPType),OR(fDefeased="Include",$CJ598=0)),1,0)</f>
        <v/>
      </c>
      <c r="DF598" s="83">
        <f>$DE598*N($I598)</f>
        <v/>
      </c>
      <c r="DG598" s="78">
        <f>IF($DE598=1,IF(COUNTIFS($F$8:$F598,$F598,$DE$8:$DE598,1)=1,1,0),0)</f>
        <v/>
      </c>
      <c r="DH598" s="83">
        <f>IF($DG598=1,SUMIFS($DF$8:$DF$1600,$F$8:$F$1600,$F598),0)</f>
        <v/>
      </c>
      <c r="DI598" s="78">
        <f>IF($DG598=1,COUNTIFS($F$8:$F$1600,$F598,$DE$8:$DE$1600,1),0)</f>
        <v/>
      </c>
      <c r="DJ598" s="84">
        <f>IF($DG598=1,$DH598+(100000-ROW())/mTieBreak,0)</f>
        <v/>
      </c>
    </row>
    <row r="599">
      <c r="B599" s="68" t="n">
        <v>12</v>
      </c>
      <c r="C599" s="69" t="inlineStr">
        <is>
          <t>UBS18C13</t>
        </is>
      </c>
      <c r="D599" s="69" t="inlineStr">
        <is>
          <t>12.000</t>
        </is>
      </c>
      <c r="E599" s="69" t="inlineStr">
        <is>
          <t>Wendland Plaza</t>
        </is>
      </c>
      <c r="F599" s="69" t="inlineStr">
        <is>
          <t>LNUBS18C13-12.000</t>
        </is>
      </c>
      <c r="G599" s="70" t="n"/>
      <c r="H599" s="71" t="n">
        <v>18000000</v>
      </c>
      <c r="I599" s="71" t="n">
        <v>18000000</v>
      </c>
      <c r="J599" s="72" t="n">
        <v>4.815</v>
      </c>
      <c r="K599" s="69" t="inlineStr">
        <is>
          <t>Fixed rate</t>
        </is>
      </c>
      <c r="L599" s="68" t="n">
        <v>120</v>
      </c>
      <c r="M599" s="68" t="n">
        <v>24</v>
      </c>
      <c r="N599" s="68" t="n">
        <v>120</v>
      </c>
      <c r="O599" s="68" t="n">
        <v>120</v>
      </c>
      <c r="P599" s="68" t="n">
        <v>24</v>
      </c>
      <c r="Q599" s="68" t="n">
        <v>96</v>
      </c>
      <c r="R599" s="69" t="inlineStr">
        <is>
          <t>IO</t>
        </is>
      </c>
      <c r="S599" s="69" t="inlineStr">
        <is>
          <t>Yes</t>
        </is>
      </c>
      <c r="T599" s="73" t="n">
        <v>43344</v>
      </c>
      <c r="U599" s="73" t="n">
        <v>47002</v>
      </c>
      <c r="V599" s="73" t="n"/>
      <c r="W599" s="69" t="n"/>
      <c r="X599" s="69" t="inlineStr">
        <is>
          <t>Current</t>
        </is>
      </c>
      <c r="Y599" s="68" t="n"/>
      <c r="Z599" s="69" t="inlineStr">
        <is>
          <t>Defeasance Not Allowable</t>
        </is>
      </c>
      <c r="AA599" s="69" t="inlineStr">
        <is>
          <t>Yes</t>
        </is>
      </c>
      <c r="AB599" s="69" t="inlineStr">
        <is>
          <t>Returned to master serv</t>
        </is>
      </c>
      <c r="AC599" s="73" t="n"/>
      <c r="AD599" s="69" t="inlineStr">
        <is>
          <t>Imminent Monetary Default (Single Tenant Bankruptcy/Vacate)</t>
        </is>
      </c>
      <c r="AE599" s="69" t="inlineStr">
        <is>
          <t>Resolved</t>
        </is>
      </c>
      <c r="AF599" s="69" t="inlineStr">
        <is>
          <t>TX</t>
        </is>
      </c>
      <c r="AG599" s="69" t="inlineStr">
        <is>
          <t>Killeen</t>
        </is>
      </c>
      <c r="AH599" s="69" t="inlineStr">
        <is>
          <t>Killeen-Temple, TX</t>
        </is>
      </c>
      <c r="AI599" s="69" t="inlineStr">
        <is>
          <t>South / Central West</t>
        </is>
      </c>
      <c r="AJ599" s="69" t="inlineStr">
        <is>
          <t>RT</t>
        </is>
      </c>
      <c r="AK599" s="69" t="inlineStr">
        <is>
          <t>Anchored</t>
        </is>
      </c>
      <c r="AL599" s="68" t="n">
        <v>1</v>
      </c>
      <c r="AM599" s="68" t="n"/>
      <c r="AN599" s="68" t="n">
        <v>205224</v>
      </c>
      <c r="AO599" s="69" t="inlineStr">
        <is>
          <t>1979 / 2008</t>
        </is>
      </c>
      <c r="AP599" s="70" t="n">
        <v>2008</v>
      </c>
      <c r="AQ599" s="74" t="n">
        <v>2.34</v>
      </c>
      <c r="AR599" s="74" t="n">
        <v>0.99</v>
      </c>
      <c r="AS599" s="74" t="n">
        <v>56.6</v>
      </c>
      <c r="AT599" s="74" t="n">
        <v>56.6</v>
      </c>
      <c r="AU599" s="74" t="n">
        <v>56.6</v>
      </c>
      <c r="AV599" s="74" t="n">
        <v>11.402603778</v>
      </c>
      <c r="AW599" s="74" t="n">
        <v>4.826280222</v>
      </c>
      <c r="AX599" s="75" t="n">
        <v>52</v>
      </c>
      <c r="AY599" s="71" t="n">
        <v>31800000</v>
      </c>
      <c r="AZ599" s="71" t="n">
        <v>31800000</v>
      </c>
      <c r="BA599" s="71" t="n">
        <v>2052468.68</v>
      </c>
      <c r="BB599" s="71" t="n">
        <v>868730.4399999999</v>
      </c>
      <c r="BC599" s="69" t="inlineStr">
        <is>
          <t>Recapitalization</t>
        </is>
      </c>
      <c r="BD599" s="69" t="inlineStr">
        <is>
          <t>N</t>
        </is>
      </c>
      <c r="BE599" s="71" t="n"/>
      <c r="BF599" s="71" t="n"/>
      <c r="BG599" s="71" t="n"/>
      <c r="BH599" s="71" t="n">
        <v>0</v>
      </c>
      <c r="BI599" s="71" t="n">
        <v>0</v>
      </c>
      <c r="BJ599" s="69" t="inlineStr">
        <is>
          <t>N</t>
        </is>
      </c>
      <c r="BK599" s="69" t="inlineStr">
        <is>
          <t>Vacant</t>
        </is>
      </c>
      <c r="BL599" s="75" t="n">
        <v>21.93</v>
      </c>
      <c r="BM599" s="73" t="n">
        <v>51501</v>
      </c>
      <c r="BN599" s="69" t="inlineStr">
        <is>
          <t>Bob Safai</t>
        </is>
      </c>
      <c r="BO599" s="69" t="n"/>
      <c r="BP599" s="69" t="inlineStr">
        <is>
          <t>Midland Loan Services</t>
        </is>
      </c>
      <c r="BQ599" s="69" t="inlineStr">
        <is>
          <t>Midland Loan Services</t>
        </is>
      </c>
      <c r="BR599" s="69" t="n"/>
      <c r="BS599" s="73" t="n">
        <v>46276</v>
      </c>
      <c r="BU599" s="76">
        <f>IF($C599="","",IFERROR(INDEX(dmName,MATCH($C599,dmID,0)),"Unmapped"))</f>
        <v/>
      </c>
      <c r="BV599" s="76">
        <f>IF($C599="","",IFERROR(INDEX(dmEntity,MATCH($C599,dmID,0)),"Unmapped"))</f>
        <v/>
      </c>
      <c r="BW599" s="77">
        <f>IF($C599="","",IFERROR(INDEX(dmVintage,MATCH($C599,dmID,0)),""))</f>
        <v/>
      </c>
      <c r="BX599" s="78">
        <f>IFERROR(INDEX(dmInclude,MATCH($C599,dmID,0)),0)</f>
        <v/>
      </c>
      <c r="BY599" s="78">
        <f>IF(N($I599)&gt;0,1,0)</f>
        <v/>
      </c>
      <c r="BZ599" s="76">
        <f>IF($AJ599="","Other / Leased Fee",IFERROR(INDEX(mapPTGroup,MATCH(LEFT(TRIM($AJ599),2),mapPTCode,0)),"Other / Leased Fee"))</f>
        <v/>
      </c>
      <c r="CA599" s="76">
        <f>IF(TRIM($AF599&amp;"")="","NR",LEFT(TRIM($AF599),2))</f>
        <v/>
      </c>
      <c r="CB599" s="76">
        <f>IFERROR(LOOKUP(2,1/(LEFT(TRIM($AI599&amp;""),LEN(mapRegion))=mapRegion),mapRegion),"Not Reported")</f>
        <v/>
      </c>
      <c r="CC599" s="76">
        <f>IF($BY599=0,"",IF(TRIM($W599&amp;"")="REO","REO",IF(TRIM($W599&amp;"")="FC","Foreclosure",IF(TRIM($W599&amp;"")="90+","90+ Days Delinquent",IF(TRIM($W599&amp;"")="60","60 Days Delinquent",IF(TRIM($W599&amp;"")="30","30 Days Delinquent",IF($X599="Non-Performing Matured Balloon","Non-Performing Matured Balloon",IF(OR($X599="Late Payment But Less Than 30 Days Delinquent",LEFT($X599&amp;"",20)="Payment Not Received"),"Late / In Grace (&lt;30 Days)",IF($X599="Performing Matured Balloon","Performing Matured Balloon","Current")))))))))</f>
        <v/>
      </c>
      <c r="CD599" s="78">
        <f>IF(OR($CC599="REO",$CC599="Foreclosure",$CC599="90+ Days Delinquent",$CC599="60 Days Delinquent",$CC599="30 Days Delinquent",$CC599="Non-Performing Matured Balloon"),1,0)</f>
        <v/>
      </c>
      <c r="CE599" s="76">
        <f>IF($AB599="Currently special serv","Currently Specially Serviced",IF($AB599="Returned to master serv","Previously Specially Serviced","Never Specially Serviced"))</f>
        <v/>
      </c>
      <c r="CF599" s="78">
        <f>IF($CE599="Currently Specially Serviced",1,0)</f>
        <v/>
      </c>
      <c r="CG599" s="76">
        <f>IF($AA599="Yes","Currently on Watchlist",IF($AA599="Previously","Previously on Watchlist","Never on Watchlist"))</f>
        <v/>
      </c>
      <c r="CH599" s="78">
        <f>IF($CG599="Currently on Watchlist",1,0)</f>
        <v/>
      </c>
      <c r="CI599" s="76">
        <f>IF($Z599="Full Defeasance","Fully Defeased",IF($Z599="Portion Of Loan Previously Defeased","Partially Defeased",IF($Z599="Defeasance Not Allowable","Not Defeased (Not Permitted)","Not Defeased")))</f>
        <v/>
      </c>
      <c r="CJ599" s="78">
        <f>IF($CI599="Fully Defeased",1,0)</f>
        <v/>
      </c>
      <c r="CK599" s="76">
        <f>IF($R599="IO","Full IO",IF(LEFT($R599&amp;"",7)="IO then","Partial IO","Amortizing"))</f>
        <v/>
      </c>
      <c r="CL599" s="78">
        <f>IF($CK599="Full IO",1,0)</f>
        <v/>
      </c>
      <c r="CM599" s="78">
        <f>IF($CK599="Partial IO",1,0)</f>
        <v/>
      </c>
      <c r="CN599" s="76">
        <f>IF(LEFT($F599&amp;"",10)="SPLIT_LOAN","Pari Passu Split","Standalone")</f>
        <v/>
      </c>
      <c r="CO599" s="78">
        <f>IF($CN599="Pari Passu Split",1,0)</f>
        <v/>
      </c>
      <c r="CP599" s="77">
        <f>IF(ISNUMBER($T599),YEAR($T599),"")</f>
        <v/>
      </c>
      <c r="CQ599" s="79">
        <f>IF(ISNUMBER($V599),$V599,IF(ISNUMBER($U599),$U599,""))</f>
        <v/>
      </c>
      <c r="CR599" s="77">
        <f>IF(ISNUMBER($CQ599),YEAR($CQ599),"")</f>
        <v/>
      </c>
      <c r="CS599" s="78">
        <f>IF(ISNUMBER($M599),MAX(0,$M599),IF(TRIM($M599&amp;"")="matured",0,""))</f>
        <v/>
      </c>
      <c r="CT599" s="78">
        <f>IF(AND(ISNUMBER($CS599),N($CS599)&lt;=mMatWindow),1,0)</f>
        <v/>
      </c>
      <c r="CU599" s="80">
        <f>IF(ISNUMBER($J599),$J599/100,"")</f>
        <v/>
      </c>
      <c r="CV599" s="81">
        <f>IF(ISNUMBER($AQ599),$AQ599,"")</f>
        <v/>
      </c>
      <c r="CW599" s="81">
        <f>IF(ISNUMBER($AR599),$AR599,"")</f>
        <v/>
      </c>
      <c r="CX599" s="82">
        <f>IF(ISNUMBER($AS599),$AS599/100,"")</f>
        <v/>
      </c>
      <c r="CY599" s="82">
        <f>IF(ISNUMBER($AT599),$AT599/100,"")</f>
        <v/>
      </c>
      <c r="CZ599" s="82">
        <f>IF(ISNUMBER($AU599),$AU599/100,"")</f>
        <v/>
      </c>
      <c r="DA599" s="82">
        <f>IF(ISNUMBER($AV599),$AV599/100,"")</f>
        <v/>
      </c>
      <c r="DB599" s="82">
        <f>IF(ISNUMBER($AW599),$AW599/100,"")</f>
        <v/>
      </c>
      <c r="DC599" s="82">
        <f>IF(ISNUMBER($AX599),$AX599/100,"")</f>
        <v/>
      </c>
      <c r="DD599" s="77">
        <f>IFERROR(VALUE(LEFT(TRIM($AO599&amp;""),4)),"")</f>
        <v/>
      </c>
      <c r="DE599" s="78">
        <f>IF(AND($BY599=1,$BX599=1,OR(fDeal="All Deals",$BU599=fDeal),OR(fEntity="All Entities",$BV599=fEntity),OR(fPType="All Property Types",$BZ599=fPType),OR(fDefeased="Include",$CJ599=0)),1,0)</f>
        <v/>
      </c>
      <c r="DF599" s="83">
        <f>$DE599*N($I599)</f>
        <v/>
      </c>
      <c r="DG599" s="78">
        <f>IF($DE599=1,IF(COUNTIFS($F$8:$F599,$F599,$DE$8:$DE599,1)=1,1,0),0)</f>
        <v/>
      </c>
      <c r="DH599" s="83">
        <f>IF($DG599=1,SUMIFS($DF$8:$DF$1600,$F$8:$F$1600,$F599),0)</f>
        <v/>
      </c>
      <c r="DI599" s="78">
        <f>IF($DG599=1,COUNTIFS($F$8:$F$1600,$F599,$DE$8:$DE$1600,1),0)</f>
        <v/>
      </c>
      <c r="DJ599" s="84">
        <f>IF($DG599=1,$DH599+(100000-ROW())/mTieBreak,0)</f>
        <v/>
      </c>
    </row>
    <row r="600">
      <c r="B600" s="68" t="n">
        <v>13</v>
      </c>
      <c r="C600" s="69" t="inlineStr">
        <is>
          <t>UBS18C13</t>
        </is>
      </c>
      <c r="D600" s="69" t="inlineStr">
        <is>
          <t>13.000</t>
        </is>
      </c>
      <c r="E600" s="69" t="inlineStr">
        <is>
          <t>Medtronic Santa Rosa</t>
        </is>
      </c>
      <c r="F600" s="69" t="inlineStr">
        <is>
          <t>LNUBS18C13-13.000</t>
        </is>
      </c>
      <c r="G600" s="70" t="n"/>
      <c r="H600" s="71" t="n">
        <v>17700000</v>
      </c>
      <c r="I600" s="71" t="n">
        <v>17700000</v>
      </c>
      <c r="J600" s="72" t="n">
        <v>4.65</v>
      </c>
      <c r="K600" s="69" t="inlineStr">
        <is>
          <t>Fixed rate</t>
        </is>
      </c>
      <c r="L600" s="68" t="n">
        <v>120</v>
      </c>
      <c r="M600" s="68" t="n">
        <v>23</v>
      </c>
      <c r="N600" s="68" t="n">
        <v>120</v>
      </c>
      <c r="O600" s="68" t="n">
        <v>120</v>
      </c>
      <c r="P600" s="68" t="n">
        <v>23</v>
      </c>
      <c r="Q600" s="68" t="n">
        <v>97</v>
      </c>
      <c r="R600" s="69" t="inlineStr">
        <is>
          <t>IO</t>
        </is>
      </c>
      <c r="S600" s="69" t="inlineStr">
        <is>
          <t>Yes</t>
        </is>
      </c>
      <c r="T600" s="73" t="n">
        <v>43313</v>
      </c>
      <c r="U600" s="73" t="n">
        <v>46971</v>
      </c>
      <c r="V600" s="73" t="n"/>
      <c r="W600" s="69" t="n"/>
      <c r="X600" s="69" t="inlineStr">
        <is>
          <t>Current</t>
        </is>
      </c>
      <c r="Y600" s="68" t="n"/>
      <c r="Z600" s="69" t="inlineStr">
        <is>
          <t>Full Defeasance</t>
        </is>
      </c>
      <c r="AA600" s="69" t="inlineStr">
        <is>
          <t>Previously</t>
        </is>
      </c>
      <c r="AB600" s="69" t="inlineStr">
        <is>
          <t>Returned to master serv</t>
        </is>
      </c>
      <c r="AC600" s="73" t="n"/>
      <c r="AD600" s="69" t="inlineStr">
        <is>
          <t>Payment Default (all payments excluding Balloon/Maturity Payment)</t>
        </is>
      </c>
      <c r="AE600" s="69" t="inlineStr">
        <is>
          <t>Resolved</t>
        </is>
      </c>
      <c r="AF600" s="69" t="inlineStr">
        <is>
          <t>CA</t>
        </is>
      </c>
      <c r="AG600" s="69" t="inlineStr">
        <is>
          <t>Santa Rosa</t>
        </is>
      </c>
      <c r="AH600" s="69" t="inlineStr">
        <is>
          <t>Santa Rosa-Petaluma, CA</t>
        </is>
      </c>
      <c r="AI600" s="69" t="inlineStr">
        <is>
          <t>West / Pacific North</t>
        </is>
      </c>
      <c r="AJ600" s="69" t="inlineStr">
        <is>
          <t>OF</t>
        </is>
      </c>
      <c r="AK600" s="69" t="inlineStr">
        <is>
          <t>Suburban</t>
        </is>
      </c>
      <c r="AL600" s="68" t="n">
        <v>1</v>
      </c>
      <c r="AM600" s="68" t="n"/>
      <c r="AN600" s="68" t="n">
        <v>126585</v>
      </c>
      <c r="AO600" s="69" t="inlineStr">
        <is>
          <t>2000</t>
        </is>
      </c>
      <c r="AP600" s="70" t="n">
        <v>2018</v>
      </c>
      <c r="AQ600" s="74" t="n">
        <v>2.18</v>
      </c>
      <c r="AR600" s="74" t="n">
        <v>2.64</v>
      </c>
      <c r="AS600" s="74" t="n">
        <v>56</v>
      </c>
      <c r="AT600" s="74" t="n">
        <v>55.31</v>
      </c>
      <c r="AU600" s="74" t="n">
        <v>56</v>
      </c>
      <c r="AV600" s="74" t="n">
        <v>10.300185706</v>
      </c>
      <c r="AW600" s="74" t="n">
        <v>11.455268927</v>
      </c>
      <c r="AX600" s="75" t="n">
        <v>100</v>
      </c>
      <c r="AY600" s="71" t="n">
        <v>31600000</v>
      </c>
      <c r="AZ600" s="71" t="n">
        <v>32000000</v>
      </c>
      <c r="BA600" s="71" t="n">
        <v>1823132.87</v>
      </c>
      <c r="BB600" s="71" t="n">
        <v>549745.24</v>
      </c>
      <c r="BC600" s="69" t="inlineStr">
        <is>
          <t>Acquisition</t>
        </is>
      </c>
      <c r="BD600" s="69" t="inlineStr">
        <is>
          <t>N</t>
        </is>
      </c>
      <c r="BE600" s="71" t="n"/>
      <c r="BF600" s="71" t="n"/>
      <c r="BG600" s="71" t="n"/>
      <c r="BH600" s="71" t="n">
        <v>0</v>
      </c>
      <c r="BI600" s="71" t="n">
        <v>0</v>
      </c>
      <c r="BJ600" s="69" t="inlineStr">
        <is>
          <t>Y</t>
        </is>
      </c>
      <c r="BK600" s="69" t="inlineStr">
        <is>
          <t>Medtronic Inc</t>
        </is>
      </c>
      <c r="BL600" s="75" t="n">
        <v>100</v>
      </c>
      <c r="BM600" s="73" t="n">
        <v>45747</v>
      </c>
      <c r="BN600" s="69" t="inlineStr">
        <is>
          <t>Qingguo Liu; Xiaobing Chen</t>
        </is>
      </c>
      <c r="BO600" s="69" t="n"/>
      <c r="BP600" s="69" t="inlineStr">
        <is>
          <t>Midland Loan Services</t>
        </is>
      </c>
      <c r="BQ600" s="69" t="inlineStr">
        <is>
          <t>Midland Loan Services</t>
        </is>
      </c>
      <c r="BR600" s="69" t="n"/>
      <c r="BS600" s="73" t="n">
        <v>46276</v>
      </c>
      <c r="BU600" s="76">
        <f>IF($C600="","",IFERROR(INDEX(dmName,MATCH($C600,dmID,0)),"Unmapped"))</f>
        <v/>
      </c>
      <c r="BV600" s="76">
        <f>IF($C600="","",IFERROR(INDEX(dmEntity,MATCH($C600,dmID,0)),"Unmapped"))</f>
        <v/>
      </c>
      <c r="BW600" s="77">
        <f>IF($C600="","",IFERROR(INDEX(dmVintage,MATCH($C600,dmID,0)),""))</f>
        <v/>
      </c>
      <c r="BX600" s="78">
        <f>IFERROR(INDEX(dmInclude,MATCH($C600,dmID,0)),0)</f>
        <v/>
      </c>
      <c r="BY600" s="78">
        <f>IF(N($I600)&gt;0,1,0)</f>
        <v/>
      </c>
      <c r="BZ600" s="76">
        <f>IF($AJ600="","Other / Leased Fee",IFERROR(INDEX(mapPTGroup,MATCH(LEFT(TRIM($AJ600),2),mapPTCode,0)),"Other / Leased Fee"))</f>
        <v/>
      </c>
      <c r="CA600" s="76">
        <f>IF(TRIM($AF600&amp;"")="","NR",LEFT(TRIM($AF600),2))</f>
        <v/>
      </c>
      <c r="CB600" s="76">
        <f>IFERROR(LOOKUP(2,1/(LEFT(TRIM($AI600&amp;""),LEN(mapRegion))=mapRegion),mapRegion),"Not Reported")</f>
        <v/>
      </c>
      <c r="CC600" s="76">
        <f>IF($BY600=0,"",IF(TRIM($W600&amp;"")="REO","REO",IF(TRIM($W600&amp;"")="FC","Foreclosure",IF(TRIM($W600&amp;"")="90+","90+ Days Delinquent",IF(TRIM($W600&amp;"")="60","60 Days Delinquent",IF(TRIM($W600&amp;"")="30","30 Days Delinquent",IF($X600="Non-Performing Matured Balloon","Non-Performing Matured Balloon",IF(OR($X600="Late Payment But Less Than 30 Days Delinquent",LEFT($X600&amp;"",20)="Payment Not Received"),"Late / In Grace (&lt;30 Days)",IF($X600="Performing Matured Balloon","Performing Matured Balloon","Current")))))))))</f>
        <v/>
      </c>
      <c r="CD600" s="78">
        <f>IF(OR($CC600="REO",$CC600="Foreclosure",$CC600="90+ Days Delinquent",$CC600="60 Days Delinquent",$CC600="30 Days Delinquent",$CC600="Non-Performing Matured Balloon"),1,0)</f>
        <v/>
      </c>
      <c r="CE600" s="76">
        <f>IF($AB600="Currently special serv","Currently Specially Serviced",IF($AB600="Returned to master serv","Previously Specially Serviced","Never Specially Serviced"))</f>
        <v/>
      </c>
      <c r="CF600" s="78">
        <f>IF($CE600="Currently Specially Serviced",1,0)</f>
        <v/>
      </c>
      <c r="CG600" s="76">
        <f>IF($AA600="Yes","Currently on Watchlist",IF($AA600="Previously","Previously on Watchlist","Never on Watchlist"))</f>
        <v/>
      </c>
      <c r="CH600" s="78">
        <f>IF($CG600="Currently on Watchlist",1,0)</f>
        <v/>
      </c>
      <c r="CI600" s="76">
        <f>IF($Z600="Full Defeasance","Fully Defeased",IF($Z600="Portion Of Loan Previously Defeased","Partially Defeased",IF($Z600="Defeasance Not Allowable","Not Defeased (Not Permitted)","Not Defeased")))</f>
        <v/>
      </c>
      <c r="CJ600" s="78">
        <f>IF($CI600="Fully Defeased",1,0)</f>
        <v/>
      </c>
      <c r="CK600" s="76">
        <f>IF($R600="IO","Full IO",IF(LEFT($R600&amp;"",7)="IO then","Partial IO","Amortizing"))</f>
        <v/>
      </c>
      <c r="CL600" s="78">
        <f>IF($CK600="Full IO",1,0)</f>
        <v/>
      </c>
      <c r="CM600" s="78">
        <f>IF($CK600="Partial IO",1,0)</f>
        <v/>
      </c>
      <c r="CN600" s="76">
        <f>IF(LEFT($F600&amp;"",10)="SPLIT_LOAN","Pari Passu Split","Standalone")</f>
        <v/>
      </c>
      <c r="CO600" s="78">
        <f>IF($CN600="Pari Passu Split",1,0)</f>
        <v/>
      </c>
      <c r="CP600" s="77">
        <f>IF(ISNUMBER($T600),YEAR($T600),"")</f>
        <v/>
      </c>
      <c r="CQ600" s="79">
        <f>IF(ISNUMBER($V600),$V600,IF(ISNUMBER($U600),$U600,""))</f>
        <v/>
      </c>
      <c r="CR600" s="77">
        <f>IF(ISNUMBER($CQ600),YEAR($CQ600),"")</f>
        <v/>
      </c>
      <c r="CS600" s="78">
        <f>IF(ISNUMBER($M600),MAX(0,$M600),IF(TRIM($M600&amp;"")="matured",0,""))</f>
        <v/>
      </c>
      <c r="CT600" s="78">
        <f>IF(AND(ISNUMBER($CS600),N($CS600)&lt;=mMatWindow),1,0)</f>
        <v/>
      </c>
      <c r="CU600" s="80">
        <f>IF(ISNUMBER($J600),$J600/100,"")</f>
        <v/>
      </c>
      <c r="CV600" s="81">
        <f>IF(ISNUMBER($AQ600),$AQ600,"")</f>
        <v/>
      </c>
      <c r="CW600" s="81">
        <f>IF(ISNUMBER($AR600),$AR600,"")</f>
        <v/>
      </c>
      <c r="CX600" s="82">
        <f>IF(ISNUMBER($AS600),$AS600/100,"")</f>
        <v/>
      </c>
      <c r="CY600" s="82">
        <f>IF(ISNUMBER($AT600),$AT600/100,"")</f>
        <v/>
      </c>
      <c r="CZ600" s="82">
        <f>IF(ISNUMBER($AU600),$AU600/100,"")</f>
        <v/>
      </c>
      <c r="DA600" s="82">
        <f>IF(ISNUMBER($AV600),$AV600/100,"")</f>
        <v/>
      </c>
      <c r="DB600" s="82">
        <f>IF(ISNUMBER($AW600),$AW600/100,"")</f>
        <v/>
      </c>
      <c r="DC600" s="82">
        <f>IF(ISNUMBER($AX600),$AX600/100,"")</f>
        <v/>
      </c>
      <c r="DD600" s="77">
        <f>IFERROR(VALUE(LEFT(TRIM($AO600&amp;""),4)),"")</f>
        <v/>
      </c>
      <c r="DE600" s="78">
        <f>IF(AND($BY600=1,$BX600=1,OR(fDeal="All Deals",$BU600=fDeal),OR(fEntity="All Entities",$BV600=fEntity),OR(fPType="All Property Types",$BZ600=fPType),OR(fDefeased="Include",$CJ600=0)),1,0)</f>
        <v/>
      </c>
      <c r="DF600" s="83">
        <f>$DE600*N($I600)</f>
        <v/>
      </c>
      <c r="DG600" s="78">
        <f>IF($DE600=1,IF(COUNTIFS($F$8:$F600,$F600,$DE$8:$DE600,1)=1,1,0),0)</f>
        <v/>
      </c>
      <c r="DH600" s="83">
        <f>IF($DG600=1,SUMIFS($DF$8:$DF$1600,$F$8:$F$1600,$F600),0)</f>
        <v/>
      </c>
      <c r="DI600" s="78">
        <f>IF($DG600=1,COUNTIFS($F$8:$F$1600,$F600,$DE$8:$DE$1600,1),0)</f>
        <v/>
      </c>
      <c r="DJ600" s="84">
        <f>IF($DG600=1,$DH600+(100000-ROW())/mTieBreak,0)</f>
        <v/>
      </c>
    </row>
    <row r="601">
      <c r="B601" s="68" t="n">
        <v>14</v>
      </c>
      <c r="C601" s="69" t="inlineStr">
        <is>
          <t>UBS18C13</t>
        </is>
      </c>
      <c r="D601" s="69" t="inlineStr">
        <is>
          <t>14.000</t>
        </is>
      </c>
      <c r="E601" s="69" t="inlineStr">
        <is>
          <t>121 East Maryland Street Parking Garage</t>
        </is>
      </c>
      <c r="F601" s="69" t="inlineStr">
        <is>
          <t>LNUBS18C13-14.000</t>
        </is>
      </c>
      <c r="G601" s="70" t="n"/>
      <c r="H601" s="71" t="n">
        <v>17000000</v>
      </c>
      <c r="I601" s="71" t="n">
        <v>0</v>
      </c>
      <c r="J601" s="72" t="n">
        <v>5.99</v>
      </c>
      <c r="K601" s="69" t="inlineStr">
        <is>
          <t>Fixed rate</t>
        </is>
      </c>
      <c r="L601" s="68" t="n">
        <v>120</v>
      </c>
      <c r="M601" s="68" t="n"/>
      <c r="N601" s="68" t="n">
        <v>360</v>
      </c>
      <c r="O601" s="68" t="n"/>
      <c r="P601" s="68" t="n"/>
      <c r="Q601" s="68" t="n"/>
      <c r="R601" s="69" t="n"/>
      <c r="S601" s="69" t="inlineStr">
        <is>
          <t>No</t>
        </is>
      </c>
      <c r="T601" s="73" t="n">
        <v>43344</v>
      </c>
      <c r="U601" s="73" t="n">
        <v>47002</v>
      </c>
      <c r="V601" s="73" t="n"/>
      <c r="W601" s="69" t="n"/>
      <c r="X601" s="69" t="inlineStr">
        <is>
          <t>Current</t>
        </is>
      </c>
      <c r="Y601" s="68" t="n"/>
      <c r="Z601" s="69" t="inlineStr">
        <is>
          <t>Defeasance Not Allowable</t>
        </is>
      </c>
      <c r="AA601" s="69" t="n"/>
      <c r="AB601" s="69" t="inlineStr">
        <is>
          <t>Never special serv</t>
        </is>
      </c>
      <c r="AC601" s="73" t="n"/>
      <c r="AD601" s="69" t="n"/>
      <c r="AE601" s="69" t="n"/>
      <c r="AF601" s="69" t="inlineStr">
        <is>
          <t>IN</t>
        </is>
      </c>
      <c r="AG601" s="69" t="inlineStr">
        <is>
          <t>Indianapolis</t>
        </is>
      </c>
      <c r="AH601" s="69" t="inlineStr">
        <is>
          <t>Indianapolis-Carmel-Greenwood, IN</t>
        </is>
      </c>
      <c r="AI601" s="69" t="inlineStr">
        <is>
          <t>Midwest / Central East</t>
        </is>
      </c>
      <c r="AJ601" s="69" t="inlineStr">
        <is>
          <t>OT</t>
        </is>
      </c>
      <c r="AK601" s="69" t="n"/>
      <c r="AL601" s="68" t="n">
        <v>1</v>
      </c>
      <c r="AM601" s="68" t="n"/>
      <c r="AN601" s="68" t="n"/>
      <c r="AO601" s="69" t="inlineStr">
        <is>
          <t>1987</t>
        </is>
      </c>
      <c r="AP601" s="70" t="n">
        <v>2012</v>
      </c>
      <c r="AQ601" s="74" t="n">
        <v>1.35</v>
      </c>
      <c r="AR601" s="74" t="n"/>
      <c r="AS601" s="74" t="n">
        <v>59</v>
      </c>
      <c r="AT601" s="74" t="n"/>
      <c r="AU601" s="74" t="n">
        <v>50</v>
      </c>
      <c r="AV601" s="74" t="n">
        <v>9.734149529</v>
      </c>
      <c r="AW601" s="74" t="n"/>
      <c r="AX601" s="75" t="n">
        <v>100</v>
      </c>
      <c r="AY601" s="71" t="n">
        <v>28800000</v>
      </c>
      <c r="AZ601" s="71" t="n">
        <v>28800000</v>
      </c>
      <c r="BA601" s="71" t="n">
        <v>1654805.42</v>
      </c>
      <c r="BB601" s="71" t="n"/>
      <c r="BC601" s="69" t="inlineStr">
        <is>
          <t>Refinance</t>
        </is>
      </c>
      <c r="BD601" s="69" t="inlineStr">
        <is>
          <t>N</t>
        </is>
      </c>
      <c r="BE601" s="71" t="n"/>
      <c r="BF601" s="71" t="n"/>
      <c r="BG601" s="71" t="n"/>
      <c r="BH601" s="71" t="n">
        <v>0</v>
      </c>
      <c r="BI601" s="71" t="n">
        <v>0</v>
      </c>
      <c r="BJ601" s="69" t="inlineStr">
        <is>
          <t>N</t>
        </is>
      </c>
      <c r="BK601" s="69" t="inlineStr">
        <is>
          <t>GARAGE</t>
        </is>
      </c>
      <c r="BL601" s="75" t="n">
        <v>100</v>
      </c>
      <c r="BM601" s="73" t="n">
        <v>43251</v>
      </c>
      <c r="BN601" s="69" t="inlineStr">
        <is>
          <t>Armand Lasky</t>
        </is>
      </c>
      <c r="BO601" s="69" t="n"/>
      <c r="BP601" s="69" t="inlineStr">
        <is>
          <t>Midland Loan Services</t>
        </is>
      </c>
      <c r="BQ601" s="69" t="inlineStr">
        <is>
          <t>Midland Loan Services</t>
        </is>
      </c>
      <c r="BR601" s="69" t="inlineStr">
        <is>
          <t>Payoff With Yield Maintenance</t>
        </is>
      </c>
      <c r="BS601" s="73" t="n">
        <v>43689</v>
      </c>
      <c r="BU601" s="76">
        <f>IF($C601="","",IFERROR(INDEX(dmName,MATCH($C601,dmID,0)),"Unmapped"))</f>
        <v/>
      </c>
      <c r="BV601" s="76">
        <f>IF($C601="","",IFERROR(INDEX(dmEntity,MATCH($C601,dmID,0)),"Unmapped"))</f>
        <v/>
      </c>
      <c r="BW601" s="77">
        <f>IF($C601="","",IFERROR(INDEX(dmVintage,MATCH($C601,dmID,0)),""))</f>
        <v/>
      </c>
      <c r="BX601" s="78">
        <f>IFERROR(INDEX(dmInclude,MATCH($C601,dmID,0)),0)</f>
        <v/>
      </c>
      <c r="BY601" s="78">
        <f>IF(N($I601)&gt;0,1,0)</f>
        <v/>
      </c>
      <c r="BZ601" s="76">
        <f>IF($AJ601="","Other / Leased Fee",IFERROR(INDEX(mapPTGroup,MATCH(LEFT(TRIM($AJ601),2),mapPTCode,0)),"Other / Leased Fee"))</f>
        <v/>
      </c>
      <c r="CA601" s="76">
        <f>IF(TRIM($AF601&amp;"")="","NR",LEFT(TRIM($AF601),2))</f>
        <v/>
      </c>
      <c r="CB601" s="76">
        <f>IFERROR(LOOKUP(2,1/(LEFT(TRIM($AI601&amp;""),LEN(mapRegion))=mapRegion),mapRegion),"Not Reported")</f>
        <v/>
      </c>
      <c r="CC601" s="76">
        <f>IF($BY601=0,"",IF(TRIM($W601&amp;"")="REO","REO",IF(TRIM($W601&amp;"")="FC","Foreclosure",IF(TRIM($W601&amp;"")="90+","90+ Days Delinquent",IF(TRIM($W601&amp;"")="60","60 Days Delinquent",IF(TRIM($W601&amp;"")="30","30 Days Delinquent",IF($X601="Non-Performing Matured Balloon","Non-Performing Matured Balloon",IF(OR($X601="Late Payment But Less Than 30 Days Delinquent",LEFT($X601&amp;"",20)="Payment Not Received"),"Late / In Grace (&lt;30 Days)",IF($X601="Performing Matured Balloon","Performing Matured Balloon","Current")))))))))</f>
        <v/>
      </c>
      <c r="CD601" s="78">
        <f>IF(OR($CC601="REO",$CC601="Foreclosure",$CC601="90+ Days Delinquent",$CC601="60 Days Delinquent",$CC601="30 Days Delinquent",$CC601="Non-Performing Matured Balloon"),1,0)</f>
        <v/>
      </c>
      <c r="CE601" s="76">
        <f>IF($AB601="Currently special serv","Currently Specially Serviced",IF($AB601="Returned to master serv","Previously Specially Serviced","Never Specially Serviced"))</f>
        <v/>
      </c>
      <c r="CF601" s="78">
        <f>IF($CE601="Currently Specially Serviced",1,0)</f>
        <v/>
      </c>
      <c r="CG601" s="76">
        <f>IF($AA601="Yes","Currently on Watchlist",IF($AA601="Previously","Previously on Watchlist","Never on Watchlist"))</f>
        <v/>
      </c>
      <c r="CH601" s="78">
        <f>IF($CG601="Currently on Watchlist",1,0)</f>
        <v/>
      </c>
      <c r="CI601" s="76">
        <f>IF($Z601="Full Defeasance","Fully Defeased",IF($Z601="Portion Of Loan Previously Defeased","Partially Defeased",IF($Z601="Defeasance Not Allowable","Not Defeased (Not Permitted)","Not Defeased")))</f>
        <v/>
      </c>
      <c r="CJ601" s="78">
        <f>IF($CI601="Fully Defeased",1,0)</f>
        <v/>
      </c>
      <c r="CK601" s="76">
        <f>IF($R601="IO","Full IO",IF(LEFT($R601&amp;"",7)="IO then","Partial IO","Amortizing"))</f>
        <v/>
      </c>
      <c r="CL601" s="78">
        <f>IF($CK601="Full IO",1,0)</f>
        <v/>
      </c>
      <c r="CM601" s="78">
        <f>IF($CK601="Partial IO",1,0)</f>
        <v/>
      </c>
      <c r="CN601" s="76">
        <f>IF(LEFT($F601&amp;"",10)="SPLIT_LOAN","Pari Passu Split","Standalone")</f>
        <v/>
      </c>
      <c r="CO601" s="78">
        <f>IF($CN601="Pari Passu Split",1,0)</f>
        <v/>
      </c>
      <c r="CP601" s="77">
        <f>IF(ISNUMBER($T601),YEAR($T601),"")</f>
        <v/>
      </c>
      <c r="CQ601" s="79">
        <f>IF(ISNUMBER($V601),$V601,IF(ISNUMBER($U601),$U601,""))</f>
        <v/>
      </c>
      <c r="CR601" s="77">
        <f>IF(ISNUMBER($CQ601),YEAR($CQ601),"")</f>
        <v/>
      </c>
      <c r="CS601" s="78">
        <f>IF(ISNUMBER($M601),MAX(0,$M601),IF(TRIM($M601&amp;"")="matured",0,""))</f>
        <v/>
      </c>
      <c r="CT601" s="78">
        <f>IF(AND(ISNUMBER($CS601),N($CS601)&lt;=mMatWindow),1,0)</f>
        <v/>
      </c>
      <c r="CU601" s="80">
        <f>IF(ISNUMBER($J601),$J601/100,"")</f>
        <v/>
      </c>
      <c r="CV601" s="81">
        <f>IF(ISNUMBER($AQ601),$AQ601,"")</f>
        <v/>
      </c>
      <c r="CW601" s="81">
        <f>IF(ISNUMBER($AR601),$AR601,"")</f>
        <v/>
      </c>
      <c r="CX601" s="82">
        <f>IF(ISNUMBER($AS601),$AS601/100,"")</f>
        <v/>
      </c>
      <c r="CY601" s="82">
        <f>IF(ISNUMBER($AT601),$AT601/100,"")</f>
        <v/>
      </c>
      <c r="CZ601" s="82">
        <f>IF(ISNUMBER($AU601),$AU601/100,"")</f>
        <v/>
      </c>
      <c r="DA601" s="82">
        <f>IF(ISNUMBER($AV601),$AV601/100,"")</f>
        <v/>
      </c>
      <c r="DB601" s="82">
        <f>IF(ISNUMBER($AW601),$AW601/100,"")</f>
        <v/>
      </c>
      <c r="DC601" s="82">
        <f>IF(ISNUMBER($AX601),$AX601/100,"")</f>
        <v/>
      </c>
      <c r="DD601" s="77">
        <f>IFERROR(VALUE(LEFT(TRIM($AO601&amp;""),4)),"")</f>
        <v/>
      </c>
      <c r="DE601" s="78">
        <f>IF(AND($BY601=1,$BX601=1,OR(fDeal="All Deals",$BU601=fDeal),OR(fEntity="All Entities",$BV601=fEntity),OR(fPType="All Property Types",$BZ601=fPType),OR(fDefeased="Include",$CJ601=0)),1,0)</f>
        <v/>
      </c>
      <c r="DF601" s="83">
        <f>$DE601*N($I601)</f>
        <v/>
      </c>
      <c r="DG601" s="78">
        <f>IF($DE601=1,IF(COUNTIFS($F$8:$F601,$F601,$DE$8:$DE601,1)=1,1,0),0)</f>
        <v/>
      </c>
      <c r="DH601" s="83">
        <f>IF($DG601=1,SUMIFS($DF$8:$DF$1600,$F$8:$F$1600,$F601),0)</f>
        <v/>
      </c>
      <c r="DI601" s="78">
        <f>IF($DG601=1,COUNTIFS($F$8:$F$1600,$F601,$DE$8:$DE$1600,1),0)</f>
        <v/>
      </c>
      <c r="DJ601" s="84">
        <f>IF($DG601=1,$DH601+(100000-ROW())/mTieBreak,0)</f>
        <v/>
      </c>
    </row>
    <row r="602">
      <c r="B602" s="68" t="n">
        <v>15</v>
      </c>
      <c r="C602" s="69" t="inlineStr">
        <is>
          <t>UBS18C13</t>
        </is>
      </c>
      <c r="D602" s="69" t="inlineStr">
        <is>
          <t>15.000</t>
        </is>
      </c>
      <c r="E602" s="69" t="inlineStr">
        <is>
          <t>Fort Wayne Hotel Portfolio</t>
        </is>
      </c>
      <c r="F602" s="69" t="inlineStr">
        <is>
          <t>LNUBS18C13-15.000</t>
        </is>
      </c>
      <c r="G602" s="70" t="n"/>
      <c r="H602" s="71" t="n">
        <v>15800000</v>
      </c>
      <c r="I602" s="71" t="n">
        <v>14512919.7000002</v>
      </c>
      <c r="J602" s="72" t="n">
        <v>4.74</v>
      </c>
      <c r="K602" s="69" t="inlineStr">
        <is>
          <t>Fixed rate</t>
        </is>
      </c>
      <c r="L602" s="68" t="n">
        <v>120</v>
      </c>
      <c r="M602" s="68" t="n">
        <v>24</v>
      </c>
      <c r="N602" s="68" t="n">
        <v>396</v>
      </c>
      <c r="O602" s="68" t="n">
        <v>36</v>
      </c>
      <c r="P602" s="68" t="n">
        <v>0</v>
      </c>
      <c r="Q602" s="68" t="n">
        <v>96</v>
      </c>
      <c r="R602" s="69" t="inlineStr">
        <is>
          <t>IO then Amort</t>
        </is>
      </c>
      <c r="S602" s="69" t="inlineStr">
        <is>
          <t>No</t>
        </is>
      </c>
      <c r="T602" s="73" t="n">
        <v>43344</v>
      </c>
      <c r="U602" s="73" t="n">
        <v>46997</v>
      </c>
      <c r="V602" s="73" t="n"/>
      <c r="W602" s="69" t="n"/>
      <c r="X602" s="69" t="inlineStr">
        <is>
          <t>Current</t>
        </is>
      </c>
      <c r="Y602" s="68" t="n"/>
      <c r="Z602" s="69" t="inlineStr">
        <is>
          <t>No Defeasance Occurred</t>
        </is>
      </c>
      <c r="AA602" s="69" t="inlineStr">
        <is>
          <t>Previously</t>
        </is>
      </c>
      <c r="AB602" s="69" t="inlineStr">
        <is>
          <t>Returned to master serv</t>
        </is>
      </c>
      <c r="AC602" s="73" t="n"/>
      <c r="AD602" s="69" t="inlineStr">
        <is>
          <t>Other</t>
        </is>
      </c>
      <c r="AE602" s="69" t="inlineStr">
        <is>
          <t>Resolved</t>
        </is>
      </c>
      <c r="AF602" s="69" t="inlineStr">
        <is>
          <t>IN</t>
        </is>
      </c>
      <c r="AG602" s="69" t="inlineStr">
        <is>
          <t>Fort Wayne</t>
        </is>
      </c>
      <c r="AH602" s="69" t="inlineStr">
        <is>
          <t>Fort Wayne, IN</t>
        </is>
      </c>
      <c r="AI602" s="69" t="inlineStr">
        <is>
          <t>Midwest / Central East</t>
        </is>
      </c>
      <c r="AJ602" s="69" t="inlineStr">
        <is>
          <t>HT</t>
        </is>
      </c>
      <c r="AK602" s="69" t="n"/>
      <c r="AL602" s="68" t="n">
        <v>2</v>
      </c>
      <c r="AM602" s="68" t="n">
        <v>163</v>
      </c>
      <c r="AN602" s="68" t="n"/>
      <c r="AO602" s="69" t="n"/>
      <c r="AP602" s="70" t="n">
        <v>2011</v>
      </c>
      <c r="AQ602" s="74" t="n">
        <v>2.27</v>
      </c>
      <c r="AR602" s="74" t="n">
        <v>1.44</v>
      </c>
      <c r="AS602" s="74" t="n">
        <v>56.2</v>
      </c>
      <c r="AT602" s="74" t="n">
        <v>51.65</v>
      </c>
      <c r="AU602" s="74" t="n">
        <v>49.5</v>
      </c>
      <c r="AV602" s="74" t="n">
        <v>14.184940696</v>
      </c>
      <c r="AW602" s="74" t="n">
        <v>9.774514083</v>
      </c>
      <c r="AX602" s="75" t="n">
        <v>76</v>
      </c>
      <c r="AY602" s="71" t="n">
        <v>28100000</v>
      </c>
      <c r="AZ602" s="71" t="n">
        <v>28100000</v>
      </c>
      <c r="BA602" s="71" t="n">
        <v>2241220.63</v>
      </c>
      <c r="BB602" s="71" t="n">
        <v>1418567.38</v>
      </c>
      <c r="BC602" s="69" t="inlineStr">
        <is>
          <t>Acquisition</t>
        </is>
      </c>
      <c r="BD602" s="69" t="inlineStr">
        <is>
          <t>N</t>
        </is>
      </c>
      <c r="BE602" s="71" t="n"/>
      <c r="BF602" s="71" t="n"/>
      <c r="BG602" s="71" t="n"/>
      <c r="BH602" s="71" t="n">
        <v>0</v>
      </c>
      <c r="BI602" s="71" t="n">
        <v>0</v>
      </c>
      <c r="BJ602" s="69" t="inlineStr">
        <is>
          <t>Y</t>
        </is>
      </c>
      <c r="BK602" s="69" t="n"/>
      <c r="BL602" s="75" t="n"/>
      <c r="BM602" s="73" t="n"/>
      <c r="BN602" s="69" t="inlineStr">
        <is>
          <t>American Hospitality Properties Fund III LLC; William L. Nelson</t>
        </is>
      </c>
      <c r="BO602" s="69" t="n"/>
      <c r="BP602" s="69" t="inlineStr">
        <is>
          <t>Midland Loan Services</t>
        </is>
      </c>
      <c r="BQ602" s="69" t="inlineStr">
        <is>
          <t>Midland Loan Services</t>
        </is>
      </c>
      <c r="BR602" s="69" t="n"/>
      <c r="BS602" s="73" t="n">
        <v>46276</v>
      </c>
      <c r="BU602" s="76">
        <f>IF($C602="","",IFERROR(INDEX(dmName,MATCH($C602,dmID,0)),"Unmapped"))</f>
        <v/>
      </c>
      <c r="BV602" s="76">
        <f>IF($C602="","",IFERROR(INDEX(dmEntity,MATCH($C602,dmID,0)),"Unmapped"))</f>
        <v/>
      </c>
      <c r="BW602" s="77">
        <f>IF($C602="","",IFERROR(INDEX(dmVintage,MATCH($C602,dmID,0)),""))</f>
        <v/>
      </c>
      <c r="BX602" s="78">
        <f>IFERROR(INDEX(dmInclude,MATCH($C602,dmID,0)),0)</f>
        <v/>
      </c>
      <c r="BY602" s="78">
        <f>IF(N($I602)&gt;0,1,0)</f>
        <v/>
      </c>
      <c r="BZ602" s="76">
        <f>IF($AJ602="","Other / Leased Fee",IFERROR(INDEX(mapPTGroup,MATCH(LEFT(TRIM($AJ602),2),mapPTCode,0)),"Other / Leased Fee"))</f>
        <v/>
      </c>
      <c r="CA602" s="76">
        <f>IF(TRIM($AF602&amp;"")="","NR",LEFT(TRIM($AF602),2))</f>
        <v/>
      </c>
      <c r="CB602" s="76">
        <f>IFERROR(LOOKUP(2,1/(LEFT(TRIM($AI602&amp;""),LEN(mapRegion))=mapRegion),mapRegion),"Not Reported")</f>
        <v/>
      </c>
      <c r="CC602" s="76">
        <f>IF($BY602=0,"",IF(TRIM($W602&amp;"")="REO","REO",IF(TRIM($W602&amp;"")="FC","Foreclosure",IF(TRIM($W602&amp;"")="90+","90+ Days Delinquent",IF(TRIM($W602&amp;"")="60","60 Days Delinquent",IF(TRIM($W602&amp;"")="30","30 Days Delinquent",IF($X602="Non-Performing Matured Balloon","Non-Performing Matured Balloon",IF(OR($X602="Late Payment But Less Than 30 Days Delinquent",LEFT($X602&amp;"",20)="Payment Not Received"),"Late / In Grace (&lt;30 Days)",IF($X602="Performing Matured Balloon","Performing Matured Balloon","Current")))))))))</f>
        <v/>
      </c>
      <c r="CD602" s="78">
        <f>IF(OR($CC602="REO",$CC602="Foreclosure",$CC602="90+ Days Delinquent",$CC602="60 Days Delinquent",$CC602="30 Days Delinquent",$CC602="Non-Performing Matured Balloon"),1,0)</f>
        <v/>
      </c>
      <c r="CE602" s="76">
        <f>IF($AB602="Currently special serv","Currently Specially Serviced",IF($AB602="Returned to master serv","Previously Specially Serviced","Never Specially Serviced"))</f>
        <v/>
      </c>
      <c r="CF602" s="78">
        <f>IF($CE602="Currently Specially Serviced",1,0)</f>
        <v/>
      </c>
      <c r="CG602" s="76">
        <f>IF($AA602="Yes","Currently on Watchlist",IF($AA602="Previously","Previously on Watchlist","Never on Watchlist"))</f>
        <v/>
      </c>
      <c r="CH602" s="78">
        <f>IF($CG602="Currently on Watchlist",1,0)</f>
        <v/>
      </c>
      <c r="CI602" s="76">
        <f>IF($Z602="Full Defeasance","Fully Defeased",IF($Z602="Portion Of Loan Previously Defeased","Partially Defeased",IF($Z602="Defeasance Not Allowable","Not Defeased (Not Permitted)","Not Defeased")))</f>
        <v/>
      </c>
      <c r="CJ602" s="78">
        <f>IF($CI602="Fully Defeased",1,0)</f>
        <v/>
      </c>
      <c r="CK602" s="76">
        <f>IF($R602="IO","Full IO",IF(LEFT($R602&amp;"",7)="IO then","Partial IO","Amortizing"))</f>
        <v/>
      </c>
      <c r="CL602" s="78">
        <f>IF($CK602="Full IO",1,0)</f>
        <v/>
      </c>
      <c r="CM602" s="78">
        <f>IF($CK602="Partial IO",1,0)</f>
        <v/>
      </c>
      <c r="CN602" s="76">
        <f>IF(LEFT($F602&amp;"",10)="SPLIT_LOAN","Pari Passu Split","Standalone")</f>
        <v/>
      </c>
      <c r="CO602" s="78">
        <f>IF($CN602="Pari Passu Split",1,0)</f>
        <v/>
      </c>
      <c r="CP602" s="77">
        <f>IF(ISNUMBER($T602),YEAR($T602),"")</f>
        <v/>
      </c>
      <c r="CQ602" s="79">
        <f>IF(ISNUMBER($V602),$V602,IF(ISNUMBER($U602),$U602,""))</f>
        <v/>
      </c>
      <c r="CR602" s="77">
        <f>IF(ISNUMBER($CQ602),YEAR($CQ602),"")</f>
        <v/>
      </c>
      <c r="CS602" s="78">
        <f>IF(ISNUMBER($M602),MAX(0,$M602),IF(TRIM($M602&amp;"")="matured",0,""))</f>
        <v/>
      </c>
      <c r="CT602" s="78">
        <f>IF(AND(ISNUMBER($CS602),N($CS602)&lt;=mMatWindow),1,0)</f>
        <v/>
      </c>
      <c r="CU602" s="80">
        <f>IF(ISNUMBER($J602),$J602/100,"")</f>
        <v/>
      </c>
      <c r="CV602" s="81">
        <f>IF(ISNUMBER($AQ602),$AQ602,"")</f>
        <v/>
      </c>
      <c r="CW602" s="81">
        <f>IF(ISNUMBER($AR602),$AR602,"")</f>
        <v/>
      </c>
      <c r="CX602" s="82">
        <f>IF(ISNUMBER($AS602),$AS602/100,"")</f>
        <v/>
      </c>
      <c r="CY602" s="82">
        <f>IF(ISNUMBER($AT602),$AT602/100,"")</f>
        <v/>
      </c>
      <c r="CZ602" s="82">
        <f>IF(ISNUMBER($AU602),$AU602/100,"")</f>
        <v/>
      </c>
      <c r="DA602" s="82">
        <f>IF(ISNUMBER($AV602),$AV602/100,"")</f>
        <v/>
      </c>
      <c r="DB602" s="82">
        <f>IF(ISNUMBER($AW602),$AW602/100,"")</f>
        <v/>
      </c>
      <c r="DC602" s="82">
        <f>IF(ISNUMBER($AX602),$AX602/100,"")</f>
        <v/>
      </c>
      <c r="DD602" s="77">
        <f>IFERROR(VALUE(LEFT(TRIM($AO602&amp;""),4)),"")</f>
        <v/>
      </c>
      <c r="DE602" s="78">
        <f>IF(AND($BY602=1,$BX602=1,OR(fDeal="All Deals",$BU602=fDeal),OR(fEntity="All Entities",$BV602=fEntity),OR(fPType="All Property Types",$BZ602=fPType),OR(fDefeased="Include",$CJ602=0)),1,0)</f>
        <v/>
      </c>
      <c r="DF602" s="83">
        <f>$DE602*N($I602)</f>
        <v/>
      </c>
      <c r="DG602" s="78">
        <f>IF($DE602=1,IF(COUNTIFS($F$8:$F602,$F602,$DE$8:$DE602,1)=1,1,0),0)</f>
        <v/>
      </c>
      <c r="DH602" s="83">
        <f>IF($DG602=1,SUMIFS($DF$8:$DF$1600,$F$8:$F$1600,$F602),0)</f>
        <v/>
      </c>
      <c r="DI602" s="78">
        <f>IF($DG602=1,COUNTIFS($F$8:$F$1600,$F602,$DE$8:$DE$1600,1),0)</f>
        <v/>
      </c>
      <c r="DJ602" s="84">
        <f>IF($DG602=1,$DH602+(100000-ROW())/mTieBreak,0)</f>
        <v/>
      </c>
    </row>
    <row r="603">
      <c r="B603" s="68" t="n">
        <v>16</v>
      </c>
      <c r="C603" s="69" t="inlineStr">
        <is>
          <t>UBS18C13</t>
        </is>
      </c>
      <c r="D603" s="69" t="inlineStr">
        <is>
          <t>16.000</t>
        </is>
      </c>
      <c r="E603" s="69" t="inlineStr">
        <is>
          <t>Arizona Pavilions West</t>
        </is>
      </c>
      <c r="F603" s="69" t="inlineStr">
        <is>
          <t>LNUBS18C13-16.000</t>
        </is>
      </c>
      <c r="G603" s="70" t="n"/>
      <c r="H603" s="71" t="n">
        <v>15800000</v>
      </c>
      <c r="I603" s="71" t="n">
        <v>13851268.6999942</v>
      </c>
      <c r="J603" s="72" t="n">
        <v>5.452</v>
      </c>
      <c r="K603" s="69" t="inlineStr">
        <is>
          <t>Fixed rate</t>
        </is>
      </c>
      <c r="L603" s="68" t="n">
        <v>120</v>
      </c>
      <c r="M603" s="68" t="n">
        <v>25</v>
      </c>
      <c r="N603" s="68" t="n">
        <v>360</v>
      </c>
      <c r="O603" s="68" t="n"/>
      <c r="P603" s="68" t="n"/>
      <c r="Q603" s="68" t="n">
        <v>95</v>
      </c>
      <c r="R603" s="69" t="n"/>
      <c r="S603" s="69" t="inlineStr">
        <is>
          <t>No</t>
        </is>
      </c>
      <c r="T603" s="73" t="n">
        <v>43374</v>
      </c>
      <c r="U603" s="73" t="n">
        <v>47032</v>
      </c>
      <c r="V603" s="73" t="n"/>
      <c r="W603" s="69" t="n"/>
      <c r="X603" s="69" t="inlineStr">
        <is>
          <t>Late Payment But Less Than 30 Days Delinquent</t>
        </is>
      </c>
      <c r="Y603" s="68" t="n"/>
      <c r="Z603" s="69" t="inlineStr">
        <is>
          <t>No Defeasance Occurred</t>
        </is>
      </c>
      <c r="AA603" s="69" t="inlineStr">
        <is>
          <t>Yes</t>
        </is>
      </c>
      <c r="AB603" s="69" t="inlineStr">
        <is>
          <t>Never special serv</t>
        </is>
      </c>
      <c r="AC603" s="73" t="n"/>
      <c r="AD603" s="69" t="n"/>
      <c r="AE603" s="69" t="n"/>
      <c r="AF603" s="69" t="inlineStr">
        <is>
          <t>AZ</t>
        </is>
      </c>
      <c r="AG603" s="69" t="inlineStr">
        <is>
          <t>Marana</t>
        </is>
      </c>
      <c r="AH603" s="69" t="inlineStr">
        <is>
          <t>Tucson, AZ</t>
        </is>
      </c>
      <c r="AI603" s="69" t="inlineStr">
        <is>
          <t>West / Mountain</t>
        </is>
      </c>
      <c r="AJ603" s="69" t="inlineStr">
        <is>
          <t>RT</t>
        </is>
      </c>
      <c r="AK603" s="69" t="inlineStr">
        <is>
          <t>Anchored</t>
        </is>
      </c>
      <c r="AL603" s="68" t="n">
        <v>1</v>
      </c>
      <c r="AM603" s="68" t="n"/>
      <c r="AN603" s="68" t="n">
        <v>100879</v>
      </c>
      <c r="AO603" s="69" t="inlineStr">
        <is>
          <t>2017</t>
        </is>
      </c>
      <c r="AP603" s="70" t="n">
        <v>2017</v>
      </c>
      <c r="AQ603" s="74" t="n">
        <v>1.25</v>
      </c>
      <c r="AR603" s="74" t="n">
        <v>1.41</v>
      </c>
      <c r="AS603" s="74" t="n">
        <v>73.09999999999999</v>
      </c>
      <c r="AT603" s="74" t="n">
        <v>64.09999999999999</v>
      </c>
      <c r="AU603" s="74" t="n">
        <v>61</v>
      </c>
      <c r="AV603" s="74" t="n">
        <v>8.45271981</v>
      </c>
      <c r="AW603" s="74" t="n">
        <v>10.512406997</v>
      </c>
      <c r="AX603" s="75" t="n">
        <v>100</v>
      </c>
      <c r="AY603" s="71" t="n">
        <v>21610000</v>
      </c>
      <c r="AZ603" s="71" t="n">
        <v>21610000</v>
      </c>
      <c r="BA603" s="71" t="n">
        <v>1335529.73</v>
      </c>
      <c r="BB603" s="71" t="n">
        <v>1505553.16</v>
      </c>
      <c r="BC603" s="69" t="inlineStr">
        <is>
          <t>Refinance</t>
        </is>
      </c>
      <c r="BD603" s="69" t="inlineStr">
        <is>
          <t>N</t>
        </is>
      </c>
      <c r="BE603" s="71" t="n"/>
      <c r="BF603" s="71" t="n"/>
      <c r="BG603" s="71" t="n"/>
      <c r="BH603" s="71" t="n">
        <v>0</v>
      </c>
      <c r="BI603" s="71" t="n">
        <v>89205.53999999999</v>
      </c>
      <c r="BJ603" s="69" t="inlineStr">
        <is>
          <t>Y</t>
        </is>
      </c>
      <c r="BK603" s="69" t="inlineStr">
        <is>
          <t>Ross Dress For Less</t>
        </is>
      </c>
      <c r="BL603" s="75" t="n">
        <v>27.05</v>
      </c>
      <c r="BM603" s="73" t="n">
        <v>48610</v>
      </c>
      <c r="BN603" s="69" t="inlineStr">
        <is>
          <t>Eric Rosenberg</t>
        </is>
      </c>
      <c r="BO603" s="69" t="n"/>
      <c r="BP603" s="69" t="inlineStr">
        <is>
          <t>Midland Loan Services</t>
        </is>
      </c>
      <c r="BQ603" s="69" t="inlineStr">
        <is>
          <t>Midland Loan Services</t>
        </is>
      </c>
      <c r="BR603" s="69" t="n"/>
      <c r="BS603" s="73" t="n">
        <v>46276</v>
      </c>
      <c r="BU603" s="76">
        <f>IF($C603="","",IFERROR(INDEX(dmName,MATCH($C603,dmID,0)),"Unmapped"))</f>
        <v/>
      </c>
      <c r="BV603" s="76">
        <f>IF($C603="","",IFERROR(INDEX(dmEntity,MATCH($C603,dmID,0)),"Unmapped"))</f>
        <v/>
      </c>
      <c r="BW603" s="77">
        <f>IF($C603="","",IFERROR(INDEX(dmVintage,MATCH($C603,dmID,0)),""))</f>
        <v/>
      </c>
      <c r="BX603" s="78">
        <f>IFERROR(INDEX(dmInclude,MATCH($C603,dmID,0)),0)</f>
        <v/>
      </c>
      <c r="BY603" s="78">
        <f>IF(N($I603)&gt;0,1,0)</f>
        <v/>
      </c>
      <c r="BZ603" s="76">
        <f>IF($AJ603="","Other / Leased Fee",IFERROR(INDEX(mapPTGroup,MATCH(LEFT(TRIM($AJ603),2),mapPTCode,0)),"Other / Leased Fee"))</f>
        <v/>
      </c>
      <c r="CA603" s="76">
        <f>IF(TRIM($AF603&amp;"")="","NR",LEFT(TRIM($AF603),2))</f>
        <v/>
      </c>
      <c r="CB603" s="76">
        <f>IFERROR(LOOKUP(2,1/(LEFT(TRIM($AI603&amp;""),LEN(mapRegion))=mapRegion),mapRegion),"Not Reported")</f>
        <v/>
      </c>
      <c r="CC603" s="76">
        <f>IF($BY603=0,"",IF(TRIM($W603&amp;"")="REO","REO",IF(TRIM($W603&amp;"")="FC","Foreclosure",IF(TRIM($W603&amp;"")="90+","90+ Days Delinquent",IF(TRIM($W603&amp;"")="60","60 Days Delinquent",IF(TRIM($W603&amp;"")="30","30 Days Delinquent",IF($X603="Non-Performing Matured Balloon","Non-Performing Matured Balloon",IF(OR($X603="Late Payment But Less Than 30 Days Delinquent",LEFT($X603&amp;"",20)="Payment Not Received"),"Late / In Grace (&lt;30 Days)",IF($X603="Performing Matured Balloon","Performing Matured Balloon","Current")))))))))</f>
        <v/>
      </c>
      <c r="CD603" s="78">
        <f>IF(OR($CC603="REO",$CC603="Foreclosure",$CC603="90+ Days Delinquent",$CC603="60 Days Delinquent",$CC603="30 Days Delinquent",$CC603="Non-Performing Matured Balloon"),1,0)</f>
        <v/>
      </c>
      <c r="CE603" s="76">
        <f>IF($AB603="Currently special serv","Currently Specially Serviced",IF($AB603="Returned to master serv","Previously Specially Serviced","Never Specially Serviced"))</f>
        <v/>
      </c>
      <c r="CF603" s="78">
        <f>IF($CE603="Currently Specially Serviced",1,0)</f>
        <v/>
      </c>
      <c r="CG603" s="76">
        <f>IF($AA603="Yes","Currently on Watchlist",IF($AA603="Previously","Previously on Watchlist","Never on Watchlist"))</f>
        <v/>
      </c>
      <c r="CH603" s="78">
        <f>IF($CG603="Currently on Watchlist",1,0)</f>
        <v/>
      </c>
      <c r="CI603" s="76">
        <f>IF($Z603="Full Defeasance","Fully Defeased",IF($Z603="Portion Of Loan Previously Defeased","Partially Defeased",IF($Z603="Defeasance Not Allowable","Not Defeased (Not Permitted)","Not Defeased")))</f>
        <v/>
      </c>
      <c r="CJ603" s="78">
        <f>IF($CI603="Fully Defeased",1,0)</f>
        <v/>
      </c>
      <c r="CK603" s="76">
        <f>IF($R603="IO","Full IO",IF(LEFT($R603&amp;"",7)="IO then","Partial IO","Amortizing"))</f>
        <v/>
      </c>
      <c r="CL603" s="78">
        <f>IF($CK603="Full IO",1,0)</f>
        <v/>
      </c>
      <c r="CM603" s="78">
        <f>IF($CK603="Partial IO",1,0)</f>
        <v/>
      </c>
      <c r="CN603" s="76">
        <f>IF(LEFT($F603&amp;"",10)="SPLIT_LOAN","Pari Passu Split","Standalone")</f>
        <v/>
      </c>
      <c r="CO603" s="78">
        <f>IF($CN603="Pari Passu Split",1,0)</f>
        <v/>
      </c>
      <c r="CP603" s="77">
        <f>IF(ISNUMBER($T603),YEAR($T603),"")</f>
        <v/>
      </c>
      <c r="CQ603" s="79">
        <f>IF(ISNUMBER($V603),$V603,IF(ISNUMBER($U603),$U603,""))</f>
        <v/>
      </c>
      <c r="CR603" s="77">
        <f>IF(ISNUMBER($CQ603),YEAR($CQ603),"")</f>
        <v/>
      </c>
      <c r="CS603" s="78">
        <f>IF(ISNUMBER($M603),MAX(0,$M603),IF(TRIM($M603&amp;"")="matured",0,""))</f>
        <v/>
      </c>
      <c r="CT603" s="78">
        <f>IF(AND(ISNUMBER($CS603),N($CS603)&lt;=mMatWindow),1,0)</f>
        <v/>
      </c>
      <c r="CU603" s="80">
        <f>IF(ISNUMBER($J603),$J603/100,"")</f>
        <v/>
      </c>
      <c r="CV603" s="81">
        <f>IF(ISNUMBER($AQ603),$AQ603,"")</f>
        <v/>
      </c>
      <c r="CW603" s="81">
        <f>IF(ISNUMBER($AR603),$AR603,"")</f>
        <v/>
      </c>
      <c r="CX603" s="82">
        <f>IF(ISNUMBER($AS603),$AS603/100,"")</f>
        <v/>
      </c>
      <c r="CY603" s="82">
        <f>IF(ISNUMBER($AT603),$AT603/100,"")</f>
        <v/>
      </c>
      <c r="CZ603" s="82">
        <f>IF(ISNUMBER($AU603),$AU603/100,"")</f>
        <v/>
      </c>
      <c r="DA603" s="82">
        <f>IF(ISNUMBER($AV603),$AV603/100,"")</f>
        <v/>
      </c>
      <c r="DB603" s="82">
        <f>IF(ISNUMBER($AW603),$AW603/100,"")</f>
        <v/>
      </c>
      <c r="DC603" s="82">
        <f>IF(ISNUMBER($AX603),$AX603/100,"")</f>
        <v/>
      </c>
      <c r="DD603" s="77">
        <f>IFERROR(VALUE(LEFT(TRIM($AO603&amp;""),4)),"")</f>
        <v/>
      </c>
      <c r="DE603" s="78">
        <f>IF(AND($BY603=1,$BX603=1,OR(fDeal="All Deals",$BU603=fDeal),OR(fEntity="All Entities",$BV603=fEntity),OR(fPType="All Property Types",$BZ603=fPType),OR(fDefeased="Include",$CJ603=0)),1,0)</f>
        <v/>
      </c>
      <c r="DF603" s="83">
        <f>$DE603*N($I603)</f>
        <v/>
      </c>
      <c r="DG603" s="78">
        <f>IF($DE603=1,IF(COUNTIFS($F$8:$F603,$F603,$DE$8:$DE603,1)=1,1,0),0)</f>
        <v/>
      </c>
      <c r="DH603" s="83">
        <f>IF($DG603=1,SUMIFS($DF$8:$DF$1600,$F$8:$F$1600,$F603),0)</f>
        <v/>
      </c>
      <c r="DI603" s="78">
        <f>IF($DG603=1,COUNTIFS($F$8:$F$1600,$F603,$DE$8:$DE$1600,1),0)</f>
        <v/>
      </c>
      <c r="DJ603" s="84">
        <f>IF($DG603=1,$DH603+(100000-ROW())/mTieBreak,0)</f>
        <v/>
      </c>
    </row>
    <row r="604">
      <c r="B604" s="68" t="n">
        <v>17</v>
      </c>
      <c r="C604" s="69" t="inlineStr">
        <is>
          <t>UBS18C13</t>
        </is>
      </c>
      <c r="D604" s="69" t="inlineStr">
        <is>
          <t>17.000</t>
        </is>
      </c>
      <c r="E604" s="69" t="inlineStr">
        <is>
          <t>Riverwalk</t>
        </is>
      </c>
      <c r="F604" s="69" t="inlineStr">
        <is>
          <t>SPLIT_LOAN_01329</t>
        </is>
      </c>
      <c r="G604" s="70" t="n">
        <v>1329</v>
      </c>
      <c r="H604" s="71" t="n">
        <v>15700000</v>
      </c>
      <c r="I604" s="71" t="n">
        <v>14451275.250004</v>
      </c>
      <c r="J604" s="72" t="n">
        <v>5.176</v>
      </c>
      <c r="K604" s="69" t="inlineStr">
        <is>
          <t>Fixed rate</t>
        </is>
      </c>
      <c r="L604" s="68" t="n">
        <v>120</v>
      </c>
      <c r="M604" s="68" t="n">
        <v>21</v>
      </c>
      <c r="N604" s="68" t="n">
        <v>396</v>
      </c>
      <c r="O604" s="68" t="n">
        <v>36</v>
      </c>
      <c r="P604" s="68" t="n">
        <v>0</v>
      </c>
      <c r="Q604" s="68" t="n">
        <v>99</v>
      </c>
      <c r="R604" s="69" t="inlineStr">
        <is>
          <t>IO then Amort</t>
        </is>
      </c>
      <c r="S604" s="69" t="inlineStr">
        <is>
          <t>No</t>
        </is>
      </c>
      <c r="T604" s="73" t="n">
        <v>43252</v>
      </c>
      <c r="U604" s="73" t="n">
        <v>46910</v>
      </c>
      <c r="V604" s="73" t="n"/>
      <c r="W604" s="69" t="n"/>
      <c r="X604" s="69" t="inlineStr">
        <is>
          <t>Current</t>
        </is>
      </c>
      <c r="Y604" s="68" t="n"/>
      <c r="Z604" s="69" t="inlineStr">
        <is>
          <t>No Defeasance Occurred</t>
        </is>
      </c>
      <c r="AA604" s="69" t="inlineStr">
        <is>
          <t>Previously</t>
        </is>
      </c>
      <c r="AB604" s="69" t="inlineStr">
        <is>
          <t>Never special serv</t>
        </is>
      </c>
      <c r="AC604" s="73" t="n"/>
      <c r="AD604" s="69" t="n"/>
      <c r="AE604" s="69" t="n"/>
      <c r="AF604" s="69" t="inlineStr">
        <is>
          <t>MA</t>
        </is>
      </c>
      <c r="AG604" s="69" t="inlineStr">
        <is>
          <t>Lawrence</t>
        </is>
      </c>
      <c r="AH604" s="69" t="inlineStr">
        <is>
          <t>Boston-Cambridge-Newton, MA-NH</t>
        </is>
      </c>
      <c r="AI604" s="69" t="inlineStr">
        <is>
          <t>Northeast / New England</t>
        </is>
      </c>
      <c r="AJ604" s="69" t="inlineStr">
        <is>
          <t>OF</t>
        </is>
      </c>
      <c r="AK604" s="69" t="inlineStr">
        <is>
          <t>Suburban</t>
        </is>
      </c>
      <c r="AL604" s="68" t="n">
        <v>1</v>
      </c>
      <c r="AM604" s="68" t="n"/>
      <c r="AN604" s="68" t="n">
        <v>630379</v>
      </c>
      <c r="AO604" s="69" t="inlineStr">
        <is>
          <t>1901, 2007</t>
        </is>
      </c>
      <c r="AP604" s="70" t="n">
        <v>2007</v>
      </c>
      <c r="AQ604" s="74" t="n">
        <v>1.34</v>
      </c>
      <c r="AR604" s="74" t="n">
        <v>1.34</v>
      </c>
      <c r="AS604" s="74" t="n">
        <v>69</v>
      </c>
      <c r="AT604" s="74" t="n">
        <v>63.49</v>
      </c>
      <c r="AU604" s="74" t="n">
        <v>61.3</v>
      </c>
      <c r="AV604" s="74" t="n">
        <v>8.831516121</v>
      </c>
      <c r="AW604" s="74" t="n">
        <v>10.174422448</v>
      </c>
      <c r="AX604" s="75" t="n">
        <v>89</v>
      </c>
      <c r="AY604" s="71" t="n">
        <v>117000000</v>
      </c>
      <c r="AZ604" s="71" t="n">
        <v>117000000</v>
      </c>
      <c r="BA604" s="71" t="n">
        <v>7127033.51</v>
      </c>
      <c r="BB604" s="71" t="n">
        <v>7115131</v>
      </c>
      <c r="BC604" s="69" t="inlineStr">
        <is>
          <t>Refinance</t>
        </is>
      </c>
      <c r="BD604" s="69" t="inlineStr">
        <is>
          <t>N</t>
        </is>
      </c>
      <c r="BE604" s="71" t="n">
        <v>59830120.46</v>
      </c>
      <c r="BF604" s="71" t="n"/>
      <c r="BG604" s="71" t="n"/>
      <c r="BH604" s="71" t="n">
        <v>0</v>
      </c>
      <c r="BI604" s="71" t="n">
        <v>0</v>
      </c>
      <c r="BJ604" s="69" t="inlineStr">
        <is>
          <t>N</t>
        </is>
      </c>
      <c r="BK604" s="69" t="inlineStr">
        <is>
          <t>Select One Construction</t>
        </is>
      </c>
      <c r="BL604" s="75" t="n">
        <v>4.37</v>
      </c>
      <c r="BM604" s="73" t="n">
        <v>48699</v>
      </c>
      <c r="BN604" s="69" t="inlineStr">
        <is>
          <t>Salvatore N. Lupoli</t>
        </is>
      </c>
      <c r="BO604" s="69" t="n"/>
      <c r="BP604" s="69" t="inlineStr">
        <is>
          <t>Midland Loan Services</t>
        </is>
      </c>
      <c r="BQ604" s="69" t="inlineStr">
        <is>
          <t>K-Star Asset Management LLC</t>
        </is>
      </c>
      <c r="BR604" s="69" t="n"/>
      <c r="BS604" s="73" t="n">
        <v>46276</v>
      </c>
      <c r="BU604" s="76">
        <f>IF($C604="","",IFERROR(INDEX(dmName,MATCH($C604,dmID,0)),"Unmapped"))</f>
        <v/>
      </c>
      <c r="BV604" s="76">
        <f>IF($C604="","",IFERROR(INDEX(dmEntity,MATCH($C604,dmID,0)),"Unmapped"))</f>
        <v/>
      </c>
      <c r="BW604" s="77">
        <f>IF($C604="","",IFERROR(INDEX(dmVintage,MATCH($C604,dmID,0)),""))</f>
        <v/>
      </c>
      <c r="BX604" s="78">
        <f>IFERROR(INDEX(dmInclude,MATCH($C604,dmID,0)),0)</f>
        <v/>
      </c>
      <c r="BY604" s="78">
        <f>IF(N($I604)&gt;0,1,0)</f>
        <v/>
      </c>
      <c r="BZ604" s="76">
        <f>IF($AJ604="","Other / Leased Fee",IFERROR(INDEX(mapPTGroup,MATCH(LEFT(TRIM($AJ604),2),mapPTCode,0)),"Other / Leased Fee"))</f>
        <v/>
      </c>
      <c r="CA604" s="76">
        <f>IF(TRIM($AF604&amp;"")="","NR",LEFT(TRIM($AF604),2))</f>
        <v/>
      </c>
      <c r="CB604" s="76">
        <f>IFERROR(LOOKUP(2,1/(LEFT(TRIM($AI604&amp;""),LEN(mapRegion))=mapRegion),mapRegion),"Not Reported")</f>
        <v/>
      </c>
      <c r="CC604" s="76">
        <f>IF($BY604=0,"",IF(TRIM($W604&amp;"")="REO","REO",IF(TRIM($W604&amp;"")="FC","Foreclosure",IF(TRIM($W604&amp;"")="90+","90+ Days Delinquent",IF(TRIM($W604&amp;"")="60","60 Days Delinquent",IF(TRIM($W604&amp;"")="30","30 Days Delinquent",IF($X604="Non-Performing Matured Balloon","Non-Performing Matured Balloon",IF(OR($X604="Late Payment But Less Than 30 Days Delinquent",LEFT($X604&amp;"",20)="Payment Not Received"),"Late / In Grace (&lt;30 Days)",IF($X604="Performing Matured Balloon","Performing Matured Balloon","Current")))))))))</f>
        <v/>
      </c>
      <c r="CD604" s="78">
        <f>IF(OR($CC604="REO",$CC604="Foreclosure",$CC604="90+ Days Delinquent",$CC604="60 Days Delinquent",$CC604="30 Days Delinquent",$CC604="Non-Performing Matured Balloon"),1,0)</f>
        <v/>
      </c>
      <c r="CE604" s="76">
        <f>IF($AB604="Currently special serv","Currently Specially Serviced",IF($AB604="Returned to master serv","Previously Specially Serviced","Never Specially Serviced"))</f>
        <v/>
      </c>
      <c r="CF604" s="78">
        <f>IF($CE604="Currently Specially Serviced",1,0)</f>
        <v/>
      </c>
      <c r="CG604" s="76">
        <f>IF($AA604="Yes","Currently on Watchlist",IF($AA604="Previously","Previously on Watchlist","Never on Watchlist"))</f>
        <v/>
      </c>
      <c r="CH604" s="78">
        <f>IF($CG604="Currently on Watchlist",1,0)</f>
        <v/>
      </c>
      <c r="CI604" s="76">
        <f>IF($Z604="Full Defeasance","Fully Defeased",IF($Z604="Portion Of Loan Previously Defeased","Partially Defeased",IF($Z604="Defeasance Not Allowable","Not Defeased (Not Permitted)","Not Defeased")))</f>
        <v/>
      </c>
      <c r="CJ604" s="78">
        <f>IF($CI604="Fully Defeased",1,0)</f>
        <v/>
      </c>
      <c r="CK604" s="76">
        <f>IF($R604="IO","Full IO",IF(LEFT($R604&amp;"",7)="IO then","Partial IO","Amortizing"))</f>
        <v/>
      </c>
      <c r="CL604" s="78">
        <f>IF($CK604="Full IO",1,0)</f>
        <v/>
      </c>
      <c r="CM604" s="78">
        <f>IF($CK604="Partial IO",1,0)</f>
        <v/>
      </c>
      <c r="CN604" s="76">
        <f>IF(LEFT($F604&amp;"",10)="SPLIT_LOAN","Pari Passu Split","Standalone")</f>
        <v/>
      </c>
      <c r="CO604" s="78">
        <f>IF($CN604="Pari Passu Split",1,0)</f>
        <v/>
      </c>
      <c r="CP604" s="77">
        <f>IF(ISNUMBER($T604),YEAR($T604),"")</f>
        <v/>
      </c>
      <c r="CQ604" s="79">
        <f>IF(ISNUMBER($V604),$V604,IF(ISNUMBER($U604),$U604,""))</f>
        <v/>
      </c>
      <c r="CR604" s="77">
        <f>IF(ISNUMBER($CQ604),YEAR($CQ604),"")</f>
        <v/>
      </c>
      <c r="CS604" s="78">
        <f>IF(ISNUMBER($M604),MAX(0,$M604),IF(TRIM($M604&amp;"")="matured",0,""))</f>
        <v/>
      </c>
      <c r="CT604" s="78">
        <f>IF(AND(ISNUMBER($CS604),N($CS604)&lt;=mMatWindow),1,0)</f>
        <v/>
      </c>
      <c r="CU604" s="80">
        <f>IF(ISNUMBER($J604),$J604/100,"")</f>
        <v/>
      </c>
      <c r="CV604" s="81">
        <f>IF(ISNUMBER($AQ604),$AQ604,"")</f>
        <v/>
      </c>
      <c r="CW604" s="81">
        <f>IF(ISNUMBER($AR604),$AR604,"")</f>
        <v/>
      </c>
      <c r="CX604" s="82">
        <f>IF(ISNUMBER($AS604),$AS604/100,"")</f>
        <v/>
      </c>
      <c r="CY604" s="82">
        <f>IF(ISNUMBER($AT604),$AT604/100,"")</f>
        <v/>
      </c>
      <c r="CZ604" s="82">
        <f>IF(ISNUMBER($AU604),$AU604/100,"")</f>
        <v/>
      </c>
      <c r="DA604" s="82">
        <f>IF(ISNUMBER($AV604),$AV604/100,"")</f>
        <v/>
      </c>
      <c r="DB604" s="82">
        <f>IF(ISNUMBER($AW604),$AW604/100,"")</f>
        <v/>
      </c>
      <c r="DC604" s="82">
        <f>IF(ISNUMBER($AX604),$AX604/100,"")</f>
        <v/>
      </c>
      <c r="DD604" s="77">
        <f>IFERROR(VALUE(LEFT(TRIM($AO604&amp;""),4)),"")</f>
        <v/>
      </c>
      <c r="DE604" s="78">
        <f>IF(AND($BY604=1,$BX604=1,OR(fDeal="All Deals",$BU604=fDeal),OR(fEntity="All Entities",$BV604=fEntity),OR(fPType="All Property Types",$BZ604=fPType),OR(fDefeased="Include",$CJ604=0)),1,0)</f>
        <v/>
      </c>
      <c r="DF604" s="83">
        <f>$DE604*N($I604)</f>
        <v/>
      </c>
      <c r="DG604" s="78">
        <f>IF($DE604=1,IF(COUNTIFS($F$8:$F604,$F604,$DE$8:$DE604,1)=1,1,0),0)</f>
        <v/>
      </c>
      <c r="DH604" s="83">
        <f>IF($DG604=1,SUMIFS($DF$8:$DF$1600,$F$8:$F$1600,$F604),0)</f>
        <v/>
      </c>
      <c r="DI604" s="78">
        <f>IF($DG604=1,COUNTIFS($F$8:$F$1600,$F604,$DE$8:$DE$1600,1),0)</f>
        <v/>
      </c>
      <c r="DJ604" s="84">
        <f>IF($DG604=1,$DH604+(100000-ROW())/mTieBreak,0)</f>
        <v/>
      </c>
    </row>
    <row r="605">
      <c r="B605" s="68" t="n">
        <v>18</v>
      </c>
      <c r="C605" s="69" t="inlineStr">
        <is>
          <t>UBS18C13</t>
        </is>
      </c>
      <c r="D605" s="69" t="inlineStr">
        <is>
          <t>18.000</t>
        </is>
      </c>
      <c r="E605" s="69" t="inlineStr">
        <is>
          <t>Valley View Shopping Center</t>
        </is>
      </c>
      <c r="F605" s="69" t="inlineStr">
        <is>
          <t>LNUBS18C13-18.000</t>
        </is>
      </c>
      <c r="G605" s="70" t="n"/>
      <c r="H605" s="71" t="n">
        <v>15500000</v>
      </c>
      <c r="I605" s="71" t="n">
        <v>13519015.149993</v>
      </c>
      <c r="J605" s="72" t="n">
        <v>5.24</v>
      </c>
      <c r="K605" s="69" t="inlineStr">
        <is>
          <t>Fixed rate</t>
        </is>
      </c>
      <c r="L605" s="68" t="n">
        <v>120</v>
      </c>
      <c r="M605" s="68" t="n">
        <v>25</v>
      </c>
      <c r="N605" s="68" t="n">
        <v>360</v>
      </c>
      <c r="O605" s="68" t="n"/>
      <c r="P605" s="68" t="n"/>
      <c r="Q605" s="68" t="n">
        <v>95</v>
      </c>
      <c r="R605" s="69" t="n"/>
      <c r="S605" s="69" t="inlineStr">
        <is>
          <t>No</t>
        </is>
      </c>
      <c r="T605" s="73" t="n">
        <v>43374</v>
      </c>
      <c r="U605" s="73" t="n">
        <v>47027</v>
      </c>
      <c r="V605" s="73" t="n"/>
      <c r="W605" s="69" t="n"/>
      <c r="X605" s="69" t="inlineStr">
        <is>
          <t>Current</t>
        </is>
      </c>
      <c r="Y605" s="68" t="n"/>
      <c r="Z605" s="69" t="inlineStr">
        <is>
          <t>No Defeasance Occurred</t>
        </is>
      </c>
      <c r="AA605" s="69" t="inlineStr">
        <is>
          <t>Previously</t>
        </is>
      </c>
      <c r="AB605" s="69" t="inlineStr">
        <is>
          <t>Never special serv</t>
        </is>
      </c>
      <c r="AC605" s="73" t="n"/>
      <c r="AD605" s="69" t="n"/>
      <c r="AE605" s="69" t="n"/>
      <c r="AF605" s="69" t="inlineStr">
        <is>
          <t>VA</t>
        </is>
      </c>
      <c r="AG605" s="69" t="inlineStr">
        <is>
          <t>Roanoke</t>
        </is>
      </c>
      <c r="AH605" s="69" t="inlineStr">
        <is>
          <t>Roanoke, VA</t>
        </is>
      </c>
      <c r="AI605" s="69" t="inlineStr">
        <is>
          <t>South / Atlantic</t>
        </is>
      </c>
      <c r="AJ605" s="69" t="inlineStr">
        <is>
          <t>RT</t>
        </is>
      </c>
      <c r="AK605" s="69" t="inlineStr">
        <is>
          <t>Anchored</t>
        </is>
      </c>
      <c r="AL605" s="68" t="n">
        <v>1</v>
      </c>
      <c r="AM605" s="68" t="n"/>
      <c r="AN605" s="68" t="n">
        <v>120460</v>
      </c>
      <c r="AO605" s="69" t="inlineStr">
        <is>
          <t>1987</t>
        </is>
      </c>
      <c r="AP605" s="70" t="n">
        <v>2018</v>
      </c>
      <c r="AQ605" s="74" t="n">
        <v>1.32</v>
      </c>
      <c r="AR605" s="74" t="n">
        <v>1.4</v>
      </c>
      <c r="AS605" s="74" t="n">
        <v>69.8</v>
      </c>
      <c r="AT605" s="74" t="n">
        <v>60.9</v>
      </c>
      <c r="AU605" s="74" t="n">
        <v>57.9</v>
      </c>
      <c r="AV605" s="74" t="n">
        <v>8.743759032</v>
      </c>
      <c r="AW605" s="74" t="n">
        <v>10.610770046</v>
      </c>
      <c r="AX605" s="75" t="n">
        <v>100</v>
      </c>
      <c r="AY605" s="71" t="n">
        <v>22200000</v>
      </c>
      <c r="AZ605" s="71" t="n">
        <v>22200000</v>
      </c>
      <c r="BA605" s="71" t="n">
        <v>1355282.65</v>
      </c>
      <c r="BB605" s="71" t="n">
        <v>1434471.61</v>
      </c>
      <c r="BC605" s="69" t="inlineStr">
        <is>
          <t>Refinance</t>
        </is>
      </c>
      <c r="BD605" s="69" t="inlineStr">
        <is>
          <t>N</t>
        </is>
      </c>
      <c r="BE605" s="71" t="n"/>
      <c r="BF605" s="71" t="n"/>
      <c r="BG605" s="71" t="n"/>
      <c r="BH605" s="71" t="n">
        <v>0</v>
      </c>
      <c r="BI605" s="71" t="n">
        <v>0</v>
      </c>
      <c r="BJ605" s="69" t="inlineStr">
        <is>
          <t>N</t>
        </is>
      </c>
      <c r="BK605" s="69" t="inlineStr">
        <is>
          <t>Dick's Clothing and Sporting Goods</t>
        </is>
      </c>
      <c r="BL605" s="75" t="n">
        <v>39.6</v>
      </c>
      <c r="BM605" s="73" t="n">
        <v>47149</v>
      </c>
      <c r="BN605" s="69" t="inlineStr">
        <is>
          <t>Robert P. Chesson</t>
        </is>
      </c>
      <c r="BO605" s="69" t="n"/>
      <c r="BP605" s="69" t="inlineStr">
        <is>
          <t>Midland Loan Services</t>
        </is>
      </c>
      <c r="BQ605" s="69" t="inlineStr">
        <is>
          <t>Midland Loan Services</t>
        </is>
      </c>
      <c r="BR605" s="69" t="n"/>
      <c r="BS605" s="73" t="n">
        <v>46276</v>
      </c>
      <c r="BU605" s="76">
        <f>IF($C605="","",IFERROR(INDEX(dmName,MATCH($C605,dmID,0)),"Unmapped"))</f>
        <v/>
      </c>
      <c r="BV605" s="76">
        <f>IF($C605="","",IFERROR(INDEX(dmEntity,MATCH($C605,dmID,0)),"Unmapped"))</f>
        <v/>
      </c>
      <c r="BW605" s="77">
        <f>IF($C605="","",IFERROR(INDEX(dmVintage,MATCH($C605,dmID,0)),""))</f>
        <v/>
      </c>
      <c r="BX605" s="78">
        <f>IFERROR(INDEX(dmInclude,MATCH($C605,dmID,0)),0)</f>
        <v/>
      </c>
      <c r="BY605" s="78">
        <f>IF(N($I605)&gt;0,1,0)</f>
        <v/>
      </c>
      <c r="BZ605" s="76">
        <f>IF($AJ605="","Other / Leased Fee",IFERROR(INDEX(mapPTGroup,MATCH(LEFT(TRIM($AJ605),2),mapPTCode,0)),"Other / Leased Fee"))</f>
        <v/>
      </c>
      <c r="CA605" s="76">
        <f>IF(TRIM($AF605&amp;"")="","NR",LEFT(TRIM($AF605),2))</f>
        <v/>
      </c>
      <c r="CB605" s="76">
        <f>IFERROR(LOOKUP(2,1/(LEFT(TRIM($AI605&amp;""),LEN(mapRegion))=mapRegion),mapRegion),"Not Reported")</f>
        <v/>
      </c>
      <c r="CC605" s="76">
        <f>IF($BY605=0,"",IF(TRIM($W605&amp;"")="REO","REO",IF(TRIM($W605&amp;"")="FC","Foreclosure",IF(TRIM($W605&amp;"")="90+","90+ Days Delinquent",IF(TRIM($W605&amp;"")="60","60 Days Delinquent",IF(TRIM($W605&amp;"")="30","30 Days Delinquent",IF($X605="Non-Performing Matured Balloon","Non-Performing Matured Balloon",IF(OR($X605="Late Payment But Less Than 30 Days Delinquent",LEFT($X605&amp;"",20)="Payment Not Received"),"Late / In Grace (&lt;30 Days)",IF($X605="Performing Matured Balloon","Performing Matured Balloon","Current")))))))))</f>
        <v/>
      </c>
      <c r="CD605" s="78">
        <f>IF(OR($CC605="REO",$CC605="Foreclosure",$CC605="90+ Days Delinquent",$CC605="60 Days Delinquent",$CC605="30 Days Delinquent",$CC605="Non-Performing Matured Balloon"),1,0)</f>
        <v/>
      </c>
      <c r="CE605" s="76">
        <f>IF($AB605="Currently special serv","Currently Specially Serviced",IF($AB605="Returned to master serv","Previously Specially Serviced","Never Specially Serviced"))</f>
        <v/>
      </c>
      <c r="CF605" s="78">
        <f>IF($CE605="Currently Specially Serviced",1,0)</f>
        <v/>
      </c>
      <c r="CG605" s="76">
        <f>IF($AA605="Yes","Currently on Watchlist",IF($AA605="Previously","Previously on Watchlist","Never on Watchlist"))</f>
        <v/>
      </c>
      <c r="CH605" s="78">
        <f>IF($CG605="Currently on Watchlist",1,0)</f>
        <v/>
      </c>
      <c r="CI605" s="76">
        <f>IF($Z605="Full Defeasance","Fully Defeased",IF($Z605="Portion Of Loan Previously Defeased","Partially Defeased",IF($Z605="Defeasance Not Allowable","Not Defeased (Not Permitted)","Not Defeased")))</f>
        <v/>
      </c>
      <c r="CJ605" s="78">
        <f>IF($CI605="Fully Defeased",1,0)</f>
        <v/>
      </c>
      <c r="CK605" s="76">
        <f>IF($R605="IO","Full IO",IF(LEFT($R605&amp;"",7)="IO then","Partial IO","Amortizing"))</f>
        <v/>
      </c>
      <c r="CL605" s="78">
        <f>IF($CK605="Full IO",1,0)</f>
        <v/>
      </c>
      <c r="CM605" s="78">
        <f>IF($CK605="Partial IO",1,0)</f>
        <v/>
      </c>
      <c r="CN605" s="76">
        <f>IF(LEFT($F605&amp;"",10)="SPLIT_LOAN","Pari Passu Split","Standalone")</f>
        <v/>
      </c>
      <c r="CO605" s="78">
        <f>IF($CN605="Pari Passu Split",1,0)</f>
        <v/>
      </c>
      <c r="CP605" s="77">
        <f>IF(ISNUMBER($T605),YEAR($T605),"")</f>
        <v/>
      </c>
      <c r="CQ605" s="79">
        <f>IF(ISNUMBER($V605),$V605,IF(ISNUMBER($U605),$U605,""))</f>
        <v/>
      </c>
      <c r="CR605" s="77">
        <f>IF(ISNUMBER($CQ605),YEAR($CQ605),"")</f>
        <v/>
      </c>
      <c r="CS605" s="78">
        <f>IF(ISNUMBER($M605),MAX(0,$M605),IF(TRIM($M605&amp;"")="matured",0,""))</f>
        <v/>
      </c>
      <c r="CT605" s="78">
        <f>IF(AND(ISNUMBER($CS605),N($CS605)&lt;=mMatWindow),1,0)</f>
        <v/>
      </c>
      <c r="CU605" s="80">
        <f>IF(ISNUMBER($J605),$J605/100,"")</f>
        <v/>
      </c>
      <c r="CV605" s="81">
        <f>IF(ISNUMBER($AQ605),$AQ605,"")</f>
        <v/>
      </c>
      <c r="CW605" s="81">
        <f>IF(ISNUMBER($AR605),$AR605,"")</f>
        <v/>
      </c>
      <c r="CX605" s="82">
        <f>IF(ISNUMBER($AS605),$AS605/100,"")</f>
        <v/>
      </c>
      <c r="CY605" s="82">
        <f>IF(ISNUMBER($AT605),$AT605/100,"")</f>
        <v/>
      </c>
      <c r="CZ605" s="82">
        <f>IF(ISNUMBER($AU605),$AU605/100,"")</f>
        <v/>
      </c>
      <c r="DA605" s="82">
        <f>IF(ISNUMBER($AV605),$AV605/100,"")</f>
        <v/>
      </c>
      <c r="DB605" s="82">
        <f>IF(ISNUMBER($AW605),$AW605/100,"")</f>
        <v/>
      </c>
      <c r="DC605" s="82">
        <f>IF(ISNUMBER($AX605),$AX605/100,"")</f>
        <v/>
      </c>
      <c r="DD605" s="77">
        <f>IFERROR(VALUE(LEFT(TRIM($AO605&amp;""),4)),"")</f>
        <v/>
      </c>
      <c r="DE605" s="78">
        <f>IF(AND($BY605=1,$BX605=1,OR(fDeal="All Deals",$BU605=fDeal),OR(fEntity="All Entities",$BV605=fEntity),OR(fPType="All Property Types",$BZ605=fPType),OR(fDefeased="Include",$CJ605=0)),1,0)</f>
        <v/>
      </c>
      <c r="DF605" s="83">
        <f>$DE605*N($I605)</f>
        <v/>
      </c>
      <c r="DG605" s="78">
        <f>IF($DE605=1,IF(COUNTIFS($F$8:$F605,$F605,$DE$8:$DE605,1)=1,1,0),0)</f>
        <v/>
      </c>
      <c r="DH605" s="83">
        <f>IF($DG605=1,SUMIFS($DF$8:$DF$1600,$F$8:$F$1600,$F605),0)</f>
        <v/>
      </c>
      <c r="DI605" s="78">
        <f>IF($DG605=1,COUNTIFS($F$8:$F$1600,$F605,$DE$8:$DE$1600,1),0)</f>
        <v/>
      </c>
      <c r="DJ605" s="84">
        <f>IF($DG605=1,$DH605+(100000-ROW())/mTieBreak,0)</f>
        <v/>
      </c>
    </row>
    <row r="606">
      <c r="B606" s="68" t="n">
        <v>19</v>
      </c>
      <c r="C606" s="69" t="inlineStr">
        <is>
          <t>UBS18C13</t>
        </is>
      </c>
      <c r="D606" s="69" t="inlineStr">
        <is>
          <t>19.000</t>
        </is>
      </c>
      <c r="E606" s="69" t="inlineStr">
        <is>
          <t>Quala</t>
        </is>
      </c>
      <c r="F606" s="69" t="inlineStr">
        <is>
          <t>LNUBS18C13-19.000</t>
        </is>
      </c>
      <c r="G606" s="70" t="n"/>
      <c r="H606" s="71" t="n">
        <v>14936000</v>
      </c>
      <c r="I606" s="71" t="n">
        <v>14715896.35999273</v>
      </c>
      <c r="J606" s="72" t="n">
        <v>4.7598</v>
      </c>
      <c r="K606" s="69" t="inlineStr">
        <is>
          <t>Fixed rate</t>
        </is>
      </c>
      <c r="L606" s="68" t="n">
        <v>120</v>
      </c>
      <c r="M606" s="68" t="n">
        <v>24</v>
      </c>
      <c r="N606" s="68" t="n">
        <v>444</v>
      </c>
      <c r="O606" s="68" t="n">
        <v>84</v>
      </c>
      <c r="P606" s="68" t="n">
        <v>0</v>
      </c>
      <c r="Q606" s="68" t="n">
        <v>96</v>
      </c>
      <c r="R606" s="69" t="inlineStr">
        <is>
          <t>IO then Amort</t>
        </is>
      </c>
      <c r="S606" s="69" t="inlineStr">
        <is>
          <t>No</t>
        </is>
      </c>
      <c r="T606" s="73" t="n">
        <v>43344</v>
      </c>
      <c r="U606" s="73" t="n">
        <v>47002</v>
      </c>
      <c r="V606" s="73" t="n"/>
      <c r="W606" s="69" t="n"/>
      <c r="X606" s="69" t="inlineStr">
        <is>
          <t>Current</t>
        </is>
      </c>
      <c r="Y606" s="68" t="n"/>
      <c r="Z606" s="69" t="inlineStr">
        <is>
          <t>Defeasance Not Allowable</t>
        </is>
      </c>
      <c r="AA606" s="69" t="inlineStr">
        <is>
          <t>Previously</t>
        </is>
      </c>
      <c r="AB606" s="69" t="inlineStr">
        <is>
          <t>Never special serv</t>
        </is>
      </c>
      <c r="AC606" s="73" t="n"/>
      <c r="AD606" s="69" t="n"/>
      <c r="AE606" s="69" t="n"/>
      <c r="AF606" s="69" t="inlineStr">
        <is>
          <t>TX-35.460992877% IL-18.173758870% LA-15.514184418% WI-14.627659555% IA-12.411347534% AL-3.812056747%</t>
        </is>
      </c>
      <c r="AG606" s="69" t="n"/>
      <c r="AH606" s="69" t="inlineStr">
        <is>
          <t>Houston-Pasadena-The Woodlands, TX-35.460992877% Chicago-Naperville-Elgin, IL-IN-18.173758870% Baton Rouge, LA-15.514184418% Oshkosh-Neenah, WI-14.627659555% Cedar Rapids, IA-12.411347534% Mobile, AL-3.812056747%</t>
        </is>
      </c>
      <c r="AI606" s="69" t="inlineStr">
        <is>
          <t>South / Central West-50.975177295% Midwest / Central East-32.801418425% Midwest / Central West-12.411347534% South / Central East-3.812056747%</t>
        </is>
      </c>
      <c r="AJ606" s="69" t="inlineStr">
        <is>
          <t>IN</t>
        </is>
      </c>
      <c r="AK606" s="69" t="inlineStr">
        <is>
          <t>Warehouse</t>
        </is>
      </c>
      <c r="AL606" s="68" t="n">
        <v>6</v>
      </c>
      <c r="AM606" s="68" t="n"/>
      <c r="AN606" s="68" t="n">
        <v>103170</v>
      </c>
      <c r="AO606" s="69" t="n"/>
      <c r="AP606" s="70" t="n">
        <v>2017</v>
      </c>
      <c r="AQ606" s="74" t="n">
        <v>1.62</v>
      </c>
      <c r="AR606" s="74" t="n">
        <v>1.85</v>
      </c>
      <c r="AS606" s="74" t="n">
        <v>66.2</v>
      </c>
      <c r="AT606" s="74" t="n">
        <v>65.23</v>
      </c>
      <c r="AU606" s="74" t="n">
        <v>63.1</v>
      </c>
      <c r="AV606" s="74" t="n">
        <v>10.163852437</v>
      </c>
      <c r="AW606" s="74" t="n">
        <v>11.623330772</v>
      </c>
      <c r="AX606" s="75" t="n">
        <v>100</v>
      </c>
      <c r="AY606" s="71" t="n">
        <v>22560000</v>
      </c>
      <c r="AZ606" s="71" t="n">
        <v>22560000</v>
      </c>
      <c r="BA606" s="71" t="n">
        <v>1518073</v>
      </c>
      <c r="BB606" s="71" t="n">
        <v>432682.56</v>
      </c>
      <c r="BC606" s="69" t="inlineStr">
        <is>
          <t>Acquisition</t>
        </is>
      </c>
      <c r="BD606" s="69" t="inlineStr">
        <is>
          <t>N</t>
        </is>
      </c>
      <c r="BE606" s="71" t="n"/>
      <c r="BF606" s="71" t="n"/>
      <c r="BG606" s="71" t="n"/>
      <c r="BH606" s="71" t="n">
        <v>0</v>
      </c>
      <c r="BI606" s="71" t="n">
        <v>0</v>
      </c>
      <c r="BJ606" s="69" t="inlineStr">
        <is>
          <t>N</t>
        </is>
      </c>
      <c r="BK606" s="69" t="inlineStr">
        <is>
          <t>NM QLA LP</t>
        </is>
      </c>
      <c r="BL606" s="75" t="n">
        <v>93.48</v>
      </c>
      <c r="BM606" s="73" t="n">
        <v>52840</v>
      </c>
      <c r="BN606" s="69" t="inlineStr">
        <is>
          <t>New Mountain Net Lease Partners Corporation</t>
        </is>
      </c>
      <c r="BO606" s="69" t="n"/>
      <c r="BP606" s="69" t="inlineStr">
        <is>
          <t>Midland Loan Services</t>
        </is>
      </c>
      <c r="BQ606" s="69" t="inlineStr">
        <is>
          <t>Midland Loan Services</t>
        </is>
      </c>
      <c r="BR606" s="69" t="n"/>
      <c r="BS606" s="73" t="n">
        <v>46276</v>
      </c>
      <c r="BU606" s="76">
        <f>IF($C606="","",IFERROR(INDEX(dmName,MATCH($C606,dmID,0)),"Unmapped"))</f>
        <v/>
      </c>
      <c r="BV606" s="76">
        <f>IF($C606="","",IFERROR(INDEX(dmEntity,MATCH($C606,dmID,0)),"Unmapped"))</f>
        <v/>
      </c>
      <c r="BW606" s="77">
        <f>IF($C606="","",IFERROR(INDEX(dmVintage,MATCH($C606,dmID,0)),""))</f>
        <v/>
      </c>
      <c r="BX606" s="78">
        <f>IFERROR(INDEX(dmInclude,MATCH($C606,dmID,0)),0)</f>
        <v/>
      </c>
      <c r="BY606" s="78">
        <f>IF(N($I606)&gt;0,1,0)</f>
        <v/>
      </c>
      <c r="BZ606" s="76">
        <f>IF($AJ606="","Other / Leased Fee",IFERROR(INDEX(mapPTGroup,MATCH(LEFT(TRIM($AJ606),2),mapPTCode,0)),"Other / Leased Fee"))</f>
        <v/>
      </c>
      <c r="CA606" s="76">
        <f>IF(TRIM($AF606&amp;"")="","NR",LEFT(TRIM($AF606),2))</f>
        <v/>
      </c>
      <c r="CB606" s="76">
        <f>IFERROR(LOOKUP(2,1/(LEFT(TRIM($AI606&amp;""),LEN(mapRegion))=mapRegion),mapRegion),"Not Reported")</f>
        <v/>
      </c>
      <c r="CC606" s="76">
        <f>IF($BY606=0,"",IF(TRIM($W606&amp;"")="REO","REO",IF(TRIM($W606&amp;"")="FC","Foreclosure",IF(TRIM($W606&amp;"")="90+","90+ Days Delinquent",IF(TRIM($W606&amp;"")="60","60 Days Delinquent",IF(TRIM($W606&amp;"")="30","30 Days Delinquent",IF($X606="Non-Performing Matured Balloon","Non-Performing Matured Balloon",IF(OR($X606="Late Payment But Less Than 30 Days Delinquent",LEFT($X606&amp;"",20)="Payment Not Received"),"Late / In Grace (&lt;30 Days)",IF($X606="Performing Matured Balloon","Performing Matured Balloon","Current")))))))))</f>
        <v/>
      </c>
      <c r="CD606" s="78">
        <f>IF(OR($CC606="REO",$CC606="Foreclosure",$CC606="90+ Days Delinquent",$CC606="60 Days Delinquent",$CC606="30 Days Delinquent",$CC606="Non-Performing Matured Balloon"),1,0)</f>
        <v/>
      </c>
      <c r="CE606" s="76">
        <f>IF($AB606="Currently special serv","Currently Specially Serviced",IF($AB606="Returned to master serv","Previously Specially Serviced","Never Specially Serviced"))</f>
        <v/>
      </c>
      <c r="CF606" s="78">
        <f>IF($CE606="Currently Specially Serviced",1,0)</f>
        <v/>
      </c>
      <c r="CG606" s="76">
        <f>IF($AA606="Yes","Currently on Watchlist",IF($AA606="Previously","Previously on Watchlist","Never on Watchlist"))</f>
        <v/>
      </c>
      <c r="CH606" s="78">
        <f>IF($CG606="Currently on Watchlist",1,0)</f>
        <v/>
      </c>
      <c r="CI606" s="76">
        <f>IF($Z606="Full Defeasance","Fully Defeased",IF($Z606="Portion Of Loan Previously Defeased","Partially Defeased",IF($Z606="Defeasance Not Allowable","Not Defeased (Not Permitted)","Not Defeased")))</f>
        <v/>
      </c>
      <c r="CJ606" s="78">
        <f>IF($CI606="Fully Defeased",1,0)</f>
        <v/>
      </c>
      <c r="CK606" s="76">
        <f>IF($R606="IO","Full IO",IF(LEFT($R606&amp;"",7)="IO then","Partial IO","Amortizing"))</f>
        <v/>
      </c>
      <c r="CL606" s="78">
        <f>IF($CK606="Full IO",1,0)</f>
        <v/>
      </c>
      <c r="CM606" s="78">
        <f>IF($CK606="Partial IO",1,0)</f>
        <v/>
      </c>
      <c r="CN606" s="76">
        <f>IF(LEFT($F606&amp;"",10)="SPLIT_LOAN","Pari Passu Split","Standalone")</f>
        <v/>
      </c>
      <c r="CO606" s="78">
        <f>IF($CN606="Pari Passu Split",1,0)</f>
        <v/>
      </c>
      <c r="CP606" s="77">
        <f>IF(ISNUMBER($T606),YEAR($T606),"")</f>
        <v/>
      </c>
      <c r="CQ606" s="79">
        <f>IF(ISNUMBER($V606),$V606,IF(ISNUMBER($U606),$U606,""))</f>
        <v/>
      </c>
      <c r="CR606" s="77">
        <f>IF(ISNUMBER($CQ606),YEAR($CQ606),"")</f>
        <v/>
      </c>
      <c r="CS606" s="78">
        <f>IF(ISNUMBER($M606),MAX(0,$M606),IF(TRIM($M606&amp;"")="matured",0,""))</f>
        <v/>
      </c>
      <c r="CT606" s="78">
        <f>IF(AND(ISNUMBER($CS606),N($CS606)&lt;=mMatWindow),1,0)</f>
        <v/>
      </c>
      <c r="CU606" s="80">
        <f>IF(ISNUMBER($J606),$J606/100,"")</f>
        <v/>
      </c>
      <c r="CV606" s="81">
        <f>IF(ISNUMBER($AQ606),$AQ606,"")</f>
        <v/>
      </c>
      <c r="CW606" s="81">
        <f>IF(ISNUMBER($AR606),$AR606,"")</f>
        <v/>
      </c>
      <c r="CX606" s="82">
        <f>IF(ISNUMBER($AS606),$AS606/100,"")</f>
        <v/>
      </c>
      <c r="CY606" s="82">
        <f>IF(ISNUMBER($AT606),$AT606/100,"")</f>
        <v/>
      </c>
      <c r="CZ606" s="82">
        <f>IF(ISNUMBER($AU606),$AU606/100,"")</f>
        <v/>
      </c>
      <c r="DA606" s="82">
        <f>IF(ISNUMBER($AV606),$AV606/100,"")</f>
        <v/>
      </c>
      <c r="DB606" s="82">
        <f>IF(ISNUMBER($AW606),$AW606/100,"")</f>
        <v/>
      </c>
      <c r="DC606" s="82">
        <f>IF(ISNUMBER($AX606),$AX606/100,"")</f>
        <v/>
      </c>
      <c r="DD606" s="77">
        <f>IFERROR(VALUE(LEFT(TRIM($AO606&amp;""),4)),"")</f>
        <v/>
      </c>
      <c r="DE606" s="78">
        <f>IF(AND($BY606=1,$BX606=1,OR(fDeal="All Deals",$BU606=fDeal),OR(fEntity="All Entities",$BV606=fEntity),OR(fPType="All Property Types",$BZ606=fPType),OR(fDefeased="Include",$CJ606=0)),1,0)</f>
        <v/>
      </c>
      <c r="DF606" s="83">
        <f>$DE606*N($I606)</f>
        <v/>
      </c>
      <c r="DG606" s="78">
        <f>IF($DE606=1,IF(COUNTIFS($F$8:$F606,$F606,$DE$8:$DE606,1)=1,1,0),0)</f>
        <v/>
      </c>
      <c r="DH606" s="83">
        <f>IF($DG606=1,SUMIFS($DF$8:$DF$1600,$F$8:$F$1600,$F606),0)</f>
        <v/>
      </c>
      <c r="DI606" s="78">
        <f>IF($DG606=1,COUNTIFS($F$8:$F$1600,$F606,$DE$8:$DE$1600,1),0)</f>
        <v/>
      </c>
      <c r="DJ606" s="84">
        <f>IF($DG606=1,$DH606+(100000-ROW())/mTieBreak,0)</f>
        <v/>
      </c>
    </row>
    <row r="607">
      <c r="B607" s="68" t="n">
        <v>20</v>
      </c>
      <c r="C607" s="69" t="inlineStr">
        <is>
          <t>UBS18C13</t>
        </is>
      </c>
      <c r="D607" s="69" t="inlineStr">
        <is>
          <t>20.000</t>
        </is>
      </c>
      <c r="E607" s="69" t="inlineStr">
        <is>
          <t>Linden Pointe</t>
        </is>
      </c>
      <c r="F607" s="69" t="inlineStr">
        <is>
          <t>LNUBS18C13-20.000</t>
        </is>
      </c>
      <c r="G607" s="70" t="n"/>
      <c r="H607" s="71" t="n">
        <v>14900000</v>
      </c>
      <c r="I607" s="71" t="n">
        <v>13549342.6700003</v>
      </c>
      <c r="J607" s="72" t="n">
        <v>5.32</v>
      </c>
      <c r="K607" s="69" t="inlineStr">
        <is>
          <t>Fixed rate</t>
        </is>
      </c>
      <c r="L607" s="68" t="n">
        <v>120</v>
      </c>
      <c r="M607" s="68" t="n">
        <v>24</v>
      </c>
      <c r="N607" s="68" t="n">
        <v>384</v>
      </c>
      <c r="O607" s="68" t="n">
        <v>24</v>
      </c>
      <c r="P607" s="68" t="n">
        <v>0</v>
      </c>
      <c r="Q607" s="68" t="n">
        <v>96</v>
      </c>
      <c r="R607" s="69" t="inlineStr">
        <is>
          <t>IO then Amort</t>
        </is>
      </c>
      <c r="S607" s="69" t="inlineStr">
        <is>
          <t>No</t>
        </is>
      </c>
      <c r="T607" s="73" t="n">
        <v>43344</v>
      </c>
      <c r="U607" s="73" t="n">
        <v>47002</v>
      </c>
      <c r="V607" s="73" t="n"/>
      <c r="W607" s="69" t="n"/>
      <c r="X607" s="69" t="inlineStr">
        <is>
          <t>Current</t>
        </is>
      </c>
      <c r="Y607" s="68" t="n"/>
      <c r="Z607" s="69" t="inlineStr">
        <is>
          <t>No Defeasance Occurred</t>
        </is>
      </c>
      <c r="AA607" s="69" t="inlineStr">
        <is>
          <t>Yes</t>
        </is>
      </c>
      <c r="AB607" s="69" t="inlineStr">
        <is>
          <t>Never special serv</t>
        </is>
      </c>
      <c r="AC607" s="73" t="n"/>
      <c r="AD607" s="69" t="n"/>
      <c r="AE607" s="69" t="n"/>
      <c r="AF607" s="69" t="inlineStr">
        <is>
          <t>OH</t>
        </is>
      </c>
      <c r="AG607" s="69" t="inlineStr">
        <is>
          <t>Cincinnati</t>
        </is>
      </c>
      <c r="AH607" s="69" t="inlineStr">
        <is>
          <t>Cincinnati, OH-KY-IN</t>
        </is>
      </c>
      <c r="AI607" s="69" t="inlineStr">
        <is>
          <t>Midwest / Central East</t>
        </is>
      </c>
      <c r="AJ607" s="69" t="inlineStr">
        <is>
          <t>MX</t>
        </is>
      </c>
      <c r="AK607" s="69" t="inlineStr">
        <is>
          <t>Office/Retail</t>
        </is>
      </c>
      <c r="AL607" s="68" t="n">
        <v>1</v>
      </c>
      <c r="AM607" s="68" t="n"/>
      <c r="AN607" s="68" t="n">
        <v>121304</v>
      </c>
      <c r="AO607" s="69" t="inlineStr">
        <is>
          <t>2006</t>
        </is>
      </c>
      <c r="AP607" s="70" t="n">
        <v>2006</v>
      </c>
      <c r="AQ607" s="74" t="n">
        <v>1.44</v>
      </c>
      <c r="AR607" s="74" t="n">
        <v>1.39</v>
      </c>
      <c r="AS607" s="74" t="n">
        <v>71.59999999999999</v>
      </c>
      <c r="AT607" s="74" t="n">
        <v>65.14</v>
      </c>
      <c r="AU607" s="74" t="n">
        <v>62.5</v>
      </c>
      <c r="AV607" s="74" t="n">
        <v>9.597788121000001</v>
      </c>
      <c r="AW607" s="74" t="n">
        <v>10.237773697</v>
      </c>
      <c r="AX607" s="75" t="n">
        <v>100</v>
      </c>
      <c r="AY607" s="71" t="n">
        <v>20800000</v>
      </c>
      <c r="AZ607" s="71" t="n">
        <v>20800000</v>
      </c>
      <c r="BA607" s="71" t="n">
        <v>1430070.43</v>
      </c>
      <c r="BB607" s="71" t="n">
        <v>1387151.04</v>
      </c>
      <c r="BC607" s="69" t="inlineStr">
        <is>
          <t>Refinance</t>
        </is>
      </c>
      <c r="BD607" s="69" t="inlineStr">
        <is>
          <t>N</t>
        </is>
      </c>
      <c r="BE607" s="71" t="n"/>
      <c r="BF607" s="71" t="n"/>
      <c r="BG607" s="71" t="n"/>
      <c r="BH607" s="71" t="n">
        <v>0</v>
      </c>
      <c r="BI607" s="71" t="n">
        <v>0</v>
      </c>
      <c r="BJ607" s="69" t="inlineStr">
        <is>
          <t>N</t>
        </is>
      </c>
      <c r="BK607" s="69" t="inlineStr">
        <is>
          <t>Riverhills Healthcar  t0005476</t>
        </is>
      </c>
      <c r="BL607" s="75" t="n">
        <v>14.3</v>
      </c>
      <c r="BM607" s="73" t="n">
        <v>46142</v>
      </c>
      <c r="BN607" s="69" t="inlineStr">
        <is>
          <t>David F. Neyer</t>
        </is>
      </c>
      <c r="BO607" s="69" t="n"/>
      <c r="BP607" s="69" t="inlineStr">
        <is>
          <t>Midland Loan Services</t>
        </is>
      </c>
      <c r="BQ607" s="69" t="inlineStr">
        <is>
          <t>Midland Loan Services</t>
        </is>
      </c>
      <c r="BR607" s="69" t="n"/>
      <c r="BS607" s="73" t="n">
        <v>46276</v>
      </c>
      <c r="BU607" s="76">
        <f>IF($C607="","",IFERROR(INDEX(dmName,MATCH($C607,dmID,0)),"Unmapped"))</f>
        <v/>
      </c>
      <c r="BV607" s="76">
        <f>IF($C607="","",IFERROR(INDEX(dmEntity,MATCH($C607,dmID,0)),"Unmapped"))</f>
        <v/>
      </c>
      <c r="BW607" s="77">
        <f>IF($C607="","",IFERROR(INDEX(dmVintage,MATCH($C607,dmID,0)),""))</f>
        <v/>
      </c>
      <c r="BX607" s="78">
        <f>IFERROR(INDEX(dmInclude,MATCH($C607,dmID,0)),0)</f>
        <v/>
      </c>
      <c r="BY607" s="78">
        <f>IF(N($I607)&gt;0,1,0)</f>
        <v/>
      </c>
      <c r="BZ607" s="76">
        <f>IF($AJ607="","Other / Leased Fee",IFERROR(INDEX(mapPTGroup,MATCH(LEFT(TRIM($AJ607),2),mapPTCode,0)),"Other / Leased Fee"))</f>
        <v/>
      </c>
      <c r="CA607" s="76">
        <f>IF(TRIM($AF607&amp;"")="","NR",LEFT(TRIM($AF607),2))</f>
        <v/>
      </c>
      <c r="CB607" s="76">
        <f>IFERROR(LOOKUP(2,1/(LEFT(TRIM($AI607&amp;""),LEN(mapRegion))=mapRegion),mapRegion),"Not Reported")</f>
        <v/>
      </c>
      <c r="CC607" s="76">
        <f>IF($BY607=0,"",IF(TRIM($W607&amp;"")="REO","REO",IF(TRIM($W607&amp;"")="FC","Foreclosure",IF(TRIM($W607&amp;"")="90+","90+ Days Delinquent",IF(TRIM($W607&amp;"")="60","60 Days Delinquent",IF(TRIM($W607&amp;"")="30","30 Days Delinquent",IF($X607="Non-Performing Matured Balloon","Non-Performing Matured Balloon",IF(OR($X607="Late Payment But Less Than 30 Days Delinquent",LEFT($X607&amp;"",20)="Payment Not Received"),"Late / In Grace (&lt;30 Days)",IF($X607="Performing Matured Balloon","Performing Matured Balloon","Current")))))))))</f>
        <v/>
      </c>
      <c r="CD607" s="78">
        <f>IF(OR($CC607="REO",$CC607="Foreclosure",$CC607="90+ Days Delinquent",$CC607="60 Days Delinquent",$CC607="30 Days Delinquent",$CC607="Non-Performing Matured Balloon"),1,0)</f>
        <v/>
      </c>
      <c r="CE607" s="76">
        <f>IF($AB607="Currently special serv","Currently Specially Serviced",IF($AB607="Returned to master serv","Previously Specially Serviced","Never Specially Serviced"))</f>
        <v/>
      </c>
      <c r="CF607" s="78">
        <f>IF($CE607="Currently Specially Serviced",1,0)</f>
        <v/>
      </c>
      <c r="CG607" s="76">
        <f>IF($AA607="Yes","Currently on Watchlist",IF($AA607="Previously","Previously on Watchlist","Never on Watchlist"))</f>
        <v/>
      </c>
      <c r="CH607" s="78">
        <f>IF($CG607="Currently on Watchlist",1,0)</f>
        <v/>
      </c>
      <c r="CI607" s="76">
        <f>IF($Z607="Full Defeasance","Fully Defeased",IF($Z607="Portion Of Loan Previously Defeased","Partially Defeased",IF($Z607="Defeasance Not Allowable","Not Defeased (Not Permitted)","Not Defeased")))</f>
        <v/>
      </c>
      <c r="CJ607" s="78">
        <f>IF($CI607="Fully Defeased",1,0)</f>
        <v/>
      </c>
      <c r="CK607" s="76">
        <f>IF($R607="IO","Full IO",IF(LEFT($R607&amp;"",7)="IO then","Partial IO","Amortizing"))</f>
        <v/>
      </c>
      <c r="CL607" s="78">
        <f>IF($CK607="Full IO",1,0)</f>
        <v/>
      </c>
      <c r="CM607" s="78">
        <f>IF($CK607="Partial IO",1,0)</f>
        <v/>
      </c>
      <c r="CN607" s="76">
        <f>IF(LEFT($F607&amp;"",10)="SPLIT_LOAN","Pari Passu Split","Standalone")</f>
        <v/>
      </c>
      <c r="CO607" s="78">
        <f>IF($CN607="Pari Passu Split",1,0)</f>
        <v/>
      </c>
      <c r="CP607" s="77">
        <f>IF(ISNUMBER($T607),YEAR($T607),"")</f>
        <v/>
      </c>
      <c r="CQ607" s="79">
        <f>IF(ISNUMBER($V607),$V607,IF(ISNUMBER($U607),$U607,""))</f>
        <v/>
      </c>
      <c r="CR607" s="77">
        <f>IF(ISNUMBER($CQ607),YEAR($CQ607),"")</f>
        <v/>
      </c>
      <c r="CS607" s="78">
        <f>IF(ISNUMBER($M607),MAX(0,$M607),IF(TRIM($M607&amp;"")="matured",0,""))</f>
        <v/>
      </c>
      <c r="CT607" s="78">
        <f>IF(AND(ISNUMBER($CS607),N($CS607)&lt;=mMatWindow),1,0)</f>
        <v/>
      </c>
      <c r="CU607" s="80">
        <f>IF(ISNUMBER($J607),$J607/100,"")</f>
        <v/>
      </c>
      <c r="CV607" s="81">
        <f>IF(ISNUMBER($AQ607),$AQ607,"")</f>
        <v/>
      </c>
      <c r="CW607" s="81">
        <f>IF(ISNUMBER($AR607),$AR607,"")</f>
        <v/>
      </c>
      <c r="CX607" s="82">
        <f>IF(ISNUMBER($AS607),$AS607/100,"")</f>
        <v/>
      </c>
      <c r="CY607" s="82">
        <f>IF(ISNUMBER($AT607),$AT607/100,"")</f>
        <v/>
      </c>
      <c r="CZ607" s="82">
        <f>IF(ISNUMBER($AU607),$AU607/100,"")</f>
        <v/>
      </c>
      <c r="DA607" s="82">
        <f>IF(ISNUMBER($AV607),$AV607/100,"")</f>
        <v/>
      </c>
      <c r="DB607" s="82">
        <f>IF(ISNUMBER($AW607),$AW607/100,"")</f>
        <v/>
      </c>
      <c r="DC607" s="82">
        <f>IF(ISNUMBER($AX607),$AX607/100,"")</f>
        <v/>
      </c>
      <c r="DD607" s="77">
        <f>IFERROR(VALUE(LEFT(TRIM($AO607&amp;""),4)),"")</f>
        <v/>
      </c>
      <c r="DE607" s="78">
        <f>IF(AND($BY607=1,$BX607=1,OR(fDeal="All Deals",$BU607=fDeal),OR(fEntity="All Entities",$BV607=fEntity),OR(fPType="All Property Types",$BZ607=fPType),OR(fDefeased="Include",$CJ607=0)),1,0)</f>
        <v/>
      </c>
      <c r="DF607" s="83">
        <f>$DE607*N($I607)</f>
        <v/>
      </c>
      <c r="DG607" s="78">
        <f>IF($DE607=1,IF(COUNTIFS($F$8:$F607,$F607,$DE$8:$DE607,1)=1,1,0),0)</f>
        <v/>
      </c>
      <c r="DH607" s="83">
        <f>IF($DG607=1,SUMIFS($DF$8:$DF$1600,$F$8:$F$1600,$F607),0)</f>
        <v/>
      </c>
      <c r="DI607" s="78">
        <f>IF($DG607=1,COUNTIFS($F$8:$F$1600,$F607,$DE$8:$DE$1600,1),0)</f>
        <v/>
      </c>
      <c r="DJ607" s="84">
        <f>IF($DG607=1,$DH607+(100000-ROW())/mTieBreak,0)</f>
        <v/>
      </c>
    </row>
    <row r="608">
      <c r="B608" s="68" t="n">
        <v>21</v>
      </c>
      <c r="C608" s="69" t="inlineStr">
        <is>
          <t>UBS18C13</t>
        </is>
      </c>
      <c r="D608" s="69" t="inlineStr">
        <is>
          <t>21.000</t>
        </is>
      </c>
      <c r="E608" s="69" t="inlineStr">
        <is>
          <t>Manor Parking Garage</t>
        </is>
      </c>
      <c r="F608" s="69" t="inlineStr">
        <is>
          <t>LNUBS18C13-21.000</t>
        </is>
      </c>
      <c r="G608" s="70" t="n"/>
      <c r="H608" s="71" t="n">
        <v>14000000</v>
      </c>
      <c r="I608" s="71" t="n">
        <v>12426778.889994</v>
      </c>
      <c r="J608" s="72" t="n">
        <v>5.99</v>
      </c>
      <c r="K608" s="69" t="inlineStr">
        <is>
          <t>Fixed rate</t>
        </is>
      </c>
      <c r="L608" s="68" t="n">
        <v>120</v>
      </c>
      <c r="M608" s="68" t="n">
        <v>25</v>
      </c>
      <c r="N608" s="68" t="n">
        <v>360</v>
      </c>
      <c r="O608" s="68" t="n"/>
      <c r="P608" s="68" t="n"/>
      <c r="Q608" s="68" t="n">
        <v>95</v>
      </c>
      <c r="R608" s="69" t="n"/>
      <c r="S608" s="69" t="inlineStr">
        <is>
          <t>No</t>
        </is>
      </c>
      <c r="T608" s="73" t="n">
        <v>43374</v>
      </c>
      <c r="U608" s="73" t="n">
        <v>47032</v>
      </c>
      <c r="V608" s="73" t="n"/>
      <c r="W608" s="69" t="n"/>
      <c r="X608" s="69" t="inlineStr">
        <is>
          <t>Current</t>
        </is>
      </c>
      <c r="Y608" s="68" t="n"/>
      <c r="Z608" s="69" t="inlineStr">
        <is>
          <t>No Defeasance Occurred</t>
        </is>
      </c>
      <c r="AA608" s="69" t="inlineStr">
        <is>
          <t>Yes</t>
        </is>
      </c>
      <c r="AB608" s="69" t="inlineStr">
        <is>
          <t>Never special serv</t>
        </is>
      </c>
      <c r="AC608" s="73" t="n"/>
      <c r="AD608" s="69" t="n"/>
      <c r="AE608" s="69" t="n"/>
      <c r="AF608" s="69" t="inlineStr">
        <is>
          <t>PA</t>
        </is>
      </c>
      <c r="AG608" s="69" t="inlineStr">
        <is>
          <t>Pittsburgh</t>
        </is>
      </c>
      <c r="AH608" s="69" t="inlineStr">
        <is>
          <t>Pittsburgh, PA</t>
        </is>
      </c>
      <c r="AI608" s="69" t="inlineStr">
        <is>
          <t>Northeast / Mid-Atlantic</t>
        </is>
      </c>
      <c r="AJ608" s="69" t="inlineStr">
        <is>
          <t>OT</t>
        </is>
      </c>
      <c r="AK608" s="69" t="n"/>
      <c r="AL608" s="68" t="n">
        <v>1</v>
      </c>
      <c r="AM608" s="68" t="n"/>
      <c r="AN608" s="68" t="n"/>
      <c r="AO608" s="69" t="inlineStr">
        <is>
          <t>1958</t>
        </is>
      </c>
      <c r="AP608" s="70" t="n">
        <v>1985</v>
      </c>
      <c r="AQ608" s="74" t="n">
        <v>1.36</v>
      </c>
      <c r="AR608" s="74" t="n">
        <v>1.19</v>
      </c>
      <c r="AS608" s="74" t="n">
        <v>54.2</v>
      </c>
      <c r="AT608" s="74" t="n">
        <v>48.12</v>
      </c>
      <c r="AU608" s="74" t="n">
        <v>46</v>
      </c>
      <c r="AV608" s="74" t="n">
        <v>9.778214286000001</v>
      </c>
      <c r="AW608" s="74" t="n">
        <v>9.550476197</v>
      </c>
      <c r="AX608" s="75" t="n">
        <v>100</v>
      </c>
      <c r="AY608" s="71" t="n">
        <v>25825000</v>
      </c>
      <c r="AZ608" s="71" t="n">
        <v>25825000</v>
      </c>
      <c r="BA608" s="71" t="n">
        <v>1368950</v>
      </c>
      <c r="BB608" s="71" t="n">
        <v>1200500.16</v>
      </c>
      <c r="BC608" s="69" t="inlineStr">
        <is>
          <t>Refinance</t>
        </is>
      </c>
      <c r="BD608" s="69" t="inlineStr">
        <is>
          <t>N</t>
        </is>
      </c>
      <c r="BE608" s="71" t="n"/>
      <c r="BF608" s="71" t="n"/>
      <c r="BG608" s="71" t="n"/>
      <c r="BH608" s="71" t="n">
        <v>0</v>
      </c>
      <c r="BI608" s="71" t="n">
        <v>0</v>
      </c>
      <c r="BJ608" s="69" t="inlineStr">
        <is>
          <t>N</t>
        </is>
      </c>
      <c r="BK608" s="69" t="inlineStr">
        <is>
          <t>Manor Parking Garage</t>
        </is>
      </c>
      <c r="BL608" s="75" t="n">
        <v>100</v>
      </c>
      <c r="BM608" s="73" t="n">
        <v>46387</v>
      </c>
      <c r="BN608" s="69" t="inlineStr">
        <is>
          <t>Armand Lasky</t>
        </is>
      </c>
      <c r="BO608" s="69" t="n"/>
      <c r="BP608" s="69" t="inlineStr">
        <is>
          <t>Midland Loan Services</t>
        </is>
      </c>
      <c r="BQ608" s="69" t="inlineStr">
        <is>
          <t>Midland Loan Services</t>
        </is>
      </c>
      <c r="BR608" s="69" t="n"/>
      <c r="BS608" s="73" t="n">
        <v>46276</v>
      </c>
      <c r="BU608" s="76">
        <f>IF($C608="","",IFERROR(INDEX(dmName,MATCH($C608,dmID,0)),"Unmapped"))</f>
        <v/>
      </c>
      <c r="BV608" s="76">
        <f>IF($C608="","",IFERROR(INDEX(dmEntity,MATCH($C608,dmID,0)),"Unmapped"))</f>
        <v/>
      </c>
      <c r="BW608" s="77">
        <f>IF($C608="","",IFERROR(INDEX(dmVintage,MATCH($C608,dmID,0)),""))</f>
        <v/>
      </c>
      <c r="BX608" s="78">
        <f>IFERROR(INDEX(dmInclude,MATCH($C608,dmID,0)),0)</f>
        <v/>
      </c>
      <c r="BY608" s="78">
        <f>IF(N($I608)&gt;0,1,0)</f>
        <v/>
      </c>
      <c r="BZ608" s="76">
        <f>IF($AJ608="","Other / Leased Fee",IFERROR(INDEX(mapPTGroup,MATCH(LEFT(TRIM($AJ608),2),mapPTCode,0)),"Other / Leased Fee"))</f>
        <v/>
      </c>
      <c r="CA608" s="76">
        <f>IF(TRIM($AF608&amp;"")="","NR",LEFT(TRIM($AF608),2))</f>
        <v/>
      </c>
      <c r="CB608" s="76">
        <f>IFERROR(LOOKUP(2,1/(LEFT(TRIM($AI608&amp;""),LEN(mapRegion))=mapRegion),mapRegion),"Not Reported")</f>
        <v/>
      </c>
      <c r="CC608" s="76">
        <f>IF($BY608=0,"",IF(TRIM($W608&amp;"")="REO","REO",IF(TRIM($W608&amp;"")="FC","Foreclosure",IF(TRIM($W608&amp;"")="90+","90+ Days Delinquent",IF(TRIM($W608&amp;"")="60","60 Days Delinquent",IF(TRIM($W608&amp;"")="30","30 Days Delinquent",IF($X608="Non-Performing Matured Balloon","Non-Performing Matured Balloon",IF(OR($X608="Late Payment But Less Than 30 Days Delinquent",LEFT($X608&amp;"",20)="Payment Not Received"),"Late / In Grace (&lt;30 Days)",IF($X608="Performing Matured Balloon","Performing Matured Balloon","Current")))))))))</f>
        <v/>
      </c>
      <c r="CD608" s="78">
        <f>IF(OR($CC608="REO",$CC608="Foreclosure",$CC608="90+ Days Delinquent",$CC608="60 Days Delinquent",$CC608="30 Days Delinquent",$CC608="Non-Performing Matured Balloon"),1,0)</f>
        <v/>
      </c>
      <c r="CE608" s="76">
        <f>IF($AB608="Currently special serv","Currently Specially Serviced",IF($AB608="Returned to master serv","Previously Specially Serviced","Never Specially Serviced"))</f>
        <v/>
      </c>
      <c r="CF608" s="78">
        <f>IF($CE608="Currently Specially Serviced",1,0)</f>
        <v/>
      </c>
      <c r="CG608" s="76">
        <f>IF($AA608="Yes","Currently on Watchlist",IF($AA608="Previously","Previously on Watchlist","Never on Watchlist"))</f>
        <v/>
      </c>
      <c r="CH608" s="78">
        <f>IF($CG608="Currently on Watchlist",1,0)</f>
        <v/>
      </c>
      <c r="CI608" s="76">
        <f>IF($Z608="Full Defeasance","Fully Defeased",IF($Z608="Portion Of Loan Previously Defeased","Partially Defeased",IF($Z608="Defeasance Not Allowable","Not Defeased (Not Permitted)","Not Defeased")))</f>
        <v/>
      </c>
      <c r="CJ608" s="78">
        <f>IF($CI608="Fully Defeased",1,0)</f>
        <v/>
      </c>
      <c r="CK608" s="76">
        <f>IF($R608="IO","Full IO",IF(LEFT($R608&amp;"",7)="IO then","Partial IO","Amortizing"))</f>
        <v/>
      </c>
      <c r="CL608" s="78">
        <f>IF($CK608="Full IO",1,0)</f>
        <v/>
      </c>
      <c r="CM608" s="78">
        <f>IF($CK608="Partial IO",1,0)</f>
        <v/>
      </c>
      <c r="CN608" s="76">
        <f>IF(LEFT($F608&amp;"",10)="SPLIT_LOAN","Pari Passu Split","Standalone")</f>
        <v/>
      </c>
      <c r="CO608" s="78">
        <f>IF($CN608="Pari Passu Split",1,0)</f>
        <v/>
      </c>
      <c r="CP608" s="77">
        <f>IF(ISNUMBER($T608),YEAR($T608),"")</f>
        <v/>
      </c>
      <c r="CQ608" s="79">
        <f>IF(ISNUMBER($V608),$V608,IF(ISNUMBER($U608),$U608,""))</f>
        <v/>
      </c>
      <c r="CR608" s="77">
        <f>IF(ISNUMBER($CQ608),YEAR($CQ608),"")</f>
        <v/>
      </c>
      <c r="CS608" s="78">
        <f>IF(ISNUMBER($M608),MAX(0,$M608),IF(TRIM($M608&amp;"")="matured",0,""))</f>
        <v/>
      </c>
      <c r="CT608" s="78">
        <f>IF(AND(ISNUMBER($CS608),N($CS608)&lt;=mMatWindow),1,0)</f>
        <v/>
      </c>
      <c r="CU608" s="80">
        <f>IF(ISNUMBER($J608),$J608/100,"")</f>
        <v/>
      </c>
      <c r="CV608" s="81">
        <f>IF(ISNUMBER($AQ608),$AQ608,"")</f>
        <v/>
      </c>
      <c r="CW608" s="81">
        <f>IF(ISNUMBER($AR608),$AR608,"")</f>
        <v/>
      </c>
      <c r="CX608" s="82">
        <f>IF(ISNUMBER($AS608),$AS608/100,"")</f>
        <v/>
      </c>
      <c r="CY608" s="82">
        <f>IF(ISNUMBER($AT608),$AT608/100,"")</f>
        <v/>
      </c>
      <c r="CZ608" s="82">
        <f>IF(ISNUMBER($AU608),$AU608/100,"")</f>
        <v/>
      </c>
      <c r="DA608" s="82">
        <f>IF(ISNUMBER($AV608),$AV608/100,"")</f>
        <v/>
      </c>
      <c r="DB608" s="82">
        <f>IF(ISNUMBER($AW608),$AW608/100,"")</f>
        <v/>
      </c>
      <c r="DC608" s="82">
        <f>IF(ISNUMBER($AX608),$AX608/100,"")</f>
        <v/>
      </c>
      <c r="DD608" s="77">
        <f>IFERROR(VALUE(LEFT(TRIM($AO608&amp;""),4)),"")</f>
        <v/>
      </c>
      <c r="DE608" s="78">
        <f>IF(AND($BY608=1,$BX608=1,OR(fDeal="All Deals",$BU608=fDeal),OR(fEntity="All Entities",$BV608=fEntity),OR(fPType="All Property Types",$BZ608=fPType),OR(fDefeased="Include",$CJ608=0)),1,0)</f>
        <v/>
      </c>
      <c r="DF608" s="83">
        <f>$DE608*N($I608)</f>
        <v/>
      </c>
      <c r="DG608" s="78">
        <f>IF($DE608=1,IF(COUNTIFS($F$8:$F608,$F608,$DE$8:$DE608,1)=1,1,0),0)</f>
        <v/>
      </c>
      <c r="DH608" s="83">
        <f>IF($DG608=1,SUMIFS($DF$8:$DF$1600,$F$8:$F$1600,$F608),0)</f>
        <v/>
      </c>
      <c r="DI608" s="78">
        <f>IF($DG608=1,COUNTIFS($F$8:$F$1600,$F608,$DE$8:$DE$1600,1),0)</f>
        <v/>
      </c>
      <c r="DJ608" s="84">
        <f>IF($DG608=1,$DH608+(100000-ROW())/mTieBreak,0)</f>
        <v/>
      </c>
    </row>
    <row r="609">
      <c r="B609" s="68" t="n">
        <v>22</v>
      </c>
      <c r="C609" s="69" t="inlineStr">
        <is>
          <t>UBS18C13</t>
        </is>
      </c>
      <c r="D609" s="69" t="inlineStr">
        <is>
          <t>22.000</t>
        </is>
      </c>
      <c r="E609" s="69" t="inlineStr">
        <is>
          <t>County Line Plaza</t>
        </is>
      </c>
      <c r="F609" s="69" t="inlineStr">
        <is>
          <t>LNUBS18C13-22.000</t>
        </is>
      </c>
      <c r="G609" s="70" t="n"/>
      <c r="H609" s="71" t="n">
        <v>13500000</v>
      </c>
      <c r="I609" s="71" t="n">
        <v>12430830.6099945</v>
      </c>
      <c r="J609" s="72" t="n">
        <v>4.997</v>
      </c>
      <c r="K609" s="69" t="inlineStr">
        <is>
          <t>Fixed rate</t>
        </is>
      </c>
      <c r="L609" s="68" t="n">
        <v>120</v>
      </c>
      <c r="M609" s="68" t="n">
        <v>23</v>
      </c>
      <c r="N609" s="68" t="n">
        <v>396</v>
      </c>
      <c r="O609" s="68" t="n">
        <v>36</v>
      </c>
      <c r="P609" s="68" t="n">
        <v>0</v>
      </c>
      <c r="Q609" s="68" t="n">
        <v>97</v>
      </c>
      <c r="R609" s="69" t="inlineStr">
        <is>
          <t>IO then Amort</t>
        </is>
      </c>
      <c r="S609" s="69" t="inlineStr">
        <is>
          <t>No</t>
        </is>
      </c>
      <c r="T609" s="73" t="n">
        <v>43313</v>
      </c>
      <c r="U609" s="73" t="n">
        <v>46971</v>
      </c>
      <c r="V609" s="73" t="n"/>
      <c r="W609" s="69" t="n"/>
      <c r="X609" s="69" t="inlineStr">
        <is>
          <t>Current</t>
        </is>
      </c>
      <c r="Y609" s="68" t="n"/>
      <c r="Z609" s="69" t="inlineStr">
        <is>
          <t>No Defeasance Occurred</t>
        </is>
      </c>
      <c r="AA609" s="69" t="inlineStr">
        <is>
          <t>Previously</t>
        </is>
      </c>
      <c r="AB609" s="69" t="inlineStr">
        <is>
          <t>Currently special serv</t>
        </is>
      </c>
      <c r="AC609" s="73" t="n">
        <v>45889</v>
      </c>
      <c r="AD609" s="69" t="inlineStr">
        <is>
          <t>Other</t>
        </is>
      </c>
      <c r="AE609" s="69" t="inlineStr">
        <is>
          <t>Pending Return To Master Servicer</t>
        </is>
      </c>
      <c r="AF609" s="69" t="inlineStr">
        <is>
          <t>MS</t>
        </is>
      </c>
      <c r="AG609" s="69" t="inlineStr">
        <is>
          <t>Jackson</t>
        </is>
      </c>
      <c r="AH609" s="69" t="inlineStr">
        <is>
          <t>Jackson, MS</t>
        </is>
      </c>
      <c r="AI609" s="69" t="inlineStr">
        <is>
          <t>South / Central East</t>
        </is>
      </c>
      <c r="AJ609" s="69" t="inlineStr">
        <is>
          <t>RT</t>
        </is>
      </c>
      <c r="AK609" s="69" t="inlineStr">
        <is>
          <t>Anchored</t>
        </is>
      </c>
      <c r="AL609" s="68" t="n">
        <v>1</v>
      </c>
      <c r="AM609" s="68" t="n"/>
      <c r="AN609" s="68" t="n">
        <v>221127</v>
      </c>
      <c r="AO609" s="69" t="inlineStr">
        <is>
          <t>1997</t>
        </is>
      </c>
      <c r="AP609" s="70" t="n">
        <v>1997</v>
      </c>
      <c r="AQ609" s="74" t="n">
        <v>1.98</v>
      </c>
      <c r="AR609" s="74" t="n">
        <v>1.3</v>
      </c>
      <c r="AS609" s="74" t="n">
        <v>65.2</v>
      </c>
      <c r="AT609" s="74" t="n">
        <v>60.49</v>
      </c>
      <c r="AU609" s="74" t="n">
        <v>57.7</v>
      </c>
      <c r="AV609" s="74" t="n">
        <v>12.724983259</v>
      </c>
      <c r="AW609" s="74" t="n">
        <v>10.373913059</v>
      </c>
      <c r="AX609" s="75" t="n">
        <v>74</v>
      </c>
      <c r="AY609" s="71" t="n">
        <v>20700000</v>
      </c>
      <c r="AZ609" s="71" t="n">
        <v>20550000</v>
      </c>
      <c r="BA609" s="71" t="n">
        <v>1717872.74</v>
      </c>
      <c r="BB609" s="71" t="n">
        <v>1134262.77</v>
      </c>
      <c r="BC609" s="69" t="inlineStr">
        <is>
          <t>Acquisition</t>
        </is>
      </c>
      <c r="BD609" s="69" t="inlineStr">
        <is>
          <t>N</t>
        </is>
      </c>
      <c r="BE609" s="71" t="n"/>
      <c r="BF609" s="71" t="n"/>
      <c r="BG609" s="71" t="n"/>
      <c r="BH609" s="71" t="n">
        <v>0</v>
      </c>
      <c r="BI609" s="71" t="n">
        <v>0</v>
      </c>
      <c r="BJ609" s="69" t="inlineStr">
        <is>
          <t>N</t>
        </is>
      </c>
      <c r="BK609" s="69" t="inlineStr">
        <is>
          <t>Burlington Coat Factory</t>
        </is>
      </c>
      <c r="BL609" s="75" t="n">
        <v>22.74</v>
      </c>
      <c r="BM609" s="73" t="n">
        <v>46446</v>
      </c>
      <c r="BN609" s="69" t="inlineStr">
        <is>
          <t>Hardam Singh Azad</t>
        </is>
      </c>
      <c r="BO609" s="69" t="n"/>
      <c r="BP609" s="69" t="inlineStr">
        <is>
          <t>Midland Loan Services</t>
        </is>
      </c>
      <c r="BQ609" s="69" t="inlineStr">
        <is>
          <t>Midland Loan Services</t>
        </is>
      </c>
      <c r="BR609" s="69" t="n"/>
      <c r="BS609" s="73" t="n">
        <v>46276</v>
      </c>
      <c r="BU609" s="76">
        <f>IF($C609="","",IFERROR(INDEX(dmName,MATCH($C609,dmID,0)),"Unmapped"))</f>
        <v/>
      </c>
      <c r="BV609" s="76">
        <f>IF($C609="","",IFERROR(INDEX(dmEntity,MATCH($C609,dmID,0)),"Unmapped"))</f>
        <v/>
      </c>
      <c r="BW609" s="77">
        <f>IF($C609="","",IFERROR(INDEX(dmVintage,MATCH($C609,dmID,0)),""))</f>
        <v/>
      </c>
      <c r="BX609" s="78">
        <f>IFERROR(INDEX(dmInclude,MATCH($C609,dmID,0)),0)</f>
        <v/>
      </c>
      <c r="BY609" s="78">
        <f>IF(N($I609)&gt;0,1,0)</f>
        <v/>
      </c>
      <c r="BZ609" s="76">
        <f>IF($AJ609="","Other / Leased Fee",IFERROR(INDEX(mapPTGroup,MATCH(LEFT(TRIM($AJ609),2),mapPTCode,0)),"Other / Leased Fee"))</f>
        <v/>
      </c>
      <c r="CA609" s="76">
        <f>IF(TRIM($AF609&amp;"")="","NR",LEFT(TRIM($AF609),2))</f>
        <v/>
      </c>
      <c r="CB609" s="76">
        <f>IFERROR(LOOKUP(2,1/(LEFT(TRIM($AI609&amp;""),LEN(mapRegion))=mapRegion),mapRegion),"Not Reported")</f>
        <v/>
      </c>
      <c r="CC609" s="76">
        <f>IF($BY609=0,"",IF(TRIM($W609&amp;"")="REO","REO",IF(TRIM($W609&amp;"")="FC","Foreclosure",IF(TRIM($W609&amp;"")="90+","90+ Days Delinquent",IF(TRIM($W609&amp;"")="60","60 Days Delinquent",IF(TRIM($W609&amp;"")="30","30 Days Delinquent",IF($X609="Non-Performing Matured Balloon","Non-Performing Matured Balloon",IF(OR($X609="Late Payment But Less Than 30 Days Delinquent",LEFT($X609&amp;"",20)="Payment Not Received"),"Late / In Grace (&lt;30 Days)",IF($X609="Performing Matured Balloon","Performing Matured Balloon","Current")))))))))</f>
        <v/>
      </c>
      <c r="CD609" s="78">
        <f>IF(OR($CC609="REO",$CC609="Foreclosure",$CC609="90+ Days Delinquent",$CC609="60 Days Delinquent",$CC609="30 Days Delinquent",$CC609="Non-Performing Matured Balloon"),1,0)</f>
        <v/>
      </c>
      <c r="CE609" s="76">
        <f>IF($AB609="Currently special serv","Currently Specially Serviced",IF($AB609="Returned to master serv","Previously Specially Serviced","Never Specially Serviced"))</f>
        <v/>
      </c>
      <c r="CF609" s="78">
        <f>IF($CE609="Currently Specially Serviced",1,0)</f>
        <v/>
      </c>
      <c r="CG609" s="76">
        <f>IF($AA609="Yes","Currently on Watchlist",IF($AA609="Previously","Previously on Watchlist","Never on Watchlist"))</f>
        <v/>
      </c>
      <c r="CH609" s="78">
        <f>IF($CG609="Currently on Watchlist",1,0)</f>
        <v/>
      </c>
      <c r="CI609" s="76">
        <f>IF($Z609="Full Defeasance","Fully Defeased",IF($Z609="Portion Of Loan Previously Defeased","Partially Defeased",IF($Z609="Defeasance Not Allowable","Not Defeased (Not Permitted)","Not Defeased")))</f>
        <v/>
      </c>
      <c r="CJ609" s="78">
        <f>IF($CI609="Fully Defeased",1,0)</f>
        <v/>
      </c>
      <c r="CK609" s="76">
        <f>IF($R609="IO","Full IO",IF(LEFT($R609&amp;"",7)="IO then","Partial IO","Amortizing"))</f>
        <v/>
      </c>
      <c r="CL609" s="78">
        <f>IF($CK609="Full IO",1,0)</f>
        <v/>
      </c>
      <c r="CM609" s="78">
        <f>IF($CK609="Partial IO",1,0)</f>
        <v/>
      </c>
      <c r="CN609" s="76">
        <f>IF(LEFT($F609&amp;"",10)="SPLIT_LOAN","Pari Passu Split","Standalone")</f>
        <v/>
      </c>
      <c r="CO609" s="78">
        <f>IF($CN609="Pari Passu Split",1,0)</f>
        <v/>
      </c>
      <c r="CP609" s="77">
        <f>IF(ISNUMBER($T609),YEAR($T609),"")</f>
        <v/>
      </c>
      <c r="CQ609" s="79">
        <f>IF(ISNUMBER($V609),$V609,IF(ISNUMBER($U609),$U609,""))</f>
        <v/>
      </c>
      <c r="CR609" s="77">
        <f>IF(ISNUMBER($CQ609),YEAR($CQ609),"")</f>
        <v/>
      </c>
      <c r="CS609" s="78">
        <f>IF(ISNUMBER($M609),MAX(0,$M609),IF(TRIM($M609&amp;"")="matured",0,""))</f>
        <v/>
      </c>
      <c r="CT609" s="78">
        <f>IF(AND(ISNUMBER($CS609),N($CS609)&lt;=mMatWindow),1,0)</f>
        <v/>
      </c>
      <c r="CU609" s="80">
        <f>IF(ISNUMBER($J609),$J609/100,"")</f>
        <v/>
      </c>
      <c r="CV609" s="81">
        <f>IF(ISNUMBER($AQ609),$AQ609,"")</f>
        <v/>
      </c>
      <c r="CW609" s="81">
        <f>IF(ISNUMBER($AR609),$AR609,"")</f>
        <v/>
      </c>
      <c r="CX609" s="82">
        <f>IF(ISNUMBER($AS609),$AS609/100,"")</f>
        <v/>
      </c>
      <c r="CY609" s="82">
        <f>IF(ISNUMBER($AT609),$AT609/100,"")</f>
        <v/>
      </c>
      <c r="CZ609" s="82">
        <f>IF(ISNUMBER($AU609),$AU609/100,"")</f>
        <v/>
      </c>
      <c r="DA609" s="82">
        <f>IF(ISNUMBER($AV609),$AV609/100,"")</f>
        <v/>
      </c>
      <c r="DB609" s="82">
        <f>IF(ISNUMBER($AW609),$AW609/100,"")</f>
        <v/>
      </c>
      <c r="DC609" s="82">
        <f>IF(ISNUMBER($AX609),$AX609/100,"")</f>
        <v/>
      </c>
      <c r="DD609" s="77">
        <f>IFERROR(VALUE(LEFT(TRIM($AO609&amp;""),4)),"")</f>
        <v/>
      </c>
      <c r="DE609" s="78">
        <f>IF(AND($BY609=1,$BX609=1,OR(fDeal="All Deals",$BU609=fDeal),OR(fEntity="All Entities",$BV609=fEntity),OR(fPType="All Property Types",$BZ609=fPType),OR(fDefeased="Include",$CJ609=0)),1,0)</f>
        <v/>
      </c>
      <c r="DF609" s="83">
        <f>$DE609*N($I609)</f>
        <v/>
      </c>
      <c r="DG609" s="78">
        <f>IF($DE609=1,IF(COUNTIFS($F$8:$F609,$F609,$DE$8:$DE609,1)=1,1,0),0)</f>
        <v/>
      </c>
      <c r="DH609" s="83">
        <f>IF($DG609=1,SUMIFS($DF$8:$DF$1600,$F$8:$F$1600,$F609),0)</f>
        <v/>
      </c>
      <c r="DI609" s="78">
        <f>IF($DG609=1,COUNTIFS($F$8:$F$1600,$F609,$DE$8:$DE$1600,1),0)</f>
        <v/>
      </c>
      <c r="DJ609" s="84">
        <f>IF($DG609=1,$DH609+(100000-ROW())/mTieBreak,0)</f>
        <v/>
      </c>
    </row>
    <row r="610">
      <c r="B610" s="68" t="n">
        <v>23</v>
      </c>
      <c r="C610" s="69" t="inlineStr">
        <is>
          <t>UBS18C13</t>
        </is>
      </c>
      <c r="D610" s="69" t="inlineStr">
        <is>
          <t>23.000</t>
        </is>
      </c>
      <c r="E610" s="69" t="inlineStr">
        <is>
          <t>Aspect RHG Hotel Portfolio</t>
        </is>
      </c>
      <c r="F610" s="69" t="inlineStr">
        <is>
          <t>SPLIT_LOAN_01332</t>
        </is>
      </c>
      <c r="G610" s="70" t="n">
        <v>1332</v>
      </c>
      <c r="H610" s="71" t="n">
        <v>12700000</v>
      </c>
      <c r="I610" s="71" t="n">
        <v>11694729.230002</v>
      </c>
      <c r="J610" s="72" t="n">
        <v>5</v>
      </c>
      <c r="K610" s="69" t="inlineStr">
        <is>
          <t>Fixed rate</t>
        </is>
      </c>
      <c r="L610" s="68" t="n">
        <v>120</v>
      </c>
      <c r="M610" s="68" t="n">
        <v>23</v>
      </c>
      <c r="N610" s="68" t="n">
        <v>396</v>
      </c>
      <c r="O610" s="68" t="n">
        <v>36</v>
      </c>
      <c r="P610" s="68" t="n">
        <v>0</v>
      </c>
      <c r="Q610" s="68" t="n">
        <v>97</v>
      </c>
      <c r="R610" s="69" t="inlineStr">
        <is>
          <t>IO then Amort</t>
        </is>
      </c>
      <c r="S610" s="69" t="inlineStr">
        <is>
          <t>No</t>
        </is>
      </c>
      <c r="T610" s="73" t="n">
        <v>43313</v>
      </c>
      <c r="U610" s="73" t="n">
        <v>46966</v>
      </c>
      <c r="V610" s="73" t="n"/>
      <c r="W610" s="69" t="inlineStr">
        <is>
          <t>FC</t>
        </is>
      </c>
      <c r="X610" s="69" t="inlineStr">
        <is>
          <t>60-89 Days Delinquent</t>
        </is>
      </c>
      <c r="Y610" s="68" t="n">
        <v>2</v>
      </c>
      <c r="Z610" s="69" t="inlineStr">
        <is>
          <t>No Defeasance Occurred</t>
        </is>
      </c>
      <c r="AA610" s="69" t="inlineStr">
        <is>
          <t>Previously</t>
        </is>
      </c>
      <c r="AB610" s="69" t="inlineStr">
        <is>
          <t>Currently special serv</t>
        </is>
      </c>
      <c r="AC610" s="73" t="n">
        <v>45741</v>
      </c>
      <c r="AD610" s="69" t="inlineStr">
        <is>
          <t>Imminent Monetary Default (excluding Balloon/Maturity Default &amp; Single Tenant Bankruptcy/Vacate)</t>
        </is>
      </c>
      <c r="AE610" s="69" t="inlineStr">
        <is>
          <t>Foreclosure</t>
        </is>
      </c>
      <c r="AF610" s="69" t="inlineStr">
        <is>
          <t>TN-70.909090898% AZ-29.090909102%</t>
        </is>
      </c>
      <c r="AG610" s="69" t="n"/>
      <c r="AH610" s="69" t="inlineStr">
        <is>
          <t>Nashville-Davidson--Murfreesboro--Franklin, TN-70.909090898% Phoenix-Mesa-Chandler, AZ-29.090909102%</t>
        </is>
      </c>
      <c r="AI610" s="69" t="inlineStr">
        <is>
          <t>South / Central East-70.909090898% West / Mountain-29.090909102%</t>
        </is>
      </c>
      <c r="AJ610" s="69" t="inlineStr">
        <is>
          <t>HT</t>
        </is>
      </c>
      <c r="AK610" s="69" t="n"/>
      <c r="AL610" s="68" t="n">
        <v>4</v>
      </c>
      <c r="AM610" s="68" t="n">
        <v>461</v>
      </c>
      <c r="AN610" s="68" t="n"/>
      <c r="AO610" s="69" t="n"/>
      <c r="AP610" s="70" t="n">
        <v>2016</v>
      </c>
      <c r="AQ610" s="74" t="n">
        <v>1.74</v>
      </c>
      <c r="AR610" s="74" t="n">
        <v>-0.02</v>
      </c>
      <c r="AS610" s="74" t="n">
        <v>61.2</v>
      </c>
      <c r="AT610" s="74" t="n">
        <v>91.48999999999999</v>
      </c>
      <c r="AU610" s="74" t="n">
        <v>54.2</v>
      </c>
      <c r="AV610" s="74" t="n">
        <v>11.179591991</v>
      </c>
      <c r="AW610" s="74" t="n">
        <v>-0.106930581</v>
      </c>
      <c r="AX610" s="75" t="n">
        <v>65</v>
      </c>
      <c r="AY610" s="71" t="n">
        <v>75500000</v>
      </c>
      <c r="AZ610" s="71" t="n">
        <v>46500000</v>
      </c>
      <c r="BA610" s="71" t="n">
        <v>5164971.5</v>
      </c>
      <c r="BB610" s="71" t="n">
        <v>-45491.51</v>
      </c>
      <c r="BC610" s="69" t="inlineStr">
        <is>
          <t>Acquisition</t>
        </is>
      </c>
      <c r="BD610" s="69" t="inlineStr">
        <is>
          <t>N</t>
        </is>
      </c>
      <c r="BE610" s="71" t="n">
        <v>30848301.51</v>
      </c>
      <c r="BF610" s="71" t="n"/>
      <c r="BG610" s="71" t="n"/>
      <c r="BH610" s="71" t="n">
        <v>247018.69</v>
      </c>
      <c r="BI610" s="71" t="n">
        <v>134176.2</v>
      </c>
      <c r="BJ610" s="69" t="inlineStr">
        <is>
          <t>Y</t>
        </is>
      </c>
      <c r="BK610" s="69" t="n"/>
      <c r="BL610" s="75" t="n"/>
      <c r="BM610" s="73" t="n"/>
      <c r="BN610" s="69" t="inlineStr">
        <is>
          <t>RHG Invest Co. LLC; Benjamin N. Seidel</t>
        </is>
      </c>
      <c r="BO610" s="69" t="n"/>
      <c r="BP610" s="69" t="inlineStr">
        <is>
          <t>Midland Loan Services</t>
        </is>
      </c>
      <c r="BQ610" s="69" t="inlineStr">
        <is>
          <t>K-Star Asset Management LLC</t>
        </is>
      </c>
      <c r="BR610" s="69" t="n"/>
      <c r="BS610" s="73" t="n">
        <v>46276</v>
      </c>
      <c r="BU610" s="76">
        <f>IF($C610="","",IFERROR(INDEX(dmName,MATCH($C610,dmID,0)),"Unmapped"))</f>
        <v/>
      </c>
      <c r="BV610" s="76">
        <f>IF($C610="","",IFERROR(INDEX(dmEntity,MATCH($C610,dmID,0)),"Unmapped"))</f>
        <v/>
      </c>
      <c r="BW610" s="77">
        <f>IF($C610="","",IFERROR(INDEX(dmVintage,MATCH($C610,dmID,0)),""))</f>
        <v/>
      </c>
      <c r="BX610" s="78">
        <f>IFERROR(INDEX(dmInclude,MATCH($C610,dmID,0)),0)</f>
        <v/>
      </c>
      <c r="BY610" s="78">
        <f>IF(N($I610)&gt;0,1,0)</f>
        <v/>
      </c>
      <c r="BZ610" s="76">
        <f>IF($AJ610="","Other / Leased Fee",IFERROR(INDEX(mapPTGroup,MATCH(LEFT(TRIM($AJ610),2),mapPTCode,0)),"Other / Leased Fee"))</f>
        <v/>
      </c>
      <c r="CA610" s="76">
        <f>IF(TRIM($AF610&amp;"")="","NR",LEFT(TRIM($AF610),2))</f>
        <v/>
      </c>
      <c r="CB610" s="76">
        <f>IFERROR(LOOKUP(2,1/(LEFT(TRIM($AI610&amp;""),LEN(mapRegion))=mapRegion),mapRegion),"Not Reported")</f>
        <v/>
      </c>
      <c r="CC610" s="76">
        <f>IF($BY610=0,"",IF(TRIM($W610&amp;"")="REO","REO",IF(TRIM($W610&amp;"")="FC","Foreclosure",IF(TRIM($W610&amp;"")="90+","90+ Days Delinquent",IF(TRIM($W610&amp;"")="60","60 Days Delinquent",IF(TRIM($W610&amp;"")="30","30 Days Delinquent",IF($X610="Non-Performing Matured Balloon","Non-Performing Matured Balloon",IF(OR($X610="Late Payment But Less Than 30 Days Delinquent",LEFT($X610&amp;"",20)="Payment Not Received"),"Late / In Grace (&lt;30 Days)",IF($X610="Performing Matured Balloon","Performing Matured Balloon","Current")))))))))</f>
        <v/>
      </c>
      <c r="CD610" s="78">
        <f>IF(OR($CC610="REO",$CC610="Foreclosure",$CC610="90+ Days Delinquent",$CC610="60 Days Delinquent",$CC610="30 Days Delinquent",$CC610="Non-Performing Matured Balloon"),1,0)</f>
        <v/>
      </c>
      <c r="CE610" s="76">
        <f>IF($AB610="Currently special serv","Currently Specially Serviced",IF($AB610="Returned to master serv","Previously Specially Serviced","Never Specially Serviced"))</f>
        <v/>
      </c>
      <c r="CF610" s="78">
        <f>IF($CE610="Currently Specially Serviced",1,0)</f>
        <v/>
      </c>
      <c r="CG610" s="76">
        <f>IF($AA610="Yes","Currently on Watchlist",IF($AA610="Previously","Previously on Watchlist","Never on Watchlist"))</f>
        <v/>
      </c>
      <c r="CH610" s="78">
        <f>IF($CG610="Currently on Watchlist",1,0)</f>
        <v/>
      </c>
      <c r="CI610" s="76">
        <f>IF($Z610="Full Defeasance","Fully Defeased",IF($Z610="Portion Of Loan Previously Defeased","Partially Defeased",IF($Z610="Defeasance Not Allowable","Not Defeased (Not Permitted)","Not Defeased")))</f>
        <v/>
      </c>
      <c r="CJ610" s="78">
        <f>IF($CI610="Fully Defeased",1,0)</f>
        <v/>
      </c>
      <c r="CK610" s="76">
        <f>IF($R610="IO","Full IO",IF(LEFT($R610&amp;"",7)="IO then","Partial IO","Amortizing"))</f>
        <v/>
      </c>
      <c r="CL610" s="78">
        <f>IF($CK610="Full IO",1,0)</f>
        <v/>
      </c>
      <c r="CM610" s="78">
        <f>IF($CK610="Partial IO",1,0)</f>
        <v/>
      </c>
      <c r="CN610" s="76">
        <f>IF(LEFT($F610&amp;"",10)="SPLIT_LOAN","Pari Passu Split","Standalone")</f>
        <v/>
      </c>
      <c r="CO610" s="78">
        <f>IF($CN610="Pari Passu Split",1,0)</f>
        <v/>
      </c>
      <c r="CP610" s="77">
        <f>IF(ISNUMBER($T610),YEAR($T610),"")</f>
        <v/>
      </c>
      <c r="CQ610" s="79">
        <f>IF(ISNUMBER($V610),$V610,IF(ISNUMBER($U610),$U610,""))</f>
        <v/>
      </c>
      <c r="CR610" s="77">
        <f>IF(ISNUMBER($CQ610),YEAR($CQ610),"")</f>
        <v/>
      </c>
      <c r="CS610" s="78">
        <f>IF(ISNUMBER($M610),MAX(0,$M610),IF(TRIM($M610&amp;"")="matured",0,""))</f>
        <v/>
      </c>
      <c r="CT610" s="78">
        <f>IF(AND(ISNUMBER($CS610),N($CS610)&lt;=mMatWindow),1,0)</f>
        <v/>
      </c>
      <c r="CU610" s="80">
        <f>IF(ISNUMBER($J610),$J610/100,"")</f>
        <v/>
      </c>
      <c r="CV610" s="81">
        <f>IF(ISNUMBER($AQ610),$AQ610,"")</f>
        <v/>
      </c>
      <c r="CW610" s="81">
        <f>IF(ISNUMBER($AR610),$AR610,"")</f>
        <v/>
      </c>
      <c r="CX610" s="82">
        <f>IF(ISNUMBER($AS610),$AS610/100,"")</f>
        <v/>
      </c>
      <c r="CY610" s="82">
        <f>IF(ISNUMBER($AT610),$AT610/100,"")</f>
        <v/>
      </c>
      <c r="CZ610" s="82">
        <f>IF(ISNUMBER($AU610),$AU610/100,"")</f>
        <v/>
      </c>
      <c r="DA610" s="82">
        <f>IF(ISNUMBER($AV610),$AV610/100,"")</f>
        <v/>
      </c>
      <c r="DB610" s="82">
        <f>IF(ISNUMBER($AW610),$AW610/100,"")</f>
        <v/>
      </c>
      <c r="DC610" s="82">
        <f>IF(ISNUMBER($AX610),$AX610/100,"")</f>
        <v/>
      </c>
      <c r="DD610" s="77">
        <f>IFERROR(VALUE(LEFT(TRIM($AO610&amp;""),4)),"")</f>
        <v/>
      </c>
      <c r="DE610" s="78">
        <f>IF(AND($BY610=1,$BX610=1,OR(fDeal="All Deals",$BU610=fDeal),OR(fEntity="All Entities",$BV610=fEntity),OR(fPType="All Property Types",$BZ610=fPType),OR(fDefeased="Include",$CJ610=0)),1,0)</f>
        <v/>
      </c>
      <c r="DF610" s="83">
        <f>$DE610*N($I610)</f>
        <v/>
      </c>
      <c r="DG610" s="78">
        <f>IF($DE610=1,IF(COUNTIFS($F$8:$F610,$F610,$DE$8:$DE610,1)=1,1,0),0)</f>
        <v/>
      </c>
      <c r="DH610" s="83">
        <f>IF($DG610=1,SUMIFS($DF$8:$DF$1600,$F$8:$F$1600,$F610),0)</f>
        <v/>
      </c>
      <c r="DI610" s="78">
        <f>IF($DG610=1,COUNTIFS($F$8:$F$1600,$F610,$DE$8:$DE$1600,1),0)</f>
        <v/>
      </c>
      <c r="DJ610" s="84">
        <f>IF($DG610=1,$DH610+(100000-ROW())/mTieBreak,0)</f>
        <v/>
      </c>
    </row>
    <row r="611">
      <c r="B611" s="68" t="n">
        <v>24</v>
      </c>
      <c r="C611" s="69" t="inlineStr">
        <is>
          <t>UBS18C13</t>
        </is>
      </c>
      <c r="D611" s="69" t="inlineStr">
        <is>
          <t>24.000</t>
        </is>
      </c>
      <c r="E611" s="69" t="inlineStr">
        <is>
          <t>Ocean Point</t>
        </is>
      </c>
      <c r="F611" s="69" t="inlineStr">
        <is>
          <t>LNUBS18C13-24.000</t>
        </is>
      </c>
      <c r="G611" s="70" t="n"/>
      <c r="H611" s="71" t="n">
        <v>12450000</v>
      </c>
      <c r="I611" s="71" t="n">
        <v>12450000</v>
      </c>
      <c r="J611" s="72" t="n">
        <v>4.64</v>
      </c>
      <c r="K611" s="69" t="inlineStr">
        <is>
          <t>Fixed rate</t>
        </is>
      </c>
      <c r="L611" s="68" t="n">
        <v>120</v>
      </c>
      <c r="M611" s="68" t="n">
        <v>24</v>
      </c>
      <c r="N611" s="68" t="n">
        <v>120</v>
      </c>
      <c r="O611" s="68" t="n">
        <v>120</v>
      </c>
      <c r="P611" s="68" t="n">
        <v>24</v>
      </c>
      <c r="Q611" s="68" t="n">
        <v>96</v>
      </c>
      <c r="R611" s="69" t="inlineStr">
        <is>
          <t>IO</t>
        </is>
      </c>
      <c r="S611" s="69" t="inlineStr">
        <is>
          <t>Yes</t>
        </is>
      </c>
      <c r="T611" s="73" t="n">
        <v>43344</v>
      </c>
      <c r="U611" s="73" t="n">
        <v>47002</v>
      </c>
      <c r="V611" s="73" t="n"/>
      <c r="W611" s="69" t="n"/>
      <c r="X611" s="69" t="inlineStr">
        <is>
          <t>Current</t>
        </is>
      </c>
      <c r="Y611" s="68" t="n"/>
      <c r="Z611" s="69" t="inlineStr">
        <is>
          <t>No Defeasance Occurred</t>
        </is>
      </c>
      <c r="AA611" s="69" t="inlineStr">
        <is>
          <t>Previously</t>
        </is>
      </c>
      <c r="AB611" s="69" t="inlineStr">
        <is>
          <t>Never special serv</t>
        </is>
      </c>
      <c r="AC611" s="73" t="n"/>
      <c r="AD611" s="69" t="n"/>
      <c r="AE611" s="69" t="n"/>
      <c r="AF611" s="69" t="inlineStr">
        <is>
          <t>CA</t>
        </is>
      </c>
      <c r="AG611" s="69" t="inlineStr">
        <is>
          <t>Carlsbad</t>
        </is>
      </c>
      <c r="AH611" s="69" t="inlineStr">
        <is>
          <t>San Diego-Chula Vista-Carlsbad, CA</t>
        </is>
      </c>
      <c r="AI611" s="69" t="inlineStr">
        <is>
          <t>West / Pacific South</t>
        </is>
      </c>
      <c r="AJ611" s="69" t="inlineStr">
        <is>
          <t>IN</t>
        </is>
      </c>
      <c r="AK611" s="69" t="inlineStr">
        <is>
          <t>Flex</t>
        </is>
      </c>
      <c r="AL611" s="68" t="n">
        <v>1</v>
      </c>
      <c r="AM611" s="68" t="n"/>
      <c r="AN611" s="68" t="n">
        <v>82798</v>
      </c>
      <c r="AO611" s="69" t="inlineStr">
        <is>
          <t>1985</t>
        </is>
      </c>
      <c r="AP611" s="70" t="n">
        <v>2016</v>
      </c>
      <c r="AQ611" s="74" t="n">
        <v>2.37</v>
      </c>
      <c r="AR611" s="74" t="n">
        <v>2.83</v>
      </c>
      <c r="AS611" s="74" t="n">
        <v>58.5</v>
      </c>
      <c r="AT611" s="74" t="n">
        <v>58.45</v>
      </c>
      <c r="AU611" s="74" t="n">
        <v>58.5</v>
      </c>
      <c r="AV611" s="74" t="n">
        <v>11.169140562</v>
      </c>
      <c r="AW611" s="74" t="n">
        <v>11.467696787</v>
      </c>
      <c r="AX611" s="75" t="n">
        <v>75</v>
      </c>
      <c r="AY611" s="71" t="n">
        <v>21300000</v>
      </c>
      <c r="AZ611" s="71" t="n">
        <v>21300000</v>
      </c>
      <c r="BA611" s="71" t="n">
        <v>1390558</v>
      </c>
      <c r="BB611" s="71" t="n">
        <v>1655517.57</v>
      </c>
      <c r="BC611" s="69" t="inlineStr">
        <is>
          <t>Refinance</t>
        </is>
      </c>
      <c r="BD611" s="69" t="inlineStr">
        <is>
          <t>N</t>
        </is>
      </c>
      <c r="BE611" s="71" t="n"/>
      <c r="BF611" s="71" t="n"/>
      <c r="BG611" s="71" t="n"/>
      <c r="BH611" s="71" t="n">
        <v>0</v>
      </c>
      <c r="BI611" s="71" t="n">
        <v>0</v>
      </c>
      <c r="BJ611" s="69" t="inlineStr">
        <is>
          <t>N</t>
        </is>
      </c>
      <c r="BK611" s="69" t="inlineStr">
        <is>
          <t>Pear Hearth Labs</t>
        </is>
      </c>
      <c r="BL611" s="75" t="n">
        <v>11.81</v>
      </c>
      <c r="BM611" s="73" t="n">
        <v>47452</v>
      </c>
      <c r="BN611" s="69" t="inlineStr">
        <is>
          <t>Gildred Development Company</t>
        </is>
      </c>
      <c r="BO611" s="69" t="n"/>
      <c r="BP611" s="69" t="inlineStr">
        <is>
          <t>Midland Loan Services</t>
        </is>
      </c>
      <c r="BQ611" s="69" t="inlineStr">
        <is>
          <t>Midland Loan Services</t>
        </is>
      </c>
      <c r="BR611" s="69" t="n"/>
      <c r="BS611" s="73" t="n">
        <v>46276</v>
      </c>
      <c r="BU611" s="76">
        <f>IF($C611="","",IFERROR(INDEX(dmName,MATCH($C611,dmID,0)),"Unmapped"))</f>
        <v/>
      </c>
      <c r="BV611" s="76">
        <f>IF($C611="","",IFERROR(INDEX(dmEntity,MATCH($C611,dmID,0)),"Unmapped"))</f>
        <v/>
      </c>
      <c r="BW611" s="77">
        <f>IF($C611="","",IFERROR(INDEX(dmVintage,MATCH($C611,dmID,0)),""))</f>
        <v/>
      </c>
      <c r="BX611" s="78">
        <f>IFERROR(INDEX(dmInclude,MATCH($C611,dmID,0)),0)</f>
        <v/>
      </c>
      <c r="BY611" s="78">
        <f>IF(N($I611)&gt;0,1,0)</f>
        <v/>
      </c>
      <c r="BZ611" s="76">
        <f>IF($AJ611="","Other / Leased Fee",IFERROR(INDEX(mapPTGroup,MATCH(LEFT(TRIM($AJ611),2),mapPTCode,0)),"Other / Leased Fee"))</f>
        <v/>
      </c>
      <c r="CA611" s="76">
        <f>IF(TRIM($AF611&amp;"")="","NR",LEFT(TRIM($AF611),2))</f>
        <v/>
      </c>
      <c r="CB611" s="76">
        <f>IFERROR(LOOKUP(2,1/(LEFT(TRIM($AI611&amp;""),LEN(mapRegion))=mapRegion),mapRegion),"Not Reported")</f>
        <v/>
      </c>
      <c r="CC611" s="76">
        <f>IF($BY611=0,"",IF(TRIM($W611&amp;"")="REO","REO",IF(TRIM($W611&amp;"")="FC","Foreclosure",IF(TRIM($W611&amp;"")="90+","90+ Days Delinquent",IF(TRIM($W611&amp;"")="60","60 Days Delinquent",IF(TRIM($W611&amp;"")="30","30 Days Delinquent",IF($X611="Non-Performing Matured Balloon","Non-Performing Matured Balloon",IF(OR($X611="Late Payment But Less Than 30 Days Delinquent",LEFT($X611&amp;"",20)="Payment Not Received"),"Late / In Grace (&lt;30 Days)",IF($X611="Performing Matured Balloon","Performing Matured Balloon","Current")))))))))</f>
        <v/>
      </c>
      <c r="CD611" s="78">
        <f>IF(OR($CC611="REO",$CC611="Foreclosure",$CC611="90+ Days Delinquent",$CC611="60 Days Delinquent",$CC611="30 Days Delinquent",$CC611="Non-Performing Matured Balloon"),1,0)</f>
        <v/>
      </c>
      <c r="CE611" s="76">
        <f>IF($AB611="Currently special serv","Currently Specially Serviced",IF($AB611="Returned to master serv","Previously Specially Serviced","Never Specially Serviced"))</f>
        <v/>
      </c>
      <c r="CF611" s="78">
        <f>IF($CE611="Currently Specially Serviced",1,0)</f>
        <v/>
      </c>
      <c r="CG611" s="76">
        <f>IF($AA611="Yes","Currently on Watchlist",IF($AA611="Previously","Previously on Watchlist","Never on Watchlist"))</f>
        <v/>
      </c>
      <c r="CH611" s="78">
        <f>IF($CG611="Currently on Watchlist",1,0)</f>
        <v/>
      </c>
      <c r="CI611" s="76">
        <f>IF($Z611="Full Defeasance","Fully Defeased",IF($Z611="Portion Of Loan Previously Defeased","Partially Defeased",IF($Z611="Defeasance Not Allowable","Not Defeased (Not Permitted)","Not Defeased")))</f>
        <v/>
      </c>
      <c r="CJ611" s="78">
        <f>IF($CI611="Fully Defeased",1,0)</f>
        <v/>
      </c>
      <c r="CK611" s="76">
        <f>IF($R611="IO","Full IO",IF(LEFT($R611&amp;"",7)="IO then","Partial IO","Amortizing"))</f>
        <v/>
      </c>
      <c r="CL611" s="78">
        <f>IF($CK611="Full IO",1,0)</f>
        <v/>
      </c>
      <c r="CM611" s="78">
        <f>IF($CK611="Partial IO",1,0)</f>
        <v/>
      </c>
      <c r="CN611" s="76">
        <f>IF(LEFT($F611&amp;"",10)="SPLIT_LOAN","Pari Passu Split","Standalone")</f>
        <v/>
      </c>
      <c r="CO611" s="78">
        <f>IF($CN611="Pari Passu Split",1,0)</f>
        <v/>
      </c>
      <c r="CP611" s="77">
        <f>IF(ISNUMBER($T611),YEAR($T611),"")</f>
        <v/>
      </c>
      <c r="CQ611" s="79">
        <f>IF(ISNUMBER($V611),$V611,IF(ISNUMBER($U611),$U611,""))</f>
        <v/>
      </c>
      <c r="CR611" s="77">
        <f>IF(ISNUMBER($CQ611),YEAR($CQ611),"")</f>
        <v/>
      </c>
      <c r="CS611" s="78">
        <f>IF(ISNUMBER($M611),MAX(0,$M611),IF(TRIM($M611&amp;"")="matured",0,""))</f>
        <v/>
      </c>
      <c r="CT611" s="78">
        <f>IF(AND(ISNUMBER($CS611),N($CS611)&lt;=mMatWindow),1,0)</f>
        <v/>
      </c>
      <c r="CU611" s="80">
        <f>IF(ISNUMBER($J611),$J611/100,"")</f>
        <v/>
      </c>
      <c r="CV611" s="81">
        <f>IF(ISNUMBER($AQ611),$AQ611,"")</f>
        <v/>
      </c>
      <c r="CW611" s="81">
        <f>IF(ISNUMBER($AR611),$AR611,"")</f>
        <v/>
      </c>
      <c r="CX611" s="82">
        <f>IF(ISNUMBER($AS611),$AS611/100,"")</f>
        <v/>
      </c>
      <c r="CY611" s="82">
        <f>IF(ISNUMBER($AT611),$AT611/100,"")</f>
        <v/>
      </c>
      <c r="CZ611" s="82">
        <f>IF(ISNUMBER($AU611),$AU611/100,"")</f>
        <v/>
      </c>
      <c r="DA611" s="82">
        <f>IF(ISNUMBER($AV611),$AV611/100,"")</f>
        <v/>
      </c>
      <c r="DB611" s="82">
        <f>IF(ISNUMBER($AW611),$AW611/100,"")</f>
        <v/>
      </c>
      <c r="DC611" s="82">
        <f>IF(ISNUMBER($AX611),$AX611/100,"")</f>
        <v/>
      </c>
      <c r="DD611" s="77">
        <f>IFERROR(VALUE(LEFT(TRIM($AO611&amp;""),4)),"")</f>
        <v/>
      </c>
      <c r="DE611" s="78">
        <f>IF(AND($BY611=1,$BX611=1,OR(fDeal="All Deals",$BU611=fDeal),OR(fEntity="All Entities",$BV611=fEntity),OR(fPType="All Property Types",$BZ611=fPType),OR(fDefeased="Include",$CJ611=0)),1,0)</f>
        <v/>
      </c>
      <c r="DF611" s="83">
        <f>$DE611*N($I611)</f>
        <v/>
      </c>
      <c r="DG611" s="78">
        <f>IF($DE611=1,IF(COUNTIFS($F$8:$F611,$F611,$DE$8:$DE611,1)=1,1,0),0)</f>
        <v/>
      </c>
      <c r="DH611" s="83">
        <f>IF($DG611=1,SUMIFS($DF$8:$DF$1600,$F$8:$F$1600,$F611),0)</f>
        <v/>
      </c>
      <c r="DI611" s="78">
        <f>IF($DG611=1,COUNTIFS($F$8:$F$1600,$F611,$DE$8:$DE$1600,1),0)</f>
        <v/>
      </c>
      <c r="DJ611" s="84">
        <f>IF($DG611=1,$DH611+(100000-ROW())/mTieBreak,0)</f>
        <v/>
      </c>
    </row>
    <row r="612">
      <c r="B612" s="68" t="n">
        <v>25</v>
      </c>
      <c r="C612" s="69" t="inlineStr">
        <is>
          <t>UBS18C13</t>
        </is>
      </c>
      <c r="D612" s="69" t="inlineStr">
        <is>
          <t>25.000</t>
        </is>
      </c>
      <c r="E612" s="69" t="inlineStr">
        <is>
          <t>Residence Inn Chicago Deerfield</t>
        </is>
      </c>
      <c r="F612" s="69" t="inlineStr">
        <is>
          <t>LNUBS18C13-25.000</t>
        </is>
      </c>
      <c r="G612" s="70" t="n"/>
      <c r="H612" s="71" t="n">
        <v>11200000</v>
      </c>
      <c r="I612" s="71" t="n">
        <v>0</v>
      </c>
      <c r="J612" s="72" t="n">
        <v>5.632</v>
      </c>
      <c r="K612" s="69" t="inlineStr">
        <is>
          <t>Fixed rate</t>
        </is>
      </c>
      <c r="L612" s="68" t="n">
        <v>60</v>
      </c>
      <c r="M612" s="68" t="n"/>
      <c r="N612" s="68" t="n">
        <v>360</v>
      </c>
      <c r="O612" s="68" t="n"/>
      <c r="P612" s="68" t="n"/>
      <c r="Q612" s="68" t="n"/>
      <c r="R612" s="69" t="n"/>
      <c r="S612" s="69" t="inlineStr">
        <is>
          <t>No</t>
        </is>
      </c>
      <c r="T612" s="73" t="n">
        <v>43374</v>
      </c>
      <c r="U612" s="73" t="n">
        <v>45205</v>
      </c>
      <c r="V612" s="73" t="n"/>
      <c r="W612" s="69" t="n"/>
      <c r="X612" s="69" t="inlineStr">
        <is>
          <t>Current</t>
        </is>
      </c>
      <c r="Y612" s="68" t="n"/>
      <c r="Z612" s="69" t="inlineStr">
        <is>
          <t>No Defeasance Occurred</t>
        </is>
      </c>
      <c r="AA612" s="69" t="inlineStr">
        <is>
          <t>Previously</t>
        </is>
      </c>
      <c r="AB612" s="69" t="inlineStr">
        <is>
          <t>Never special serv</t>
        </is>
      </c>
      <c r="AC612" s="73" t="n"/>
      <c r="AD612" s="69" t="n"/>
      <c r="AE612" s="69" t="n"/>
      <c r="AF612" s="69" t="inlineStr">
        <is>
          <t>IL</t>
        </is>
      </c>
      <c r="AG612" s="69" t="inlineStr">
        <is>
          <t>Deerfield</t>
        </is>
      </c>
      <c r="AH612" s="69" t="inlineStr">
        <is>
          <t>Chicago-Naperville-Elgin, IL-IN</t>
        </is>
      </c>
      <c r="AI612" s="69" t="inlineStr">
        <is>
          <t>Midwest / Central East</t>
        </is>
      </c>
      <c r="AJ612" s="69" t="inlineStr">
        <is>
          <t>HT</t>
        </is>
      </c>
      <c r="AK612" s="69" t="inlineStr">
        <is>
          <t>Extended Stay</t>
        </is>
      </c>
      <c r="AL612" s="68" t="n">
        <v>1</v>
      </c>
      <c r="AM612" s="68" t="n">
        <v>128</v>
      </c>
      <c r="AN612" s="68" t="n"/>
      <c r="AO612" s="69" t="inlineStr">
        <is>
          <t>1989</t>
        </is>
      </c>
      <c r="AP612" s="70" t="n">
        <v>2018</v>
      </c>
      <c r="AQ612" s="74" t="n">
        <v>1.92</v>
      </c>
      <c r="AR612" s="74" t="n">
        <v>1.7</v>
      </c>
      <c r="AS612" s="74" t="n">
        <v>70</v>
      </c>
      <c r="AT612" s="74" t="n"/>
      <c r="AU612" s="74" t="n">
        <v>65.2</v>
      </c>
      <c r="AV612" s="74" t="n">
        <v>13.240312589</v>
      </c>
      <c r="AW612" s="74" t="n"/>
      <c r="AX612" s="75" t="n">
        <v>66</v>
      </c>
      <c r="AY612" s="71" t="n">
        <v>16000000</v>
      </c>
      <c r="AZ612" s="71" t="n">
        <v>16000000</v>
      </c>
      <c r="BA612" s="71" t="n">
        <v>1482915.01</v>
      </c>
      <c r="BB612" s="71" t="n">
        <v>1313220.89</v>
      </c>
      <c r="BC612" s="69" t="inlineStr">
        <is>
          <t>Acquisition</t>
        </is>
      </c>
      <c r="BD612" s="69" t="inlineStr">
        <is>
          <t>N</t>
        </is>
      </c>
      <c r="BE612" s="71" t="n"/>
      <c r="BF612" s="71" t="n"/>
      <c r="BG612" s="71" t="n"/>
      <c r="BH612" s="71" t="n">
        <v>0</v>
      </c>
      <c r="BI612" s="71" t="n">
        <v>0</v>
      </c>
      <c r="BJ612" s="69" t="inlineStr">
        <is>
          <t>Y</t>
        </is>
      </c>
      <c r="BK612" s="69" t="n"/>
      <c r="BL612" s="75" t="n"/>
      <c r="BM612" s="73" t="n"/>
      <c r="BN612" s="69" t="inlineStr">
        <is>
          <t>PEG Development, LLC</t>
        </is>
      </c>
      <c r="BO612" s="69" t="n"/>
      <c r="BP612" s="69" t="inlineStr">
        <is>
          <t>Midland Loan Services</t>
        </is>
      </c>
      <c r="BQ612" s="69" t="inlineStr">
        <is>
          <t>Midland Loan Services</t>
        </is>
      </c>
      <c r="BR612" s="69" t="inlineStr">
        <is>
          <t>Payoff Prior To Maturity</t>
        </is>
      </c>
      <c r="BS612" s="73" t="n">
        <v>45180</v>
      </c>
      <c r="BU612" s="76">
        <f>IF($C612="","",IFERROR(INDEX(dmName,MATCH($C612,dmID,0)),"Unmapped"))</f>
        <v/>
      </c>
      <c r="BV612" s="76">
        <f>IF($C612="","",IFERROR(INDEX(dmEntity,MATCH($C612,dmID,0)),"Unmapped"))</f>
        <v/>
      </c>
      <c r="BW612" s="77">
        <f>IF($C612="","",IFERROR(INDEX(dmVintage,MATCH($C612,dmID,0)),""))</f>
        <v/>
      </c>
      <c r="BX612" s="78">
        <f>IFERROR(INDEX(dmInclude,MATCH($C612,dmID,0)),0)</f>
        <v/>
      </c>
      <c r="BY612" s="78">
        <f>IF(N($I612)&gt;0,1,0)</f>
        <v/>
      </c>
      <c r="BZ612" s="76">
        <f>IF($AJ612="","Other / Leased Fee",IFERROR(INDEX(mapPTGroup,MATCH(LEFT(TRIM($AJ612),2),mapPTCode,0)),"Other / Leased Fee"))</f>
        <v/>
      </c>
      <c r="CA612" s="76">
        <f>IF(TRIM($AF612&amp;"")="","NR",LEFT(TRIM($AF612),2))</f>
        <v/>
      </c>
      <c r="CB612" s="76">
        <f>IFERROR(LOOKUP(2,1/(LEFT(TRIM($AI612&amp;""),LEN(mapRegion))=mapRegion),mapRegion),"Not Reported")</f>
        <v/>
      </c>
      <c r="CC612" s="76">
        <f>IF($BY612=0,"",IF(TRIM($W612&amp;"")="REO","REO",IF(TRIM($W612&amp;"")="FC","Foreclosure",IF(TRIM($W612&amp;"")="90+","90+ Days Delinquent",IF(TRIM($W612&amp;"")="60","60 Days Delinquent",IF(TRIM($W612&amp;"")="30","30 Days Delinquent",IF($X612="Non-Performing Matured Balloon","Non-Performing Matured Balloon",IF(OR($X612="Late Payment But Less Than 30 Days Delinquent",LEFT($X612&amp;"",20)="Payment Not Received"),"Late / In Grace (&lt;30 Days)",IF($X612="Performing Matured Balloon","Performing Matured Balloon","Current")))))))))</f>
        <v/>
      </c>
      <c r="CD612" s="78">
        <f>IF(OR($CC612="REO",$CC612="Foreclosure",$CC612="90+ Days Delinquent",$CC612="60 Days Delinquent",$CC612="30 Days Delinquent",$CC612="Non-Performing Matured Balloon"),1,0)</f>
        <v/>
      </c>
      <c r="CE612" s="76">
        <f>IF($AB612="Currently special serv","Currently Specially Serviced",IF($AB612="Returned to master serv","Previously Specially Serviced","Never Specially Serviced"))</f>
        <v/>
      </c>
      <c r="CF612" s="78">
        <f>IF($CE612="Currently Specially Serviced",1,0)</f>
        <v/>
      </c>
      <c r="CG612" s="76">
        <f>IF($AA612="Yes","Currently on Watchlist",IF($AA612="Previously","Previously on Watchlist","Never on Watchlist"))</f>
        <v/>
      </c>
      <c r="CH612" s="78">
        <f>IF($CG612="Currently on Watchlist",1,0)</f>
        <v/>
      </c>
      <c r="CI612" s="76">
        <f>IF($Z612="Full Defeasance","Fully Defeased",IF($Z612="Portion Of Loan Previously Defeased","Partially Defeased",IF($Z612="Defeasance Not Allowable","Not Defeased (Not Permitted)","Not Defeased")))</f>
        <v/>
      </c>
      <c r="CJ612" s="78">
        <f>IF($CI612="Fully Defeased",1,0)</f>
        <v/>
      </c>
      <c r="CK612" s="76">
        <f>IF($R612="IO","Full IO",IF(LEFT($R612&amp;"",7)="IO then","Partial IO","Amortizing"))</f>
        <v/>
      </c>
      <c r="CL612" s="78">
        <f>IF($CK612="Full IO",1,0)</f>
        <v/>
      </c>
      <c r="CM612" s="78">
        <f>IF($CK612="Partial IO",1,0)</f>
        <v/>
      </c>
      <c r="CN612" s="76">
        <f>IF(LEFT($F612&amp;"",10)="SPLIT_LOAN","Pari Passu Split","Standalone")</f>
        <v/>
      </c>
      <c r="CO612" s="78">
        <f>IF($CN612="Pari Passu Split",1,0)</f>
        <v/>
      </c>
      <c r="CP612" s="77">
        <f>IF(ISNUMBER($T612),YEAR($T612),"")</f>
        <v/>
      </c>
      <c r="CQ612" s="79">
        <f>IF(ISNUMBER($V612),$V612,IF(ISNUMBER($U612),$U612,""))</f>
        <v/>
      </c>
      <c r="CR612" s="77">
        <f>IF(ISNUMBER($CQ612),YEAR($CQ612),"")</f>
        <v/>
      </c>
      <c r="CS612" s="78">
        <f>IF(ISNUMBER($M612),MAX(0,$M612),IF(TRIM($M612&amp;"")="matured",0,""))</f>
        <v/>
      </c>
      <c r="CT612" s="78">
        <f>IF(AND(ISNUMBER($CS612),N($CS612)&lt;=mMatWindow),1,0)</f>
        <v/>
      </c>
      <c r="CU612" s="80">
        <f>IF(ISNUMBER($J612),$J612/100,"")</f>
        <v/>
      </c>
      <c r="CV612" s="81">
        <f>IF(ISNUMBER($AQ612),$AQ612,"")</f>
        <v/>
      </c>
      <c r="CW612" s="81">
        <f>IF(ISNUMBER($AR612),$AR612,"")</f>
        <v/>
      </c>
      <c r="CX612" s="82">
        <f>IF(ISNUMBER($AS612),$AS612/100,"")</f>
        <v/>
      </c>
      <c r="CY612" s="82">
        <f>IF(ISNUMBER($AT612),$AT612/100,"")</f>
        <v/>
      </c>
      <c r="CZ612" s="82">
        <f>IF(ISNUMBER($AU612),$AU612/100,"")</f>
        <v/>
      </c>
      <c r="DA612" s="82">
        <f>IF(ISNUMBER($AV612),$AV612/100,"")</f>
        <v/>
      </c>
      <c r="DB612" s="82">
        <f>IF(ISNUMBER($AW612),$AW612/100,"")</f>
        <v/>
      </c>
      <c r="DC612" s="82">
        <f>IF(ISNUMBER($AX612),$AX612/100,"")</f>
        <v/>
      </c>
      <c r="DD612" s="77">
        <f>IFERROR(VALUE(LEFT(TRIM($AO612&amp;""),4)),"")</f>
        <v/>
      </c>
      <c r="DE612" s="78">
        <f>IF(AND($BY612=1,$BX612=1,OR(fDeal="All Deals",$BU612=fDeal),OR(fEntity="All Entities",$BV612=fEntity),OR(fPType="All Property Types",$BZ612=fPType),OR(fDefeased="Include",$CJ612=0)),1,0)</f>
        <v/>
      </c>
      <c r="DF612" s="83">
        <f>$DE612*N($I612)</f>
        <v/>
      </c>
      <c r="DG612" s="78">
        <f>IF($DE612=1,IF(COUNTIFS($F$8:$F612,$F612,$DE$8:$DE612,1)=1,1,0),0)</f>
        <v/>
      </c>
      <c r="DH612" s="83">
        <f>IF($DG612=1,SUMIFS($DF$8:$DF$1600,$F$8:$F$1600,$F612),0)</f>
        <v/>
      </c>
      <c r="DI612" s="78">
        <f>IF($DG612=1,COUNTIFS($F$8:$F$1600,$F612,$DE$8:$DE$1600,1),0)</f>
        <v/>
      </c>
      <c r="DJ612" s="84">
        <f>IF($DG612=1,$DH612+(100000-ROW())/mTieBreak,0)</f>
        <v/>
      </c>
    </row>
    <row r="613">
      <c r="B613" s="68" t="n">
        <v>26</v>
      </c>
      <c r="C613" s="69" t="inlineStr">
        <is>
          <t>UBS18C13</t>
        </is>
      </c>
      <c r="D613" s="69" t="inlineStr">
        <is>
          <t>26.000</t>
        </is>
      </c>
      <c r="E613" s="69" t="inlineStr">
        <is>
          <t>Belle Mill Landing</t>
        </is>
      </c>
      <c r="F613" s="69" t="inlineStr">
        <is>
          <t>LNUBS18C13-26.000</t>
        </is>
      </c>
      <c r="G613" s="70" t="n"/>
      <c r="H613" s="71" t="n">
        <v>10700000</v>
      </c>
      <c r="I613" s="71" t="n">
        <v>9906663.2900001</v>
      </c>
      <c r="J613" s="72" t="n">
        <v>5.2652</v>
      </c>
      <c r="K613" s="69" t="inlineStr">
        <is>
          <t>Fixed rate</t>
        </is>
      </c>
      <c r="L613" s="68" t="n">
        <v>120</v>
      </c>
      <c r="M613" s="68" t="n">
        <v>24</v>
      </c>
      <c r="N613" s="68" t="n">
        <v>396</v>
      </c>
      <c r="O613" s="68" t="n">
        <v>36</v>
      </c>
      <c r="P613" s="68" t="n">
        <v>0</v>
      </c>
      <c r="Q613" s="68" t="n">
        <v>96</v>
      </c>
      <c r="R613" s="69" t="inlineStr">
        <is>
          <t>IO then Amort</t>
        </is>
      </c>
      <c r="S613" s="69" t="inlineStr">
        <is>
          <t>No</t>
        </is>
      </c>
      <c r="T613" s="73" t="n">
        <v>43344</v>
      </c>
      <c r="U613" s="73" t="n">
        <v>47002</v>
      </c>
      <c r="V613" s="73" t="n"/>
      <c r="W613" s="69" t="n"/>
      <c r="X613" s="69" t="inlineStr">
        <is>
          <t>Current</t>
        </is>
      </c>
      <c r="Y613" s="68" t="n"/>
      <c r="Z613" s="69" t="inlineStr">
        <is>
          <t>Defeasance Not Allowable</t>
        </is>
      </c>
      <c r="AA613" s="69" t="inlineStr">
        <is>
          <t>Previously</t>
        </is>
      </c>
      <c r="AB613" s="69" t="inlineStr">
        <is>
          <t>Never special serv</t>
        </is>
      </c>
      <c r="AC613" s="73" t="n"/>
      <c r="AD613" s="69" t="n"/>
      <c r="AE613" s="69" t="n"/>
      <c r="AF613" s="69" t="inlineStr">
        <is>
          <t>CA</t>
        </is>
      </c>
      <c r="AG613" s="69" t="inlineStr">
        <is>
          <t>Red Bluff</t>
        </is>
      </c>
      <c r="AH613" s="69" t="inlineStr">
        <is>
          <t>Red Bluff, CA</t>
        </is>
      </c>
      <c r="AI613" s="69" t="inlineStr">
        <is>
          <t>West / Pacific North</t>
        </is>
      </c>
      <c r="AJ613" s="69" t="inlineStr">
        <is>
          <t>RT</t>
        </is>
      </c>
      <c r="AK613" s="69" t="inlineStr">
        <is>
          <t>Anchored</t>
        </is>
      </c>
      <c r="AL613" s="68" t="n">
        <v>1</v>
      </c>
      <c r="AM613" s="68" t="n"/>
      <c r="AN613" s="68" t="n">
        <v>115885</v>
      </c>
      <c r="AO613" s="69" t="inlineStr">
        <is>
          <t>1982</t>
        </is>
      </c>
      <c r="AP613" s="70" t="n">
        <v>1982</v>
      </c>
      <c r="AQ613" s="74" t="n">
        <v>1.35</v>
      </c>
      <c r="AR613" s="74" t="n">
        <v>1.78</v>
      </c>
      <c r="AS613" s="74" t="n">
        <v>70.40000000000001</v>
      </c>
      <c r="AT613" s="74" t="n">
        <v>65.18000000000001</v>
      </c>
      <c r="AU613" s="74" t="n">
        <v>62.7</v>
      </c>
      <c r="AV613" s="74" t="n">
        <v>8.96753271</v>
      </c>
      <c r="AW613" s="74" t="n">
        <v>11.874665218</v>
      </c>
      <c r="AX613" s="75" t="n">
        <v>87</v>
      </c>
      <c r="AY613" s="71" t="n">
        <v>15200000</v>
      </c>
      <c r="AZ613" s="71" t="n">
        <v>15200000</v>
      </c>
      <c r="BA613" s="71" t="n">
        <v>959526</v>
      </c>
      <c r="BB613" s="71" t="n">
        <v>1266015.54</v>
      </c>
      <c r="BC613" s="69" t="inlineStr">
        <is>
          <t>Refinance</t>
        </is>
      </c>
      <c r="BD613" s="69" t="inlineStr">
        <is>
          <t>N</t>
        </is>
      </c>
      <c r="BE613" s="71" t="n"/>
      <c r="BF613" s="71" t="n"/>
      <c r="BG613" s="71" t="n"/>
      <c r="BH613" s="71" t="n">
        <v>0</v>
      </c>
      <c r="BI613" s="71" t="n">
        <v>0</v>
      </c>
      <c r="BJ613" s="69" t="inlineStr">
        <is>
          <t>N</t>
        </is>
      </c>
      <c r="BK613" s="69" t="inlineStr">
        <is>
          <t>Food Max</t>
        </is>
      </c>
      <c r="BL613" s="75" t="n">
        <v>38.28</v>
      </c>
      <c r="BM613" s="73" t="n">
        <v>49288</v>
      </c>
      <c r="BN613" s="69" t="inlineStr">
        <is>
          <t>John P. Walsh; Jay Kerner; John P. Walsh and Chanida Walsh as Trustees of the Walsh Trust Dated August 6, 1998</t>
        </is>
      </c>
      <c r="BO613" s="69" t="n"/>
      <c r="BP613" s="69" t="inlineStr">
        <is>
          <t>Midland Loan Services</t>
        </is>
      </c>
      <c r="BQ613" s="69" t="inlineStr">
        <is>
          <t>Midland Loan Services</t>
        </is>
      </c>
      <c r="BR613" s="69" t="n"/>
      <c r="BS613" s="73" t="n">
        <v>46276</v>
      </c>
      <c r="BU613" s="76">
        <f>IF($C613="","",IFERROR(INDEX(dmName,MATCH($C613,dmID,0)),"Unmapped"))</f>
        <v/>
      </c>
      <c r="BV613" s="76">
        <f>IF($C613="","",IFERROR(INDEX(dmEntity,MATCH($C613,dmID,0)),"Unmapped"))</f>
        <v/>
      </c>
      <c r="BW613" s="77">
        <f>IF($C613="","",IFERROR(INDEX(dmVintage,MATCH($C613,dmID,0)),""))</f>
        <v/>
      </c>
      <c r="BX613" s="78">
        <f>IFERROR(INDEX(dmInclude,MATCH($C613,dmID,0)),0)</f>
        <v/>
      </c>
      <c r="BY613" s="78">
        <f>IF(N($I613)&gt;0,1,0)</f>
        <v/>
      </c>
      <c r="BZ613" s="76">
        <f>IF($AJ613="","Other / Leased Fee",IFERROR(INDEX(mapPTGroup,MATCH(LEFT(TRIM($AJ613),2),mapPTCode,0)),"Other / Leased Fee"))</f>
        <v/>
      </c>
      <c r="CA613" s="76">
        <f>IF(TRIM($AF613&amp;"")="","NR",LEFT(TRIM($AF613),2))</f>
        <v/>
      </c>
      <c r="CB613" s="76">
        <f>IFERROR(LOOKUP(2,1/(LEFT(TRIM($AI613&amp;""),LEN(mapRegion))=mapRegion),mapRegion),"Not Reported")</f>
        <v/>
      </c>
      <c r="CC613" s="76">
        <f>IF($BY613=0,"",IF(TRIM($W613&amp;"")="REO","REO",IF(TRIM($W613&amp;"")="FC","Foreclosure",IF(TRIM($W613&amp;"")="90+","90+ Days Delinquent",IF(TRIM($W613&amp;"")="60","60 Days Delinquent",IF(TRIM($W613&amp;"")="30","30 Days Delinquent",IF($X613="Non-Performing Matured Balloon","Non-Performing Matured Balloon",IF(OR($X613="Late Payment But Less Than 30 Days Delinquent",LEFT($X613&amp;"",20)="Payment Not Received"),"Late / In Grace (&lt;30 Days)",IF($X613="Performing Matured Balloon","Performing Matured Balloon","Current")))))))))</f>
        <v/>
      </c>
      <c r="CD613" s="78">
        <f>IF(OR($CC613="REO",$CC613="Foreclosure",$CC613="90+ Days Delinquent",$CC613="60 Days Delinquent",$CC613="30 Days Delinquent",$CC613="Non-Performing Matured Balloon"),1,0)</f>
        <v/>
      </c>
      <c r="CE613" s="76">
        <f>IF($AB613="Currently special serv","Currently Specially Serviced",IF($AB613="Returned to master serv","Previously Specially Serviced","Never Specially Serviced"))</f>
        <v/>
      </c>
      <c r="CF613" s="78">
        <f>IF($CE613="Currently Specially Serviced",1,0)</f>
        <v/>
      </c>
      <c r="CG613" s="76">
        <f>IF($AA613="Yes","Currently on Watchlist",IF($AA613="Previously","Previously on Watchlist","Never on Watchlist"))</f>
        <v/>
      </c>
      <c r="CH613" s="78">
        <f>IF($CG613="Currently on Watchlist",1,0)</f>
        <v/>
      </c>
      <c r="CI613" s="76">
        <f>IF($Z613="Full Defeasance","Fully Defeased",IF($Z613="Portion Of Loan Previously Defeased","Partially Defeased",IF($Z613="Defeasance Not Allowable","Not Defeased (Not Permitted)","Not Defeased")))</f>
        <v/>
      </c>
      <c r="CJ613" s="78">
        <f>IF($CI613="Fully Defeased",1,0)</f>
        <v/>
      </c>
      <c r="CK613" s="76">
        <f>IF($R613="IO","Full IO",IF(LEFT($R613&amp;"",7)="IO then","Partial IO","Amortizing"))</f>
        <v/>
      </c>
      <c r="CL613" s="78">
        <f>IF($CK613="Full IO",1,0)</f>
        <v/>
      </c>
      <c r="CM613" s="78">
        <f>IF($CK613="Partial IO",1,0)</f>
        <v/>
      </c>
      <c r="CN613" s="76">
        <f>IF(LEFT($F613&amp;"",10)="SPLIT_LOAN","Pari Passu Split","Standalone")</f>
        <v/>
      </c>
      <c r="CO613" s="78">
        <f>IF($CN613="Pari Passu Split",1,0)</f>
        <v/>
      </c>
      <c r="CP613" s="77">
        <f>IF(ISNUMBER($T613),YEAR($T613),"")</f>
        <v/>
      </c>
      <c r="CQ613" s="79">
        <f>IF(ISNUMBER($V613),$V613,IF(ISNUMBER($U613),$U613,""))</f>
        <v/>
      </c>
      <c r="CR613" s="77">
        <f>IF(ISNUMBER($CQ613),YEAR($CQ613),"")</f>
        <v/>
      </c>
      <c r="CS613" s="78">
        <f>IF(ISNUMBER($M613),MAX(0,$M613),IF(TRIM($M613&amp;"")="matured",0,""))</f>
        <v/>
      </c>
      <c r="CT613" s="78">
        <f>IF(AND(ISNUMBER($CS613),N($CS613)&lt;=mMatWindow),1,0)</f>
        <v/>
      </c>
      <c r="CU613" s="80">
        <f>IF(ISNUMBER($J613),$J613/100,"")</f>
        <v/>
      </c>
      <c r="CV613" s="81">
        <f>IF(ISNUMBER($AQ613),$AQ613,"")</f>
        <v/>
      </c>
      <c r="CW613" s="81">
        <f>IF(ISNUMBER($AR613),$AR613,"")</f>
        <v/>
      </c>
      <c r="CX613" s="82">
        <f>IF(ISNUMBER($AS613),$AS613/100,"")</f>
        <v/>
      </c>
      <c r="CY613" s="82">
        <f>IF(ISNUMBER($AT613),$AT613/100,"")</f>
        <v/>
      </c>
      <c r="CZ613" s="82">
        <f>IF(ISNUMBER($AU613),$AU613/100,"")</f>
        <v/>
      </c>
      <c r="DA613" s="82">
        <f>IF(ISNUMBER($AV613),$AV613/100,"")</f>
        <v/>
      </c>
      <c r="DB613" s="82">
        <f>IF(ISNUMBER($AW613),$AW613/100,"")</f>
        <v/>
      </c>
      <c r="DC613" s="82">
        <f>IF(ISNUMBER($AX613),$AX613/100,"")</f>
        <v/>
      </c>
      <c r="DD613" s="77">
        <f>IFERROR(VALUE(LEFT(TRIM($AO613&amp;""),4)),"")</f>
        <v/>
      </c>
      <c r="DE613" s="78">
        <f>IF(AND($BY613=1,$BX613=1,OR(fDeal="All Deals",$BU613=fDeal),OR(fEntity="All Entities",$BV613=fEntity),OR(fPType="All Property Types",$BZ613=fPType),OR(fDefeased="Include",$CJ613=0)),1,0)</f>
        <v/>
      </c>
      <c r="DF613" s="83">
        <f>$DE613*N($I613)</f>
        <v/>
      </c>
      <c r="DG613" s="78">
        <f>IF($DE613=1,IF(COUNTIFS($F$8:$F613,$F613,$DE$8:$DE613,1)=1,1,0),0)</f>
        <v/>
      </c>
      <c r="DH613" s="83">
        <f>IF($DG613=1,SUMIFS($DF$8:$DF$1600,$F$8:$F$1600,$F613),0)</f>
        <v/>
      </c>
      <c r="DI613" s="78">
        <f>IF($DG613=1,COUNTIFS($F$8:$F$1600,$F613,$DE$8:$DE$1600,1),0)</f>
        <v/>
      </c>
      <c r="DJ613" s="84">
        <f>IF($DG613=1,$DH613+(100000-ROW())/mTieBreak,0)</f>
        <v/>
      </c>
    </row>
    <row r="614">
      <c r="B614" s="68" t="n">
        <v>27</v>
      </c>
      <c r="C614" s="69" t="inlineStr">
        <is>
          <t>UBS18C13</t>
        </is>
      </c>
      <c r="D614" s="69" t="inlineStr">
        <is>
          <t>27.000</t>
        </is>
      </c>
      <c r="E614" s="69" t="inlineStr">
        <is>
          <t>Westside Market Place Shopping Center</t>
        </is>
      </c>
      <c r="F614" s="69" t="inlineStr">
        <is>
          <t>LNUBS18C13-27.000</t>
        </is>
      </c>
      <c r="G614" s="70" t="n"/>
      <c r="H614" s="71" t="n">
        <v>10500000</v>
      </c>
      <c r="I614" s="71" t="n">
        <v>9674816.810000999</v>
      </c>
      <c r="J614" s="72" t="n">
        <v>5.04</v>
      </c>
      <c r="K614" s="69" t="inlineStr">
        <is>
          <t>Fixed rate</t>
        </is>
      </c>
      <c r="L614" s="68" t="n">
        <v>120</v>
      </c>
      <c r="M614" s="68" t="n">
        <v>23</v>
      </c>
      <c r="N614" s="68" t="n">
        <v>396</v>
      </c>
      <c r="O614" s="68" t="n">
        <v>36</v>
      </c>
      <c r="P614" s="68" t="n">
        <v>0</v>
      </c>
      <c r="Q614" s="68" t="n">
        <v>97</v>
      </c>
      <c r="R614" s="69" t="inlineStr">
        <is>
          <t>IO then Amort</t>
        </is>
      </c>
      <c r="S614" s="69" t="inlineStr">
        <is>
          <t>No</t>
        </is>
      </c>
      <c r="T614" s="73" t="n">
        <v>43313</v>
      </c>
      <c r="U614" s="73" t="n">
        <v>46971</v>
      </c>
      <c r="V614" s="73" t="n"/>
      <c r="W614" s="69" t="n"/>
      <c r="X614" s="69" t="inlineStr">
        <is>
          <t>Current</t>
        </is>
      </c>
      <c r="Y614" s="68" t="n"/>
      <c r="Z614" s="69" t="inlineStr">
        <is>
          <t>Defeasance Not Allowable</t>
        </is>
      </c>
      <c r="AA614" s="69" t="n"/>
      <c r="AB614" s="69" t="inlineStr">
        <is>
          <t>Never special serv</t>
        </is>
      </c>
      <c r="AC614" s="73" t="n"/>
      <c r="AD614" s="69" t="n"/>
      <c r="AE614" s="69" t="n"/>
      <c r="AF614" s="69" t="inlineStr">
        <is>
          <t>MO</t>
        </is>
      </c>
      <c r="AG614" s="69" t="inlineStr">
        <is>
          <t>Rolla</t>
        </is>
      </c>
      <c r="AH614" s="69" t="inlineStr">
        <is>
          <t>Rolla, MO</t>
        </is>
      </c>
      <c r="AI614" s="69" t="inlineStr">
        <is>
          <t>Midwest / Central West</t>
        </is>
      </c>
      <c r="AJ614" s="69" t="inlineStr">
        <is>
          <t>RT</t>
        </is>
      </c>
      <c r="AK614" s="69" t="inlineStr">
        <is>
          <t>Anchored</t>
        </is>
      </c>
      <c r="AL614" s="68" t="n">
        <v>1</v>
      </c>
      <c r="AM614" s="68" t="n"/>
      <c r="AN614" s="68" t="n">
        <v>119204</v>
      </c>
      <c r="AO614" s="69" t="inlineStr">
        <is>
          <t>2018</t>
        </is>
      </c>
      <c r="AP614" s="70" t="n">
        <v>2018</v>
      </c>
      <c r="AQ614" s="74" t="n">
        <v>1.39</v>
      </c>
      <c r="AR614" s="74" t="n">
        <v>1.52</v>
      </c>
      <c r="AS614" s="74" t="n">
        <v>59</v>
      </c>
      <c r="AT614" s="74" t="n">
        <v>54.35</v>
      </c>
      <c r="AU614" s="74" t="n">
        <v>52.3</v>
      </c>
      <c r="AV614" s="74" t="n">
        <v>8.983695237999999</v>
      </c>
      <c r="AW614" s="74" t="n">
        <v>10.650743577</v>
      </c>
      <c r="AX614" s="75" t="n">
        <v>100</v>
      </c>
      <c r="AY614" s="71" t="n">
        <v>17800000</v>
      </c>
      <c r="AZ614" s="71" t="n">
        <v>17800000</v>
      </c>
      <c r="BA614" s="71" t="n">
        <v>943288</v>
      </c>
      <c r="BB614" s="71" t="n">
        <v>1030439.93</v>
      </c>
      <c r="BC614" s="69" t="inlineStr">
        <is>
          <t>Refinance</t>
        </is>
      </c>
      <c r="BD614" s="69" t="inlineStr">
        <is>
          <t>N</t>
        </is>
      </c>
      <c r="BE614" s="71" t="n"/>
      <c r="BF614" s="71" t="n"/>
      <c r="BG614" s="71" t="n"/>
      <c r="BH614" s="71" t="n">
        <v>0</v>
      </c>
      <c r="BI614" s="71" t="n">
        <v>0</v>
      </c>
      <c r="BJ614" s="69" t="inlineStr">
        <is>
          <t>N</t>
        </is>
      </c>
      <c r="BK614" s="69" t="inlineStr">
        <is>
          <t>Academy Sports + Outdoors</t>
        </is>
      </c>
      <c r="BL614" s="75" t="n">
        <v>52.81</v>
      </c>
      <c r="BM614" s="73" t="n">
        <v>48699</v>
      </c>
      <c r="BN614" s="69" t="inlineStr">
        <is>
          <t>E. Stanley Kroenke</t>
        </is>
      </c>
      <c r="BO614" s="69" t="n"/>
      <c r="BP614" s="69" t="inlineStr">
        <is>
          <t>Midland Loan Services</t>
        </is>
      </c>
      <c r="BQ614" s="69" t="inlineStr">
        <is>
          <t>Midland Loan Services</t>
        </is>
      </c>
      <c r="BR614" s="69" t="n"/>
      <c r="BS614" s="73" t="n">
        <v>46276</v>
      </c>
      <c r="BU614" s="76">
        <f>IF($C614="","",IFERROR(INDEX(dmName,MATCH($C614,dmID,0)),"Unmapped"))</f>
        <v/>
      </c>
      <c r="BV614" s="76">
        <f>IF($C614="","",IFERROR(INDEX(dmEntity,MATCH($C614,dmID,0)),"Unmapped"))</f>
        <v/>
      </c>
      <c r="BW614" s="77">
        <f>IF($C614="","",IFERROR(INDEX(dmVintage,MATCH($C614,dmID,0)),""))</f>
        <v/>
      </c>
      <c r="BX614" s="78">
        <f>IFERROR(INDEX(dmInclude,MATCH($C614,dmID,0)),0)</f>
        <v/>
      </c>
      <c r="BY614" s="78">
        <f>IF(N($I614)&gt;0,1,0)</f>
        <v/>
      </c>
      <c r="BZ614" s="76">
        <f>IF($AJ614="","Other / Leased Fee",IFERROR(INDEX(mapPTGroup,MATCH(LEFT(TRIM($AJ614),2),mapPTCode,0)),"Other / Leased Fee"))</f>
        <v/>
      </c>
      <c r="CA614" s="76">
        <f>IF(TRIM($AF614&amp;"")="","NR",LEFT(TRIM($AF614),2))</f>
        <v/>
      </c>
      <c r="CB614" s="76">
        <f>IFERROR(LOOKUP(2,1/(LEFT(TRIM($AI614&amp;""),LEN(mapRegion))=mapRegion),mapRegion),"Not Reported")</f>
        <v/>
      </c>
      <c r="CC614" s="76">
        <f>IF($BY614=0,"",IF(TRIM($W614&amp;"")="REO","REO",IF(TRIM($W614&amp;"")="FC","Foreclosure",IF(TRIM($W614&amp;"")="90+","90+ Days Delinquent",IF(TRIM($W614&amp;"")="60","60 Days Delinquent",IF(TRIM($W614&amp;"")="30","30 Days Delinquent",IF($X614="Non-Performing Matured Balloon","Non-Performing Matured Balloon",IF(OR($X614="Late Payment But Less Than 30 Days Delinquent",LEFT($X614&amp;"",20)="Payment Not Received"),"Late / In Grace (&lt;30 Days)",IF($X614="Performing Matured Balloon","Performing Matured Balloon","Current")))))))))</f>
        <v/>
      </c>
      <c r="CD614" s="78">
        <f>IF(OR($CC614="REO",$CC614="Foreclosure",$CC614="90+ Days Delinquent",$CC614="60 Days Delinquent",$CC614="30 Days Delinquent",$CC614="Non-Performing Matured Balloon"),1,0)</f>
        <v/>
      </c>
      <c r="CE614" s="76">
        <f>IF($AB614="Currently special serv","Currently Specially Serviced",IF($AB614="Returned to master serv","Previously Specially Serviced","Never Specially Serviced"))</f>
        <v/>
      </c>
      <c r="CF614" s="78">
        <f>IF($CE614="Currently Specially Serviced",1,0)</f>
        <v/>
      </c>
      <c r="CG614" s="76">
        <f>IF($AA614="Yes","Currently on Watchlist",IF($AA614="Previously","Previously on Watchlist","Never on Watchlist"))</f>
        <v/>
      </c>
      <c r="CH614" s="78">
        <f>IF($CG614="Currently on Watchlist",1,0)</f>
        <v/>
      </c>
      <c r="CI614" s="76">
        <f>IF($Z614="Full Defeasance","Fully Defeased",IF($Z614="Portion Of Loan Previously Defeased","Partially Defeased",IF($Z614="Defeasance Not Allowable","Not Defeased (Not Permitted)","Not Defeased")))</f>
        <v/>
      </c>
      <c r="CJ614" s="78">
        <f>IF($CI614="Fully Defeased",1,0)</f>
        <v/>
      </c>
      <c r="CK614" s="76">
        <f>IF($R614="IO","Full IO",IF(LEFT($R614&amp;"",7)="IO then","Partial IO","Amortizing"))</f>
        <v/>
      </c>
      <c r="CL614" s="78">
        <f>IF($CK614="Full IO",1,0)</f>
        <v/>
      </c>
      <c r="CM614" s="78">
        <f>IF($CK614="Partial IO",1,0)</f>
        <v/>
      </c>
      <c r="CN614" s="76">
        <f>IF(LEFT($F614&amp;"",10)="SPLIT_LOAN","Pari Passu Split","Standalone")</f>
        <v/>
      </c>
      <c r="CO614" s="78">
        <f>IF($CN614="Pari Passu Split",1,0)</f>
        <v/>
      </c>
      <c r="CP614" s="77">
        <f>IF(ISNUMBER($T614),YEAR($T614),"")</f>
        <v/>
      </c>
      <c r="CQ614" s="79">
        <f>IF(ISNUMBER($V614),$V614,IF(ISNUMBER($U614),$U614,""))</f>
        <v/>
      </c>
      <c r="CR614" s="77">
        <f>IF(ISNUMBER($CQ614),YEAR($CQ614),"")</f>
        <v/>
      </c>
      <c r="CS614" s="78">
        <f>IF(ISNUMBER($M614),MAX(0,$M614),IF(TRIM($M614&amp;"")="matured",0,""))</f>
        <v/>
      </c>
      <c r="CT614" s="78">
        <f>IF(AND(ISNUMBER($CS614),N($CS614)&lt;=mMatWindow),1,0)</f>
        <v/>
      </c>
      <c r="CU614" s="80">
        <f>IF(ISNUMBER($J614),$J614/100,"")</f>
        <v/>
      </c>
      <c r="CV614" s="81">
        <f>IF(ISNUMBER($AQ614),$AQ614,"")</f>
        <v/>
      </c>
      <c r="CW614" s="81">
        <f>IF(ISNUMBER($AR614),$AR614,"")</f>
        <v/>
      </c>
      <c r="CX614" s="82">
        <f>IF(ISNUMBER($AS614),$AS614/100,"")</f>
        <v/>
      </c>
      <c r="CY614" s="82">
        <f>IF(ISNUMBER($AT614),$AT614/100,"")</f>
        <v/>
      </c>
      <c r="CZ614" s="82">
        <f>IF(ISNUMBER($AU614),$AU614/100,"")</f>
        <v/>
      </c>
      <c r="DA614" s="82">
        <f>IF(ISNUMBER($AV614),$AV614/100,"")</f>
        <v/>
      </c>
      <c r="DB614" s="82">
        <f>IF(ISNUMBER($AW614),$AW614/100,"")</f>
        <v/>
      </c>
      <c r="DC614" s="82">
        <f>IF(ISNUMBER($AX614),$AX614/100,"")</f>
        <v/>
      </c>
      <c r="DD614" s="77">
        <f>IFERROR(VALUE(LEFT(TRIM($AO614&amp;""),4)),"")</f>
        <v/>
      </c>
      <c r="DE614" s="78">
        <f>IF(AND($BY614=1,$BX614=1,OR(fDeal="All Deals",$BU614=fDeal),OR(fEntity="All Entities",$BV614=fEntity),OR(fPType="All Property Types",$BZ614=fPType),OR(fDefeased="Include",$CJ614=0)),1,0)</f>
        <v/>
      </c>
      <c r="DF614" s="83">
        <f>$DE614*N($I614)</f>
        <v/>
      </c>
      <c r="DG614" s="78">
        <f>IF($DE614=1,IF(COUNTIFS($F$8:$F614,$F614,$DE$8:$DE614,1)=1,1,0),0)</f>
        <v/>
      </c>
      <c r="DH614" s="83">
        <f>IF($DG614=1,SUMIFS($DF$8:$DF$1600,$F$8:$F$1600,$F614),0)</f>
        <v/>
      </c>
      <c r="DI614" s="78">
        <f>IF($DG614=1,COUNTIFS($F$8:$F$1600,$F614,$DE$8:$DE$1600,1),0)</f>
        <v/>
      </c>
      <c r="DJ614" s="84">
        <f>IF($DG614=1,$DH614+(100000-ROW())/mTieBreak,0)</f>
        <v/>
      </c>
    </row>
    <row r="615">
      <c r="B615" s="68" t="n">
        <v>28</v>
      </c>
      <c r="C615" s="69" t="inlineStr">
        <is>
          <t>UBS18C13</t>
        </is>
      </c>
      <c r="D615" s="69" t="inlineStr">
        <is>
          <t>28.000</t>
        </is>
      </c>
      <c r="E615" s="69" t="inlineStr">
        <is>
          <t>Residence Inn Boston Danvers</t>
        </is>
      </c>
      <c r="F615" s="69" t="inlineStr">
        <is>
          <t>LNUBS18C13-28.000</t>
        </is>
      </c>
      <c r="G615" s="70" t="n"/>
      <c r="H615" s="71" t="n">
        <v>9870000</v>
      </c>
      <c r="I615" s="71" t="n">
        <v>0</v>
      </c>
      <c r="J615" s="72" t="n">
        <v>5.632</v>
      </c>
      <c r="K615" s="69" t="inlineStr">
        <is>
          <t>Fixed rate</t>
        </is>
      </c>
      <c r="L615" s="68" t="n">
        <v>60</v>
      </c>
      <c r="M615" s="68" t="n"/>
      <c r="N615" s="68" t="n">
        <v>360</v>
      </c>
      <c r="O615" s="68" t="n"/>
      <c r="P615" s="68" t="n"/>
      <c r="Q615" s="68" t="n"/>
      <c r="R615" s="69" t="n"/>
      <c r="S615" s="69" t="inlineStr">
        <is>
          <t>No</t>
        </is>
      </c>
      <c r="T615" s="73" t="n">
        <v>43374</v>
      </c>
      <c r="U615" s="73" t="n">
        <v>45205</v>
      </c>
      <c r="V615" s="73" t="n"/>
      <c r="W615" s="69" t="n"/>
      <c r="X615" s="69" t="inlineStr">
        <is>
          <t>Current</t>
        </is>
      </c>
      <c r="Y615" s="68" t="n"/>
      <c r="Z615" s="69" t="inlineStr">
        <is>
          <t>No Defeasance Occurred</t>
        </is>
      </c>
      <c r="AA615" s="69" t="inlineStr">
        <is>
          <t>Previously</t>
        </is>
      </c>
      <c r="AB615" s="69" t="inlineStr">
        <is>
          <t>Never special serv</t>
        </is>
      </c>
      <c r="AC615" s="73" t="n"/>
      <c r="AD615" s="69" t="n"/>
      <c r="AE615" s="69" t="n"/>
      <c r="AF615" s="69" t="inlineStr">
        <is>
          <t>MA</t>
        </is>
      </c>
      <c r="AG615" s="69" t="inlineStr">
        <is>
          <t>Danvers</t>
        </is>
      </c>
      <c r="AH615" s="69" t="inlineStr">
        <is>
          <t>Boston-Cambridge-Newton, MA-NH</t>
        </is>
      </c>
      <c r="AI615" s="69" t="inlineStr">
        <is>
          <t>Northeast / New England</t>
        </is>
      </c>
      <c r="AJ615" s="69" t="inlineStr">
        <is>
          <t>HT</t>
        </is>
      </c>
      <c r="AK615" s="69" t="inlineStr">
        <is>
          <t>Extended Stay</t>
        </is>
      </c>
      <c r="AL615" s="68" t="n">
        <v>1</v>
      </c>
      <c r="AM615" s="68" t="n">
        <v>96</v>
      </c>
      <c r="AN615" s="68" t="n"/>
      <c r="AO615" s="69" t="inlineStr">
        <is>
          <t>1989</t>
        </is>
      </c>
      <c r="AP615" s="70" t="n">
        <v>2018</v>
      </c>
      <c r="AQ615" s="74" t="n">
        <v>1.87</v>
      </c>
      <c r="AR615" s="74" t="n">
        <v>1.97</v>
      </c>
      <c r="AS615" s="74" t="n">
        <v>70</v>
      </c>
      <c r="AT615" s="74" t="n"/>
      <c r="AU615" s="74" t="n">
        <v>65.2</v>
      </c>
      <c r="AV615" s="74" t="n">
        <v>12.895350963</v>
      </c>
      <c r="AW615" s="74" t="n"/>
      <c r="AX615" s="75" t="n">
        <v>91</v>
      </c>
      <c r="AY615" s="71" t="n">
        <v>14100000</v>
      </c>
      <c r="AZ615" s="71" t="n">
        <v>14100000</v>
      </c>
      <c r="BA615" s="71" t="n">
        <v>1272771.14</v>
      </c>
      <c r="BB615" s="71" t="n">
        <v>1346742.38</v>
      </c>
      <c r="BC615" s="69" t="inlineStr">
        <is>
          <t>Acquisition</t>
        </is>
      </c>
      <c r="BD615" s="69" t="inlineStr">
        <is>
          <t>N</t>
        </is>
      </c>
      <c r="BE615" s="71" t="n"/>
      <c r="BF615" s="71" t="n"/>
      <c r="BG615" s="71" t="n"/>
      <c r="BH615" s="71" t="n">
        <v>0</v>
      </c>
      <c r="BI615" s="71" t="n">
        <v>0</v>
      </c>
      <c r="BJ615" s="69" t="inlineStr">
        <is>
          <t>Y</t>
        </is>
      </c>
      <c r="BK615" s="69" t="n"/>
      <c r="BL615" s="75" t="n"/>
      <c r="BM615" s="73" t="n"/>
      <c r="BN615" s="69" t="inlineStr">
        <is>
          <t>PEG Development, LLC</t>
        </is>
      </c>
      <c r="BO615" s="69" t="n"/>
      <c r="BP615" s="69" t="inlineStr">
        <is>
          <t>Midland Loan Services</t>
        </is>
      </c>
      <c r="BQ615" s="69" t="inlineStr">
        <is>
          <t>Midland Loan Services</t>
        </is>
      </c>
      <c r="BR615" s="69" t="inlineStr">
        <is>
          <t>Full Payoff At Maturity</t>
        </is>
      </c>
      <c r="BS615" s="73" t="n">
        <v>45210</v>
      </c>
      <c r="BU615" s="76">
        <f>IF($C615="","",IFERROR(INDEX(dmName,MATCH($C615,dmID,0)),"Unmapped"))</f>
        <v/>
      </c>
      <c r="BV615" s="76">
        <f>IF($C615="","",IFERROR(INDEX(dmEntity,MATCH($C615,dmID,0)),"Unmapped"))</f>
        <v/>
      </c>
      <c r="BW615" s="77">
        <f>IF($C615="","",IFERROR(INDEX(dmVintage,MATCH($C615,dmID,0)),""))</f>
        <v/>
      </c>
      <c r="BX615" s="78">
        <f>IFERROR(INDEX(dmInclude,MATCH($C615,dmID,0)),0)</f>
        <v/>
      </c>
      <c r="BY615" s="78">
        <f>IF(N($I615)&gt;0,1,0)</f>
        <v/>
      </c>
      <c r="BZ615" s="76">
        <f>IF($AJ615="","Other / Leased Fee",IFERROR(INDEX(mapPTGroup,MATCH(LEFT(TRIM($AJ615),2),mapPTCode,0)),"Other / Leased Fee"))</f>
        <v/>
      </c>
      <c r="CA615" s="76">
        <f>IF(TRIM($AF615&amp;"")="","NR",LEFT(TRIM($AF615),2))</f>
        <v/>
      </c>
      <c r="CB615" s="76">
        <f>IFERROR(LOOKUP(2,1/(LEFT(TRIM($AI615&amp;""),LEN(mapRegion))=mapRegion),mapRegion),"Not Reported")</f>
        <v/>
      </c>
      <c r="CC615" s="76">
        <f>IF($BY615=0,"",IF(TRIM($W615&amp;"")="REO","REO",IF(TRIM($W615&amp;"")="FC","Foreclosure",IF(TRIM($W615&amp;"")="90+","90+ Days Delinquent",IF(TRIM($W615&amp;"")="60","60 Days Delinquent",IF(TRIM($W615&amp;"")="30","30 Days Delinquent",IF($X615="Non-Performing Matured Balloon","Non-Performing Matured Balloon",IF(OR($X615="Late Payment But Less Than 30 Days Delinquent",LEFT($X615&amp;"",20)="Payment Not Received"),"Late / In Grace (&lt;30 Days)",IF($X615="Performing Matured Balloon","Performing Matured Balloon","Current")))))))))</f>
        <v/>
      </c>
      <c r="CD615" s="78">
        <f>IF(OR($CC615="REO",$CC615="Foreclosure",$CC615="90+ Days Delinquent",$CC615="60 Days Delinquent",$CC615="30 Days Delinquent",$CC615="Non-Performing Matured Balloon"),1,0)</f>
        <v/>
      </c>
      <c r="CE615" s="76">
        <f>IF($AB615="Currently special serv","Currently Specially Serviced",IF($AB615="Returned to master serv","Previously Specially Serviced","Never Specially Serviced"))</f>
        <v/>
      </c>
      <c r="CF615" s="78">
        <f>IF($CE615="Currently Specially Serviced",1,0)</f>
        <v/>
      </c>
      <c r="CG615" s="76">
        <f>IF($AA615="Yes","Currently on Watchlist",IF($AA615="Previously","Previously on Watchlist","Never on Watchlist"))</f>
        <v/>
      </c>
      <c r="CH615" s="78">
        <f>IF($CG615="Currently on Watchlist",1,0)</f>
        <v/>
      </c>
      <c r="CI615" s="76">
        <f>IF($Z615="Full Defeasance","Fully Defeased",IF($Z615="Portion Of Loan Previously Defeased","Partially Defeased",IF($Z615="Defeasance Not Allowable","Not Defeased (Not Permitted)","Not Defeased")))</f>
        <v/>
      </c>
      <c r="CJ615" s="78">
        <f>IF($CI615="Fully Defeased",1,0)</f>
        <v/>
      </c>
      <c r="CK615" s="76">
        <f>IF($R615="IO","Full IO",IF(LEFT($R615&amp;"",7)="IO then","Partial IO","Amortizing"))</f>
        <v/>
      </c>
      <c r="CL615" s="78">
        <f>IF($CK615="Full IO",1,0)</f>
        <v/>
      </c>
      <c r="CM615" s="78">
        <f>IF($CK615="Partial IO",1,0)</f>
        <v/>
      </c>
      <c r="CN615" s="76">
        <f>IF(LEFT($F615&amp;"",10)="SPLIT_LOAN","Pari Passu Split","Standalone")</f>
        <v/>
      </c>
      <c r="CO615" s="78">
        <f>IF($CN615="Pari Passu Split",1,0)</f>
        <v/>
      </c>
      <c r="CP615" s="77">
        <f>IF(ISNUMBER($T615),YEAR($T615),"")</f>
        <v/>
      </c>
      <c r="CQ615" s="79">
        <f>IF(ISNUMBER($V615),$V615,IF(ISNUMBER($U615),$U615,""))</f>
        <v/>
      </c>
      <c r="CR615" s="77">
        <f>IF(ISNUMBER($CQ615),YEAR($CQ615),"")</f>
        <v/>
      </c>
      <c r="CS615" s="78">
        <f>IF(ISNUMBER($M615),MAX(0,$M615),IF(TRIM($M615&amp;"")="matured",0,""))</f>
        <v/>
      </c>
      <c r="CT615" s="78">
        <f>IF(AND(ISNUMBER($CS615),N($CS615)&lt;=mMatWindow),1,0)</f>
        <v/>
      </c>
      <c r="CU615" s="80">
        <f>IF(ISNUMBER($J615),$J615/100,"")</f>
        <v/>
      </c>
      <c r="CV615" s="81">
        <f>IF(ISNUMBER($AQ615),$AQ615,"")</f>
        <v/>
      </c>
      <c r="CW615" s="81">
        <f>IF(ISNUMBER($AR615),$AR615,"")</f>
        <v/>
      </c>
      <c r="CX615" s="82">
        <f>IF(ISNUMBER($AS615),$AS615/100,"")</f>
        <v/>
      </c>
      <c r="CY615" s="82">
        <f>IF(ISNUMBER($AT615),$AT615/100,"")</f>
        <v/>
      </c>
      <c r="CZ615" s="82">
        <f>IF(ISNUMBER($AU615),$AU615/100,"")</f>
        <v/>
      </c>
      <c r="DA615" s="82">
        <f>IF(ISNUMBER($AV615),$AV615/100,"")</f>
        <v/>
      </c>
      <c r="DB615" s="82">
        <f>IF(ISNUMBER($AW615),$AW615/100,"")</f>
        <v/>
      </c>
      <c r="DC615" s="82">
        <f>IF(ISNUMBER($AX615),$AX615/100,"")</f>
        <v/>
      </c>
      <c r="DD615" s="77">
        <f>IFERROR(VALUE(LEFT(TRIM($AO615&amp;""),4)),"")</f>
        <v/>
      </c>
      <c r="DE615" s="78">
        <f>IF(AND($BY615=1,$BX615=1,OR(fDeal="All Deals",$BU615=fDeal),OR(fEntity="All Entities",$BV615=fEntity),OR(fPType="All Property Types",$BZ615=fPType),OR(fDefeased="Include",$CJ615=0)),1,0)</f>
        <v/>
      </c>
      <c r="DF615" s="83">
        <f>$DE615*N($I615)</f>
        <v/>
      </c>
      <c r="DG615" s="78">
        <f>IF($DE615=1,IF(COUNTIFS($F$8:$F615,$F615,$DE$8:$DE615,1)=1,1,0),0)</f>
        <v/>
      </c>
      <c r="DH615" s="83">
        <f>IF($DG615=1,SUMIFS($DF$8:$DF$1600,$F$8:$F$1600,$F615),0)</f>
        <v/>
      </c>
      <c r="DI615" s="78">
        <f>IF($DG615=1,COUNTIFS($F$8:$F$1600,$F615,$DE$8:$DE$1600,1),0)</f>
        <v/>
      </c>
      <c r="DJ615" s="84">
        <f>IF($DG615=1,$DH615+(100000-ROW())/mTieBreak,0)</f>
        <v/>
      </c>
    </row>
    <row r="616">
      <c r="B616" s="68" t="n">
        <v>29</v>
      </c>
      <c r="C616" s="69" t="inlineStr">
        <is>
          <t>UBS18C13</t>
        </is>
      </c>
      <c r="D616" s="69" t="inlineStr">
        <is>
          <t>29.000</t>
        </is>
      </c>
      <c r="E616" s="69" t="inlineStr">
        <is>
          <t>Laguna Village</t>
        </is>
      </c>
      <c r="F616" s="69" t="inlineStr">
        <is>
          <t>LNUBS18C13-29.000</t>
        </is>
      </c>
      <c r="G616" s="70" t="n"/>
      <c r="H616" s="71" t="n">
        <v>9600000</v>
      </c>
      <c r="I616" s="71" t="n">
        <v>8811080.520000001</v>
      </c>
      <c r="J616" s="72" t="n">
        <v>4.69</v>
      </c>
      <c r="K616" s="69" t="inlineStr">
        <is>
          <t>Fixed rate</t>
        </is>
      </c>
      <c r="L616" s="68" t="n">
        <v>120</v>
      </c>
      <c r="M616" s="68" t="n">
        <v>24</v>
      </c>
      <c r="N616" s="68" t="n">
        <v>396</v>
      </c>
      <c r="O616" s="68" t="n">
        <v>36</v>
      </c>
      <c r="P616" s="68" t="n">
        <v>0</v>
      </c>
      <c r="Q616" s="68" t="n">
        <v>96</v>
      </c>
      <c r="R616" s="69" t="inlineStr">
        <is>
          <t>IO then Amort</t>
        </is>
      </c>
      <c r="S616" s="69" t="inlineStr">
        <is>
          <t>No</t>
        </is>
      </c>
      <c r="T616" s="73" t="n">
        <v>43344</v>
      </c>
      <c r="U616" s="73" t="n">
        <v>47002</v>
      </c>
      <c r="V616" s="73" t="n"/>
      <c r="W616" s="69" t="n"/>
      <c r="X616" s="69" t="inlineStr">
        <is>
          <t>Current</t>
        </is>
      </c>
      <c r="Y616" s="68" t="n"/>
      <c r="Z616" s="69" t="inlineStr">
        <is>
          <t>Defeasance Not Allowable</t>
        </is>
      </c>
      <c r="AA616" s="69" t="inlineStr">
        <is>
          <t>Previously</t>
        </is>
      </c>
      <c r="AB616" s="69" t="inlineStr">
        <is>
          <t>Never special serv</t>
        </is>
      </c>
      <c r="AC616" s="73" t="n"/>
      <c r="AD616" s="69" t="n"/>
      <c r="AE616" s="69" t="n"/>
      <c r="AF616" s="69" t="inlineStr">
        <is>
          <t>AZ</t>
        </is>
      </c>
      <c r="AG616" s="69" t="inlineStr">
        <is>
          <t>Chandler</t>
        </is>
      </c>
      <c r="AH616" s="69" t="inlineStr">
        <is>
          <t>Phoenix-Mesa-Chandler, AZ</t>
        </is>
      </c>
      <c r="AI616" s="69" t="inlineStr">
        <is>
          <t>West / Mountain</t>
        </is>
      </c>
      <c r="AJ616" s="69" t="inlineStr">
        <is>
          <t>RT</t>
        </is>
      </c>
      <c r="AK616" s="69" t="inlineStr">
        <is>
          <t>Anchored</t>
        </is>
      </c>
      <c r="AL616" s="68" t="n">
        <v>1</v>
      </c>
      <c r="AM616" s="68" t="n"/>
      <c r="AN616" s="68" t="n">
        <v>102036</v>
      </c>
      <c r="AO616" s="69" t="inlineStr">
        <is>
          <t>1988</t>
        </is>
      </c>
      <c r="AP616" s="70" t="n">
        <v>1988</v>
      </c>
      <c r="AQ616" s="74" t="n">
        <v>2</v>
      </c>
      <c r="AR616" s="74" t="n">
        <v>1.79</v>
      </c>
      <c r="AS616" s="74" t="n">
        <v>65.3</v>
      </c>
      <c r="AT616" s="74" t="n">
        <v>59.94</v>
      </c>
      <c r="AU616" s="74" t="n">
        <v>57.4</v>
      </c>
      <c r="AV616" s="74" t="n">
        <v>12.443926667</v>
      </c>
      <c r="AW616" s="74" t="n">
        <v>12.15537422</v>
      </c>
      <c r="AX616" s="75" t="n">
        <v>94</v>
      </c>
      <c r="AY616" s="71" t="n">
        <v>14700000</v>
      </c>
      <c r="AZ616" s="71" t="n">
        <v>14700000</v>
      </c>
      <c r="BA616" s="71" t="n">
        <v>1194616.96</v>
      </c>
      <c r="BB616" s="71" t="n">
        <v>1071019.81</v>
      </c>
      <c r="BC616" s="69" t="inlineStr">
        <is>
          <t>Acquisition</t>
        </is>
      </c>
      <c r="BD616" s="69" t="inlineStr">
        <is>
          <t>N</t>
        </is>
      </c>
      <c r="BE616" s="71" t="n"/>
      <c r="BF616" s="71" t="n"/>
      <c r="BG616" s="71" t="n"/>
      <c r="BH616" s="71" t="n">
        <v>0</v>
      </c>
      <c r="BI616" s="71" t="n">
        <v>0</v>
      </c>
      <c r="BJ616" s="69" t="inlineStr">
        <is>
          <t>N</t>
        </is>
      </c>
      <c r="BK616" s="69" t="inlineStr">
        <is>
          <t>Christ's Church</t>
        </is>
      </c>
      <c r="BL616" s="75" t="n">
        <v>36.01</v>
      </c>
      <c r="BM616" s="73" t="n">
        <v>47269</v>
      </c>
      <c r="BN616" s="69" t="inlineStr">
        <is>
          <t>Tayseer Odeh</t>
        </is>
      </c>
      <c r="BO616" s="69" t="n"/>
      <c r="BP616" s="69" t="inlineStr">
        <is>
          <t>Midland Loan Services</t>
        </is>
      </c>
      <c r="BQ616" s="69" t="inlineStr">
        <is>
          <t>Midland Loan Services</t>
        </is>
      </c>
      <c r="BR616" s="69" t="n"/>
      <c r="BS616" s="73" t="n">
        <v>46276</v>
      </c>
      <c r="BU616" s="76">
        <f>IF($C616="","",IFERROR(INDEX(dmName,MATCH($C616,dmID,0)),"Unmapped"))</f>
        <v/>
      </c>
      <c r="BV616" s="76">
        <f>IF($C616="","",IFERROR(INDEX(dmEntity,MATCH($C616,dmID,0)),"Unmapped"))</f>
        <v/>
      </c>
      <c r="BW616" s="77">
        <f>IF($C616="","",IFERROR(INDEX(dmVintage,MATCH($C616,dmID,0)),""))</f>
        <v/>
      </c>
      <c r="BX616" s="78">
        <f>IFERROR(INDEX(dmInclude,MATCH($C616,dmID,0)),0)</f>
        <v/>
      </c>
      <c r="BY616" s="78">
        <f>IF(N($I616)&gt;0,1,0)</f>
        <v/>
      </c>
      <c r="BZ616" s="76">
        <f>IF($AJ616="","Other / Leased Fee",IFERROR(INDEX(mapPTGroup,MATCH(LEFT(TRIM($AJ616),2),mapPTCode,0)),"Other / Leased Fee"))</f>
        <v/>
      </c>
      <c r="CA616" s="76">
        <f>IF(TRIM($AF616&amp;"")="","NR",LEFT(TRIM($AF616),2))</f>
        <v/>
      </c>
      <c r="CB616" s="76">
        <f>IFERROR(LOOKUP(2,1/(LEFT(TRIM($AI616&amp;""),LEN(mapRegion))=mapRegion),mapRegion),"Not Reported")</f>
        <v/>
      </c>
      <c r="CC616" s="76">
        <f>IF($BY616=0,"",IF(TRIM($W616&amp;"")="REO","REO",IF(TRIM($W616&amp;"")="FC","Foreclosure",IF(TRIM($W616&amp;"")="90+","90+ Days Delinquent",IF(TRIM($W616&amp;"")="60","60 Days Delinquent",IF(TRIM($W616&amp;"")="30","30 Days Delinquent",IF($X616="Non-Performing Matured Balloon","Non-Performing Matured Balloon",IF(OR($X616="Late Payment But Less Than 30 Days Delinquent",LEFT($X616&amp;"",20)="Payment Not Received"),"Late / In Grace (&lt;30 Days)",IF($X616="Performing Matured Balloon","Performing Matured Balloon","Current")))))))))</f>
        <v/>
      </c>
      <c r="CD616" s="78">
        <f>IF(OR($CC616="REO",$CC616="Foreclosure",$CC616="90+ Days Delinquent",$CC616="60 Days Delinquent",$CC616="30 Days Delinquent",$CC616="Non-Performing Matured Balloon"),1,0)</f>
        <v/>
      </c>
      <c r="CE616" s="76">
        <f>IF($AB616="Currently special serv","Currently Specially Serviced",IF($AB616="Returned to master serv","Previously Specially Serviced","Never Specially Serviced"))</f>
        <v/>
      </c>
      <c r="CF616" s="78">
        <f>IF($CE616="Currently Specially Serviced",1,0)</f>
        <v/>
      </c>
      <c r="CG616" s="76">
        <f>IF($AA616="Yes","Currently on Watchlist",IF($AA616="Previously","Previously on Watchlist","Never on Watchlist"))</f>
        <v/>
      </c>
      <c r="CH616" s="78">
        <f>IF($CG616="Currently on Watchlist",1,0)</f>
        <v/>
      </c>
      <c r="CI616" s="76">
        <f>IF($Z616="Full Defeasance","Fully Defeased",IF($Z616="Portion Of Loan Previously Defeased","Partially Defeased",IF($Z616="Defeasance Not Allowable","Not Defeased (Not Permitted)","Not Defeased")))</f>
        <v/>
      </c>
      <c r="CJ616" s="78">
        <f>IF($CI616="Fully Defeased",1,0)</f>
        <v/>
      </c>
      <c r="CK616" s="76">
        <f>IF($R616="IO","Full IO",IF(LEFT($R616&amp;"",7)="IO then","Partial IO","Amortizing"))</f>
        <v/>
      </c>
      <c r="CL616" s="78">
        <f>IF($CK616="Full IO",1,0)</f>
        <v/>
      </c>
      <c r="CM616" s="78">
        <f>IF($CK616="Partial IO",1,0)</f>
        <v/>
      </c>
      <c r="CN616" s="76">
        <f>IF(LEFT($F616&amp;"",10)="SPLIT_LOAN","Pari Passu Split","Standalone")</f>
        <v/>
      </c>
      <c r="CO616" s="78">
        <f>IF($CN616="Pari Passu Split",1,0)</f>
        <v/>
      </c>
      <c r="CP616" s="77">
        <f>IF(ISNUMBER($T616),YEAR($T616),"")</f>
        <v/>
      </c>
      <c r="CQ616" s="79">
        <f>IF(ISNUMBER($V616),$V616,IF(ISNUMBER($U616),$U616,""))</f>
        <v/>
      </c>
      <c r="CR616" s="77">
        <f>IF(ISNUMBER($CQ616),YEAR($CQ616),"")</f>
        <v/>
      </c>
      <c r="CS616" s="78">
        <f>IF(ISNUMBER($M616),MAX(0,$M616),IF(TRIM($M616&amp;"")="matured",0,""))</f>
        <v/>
      </c>
      <c r="CT616" s="78">
        <f>IF(AND(ISNUMBER($CS616),N($CS616)&lt;=mMatWindow),1,0)</f>
        <v/>
      </c>
      <c r="CU616" s="80">
        <f>IF(ISNUMBER($J616),$J616/100,"")</f>
        <v/>
      </c>
      <c r="CV616" s="81">
        <f>IF(ISNUMBER($AQ616),$AQ616,"")</f>
        <v/>
      </c>
      <c r="CW616" s="81">
        <f>IF(ISNUMBER($AR616),$AR616,"")</f>
        <v/>
      </c>
      <c r="CX616" s="82">
        <f>IF(ISNUMBER($AS616),$AS616/100,"")</f>
        <v/>
      </c>
      <c r="CY616" s="82">
        <f>IF(ISNUMBER($AT616),$AT616/100,"")</f>
        <v/>
      </c>
      <c r="CZ616" s="82">
        <f>IF(ISNUMBER($AU616),$AU616/100,"")</f>
        <v/>
      </c>
      <c r="DA616" s="82">
        <f>IF(ISNUMBER($AV616),$AV616/100,"")</f>
        <v/>
      </c>
      <c r="DB616" s="82">
        <f>IF(ISNUMBER($AW616),$AW616/100,"")</f>
        <v/>
      </c>
      <c r="DC616" s="82">
        <f>IF(ISNUMBER($AX616),$AX616/100,"")</f>
        <v/>
      </c>
      <c r="DD616" s="77">
        <f>IFERROR(VALUE(LEFT(TRIM($AO616&amp;""),4)),"")</f>
        <v/>
      </c>
      <c r="DE616" s="78">
        <f>IF(AND($BY616=1,$BX616=1,OR(fDeal="All Deals",$BU616=fDeal),OR(fEntity="All Entities",$BV616=fEntity),OR(fPType="All Property Types",$BZ616=fPType),OR(fDefeased="Include",$CJ616=0)),1,0)</f>
        <v/>
      </c>
      <c r="DF616" s="83">
        <f>$DE616*N($I616)</f>
        <v/>
      </c>
      <c r="DG616" s="78">
        <f>IF($DE616=1,IF(COUNTIFS($F$8:$F616,$F616,$DE$8:$DE616,1)=1,1,0),0)</f>
        <v/>
      </c>
      <c r="DH616" s="83">
        <f>IF($DG616=1,SUMIFS($DF$8:$DF$1600,$F$8:$F$1600,$F616),0)</f>
        <v/>
      </c>
      <c r="DI616" s="78">
        <f>IF($DG616=1,COUNTIFS($F$8:$F$1600,$F616,$DE$8:$DE$1600,1),0)</f>
        <v/>
      </c>
      <c r="DJ616" s="84">
        <f>IF($DG616=1,$DH616+(100000-ROW())/mTieBreak,0)</f>
        <v/>
      </c>
    </row>
    <row r="617">
      <c r="B617" s="68" t="n">
        <v>30</v>
      </c>
      <c r="C617" s="69" t="inlineStr">
        <is>
          <t>UBS18C13</t>
        </is>
      </c>
      <c r="D617" s="69" t="inlineStr">
        <is>
          <t>30.000</t>
        </is>
      </c>
      <c r="E617" s="69" t="inlineStr">
        <is>
          <t>Home 2 Suites Lake City</t>
        </is>
      </c>
      <c r="F617" s="69" t="inlineStr">
        <is>
          <t>LNUBS18C13-30.000</t>
        </is>
      </c>
      <c r="G617" s="70" t="n"/>
      <c r="H617" s="71" t="n">
        <v>8750000</v>
      </c>
      <c r="I617" s="71" t="n">
        <v>7570450.190003752</v>
      </c>
      <c r="J617" s="72" t="n">
        <v>5.07</v>
      </c>
      <c r="K617" s="69" t="inlineStr">
        <is>
          <t>Fixed rate</t>
        </is>
      </c>
      <c r="L617" s="68" t="n">
        <v>120</v>
      </c>
      <c r="M617" s="68" t="n">
        <v>23</v>
      </c>
      <c r="N617" s="68" t="n">
        <v>360</v>
      </c>
      <c r="O617" s="68" t="n"/>
      <c r="P617" s="68" t="n"/>
      <c r="Q617" s="68" t="n">
        <v>97</v>
      </c>
      <c r="R617" s="69" t="n"/>
      <c r="S617" s="69" t="inlineStr">
        <is>
          <t>No</t>
        </is>
      </c>
      <c r="T617" s="73" t="n">
        <v>43313</v>
      </c>
      <c r="U617" s="73" t="n">
        <v>46966</v>
      </c>
      <c r="V617" s="73" t="n"/>
      <c r="W617" s="69" t="n"/>
      <c r="X617" s="69" t="inlineStr">
        <is>
          <t>Current</t>
        </is>
      </c>
      <c r="Y617" s="68" t="n"/>
      <c r="Z617" s="69" t="inlineStr">
        <is>
          <t>No Defeasance Occurred</t>
        </is>
      </c>
      <c r="AA617" s="69" t="n"/>
      <c r="AB617" s="69" t="inlineStr">
        <is>
          <t>Never special serv</t>
        </is>
      </c>
      <c r="AC617" s="73" t="n"/>
      <c r="AD617" s="69" t="n"/>
      <c r="AE617" s="69" t="n"/>
      <c r="AF617" s="69" t="inlineStr">
        <is>
          <t>FL</t>
        </is>
      </c>
      <c r="AG617" s="69" t="inlineStr">
        <is>
          <t>Lake City</t>
        </is>
      </c>
      <c r="AH617" s="69" t="inlineStr">
        <is>
          <t>Lake City, FL</t>
        </is>
      </c>
      <c r="AI617" s="69" t="inlineStr">
        <is>
          <t>South / Atlantic</t>
        </is>
      </c>
      <c r="AJ617" s="69" t="inlineStr">
        <is>
          <t>HT</t>
        </is>
      </c>
      <c r="AK617" s="69" t="inlineStr">
        <is>
          <t>Extended Stay</t>
        </is>
      </c>
      <c r="AL617" s="68" t="n">
        <v>1</v>
      </c>
      <c r="AM617" s="68" t="n">
        <v>86</v>
      </c>
      <c r="AN617" s="68" t="n"/>
      <c r="AO617" s="69" t="inlineStr">
        <is>
          <t>2016</t>
        </is>
      </c>
      <c r="AP617" s="70" t="n">
        <v>2016</v>
      </c>
      <c r="AQ617" s="74" t="n">
        <v>2.65</v>
      </c>
      <c r="AR617" s="74" t="n">
        <v>2.04</v>
      </c>
      <c r="AS617" s="74" t="n">
        <v>59.8</v>
      </c>
      <c r="AT617" s="74" t="n">
        <v>51.85</v>
      </c>
      <c r="AU617" s="74" t="n">
        <v>49.4</v>
      </c>
      <c r="AV617" s="74" t="n">
        <v>17.235314629</v>
      </c>
      <c r="AW617" s="74" t="n">
        <v>15.34234254</v>
      </c>
      <c r="AX617" s="75" t="n">
        <v>88</v>
      </c>
      <c r="AY617" s="71" t="n">
        <v>14600000</v>
      </c>
      <c r="AZ617" s="71" t="n">
        <v>14600000</v>
      </c>
      <c r="BA617" s="71" t="n">
        <v>1508090.03</v>
      </c>
      <c r="BB617" s="71" t="n">
        <v>1161484.4</v>
      </c>
      <c r="BC617" s="69" t="inlineStr">
        <is>
          <t>Refinance</t>
        </is>
      </c>
      <c r="BD617" s="69" t="inlineStr">
        <is>
          <t>N</t>
        </is>
      </c>
      <c r="BE617" s="71" t="n"/>
      <c r="BF617" s="71" t="n"/>
      <c r="BG617" s="71" t="n"/>
      <c r="BH617" s="71" t="n">
        <v>0</v>
      </c>
      <c r="BI617" s="71" t="n">
        <v>0</v>
      </c>
      <c r="BJ617" s="69" t="inlineStr">
        <is>
          <t>N</t>
        </is>
      </c>
      <c r="BK617" s="69" t="n"/>
      <c r="BL617" s="75" t="n"/>
      <c r="BM617" s="73" t="n"/>
      <c r="BN617" s="69" t="inlineStr">
        <is>
          <t>Nilesh R. Patel; Pravin J. Patel</t>
        </is>
      </c>
      <c r="BO617" s="69" t="n"/>
      <c r="BP617" s="69" t="inlineStr">
        <is>
          <t>Midland Loan Services</t>
        </is>
      </c>
      <c r="BQ617" s="69" t="inlineStr">
        <is>
          <t>Midland Loan Services</t>
        </is>
      </c>
      <c r="BR617" s="69" t="n"/>
      <c r="BS617" s="73" t="n">
        <v>46276</v>
      </c>
      <c r="BU617" s="76">
        <f>IF($C617="","",IFERROR(INDEX(dmName,MATCH($C617,dmID,0)),"Unmapped"))</f>
        <v/>
      </c>
      <c r="BV617" s="76">
        <f>IF($C617="","",IFERROR(INDEX(dmEntity,MATCH($C617,dmID,0)),"Unmapped"))</f>
        <v/>
      </c>
      <c r="BW617" s="77">
        <f>IF($C617="","",IFERROR(INDEX(dmVintage,MATCH($C617,dmID,0)),""))</f>
        <v/>
      </c>
      <c r="BX617" s="78">
        <f>IFERROR(INDEX(dmInclude,MATCH($C617,dmID,0)),0)</f>
        <v/>
      </c>
      <c r="BY617" s="78">
        <f>IF(N($I617)&gt;0,1,0)</f>
        <v/>
      </c>
      <c r="BZ617" s="76">
        <f>IF($AJ617="","Other / Leased Fee",IFERROR(INDEX(mapPTGroup,MATCH(LEFT(TRIM($AJ617),2),mapPTCode,0)),"Other / Leased Fee"))</f>
        <v/>
      </c>
      <c r="CA617" s="76">
        <f>IF(TRIM($AF617&amp;"")="","NR",LEFT(TRIM($AF617),2))</f>
        <v/>
      </c>
      <c r="CB617" s="76">
        <f>IFERROR(LOOKUP(2,1/(LEFT(TRIM($AI617&amp;""),LEN(mapRegion))=mapRegion),mapRegion),"Not Reported")</f>
        <v/>
      </c>
      <c r="CC617" s="76">
        <f>IF($BY617=0,"",IF(TRIM($W617&amp;"")="REO","REO",IF(TRIM($W617&amp;"")="FC","Foreclosure",IF(TRIM($W617&amp;"")="90+","90+ Days Delinquent",IF(TRIM($W617&amp;"")="60","60 Days Delinquent",IF(TRIM($W617&amp;"")="30","30 Days Delinquent",IF($X617="Non-Performing Matured Balloon","Non-Performing Matured Balloon",IF(OR($X617="Late Payment But Less Than 30 Days Delinquent",LEFT($X617&amp;"",20)="Payment Not Received"),"Late / In Grace (&lt;30 Days)",IF($X617="Performing Matured Balloon","Performing Matured Balloon","Current")))))))))</f>
        <v/>
      </c>
      <c r="CD617" s="78">
        <f>IF(OR($CC617="REO",$CC617="Foreclosure",$CC617="90+ Days Delinquent",$CC617="60 Days Delinquent",$CC617="30 Days Delinquent",$CC617="Non-Performing Matured Balloon"),1,0)</f>
        <v/>
      </c>
      <c r="CE617" s="76">
        <f>IF($AB617="Currently special serv","Currently Specially Serviced",IF($AB617="Returned to master serv","Previously Specially Serviced","Never Specially Serviced"))</f>
        <v/>
      </c>
      <c r="CF617" s="78">
        <f>IF($CE617="Currently Specially Serviced",1,0)</f>
        <v/>
      </c>
      <c r="CG617" s="76">
        <f>IF($AA617="Yes","Currently on Watchlist",IF($AA617="Previously","Previously on Watchlist","Never on Watchlist"))</f>
        <v/>
      </c>
      <c r="CH617" s="78">
        <f>IF($CG617="Currently on Watchlist",1,0)</f>
        <v/>
      </c>
      <c r="CI617" s="76">
        <f>IF($Z617="Full Defeasance","Fully Defeased",IF($Z617="Portion Of Loan Previously Defeased","Partially Defeased",IF($Z617="Defeasance Not Allowable","Not Defeased (Not Permitted)","Not Defeased")))</f>
        <v/>
      </c>
      <c r="CJ617" s="78">
        <f>IF($CI617="Fully Defeased",1,0)</f>
        <v/>
      </c>
      <c r="CK617" s="76">
        <f>IF($R617="IO","Full IO",IF(LEFT($R617&amp;"",7)="IO then","Partial IO","Amortizing"))</f>
        <v/>
      </c>
      <c r="CL617" s="78">
        <f>IF($CK617="Full IO",1,0)</f>
        <v/>
      </c>
      <c r="CM617" s="78">
        <f>IF($CK617="Partial IO",1,0)</f>
        <v/>
      </c>
      <c r="CN617" s="76">
        <f>IF(LEFT($F617&amp;"",10)="SPLIT_LOAN","Pari Passu Split","Standalone")</f>
        <v/>
      </c>
      <c r="CO617" s="78">
        <f>IF($CN617="Pari Passu Split",1,0)</f>
        <v/>
      </c>
      <c r="CP617" s="77">
        <f>IF(ISNUMBER($T617),YEAR($T617),"")</f>
        <v/>
      </c>
      <c r="CQ617" s="79">
        <f>IF(ISNUMBER($V617),$V617,IF(ISNUMBER($U617),$U617,""))</f>
        <v/>
      </c>
      <c r="CR617" s="77">
        <f>IF(ISNUMBER($CQ617),YEAR($CQ617),"")</f>
        <v/>
      </c>
      <c r="CS617" s="78">
        <f>IF(ISNUMBER($M617),MAX(0,$M617),IF(TRIM($M617&amp;"")="matured",0,""))</f>
        <v/>
      </c>
      <c r="CT617" s="78">
        <f>IF(AND(ISNUMBER($CS617),N($CS617)&lt;=mMatWindow),1,0)</f>
        <v/>
      </c>
      <c r="CU617" s="80">
        <f>IF(ISNUMBER($J617),$J617/100,"")</f>
        <v/>
      </c>
      <c r="CV617" s="81">
        <f>IF(ISNUMBER($AQ617),$AQ617,"")</f>
        <v/>
      </c>
      <c r="CW617" s="81">
        <f>IF(ISNUMBER($AR617),$AR617,"")</f>
        <v/>
      </c>
      <c r="CX617" s="82">
        <f>IF(ISNUMBER($AS617),$AS617/100,"")</f>
        <v/>
      </c>
      <c r="CY617" s="82">
        <f>IF(ISNUMBER($AT617),$AT617/100,"")</f>
        <v/>
      </c>
      <c r="CZ617" s="82">
        <f>IF(ISNUMBER($AU617),$AU617/100,"")</f>
        <v/>
      </c>
      <c r="DA617" s="82">
        <f>IF(ISNUMBER($AV617),$AV617/100,"")</f>
        <v/>
      </c>
      <c r="DB617" s="82">
        <f>IF(ISNUMBER($AW617),$AW617/100,"")</f>
        <v/>
      </c>
      <c r="DC617" s="82">
        <f>IF(ISNUMBER($AX617),$AX617/100,"")</f>
        <v/>
      </c>
      <c r="DD617" s="77">
        <f>IFERROR(VALUE(LEFT(TRIM($AO617&amp;""),4)),"")</f>
        <v/>
      </c>
      <c r="DE617" s="78">
        <f>IF(AND($BY617=1,$BX617=1,OR(fDeal="All Deals",$BU617=fDeal),OR(fEntity="All Entities",$BV617=fEntity),OR(fPType="All Property Types",$BZ617=fPType),OR(fDefeased="Include",$CJ617=0)),1,0)</f>
        <v/>
      </c>
      <c r="DF617" s="83">
        <f>$DE617*N($I617)</f>
        <v/>
      </c>
      <c r="DG617" s="78">
        <f>IF($DE617=1,IF(COUNTIFS($F$8:$F617,$F617,$DE$8:$DE617,1)=1,1,0),0)</f>
        <v/>
      </c>
      <c r="DH617" s="83">
        <f>IF($DG617=1,SUMIFS($DF$8:$DF$1600,$F$8:$F$1600,$F617),0)</f>
        <v/>
      </c>
      <c r="DI617" s="78">
        <f>IF($DG617=1,COUNTIFS($F$8:$F$1600,$F617,$DE$8:$DE$1600,1),0)</f>
        <v/>
      </c>
      <c r="DJ617" s="84">
        <f>IF($DG617=1,$DH617+(100000-ROW())/mTieBreak,0)</f>
        <v/>
      </c>
    </row>
    <row r="618">
      <c r="B618" s="68" t="n">
        <v>31</v>
      </c>
      <c r="C618" s="69" t="inlineStr">
        <is>
          <t>UBS18C13</t>
        </is>
      </c>
      <c r="D618" s="69" t="inlineStr">
        <is>
          <t>31.000</t>
        </is>
      </c>
      <c r="E618" s="69" t="inlineStr">
        <is>
          <t>Trinity Park</t>
        </is>
      </c>
      <c r="F618" s="69" t="inlineStr">
        <is>
          <t>LNUBS18C13-31.000</t>
        </is>
      </c>
      <c r="G618" s="70" t="n"/>
      <c r="H618" s="71" t="n">
        <v>8700000</v>
      </c>
      <c r="I618" s="71" t="n">
        <v>8049613.6500012</v>
      </c>
      <c r="J618" s="72" t="n">
        <v>5.22</v>
      </c>
      <c r="K618" s="69" t="inlineStr">
        <is>
          <t>Fixed rate</t>
        </is>
      </c>
      <c r="L618" s="68" t="n">
        <v>120</v>
      </c>
      <c r="M618" s="68" t="n">
        <v>24</v>
      </c>
      <c r="N618" s="68" t="n">
        <v>396</v>
      </c>
      <c r="O618" s="68" t="n">
        <v>36</v>
      </c>
      <c r="P618" s="68" t="n">
        <v>0</v>
      </c>
      <c r="Q618" s="68" t="n">
        <v>96</v>
      </c>
      <c r="R618" s="69" t="inlineStr">
        <is>
          <t>IO then Amort</t>
        </is>
      </c>
      <c r="S618" s="69" t="inlineStr">
        <is>
          <t>No</t>
        </is>
      </c>
      <c r="T618" s="73" t="n">
        <v>43344</v>
      </c>
      <c r="U618" s="73" t="n">
        <v>46997</v>
      </c>
      <c r="V618" s="73" t="n"/>
      <c r="W618" s="69" t="n"/>
      <c r="X618" s="69" t="inlineStr">
        <is>
          <t>Current</t>
        </is>
      </c>
      <c r="Y618" s="68" t="n"/>
      <c r="Z618" s="69" t="inlineStr">
        <is>
          <t>No Defeasance Occurred</t>
        </is>
      </c>
      <c r="AA618" s="69" t="inlineStr">
        <is>
          <t>Previously</t>
        </is>
      </c>
      <c r="AB618" s="69" t="inlineStr">
        <is>
          <t>Never special serv</t>
        </is>
      </c>
      <c r="AC618" s="73" t="n"/>
      <c r="AD618" s="69" t="n"/>
      <c r="AE618" s="69" t="n"/>
      <c r="AF618" s="69" t="inlineStr">
        <is>
          <t>TX</t>
        </is>
      </c>
      <c r="AG618" s="69" t="inlineStr">
        <is>
          <t>Southlake</t>
        </is>
      </c>
      <c r="AH618" s="69" t="inlineStr">
        <is>
          <t>Dallas-Fort Worth-Arlington, TX</t>
        </is>
      </c>
      <c r="AI618" s="69" t="inlineStr">
        <is>
          <t>South / Central West</t>
        </is>
      </c>
      <c r="AJ618" s="69" t="inlineStr">
        <is>
          <t>MX</t>
        </is>
      </c>
      <c r="AK618" s="69" t="inlineStr">
        <is>
          <t>Industrial/Office</t>
        </is>
      </c>
      <c r="AL618" s="68" t="n">
        <v>1</v>
      </c>
      <c r="AM618" s="68" t="n"/>
      <c r="AN618" s="68" t="n">
        <v>50983</v>
      </c>
      <c r="AO618" s="69" t="inlineStr">
        <is>
          <t>2015</t>
        </is>
      </c>
      <c r="AP618" s="70" t="n">
        <v>2015</v>
      </c>
      <c r="AQ618" s="74" t="n">
        <v>1.4</v>
      </c>
      <c r="AR618" s="74" t="n">
        <v>1.44</v>
      </c>
      <c r="AS618" s="74" t="n">
        <v>68</v>
      </c>
      <c r="AT618" s="74" t="n">
        <v>62.89</v>
      </c>
      <c r="AU618" s="74" t="n">
        <v>60.5</v>
      </c>
      <c r="AV618" s="74" t="n">
        <v>9.240934483</v>
      </c>
      <c r="AW618" s="74" t="n">
        <v>9.477395974</v>
      </c>
      <c r="AX618" s="75" t="n">
        <v>96</v>
      </c>
      <c r="AY618" s="71" t="n">
        <v>12800000</v>
      </c>
      <c r="AZ618" s="71" t="n">
        <v>12800000</v>
      </c>
      <c r="BA618" s="71" t="n">
        <v>803961.3</v>
      </c>
      <c r="BB618" s="71" t="n">
        <v>826181.5600000001</v>
      </c>
      <c r="BC618" s="69" t="inlineStr">
        <is>
          <t>Refinance</t>
        </is>
      </c>
      <c r="BD618" s="69" t="inlineStr">
        <is>
          <t>N</t>
        </is>
      </c>
      <c r="BE618" s="71" t="n"/>
      <c r="BF618" s="71" t="n"/>
      <c r="BG618" s="71" t="n"/>
      <c r="BH618" s="71" t="n">
        <v>0</v>
      </c>
      <c r="BI618" s="71" t="n">
        <v>0</v>
      </c>
      <c r="BJ618" s="69" t="inlineStr">
        <is>
          <t>N</t>
        </is>
      </c>
      <c r="BK618" s="69" t="inlineStr">
        <is>
          <t>Trinity Private Equity</t>
        </is>
      </c>
      <c r="BL618" s="75" t="n">
        <v>17.85</v>
      </c>
      <c r="BM618" s="73" t="n">
        <v>47787</v>
      </c>
      <c r="BN618" s="69" t="inlineStr">
        <is>
          <t>Sanjay Chandra</t>
        </is>
      </c>
      <c r="BO618" s="69" t="n"/>
      <c r="BP618" s="69" t="inlineStr">
        <is>
          <t>Midland Loan Services</t>
        </is>
      </c>
      <c r="BQ618" s="69" t="inlineStr">
        <is>
          <t>Midland Loan Services</t>
        </is>
      </c>
      <c r="BR618" s="69" t="n"/>
      <c r="BS618" s="73" t="n">
        <v>46276</v>
      </c>
      <c r="BU618" s="76">
        <f>IF($C618="","",IFERROR(INDEX(dmName,MATCH($C618,dmID,0)),"Unmapped"))</f>
        <v/>
      </c>
      <c r="BV618" s="76">
        <f>IF($C618="","",IFERROR(INDEX(dmEntity,MATCH($C618,dmID,0)),"Unmapped"))</f>
        <v/>
      </c>
      <c r="BW618" s="77">
        <f>IF($C618="","",IFERROR(INDEX(dmVintage,MATCH($C618,dmID,0)),""))</f>
        <v/>
      </c>
      <c r="BX618" s="78">
        <f>IFERROR(INDEX(dmInclude,MATCH($C618,dmID,0)),0)</f>
        <v/>
      </c>
      <c r="BY618" s="78">
        <f>IF(N($I618)&gt;0,1,0)</f>
        <v/>
      </c>
      <c r="BZ618" s="76">
        <f>IF($AJ618="","Other / Leased Fee",IFERROR(INDEX(mapPTGroup,MATCH(LEFT(TRIM($AJ618),2),mapPTCode,0)),"Other / Leased Fee"))</f>
        <v/>
      </c>
      <c r="CA618" s="76">
        <f>IF(TRIM($AF618&amp;"")="","NR",LEFT(TRIM($AF618),2))</f>
        <v/>
      </c>
      <c r="CB618" s="76">
        <f>IFERROR(LOOKUP(2,1/(LEFT(TRIM($AI618&amp;""),LEN(mapRegion))=mapRegion),mapRegion),"Not Reported")</f>
        <v/>
      </c>
      <c r="CC618" s="76">
        <f>IF($BY618=0,"",IF(TRIM($W618&amp;"")="REO","REO",IF(TRIM($W618&amp;"")="FC","Foreclosure",IF(TRIM($W618&amp;"")="90+","90+ Days Delinquent",IF(TRIM($W618&amp;"")="60","60 Days Delinquent",IF(TRIM($W618&amp;"")="30","30 Days Delinquent",IF($X618="Non-Performing Matured Balloon","Non-Performing Matured Balloon",IF(OR($X618="Late Payment But Less Than 30 Days Delinquent",LEFT($X618&amp;"",20)="Payment Not Received"),"Late / In Grace (&lt;30 Days)",IF($X618="Performing Matured Balloon","Performing Matured Balloon","Current")))))))))</f>
        <v/>
      </c>
      <c r="CD618" s="78">
        <f>IF(OR($CC618="REO",$CC618="Foreclosure",$CC618="90+ Days Delinquent",$CC618="60 Days Delinquent",$CC618="30 Days Delinquent",$CC618="Non-Performing Matured Balloon"),1,0)</f>
        <v/>
      </c>
      <c r="CE618" s="76">
        <f>IF($AB618="Currently special serv","Currently Specially Serviced",IF($AB618="Returned to master serv","Previously Specially Serviced","Never Specially Serviced"))</f>
        <v/>
      </c>
      <c r="CF618" s="78">
        <f>IF($CE618="Currently Specially Serviced",1,0)</f>
        <v/>
      </c>
      <c r="CG618" s="76">
        <f>IF($AA618="Yes","Currently on Watchlist",IF($AA618="Previously","Previously on Watchlist","Never on Watchlist"))</f>
        <v/>
      </c>
      <c r="CH618" s="78">
        <f>IF($CG618="Currently on Watchlist",1,0)</f>
        <v/>
      </c>
      <c r="CI618" s="76">
        <f>IF($Z618="Full Defeasance","Fully Defeased",IF($Z618="Portion Of Loan Previously Defeased","Partially Defeased",IF($Z618="Defeasance Not Allowable","Not Defeased (Not Permitted)","Not Defeased")))</f>
        <v/>
      </c>
      <c r="CJ618" s="78">
        <f>IF($CI618="Fully Defeased",1,0)</f>
        <v/>
      </c>
      <c r="CK618" s="76">
        <f>IF($R618="IO","Full IO",IF(LEFT($R618&amp;"",7)="IO then","Partial IO","Amortizing"))</f>
        <v/>
      </c>
      <c r="CL618" s="78">
        <f>IF($CK618="Full IO",1,0)</f>
        <v/>
      </c>
      <c r="CM618" s="78">
        <f>IF($CK618="Partial IO",1,0)</f>
        <v/>
      </c>
      <c r="CN618" s="76">
        <f>IF(LEFT($F618&amp;"",10)="SPLIT_LOAN","Pari Passu Split","Standalone")</f>
        <v/>
      </c>
      <c r="CO618" s="78">
        <f>IF($CN618="Pari Passu Split",1,0)</f>
        <v/>
      </c>
      <c r="CP618" s="77">
        <f>IF(ISNUMBER($T618),YEAR($T618),"")</f>
        <v/>
      </c>
      <c r="CQ618" s="79">
        <f>IF(ISNUMBER($V618),$V618,IF(ISNUMBER($U618),$U618,""))</f>
        <v/>
      </c>
      <c r="CR618" s="77">
        <f>IF(ISNUMBER($CQ618),YEAR($CQ618),"")</f>
        <v/>
      </c>
      <c r="CS618" s="78">
        <f>IF(ISNUMBER($M618),MAX(0,$M618),IF(TRIM($M618&amp;"")="matured",0,""))</f>
        <v/>
      </c>
      <c r="CT618" s="78">
        <f>IF(AND(ISNUMBER($CS618),N($CS618)&lt;=mMatWindow),1,0)</f>
        <v/>
      </c>
      <c r="CU618" s="80">
        <f>IF(ISNUMBER($J618),$J618/100,"")</f>
        <v/>
      </c>
      <c r="CV618" s="81">
        <f>IF(ISNUMBER($AQ618),$AQ618,"")</f>
        <v/>
      </c>
      <c r="CW618" s="81">
        <f>IF(ISNUMBER($AR618),$AR618,"")</f>
        <v/>
      </c>
      <c r="CX618" s="82">
        <f>IF(ISNUMBER($AS618),$AS618/100,"")</f>
        <v/>
      </c>
      <c r="CY618" s="82">
        <f>IF(ISNUMBER($AT618),$AT618/100,"")</f>
        <v/>
      </c>
      <c r="CZ618" s="82">
        <f>IF(ISNUMBER($AU618),$AU618/100,"")</f>
        <v/>
      </c>
      <c r="DA618" s="82">
        <f>IF(ISNUMBER($AV618),$AV618/100,"")</f>
        <v/>
      </c>
      <c r="DB618" s="82">
        <f>IF(ISNUMBER($AW618),$AW618/100,"")</f>
        <v/>
      </c>
      <c r="DC618" s="82">
        <f>IF(ISNUMBER($AX618),$AX618/100,"")</f>
        <v/>
      </c>
      <c r="DD618" s="77">
        <f>IFERROR(VALUE(LEFT(TRIM($AO618&amp;""),4)),"")</f>
        <v/>
      </c>
      <c r="DE618" s="78">
        <f>IF(AND($BY618=1,$BX618=1,OR(fDeal="All Deals",$BU618=fDeal),OR(fEntity="All Entities",$BV618=fEntity),OR(fPType="All Property Types",$BZ618=fPType),OR(fDefeased="Include",$CJ618=0)),1,0)</f>
        <v/>
      </c>
      <c r="DF618" s="83">
        <f>$DE618*N($I618)</f>
        <v/>
      </c>
      <c r="DG618" s="78">
        <f>IF($DE618=1,IF(COUNTIFS($F$8:$F618,$F618,$DE$8:$DE618,1)=1,1,0),0)</f>
        <v/>
      </c>
      <c r="DH618" s="83">
        <f>IF($DG618=1,SUMIFS($DF$8:$DF$1600,$F$8:$F$1600,$F618),0)</f>
        <v/>
      </c>
      <c r="DI618" s="78">
        <f>IF($DG618=1,COUNTIFS($F$8:$F$1600,$F618,$DE$8:$DE$1600,1),0)</f>
        <v/>
      </c>
      <c r="DJ618" s="84">
        <f>IF($DG618=1,$DH618+(100000-ROW())/mTieBreak,0)</f>
        <v/>
      </c>
    </row>
    <row r="619">
      <c r="B619" s="68" t="n">
        <v>32</v>
      </c>
      <c r="C619" s="69" t="inlineStr">
        <is>
          <t>UBS18C13</t>
        </is>
      </c>
      <c r="D619" s="69" t="inlineStr">
        <is>
          <t>32.000</t>
        </is>
      </c>
      <c r="E619" s="69" t="inlineStr">
        <is>
          <t>Cabrillo Plaza</t>
        </is>
      </c>
      <c r="F619" s="69" t="inlineStr">
        <is>
          <t>LNUBS18C13-32.000</t>
        </is>
      </c>
      <c r="G619" s="70" t="n"/>
      <c r="H619" s="71" t="n">
        <v>8650000</v>
      </c>
      <c r="I619" s="71" t="n">
        <v>8650000</v>
      </c>
      <c r="J619" s="72" t="n">
        <v>4.52</v>
      </c>
      <c r="K619" s="69" t="inlineStr">
        <is>
          <t>Fixed rate</t>
        </is>
      </c>
      <c r="L619" s="68" t="n">
        <v>120</v>
      </c>
      <c r="M619" s="68" t="n">
        <v>25</v>
      </c>
      <c r="N619" s="68" t="n">
        <v>120</v>
      </c>
      <c r="O619" s="68" t="n">
        <v>120</v>
      </c>
      <c r="P619" s="68" t="n">
        <v>25</v>
      </c>
      <c r="Q619" s="68" t="n">
        <v>95</v>
      </c>
      <c r="R619" s="69" t="inlineStr">
        <is>
          <t>IO</t>
        </is>
      </c>
      <c r="S619" s="69" t="inlineStr">
        <is>
          <t>Yes</t>
        </is>
      </c>
      <c r="T619" s="73" t="n">
        <v>43374</v>
      </c>
      <c r="U619" s="73" t="n">
        <v>47027</v>
      </c>
      <c r="V619" s="73" t="n"/>
      <c r="W619" s="69" t="n"/>
      <c r="X619" s="69" t="inlineStr">
        <is>
          <t>Current</t>
        </is>
      </c>
      <c r="Y619" s="68" t="n"/>
      <c r="Z619" s="69" t="inlineStr">
        <is>
          <t>Defeasance Not Allowable</t>
        </is>
      </c>
      <c r="AA619" s="69" t="n"/>
      <c r="AB619" s="69" t="inlineStr">
        <is>
          <t>Never special serv</t>
        </is>
      </c>
      <c r="AC619" s="73" t="n"/>
      <c r="AD619" s="69" t="n"/>
      <c r="AE619" s="69" t="n"/>
      <c r="AF619" s="69" t="inlineStr">
        <is>
          <t>CA</t>
        </is>
      </c>
      <c r="AG619" s="69" t="inlineStr">
        <is>
          <t>San Diego</t>
        </is>
      </c>
      <c r="AH619" s="69" t="inlineStr">
        <is>
          <t>San Diego-Chula Vista-Carlsbad, CA</t>
        </is>
      </c>
      <c r="AI619" s="69" t="inlineStr">
        <is>
          <t>West / Pacific South</t>
        </is>
      </c>
      <c r="AJ619" s="69" t="inlineStr">
        <is>
          <t>OF</t>
        </is>
      </c>
      <c r="AK619" s="69" t="inlineStr">
        <is>
          <t>Suburban</t>
        </is>
      </c>
      <c r="AL619" s="68" t="n">
        <v>1</v>
      </c>
      <c r="AM619" s="68" t="n"/>
      <c r="AN619" s="68" t="n">
        <v>76729</v>
      </c>
      <c r="AO619" s="69" t="inlineStr">
        <is>
          <t>1984</t>
        </is>
      </c>
      <c r="AP619" s="70" t="n">
        <v>2012</v>
      </c>
      <c r="AQ619" s="74" t="n">
        <v>3.18</v>
      </c>
      <c r="AR619" s="74" t="n">
        <v>3.49</v>
      </c>
      <c r="AS619" s="74" t="n">
        <v>44.8</v>
      </c>
      <c r="AT619" s="74" t="n">
        <v>44.82</v>
      </c>
      <c r="AU619" s="74" t="n">
        <v>44.8</v>
      </c>
      <c r="AV619" s="74" t="n">
        <v>14.555070983</v>
      </c>
      <c r="AW619" s="74" t="n">
        <v>10.686471676</v>
      </c>
      <c r="AX619" s="75" t="n">
        <v>95</v>
      </c>
      <c r="AY619" s="71" t="n">
        <v>19300000</v>
      </c>
      <c r="AZ619" s="71" t="n">
        <v>19300000</v>
      </c>
      <c r="BA619" s="71" t="n">
        <v>1259013.64</v>
      </c>
      <c r="BB619" s="71" t="n">
        <v>1381756.12</v>
      </c>
      <c r="BC619" s="69" t="inlineStr">
        <is>
          <t>Refinance</t>
        </is>
      </c>
      <c r="BD619" s="69" t="inlineStr">
        <is>
          <t>N</t>
        </is>
      </c>
      <c r="BE619" s="71" t="n"/>
      <c r="BF619" s="71" t="n"/>
      <c r="BG619" s="71" t="n"/>
      <c r="BH619" s="71" t="n">
        <v>0</v>
      </c>
      <c r="BI619" s="71" t="n">
        <v>0</v>
      </c>
      <c r="BJ619" s="69" t="inlineStr">
        <is>
          <t>N</t>
        </is>
      </c>
      <c r="BK619" s="69" t="inlineStr">
        <is>
          <t>Survivors of Torture International</t>
        </is>
      </c>
      <c r="BL619" s="75" t="n">
        <v>8.210000000000001</v>
      </c>
      <c r="BM619" s="73" t="n">
        <v>46538</v>
      </c>
      <c r="BN619" s="69" t="inlineStr">
        <is>
          <t>Kevin S. Pitts; Peter Snowden</t>
        </is>
      </c>
      <c r="BO619" s="69" t="n"/>
      <c r="BP619" s="69" t="inlineStr">
        <is>
          <t>Midland Loan Services</t>
        </is>
      </c>
      <c r="BQ619" s="69" t="inlineStr">
        <is>
          <t>Midland Loan Services</t>
        </is>
      </c>
      <c r="BR619" s="69" t="n"/>
      <c r="BS619" s="73" t="n">
        <v>46276</v>
      </c>
      <c r="BU619" s="76">
        <f>IF($C619="","",IFERROR(INDEX(dmName,MATCH($C619,dmID,0)),"Unmapped"))</f>
        <v/>
      </c>
      <c r="BV619" s="76">
        <f>IF($C619="","",IFERROR(INDEX(dmEntity,MATCH($C619,dmID,0)),"Unmapped"))</f>
        <v/>
      </c>
      <c r="BW619" s="77">
        <f>IF($C619="","",IFERROR(INDEX(dmVintage,MATCH($C619,dmID,0)),""))</f>
        <v/>
      </c>
      <c r="BX619" s="78">
        <f>IFERROR(INDEX(dmInclude,MATCH($C619,dmID,0)),0)</f>
        <v/>
      </c>
      <c r="BY619" s="78">
        <f>IF(N($I619)&gt;0,1,0)</f>
        <v/>
      </c>
      <c r="BZ619" s="76">
        <f>IF($AJ619="","Other / Leased Fee",IFERROR(INDEX(mapPTGroup,MATCH(LEFT(TRIM($AJ619),2),mapPTCode,0)),"Other / Leased Fee"))</f>
        <v/>
      </c>
      <c r="CA619" s="76">
        <f>IF(TRIM($AF619&amp;"")="","NR",LEFT(TRIM($AF619),2))</f>
        <v/>
      </c>
      <c r="CB619" s="76">
        <f>IFERROR(LOOKUP(2,1/(LEFT(TRIM($AI619&amp;""),LEN(mapRegion))=mapRegion),mapRegion),"Not Reported")</f>
        <v/>
      </c>
      <c r="CC619" s="76">
        <f>IF($BY619=0,"",IF(TRIM($W619&amp;"")="REO","REO",IF(TRIM($W619&amp;"")="FC","Foreclosure",IF(TRIM($W619&amp;"")="90+","90+ Days Delinquent",IF(TRIM($W619&amp;"")="60","60 Days Delinquent",IF(TRIM($W619&amp;"")="30","30 Days Delinquent",IF($X619="Non-Performing Matured Balloon","Non-Performing Matured Balloon",IF(OR($X619="Late Payment But Less Than 30 Days Delinquent",LEFT($X619&amp;"",20)="Payment Not Received"),"Late / In Grace (&lt;30 Days)",IF($X619="Performing Matured Balloon","Performing Matured Balloon","Current")))))))))</f>
        <v/>
      </c>
      <c r="CD619" s="78">
        <f>IF(OR($CC619="REO",$CC619="Foreclosure",$CC619="90+ Days Delinquent",$CC619="60 Days Delinquent",$CC619="30 Days Delinquent",$CC619="Non-Performing Matured Balloon"),1,0)</f>
        <v/>
      </c>
      <c r="CE619" s="76">
        <f>IF($AB619="Currently special serv","Currently Specially Serviced",IF($AB619="Returned to master serv","Previously Specially Serviced","Never Specially Serviced"))</f>
        <v/>
      </c>
      <c r="CF619" s="78">
        <f>IF($CE619="Currently Specially Serviced",1,0)</f>
        <v/>
      </c>
      <c r="CG619" s="76">
        <f>IF($AA619="Yes","Currently on Watchlist",IF($AA619="Previously","Previously on Watchlist","Never on Watchlist"))</f>
        <v/>
      </c>
      <c r="CH619" s="78">
        <f>IF($CG619="Currently on Watchlist",1,0)</f>
        <v/>
      </c>
      <c r="CI619" s="76">
        <f>IF($Z619="Full Defeasance","Fully Defeased",IF($Z619="Portion Of Loan Previously Defeased","Partially Defeased",IF($Z619="Defeasance Not Allowable","Not Defeased (Not Permitted)","Not Defeased")))</f>
        <v/>
      </c>
      <c r="CJ619" s="78">
        <f>IF($CI619="Fully Defeased",1,0)</f>
        <v/>
      </c>
      <c r="CK619" s="76">
        <f>IF($R619="IO","Full IO",IF(LEFT($R619&amp;"",7)="IO then","Partial IO","Amortizing"))</f>
        <v/>
      </c>
      <c r="CL619" s="78">
        <f>IF($CK619="Full IO",1,0)</f>
        <v/>
      </c>
      <c r="CM619" s="78">
        <f>IF($CK619="Partial IO",1,0)</f>
        <v/>
      </c>
      <c r="CN619" s="76">
        <f>IF(LEFT($F619&amp;"",10)="SPLIT_LOAN","Pari Passu Split","Standalone")</f>
        <v/>
      </c>
      <c r="CO619" s="78">
        <f>IF($CN619="Pari Passu Split",1,0)</f>
        <v/>
      </c>
      <c r="CP619" s="77">
        <f>IF(ISNUMBER($T619),YEAR($T619),"")</f>
        <v/>
      </c>
      <c r="CQ619" s="79">
        <f>IF(ISNUMBER($V619),$V619,IF(ISNUMBER($U619),$U619,""))</f>
        <v/>
      </c>
      <c r="CR619" s="77">
        <f>IF(ISNUMBER($CQ619),YEAR($CQ619),"")</f>
        <v/>
      </c>
      <c r="CS619" s="78">
        <f>IF(ISNUMBER($M619),MAX(0,$M619),IF(TRIM($M619&amp;"")="matured",0,""))</f>
        <v/>
      </c>
      <c r="CT619" s="78">
        <f>IF(AND(ISNUMBER($CS619),N($CS619)&lt;=mMatWindow),1,0)</f>
        <v/>
      </c>
      <c r="CU619" s="80">
        <f>IF(ISNUMBER($J619),$J619/100,"")</f>
        <v/>
      </c>
      <c r="CV619" s="81">
        <f>IF(ISNUMBER($AQ619),$AQ619,"")</f>
        <v/>
      </c>
      <c r="CW619" s="81">
        <f>IF(ISNUMBER($AR619),$AR619,"")</f>
        <v/>
      </c>
      <c r="CX619" s="82">
        <f>IF(ISNUMBER($AS619),$AS619/100,"")</f>
        <v/>
      </c>
      <c r="CY619" s="82">
        <f>IF(ISNUMBER($AT619),$AT619/100,"")</f>
        <v/>
      </c>
      <c r="CZ619" s="82">
        <f>IF(ISNUMBER($AU619),$AU619/100,"")</f>
        <v/>
      </c>
      <c r="DA619" s="82">
        <f>IF(ISNUMBER($AV619),$AV619/100,"")</f>
        <v/>
      </c>
      <c r="DB619" s="82">
        <f>IF(ISNUMBER($AW619),$AW619/100,"")</f>
        <v/>
      </c>
      <c r="DC619" s="82">
        <f>IF(ISNUMBER($AX619),$AX619/100,"")</f>
        <v/>
      </c>
      <c r="DD619" s="77">
        <f>IFERROR(VALUE(LEFT(TRIM($AO619&amp;""),4)),"")</f>
        <v/>
      </c>
      <c r="DE619" s="78">
        <f>IF(AND($BY619=1,$BX619=1,OR(fDeal="All Deals",$BU619=fDeal),OR(fEntity="All Entities",$BV619=fEntity),OR(fPType="All Property Types",$BZ619=fPType),OR(fDefeased="Include",$CJ619=0)),1,0)</f>
        <v/>
      </c>
      <c r="DF619" s="83">
        <f>$DE619*N($I619)</f>
        <v/>
      </c>
      <c r="DG619" s="78">
        <f>IF($DE619=1,IF(COUNTIFS($F$8:$F619,$F619,$DE$8:$DE619,1)=1,1,0),0)</f>
        <v/>
      </c>
      <c r="DH619" s="83">
        <f>IF($DG619=1,SUMIFS($DF$8:$DF$1600,$F$8:$F$1600,$F619),0)</f>
        <v/>
      </c>
      <c r="DI619" s="78">
        <f>IF($DG619=1,COUNTIFS($F$8:$F$1600,$F619,$DE$8:$DE$1600,1),0)</f>
        <v/>
      </c>
      <c r="DJ619" s="84">
        <f>IF($DG619=1,$DH619+(100000-ROW())/mTieBreak,0)</f>
        <v/>
      </c>
    </row>
    <row r="620">
      <c r="B620" s="68" t="n">
        <v>33</v>
      </c>
      <c r="C620" s="69" t="inlineStr">
        <is>
          <t>UBS18C13</t>
        </is>
      </c>
      <c r="D620" s="69" t="inlineStr">
        <is>
          <t>33.000</t>
        </is>
      </c>
      <c r="E620" s="69" t="inlineStr">
        <is>
          <t>1015 Locust</t>
        </is>
      </c>
      <c r="F620" s="69" t="inlineStr">
        <is>
          <t>LNUBS18C13-33.000</t>
        </is>
      </c>
      <c r="G620" s="70" t="n"/>
      <c r="H620" s="71" t="n">
        <v>8500000</v>
      </c>
      <c r="I620" s="71" t="n">
        <v>8500000</v>
      </c>
      <c r="J620" s="72" t="n">
        <v>5.3956</v>
      </c>
      <c r="K620" s="69" t="inlineStr">
        <is>
          <t>Fixed rate</t>
        </is>
      </c>
      <c r="L620" s="68" t="n">
        <v>120</v>
      </c>
      <c r="M620" s="68" t="n">
        <v>24</v>
      </c>
      <c r="N620" s="68" t="n">
        <v>120</v>
      </c>
      <c r="O620" s="68" t="n">
        <v>120</v>
      </c>
      <c r="P620" s="68" t="n">
        <v>24</v>
      </c>
      <c r="Q620" s="68" t="n">
        <v>96</v>
      </c>
      <c r="R620" s="69" t="inlineStr">
        <is>
          <t>IO</t>
        </is>
      </c>
      <c r="S620" s="69" t="inlineStr">
        <is>
          <t>Yes</t>
        </is>
      </c>
      <c r="T620" s="73" t="n">
        <v>43344</v>
      </c>
      <c r="U620" s="73" t="n">
        <v>47002</v>
      </c>
      <c r="V620" s="73" t="n"/>
      <c r="W620" s="69" t="n"/>
      <c r="X620" s="69" t="inlineStr">
        <is>
          <t>Current</t>
        </is>
      </c>
      <c r="Y620" s="68" t="n"/>
      <c r="Z620" s="69" t="inlineStr">
        <is>
          <t>Defeasance Not Allowable</t>
        </is>
      </c>
      <c r="AA620" s="69" t="inlineStr">
        <is>
          <t>Previously</t>
        </is>
      </c>
      <c r="AB620" s="69" t="inlineStr">
        <is>
          <t>Never special serv</t>
        </is>
      </c>
      <c r="AC620" s="73" t="n"/>
      <c r="AD620" s="69" t="n"/>
      <c r="AE620" s="69" t="n"/>
      <c r="AF620" s="69" t="inlineStr">
        <is>
          <t>MO</t>
        </is>
      </c>
      <c r="AG620" s="69" t="inlineStr">
        <is>
          <t>St. Louis</t>
        </is>
      </c>
      <c r="AH620" s="69" t="inlineStr">
        <is>
          <t>St. Louis, MO-IL</t>
        </is>
      </c>
      <c r="AI620" s="69" t="inlineStr">
        <is>
          <t>Midwest / Central West</t>
        </is>
      </c>
      <c r="AJ620" s="69" t="inlineStr">
        <is>
          <t>OF</t>
        </is>
      </c>
      <c r="AK620" s="69" t="inlineStr">
        <is>
          <t>CBD</t>
        </is>
      </c>
      <c r="AL620" s="68" t="n">
        <v>1</v>
      </c>
      <c r="AM620" s="68" t="n"/>
      <c r="AN620" s="68" t="n">
        <v>196627</v>
      </c>
      <c r="AO620" s="69" t="inlineStr">
        <is>
          <t>1921</t>
        </is>
      </c>
      <c r="AP620" s="70" t="n">
        <v>1991</v>
      </c>
      <c r="AQ620" s="74" t="n">
        <v>1.86</v>
      </c>
      <c r="AR620" s="74" t="n">
        <v>1.4</v>
      </c>
      <c r="AS620" s="74" t="n">
        <v>60.5</v>
      </c>
      <c r="AT620" s="74" t="n">
        <v>60.54</v>
      </c>
      <c r="AU620" s="74" t="n">
        <v>60.5</v>
      </c>
      <c r="AV620" s="74" t="n">
        <v>10.165535529</v>
      </c>
      <c r="AW620" s="74" t="n">
        <v>8.081777765</v>
      </c>
      <c r="AX620" s="75" t="n">
        <v>61</v>
      </c>
      <c r="AY620" s="71" t="n">
        <v>14040000</v>
      </c>
      <c r="AZ620" s="71" t="n">
        <v>14040000</v>
      </c>
      <c r="BA620" s="71" t="n">
        <v>864070.52</v>
      </c>
      <c r="BB620" s="71" t="n">
        <v>651812.62</v>
      </c>
      <c r="BC620" s="69" t="inlineStr">
        <is>
          <t>Refinance</t>
        </is>
      </c>
      <c r="BD620" s="69" t="inlineStr">
        <is>
          <t>N</t>
        </is>
      </c>
      <c r="BE620" s="71" t="n"/>
      <c r="BF620" s="71" t="n"/>
      <c r="BG620" s="71" t="n"/>
      <c r="BH620" s="71" t="n">
        <v>0</v>
      </c>
      <c r="BI620" s="71" t="n">
        <v>0</v>
      </c>
      <c r="BJ620" s="69" t="inlineStr">
        <is>
          <t>N</t>
        </is>
      </c>
      <c r="BK620" s="69" t="inlineStr">
        <is>
          <t>MAUNERAICFLE HARTLEY FRENCH &amp; MUDD LLC</t>
        </is>
      </c>
      <c r="BL620" s="75" t="n">
        <v>26.24</v>
      </c>
      <c r="BM620" s="73" t="n">
        <v>46783</v>
      </c>
      <c r="BN620" s="69" t="inlineStr">
        <is>
          <t>Matthew G. Lefkowitz; Alexandra R. Lefkowitz</t>
        </is>
      </c>
      <c r="BO620" s="69" t="n"/>
      <c r="BP620" s="69" t="inlineStr">
        <is>
          <t>Midland Loan Services</t>
        </is>
      </c>
      <c r="BQ620" s="69" t="inlineStr">
        <is>
          <t>Midland Loan Services</t>
        </is>
      </c>
      <c r="BR620" s="69" t="n"/>
      <c r="BS620" s="73" t="n">
        <v>46276</v>
      </c>
      <c r="BU620" s="76">
        <f>IF($C620="","",IFERROR(INDEX(dmName,MATCH($C620,dmID,0)),"Unmapped"))</f>
        <v/>
      </c>
      <c r="BV620" s="76">
        <f>IF($C620="","",IFERROR(INDEX(dmEntity,MATCH($C620,dmID,0)),"Unmapped"))</f>
        <v/>
      </c>
      <c r="BW620" s="77">
        <f>IF($C620="","",IFERROR(INDEX(dmVintage,MATCH($C620,dmID,0)),""))</f>
        <v/>
      </c>
      <c r="BX620" s="78">
        <f>IFERROR(INDEX(dmInclude,MATCH($C620,dmID,0)),0)</f>
        <v/>
      </c>
      <c r="BY620" s="78">
        <f>IF(N($I620)&gt;0,1,0)</f>
        <v/>
      </c>
      <c r="BZ620" s="76">
        <f>IF($AJ620="","Other / Leased Fee",IFERROR(INDEX(mapPTGroup,MATCH(LEFT(TRIM($AJ620),2),mapPTCode,0)),"Other / Leased Fee"))</f>
        <v/>
      </c>
      <c r="CA620" s="76">
        <f>IF(TRIM($AF620&amp;"")="","NR",LEFT(TRIM($AF620),2))</f>
        <v/>
      </c>
      <c r="CB620" s="76">
        <f>IFERROR(LOOKUP(2,1/(LEFT(TRIM($AI620&amp;""),LEN(mapRegion))=mapRegion),mapRegion),"Not Reported")</f>
        <v/>
      </c>
      <c r="CC620" s="76">
        <f>IF($BY620=0,"",IF(TRIM($W620&amp;"")="REO","REO",IF(TRIM($W620&amp;"")="FC","Foreclosure",IF(TRIM($W620&amp;"")="90+","90+ Days Delinquent",IF(TRIM($W620&amp;"")="60","60 Days Delinquent",IF(TRIM($W620&amp;"")="30","30 Days Delinquent",IF($X620="Non-Performing Matured Balloon","Non-Performing Matured Balloon",IF(OR($X620="Late Payment But Less Than 30 Days Delinquent",LEFT($X620&amp;"",20)="Payment Not Received"),"Late / In Grace (&lt;30 Days)",IF($X620="Performing Matured Balloon","Performing Matured Balloon","Current")))))))))</f>
        <v/>
      </c>
      <c r="CD620" s="78">
        <f>IF(OR($CC620="REO",$CC620="Foreclosure",$CC620="90+ Days Delinquent",$CC620="60 Days Delinquent",$CC620="30 Days Delinquent",$CC620="Non-Performing Matured Balloon"),1,0)</f>
        <v/>
      </c>
      <c r="CE620" s="76">
        <f>IF($AB620="Currently special serv","Currently Specially Serviced",IF($AB620="Returned to master serv","Previously Specially Serviced","Never Specially Serviced"))</f>
        <v/>
      </c>
      <c r="CF620" s="78">
        <f>IF($CE620="Currently Specially Serviced",1,0)</f>
        <v/>
      </c>
      <c r="CG620" s="76">
        <f>IF($AA620="Yes","Currently on Watchlist",IF($AA620="Previously","Previously on Watchlist","Never on Watchlist"))</f>
        <v/>
      </c>
      <c r="CH620" s="78">
        <f>IF($CG620="Currently on Watchlist",1,0)</f>
        <v/>
      </c>
      <c r="CI620" s="76">
        <f>IF($Z620="Full Defeasance","Fully Defeased",IF($Z620="Portion Of Loan Previously Defeased","Partially Defeased",IF($Z620="Defeasance Not Allowable","Not Defeased (Not Permitted)","Not Defeased")))</f>
        <v/>
      </c>
      <c r="CJ620" s="78">
        <f>IF($CI620="Fully Defeased",1,0)</f>
        <v/>
      </c>
      <c r="CK620" s="76">
        <f>IF($R620="IO","Full IO",IF(LEFT($R620&amp;"",7)="IO then","Partial IO","Amortizing"))</f>
        <v/>
      </c>
      <c r="CL620" s="78">
        <f>IF($CK620="Full IO",1,0)</f>
        <v/>
      </c>
      <c r="CM620" s="78">
        <f>IF($CK620="Partial IO",1,0)</f>
        <v/>
      </c>
      <c r="CN620" s="76">
        <f>IF(LEFT($F620&amp;"",10)="SPLIT_LOAN","Pari Passu Split","Standalone")</f>
        <v/>
      </c>
      <c r="CO620" s="78">
        <f>IF($CN620="Pari Passu Split",1,0)</f>
        <v/>
      </c>
      <c r="CP620" s="77">
        <f>IF(ISNUMBER($T620),YEAR($T620),"")</f>
        <v/>
      </c>
      <c r="CQ620" s="79">
        <f>IF(ISNUMBER($V620),$V620,IF(ISNUMBER($U620),$U620,""))</f>
        <v/>
      </c>
      <c r="CR620" s="77">
        <f>IF(ISNUMBER($CQ620),YEAR($CQ620),"")</f>
        <v/>
      </c>
      <c r="CS620" s="78">
        <f>IF(ISNUMBER($M620),MAX(0,$M620),IF(TRIM($M620&amp;"")="matured",0,""))</f>
        <v/>
      </c>
      <c r="CT620" s="78">
        <f>IF(AND(ISNUMBER($CS620),N($CS620)&lt;=mMatWindow),1,0)</f>
        <v/>
      </c>
      <c r="CU620" s="80">
        <f>IF(ISNUMBER($J620),$J620/100,"")</f>
        <v/>
      </c>
      <c r="CV620" s="81">
        <f>IF(ISNUMBER($AQ620),$AQ620,"")</f>
        <v/>
      </c>
      <c r="CW620" s="81">
        <f>IF(ISNUMBER($AR620),$AR620,"")</f>
        <v/>
      </c>
      <c r="CX620" s="82">
        <f>IF(ISNUMBER($AS620),$AS620/100,"")</f>
        <v/>
      </c>
      <c r="CY620" s="82">
        <f>IF(ISNUMBER($AT620),$AT620/100,"")</f>
        <v/>
      </c>
      <c r="CZ620" s="82">
        <f>IF(ISNUMBER($AU620),$AU620/100,"")</f>
        <v/>
      </c>
      <c r="DA620" s="82">
        <f>IF(ISNUMBER($AV620),$AV620/100,"")</f>
        <v/>
      </c>
      <c r="DB620" s="82">
        <f>IF(ISNUMBER($AW620),$AW620/100,"")</f>
        <v/>
      </c>
      <c r="DC620" s="82">
        <f>IF(ISNUMBER($AX620),$AX620/100,"")</f>
        <v/>
      </c>
      <c r="DD620" s="77">
        <f>IFERROR(VALUE(LEFT(TRIM($AO620&amp;""),4)),"")</f>
        <v/>
      </c>
      <c r="DE620" s="78">
        <f>IF(AND($BY620=1,$BX620=1,OR(fDeal="All Deals",$BU620=fDeal),OR(fEntity="All Entities",$BV620=fEntity),OR(fPType="All Property Types",$BZ620=fPType),OR(fDefeased="Include",$CJ620=0)),1,0)</f>
        <v/>
      </c>
      <c r="DF620" s="83">
        <f>$DE620*N($I620)</f>
        <v/>
      </c>
      <c r="DG620" s="78">
        <f>IF($DE620=1,IF(COUNTIFS($F$8:$F620,$F620,$DE$8:$DE620,1)=1,1,0),0)</f>
        <v/>
      </c>
      <c r="DH620" s="83">
        <f>IF($DG620=1,SUMIFS($DF$8:$DF$1600,$F$8:$F$1600,$F620),0)</f>
        <v/>
      </c>
      <c r="DI620" s="78">
        <f>IF($DG620=1,COUNTIFS($F$8:$F$1600,$F620,$DE$8:$DE$1600,1),0)</f>
        <v/>
      </c>
      <c r="DJ620" s="84">
        <f>IF($DG620=1,$DH620+(100000-ROW())/mTieBreak,0)</f>
        <v/>
      </c>
    </row>
    <row r="621">
      <c r="B621" s="68" t="n">
        <v>34</v>
      </c>
      <c r="C621" s="69" t="inlineStr">
        <is>
          <t>UBS18C13</t>
        </is>
      </c>
      <c r="D621" s="69" t="inlineStr">
        <is>
          <t>34.000</t>
        </is>
      </c>
      <c r="E621" s="69" t="inlineStr">
        <is>
          <t>Country Inn &amp; Suites Gainesville</t>
        </is>
      </c>
      <c r="F621" s="69" t="inlineStr">
        <is>
          <t>LNUBS18C13-34.000</t>
        </is>
      </c>
      <c r="G621" s="70" t="n"/>
      <c r="H621" s="71" t="n">
        <v>8500000</v>
      </c>
      <c r="I621" s="71" t="n">
        <v>7409596.850003501</v>
      </c>
      <c r="J621" s="72" t="n">
        <v>5.37</v>
      </c>
      <c r="K621" s="69" t="inlineStr">
        <is>
          <t>Fixed rate</t>
        </is>
      </c>
      <c r="L621" s="68" t="n">
        <v>120</v>
      </c>
      <c r="M621" s="68" t="n">
        <v>23</v>
      </c>
      <c r="N621" s="68" t="n">
        <v>360</v>
      </c>
      <c r="O621" s="68" t="n"/>
      <c r="P621" s="68" t="n"/>
      <c r="Q621" s="68" t="n">
        <v>97</v>
      </c>
      <c r="R621" s="69" t="n"/>
      <c r="S621" s="69" t="inlineStr">
        <is>
          <t>No</t>
        </is>
      </c>
      <c r="T621" s="73" t="n">
        <v>43313</v>
      </c>
      <c r="U621" s="73" t="n">
        <v>46966</v>
      </c>
      <c r="V621" s="73" t="n"/>
      <c r="W621" s="69" t="n"/>
      <c r="X621" s="69" t="inlineStr">
        <is>
          <t>Current</t>
        </is>
      </c>
      <c r="Y621" s="68" t="n"/>
      <c r="Z621" s="69" t="inlineStr">
        <is>
          <t>No Defeasance Occurred</t>
        </is>
      </c>
      <c r="AA621" s="69" t="inlineStr">
        <is>
          <t>Yes</t>
        </is>
      </c>
      <c r="AB621" s="69" t="inlineStr">
        <is>
          <t>Returned to master serv</t>
        </is>
      </c>
      <c r="AC621" s="73" t="n"/>
      <c r="AD621" s="69" t="inlineStr">
        <is>
          <t>Other</t>
        </is>
      </c>
      <c r="AE621" s="69" t="inlineStr">
        <is>
          <t>Resolved</t>
        </is>
      </c>
      <c r="AF621" s="69" t="inlineStr">
        <is>
          <t>FL</t>
        </is>
      </c>
      <c r="AG621" s="69" t="inlineStr">
        <is>
          <t>Gainesville</t>
        </is>
      </c>
      <c r="AH621" s="69" t="inlineStr">
        <is>
          <t>Gainesville, FL</t>
        </is>
      </c>
      <c r="AI621" s="69" t="inlineStr">
        <is>
          <t>South / Atlantic</t>
        </is>
      </c>
      <c r="AJ621" s="69" t="inlineStr">
        <is>
          <t>HT</t>
        </is>
      </c>
      <c r="AK621" s="69" t="inlineStr">
        <is>
          <t>Limited Service</t>
        </is>
      </c>
      <c r="AL621" s="68" t="n">
        <v>1</v>
      </c>
      <c r="AM621" s="68" t="n">
        <v>90</v>
      </c>
      <c r="AN621" s="68" t="n"/>
      <c r="AO621" s="69" t="inlineStr">
        <is>
          <t>2005</t>
        </is>
      </c>
      <c r="AP621" s="70" t="n">
        <v>2017</v>
      </c>
      <c r="AQ621" s="74" t="n">
        <v>1.93</v>
      </c>
      <c r="AR621" s="74" t="n">
        <v>1.51</v>
      </c>
      <c r="AS621" s="74" t="n">
        <v>62.8</v>
      </c>
      <c r="AT621" s="74" t="n">
        <v>72.64</v>
      </c>
      <c r="AU621" s="74" t="n">
        <v>52.4</v>
      </c>
      <c r="AV621" s="74" t="n">
        <v>12.947648118</v>
      </c>
      <c r="AW621" s="74" t="n">
        <v>9.556918336000001</v>
      </c>
      <c r="AX621" s="75" t="n">
        <v>78</v>
      </c>
      <c r="AY621" s="71" t="n">
        <v>13500000</v>
      </c>
      <c r="AZ621" s="71" t="n">
        <v>10200000</v>
      </c>
      <c r="BA621" s="71" t="n">
        <v>1100550.09</v>
      </c>
      <c r="BB621" s="71" t="n">
        <v>215257.17</v>
      </c>
      <c r="BC621" s="69" t="inlineStr">
        <is>
          <t>Refinance</t>
        </is>
      </c>
      <c r="BD621" s="69" t="inlineStr">
        <is>
          <t>N</t>
        </is>
      </c>
      <c r="BE621" s="71" t="n"/>
      <c r="BF621" s="71" t="n"/>
      <c r="BG621" s="71" t="n"/>
      <c r="BH621" s="71" t="n">
        <v>0</v>
      </c>
      <c r="BI621" s="71" t="n">
        <v>0</v>
      </c>
      <c r="BJ621" s="69" t="inlineStr">
        <is>
          <t>Y</t>
        </is>
      </c>
      <c r="BK621" s="69" t="n"/>
      <c r="BL621" s="75" t="n"/>
      <c r="BM621" s="73" t="n"/>
      <c r="BN621" s="69" t="inlineStr">
        <is>
          <t>Nilesh R. Patel; Pravin J. Patel</t>
        </is>
      </c>
      <c r="BO621" s="69" t="n"/>
      <c r="BP621" s="69" t="inlineStr">
        <is>
          <t>Midland Loan Services</t>
        </is>
      </c>
      <c r="BQ621" s="69" t="inlineStr">
        <is>
          <t>Midland Loan Services</t>
        </is>
      </c>
      <c r="BR621" s="69" t="n"/>
      <c r="BS621" s="73" t="n">
        <v>46276</v>
      </c>
      <c r="BU621" s="76">
        <f>IF($C621="","",IFERROR(INDEX(dmName,MATCH($C621,dmID,0)),"Unmapped"))</f>
        <v/>
      </c>
      <c r="BV621" s="76">
        <f>IF($C621="","",IFERROR(INDEX(dmEntity,MATCH($C621,dmID,0)),"Unmapped"))</f>
        <v/>
      </c>
      <c r="BW621" s="77">
        <f>IF($C621="","",IFERROR(INDEX(dmVintage,MATCH($C621,dmID,0)),""))</f>
        <v/>
      </c>
      <c r="BX621" s="78">
        <f>IFERROR(INDEX(dmInclude,MATCH($C621,dmID,0)),0)</f>
        <v/>
      </c>
      <c r="BY621" s="78">
        <f>IF(N($I621)&gt;0,1,0)</f>
        <v/>
      </c>
      <c r="BZ621" s="76">
        <f>IF($AJ621="","Other / Leased Fee",IFERROR(INDEX(mapPTGroup,MATCH(LEFT(TRIM($AJ621),2),mapPTCode,0)),"Other / Leased Fee"))</f>
        <v/>
      </c>
      <c r="CA621" s="76">
        <f>IF(TRIM($AF621&amp;"")="","NR",LEFT(TRIM($AF621),2))</f>
        <v/>
      </c>
      <c r="CB621" s="76">
        <f>IFERROR(LOOKUP(2,1/(LEFT(TRIM($AI621&amp;""),LEN(mapRegion))=mapRegion),mapRegion),"Not Reported")</f>
        <v/>
      </c>
      <c r="CC621" s="76">
        <f>IF($BY621=0,"",IF(TRIM($W621&amp;"")="REO","REO",IF(TRIM($W621&amp;"")="FC","Foreclosure",IF(TRIM($W621&amp;"")="90+","90+ Days Delinquent",IF(TRIM($W621&amp;"")="60","60 Days Delinquent",IF(TRIM($W621&amp;"")="30","30 Days Delinquent",IF($X621="Non-Performing Matured Balloon","Non-Performing Matured Balloon",IF(OR($X621="Late Payment But Less Than 30 Days Delinquent",LEFT($X621&amp;"",20)="Payment Not Received"),"Late / In Grace (&lt;30 Days)",IF($X621="Performing Matured Balloon","Performing Matured Balloon","Current")))))))))</f>
        <v/>
      </c>
      <c r="CD621" s="78">
        <f>IF(OR($CC621="REO",$CC621="Foreclosure",$CC621="90+ Days Delinquent",$CC621="60 Days Delinquent",$CC621="30 Days Delinquent",$CC621="Non-Performing Matured Balloon"),1,0)</f>
        <v/>
      </c>
      <c r="CE621" s="76">
        <f>IF($AB621="Currently special serv","Currently Specially Serviced",IF($AB621="Returned to master serv","Previously Specially Serviced","Never Specially Serviced"))</f>
        <v/>
      </c>
      <c r="CF621" s="78">
        <f>IF($CE621="Currently Specially Serviced",1,0)</f>
        <v/>
      </c>
      <c r="CG621" s="76">
        <f>IF($AA621="Yes","Currently on Watchlist",IF($AA621="Previously","Previously on Watchlist","Never on Watchlist"))</f>
        <v/>
      </c>
      <c r="CH621" s="78">
        <f>IF($CG621="Currently on Watchlist",1,0)</f>
        <v/>
      </c>
      <c r="CI621" s="76">
        <f>IF($Z621="Full Defeasance","Fully Defeased",IF($Z621="Portion Of Loan Previously Defeased","Partially Defeased",IF($Z621="Defeasance Not Allowable","Not Defeased (Not Permitted)","Not Defeased")))</f>
        <v/>
      </c>
      <c r="CJ621" s="78">
        <f>IF($CI621="Fully Defeased",1,0)</f>
        <v/>
      </c>
      <c r="CK621" s="76">
        <f>IF($R621="IO","Full IO",IF(LEFT($R621&amp;"",7)="IO then","Partial IO","Amortizing"))</f>
        <v/>
      </c>
      <c r="CL621" s="78">
        <f>IF($CK621="Full IO",1,0)</f>
        <v/>
      </c>
      <c r="CM621" s="78">
        <f>IF($CK621="Partial IO",1,0)</f>
        <v/>
      </c>
      <c r="CN621" s="76">
        <f>IF(LEFT($F621&amp;"",10)="SPLIT_LOAN","Pari Passu Split","Standalone")</f>
        <v/>
      </c>
      <c r="CO621" s="78">
        <f>IF($CN621="Pari Passu Split",1,0)</f>
        <v/>
      </c>
      <c r="CP621" s="77">
        <f>IF(ISNUMBER($T621),YEAR($T621),"")</f>
        <v/>
      </c>
      <c r="CQ621" s="79">
        <f>IF(ISNUMBER($V621),$V621,IF(ISNUMBER($U621),$U621,""))</f>
        <v/>
      </c>
      <c r="CR621" s="77">
        <f>IF(ISNUMBER($CQ621),YEAR($CQ621),"")</f>
        <v/>
      </c>
      <c r="CS621" s="78">
        <f>IF(ISNUMBER($M621),MAX(0,$M621),IF(TRIM($M621&amp;"")="matured",0,""))</f>
        <v/>
      </c>
      <c r="CT621" s="78">
        <f>IF(AND(ISNUMBER($CS621),N($CS621)&lt;=mMatWindow),1,0)</f>
        <v/>
      </c>
      <c r="CU621" s="80">
        <f>IF(ISNUMBER($J621),$J621/100,"")</f>
        <v/>
      </c>
      <c r="CV621" s="81">
        <f>IF(ISNUMBER($AQ621),$AQ621,"")</f>
        <v/>
      </c>
      <c r="CW621" s="81">
        <f>IF(ISNUMBER($AR621),$AR621,"")</f>
        <v/>
      </c>
      <c r="CX621" s="82">
        <f>IF(ISNUMBER($AS621),$AS621/100,"")</f>
        <v/>
      </c>
      <c r="CY621" s="82">
        <f>IF(ISNUMBER($AT621),$AT621/100,"")</f>
        <v/>
      </c>
      <c r="CZ621" s="82">
        <f>IF(ISNUMBER($AU621),$AU621/100,"")</f>
        <v/>
      </c>
      <c r="DA621" s="82">
        <f>IF(ISNUMBER($AV621),$AV621/100,"")</f>
        <v/>
      </c>
      <c r="DB621" s="82">
        <f>IF(ISNUMBER($AW621),$AW621/100,"")</f>
        <v/>
      </c>
      <c r="DC621" s="82">
        <f>IF(ISNUMBER($AX621),$AX621/100,"")</f>
        <v/>
      </c>
      <c r="DD621" s="77">
        <f>IFERROR(VALUE(LEFT(TRIM($AO621&amp;""),4)),"")</f>
        <v/>
      </c>
      <c r="DE621" s="78">
        <f>IF(AND($BY621=1,$BX621=1,OR(fDeal="All Deals",$BU621=fDeal),OR(fEntity="All Entities",$BV621=fEntity),OR(fPType="All Property Types",$BZ621=fPType),OR(fDefeased="Include",$CJ621=0)),1,0)</f>
        <v/>
      </c>
      <c r="DF621" s="83">
        <f>$DE621*N($I621)</f>
        <v/>
      </c>
      <c r="DG621" s="78">
        <f>IF($DE621=1,IF(COUNTIFS($F$8:$F621,$F621,$DE$8:$DE621,1)=1,1,0),0)</f>
        <v/>
      </c>
      <c r="DH621" s="83">
        <f>IF($DG621=1,SUMIFS($DF$8:$DF$1600,$F$8:$F$1600,$F621),0)</f>
        <v/>
      </c>
      <c r="DI621" s="78">
        <f>IF($DG621=1,COUNTIFS($F$8:$F$1600,$F621,$DE$8:$DE$1600,1),0)</f>
        <v/>
      </c>
      <c r="DJ621" s="84">
        <f>IF($DG621=1,$DH621+(100000-ROW())/mTieBreak,0)</f>
        <v/>
      </c>
    </row>
    <row r="622">
      <c r="B622" s="68" t="n">
        <v>35</v>
      </c>
      <c r="C622" s="69" t="inlineStr">
        <is>
          <t>UBS18C13</t>
        </is>
      </c>
      <c r="D622" s="69" t="inlineStr">
        <is>
          <t>35.000</t>
        </is>
      </c>
      <c r="E622" s="69" t="inlineStr">
        <is>
          <t>Westgate Center</t>
        </is>
      </c>
      <c r="F622" s="69" t="inlineStr">
        <is>
          <t>LNUBS18C13-35.000</t>
        </is>
      </c>
      <c r="G622" s="70" t="n"/>
      <c r="H622" s="71" t="n">
        <v>7550000</v>
      </c>
      <c r="I622" s="71" t="n">
        <v>0</v>
      </c>
      <c r="J622" s="72" t="n">
        <v>5.4475</v>
      </c>
      <c r="K622" s="69" t="inlineStr">
        <is>
          <t>Fixed rate</t>
        </is>
      </c>
      <c r="L622" s="68" t="n">
        <v>120</v>
      </c>
      <c r="M622" s="68" t="n"/>
      <c r="N622" s="68" t="n">
        <v>390</v>
      </c>
      <c r="O622" s="68" t="n">
        <v>30</v>
      </c>
      <c r="P622" s="68" t="n"/>
      <c r="Q622" s="68" t="n"/>
      <c r="R622" s="69" t="inlineStr">
        <is>
          <t>IO then Amort</t>
        </is>
      </c>
      <c r="S622" s="69" t="inlineStr">
        <is>
          <t>No</t>
        </is>
      </c>
      <c r="T622" s="73" t="n">
        <v>43344</v>
      </c>
      <c r="U622" s="73" t="n">
        <v>47002</v>
      </c>
      <c r="V622" s="73" t="n"/>
      <c r="W622" s="69" t="n"/>
      <c r="X622" s="69" t="inlineStr">
        <is>
          <t>Current</t>
        </is>
      </c>
      <c r="Y622" s="68" t="n"/>
      <c r="Z622" s="69" t="inlineStr">
        <is>
          <t>Defeasance Not Allowable</t>
        </is>
      </c>
      <c r="AA622" s="69" t="inlineStr">
        <is>
          <t>Previously</t>
        </is>
      </c>
      <c r="AB622" s="69" t="inlineStr">
        <is>
          <t>Never special serv</t>
        </is>
      </c>
      <c r="AC622" s="73" t="n"/>
      <c r="AD622" s="69" t="n"/>
      <c r="AE622" s="69" t="n"/>
      <c r="AF622" s="69" t="inlineStr">
        <is>
          <t>CA</t>
        </is>
      </c>
      <c r="AG622" s="69" t="inlineStr">
        <is>
          <t>Merced</t>
        </is>
      </c>
      <c r="AH622" s="69" t="inlineStr">
        <is>
          <t>Merced, CA</t>
        </is>
      </c>
      <c r="AI622" s="69" t="inlineStr">
        <is>
          <t>West / Pacific North</t>
        </is>
      </c>
      <c r="AJ622" s="69" t="inlineStr">
        <is>
          <t>RT</t>
        </is>
      </c>
      <c r="AK622" s="69" t="inlineStr">
        <is>
          <t>Anchored</t>
        </is>
      </c>
      <c r="AL622" s="68" t="n">
        <v>1</v>
      </c>
      <c r="AM622" s="68" t="n"/>
      <c r="AN622" s="68" t="n">
        <v>77070</v>
      </c>
      <c r="AO622" s="69" t="inlineStr">
        <is>
          <t>1976</t>
        </is>
      </c>
      <c r="AP622" s="70" t="n">
        <v>2018</v>
      </c>
      <c r="AQ622" s="74" t="n">
        <v>1.38</v>
      </c>
      <c r="AR622" s="74" t="n">
        <v>1</v>
      </c>
      <c r="AS622" s="74" t="n">
        <v>68.59999999999999</v>
      </c>
      <c r="AT622" s="74" t="n"/>
      <c r="AU622" s="74" t="n">
        <v>60.7</v>
      </c>
      <c r="AV622" s="74" t="n">
        <v>9.361744901</v>
      </c>
      <c r="AW622" s="74" t="n"/>
      <c r="AX622" s="75" t="n">
        <v>75</v>
      </c>
      <c r="AY622" s="71" t="n">
        <v>11000000</v>
      </c>
      <c r="AZ622" s="71" t="n">
        <v>11000000</v>
      </c>
      <c r="BA622" s="71" t="n">
        <v>706811.74</v>
      </c>
      <c r="BB622" s="71" t="n">
        <v>127663.67</v>
      </c>
      <c r="BC622" s="69" t="inlineStr">
        <is>
          <t>Refinance</t>
        </is>
      </c>
      <c r="BD622" s="69" t="inlineStr">
        <is>
          <t>N</t>
        </is>
      </c>
      <c r="BE622" s="71" t="n"/>
      <c r="BF622" s="71" t="n"/>
      <c r="BG622" s="71" t="n"/>
      <c r="BH622" s="71" t="n">
        <v>0</v>
      </c>
      <c r="BI622" s="71" t="n">
        <v>0</v>
      </c>
      <c r="BJ622" s="69" t="inlineStr">
        <is>
          <t>N</t>
        </is>
      </c>
      <c r="BK622" s="69" t="inlineStr">
        <is>
          <t>Cardenas Markets</t>
        </is>
      </c>
      <c r="BL622" s="75" t="n">
        <v>47.36</v>
      </c>
      <c r="BM622" s="73" t="n">
        <v>50586</v>
      </c>
      <c r="BN622" s="69" t="inlineStr">
        <is>
          <t>Sanjiv Chopra</t>
        </is>
      </c>
      <c r="BO622" s="69" t="n"/>
      <c r="BP622" s="69" t="inlineStr">
        <is>
          <t>Midland Loan Services</t>
        </is>
      </c>
      <c r="BQ622" s="69" t="inlineStr">
        <is>
          <t>Midland Loan Services</t>
        </is>
      </c>
      <c r="BR622" s="69" t="inlineStr">
        <is>
          <t>Payoff With Penalty</t>
        </is>
      </c>
      <c r="BS622" s="73" t="n">
        <v>45118</v>
      </c>
      <c r="BU622" s="76">
        <f>IF($C622="","",IFERROR(INDEX(dmName,MATCH($C622,dmID,0)),"Unmapped"))</f>
        <v/>
      </c>
      <c r="BV622" s="76">
        <f>IF($C622="","",IFERROR(INDEX(dmEntity,MATCH($C622,dmID,0)),"Unmapped"))</f>
        <v/>
      </c>
      <c r="BW622" s="77">
        <f>IF($C622="","",IFERROR(INDEX(dmVintage,MATCH($C622,dmID,0)),""))</f>
        <v/>
      </c>
      <c r="BX622" s="78">
        <f>IFERROR(INDEX(dmInclude,MATCH($C622,dmID,0)),0)</f>
        <v/>
      </c>
      <c r="BY622" s="78">
        <f>IF(N($I622)&gt;0,1,0)</f>
        <v/>
      </c>
      <c r="BZ622" s="76">
        <f>IF($AJ622="","Other / Leased Fee",IFERROR(INDEX(mapPTGroup,MATCH(LEFT(TRIM($AJ622),2),mapPTCode,0)),"Other / Leased Fee"))</f>
        <v/>
      </c>
      <c r="CA622" s="76">
        <f>IF(TRIM($AF622&amp;"")="","NR",LEFT(TRIM($AF622),2))</f>
        <v/>
      </c>
      <c r="CB622" s="76">
        <f>IFERROR(LOOKUP(2,1/(LEFT(TRIM($AI622&amp;""),LEN(mapRegion))=mapRegion),mapRegion),"Not Reported")</f>
        <v/>
      </c>
      <c r="CC622" s="76">
        <f>IF($BY622=0,"",IF(TRIM($W622&amp;"")="REO","REO",IF(TRIM($W622&amp;"")="FC","Foreclosure",IF(TRIM($W622&amp;"")="90+","90+ Days Delinquent",IF(TRIM($W622&amp;"")="60","60 Days Delinquent",IF(TRIM($W622&amp;"")="30","30 Days Delinquent",IF($X622="Non-Performing Matured Balloon","Non-Performing Matured Balloon",IF(OR($X622="Late Payment But Less Than 30 Days Delinquent",LEFT($X622&amp;"",20)="Payment Not Received"),"Late / In Grace (&lt;30 Days)",IF($X622="Performing Matured Balloon","Performing Matured Balloon","Current")))))))))</f>
        <v/>
      </c>
      <c r="CD622" s="78">
        <f>IF(OR($CC622="REO",$CC622="Foreclosure",$CC622="90+ Days Delinquent",$CC622="60 Days Delinquent",$CC622="30 Days Delinquent",$CC622="Non-Performing Matured Balloon"),1,0)</f>
        <v/>
      </c>
      <c r="CE622" s="76">
        <f>IF($AB622="Currently special serv","Currently Specially Serviced",IF($AB622="Returned to master serv","Previously Specially Serviced","Never Specially Serviced"))</f>
        <v/>
      </c>
      <c r="CF622" s="78">
        <f>IF($CE622="Currently Specially Serviced",1,0)</f>
        <v/>
      </c>
      <c r="CG622" s="76">
        <f>IF($AA622="Yes","Currently on Watchlist",IF($AA622="Previously","Previously on Watchlist","Never on Watchlist"))</f>
        <v/>
      </c>
      <c r="CH622" s="78">
        <f>IF($CG622="Currently on Watchlist",1,0)</f>
        <v/>
      </c>
      <c r="CI622" s="76">
        <f>IF($Z622="Full Defeasance","Fully Defeased",IF($Z622="Portion Of Loan Previously Defeased","Partially Defeased",IF($Z622="Defeasance Not Allowable","Not Defeased (Not Permitted)","Not Defeased")))</f>
        <v/>
      </c>
      <c r="CJ622" s="78">
        <f>IF($CI622="Fully Defeased",1,0)</f>
        <v/>
      </c>
      <c r="CK622" s="76">
        <f>IF($R622="IO","Full IO",IF(LEFT($R622&amp;"",7)="IO then","Partial IO","Amortizing"))</f>
        <v/>
      </c>
      <c r="CL622" s="78">
        <f>IF($CK622="Full IO",1,0)</f>
        <v/>
      </c>
      <c r="CM622" s="78">
        <f>IF($CK622="Partial IO",1,0)</f>
        <v/>
      </c>
      <c r="CN622" s="76">
        <f>IF(LEFT($F622&amp;"",10)="SPLIT_LOAN","Pari Passu Split","Standalone")</f>
        <v/>
      </c>
      <c r="CO622" s="78">
        <f>IF($CN622="Pari Passu Split",1,0)</f>
        <v/>
      </c>
      <c r="CP622" s="77">
        <f>IF(ISNUMBER($T622),YEAR($T622),"")</f>
        <v/>
      </c>
      <c r="CQ622" s="79">
        <f>IF(ISNUMBER($V622),$V622,IF(ISNUMBER($U622),$U622,""))</f>
        <v/>
      </c>
      <c r="CR622" s="77">
        <f>IF(ISNUMBER($CQ622),YEAR($CQ622),"")</f>
        <v/>
      </c>
      <c r="CS622" s="78">
        <f>IF(ISNUMBER($M622),MAX(0,$M622),IF(TRIM($M622&amp;"")="matured",0,""))</f>
        <v/>
      </c>
      <c r="CT622" s="78">
        <f>IF(AND(ISNUMBER($CS622),N($CS622)&lt;=mMatWindow),1,0)</f>
        <v/>
      </c>
      <c r="CU622" s="80">
        <f>IF(ISNUMBER($J622),$J622/100,"")</f>
        <v/>
      </c>
      <c r="CV622" s="81">
        <f>IF(ISNUMBER($AQ622),$AQ622,"")</f>
        <v/>
      </c>
      <c r="CW622" s="81">
        <f>IF(ISNUMBER($AR622),$AR622,"")</f>
        <v/>
      </c>
      <c r="CX622" s="82">
        <f>IF(ISNUMBER($AS622),$AS622/100,"")</f>
        <v/>
      </c>
      <c r="CY622" s="82">
        <f>IF(ISNUMBER($AT622),$AT622/100,"")</f>
        <v/>
      </c>
      <c r="CZ622" s="82">
        <f>IF(ISNUMBER($AU622),$AU622/100,"")</f>
        <v/>
      </c>
      <c r="DA622" s="82">
        <f>IF(ISNUMBER($AV622),$AV622/100,"")</f>
        <v/>
      </c>
      <c r="DB622" s="82">
        <f>IF(ISNUMBER($AW622),$AW622/100,"")</f>
        <v/>
      </c>
      <c r="DC622" s="82">
        <f>IF(ISNUMBER($AX622),$AX622/100,"")</f>
        <v/>
      </c>
      <c r="DD622" s="77">
        <f>IFERROR(VALUE(LEFT(TRIM($AO622&amp;""),4)),"")</f>
        <v/>
      </c>
      <c r="DE622" s="78">
        <f>IF(AND($BY622=1,$BX622=1,OR(fDeal="All Deals",$BU622=fDeal),OR(fEntity="All Entities",$BV622=fEntity),OR(fPType="All Property Types",$BZ622=fPType),OR(fDefeased="Include",$CJ622=0)),1,0)</f>
        <v/>
      </c>
      <c r="DF622" s="83">
        <f>$DE622*N($I622)</f>
        <v/>
      </c>
      <c r="DG622" s="78">
        <f>IF($DE622=1,IF(COUNTIFS($F$8:$F622,$F622,$DE$8:$DE622,1)=1,1,0),0)</f>
        <v/>
      </c>
      <c r="DH622" s="83">
        <f>IF($DG622=1,SUMIFS($DF$8:$DF$1600,$F$8:$F$1600,$F622),0)</f>
        <v/>
      </c>
      <c r="DI622" s="78">
        <f>IF($DG622=1,COUNTIFS($F$8:$F$1600,$F622,$DE$8:$DE$1600,1),0)</f>
        <v/>
      </c>
      <c r="DJ622" s="84">
        <f>IF($DG622=1,$DH622+(100000-ROW())/mTieBreak,0)</f>
        <v/>
      </c>
    </row>
    <row r="623">
      <c r="B623" s="68" t="n">
        <v>36</v>
      </c>
      <c r="C623" s="69" t="inlineStr">
        <is>
          <t>UBS18C13</t>
        </is>
      </c>
      <c r="D623" s="69" t="inlineStr">
        <is>
          <t>36.000</t>
        </is>
      </c>
      <c r="E623" s="69" t="inlineStr">
        <is>
          <t>DoubleTree by Hilton Hotel Santa Fe</t>
        </is>
      </c>
      <c r="F623" s="69" t="inlineStr">
        <is>
          <t>LNUBS18C13-36.000</t>
        </is>
      </c>
      <c r="G623" s="70" t="n"/>
      <c r="H623" s="71" t="n">
        <v>7000000</v>
      </c>
      <c r="I623" s="71" t="n">
        <v>6082380.099999</v>
      </c>
      <c r="J623" s="72" t="n">
        <v>5.24</v>
      </c>
      <c r="K623" s="69" t="inlineStr">
        <is>
          <t>Fixed rate</t>
        </is>
      </c>
      <c r="L623" s="68" t="n">
        <v>120</v>
      </c>
      <c r="M623" s="68" t="n">
        <v>23</v>
      </c>
      <c r="N623" s="68" t="n">
        <v>360</v>
      </c>
      <c r="O623" s="68" t="n"/>
      <c r="P623" s="68" t="n"/>
      <c r="Q623" s="68" t="n">
        <v>97</v>
      </c>
      <c r="R623" s="69" t="n"/>
      <c r="S623" s="69" t="inlineStr">
        <is>
          <t>No</t>
        </is>
      </c>
      <c r="T623" s="73" t="n">
        <v>43313</v>
      </c>
      <c r="U623" s="73" t="n">
        <v>46971</v>
      </c>
      <c r="V623" s="73" t="n"/>
      <c r="W623" s="69" t="n"/>
      <c r="X623" s="69" t="inlineStr">
        <is>
          <t>Current</t>
        </is>
      </c>
      <c r="Y623" s="68" t="n"/>
      <c r="Z623" s="69" t="inlineStr">
        <is>
          <t>No Defeasance Occurred</t>
        </is>
      </c>
      <c r="AA623" s="69" t="inlineStr">
        <is>
          <t>Yes</t>
        </is>
      </c>
      <c r="AB623" s="69" t="inlineStr">
        <is>
          <t>Never special serv</t>
        </is>
      </c>
      <c r="AC623" s="73" t="n"/>
      <c r="AD623" s="69" t="n"/>
      <c r="AE623" s="69" t="n"/>
      <c r="AF623" s="69" t="inlineStr">
        <is>
          <t>NM</t>
        </is>
      </c>
      <c r="AG623" s="69" t="inlineStr">
        <is>
          <t>Santa Fe</t>
        </is>
      </c>
      <c r="AH623" s="69" t="inlineStr">
        <is>
          <t>Santa Fe, NM</t>
        </is>
      </c>
      <c r="AI623" s="69" t="inlineStr">
        <is>
          <t>West / Mountain</t>
        </is>
      </c>
      <c r="AJ623" s="69" t="inlineStr">
        <is>
          <t>HT</t>
        </is>
      </c>
      <c r="AK623" s="69" t="inlineStr">
        <is>
          <t>Full Service</t>
        </is>
      </c>
      <c r="AL623" s="68" t="n">
        <v>1</v>
      </c>
      <c r="AM623" s="68" t="n">
        <v>130</v>
      </c>
      <c r="AN623" s="68" t="n"/>
      <c r="AO623" s="69" t="inlineStr">
        <is>
          <t>1986</t>
        </is>
      </c>
      <c r="AP623" s="70" t="n">
        <v>2017</v>
      </c>
      <c r="AQ623" s="74" t="n">
        <v>2.45</v>
      </c>
      <c r="AR623" s="74" t="n">
        <v>1.01</v>
      </c>
      <c r="AS623" s="74" t="n">
        <v>56.8</v>
      </c>
      <c r="AT623" s="74" t="n">
        <v>49.45</v>
      </c>
      <c r="AU623" s="74" t="n">
        <v>47.2</v>
      </c>
      <c r="AV623" s="74" t="n">
        <v>16.191252143</v>
      </c>
      <c r="AW623" s="74" t="n">
        <v>7.728164177</v>
      </c>
      <c r="AX623" s="75" t="n">
        <v>74</v>
      </c>
      <c r="AY623" s="71" t="n">
        <v>12300000</v>
      </c>
      <c r="AZ623" s="71" t="n">
        <v>12300000</v>
      </c>
      <c r="BA623" s="71" t="n">
        <v>1133387.65</v>
      </c>
      <c r="BB623" s="71" t="n">
        <v>470056.32</v>
      </c>
      <c r="BC623" s="69" t="inlineStr">
        <is>
          <t>Refinance</t>
        </is>
      </c>
      <c r="BD623" s="69" t="inlineStr">
        <is>
          <t>N</t>
        </is>
      </c>
      <c r="BE623" s="71" t="n"/>
      <c r="BF623" s="71" t="n"/>
      <c r="BG623" s="71" t="n"/>
      <c r="BH623" s="71" t="n">
        <v>0</v>
      </c>
      <c r="BI623" s="71" t="n">
        <v>0</v>
      </c>
      <c r="BJ623" s="69" t="inlineStr">
        <is>
          <t>N</t>
        </is>
      </c>
      <c r="BK623" s="69" t="n"/>
      <c r="BL623" s="75" t="n"/>
      <c r="BM623" s="73" t="n"/>
      <c r="BN623" s="69" t="inlineStr">
        <is>
          <t>Satish J. Patel; Dharmesh Patel</t>
        </is>
      </c>
      <c r="BO623" s="69" t="n"/>
      <c r="BP623" s="69" t="inlineStr">
        <is>
          <t>Midland Loan Services</t>
        </is>
      </c>
      <c r="BQ623" s="69" t="inlineStr">
        <is>
          <t>Midland Loan Services</t>
        </is>
      </c>
      <c r="BR623" s="69" t="n"/>
      <c r="BS623" s="73" t="n">
        <v>46276</v>
      </c>
      <c r="BU623" s="76">
        <f>IF($C623="","",IFERROR(INDEX(dmName,MATCH($C623,dmID,0)),"Unmapped"))</f>
        <v/>
      </c>
      <c r="BV623" s="76">
        <f>IF($C623="","",IFERROR(INDEX(dmEntity,MATCH($C623,dmID,0)),"Unmapped"))</f>
        <v/>
      </c>
      <c r="BW623" s="77">
        <f>IF($C623="","",IFERROR(INDEX(dmVintage,MATCH($C623,dmID,0)),""))</f>
        <v/>
      </c>
      <c r="BX623" s="78">
        <f>IFERROR(INDEX(dmInclude,MATCH($C623,dmID,0)),0)</f>
        <v/>
      </c>
      <c r="BY623" s="78">
        <f>IF(N($I623)&gt;0,1,0)</f>
        <v/>
      </c>
      <c r="BZ623" s="76">
        <f>IF($AJ623="","Other / Leased Fee",IFERROR(INDEX(mapPTGroup,MATCH(LEFT(TRIM($AJ623),2),mapPTCode,0)),"Other / Leased Fee"))</f>
        <v/>
      </c>
      <c r="CA623" s="76">
        <f>IF(TRIM($AF623&amp;"")="","NR",LEFT(TRIM($AF623),2))</f>
        <v/>
      </c>
      <c r="CB623" s="76">
        <f>IFERROR(LOOKUP(2,1/(LEFT(TRIM($AI623&amp;""),LEN(mapRegion))=mapRegion),mapRegion),"Not Reported")</f>
        <v/>
      </c>
      <c r="CC623" s="76">
        <f>IF($BY623=0,"",IF(TRIM($W623&amp;"")="REO","REO",IF(TRIM($W623&amp;"")="FC","Foreclosure",IF(TRIM($W623&amp;"")="90+","90+ Days Delinquent",IF(TRIM($W623&amp;"")="60","60 Days Delinquent",IF(TRIM($W623&amp;"")="30","30 Days Delinquent",IF($X623="Non-Performing Matured Balloon","Non-Performing Matured Balloon",IF(OR($X623="Late Payment But Less Than 30 Days Delinquent",LEFT($X623&amp;"",20)="Payment Not Received"),"Late / In Grace (&lt;30 Days)",IF($X623="Performing Matured Balloon","Performing Matured Balloon","Current")))))))))</f>
        <v/>
      </c>
      <c r="CD623" s="78">
        <f>IF(OR($CC623="REO",$CC623="Foreclosure",$CC623="90+ Days Delinquent",$CC623="60 Days Delinquent",$CC623="30 Days Delinquent",$CC623="Non-Performing Matured Balloon"),1,0)</f>
        <v/>
      </c>
      <c r="CE623" s="76">
        <f>IF($AB623="Currently special serv","Currently Specially Serviced",IF($AB623="Returned to master serv","Previously Specially Serviced","Never Specially Serviced"))</f>
        <v/>
      </c>
      <c r="CF623" s="78">
        <f>IF($CE623="Currently Specially Serviced",1,0)</f>
        <v/>
      </c>
      <c r="CG623" s="76">
        <f>IF($AA623="Yes","Currently on Watchlist",IF($AA623="Previously","Previously on Watchlist","Never on Watchlist"))</f>
        <v/>
      </c>
      <c r="CH623" s="78">
        <f>IF($CG623="Currently on Watchlist",1,0)</f>
        <v/>
      </c>
      <c r="CI623" s="76">
        <f>IF($Z623="Full Defeasance","Fully Defeased",IF($Z623="Portion Of Loan Previously Defeased","Partially Defeased",IF($Z623="Defeasance Not Allowable","Not Defeased (Not Permitted)","Not Defeased")))</f>
        <v/>
      </c>
      <c r="CJ623" s="78">
        <f>IF($CI623="Fully Defeased",1,0)</f>
        <v/>
      </c>
      <c r="CK623" s="76">
        <f>IF($R623="IO","Full IO",IF(LEFT($R623&amp;"",7)="IO then","Partial IO","Amortizing"))</f>
        <v/>
      </c>
      <c r="CL623" s="78">
        <f>IF($CK623="Full IO",1,0)</f>
        <v/>
      </c>
      <c r="CM623" s="78">
        <f>IF($CK623="Partial IO",1,0)</f>
        <v/>
      </c>
      <c r="CN623" s="76">
        <f>IF(LEFT($F623&amp;"",10)="SPLIT_LOAN","Pari Passu Split","Standalone")</f>
        <v/>
      </c>
      <c r="CO623" s="78">
        <f>IF($CN623="Pari Passu Split",1,0)</f>
        <v/>
      </c>
      <c r="CP623" s="77">
        <f>IF(ISNUMBER($T623),YEAR($T623),"")</f>
        <v/>
      </c>
      <c r="CQ623" s="79">
        <f>IF(ISNUMBER($V623),$V623,IF(ISNUMBER($U623),$U623,""))</f>
        <v/>
      </c>
      <c r="CR623" s="77">
        <f>IF(ISNUMBER($CQ623),YEAR($CQ623),"")</f>
        <v/>
      </c>
      <c r="CS623" s="78">
        <f>IF(ISNUMBER($M623),MAX(0,$M623),IF(TRIM($M623&amp;"")="matured",0,""))</f>
        <v/>
      </c>
      <c r="CT623" s="78">
        <f>IF(AND(ISNUMBER($CS623),N($CS623)&lt;=mMatWindow),1,0)</f>
        <v/>
      </c>
      <c r="CU623" s="80">
        <f>IF(ISNUMBER($J623),$J623/100,"")</f>
        <v/>
      </c>
      <c r="CV623" s="81">
        <f>IF(ISNUMBER($AQ623),$AQ623,"")</f>
        <v/>
      </c>
      <c r="CW623" s="81">
        <f>IF(ISNUMBER($AR623),$AR623,"")</f>
        <v/>
      </c>
      <c r="CX623" s="82">
        <f>IF(ISNUMBER($AS623),$AS623/100,"")</f>
        <v/>
      </c>
      <c r="CY623" s="82">
        <f>IF(ISNUMBER($AT623),$AT623/100,"")</f>
        <v/>
      </c>
      <c r="CZ623" s="82">
        <f>IF(ISNUMBER($AU623),$AU623/100,"")</f>
        <v/>
      </c>
      <c r="DA623" s="82">
        <f>IF(ISNUMBER($AV623),$AV623/100,"")</f>
        <v/>
      </c>
      <c r="DB623" s="82">
        <f>IF(ISNUMBER($AW623),$AW623/100,"")</f>
        <v/>
      </c>
      <c r="DC623" s="82">
        <f>IF(ISNUMBER($AX623),$AX623/100,"")</f>
        <v/>
      </c>
      <c r="DD623" s="77">
        <f>IFERROR(VALUE(LEFT(TRIM($AO623&amp;""),4)),"")</f>
        <v/>
      </c>
      <c r="DE623" s="78">
        <f>IF(AND($BY623=1,$BX623=1,OR(fDeal="All Deals",$BU623=fDeal),OR(fEntity="All Entities",$BV623=fEntity),OR(fPType="All Property Types",$BZ623=fPType),OR(fDefeased="Include",$CJ623=0)),1,0)</f>
        <v/>
      </c>
      <c r="DF623" s="83">
        <f>$DE623*N($I623)</f>
        <v/>
      </c>
      <c r="DG623" s="78">
        <f>IF($DE623=1,IF(COUNTIFS($F$8:$F623,$F623,$DE$8:$DE623,1)=1,1,0),0)</f>
        <v/>
      </c>
      <c r="DH623" s="83">
        <f>IF($DG623=1,SUMIFS($DF$8:$DF$1600,$F$8:$F$1600,$F623),0)</f>
        <v/>
      </c>
      <c r="DI623" s="78">
        <f>IF($DG623=1,COUNTIFS($F$8:$F$1600,$F623,$DE$8:$DE$1600,1),0)</f>
        <v/>
      </c>
      <c r="DJ623" s="84">
        <f>IF($DG623=1,$DH623+(100000-ROW())/mTieBreak,0)</f>
        <v/>
      </c>
    </row>
    <row r="624">
      <c r="B624" s="68" t="n">
        <v>37</v>
      </c>
      <c r="C624" s="69" t="inlineStr">
        <is>
          <t>UBS18C13</t>
        </is>
      </c>
      <c r="D624" s="69" t="inlineStr">
        <is>
          <t>37.000</t>
        </is>
      </c>
      <c r="E624" s="69" t="inlineStr">
        <is>
          <t>Kohl's - Fort Smith</t>
        </is>
      </c>
      <c r="F624" s="69" t="inlineStr">
        <is>
          <t>LNUBS18C13-37.000</t>
        </is>
      </c>
      <c r="G624" s="70" t="n"/>
      <c r="H624" s="71" t="n">
        <v>6821006</v>
      </c>
      <c r="I624" s="71" t="n">
        <v>6200990.979997718</v>
      </c>
      <c r="J624" s="72" t="n">
        <v>5.3045</v>
      </c>
      <c r="K624" s="69" t="inlineStr">
        <is>
          <t>Fixed rate</t>
        </is>
      </c>
      <c r="L624" s="68" t="n">
        <v>120</v>
      </c>
      <c r="M624" s="68" t="n">
        <v>24</v>
      </c>
      <c r="N624" s="68" t="n">
        <v>385</v>
      </c>
      <c r="O624" s="68" t="n">
        <v>25</v>
      </c>
      <c r="P624" s="68" t="n">
        <v>0</v>
      </c>
      <c r="Q624" s="68" t="n">
        <v>96</v>
      </c>
      <c r="R624" s="69" t="inlineStr">
        <is>
          <t>IO then Amort</t>
        </is>
      </c>
      <c r="S624" s="69" t="inlineStr">
        <is>
          <t>No</t>
        </is>
      </c>
      <c r="T624" s="73" t="n">
        <v>43344</v>
      </c>
      <c r="U624" s="73" t="n">
        <v>48371</v>
      </c>
      <c r="V624" s="73" t="n">
        <v>47002</v>
      </c>
      <c r="W624" s="69" t="n"/>
      <c r="X624" s="69" t="inlineStr">
        <is>
          <t>Current</t>
        </is>
      </c>
      <c r="Y624" s="68" t="n"/>
      <c r="Z624" s="69" t="inlineStr">
        <is>
          <t>Defeasance Not Allowable</t>
        </is>
      </c>
      <c r="AA624" s="69" t="inlineStr">
        <is>
          <t>Yes</t>
        </is>
      </c>
      <c r="AB624" s="69" t="inlineStr">
        <is>
          <t>Never special serv</t>
        </is>
      </c>
      <c r="AC624" s="73" t="n"/>
      <c r="AD624" s="69" t="n"/>
      <c r="AE624" s="69" t="n"/>
      <c r="AF624" s="69" t="inlineStr">
        <is>
          <t>AR</t>
        </is>
      </c>
      <c r="AG624" s="69" t="inlineStr">
        <is>
          <t>Fort Smith</t>
        </is>
      </c>
      <c r="AH624" s="69" t="inlineStr">
        <is>
          <t>Fort Smith, AR-OK</t>
        </is>
      </c>
      <c r="AI624" s="69" t="inlineStr">
        <is>
          <t>South / Central West</t>
        </is>
      </c>
      <c r="AJ624" s="69" t="inlineStr">
        <is>
          <t>RT</t>
        </is>
      </c>
      <c r="AK624" s="69" t="inlineStr">
        <is>
          <t>Single Tenant</t>
        </is>
      </c>
      <c r="AL624" s="68" t="n">
        <v>1</v>
      </c>
      <c r="AM624" s="68" t="n"/>
      <c r="AN624" s="68" t="n">
        <v>62117</v>
      </c>
      <c r="AO624" s="69" t="inlineStr">
        <is>
          <t>1999</t>
        </is>
      </c>
      <c r="AP624" s="70" t="n">
        <v>2018</v>
      </c>
      <c r="AQ624" s="74" t="n">
        <v>1.45</v>
      </c>
      <c r="AR624" s="74" t="n">
        <v>1.27</v>
      </c>
      <c r="AS624" s="74" t="n">
        <v>69.59999999999999</v>
      </c>
      <c r="AT624" s="74" t="n">
        <v>63.28</v>
      </c>
      <c r="AU624" s="74" t="n">
        <v>60.8</v>
      </c>
      <c r="AV624" s="74" t="n">
        <v>9.6882432</v>
      </c>
      <c r="AW624" s="74" t="n">
        <v>9.299251069</v>
      </c>
      <c r="AX624" s="75" t="n">
        <v>100</v>
      </c>
      <c r="AY624" s="71" t="n">
        <v>9800000</v>
      </c>
      <c r="AZ624" s="71" t="n">
        <v>9800000</v>
      </c>
      <c r="BA624" s="71" t="n">
        <v>660835.65</v>
      </c>
      <c r="BB624" s="71" t="n">
        <v>576645.72</v>
      </c>
      <c r="BC624" s="69" t="inlineStr">
        <is>
          <t>Acquisition</t>
        </is>
      </c>
      <c r="BD624" s="69" t="inlineStr">
        <is>
          <t>N</t>
        </is>
      </c>
      <c r="BE624" s="71" t="n"/>
      <c r="BF624" s="71" t="n"/>
      <c r="BG624" s="71" t="n"/>
      <c r="BH624" s="71" t="n">
        <v>0</v>
      </c>
      <c r="BI624" s="71" t="n">
        <v>0</v>
      </c>
      <c r="BJ624" s="69" t="inlineStr">
        <is>
          <t>N</t>
        </is>
      </c>
      <c r="BK624" s="69" t="inlineStr">
        <is>
          <t>Fort Smith BJ Partners LLC</t>
        </is>
      </c>
      <c r="BL624" s="75" t="n">
        <v>100</v>
      </c>
      <c r="BM624" s="73" t="n">
        <v>48395</v>
      </c>
      <c r="BN624" s="69" t="inlineStr">
        <is>
          <t>Rivie Schwebel</t>
        </is>
      </c>
      <c r="BO624" s="69" t="n"/>
      <c r="BP624" s="69" t="inlineStr">
        <is>
          <t>Midland Loan Services</t>
        </is>
      </c>
      <c r="BQ624" s="69" t="inlineStr">
        <is>
          <t>Midland Loan Services</t>
        </is>
      </c>
      <c r="BR624" s="69" t="n"/>
      <c r="BS624" s="73" t="n">
        <v>46276</v>
      </c>
      <c r="BU624" s="76">
        <f>IF($C624="","",IFERROR(INDEX(dmName,MATCH($C624,dmID,0)),"Unmapped"))</f>
        <v/>
      </c>
      <c r="BV624" s="76">
        <f>IF($C624="","",IFERROR(INDEX(dmEntity,MATCH($C624,dmID,0)),"Unmapped"))</f>
        <v/>
      </c>
      <c r="BW624" s="77">
        <f>IF($C624="","",IFERROR(INDEX(dmVintage,MATCH($C624,dmID,0)),""))</f>
        <v/>
      </c>
      <c r="BX624" s="78">
        <f>IFERROR(INDEX(dmInclude,MATCH($C624,dmID,0)),0)</f>
        <v/>
      </c>
      <c r="BY624" s="78">
        <f>IF(N($I624)&gt;0,1,0)</f>
        <v/>
      </c>
      <c r="BZ624" s="76">
        <f>IF($AJ624="","Other / Leased Fee",IFERROR(INDEX(mapPTGroup,MATCH(LEFT(TRIM($AJ624),2),mapPTCode,0)),"Other / Leased Fee"))</f>
        <v/>
      </c>
      <c r="CA624" s="76">
        <f>IF(TRIM($AF624&amp;"")="","NR",LEFT(TRIM($AF624),2))</f>
        <v/>
      </c>
      <c r="CB624" s="76">
        <f>IFERROR(LOOKUP(2,1/(LEFT(TRIM($AI624&amp;""),LEN(mapRegion))=mapRegion),mapRegion),"Not Reported")</f>
        <v/>
      </c>
      <c r="CC624" s="76">
        <f>IF($BY624=0,"",IF(TRIM($W624&amp;"")="REO","REO",IF(TRIM($W624&amp;"")="FC","Foreclosure",IF(TRIM($W624&amp;"")="90+","90+ Days Delinquent",IF(TRIM($W624&amp;"")="60","60 Days Delinquent",IF(TRIM($W624&amp;"")="30","30 Days Delinquent",IF($X624="Non-Performing Matured Balloon","Non-Performing Matured Balloon",IF(OR($X624="Late Payment But Less Than 30 Days Delinquent",LEFT($X624&amp;"",20)="Payment Not Received"),"Late / In Grace (&lt;30 Days)",IF($X624="Performing Matured Balloon","Performing Matured Balloon","Current")))))))))</f>
        <v/>
      </c>
      <c r="CD624" s="78">
        <f>IF(OR($CC624="REO",$CC624="Foreclosure",$CC624="90+ Days Delinquent",$CC624="60 Days Delinquent",$CC624="30 Days Delinquent",$CC624="Non-Performing Matured Balloon"),1,0)</f>
        <v/>
      </c>
      <c r="CE624" s="76">
        <f>IF($AB624="Currently special serv","Currently Specially Serviced",IF($AB624="Returned to master serv","Previously Specially Serviced","Never Specially Serviced"))</f>
        <v/>
      </c>
      <c r="CF624" s="78">
        <f>IF($CE624="Currently Specially Serviced",1,0)</f>
        <v/>
      </c>
      <c r="CG624" s="76">
        <f>IF($AA624="Yes","Currently on Watchlist",IF($AA624="Previously","Previously on Watchlist","Never on Watchlist"))</f>
        <v/>
      </c>
      <c r="CH624" s="78">
        <f>IF($CG624="Currently on Watchlist",1,0)</f>
        <v/>
      </c>
      <c r="CI624" s="76">
        <f>IF($Z624="Full Defeasance","Fully Defeased",IF($Z624="Portion Of Loan Previously Defeased","Partially Defeased",IF($Z624="Defeasance Not Allowable","Not Defeased (Not Permitted)","Not Defeased")))</f>
        <v/>
      </c>
      <c r="CJ624" s="78">
        <f>IF($CI624="Fully Defeased",1,0)</f>
        <v/>
      </c>
      <c r="CK624" s="76">
        <f>IF($R624="IO","Full IO",IF(LEFT($R624&amp;"",7)="IO then","Partial IO","Amortizing"))</f>
        <v/>
      </c>
      <c r="CL624" s="78">
        <f>IF($CK624="Full IO",1,0)</f>
        <v/>
      </c>
      <c r="CM624" s="78">
        <f>IF($CK624="Partial IO",1,0)</f>
        <v/>
      </c>
      <c r="CN624" s="76">
        <f>IF(LEFT($F624&amp;"",10)="SPLIT_LOAN","Pari Passu Split","Standalone")</f>
        <v/>
      </c>
      <c r="CO624" s="78">
        <f>IF($CN624="Pari Passu Split",1,0)</f>
        <v/>
      </c>
      <c r="CP624" s="77">
        <f>IF(ISNUMBER($T624),YEAR($T624),"")</f>
        <v/>
      </c>
      <c r="CQ624" s="79">
        <f>IF(ISNUMBER($V624),$V624,IF(ISNUMBER($U624),$U624,""))</f>
        <v/>
      </c>
      <c r="CR624" s="77">
        <f>IF(ISNUMBER($CQ624),YEAR($CQ624),"")</f>
        <v/>
      </c>
      <c r="CS624" s="78">
        <f>IF(ISNUMBER($M624),MAX(0,$M624),IF(TRIM($M624&amp;"")="matured",0,""))</f>
        <v/>
      </c>
      <c r="CT624" s="78">
        <f>IF(AND(ISNUMBER($CS624),N($CS624)&lt;=mMatWindow),1,0)</f>
        <v/>
      </c>
      <c r="CU624" s="80">
        <f>IF(ISNUMBER($J624),$J624/100,"")</f>
        <v/>
      </c>
      <c r="CV624" s="81">
        <f>IF(ISNUMBER($AQ624),$AQ624,"")</f>
        <v/>
      </c>
      <c r="CW624" s="81">
        <f>IF(ISNUMBER($AR624),$AR624,"")</f>
        <v/>
      </c>
      <c r="CX624" s="82">
        <f>IF(ISNUMBER($AS624),$AS624/100,"")</f>
        <v/>
      </c>
      <c r="CY624" s="82">
        <f>IF(ISNUMBER($AT624),$AT624/100,"")</f>
        <v/>
      </c>
      <c r="CZ624" s="82">
        <f>IF(ISNUMBER($AU624),$AU624/100,"")</f>
        <v/>
      </c>
      <c r="DA624" s="82">
        <f>IF(ISNUMBER($AV624),$AV624/100,"")</f>
        <v/>
      </c>
      <c r="DB624" s="82">
        <f>IF(ISNUMBER($AW624),$AW624/100,"")</f>
        <v/>
      </c>
      <c r="DC624" s="82">
        <f>IF(ISNUMBER($AX624),$AX624/100,"")</f>
        <v/>
      </c>
      <c r="DD624" s="77">
        <f>IFERROR(VALUE(LEFT(TRIM($AO624&amp;""),4)),"")</f>
        <v/>
      </c>
      <c r="DE624" s="78">
        <f>IF(AND($BY624=1,$BX624=1,OR(fDeal="All Deals",$BU624=fDeal),OR(fEntity="All Entities",$BV624=fEntity),OR(fPType="All Property Types",$BZ624=fPType),OR(fDefeased="Include",$CJ624=0)),1,0)</f>
        <v/>
      </c>
      <c r="DF624" s="83">
        <f>$DE624*N($I624)</f>
        <v/>
      </c>
      <c r="DG624" s="78">
        <f>IF($DE624=1,IF(COUNTIFS($F$8:$F624,$F624,$DE$8:$DE624,1)=1,1,0),0)</f>
        <v/>
      </c>
      <c r="DH624" s="83">
        <f>IF($DG624=1,SUMIFS($DF$8:$DF$1600,$F$8:$F$1600,$F624),0)</f>
        <v/>
      </c>
      <c r="DI624" s="78">
        <f>IF($DG624=1,COUNTIFS($F$8:$F$1600,$F624,$DE$8:$DE$1600,1),0)</f>
        <v/>
      </c>
      <c r="DJ624" s="84">
        <f>IF($DG624=1,$DH624+(100000-ROW())/mTieBreak,0)</f>
        <v/>
      </c>
    </row>
    <row r="625">
      <c r="B625" s="68" t="n">
        <v>38</v>
      </c>
      <c r="C625" s="69" t="inlineStr">
        <is>
          <t>UBS18C13</t>
        </is>
      </c>
      <c r="D625" s="69" t="inlineStr">
        <is>
          <t>38.000</t>
        </is>
      </c>
      <c r="E625" s="69" t="inlineStr">
        <is>
          <t>Scottsdale Haciendas</t>
        </is>
      </c>
      <c r="F625" s="69" t="inlineStr">
        <is>
          <t>LNUBS18C13-38.000</t>
        </is>
      </c>
      <c r="G625" s="70" t="n"/>
      <c r="H625" s="71" t="n">
        <v>6500000</v>
      </c>
      <c r="I625" s="71" t="n">
        <v>6500000</v>
      </c>
      <c r="J625" s="72" t="n">
        <v>4.7795</v>
      </c>
      <c r="K625" s="69" t="inlineStr">
        <is>
          <t>Fixed rate</t>
        </is>
      </c>
      <c r="L625" s="68" t="n">
        <v>120</v>
      </c>
      <c r="M625" s="68" t="n">
        <v>24</v>
      </c>
      <c r="N625" s="68" t="n">
        <v>120</v>
      </c>
      <c r="O625" s="68" t="n">
        <v>120</v>
      </c>
      <c r="P625" s="68" t="n">
        <v>24</v>
      </c>
      <c r="Q625" s="68" t="n">
        <v>96</v>
      </c>
      <c r="R625" s="69" t="inlineStr">
        <is>
          <t>IO</t>
        </is>
      </c>
      <c r="S625" s="69" t="inlineStr">
        <is>
          <t>Yes</t>
        </is>
      </c>
      <c r="T625" s="73" t="n">
        <v>43344</v>
      </c>
      <c r="U625" s="73" t="n">
        <v>47002</v>
      </c>
      <c r="V625" s="73" t="n"/>
      <c r="W625" s="69" t="n"/>
      <c r="X625" s="69" t="inlineStr">
        <is>
          <t>Current</t>
        </is>
      </c>
      <c r="Y625" s="68" t="n"/>
      <c r="Z625" s="69" t="inlineStr">
        <is>
          <t>Defeasance Not Allowable</t>
        </is>
      </c>
      <c r="AA625" s="69" t="n"/>
      <c r="AB625" s="69" t="inlineStr">
        <is>
          <t>Never special serv</t>
        </is>
      </c>
      <c r="AC625" s="73" t="n"/>
      <c r="AD625" s="69" t="n"/>
      <c r="AE625" s="69" t="n"/>
      <c r="AF625" s="69" t="inlineStr">
        <is>
          <t>AZ</t>
        </is>
      </c>
      <c r="AG625" s="69" t="inlineStr">
        <is>
          <t>Scottsdale</t>
        </is>
      </c>
      <c r="AH625" s="69" t="inlineStr">
        <is>
          <t>Phoenix-Mesa-Chandler, AZ</t>
        </is>
      </c>
      <c r="AI625" s="69" t="inlineStr">
        <is>
          <t>West / Mountain</t>
        </is>
      </c>
      <c r="AJ625" s="69" t="inlineStr">
        <is>
          <t>MF</t>
        </is>
      </c>
      <c r="AK625" s="69" t="inlineStr">
        <is>
          <t>Garden</t>
        </is>
      </c>
      <c r="AL625" s="68" t="n">
        <v>1</v>
      </c>
      <c r="AM625" s="68" t="n">
        <v>79</v>
      </c>
      <c r="AN625" s="68" t="n"/>
      <c r="AO625" s="69" t="inlineStr">
        <is>
          <t>1985</t>
        </is>
      </c>
      <c r="AP625" s="70" t="n">
        <v>2010</v>
      </c>
      <c r="AQ625" s="74" t="n">
        <v>2.21</v>
      </c>
      <c r="AR625" s="74" t="n">
        <v>2.71</v>
      </c>
      <c r="AS625" s="74" t="n">
        <v>55.6</v>
      </c>
      <c r="AT625" s="74" t="n">
        <v>55.56</v>
      </c>
      <c r="AU625" s="74" t="n">
        <v>55.6</v>
      </c>
      <c r="AV625" s="74" t="n">
        <v>10.686267077</v>
      </c>
      <c r="AW625" s="74" t="n">
        <v>14.333847077</v>
      </c>
      <c r="AX625" s="75" t="n">
        <v>94</v>
      </c>
      <c r="AY625" s="71" t="n">
        <v>11700000</v>
      </c>
      <c r="AZ625" s="71" t="n">
        <v>11700000</v>
      </c>
      <c r="BA625" s="71" t="n">
        <v>694607.36</v>
      </c>
      <c r="BB625" s="71" t="n">
        <v>853068.25</v>
      </c>
      <c r="BC625" s="69" t="inlineStr">
        <is>
          <t>Acquisition</t>
        </is>
      </c>
      <c r="BD625" s="69" t="inlineStr">
        <is>
          <t>N</t>
        </is>
      </c>
      <c r="BE625" s="71" t="n"/>
      <c r="BF625" s="71" t="n"/>
      <c r="BG625" s="71" t="n"/>
      <c r="BH625" s="71" t="n">
        <v>0</v>
      </c>
      <c r="BI625" s="71" t="n">
        <v>0</v>
      </c>
      <c r="BJ625" s="69" t="inlineStr">
        <is>
          <t>N</t>
        </is>
      </c>
      <c r="BK625" s="69" t="n"/>
      <c r="BL625" s="75" t="n"/>
      <c r="BM625" s="73" t="n"/>
      <c r="BN625" s="69" t="inlineStr">
        <is>
          <t>Mauro Saladini; Antonella Saladini</t>
        </is>
      </c>
      <c r="BO625" s="69" t="n"/>
      <c r="BP625" s="69" t="inlineStr">
        <is>
          <t>Midland Loan Services</t>
        </is>
      </c>
      <c r="BQ625" s="69" t="inlineStr">
        <is>
          <t>Midland Loan Services</t>
        </is>
      </c>
      <c r="BR625" s="69" t="n"/>
      <c r="BS625" s="73" t="n">
        <v>46276</v>
      </c>
      <c r="BU625" s="76">
        <f>IF($C625="","",IFERROR(INDEX(dmName,MATCH($C625,dmID,0)),"Unmapped"))</f>
        <v/>
      </c>
      <c r="BV625" s="76">
        <f>IF($C625="","",IFERROR(INDEX(dmEntity,MATCH($C625,dmID,0)),"Unmapped"))</f>
        <v/>
      </c>
      <c r="BW625" s="77">
        <f>IF($C625="","",IFERROR(INDEX(dmVintage,MATCH($C625,dmID,0)),""))</f>
        <v/>
      </c>
      <c r="BX625" s="78">
        <f>IFERROR(INDEX(dmInclude,MATCH($C625,dmID,0)),0)</f>
        <v/>
      </c>
      <c r="BY625" s="78">
        <f>IF(N($I625)&gt;0,1,0)</f>
        <v/>
      </c>
      <c r="BZ625" s="76">
        <f>IF($AJ625="","Other / Leased Fee",IFERROR(INDEX(mapPTGroup,MATCH(LEFT(TRIM($AJ625),2),mapPTCode,0)),"Other / Leased Fee"))</f>
        <v/>
      </c>
      <c r="CA625" s="76">
        <f>IF(TRIM($AF625&amp;"")="","NR",LEFT(TRIM($AF625),2))</f>
        <v/>
      </c>
      <c r="CB625" s="76">
        <f>IFERROR(LOOKUP(2,1/(LEFT(TRIM($AI625&amp;""),LEN(mapRegion))=mapRegion),mapRegion),"Not Reported")</f>
        <v/>
      </c>
      <c r="CC625" s="76">
        <f>IF($BY625=0,"",IF(TRIM($W625&amp;"")="REO","REO",IF(TRIM($W625&amp;"")="FC","Foreclosure",IF(TRIM($W625&amp;"")="90+","90+ Days Delinquent",IF(TRIM($W625&amp;"")="60","60 Days Delinquent",IF(TRIM($W625&amp;"")="30","30 Days Delinquent",IF($X625="Non-Performing Matured Balloon","Non-Performing Matured Balloon",IF(OR($X625="Late Payment But Less Than 30 Days Delinquent",LEFT($X625&amp;"",20)="Payment Not Received"),"Late / In Grace (&lt;30 Days)",IF($X625="Performing Matured Balloon","Performing Matured Balloon","Current")))))))))</f>
        <v/>
      </c>
      <c r="CD625" s="78">
        <f>IF(OR($CC625="REO",$CC625="Foreclosure",$CC625="90+ Days Delinquent",$CC625="60 Days Delinquent",$CC625="30 Days Delinquent",$CC625="Non-Performing Matured Balloon"),1,0)</f>
        <v/>
      </c>
      <c r="CE625" s="76">
        <f>IF($AB625="Currently special serv","Currently Specially Serviced",IF($AB625="Returned to master serv","Previously Specially Serviced","Never Specially Serviced"))</f>
        <v/>
      </c>
      <c r="CF625" s="78">
        <f>IF($CE625="Currently Specially Serviced",1,0)</f>
        <v/>
      </c>
      <c r="CG625" s="76">
        <f>IF($AA625="Yes","Currently on Watchlist",IF($AA625="Previously","Previously on Watchlist","Never on Watchlist"))</f>
        <v/>
      </c>
      <c r="CH625" s="78">
        <f>IF($CG625="Currently on Watchlist",1,0)</f>
        <v/>
      </c>
      <c r="CI625" s="76">
        <f>IF($Z625="Full Defeasance","Fully Defeased",IF($Z625="Portion Of Loan Previously Defeased","Partially Defeased",IF($Z625="Defeasance Not Allowable","Not Defeased (Not Permitted)","Not Defeased")))</f>
        <v/>
      </c>
      <c r="CJ625" s="78">
        <f>IF($CI625="Fully Defeased",1,0)</f>
        <v/>
      </c>
      <c r="CK625" s="76">
        <f>IF($R625="IO","Full IO",IF(LEFT($R625&amp;"",7)="IO then","Partial IO","Amortizing"))</f>
        <v/>
      </c>
      <c r="CL625" s="78">
        <f>IF($CK625="Full IO",1,0)</f>
        <v/>
      </c>
      <c r="CM625" s="78">
        <f>IF($CK625="Partial IO",1,0)</f>
        <v/>
      </c>
      <c r="CN625" s="76">
        <f>IF(LEFT($F625&amp;"",10)="SPLIT_LOAN","Pari Passu Split","Standalone")</f>
        <v/>
      </c>
      <c r="CO625" s="78">
        <f>IF($CN625="Pari Passu Split",1,0)</f>
        <v/>
      </c>
      <c r="CP625" s="77">
        <f>IF(ISNUMBER($T625),YEAR($T625),"")</f>
        <v/>
      </c>
      <c r="CQ625" s="79">
        <f>IF(ISNUMBER($V625),$V625,IF(ISNUMBER($U625),$U625,""))</f>
        <v/>
      </c>
      <c r="CR625" s="77">
        <f>IF(ISNUMBER($CQ625),YEAR($CQ625),"")</f>
        <v/>
      </c>
      <c r="CS625" s="78">
        <f>IF(ISNUMBER($M625),MAX(0,$M625),IF(TRIM($M625&amp;"")="matured",0,""))</f>
        <v/>
      </c>
      <c r="CT625" s="78">
        <f>IF(AND(ISNUMBER($CS625),N($CS625)&lt;=mMatWindow),1,0)</f>
        <v/>
      </c>
      <c r="CU625" s="80">
        <f>IF(ISNUMBER($J625),$J625/100,"")</f>
        <v/>
      </c>
      <c r="CV625" s="81">
        <f>IF(ISNUMBER($AQ625),$AQ625,"")</f>
        <v/>
      </c>
      <c r="CW625" s="81">
        <f>IF(ISNUMBER($AR625),$AR625,"")</f>
        <v/>
      </c>
      <c r="CX625" s="82">
        <f>IF(ISNUMBER($AS625),$AS625/100,"")</f>
        <v/>
      </c>
      <c r="CY625" s="82">
        <f>IF(ISNUMBER($AT625),$AT625/100,"")</f>
        <v/>
      </c>
      <c r="CZ625" s="82">
        <f>IF(ISNUMBER($AU625),$AU625/100,"")</f>
        <v/>
      </c>
      <c r="DA625" s="82">
        <f>IF(ISNUMBER($AV625),$AV625/100,"")</f>
        <v/>
      </c>
      <c r="DB625" s="82">
        <f>IF(ISNUMBER($AW625),$AW625/100,"")</f>
        <v/>
      </c>
      <c r="DC625" s="82">
        <f>IF(ISNUMBER($AX625),$AX625/100,"")</f>
        <v/>
      </c>
      <c r="DD625" s="77">
        <f>IFERROR(VALUE(LEFT(TRIM($AO625&amp;""),4)),"")</f>
        <v/>
      </c>
      <c r="DE625" s="78">
        <f>IF(AND($BY625=1,$BX625=1,OR(fDeal="All Deals",$BU625=fDeal),OR(fEntity="All Entities",$BV625=fEntity),OR(fPType="All Property Types",$BZ625=fPType),OR(fDefeased="Include",$CJ625=0)),1,0)</f>
        <v/>
      </c>
      <c r="DF625" s="83">
        <f>$DE625*N($I625)</f>
        <v/>
      </c>
      <c r="DG625" s="78">
        <f>IF($DE625=1,IF(COUNTIFS($F$8:$F625,$F625,$DE$8:$DE625,1)=1,1,0),0)</f>
        <v/>
      </c>
      <c r="DH625" s="83">
        <f>IF($DG625=1,SUMIFS($DF$8:$DF$1600,$F$8:$F$1600,$F625),0)</f>
        <v/>
      </c>
      <c r="DI625" s="78">
        <f>IF($DG625=1,COUNTIFS($F$8:$F$1600,$F625,$DE$8:$DE$1600,1),0)</f>
        <v/>
      </c>
      <c r="DJ625" s="84">
        <f>IF($DG625=1,$DH625+(100000-ROW())/mTieBreak,0)</f>
        <v/>
      </c>
    </row>
    <row r="626">
      <c r="B626" s="68" t="n">
        <v>39</v>
      </c>
      <c r="C626" s="69" t="inlineStr">
        <is>
          <t>UBS18C13</t>
        </is>
      </c>
      <c r="D626" s="69" t="inlineStr">
        <is>
          <t>39.000</t>
        </is>
      </c>
      <c r="E626" s="69" t="inlineStr">
        <is>
          <t>Country Square</t>
        </is>
      </c>
      <c r="F626" s="69" t="inlineStr">
        <is>
          <t>LNUBS18C13-39.000</t>
        </is>
      </c>
      <c r="G626" s="70" t="n"/>
      <c r="H626" s="71" t="n">
        <v>6283000</v>
      </c>
      <c r="I626" s="71" t="n">
        <v>6283000</v>
      </c>
      <c r="J626" s="72" t="n">
        <v>4.857</v>
      </c>
      <c r="K626" s="69" t="inlineStr">
        <is>
          <t>Fixed rate</t>
        </is>
      </c>
      <c r="L626" s="68" t="n">
        <v>120</v>
      </c>
      <c r="M626" s="68" t="n">
        <v>24</v>
      </c>
      <c r="N626" s="68" t="n">
        <v>120</v>
      </c>
      <c r="O626" s="68" t="n">
        <v>120</v>
      </c>
      <c r="P626" s="68" t="n">
        <v>24</v>
      </c>
      <c r="Q626" s="68" t="n">
        <v>96</v>
      </c>
      <c r="R626" s="69" t="inlineStr">
        <is>
          <t>IO</t>
        </is>
      </c>
      <c r="S626" s="69" t="inlineStr">
        <is>
          <t>Yes</t>
        </is>
      </c>
      <c r="T626" s="73" t="n">
        <v>43344</v>
      </c>
      <c r="U626" s="73" t="n">
        <v>47002</v>
      </c>
      <c r="V626" s="73" t="n"/>
      <c r="W626" s="69" t="n"/>
      <c r="X626" s="69" t="inlineStr">
        <is>
          <t>Current</t>
        </is>
      </c>
      <c r="Y626" s="68" t="n"/>
      <c r="Z626" s="69" t="inlineStr">
        <is>
          <t>Defeasance Not Allowable</t>
        </is>
      </c>
      <c r="AA626" s="69" t="inlineStr">
        <is>
          <t>Previously</t>
        </is>
      </c>
      <c r="AB626" s="69" t="inlineStr">
        <is>
          <t>Never special serv</t>
        </is>
      </c>
      <c r="AC626" s="73" t="n"/>
      <c r="AD626" s="69" t="n"/>
      <c r="AE626" s="69" t="n"/>
      <c r="AF626" s="69" t="inlineStr">
        <is>
          <t>UT</t>
        </is>
      </c>
      <c r="AG626" s="69" t="inlineStr">
        <is>
          <t>Sandy</t>
        </is>
      </c>
      <c r="AH626" s="69" t="inlineStr">
        <is>
          <t>Salt Lake City-Murray, UT</t>
        </is>
      </c>
      <c r="AI626" s="69" t="inlineStr">
        <is>
          <t>West / Mountain</t>
        </is>
      </c>
      <c r="AJ626" s="69" t="inlineStr">
        <is>
          <t>MX</t>
        </is>
      </c>
      <c r="AK626" s="69" t="inlineStr">
        <is>
          <t>Office/Retail</t>
        </is>
      </c>
      <c r="AL626" s="68" t="n">
        <v>1</v>
      </c>
      <c r="AM626" s="68" t="n"/>
      <c r="AN626" s="68" t="n">
        <v>82846</v>
      </c>
      <c r="AO626" s="69" t="inlineStr">
        <is>
          <t>1977</t>
        </is>
      </c>
      <c r="AP626" s="70" t="n">
        <v>2000</v>
      </c>
      <c r="AQ626" s="74" t="n">
        <v>2.48</v>
      </c>
      <c r="AR626" s="74" t="n">
        <v>3.19</v>
      </c>
      <c r="AS626" s="74" t="n">
        <v>61</v>
      </c>
      <c r="AT626" s="74" t="n">
        <v>61</v>
      </c>
      <c r="AU626" s="74" t="n">
        <v>61</v>
      </c>
      <c r="AV626" s="74" t="n">
        <v>12.233443419</v>
      </c>
      <c r="AW626" s="74" t="n">
        <v>11.009664969</v>
      </c>
      <c r="AX626" s="75" t="n">
        <v>97</v>
      </c>
      <c r="AY626" s="71" t="n">
        <v>10300000</v>
      </c>
      <c r="AZ626" s="71" t="n">
        <v>10300000</v>
      </c>
      <c r="BA626" s="71" t="n">
        <v>768627.25</v>
      </c>
      <c r="BB626" s="71" t="n">
        <v>986182.8199999999</v>
      </c>
      <c r="BC626" s="69" t="inlineStr">
        <is>
          <t>Acquisition</t>
        </is>
      </c>
      <c r="BD626" s="69" t="inlineStr">
        <is>
          <t>N</t>
        </is>
      </c>
      <c r="BE626" s="71" t="n"/>
      <c r="BF626" s="71" t="n"/>
      <c r="BG626" s="71" t="n"/>
      <c r="BH626" s="71" t="n">
        <v>0</v>
      </c>
      <c r="BI626" s="71" t="n">
        <v>0</v>
      </c>
      <c r="BJ626" s="69" t="inlineStr">
        <is>
          <t>N</t>
        </is>
      </c>
      <c r="BK626" s="69" t="inlineStr">
        <is>
          <t>Easter Seals - Goodwill</t>
        </is>
      </c>
      <c r="BL626" s="75" t="n">
        <v>26.23</v>
      </c>
      <c r="BM626" s="73" t="n">
        <v>49156</v>
      </c>
      <c r="BN626" s="69" t="inlineStr">
        <is>
          <t>Steven D. Levy</t>
        </is>
      </c>
      <c r="BO626" s="69" t="n"/>
      <c r="BP626" s="69" t="inlineStr">
        <is>
          <t>Midland Loan Services</t>
        </is>
      </c>
      <c r="BQ626" s="69" t="inlineStr">
        <is>
          <t>Midland Loan Services</t>
        </is>
      </c>
      <c r="BR626" s="69" t="n"/>
      <c r="BS626" s="73" t="n">
        <v>46276</v>
      </c>
      <c r="BU626" s="76">
        <f>IF($C626="","",IFERROR(INDEX(dmName,MATCH($C626,dmID,0)),"Unmapped"))</f>
        <v/>
      </c>
      <c r="BV626" s="76">
        <f>IF($C626="","",IFERROR(INDEX(dmEntity,MATCH($C626,dmID,0)),"Unmapped"))</f>
        <v/>
      </c>
      <c r="BW626" s="77">
        <f>IF($C626="","",IFERROR(INDEX(dmVintage,MATCH($C626,dmID,0)),""))</f>
        <v/>
      </c>
      <c r="BX626" s="78">
        <f>IFERROR(INDEX(dmInclude,MATCH($C626,dmID,0)),0)</f>
        <v/>
      </c>
      <c r="BY626" s="78">
        <f>IF(N($I626)&gt;0,1,0)</f>
        <v/>
      </c>
      <c r="BZ626" s="76">
        <f>IF($AJ626="","Other / Leased Fee",IFERROR(INDEX(mapPTGroup,MATCH(LEFT(TRIM($AJ626),2),mapPTCode,0)),"Other / Leased Fee"))</f>
        <v/>
      </c>
      <c r="CA626" s="76">
        <f>IF(TRIM($AF626&amp;"")="","NR",LEFT(TRIM($AF626),2))</f>
        <v/>
      </c>
      <c r="CB626" s="76">
        <f>IFERROR(LOOKUP(2,1/(LEFT(TRIM($AI626&amp;""),LEN(mapRegion))=mapRegion),mapRegion),"Not Reported")</f>
        <v/>
      </c>
      <c r="CC626" s="76">
        <f>IF($BY626=0,"",IF(TRIM($W626&amp;"")="REO","REO",IF(TRIM($W626&amp;"")="FC","Foreclosure",IF(TRIM($W626&amp;"")="90+","90+ Days Delinquent",IF(TRIM($W626&amp;"")="60","60 Days Delinquent",IF(TRIM($W626&amp;"")="30","30 Days Delinquent",IF($X626="Non-Performing Matured Balloon","Non-Performing Matured Balloon",IF(OR($X626="Late Payment But Less Than 30 Days Delinquent",LEFT($X626&amp;"",20)="Payment Not Received"),"Late / In Grace (&lt;30 Days)",IF($X626="Performing Matured Balloon","Performing Matured Balloon","Current")))))))))</f>
        <v/>
      </c>
      <c r="CD626" s="78">
        <f>IF(OR($CC626="REO",$CC626="Foreclosure",$CC626="90+ Days Delinquent",$CC626="60 Days Delinquent",$CC626="30 Days Delinquent",$CC626="Non-Performing Matured Balloon"),1,0)</f>
        <v/>
      </c>
      <c r="CE626" s="76">
        <f>IF($AB626="Currently special serv","Currently Specially Serviced",IF($AB626="Returned to master serv","Previously Specially Serviced","Never Specially Serviced"))</f>
        <v/>
      </c>
      <c r="CF626" s="78">
        <f>IF($CE626="Currently Specially Serviced",1,0)</f>
        <v/>
      </c>
      <c r="CG626" s="76">
        <f>IF($AA626="Yes","Currently on Watchlist",IF($AA626="Previously","Previously on Watchlist","Never on Watchlist"))</f>
        <v/>
      </c>
      <c r="CH626" s="78">
        <f>IF($CG626="Currently on Watchlist",1,0)</f>
        <v/>
      </c>
      <c r="CI626" s="76">
        <f>IF($Z626="Full Defeasance","Fully Defeased",IF($Z626="Portion Of Loan Previously Defeased","Partially Defeased",IF($Z626="Defeasance Not Allowable","Not Defeased (Not Permitted)","Not Defeased")))</f>
        <v/>
      </c>
      <c r="CJ626" s="78">
        <f>IF($CI626="Fully Defeased",1,0)</f>
        <v/>
      </c>
      <c r="CK626" s="76">
        <f>IF($R626="IO","Full IO",IF(LEFT($R626&amp;"",7)="IO then","Partial IO","Amortizing"))</f>
        <v/>
      </c>
      <c r="CL626" s="78">
        <f>IF($CK626="Full IO",1,0)</f>
        <v/>
      </c>
      <c r="CM626" s="78">
        <f>IF($CK626="Partial IO",1,0)</f>
        <v/>
      </c>
      <c r="CN626" s="76">
        <f>IF(LEFT($F626&amp;"",10)="SPLIT_LOAN","Pari Passu Split","Standalone")</f>
        <v/>
      </c>
      <c r="CO626" s="78">
        <f>IF($CN626="Pari Passu Split",1,0)</f>
        <v/>
      </c>
      <c r="CP626" s="77">
        <f>IF(ISNUMBER($T626),YEAR($T626),"")</f>
        <v/>
      </c>
      <c r="CQ626" s="79">
        <f>IF(ISNUMBER($V626),$V626,IF(ISNUMBER($U626),$U626,""))</f>
        <v/>
      </c>
      <c r="CR626" s="77">
        <f>IF(ISNUMBER($CQ626),YEAR($CQ626),"")</f>
        <v/>
      </c>
      <c r="CS626" s="78">
        <f>IF(ISNUMBER($M626),MAX(0,$M626),IF(TRIM($M626&amp;"")="matured",0,""))</f>
        <v/>
      </c>
      <c r="CT626" s="78">
        <f>IF(AND(ISNUMBER($CS626),N($CS626)&lt;=mMatWindow),1,0)</f>
        <v/>
      </c>
      <c r="CU626" s="80">
        <f>IF(ISNUMBER($J626),$J626/100,"")</f>
        <v/>
      </c>
      <c r="CV626" s="81">
        <f>IF(ISNUMBER($AQ626),$AQ626,"")</f>
        <v/>
      </c>
      <c r="CW626" s="81">
        <f>IF(ISNUMBER($AR626),$AR626,"")</f>
        <v/>
      </c>
      <c r="CX626" s="82">
        <f>IF(ISNUMBER($AS626),$AS626/100,"")</f>
        <v/>
      </c>
      <c r="CY626" s="82">
        <f>IF(ISNUMBER($AT626),$AT626/100,"")</f>
        <v/>
      </c>
      <c r="CZ626" s="82">
        <f>IF(ISNUMBER($AU626),$AU626/100,"")</f>
        <v/>
      </c>
      <c r="DA626" s="82">
        <f>IF(ISNUMBER($AV626),$AV626/100,"")</f>
        <v/>
      </c>
      <c r="DB626" s="82">
        <f>IF(ISNUMBER($AW626),$AW626/100,"")</f>
        <v/>
      </c>
      <c r="DC626" s="82">
        <f>IF(ISNUMBER($AX626),$AX626/100,"")</f>
        <v/>
      </c>
      <c r="DD626" s="77">
        <f>IFERROR(VALUE(LEFT(TRIM($AO626&amp;""),4)),"")</f>
        <v/>
      </c>
      <c r="DE626" s="78">
        <f>IF(AND($BY626=1,$BX626=1,OR(fDeal="All Deals",$BU626=fDeal),OR(fEntity="All Entities",$BV626=fEntity),OR(fPType="All Property Types",$BZ626=fPType),OR(fDefeased="Include",$CJ626=0)),1,0)</f>
        <v/>
      </c>
      <c r="DF626" s="83">
        <f>$DE626*N($I626)</f>
        <v/>
      </c>
      <c r="DG626" s="78">
        <f>IF($DE626=1,IF(COUNTIFS($F$8:$F626,$F626,$DE$8:$DE626,1)=1,1,0),0)</f>
        <v/>
      </c>
      <c r="DH626" s="83">
        <f>IF($DG626=1,SUMIFS($DF$8:$DF$1600,$F$8:$F$1600,$F626),0)</f>
        <v/>
      </c>
      <c r="DI626" s="78">
        <f>IF($DG626=1,COUNTIFS($F$8:$F$1600,$F626,$DE$8:$DE$1600,1),0)</f>
        <v/>
      </c>
      <c r="DJ626" s="84">
        <f>IF($DG626=1,$DH626+(100000-ROW())/mTieBreak,0)</f>
        <v/>
      </c>
    </row>
    <row r="627">
      <c r="B627" s="68" t="n">
        <v>40</v>
      </c>
      <c r="C627" s="69" t="inlineStr">
        <is>
          <t>UBS18C13</t>
        </is>
      </c>
      <c r="D627" s="69" t="inlineStr">
        <is>
          <t>40.000</t>
        </is>
      </c>
      <c r="E627" s="69" t="inlineStr">
        <is>
          <t>Fairfield Inn &amp; Suites by Marriott - Fort Pierce</t>
        </is>
      </c>
      <c r="F627" s="69" t="inlineStr">
        <is>
          <t>LNUBS18C13-40.000</t>
        </is>
      </c>
      <c r="G627" s="70" t="n"/>
      <c r="H627" s="71" t="n">
        <v>6250000</v>
      </c>
      <c r="I627" s="71" t="n">
        <v>5460271.050000001</v>
      </c>
      <c r="J627" s="72" t="n">
        <v>5.39</v>
      </c>
      <c r="K627" s="69" t="inlineStr">
        <is>
          <t>Fixed rate</t>
        </is>
      </c>
      <c r="L627" s="68" t="n">
        <v>120</v>
      </c>
      <c r="M627" s="68" t="n">
        <v>24</v>
      </c>
      <c r="N627" s="68" t="n">
        <v>360</v>
      </c>
      <c r="O627" s="68" t="n"/>
      <c r="P627" s="68" t="n"/>
      <c r="Q627" s="68" t="n">
        <v>96</v>
      </c>
      <c r="R627" s="69" t="n"/>
      <c r="S627" s="69" t="inlineStr">
        <is>
          <t>No</t>
        </is>
      </c>
      <c r="T627" s="73" t="n">
        <v>43344</v>
      </c>
      <c r="U627" s="73" t="n">
        <v>47002</v>
      </c>
      <c r="V627" s="73" t="n"/>
      <c r="W627" s="69" t="n"/>
      <c r="X627" s="69" t="inlineStr">
        <is>
          <t>Current</t>
        </is>
      </c>
      <c r="Y627" s="68" t="n"/>
      <c r="Z627" s="69" t="inlineStr">
        <is>
          <t>Full Defeasance</t>
        </is>
      </c>
      <c r="AA627" s="69" t="inlineStr">
        <is>
          <t>Previously</t>
        </is>
      </c>
      <c r="AB627" s="69" t="inlineStr">
        <is>
          <t>Never special serv</t>
        </is>
      </c>
      <c r="AC627" s="73" t="n"/>
      <c r="AD627" s="69" t="n"/>
      <c r="AE627" s="69" t="n"/>
      <c r="AF627" s="69" t="inlineStr">
        <is>
          <t>FL</t>
        </is>
      </c>
      <c r="AG627" s="69" t="inlineStr">
        <is>
          <t>Fort Pierce</t>
        </is>
      </c>
      <c r="AH627" s="69" t="inlineStr">
        <is>
          <t>Port St. Lucie, FL</t>
        </is>
      </c>
      <c r="AI627" s="69" t="inlineStr">
        <is>
          <t>South / Atlantic</t>
        </is>
      </c>
      <c r="AJ627" s="69" t="inlineStr">
        <is>
          <t>HT</t>
        </is>
      </c>
      <c r="AK627" s="69" t="inlineStr">
        <is>
          <t>Limited Service</t>
        </is>
      </c>
      <c r="AL627" s="68" t="n">
        <v>1</v>
      </c>
      <c r="AM627" s="68" t="n">
        <v>108</v>
      </c>
      <c r="AN627" s="68" t="n"/>
      <c r="AO627" s="69" t="inlineStr">
        <is>
          <t>2008</t>
        </is>
      </c>
      <c r="AP627" s="70" t="n">
        <v>2017</v>
      </c>
      <c r="AQ627" s="74" t="n">
        <v>1.86</v>
      </c>
      <c r="AR627" s="74" t="n">
        <v>1.1</v>
      </c>
      <c r="AS627" s="74" t="n">
        <v>59.5</v>
      </c>
      <c r="AT627" s="74" t="n">
        <v>52</v>
      </c>
      <c r="AU627" s="74" t="n">
        <v>49.6</v>
      </c>
      <c r="AV627" s="74" t="n">
        <v>12.5057232</v>
      </c>
      <c r="AW627" s="74" t="n">
        <v>12.660594386</v>
      </c>
      <c r="AX627" s="75" t="n">
        <v>68</v>
      </c>
      <c r="AY627" s="71" t="n">
        <v>10500000</v>
      </c>
      <c r="AZ627" s="71" t="n">
        <v>10500000</v>
      </c>
      <c r="BA627" s="71" t="n">
        <v>781607.7</v>
      </c>
      <c r="BB627" s="71" t="n">
        <v>461574.07</v>
      </c>
      <c r="BC627" s="69" t="inlineStr">
        <is>
          <t>Refinance</t>
        </is>
      </c>
      <c r="BD627" s="69" t="inlineStr">
        <is>
          <t>N</t>
        </is>
      </c>
      <c r="BE627" s="71" t="n"/>
      <c r="BF627" s="71" t="n"/>
      <c r="BG627" s="71" t="n"/>
      <c r="BH627" s="71" t="n">
        <v>0</v>
      </c>
      <c r="BI627" s="71" t="n">
        <v>0</v>
      </c>
      <c r="BJ627" s="69" t="inlineStr">
        <is>
          <t>N</t>
        </is>
      </c>
      <c r="BK627" s="69" t="n"/>
      <c r="BL627" s="75" t="n"/>
      <c r="BM627" s="73" t="n"/>
      <c r="BN627" s="69" t="inlineStr">
        <is>
          <t>Punit R. Shah</t>
        </is>
      </c>
      <c r="BO627" s="69" t="n"/>
      <c r="BP627" s="69" t="inlineStr">
        <is>
          <t>Midland Loan Services</t>
        </is>
      </c>
      <c r="BQ627" s="69" t="inlineStr">
        <is>
          <t>Midland Loan Services</t>
        </is>
      </c>
      <c r="BR627" s="69" t="n"/>
      <c r="BS627" s="73" t="n">
        <v>46276</v>
      </c>
      <c r="BU627" s="76">
        <f>IF($C627="","",IFERROR(INDEX(dmName,MATCH($C627,dmID,0)),"Unmapped"))</f>
        <v/>
      </c>
      <c r="BV627" s="76">
        <f>IF($C627="","",IFERROR(INDEX(dmEntity,MATCH($C627,dmID,0)),"Unmapped"))</f>
        <v/>
      </c>
      <c r="BW627" s="77">
        <f>IF($C627="","",IFERROR(INDEX(dmVintage,MATCH($C627,dmID,0)),""))</f>
        <v/>
      </c>
      <c r="BX627" s="78">
        <f>IFERROR(INDEX(dmInclude,MATCH($C627,dmID,0)),0)</f>
        <v/>
      </c>
      <c r="BY627" s="78">
        <f>IF(N($I627)&gt;0,1,0)</f>
        <v/>
      </c>
      <c r="BZ627" s="76">
        <f>IF($AJ627="","Other / Leased Fee",IFERROR(INDEX(mapPTGroup,MATCH(LEFT(TRIM($AJ627),2),mapPTCode,0)),"Other / Leased Fee"))</f>
        <v/>
      </c>
      <c r="CA627" s="76">
        <f>IF(TRIM($AF627&amp;"")="","NR",LEFT(TRIM($AF627),2))</f>
        <v/>
      </c>
      <c r="CB627" s="76">
        <f>IFERROR(LOOKUP(2,1/(LEFT(TRIM($AI627&amp;""),LEN(mapRegion))=mapRegion),mapRegion),"Not Reported")</f>
        <v/>
      </c>
      <c r="CC627" s="76">
        <f>IF($BY627=0,"",IF(TRIM($W627&amp;"")="REO","REO",IF(TRIM($W627&amp;"")="FC","Foreclosure",IF(TRIM($W627&amp;"")="90+","90+ Days Delinquent",IF(TRIM($W627&amp;"")="60","60 Days Delinquent",IF(TRIM($W627&amp;"")="30","30 Days Delinquent",IF($X627="Non-Performing Matured Balloon","Non-Performing Matured Balloon",IF(OR($X627="Late Payment But Less Than 30 Days Delinquent",LEFT($X627&amp;"",20)="Payment Not Received"),"Late / In Grace (&lt;30 Days)",IF($X627="Performing Matured Balloon","Performing Matured Balloon","Current")))))))))</f>
        <v/>
      </c>
      <c r="CD627" s="78">
        <f>IF(OR($CC627="REO",$CC627="Foreclosure",$CC627="90+ Days Delinquent",$CC627="60 Days Delinquent",$CC627="30 Days Delinquent",$CC627="Non-Performing Matured Balloon"),1,0)</f>
        <v/>
      </c>
      <c r="CE627" s="76">
        <f>IF($AB627="Currently special serv","Currently Specially Serviced",IF($AB627="Returned to master serv","Previously Specially Serviced","Never Specially Serviced"))</f>
        <v/>
      </c>
      <c r="CF627" s="78">
        <f>IF($CE627="Currently Specially Serviced",1,0)</f>
        <v/>
      </c>
      <c r="CG627" s="76">
        <f>IF($AA627="Yes","Currently on Watchlist",IF($AA627="Previously","Previously on Watchlist","Never on Watchlist"))</f>
        <v/>
      </c>
      <c r="CH627" s="78">
        <f>IF($CG627="Currently on Watchlist",1,0)</f>
        <v/>
      </c>
      <c r="CI627" s="76">
        <f>IF($Z627="Full Defeasance","Fully Defeased",IF($Z627="Portion Of Loan Previously Defeased","Partially Defeased",IF($Z627="Defeasance Not Allowable","Not Defeased (Not Permitted)","Not Defeased")))</f>
        <v/>
      </c>
      <c r="CJ627" s="78">
        <f>IF($CI627="Fully Defeased",1,0)</f>
        <v/>
      </c>
      <c r="CK627" s="76">
        <f>IF($R627="IO","Full IO",IF(LEFT($R627&amp;"",7)="IO then","Partial IO","Amortizing"))</f>
        <v/>
      </c>
      <c r="CL627" s="78">
        <f>IF($CK627="Full IO",1,0)</f>
        <v/>
      </c>
      <c r="CM627" s="78">
        <f>IF($CK627="Partial IO",1,0)</f>
        <v/>
      </c>
      <c r="CN627" s="76">
        <f>IF(LEFT($F627&amp;"",10)="SPLIT_LOAN","Pari Passu Split","Standalone")</f>
        <v/>
      </c>
      <c r="CO627" s="78">
        <f>IF($CN627="Pari Passu Split",1,0)</f>
        <v/>
      </c>
      <c r="CP627" s="77">
        <f>IF(ISNUMBER($T627),YEAR($T627),"")</f>
        <v/>
      </c>
      <c r="CQ627" s="79">
        <f>IF(ISNUMBER($V627),$V627,IF(ISNUMBER($U627),$U627,""))</f>
        <v/>
      </c>
      <c r="CR627" s="77">
        <f>IF(ISNUMBER($CQ627),YEAR($CQ627),"")</f>
        <v/>
      </c>
      <c r="CS627" s="78">
        <f>IF(ISNUMBER($M627),MAX(0,$M627),IF(TRIM($M627&amp;"")="matured",0,""))</f>
        <v/>
      </c>
      <c r="CT627" s="78">
        <f>IF(AND(ISNUMBER($CS627),N($CS627)&lt;=mMatWindow),1,0)</f>
        <v/>
      </c>
      <c r="CU627" s="80">
        <f>IF(ISNUMBER($J627),$J627/100,"")</f>
        <v/>
      </c>
      <c r="CV627" s="81">
        <f>IF(ISNUMBER($AQ627),$AQ627,"")</f>
        <v/>
      </c>
      <c r="CW627" s="81">
        <f>IF(ISNUMBER($AR627),$AR627,"")</f>
        <v/>
      </c>
      <c r="CX627" s="82">
        <f>IF(ISNUMBER($AS627),$AS627/100,"")</f>
        <v/>
      </c>
      <c r="CY627" s="82">
        <f>IF(ISNUMBER($AT627),$AT627/100,"")</f>
        <v/>
      </c>
      <c r="CZ627" s="82">
        <f>IF(ISNUMBER($AU627),$AU627/100,"")</f>
        <v/>
      </c>
      <c r="DA627" s="82">
        <f>IF(ISNUMBER($AV627),$AV627/100,"")</f>
        <v/>
      </c>
      <c r="DB627" s="82">
        <f>IF(ISNUMBER($AW627),$AW627/100,"")</f>
        <v/>
      </c>
      <c r="DC627" s="82">
        <f>IF(ISNUMBER($AX627),$AX627/100,"")</f>
        <v/>
      </c>
      <c r="DD627" s="77">
        <f>IFERROR(VALUE(LEFT(TRIM($AO627&amp;""),4)),"")</f>
        <v/>
      </c>
      <c r="DE627" s="78">
        <f>IF(AND($BY627=1,$BX627=1,OR(fDeal="All Deals",$BU627=fDeal),OR(fEntity="All Entities",$BV627=fEntity),OR(fPType="All Property Types",$BZ627=fPType),OR(fDefeased="Include",$CJ627=0)),1,0)</f>
        <v/>
      </c>
      <c r="DF627" s="83">
        <f>$DE627*N($I627)</f>
        <v/>
      </c>
      <c r="DG627" s="78">
        <f>IF($DE627=1,IF(COUNTIFS($F$8:$F627,$F627,$DE$8:$DE627,1)=1,1,0),0)</f>
        <v/>
      </c>
      <c r="DH627" s="83">
        <f>IF($DG627=1,SUMIFS($DF$8:$DF$1600,$F$8:$F$1600,$F627),0)</f>
        <v/>
      </c>
      <c r="DI627" s="78">
        <f>IF($DG627=1,COUNTIFS($F$8:$F$1600,$F627,$DE$8:$DE$1600,1),0)</f>
        <v/>
      </c>
      <c r="DJ627" s="84">
        <f>IF($DG627=1,$DH627+(100000-ROW())/mTieBreak,0)</f>
        <v/>
      </c>
    </row>
    <row r="628">
      <c r="B628" s="68" t="n">
        <v>41</v>
      </c>
      <c r="C628" s="69" t="inlineStr">
        <is>
          <t>UBS18C13</t>
        </is>
      </c>
      <c r="D628" s="69" t="inlineStr">
        <is>
          <t>41.000</t>
        </is>
      </c>
      <c r="E628" s="69" t="inlineStr">
        <is>
          <t>Forest Oaks Plaza</t>
        </is>
      </c>
      <c r="F628" s="69" t="inlineStr">
        <is>
          <t>LNUBS18C13-41.000</t>
        </is>
      </c>
      <c r="G628" s="70" t="n"/>
      <c r="H628" s="71" t="n">
        <v>6125000</v>
      </c>
      <c r="I628" s="71" t="n">
        <v>5427002.309997626</v>
      </c>
      <c r="J628" s="72" t="n">
        <v>5.04</v>
      </c>
      <c r="K628" s="69" t="inlineStr">
        <is>
          <t>Fixed rate</t>
        </is>
      </c>
      <c r="L628" s="68" t="n">
        <v>120</v>
      </c>
      <c r="M628" s="68" t="n">
        <v>24</v>
      </c>
      <c r="N628" s="68" t="n">
        <v>372</v>
      </c>
      <c r="O628" s="68" t="n">
        <v>12</v>
      </c>
      <c r="P628" s="68" t="n">
        <v>0</v>
      </c>
      <c r="Q628" s="68" t="n">
        <v>96</v>
      </c>
      <c r="R628" s="69" t="inlineStr">
        <is>
          <t>IO then Amort</t>
        </is>
      </c>
      <c r="S628" s="69" t="inlineStr">
        <is>
          <t>No</t>
        </is>
      </c>
      <c r="T628" s="73" t="n">
        <v>43344</v>
      </c>
      <c r="U628" s="73" t="n">
        <v>46997</v>
      </c>
      <c r="V628" s="73" t="n"/>
      <c r="W628" s="69" t="n"/>
      <c r="X628" s="69" t="inlineStr">
        <is>
          <t>Current</t>
        </is>
      </c>
      <c r="Y628" s="68" t="n"/>
      <c r="Z628" s="69" t="inlineStr">
        <is>
          <t>No Defeasance Occurred</t>
        </is>
      </c>
      <c r="AA628" s="69" t="inlineStr">
        <is>
          <t>Yes</t>
        </is>
      </c>
      <c r="AB628" s="69" t="inlineStr">
        <is>
          <t>Never special serv</t>
        </is>
      </c>
      <c r="AC628" s="73" t="n"/>
      <c r="AD628" s="69" t="n"/>
      <c r="AE628" s="69" t="n"/>
      <c r="AF628" s="69" t="inlineStr">
        <is>
          <t>FL</t>
        </is>
      </c>
      <c r="AG628" s="69" t="inlineStr">
        <is>
          <t>Pensacola</t>
        </is>
      </c>
      <c r="AH628" s="69" t="inlineStr">
        <is>
          <t>Pensacola-Ferry Pass-Brent, FL</t>
        </is>
      </c>
      <c r="AI628" s="69" t="inlineStr">
        <is>
          <t>South / Atlantic</t>
        </is>
      </c>
      <c r="AJ628" s="69" t="inlineStr">
        <is>
          <t>RT</t>
        </is>
      </c>
      <c r="AK628" s="69" t="inlineStr">
        <is>
          <t>Anchored</t>
        </is>
      </c>
      <c r="AL628" s="68" t="n">
        <v>1</v>
      </c>
      <c r="AM628" s="68" t="n"/>
      <c r="AN628" s="68" t="n">
        <v>113721</v>
      </c>
      <c r="AO628" s="69" t="inlineStr">
        <is>
          <t>1990</t>
        </is>
      </c>
      <c r="AP628" s="70" t="n">
        <v>2016</v>
      </c>
      <c r="AQ628" s="74" t="n">
        <v>1.58</v>
      </c>
      <c r="AR628" s="74" t="n">
        <v>1.66</v>
      </c>
      <c r="AS628" s="74" t="n">
        <v>68.8</v>
      </c>
      <c r="AT628" s="74" t="n">
        <v>60.98</v>
      </c>
      <c r="AU628" s="74" t="n">
        <v>58.2</v>
      </c>
      <c r="AV628" s="74" t="n">
        <v>10.209950694</v>
      </c>
      <c r="AW628" s="74" t="n">
        <v>13.396824038</v>
      </c>
      <c r="AX628" s="75" t="n">
        <v>97</v>
      </c>
      <c r="AY628" s="71" t="n">
        <v>8900000</v>
      </c>
      <c r="AZ628" s="71" t="n">
        <v>8900000</v>
      </c>
      <c r="BA628" s="71" t="n">
        <v>625359.48</v>
      </c>
      <c r="BB628" s="71" t="n">
        <v>659664.58</v>
      </c>
      <c r="BC628" s="69" t="inlineStr">
        <is>
          <t>Acquisition</t>
        </is>
      </c>
      <c r="BD628" s="69" t="inlineStr">
        <is>
          <t>N</t>
        </is>
      </c>
      <c r="BE628" s="71" t="n"/>
      <c r="BF628" s="71" t="n"/>
      <c r="BG628" s="71" t="n"/>
      <c r="BH628" s="71" t="n">
        <v>0</v>
      </c>
      <c r="BI628" s="71" t="n">
        <v>0</v>
      </c>
      <c r="BJ628" s="69" t="inlineStr">
        <is>
          <t>N</t>
        </is>
      </c>
      <c r="BK628" s="69" t="inlineStr">
        <is>
          <t>SZ ORLANDO LLC</t>
        </is>
      </c>
      <c r="BL628" s="75" t="n">
        <v>28.14</v>
      </c>
      <c r="BM628" s="73" t="n">
        <v>48091</v>
      </c>
      <c r="BN628" s="69" t="inlineStr">
        <is>
          <t>Donald M. Jarreau, Jr.; Donnie Jarreau Developments, L.L.C; Donnie Jarreau Properties, L.L.C.</t>
        </is>
      </c>
      <c r="BO628" s="69" t="n"/>
      <c r="BP628" s="69" t="inlineStr">
        <is>
          <t>Midland Loan Services</t>
        </is>
      </c>
      <c r="BQ628" s="69" t="inlineStr">
        <is>
          <t>Midland Loan Services</t>
        </is>
      </c>
      <c r="BR628" s="69" t="n"/>
      <c r="BS628" s="73" t="n">
        <v>46276</v>
      </c>
      <c r="BU628" s="76">
        <f>IF($C628="","",IFERROR(INDEX(dmName,MATCH($C628,dmID,0)),"Unmapped"))</f>
        <v/>
      </c>
      <c r="BV628" s="76">
        <f>IF($C628="","",IFERROR(INDEX(dmEntity,MATCH($C628,dmID,0)),"Unmapped"))</f>
        <v/>
      </c>
      <c r="BW628" s="77">
        <f>IF($C628="","",IFERROR(INDEX(dmVintage,MATCH($C628,dmID,0)),""))</f>
        <v/>
      </c>
      <c r="BX628" s="78">
        <f>IFERROR(INDEX(dmInclude,MATCH($C628,dmID,0)),0)</f>
        <v/>
      </c>
      <c r="BY628" s="78">
        <f>IF(N($I628)&gt;0,1,0)</f>
        <v/>
      </c>
      <c r="BZ628" s="76">
        <f>IF($AJ628="","Other / Leased Fee",IFERROR(INDEX(mapPTGroup,MATCH(LEFT(TRIM($AJ628),2),mapPTCode,0)),"Other / Leased Fee"))</f>
        <v/>
      </c>
      <c r="CA628" s="76">
        <f>IF(TRIM($AF628&amp;"")="","NR",LEFT(TRIM($AF628),2))</f>
        <v/>
      </c>
      <c r="CB628" s="76">
        <f>IFERROR(LOOKUP(2,1/(LEFT(TRIM($AI628&amp;""),LEN(mapRegion))=mapRegion),mapRegion),"Not Reported")</f>
        <v/>
      </c>
      <c r="CC628" s="76">
        <f>IF($BY628=0,"",IF(TRIM($W628&amp;"")="REO","REO",IF(TRIM($W628&amp;"")="FC","Foreclosure",IF(TRIM($W628&amp;"")="90+","90+ Days Delinquent",IF(TRIM($W628&amp;"")="60","60 Days Delinquent",IF(TRIM($W628&amp;"")="30","30 Days Delinquent",IF($X628="Non-Performing Matured Balloon","Non-Performing Matured Balloon",IF(OR($X628="Late Payment But Less Than 30 Days Delinquent",LEFT($X628&amp;"",20)="Payment Not Received"),"Late / In Grace (&lt;30 Days)",IF($X628="Performing Matured Balloon","Performing Matured Balloon","Current")))))))))</f>
        <v/>
      </c>
      <c r="CD628" s="78">
        <f>IF(OR($CC628="REO",$CC628="Foreclosure",$CC628="90+ Days Delinquent",$CC628="60 Days Delinquent",$CC628="30 Days Delinquent",$CC628="Non-Performing Matured Balloon"),1,0)</f>
        <v/>
      </c>
      <c r="CE628" s="76">
        <f>IF($AB628="Currently special serv","Currently Specially Serviced",IF($AB628="Returned to master serv","Previously Specially Serviced","Never Specially Serviced"))</f>
        <v/>
      </c>
      <c r="CF628" s="78">
        <f>IF($CE628="Currently Specially Serviced",1,0)</f>
        <v/>
      </c>
      <c r="CG628" s="76">
        <f>IF($AA628="Yes","Currently on Watchlist",IF($AA628="Previously","Previously on Watchlist","Never on Watchlist"))</f>
        <v/>
      </c>
      <c r="CH628" s="78">
        <f>IF($CG628="Currently on Watchlist",1,0)</f>
        <v/>
      </c>
      <c r="CI628" s="76">
        <f>IF($Z628="Full Defeasance","Fully Defeased",IF($Z628="Portion Of Loan Previously Defeased","Partially Defeased",IF($Z628="Defeasance Not Allowable","Not Defeased (Not Permitted)","Not Defeased")))</f>
        <v/>
      </c>
      <c r="CJ628" s="78">
        <f>IF($CI628="Fully Defeased",1,0)</f>
        <v/>
      </c>
      <c r="CK628" s="76">
        <f>IF($R628="IO","Full IO",IF(LEFT($R628&amp;"",7)="IO then","Partial IO","Amortizing"))</f>
        <v/>
      </c>
      <c r="CL628" s="78">
        <f>IF($CK628="Full IO",1,0)</f>
        <v/>
      </c>
      <c r="CM628" s="78">
        <f>IF($CK628="Partial IO",1,0)</f>
        <v/>
      </c>
      <c r="CN628" s="76">
        <f>IF(LEFT($F628&amp;"",10)="SPLIT_LOAN","Pari Passu Split","Standalone")</f>
        <v/>
      </c>
      <c r="CO628" s="78">
        <f>IF($CN628="Pari Passu Split",1,0)</f>
        <v/>
      </c>
      <c r="CP628" s="77">
        <f>IF(ISNUMBER($T628),YEAR($T628),"")</f>
        <v/>
      </c>
      <c r="CQ628" s="79">
        <f>IF(ISNUMBER($V628),$V628,IF(ISNUMBER($U628),$U628,""))</f>
        <v/>
      </c>
      <c r="CR628" s="77">
        <f>IF(ISNUMBER($CQ628),YEAR($CQ628),"")</f>
        <v/>
      </c>
      <c r="CS628" s="78">
        <f>IF(ISNUMBER($M628),MAX(0,$M628),IF(TRIM($M628&amp;"")="matured",0,""))</f>
        <v/>
      </c>
      <c r="CT628" s="78">
        <f>IF(AND(ISNUMBER($CS628),N($CS628)&lt;=mMatWindow),1,0)</f>
        <v/>
      </c>
      <c r="CU628" s="80">
        <f>IF(ISNUMBER($J628),$J628/100,"")</f>
        <v/>
      </c>
      <c r="CV628" s="81">
        <f>IF(ISNUMBER($AQ628),$AQ628,"")</f>
        <v/>
      </c>
      <c r="CW628" s="81">
        <f>IF(ISNUMBER($AR628),$AR628,"")</f>
        <v/>
      </c>
      <c r="CX628" s="82">
        <f>IF(ISNUMBER($AS628),$AS628/100,"")</f>
        <v/>
      </c>
      <c r="CY628" s="82">
        <f>IF(ISNUMBER($AT628),$AT628/100,"")</f>
        <v/>
      </c>
      <c r="CZ628" s="82">
        <f>IF(ISNUMBER($AU628),$AU628/100,"")</f>
        <v/>
      </c>
      <c r="DA628" s="82">
        <f>IF(ISNUMBER($AV628),$AV628/100,"")</f>
        <v/>
      </c>
      <c r="DB628" s="82">
        <f>IF(ISNUMBER($AW628),$AW628/100,"")</f>
        <v/>
      </c>
      <c r="DC628" s="82">
        <f>IF(ISNUMBER($AX628),$AX628/100,"")</f>
        <v/>
      </c>
      <c r="DD628" s="77">
        <f>IFERROR(VALUE(LEFT(TRIM($AO628&amp;""),4)),"")</f>
        <v/>
      </c>
      <c r="DE628" s="78">
        <f>IF(AND($BY628=1,$BX628=1,OR(fDeal="All Deals",$BU628=fDeal),OR(fEntity="All Entities",$BV628=fEntity),OR(fPType="All Property Types",$BZ628=fPType),OR(fDefeased="Include",$CJ628=0)),1,0)</f>
        <v/>
      </c>
      <c r="DF628" s="83">
        <f>$DE628*N($I628)</f>
        <v/>
      </c>
      <c r="DG628" s="78">
        <f>IF($DE628=1,IF(COUNTIFS($F$8:$F628,$F628,$DE$8:$DE628,1)=1,1,0),0)</f>
        <v/>
      </c>
      <c r="DH628" s="83">
        <f>IF($DG628=1,SUMIFS($DF$8:$DF$1600,$F$8:$F$1600,$F628),0)</f>
        <v/>
      </c>
      <c r="DI628" s="78">
        <f>IF($DG628=1,COUNTIFS($F$8:$F$1600,$F628,$DE$8:$DE$1600,1),0)</f>
        <v/>
      </c>
      <c r="DJ628" s="84">
        <f>IF($DG628=1,$DH628+(100000-ROW())/mTieBreak,0)</f>
        <v/>
      </c>
    </row>
    <row r="629">
      <c r="B629" s="68" t="n">
        <v>42</v>
      </c>
      <c r="C629" s="69" t="inlineStr">
        <is>
          <t>UBS18C13</t>
        </is>
      </c>
      <c r="D629" s="69" t="inlineStr">
        <is>
          <t>42.000</t>
        </is>
      </c>
      <c r="E629" s="69" t="inlineStr">
        <is>
          <t>1000 Buffalo Road</t>
        </is>
      </c>
      <c r="F629" s="69" t="inlineStr">
        <is>
          <t>LNUBS18C13-42.000</t>
        </is>
      </c>
      <c r="G629" s="70" t="n"/>
      <c r="H629" s="71" t="n">
        <v>6075000</v>
      </c>
      <c r="I629" s="71" t="n">
        <v>4964413.180002975</v>
      </c>
      <c r="J629" s="72" t="n">
        <v>5.26</v>
      </c>
      <c r="K629" s="69" t="inlineStr">
        <is>
          <t>Fixed rate</t>
        </is>
      </c>
      <c r="L629" s="68" t="n">
        <v>120</v>
      </c>
      <c r="M629" s="68" t="n">
        <v>25</v>
      </c>
      <c r="N629" s="68" t="n">
        <v>300</v>
      </c>
      <c r="O629" s="68" t="n"/>
      <c r="P629" s="68" t="n"/>
      <c r="Q629" s="68" t="n">
        <v>95</v>
      </c>
      <c r="R629" s="69" t="n"/>
      <c r="S629" s="69" t="inlineStr">
        <is>
          <t>No</t>
        </is>
      </c>
      <c r="T629" s="73" t="n">
        <v>43374</v>
      </c>
      <c r="U629" s="73" t="n">
        <v>47027</v>
      </c>
      <c r="V629" s="73" t="n"/>
      <c r="W629" s="69" t="n"/>
      <c r="X629" s="69" t="inlineStr">
        <is>
          <t>Current</t>
        </is>
      </c>
      <c r="Y629" s="68" t="n"/>
      <c r="Z629" s="69" t="inlineStr">
        <is>
          <t>Full Defeasance</t>
        </is>
      </c>
      <c r="AA629" s="69" t="inlineStr">
        <is>
          <t>Yes</t>
        </is>
      </c>
      <c r="AB629" s="69" t="inlineStr">
        <is>
          <t>Never special serv</t>
        </is>
      </c>
      <c r="AC629" s="73" t="n"/>
      <c r="AD629" s="69" t="n"/>
      <c r="AE629" s="69" t="n"/>
      <c r="AF629" s="69" t="inlineStr">
        <is>
          <t>PA</t>
        </is>
      </c>
      <c r="AG629" s="69" t="inlineStr">
        <is>
          <t>Lewisburg</t>
        </is>
      </c>
      <c r="AH629" s="69" t="inlineStr">
        <is>
          <t>Lewisburg, PA</t>
        </is>
      </c>
      <c r="AI629" s="69" t="inlineStr">
        <is>
          <t>Northeast / Mid-Atlantic</t>
        </is>
      </c>
      <c r="AJ629" s="69" t="inlineStr">
        <is>
          <t>IN</t>
        </is>
      </c>
      <c r="AK629" s="69" t="inlineStr">
        <is>
          <t>Manufacturing</t>
        </is>
      </c>
      <c r="AL629" s="68" t="n">
        <v>1</v>
      </c>
      <c r="AM629" s="68" t="n"/>
      <c r="AN629" s="68" t="n">
        <v>259000</v>
      </c>
      <c r="AO629" s="69" t="inlineStr">
        <is>
          <t>1998</t>
        </is>
      </c>
      <c r="AP629" s="70" t="n">
        <v>1998</v>
      </c>
      <c r="AQ629" s="74" t="n">
        <v>1.47</v>
      </c>
      <c r="AR629" s="74" t="n">
        <v>0.89</v>
      </c>
      <c r="AS629" s="74" t="n">
        <v>63.1</v>
      </c>
      <c r="AT629" s="74" t="n">
        <v>51.58</v>
      </c>
      <c r="AU629" s="74" t="n">
        <v>47.6</v>
      </c>
      <c r="AV629" s="74" t="n">
        <v>10.60063358</v>
      </c>
      <c r="AW629" s="74" t="n">
        <v>7.820188125</v>
      </c>
      <c r="AX629" s="75" t="n">
        <v>100</v>
      </c>
      <c r="AY629" s="71" t="n">
        <v>9625000</v>
      </c>
      <c r="AZ629" s="71" t="n">
        <v>9625000</v>
      </c>
      <c r="BA629" s="71" t="n">
        <v>643988.49</v>
      </c>
      <c r="BB629" s="71" t="n">
        <v>388226.45</v>
      </c>
      <c r="BC629" s="69" t="inlineStr">
        <is>
          <t>Acquisition</t>
        </is>
      </c>
      <c r="BD629" s="69" t="inlineStr">
        <is>
          <t>N</t>
        </is>
      </c>
      <c r="BE629" s="71" t="n"/>
      <c r="BF629" s="71" t="n"/>
      <c r="BG629" s="71" t="n"/>
      <c r="BH629" s="71" t="n">
        <v>0</v>
      </c>
      <c r="BI629" s="71" t="n">
        <v>0</v>
      </c>
      <c r="BJ629" s="69" t="inlineStr">
        <is>
          <t>N</t>
        </is>
      </c>
      <c r="BK629" s="69" t="inlineStr">
        <is>
          <t>Playworld Systems Warehouse</t>
        </is>
      </c>
      <c r="BL629" s="75" t="n">
        <v>100</v>
      </c>
      <c r="BM629" s="73" t="n">
        <v>46265</v>
      </c>
      <c r="BN629" s="69" t="inlineStr">
        <is>
          <t>Samuel I. Kirschenbaum; Benjamin B. Rubin</t>
        </is>
      </c>
      <c r="BO629" s="69" t="n"/>
      <c r="BP629" s="69" t="inlineStr">
        <is>
          <t>Midland Loan Services</t>
        </is>
      </c>
      <c r="BQ629" s="69" t="inlineStr">
        <is>
          <t>Midland Loan Services</t>
        </is>
      </c>
      <c r="BR629" s="69" t="n"/>
      <c r="BS629" s="73" t="n">
        <v>46276</v>
      </c>
      <c r="BU629" s="76">
        <f>IF($C629="","",IFERROR(INDEX(dmName,MATCH($C629,dmID,0)),"Unmapped"))</f>
        <v/>
      </c>
      <c r="BV629" s="76">
        <f>IF($C629="","",IFERROR(INDEX(dmEntity,MATCH($C629,dmID,0)),"Unmapped"))</f>
        <v/>
      </c>
      <c r="BW629" s="77">
        <f>IF($C629="","",IFERROR(INDEX(dmVintage,MATCH($C629,dmID,0)),""))</f>
        <v/>
      </c>
      <c r="BX629" s="78">
        <f>IFERROR(INDEX(dmInclude,MATCH($C629,dmID,0)),0)</f>
        <v/>
      </c>
      <c r="BY629" s="78">
        <f>IF(N($I629)&gt;0,1,0)</f>
        <v/>
      </c>
      <c r="BZ629" s="76">
        <f>IF($AJ629="","Other / Leased Fee",IFERROR(INDEX(mapPTGroup,MATCH(LEFT(TRIM($AJ629),2),mapPTCode,0)),"Other / Leased Fee"))</f>
        <v/>
      </c>
      <c r="CA629" s="76">
        <f>IF(TRIM($AF629&amp;"")="","NR",LEFT(TRIM($AF629),2))</f>
        <v/>
      </c>
      <c r="CB629" s="76">
        <f>IFERROR(LOOKUP(2,1/(LEFT(TRIM($AI629&amp;""),LEN(mapRegion))=mapRegion),mapRegion),"Not Reported")</f>
        <v/>
      </c>
      <c r="CC629" s="76">
        <f>IF($BY629=0,"",IF(TRIM($W629&amp;"")="REO","REO",IF(TRIM($W629&amp;"")="FC","Foreclosure",IF(TRIM($W629&amp;"")="90+","90+ Days Delinquent",IF(TRIM($W629&amp;"")="60","60 Days Delinquent",IF(TRIM($W629&amp;"")="30","30 Days Delinquent",IF($X629="Non-Performing Matured Balloon","Non-Performing Matured Balloon",IF(OR($X629="Late Payment But Less Than 30 Days Delinquent",LEFT($X629&amp;"",20)="Payment Not Received"),"Late / In Grace (&lt;30 Days)",IF($X629="Performing Matured Balloon","Performing Matured Balloon","Current")))))))))</f>
        <v/>
      </c>
      <c r="CD629" s="78">
        <f>IF(OR($CC629="REO",$CC629="Foreclosure",$CC629="90+ Days Delinquent",$CC629="60 Days Delinquent",$CC629="30 Days Delinquent",$CC629="Non-Performing Matured Balloon"),1,0)</f>
        <v/>
      </c>
      <c r="CE629" s="76">
        <f>IF($AB629="Currently special serv","Currently Specially Serviced",IF($AB629="Returned to master serv","Previously Specially Serviced","Never Specially Serviced"))</f>
        <v/>
      </c>
      <c r="CF629" s="78">
        <f>IF($CE629="Currently Specially Serviced",1,0)</f>
        <v/>
      </c>
      <c r="CG629" s="76">
        <f>IF($AA629="Yes","Currently on Watchlist",IF($AA629="Previously","Previously on Watchlist","Never on Watchlist"))</f>
        <v/>
      </c>
      <c r="CH629" s="78">
        <f>IF($CG629="Currently on Watchlist",1,0)</f>
        <v/>
      </c>
      <c r="CI629" s="76">
        <f>IF($Z629="Full Defeasance","Fully Defeased",IF($Z629="Portion Of Loan Previously Defeased","Partially Defeased",IF($Z629="Defeasance Not Allowable","Not Defeased (Not Permitted)","Not Defeased")))</f>
        <v/>
      </c>
      <c r="CJ629" s="78">
        <f>IF($CI629="Fully Defeased",1,0)</f>
        <v/>
      </c>
      <c r="CK629" s="76">
        <f>IF($R629="IO","Full IO",IF(LEFT($R629&amp;"",7)="IO then","Partial IO","Amortizing"))</f>
        <v/>
      </c>
      <c r="CL629" s="78">
        <f>IF($CK629="Full IO",1,0)</f>
        <v/>
      </c>
      <c r="CM629" s="78">
        <f>IF($CK629="Partial IO",1,0)</f>
        <v/>
      </c>
      <c r="CN629" s="76">
        <f>IF(LEFT($F629&amp;"",10)="SPLIT_LOAN","Pari Passu Split","Standalone")</f>
        <v/>
      </c>
      <c r="CO629" s="78">
        <f>IF($CN629="Pari Passu Split",1,0)</f>
        <v/>
      </c>
      <c r="CP629" s="77">
        <f>IF(ISNUMBER($T629),YEAR($T629),"")</f>
        <v/>
      </c>
      <c r="CQ629" s="79">
        <f>IF(ISNUMBER($V629),$V629,IF(ISNUMBER($U629),$U629,""))</f>
        <v/>
      </c>
      <c r="CR629" s="77">
        <f>IF(ISNUMBER($CQ629),YEAR($CQ629),"")</f>
        <v/>
      </c>
      <c r="CS629" s="78">
        <f>IF(ISNUMBER($M629),MAX(0,$M629),IF(TRIM($M629&amp;"")="matured",0,""))</f>
        <v/>
      </c>
      <c r="CT629" s="78">
        <f>IF(AND(ISNUMBER($CS629),N($CS629)&lt;=mMatWindow),1,0)</f>
        <v/>
      </c>
      <c r="CU629" s="80">
        <f>IF(ISNUMBER($J629),$J629/100,"")</f>
        <v/>
      </c>
      <c r="CV629" s="81">
        <f>IF(ISNUMBER($AQ629),$AQ629,"")</f>
        <v/>
      </c>
      <c r="CW629" s="81">
        <f>IF(ISNUMBER($AR629),$AR629,"")</f>
        <v/>
      </c>
      <c r="CX629" s="82">
        <f>IF(ISNUMBER($AS629),$AS629/100,"")</f>
        <v/>
      </c>
      <c r="CY629" s="82">
        <f>IF(ISNUMBER($AT629),$AT629/100,"")</f>
        <v/>
      </c>
      <c r="CZ629" s="82">
        <f>IF(ISNUMBER($AU629),$AU629/100,"")</f>
        <v/>
      </c>
      <c r="DA629" s="82">
        <f>IF(ISNUMBER($AV629),$AV629/100,"")</f>
        <v/>
      </c>
      <c r="DB629" s="82">
        <f>IF(ISNUMBER($AW629),$AW629/100,"")</f>
        <v/>
      </c>
      <c r="DC629" s="82">
        <f>IF(ISNUMBER($AX629),$AX629/100,"")</f>
        <v/>
      </c>
      <c r="DD629" s="77">
        <f>IFERROR(VALUE(LEFT(TRIM($AO629&amp;""),4)),"")</f>
        <v/>
      </c>
      <c r="DE629" s="78">
        <f>IF(AND($BY629=1,$BX629=1,OR(fDeal="All Deals",$BU629=fDeal),OR(fEntity="All Entities",$BV629=fEntity),OR(fPType="All Property Types",$BZ629=fPType),OR(fDefeased="Include",$CJ629=0)),1,0)</f>
        <v/>
      </c>
      <c r="DF629" s="83">
        <f>$DE629*N($I629)</f>
        <v/>
      </c>
      <c r="DG629" s="78">
        <f>IF($DE629=1,IF(COUNTIFS($F$8:$F629,$F629,$DE$8:$DE629,1)=1,1,0),0)</f>
        <v/>
      </c>
      <c r="DH629" s="83">
        <f>IF($DG629=1,SUMIFS($DF$8:$DF$1600,$F$8:$F$1600,$F629),0)</f>
        <v/>
      </c>
      <c r="DI629" s="78">
        <f>IF($DG629=1,COUNTIFS($F$8:$F$1600,$F629,$DE$8:$DE$1600,1),0)</f>
        <v/>
      </c>
      <c r="DJ629" s="84">
        <f>IF($DG629=1,$DH629+(100000-ROW())/mTieBreak,0)</f>
        <v/>
      </c>
    </row>
    <row r="630">
      <c r="B630" s="68" t="n">
        <v>43</v>
      </c>
      <c r="C630" s="69" t="inlineStr">
        <is>
          <t>UBS18C13</t>
        </is>
      </c>
      <c r="D630" s="69" t="inlineStr">
        <is>
          <t>43.000</t>
        </is>
      </c>
      <c r="E630" s="69" t="inlineStr">
        <is>
          <t>Quality Inn &amp; Suites Florence</t>
        </is>
      </c>
      <c r="F630" s="69" t="inlineStr">
        <is>
          <t>LNUBS18C13-43.000</t>
        </is>
      </c>
      <c r="G630" s="70" t="n"/>
      <c r="H630" s="71" t="n">
        <v>6000000</v>
      </c>
      <c r="I630" s="71" t="n">
        <v>4944335.410002001</v>
      </c>
      <c r="J630" s="72" t="n">
        <v>5.57</v>
      </c>
      <c r="K630" s="69" t="inlineStr">
        <is>
          <t>Fixed rate</t>
        </is>
      </c>
      <c r="L630" s="68" t="n">
        <v>120</v>
      </c>
      <c r="M630" s="68" t="n">
        <v>25</v>
      </c>
      <c r="N630" s="68" t="n">
        <v>300</v>
      </c>
      <c r="O630" s="68" t="n"/>
      <c r="P630" s="68" t="n"/>
      <c r="Q630" s="68" t="n">
        <v>95</v>
      </c>
      <c r="R630" s="69" t="n"/>
      <c r="S630" s="69" t="inlineStr">
        <is>
          <t>No</t>
        </is>
      </c>
      <c r="T630" s="73" t="n">
        <v>43374</v>
      </c>
      <c r="U630" s="73" t="n">
        <v>47036</v>
      </c>
      <c r="V630" s="73" t="n"/>
      <c r="W630" s="69" t="n"/>
      <c r="X630" s="69" t="inlineStr">
        <is>
          <t>Current</t>
        </is>
      </c>
      <c r="Y630" s="68" t="n"/>
      <c r="Z630" s="69" t="inlineStr">
        <is>
          <t>No Defeasance Occurred</t>
        </is>
      </c>
      <c r="AA630" s="69" t="inlineStr">
        <is>
          <t>Yes</t>
        </is>
      </c>
      <c r="AB630" s="69" t="inlineStr">
        <is>
          <t>Never special serv</t>
        </is>
      </c>
      <c r="AC630" s="73" t="n"/>
      <c r="AD630" s="69" t="n"/>
      <c r="AE630" s="69" t="n"/>
      <c r="AF630" s="69" t="inlineStr">
        <is>
          <t>KY</t>
        </is>
      </c>
      <c r="AG630" s="69" t="inlineStr">
        <is>
          <t>Florence</t>
        </is>
      </c>
      <c r="AH630" s="69" t="inlineStr">
        <is>
          <t>Cincinnati, OH-KY-IN</t>
        </is>
      </c>
      <c r="AI630" s="69" t="inlineStr">
        <is>
          <t>Midwest / Central East</t>
        </is>
      </c>
      <c r="AJ630" s="69" t="inlineStr">
        <is>
          <t>HT</t>
        </is>
      </c>
      <c r="AK630" s="69" t="inlineStr">
        <is>
          <t>Limited Service</t>
        </is>
      </c>
      <c r="AL630" s="68" t="n">
        <v>1</v>
      </c>
      <c r="AM630" s="68" t="n">
        <v>120</v>
      </c>
      <c r="AN630" s="68" t="n"/>
      <c r="AO630" s="69" t="inlineStr">
        <is>
          <t>1987</t>
        </is>
      </c>
      <c r="AP630" s="70" t="n">
        <v>2016</v>
      </c>
      <c r="AQ630" s="74" t="n">
        <v>2.48</v>
      </c>
      <c r="AR630" s="74" t="n">
        <v>1.03</v>
      </c>
      <c r="AS630" s="74" t="n">
        <v>64.5</v>
      </c>
      <c r="AT630" s="74" t="n">
        <v>58.17</v>
      </c>
      <c r="AU630" s="74" t="n">
        <v>49.2</v>
      </c>
      <c r="AV630" s="74" t="n">
        <v>18.3844215</v>
      </c>
      <c r="AW630" s="74" t="n">
        <v>9.807521938000001</v>
      </c>
      <c r="AX630" s="75" t="n">
        <v>64</v>
      </c>
      <c r="AY630" s="71" t="n">
        <v>8500000</v>
      </c>
      <c r="AZ630" s="71" t="n">
        <v>8500000</v>
      </c>
      <c r="BA630" s="71" t="n">
        <v>1103065.29</v>
      </c>
      <c r="BB630" s="71" t="n">
        <v>460295.19</v>
      </c>
      <c r="BC630" s="69" t="inlineStr">
        <is>
          <t>Refinance</t>
        </is>
      </c>
      <c r="BD630" s="69" t="inlineStr">
        <is>
          <t>N</t>
        </is>
      </c>
      <c r="BE630" s="71" t="n"/>
      <c r="BF630" s="71" t="n"/>
      <c r="BG630" s="71" t="n"/>
      <c r="BH630" s="71" t="n">
        <v>0</v>
      </c>
      <c r="BI630" s="71" t="n">
        <v>0</v>
      </c>
      <c r="BJ630" s="69" t="inlineStr">
        <is>
          <t>Y</t>
        </is>
      </c>
      <c r="BK630" s="69" t="n"/>
      <c r="BL630" s="75" t="n"/>
      <c r="BM630" s="73" t="n"/>
      <c r="BN630" s="69" t="inlineStr">
        <is>
          <t>Kunal Dave; Vimal Patel</t>
        </is>
      </c>
      <c r="BO630" s="69" t="n"/>
      <c r="BP630" s="69" t="inlineStr">
        <is>
          <t>Midland Loan Services</t>
        </is>
      </c>
      <c r="BQ630" s="69" t="inlineStr">
        <is>
          <t>Midland Loan Services</t>
        </is>
      </c>
      <c r="BR630" s="69" t="n"/>
      <c r="BS630" s="73" t="n">
        <v>46276</v>
      </c>
      <c r="BU630" s="76">
        <f>IF($C630="","",IFERROR(INDEX(dmName,MATCH($C630,dmID,0)),"Unmapped"))</f>
        <v/>
      </c>
      <c r="BV630" s="76">
        <f>IF($C630="","",IFERROR(INDEX(dmEntity,MATCH($C630,dmID,0)),"Unmapped"))</f>
        <v/>
      </c>
      <c r="BW630" s="77">
        <f>IF($C630="","",IFERROR(INDEX(dmVintage,MATCH($C630,dmID,0)),""))</f>
        <v/>
      </c>
      <c r="BX630" s="78">
        <f>IFERROR(INDEX(dmInclude,MATCH($C630,dmID,0)),0)</f>
        <v/>
      </c>
      <c r="BY630" s="78">
        <f>IF(N($I630)&gt;0,1,0)</f>
        <v/>
      </c>
      <c r="BZ630" s="76">
        <f>IF($AJ630="","Other / Leased Fee",IFERROR(INDEX(mapPTGroup,MATCH(LEFT(TRIM($AJ630),2),mapPTCode,0)),"Other / Leased Fee"))</f>
        <v/>
      </c>
      <c r="CA630" s="76">
        <f>IF(TRIM($AF630&amp;"")="","NR",LEFT(TRIM($AF630),2))</f>
        <v/>
      </c>
      <c r="CB630" s="76">
        <f>IFERROR(LOOKUP(2,1/(LEFT(TRIM($AI630&amp;""),LEN(mapRegion))=mapRegion),mapRegion),"Not Reported")</f>
        <v/>
      </c>
      <c r="CC630" s="76">
        <f>IF($BY630=0,"",IF(TRIM($W630&amp;"")="REO","REO",IF(TRIM($W630&amp;"")="FC","Foreclosure",IF(TRIM($W630&amp;"")="90+","90+ Days Delinquent",IF(TRIM($W630&amp;"")="60","60 Days Delinquent",IF(TRIM($W630&amp;"")="30","30 Days Delinquent",IF($X630="Non-Performing Matured Balloon","Non-Performing Matured Balloon",IF(OR($X630="Late Payment But Less Than 30 Days Delinquent",LEFT($X630&amp;"",20)="Payment Not Received"),"Late / In Grace (&lt;30 Days)",IF($X630="Performing Matured Balloon","Performing Matured Balloon","Current")))))))))</f>
        <v/>
      </c>
      <c r="CD630" s="78">
        <f>IF(OR($CC630="REO",$CC630="Foreclosure",$CC630="90+ Days Delinquent",$CC630="60 Days Delinquent",$CC630="30 Days Delinquent",$CC630="Non-Performing Matured Balloon"),1,0)</f>
        <v/>
      </c>
      <c r="CE630" s="76">
        <f>IF($AB630="Currently special serv","Currently Specially Serviced",IF($AB630="Returned to master serv","Previously Specially Serviced","Never Specially Serviced"))</f>
        <v/>
      </c>
      <c r="CF630" s="78">
        <f>IF($CE630="Currently Specially Serviced",1,0)</f>
        <v/>
      </c>
      <c r="CG630" s="76">
        <f>IF($AA630="Yes","Currently on Watchlist",IF($AA630="Previously","Previously on Watchlist","Never on Watchlist"))</f>
        <v/>
      </c>
      <c r="CH630" s="78">
        <f>IF($CG630="Currently on Watchlist",1,0)</f>
        <v/>
      </c>
      <c r="CI630" s="76">
        <f>IF($Z630="Full Defeasance","Fully Defeased",IF($Z630="Portion Of Loan Previously Defeased","Partially Defeased",IF($Z630="Defeasance Not Allowable","Not Defeased (Not Permitted)","Not Defeased")))</f>
        <v/>
      </c>
      <c r="CJ630" s="78">
        <f>IF($CI630="Fully Defeased",1,0)</f>
        <v/>
      </c>
      <c r="CK630" s="76">
        <f>IF($R630="IO","Full IO",IF(LEFT($R630&amp;"",7)="IO then","Partial IO","Amortizing"))</f>
        <v/>
      </c>
      <c r="CL630" s="78">
        <f>IF($CK630="Full IO",1,0)</f>
        <v/>
      </c>
      <c r="CM630" s="78">
        <f>IF($CK630="Partial IO",1,0)</f>
        <v/>
      </c>
      <c r="CN630" s="76">
        <f>IF(LEFT($F630&amp;"",10)="SPLIT_LOAN","Pari Passu Split","Standalone")</f>
        <v/>
      </c>
      <c r="CO630" s="78">
        <f>IF($CN630="Pari Passu Split",1,0)</f>
        <v/>
      </c>
      <c r="CP630" s="77">
        <f>IF(ISNUMBER($T630),YEAR($T630),"")</f>
        <v/>
      </c>
      <c r="CQ630" s="79">
        <f>IF(ISNUMBER($V630),$V630,IF(ISNUMBER($U630),$U630,""))</f>
        <v/>
      </c>
      <c r="CR630" s="77">
        <f>IF(ISNUMBER($CQ630),YEAR($CQ630),"")</f>
        <v/>
      </c>
      <c r="CS630" s="78">
        <f>IF(ISNUMBER($M630),MAX(0,$M630),IF(TRIM($M630&amp;"")="matured",0,""))</f>
        <v/>
      </c>
      <c r="CT630" s="78">
        <f>IF(AND(ISNUMBER($CS630),N($CS630)&lt;=mMatWindow),1,0)</f>
        <v/>
      </c>
      <c r="CU630" s="80">
        <f>IF(ISNUMBER($J630),$J630/100,"")</f>
        <v/>
      </c>
      <c r="CV630" s="81">
        <f>IF(ISNUMBER($AQ630),$AQ630,"")</f>
        <v/>
      </c>
      <c r="CW630" s="81">
        <f>IF(ISNUMBER($AR630),$AR630,"")</f>
        <v/>
      </c>
      <c r="CX630" s="82">
        <f>IF(ISNUMBER($AS630),$AS630/100,"")</f>
        <v/>
      </c>
      <c r="CY630" s="82">
        <f>IF(ISNUMBER($AT630),$AT630/100,"")</f>
        <v/>
      </c>
      <c r="CZ630" s="82">
        <f>IF(ISNUMBER($AU630),$AU630/100,"")</f>
        <v/>
      </c>
      <c r="DA630" s="82">
        <f>IF(ISNUMBER($AV630),$AV630/100,"")</f>
        <v/>
      </c>
      <c r="DB630" s="82">
        <f>IF(ISNUMBER($AW630),$AW630/100,"")</f>
        <v/>
      </c>
      <c r="DC630" s="82">
        <f>IF(ISNUMBER($AX630),$AX630/100,"")</f>
        <v/>
      </c>
      <c r="DD630" s="77">
        <f>IFERROR(VALUE(LEFT(TRIM($AO630&amp;""),4)),"")</f>
        <v/>
      </c>
      <c r="DE630" s="78">
        <f>IF(AND($BY630=1,$BX630=1,OR(fDeal="All Deals",$BU630=fDeal),OR(fEntity="All Entities",$BV630=fEntity),OR(fPType="All Property Types",$BZ630=fPType),OR(fDefeased="Include",$CJ630=0)),1,0)</f>
        <v/>
      </c>
      <c r="DF630" s="83">
        <f>$DE630*N($I630)</f>
        <v/>
      </c>
      <c r="DG630" s="78">
        <f>IF($DE630=1,IF(COUNTIFS($F$8:$F630,$F630,$DE$8:$DE630,1)=1,1,0),0)</f>
        <v/>
      </c>
      <c r="DH630" s="83">
        <f>IF($DG630=1,SUMIFS($DF$8:$DF$1600,$F$8:$F$1600,$F630),0)</f>
        <v/>
      </c>
      <c r="DI630" s="78">
        <f>IF($DG630=1,COUNTIFS($F$8:$F$1600,$F630,$DE$8:$DE$1600,1),0)</f>
        <v/>
      </c>
      <c r="DJ630" s="84">
        <f>IF($DG630=1,$DH630+(100000-ROW())/mTieBreak,0)</f>
        <v/>
      </c>
    </row>
    <row r="631">
      <c r="B631" s="68" t="n">
        <v>44</v>
      </c>
      <c r="C631" s="69" t="inlineStr">
        <is>
          <t>UBS18C13</t>
        </is>
      </c>
      <c r="D631" s="69" t="inlineStr">
        <is>
          <t>44.000</t>
        </is>
      </c>
      <c r="E631" s="69" t="inlineStr">
        <is>
          <t>Holiday Inn Express - Brooksville</t>
        </is>
      </c>
      <c r="F631" s="69" t="inlineStr">
        <is>
          <t>LNUBS18C13-44.000</t>
        </is>
      </c>
      <c r="G631" s="70" t="n"/>
      <c r="H631" s="71" t="n">
        <v>5350000</v>
      </c>
      <c r="I631" s="71" t="n">
        <v>4511557.199999101</v>
      </c>
      <c r="J631" s="72" t="n">
        <v>6.47</v>
      </c>
      <c r="K631" s="69" t="inlineStr">
        <is>
          <t>Fixed rate</t>
        </is>
      </c>
      <c r="L631" s="68" t="n">
        <v>120</v>
      </c>
      <c r="M631" s="68" t="n">
        <v>25</v>
      </c>
      <c r="N631" s="68" t="n">
        <v>300</v>
      </c>
      <c r="O631" s="68" t="n"/>
      <c r="P631" s="68" t="n"/>
      <c r="Q631" s="68" t="n">
        <v>95</v>
      </c>
      <c r="R631" s="69" t="n"/>
      <c r="S631" s="69" t="inlineStr">
        <is>
          <t>No</t>
        </is>
      </c>
      <c r="T631" s="73" t="n">
        <v>43374</v>
      </c>
      <c r="U631" s="73" t="n">
        <v>47027</v>
      </c>
      <c r="V631" s="73" t="n"/>
      <c r="W631" s="69" t="n"/>
      <c r="X631" s="69" t="inlineStr">
        <is>
          <t>Late Payment But Less Than 30 Days Delinquent</t>
        </is>
      </c>
      <c r="Y631" s="68" t="n"/>
      <c r="Z631" s="69" t="inlineStr">
        <is>
          <t>No Defeasance Occurred</t>
        </is>
      </c>
      <c r="AA631" s="69" t="inlineStr">
        <is>
          <t>Previously</t>
        </is>
      </c>
      <c r="AB631" s="69" t="inlineStr">
        <is>
          <t>Never special serv</t>
        </is>
      </c>
      <c r="AC631" s="73" t="n"/>
      <c r="AD631" s="69" t="n"/>
      <c r="AE631" s="69" t="n"/>
      <c r="AF631" s="69" t="inlineStr">
        <is>
          <t>FL</t>
        </is>
      </c>
      <c r="AG631" s="69" t="inlineStr">
        <is>
          <t>Brooksville</t>
        </is>
      </c>
      <c r="AH631" s="69" t="inlineStr">
        <is>
          <t>Tampa-St. Petersburg-Clearwater, FL</t>
        </is>
      </c>
      <c r="AI631" s="69" t="inlineStr">
        <is>
          <t>South / Atlantic</t>
        </is>
      </c>
      <c r="AJ631" s="69" t="inlineStr">
        <is>
          <t>HT</t>
        </is>
      </c>
      <c r="AK631" s="69" t="inlineStr">
        <is>
          <t>Limited Service</t>
        </is>
      </c>
      <c r="AL631" s="68" t="n">
        <v>1</v>
      </c>
      <c r="AM631" s="68" t="n">
        <v>78</v>
      </c>
      <c r="AN631" s="68" t="n"/>
      <c r="AO631" s="69" t="inlineStr">
        <is>
          <t>2008</t>
        </is>
      </c>
      <c r="AP631" s="70" t="n">
        <v>2008</v>
      </c>
      <c r="AQ631" s="74" t="n">
        <v>1.53</v>
      </c>
      <c r="AR631" s="74" t="n">
        <v>1.67</v>
      </c>
      <c r="AS631" s="74" t="n">
        <v>52.5</v>
      </c>
      <c r="AT631" s="74" t="n">
        <v>44.23</v>
      </c>
      <c r="AU631" s="74" t="n">
        <v>41.3</v>
      </c>
      <c r="AV631" s="74" t="n">
        <v>12.343585607</v>
      </c>
      <c r="AW631" s="74" t="n">
        <v>15.992053032</v>
      </c>
      <c r="AX631" s="75" t="n">
        <v>64</v>
      </c>
      <c r="AY631" s="71" t="n">
        <v>10200000</v>
      </c>
      <c r="AZ631" s="71" t="n">
        <v>10200000</v>
      </c>
      <c r="BA631" s="71" t="n">
        <v>660381.83</v>
      </c>
      <c r="BB631" s="71" t="n">
        <v>721490.62</v>
      </c>
      <c r="BC631" s="69" t="inlineStr">
        <is>
          <t>Refinance</t>
        </is>
      </c>
      <c r="BD631" s="69" t="inlineStr">
        <is>
          <t>N</t>
        </is>
      </c>
      <c r="BE631" s="71" t="n"/>
      <c r="BF631" s="71" t="n"/>
      <c r="BG631" s="71" t="n"/>
      <c r="BH631" s="71" t="n">
        <v>0</v>
      </c>
      <c r="BI631" s="71" t="n">
        <v>36013.62</v>
      </c>
      <c r="BJ631" s="69" t="inlineStr">
        <is>
          <t>N</t>
        </is>
      </c>
      <c r="BK631" s="69" t="n"/>
      <c r="BL631" s="75" t="n"/>
      <c r="BM631" s="73" t="n"/>
      <c r="BN631" s="69" t="inlineStr">
        <is>
          <t>Nagender Reddy; Geetha R. Kuchakulla</t>
        </is>
      </c>
      <c r="BO631" s="69" t="n"/>
      <c r="BP631" s="69" t="inlineStr">
        <is>
          <t>Midland Loan Services</t>
        </is>
      </c>
      <c r="BQ631" s="69" t="inlineStr">
        <is>
          <t>Midland Loan Services</t>
        </is>
      </c>
      <c r="BR631" s="69" t="n"/>
      <c r="BS631" s="73" t="n">
        <v>46276</v>
      </c>
      <c r="BU631" s="76">
        <f>IF($C631="","",IFERROR(INDEX(dmName,MATCH($C631,dmID,0)),"Unmapped"))</f>
        <v/>
      </c>
      <c r="BV631" s="76">
        <f>IF($C631="","",IFERROR(INDEX(dmEntity,MATCH($C631,dmID,0)),"Unmapped"))</f>
        <v/>
      </c>
      <c r="BW631" s="77">
        <f>IF($C631="","",IFERROR(INDEX(dmVintage,MATCH($C631,dmID,0)),""))</f>
        <v/>
      </c>
      <c r="BX631" s="78">
        <f>IFERROR(INDEX(dmInclude,MATCH($C631,dmID,0)),0)</f>
        <v/>
      </c>
      <c r="BY631" s="78">
        <f>IF(N($I631)&gt;0,1,0)</f>
        <v/>
      </c>
      <c r="BZ631" s="76">
        <f>IF($AJ631="","Other / Leased Fee",IFERROR(INDEX(mapPTGroup,MATCH(LEFT(TRIM($AJ631),2),mapPTCode,0)),"Other / Leased Fee"))</f>
        <v/>
      </c>
      <c r="CA631" s="76">
        <f>IF(TRIM($AF631&amp;"")="","NR",LEFT(TRIM($AF631),2))</f>
        <v/>
      </c>
      <c r="CB631" s="76">
        <f>IFERROR(LOOKUP(2,1/(LEFT(TRIM($AI631&amp;""),LEN(mapRegion))=mapRegion),mapRegion),"Not Reported")</f>
        <v/>
      </c>
      <c r="CC631" s="76">
        <f>IF($BY631=0,"",IF(TRIM($W631&amp;"")="REO","REO",IF(TRIM($W631&amp;"")="FC","Foreclosure",IF(TRIM($W631&amp;"")="90+","90+ Days Delinquent",IF(TRIM($W631&amp;"")="60","60 Days Delinquent",IF(TRIM($W631&amp;"")="30","30 Days Delinquent",IF($X631="Non-Performing Matured Balloon","Non-Performing Matured Balloon",IF(OR($X631="Late Payment But Less Than 30 Days Delinquent",LEFT($X631&amp;"",20)="Payment Not Received"),"Late / In Grace (&lt;30 Days)",IF($X631="Performing Matured Balloon","Performing Matured Balloon","Current")))))))))</f>
        <v/>
      </c>
      <c r="CD631" s="78">
        <f>IF(OR($CC631="REO",$CC631="Foreclosure",$CC631="90+ Days Delinquent",$CC631="60 Days Delinquent",$CC631="30 Days Delinquent",$CC631="Non-Performing Matured Balloon"),1,0)</f>
        <v/>
      </c>
      <c r="CE631" s="76">
        <f>IF($AB631="Currently special serv","Currently Specially Serviced",IF($AB631="Returned to master serv","Previously Specially Serviced","Never Specially Serviced"))</f>
        <v/>
      </c>
      <c r="CF631" s="78">
        <f>IF($CE631="Currently Specially Serviced",1,0)</f>
        <v/>
      </c>
      <c r="CG631" s="76">
        <f>IF($AA631="Yes","Currently on Watchlist",IF($AA631="Previously","Previously on Watchlist","Never on Watchlist"))</f>
        <v/>
      </c>
      <c r="CH631" s="78">
        <f>IF($CG631="Currently on Watchlist",1,0)</f>
        <v/>
      </c>
      <c r="CI631" s="76">
        <f>IF($Z631="Full Defeasance","Fully Defeased",IF($Z631="Portion Of Loan Previously Defeased","Partially Defeased",IF($Z631="Defeasance Not Allowable","Not Defeased (Not Permitted)","Not Defeased")))</f>
        <v/>
      </c>
      <c r="CJ631" s="78">
        <f>IF($CI631="Fully Defeased",1,0)</f>
        <v/>
      </c>
      <c r="CK631" s="76">
        <f>IF($R631="IO","Full IO",IF(LEFT($R631&amp;"",7)="IO then","Partial IO","Amortizing"))</f>
        <v/>
      </c>
      <c r="CL631" s="78">
        <f>IF($CK631="Full IO",1,0)</f>
        <v/>
      </c>
      <c r="CM631" s="78">
        <f>IF($CK631="Partial IO",1,0)</f>
        <v/>
      </c>
      <c r="CN631" s="76">
        <f>IF(LEFT($F631&amp;"",10)="SPLIT_LOAN","Pari Passu Split","Standalone")</f>
        <v/>
      </c>
      <c r="CO631" s="78">
        <f>IF($CN631="Pari Passu Split",1,0)</f>
        <v/>
      </c>
      <c r="CP631" s="77">
        <f>IF(ISNUMBER($T631),YEAR($T631),"")</f>
        <v/>
      </c>
      <c r="CQ631" s="79">
        <f>IF(ISNUMBER($V631),$V631,IF(ISNUMBER($U631),$U631,""))</f>
        <v/>
      </c>
      <c r="CR631" s="77">
        <f>IF(ISNUMBER($CQ631),YEAR($CQ631),"")</f>
        <v/>
      </c>
      <c r="CS631" s="78">
        <f>IF(ISNUMBER($M631),MAX(0,$M631),IF(TRIM($M631&amp;"")="matured",0,""))</f>
        <v/>
      </c>
      <c r="CT631" s="78">
        <f>IF(AND(ISNUMBER($CS631),N($CS631)&lt;=mMatWindow),1,0)</f>
        <v/>
      </c>
      <c r="CU631" s="80">
        <f>IF(ISNUMBER($J631),$J631/100,"")</f>
        <v/>
      </c>
      <c r="CV631" s="81">
        <f>IF(ISNUMBER($AQ631),$AQ631,"")</f>
        <v/>
      </c>
      <c r="CW631" s="81">
        <f>IF(ISNUMBER($AR631),$AR631,"")</f>
        <v/>
      </c>
      <c r="CX631" s="82">
        <f>IF(ISNUMBER($AS631),$AS631/100,"")</f>
        <v/>
      </c>
      <c r="CY631" s="82">
        <f>IF(ISNUMBER($AT631),$AT631/100,"")</f>
        <v/>
      </c>
      <c r="CZ631" s="82">
        <f>IF(ISNUMBER($AU631),$AU631/100,"")</f>
        <v/>
      </c>
      <c r="DA631" s="82">
        <f>IF(ISNUMBER($AV631),$AV631/100,"")</f>
        <v/>
      </c>
      <c r="DB631" s="82">
        <f>IF(ISNUMBER($AW631),$AW631/100,"")</f>
        <v/>
      </c>
      <c r="DC631" s="82">
        <f>IF(ISNUMBER($AX631),$AX631/100,"")</f>
        <v/>
      </c>
      <c r="DD631" s="77">
        <f>IFERROR(VALUE(LEFT(TRIM($AO631&amp;""),4)),"")</f>
        <v/>
      </c>
      <c r="DE631" s="78">
        <f>IF(AND($BY631=1,$BX631=1,OR(fDeal="All Deals",$BU631=fDeal),OR(fEntity="All Entities",$BV631=fEntity),OR(fPType="All Property Types",$BZ631=fPType),OR(fDefeased="Include",$CJ631=0)),1,0)</f>
        <v/>
      </c>
      <c r="DF631" s="83">
        <f>$DE631*N($I631)</f>
        <v/>
      </c>
      <c r="DG631" s="78">
        <f>IF($DE631=1,IF(COUNTIFS($F$8:$F631,$F631,$DE$8:$DE631,1)=1,1,0),0)</f>
        <v/>
      </c>
      <c r="DH631" s="83">
        <f>IF($DG631=1,SUMIFS($DF$8:$DF$1600,$F$8:$F$1600,$F631),0)</f>
        <v/>
      </c>
      <c r="DI631" s="78">
        <f>IF($DG631=1,COUNTIFS($F$8:$F$1600,$F631,$DE$8:$DE$1600,1),0)</f>
        <v/>
      </c>
      <c r="DJ631" s="84">
        <f>IF($DG631=1,$DH631+(100000-ROW())/mTieBreak,0)</f>
        <v/>
      </c>
    </row>
    <row r="632">
      <c r="B632" s="68" t="n">
        <v>45</v>
      </c>
      <c r="C632" s="69" t="inlineStr">
        <is>
          <t>UBS18C13</t>
        </is>
      </c>
      <c r="D632" s="69" t="inlineStr">
        <is>
          <t>45.000</t>
        </is>
      </c>
      <c r="E632" s="69" t="inlineStr">
        <is>
          <t>4 Lotus Boulevard</t>
        </is>
      </c>
      <c r="F632" s="69" t="inlineStr">
        <is>
          <t>LNUBS18C13-45.000</t>
        </is>
      </c>
      <c r="G632" s="70" t="n"/>
      <c r="H632" s="71" t="n">
        <v>4750000</v>
      </c>
      <c r="I632" s="71" t="n">
        <v>4750000</v>
      </c>
      <c r="J632" s="72" t="n">
        <v>5.03</v>
      </c>
      <c r="K632" s="69" t="inlineStr">
        <is>
          <t>Fixed rate</t>
        </is>
      </c>
      <c r="L632" s="68" t="n">
        <v>120</v>
      </c>
      <c r="M632" s="68" t="n">
        <v>24</v>
      </c>
      <c r="N632" s="68" t="n">
        <v>120</v>
      </c>
      <c r="O632" s="68" t="n">
        <v>120</v>
      </c>
      <c r="P632" s="68" t="n">
        <v>24</v>
      </c>
      <c r="Q632" s="68" t="n">
        <v>96</v>
      </c>
      <c r="R632" s="69" t="inlineStr">
        <is>
          <t>IO</t>
        </is>
      </c>
      <c r="S632" s="69" t="inlineStr">
        <is>
          <t>Yes</t>
        </is>
      </c>
      <c r="T632" s="73" t="n">
        <v>43344</v>
      </c>
      <c r="U632" s="73" t="n">
        <v>46997</v>
      </c>
      <c r="V632" s="73" t="n"/>
      <c r="W632" s="69" t="n"/>
      <c r="X632" s="69" t="inlineStr">
        <is>
          <t>Current</t>
        </is>
      </c>
      <c r="Y632" s="68" t="n"/>
      <c r="Z632" s="69" t="inlineStr">
        <is>
          <t>No Defeasance Occurred</t>
        </is>
      </c>
      <c r="AA632" s="69" t="inlineStr">
        <is>
          <t>Yes</t>
        </is>
      </c>
      <c r="AB632" s="69" t="inlineStr">
        <is>
          <t>Never special serv</t>
        </is>
      </c>
      <c r="AC632" s="73" t="n"/>
      <c r="AD632" s="69" t="n"/>
      <c r="AE632" s="69" t="n"/>
      <c r="AF632" s="69" t="inlineStr">
        <is>
          <t>NJ</t>
        </is>
      </c>
      <c r="AG632" s="69" t="inlineStr">
        <is>
          <t>Hackettstown</t>
        </is>
      </c>
      <c r="AH632" s="69" t="inlineStr">
        <is>
          <t>Allentown-Bethlehem-Easton, PA-NJ</t>
        </is>
      </c>
      <c r="AI632" s="69" t="inlineStr">
        <is>
          <t>Northeast / Mid-Atlantic</t>
        </is>
      </c>
      <c r="AJ632" s="69" t="inlineStr">
        <is>
          <t>SS</t>
        </is>
      </c>
      <c r="AK632" s="69" t="n"/>
      <c r="AL632" s="68" t="n">
        <v>1</v>
      </c>
      <c r="AM632" s="68" t="n">
        <v>447</v>
      </c>
      <c r="AN632" s="68" t="n"/>
      <c r="AO632" s="69" t="inlineStr">
        <is>
          <t>2001</t>
        </is>
      </c>
      <c r="AP632" s="70" t="n">
        <v>2007</v>
      </c>
      <c r="AQ632" s="74" t="n">
        <v>1.96</v>
      </c>
      <c r="AR632" s="74" t="n">
        <v>2.9</v>
      </c>
      <c r="AS632" s="74" t="n">
        <v>58.6</v>
      </c>
      <c r="AT632" s="74" t="n">
        <v>58.64</v>
      </c>
      <c r="AU632" s="74" t="n">
        <v>58.6</v>
      </c>
      <c r="AV632" s="74" t="n">
        <v>9.987410526</v>
      </c>
      <c r="AW632" s="74" t="n">
        <v>14.766829895</v>
      </c>
      <c r="AX632" s="75" t="n">
        <v>87</v>
      </c>
      <c r="AY632" s="71" t="n">
        <v>8100000</v>
      </c>
      <c r="AZ632" s="71" t="n">
        <v>8100000</v>
      </c>
      <c r="BA632" s="71" t="n">
        <v>474402</v>
      </c>
      <c r="BB632" s="71" t="n">
        <v>701424.42</v>
      </c>
      <c r="BC632" s="69" t="inlineStr">
        <is>
          <t>Refinance</t>
        </is>
      </c>
      <c r="BD632" s="69" t="inlineStr">
        <is>
          <t>N</t>
        </is>
      </c>
      <c r="BE632" s="71" t="n"/>
      <c r="BF632" s="71" t="n"/>
      <c r="BG632" s="71" t="n"/>
      <c r="BH632" s="71" t="n">
        <v>0</v>
      </c>
      <c r="BI632" s="71" t="n">
        <v>0</v>
      </c>
      <c r="BJ632" s="69" t="inlineStr">
        <is>
          <t>N</t>
        </is>
      </c>
      <c r="BK632" s="69" t="n"/>
      <c r="BL632" s="75" t="n"/>
      <c r="BM632" s="73" t="n"/>
      <c r="BN632" s="69" t="inlineStr">
        <is>
          <t>Israel Perlow</t>
        </is>
      </c>
      <c r="BO632" s="69" t="n"/>
      <c r="BP632" s="69" t="inlineStr">
        <is>
          <t>Midland Loan Services</t>
        </is>
      </c>
      <c r="BQ632" s="69" t="inlineStr">
        <is>
          <t>Midland Loan Services</t>
        </is>
      </c>
      <c r="BR632" s="69" t="n"/>
      <c r="BS632" s="73" t="n">
        <v>46276</v>
      </c>
      <c r="BU632" s="76">
        <f>IF($C632="","",IFERROR(INDEX(dmName,MATCH($C632,dmID,0)),"Unmapped"))</f>
        <v/>
      </c>
      <c r="BV632" s="76">
        <f>IF($C632="","",IFERROR(INDEX(dmEntity,MATCH($C632,dmID,0)),"Unmapped"))</f>
        <v/>
      </c>
      <c r="BW632" s="77">
        <f>IF($C632="","",IFERROR(INDEX(dmVintage,MATCH($C632,dmID,0)),""))</f>
        <v/>
      </c>
      <c r="BX632" s="78">
        <f>IFERROR(INDEX(dmInclude,MATCH($C632,dmID,0)),0)</f>
        <v/>
      </c>
      <c r="BY632" s="78">
        <f>IF(N($I632)&gt;0,1,0)</f>
        <v/>
      </c>
      <c r="BZ632" s="76">
        <f>IF($AJ632="","Other / Leased Fee",IFERROR(INDEX(mapPTGroup,MATCH(LEFT(TRIM($AJ632),2),mapPTCode,0)),"Other / Leased Fee"))</f>
        <v/>
      </c>
      <c r="CA632" s="76">
        <f>IF(TRIM($AF632&amp;"")="","NR",LEFT(TRIM($AF632),2))</f>
        <v/>
      </c>
      <c r="CB632" s="76">
        <f>IFERROR(LOOKUP(2,1/(LEFT(TRIM($AI632&amp;""),LEN(mapRegion))=mapRegion),mapRegion),"Not Reported")</f>
        <v/>
      </c>
      <c r="CC632" s="76">
        <f>IF($BY632=0,"",IF(TRIM($W632&amp;"")="REO","REO",IF(TRIM($W632&amp;"")="FC","Foreclosure",IF(TRIM($W632&amp;"")="90+","90+ Days Delinquent",IF(TRIM($W632&amp;"")="60","60 Days Delinquent",IF(TRIM($W632&amp;"")="30","30 Days Delinquent",IF($X632="Non-Performing Matured Balloon","Non-Performing Matured Balloon",IF(OR($X632="Late Payment But Less Than 30 Days Delinquent",LEFT($X632&amp;"",20)="Payment Not Received"),"Late / In Grace (&lt;30 Days)",IF($X632="Performing Matured Balloon","Performing Matured Balloon","Current")))))))))</f>
        <v/>
      </c>
      <c r="CD632" s="78">
        <f>IF(OR($CC632="REO",$CC632="Foreclosure",$CC632="90+ Days Delinquent",$CC632="60 Days Delinquent",$CC632="30 Days Delinquent",$CC632="Non-Performing Matured Balloon"),1,0)</f>
        <v/>
      </c>
      <c r="CE632" s="76">
        <f>IF($AB632="Currently special serv","Currently Specially Serviced",IF($AB632="Returned to master serv","Previously Specially Serviced","Never Specially Serviced"))</f>
        <v/>
      </c>
      <c r="CF632" s="78">
        <f>IF($CE632="Currently Specially Serviced",1,0)</f>
        <v/>
      </c>
      <c r="CG632" s="76">
        <f>IF($AA632="Yes","Currently on Watchlist",IF($AA632="Previously","Previously on Watchlist","Never on Watchlist"))</f>
        <v/>
      </c>
      <c r="CH632" s="78">
        <f>IF($CG632="Currently on Watchlist",1,0)</f>
        <v/>
      </c>
      <c r="CI632" s="76">
        <f>IF($Z632="Full Defeasance","Fully Defeased",IF($Z632="Portion Of Loan Previously Defeased","Partially Defeased",IF($Z632="Defeasance Not Allowable","Not Defeased (Not Permitted)","Not Defeased")))</f>
        <v/>
      </c>
      <c r="CJ632" s="78">
        <f>IF($CI632="Fully Defeased",1,0)</f>
        <v/>
      </c>
      <c r="CK632" s="76">
        <f>IF($R632="IO","Full IO",IF(LEFT($R632&amp;"",7)="IO then","Partial IO","Amortizing"))</f>
        <v/>
      </c>
      <c r="CL632" s="78">
        <f>IF($CK632="Full IO",1,0)</f>
        <v/>
      </c>
      <c r="CM632" s="78">
        <f>IF($CK632="Partial IO",1,0)</f>
        <v/>
      </c>
      <c r="CN632" s="76">
        <f>IF(LEFT($F632&amp;"",10)="SPLIT_LOAN","Pari Passu Split","Standalone")</f>
        <v/>
      </c>
      <c r="CO632" s="78">
        <f>IF($CN632="Pari Passu Split",1,0)</f>
        <v/>
      </c>
      <c r="CP632" s="77">
        <f>IF(ISNUMBER($T632),YEAR($T632),"")</f>
        <v/>
      </c>
      <c r="CQ632" s="79">
        <f>IF(ISNUMBER($V632),$V632,IF(ISNUMBER($U632),$U632,""))</f>
        <v/>
      </c>
      <c r="CR632" s="77">
        <f>IF(ISNUMBER($CQ632),YEAR($CQ632),"")</f>
        <v/>
      </c>
      <c r="CS632" s="78">
        <f>IF(ISNUMBER($M632),MAX(0,$M632),IF(TRIM($M632&amp;"")="matured",0,""))</f>
        <v/>
      </c>
      <c r="CT632" s="78">
        <f>IF(AND(ISNUMBER($CS632),N($CS632)&lt;=mMatWindow),1,0)</f>
        <v/>
      </c>
      <c r="CU632" s="80">
        <f>IF(ISNUMBER($J632),$J632/100,"")</f>
        <v/>
      </c>
      <c r="CV632" s="81">
        <f>IF(ISNUMBER($AQ632),$AQ632,"")</f>
        <v/>
      </c>
      <c r="CW632" s="81">
        <f>IF(ISNUMBER($AR632),$AR632,"")</f>
        <v/>
      </c>
      <c r="CX632" s="82">
        <f>IF(ISNUMBER($AS632),$AS632/100,"")</f>
        <v/>
      </c>
      <c r="CY632" s="82">
        <f>IF(ISNUMBER($AT632),$AT632/100,"")</f>
        <v/>
      </c>
      <c r="CZ632" s="82">
        <f>IF(ISNUMBER($AU632),$AU632/100,"")</f>
        <v/>
      </c>
      <c r="DA632" s="82">
        <f>IF(ISNUMBER($AV632),$AV632/100,"")</f>
        <v/>
      </c>
      <c r="DB632" s="82">
        <f>IF(ISNUMBER($AW632),$AW632/100,"")</f>
        <v/>
      </c>
      <c r="DC632" s="82">
        <f>IF(ISNUMBER($AX632),$AX632/100,"")</f>
        <v/>
      </c>
      <c r="DD632" s="77">
        <f>IFERROR(VALUE(LEFT(TRIM($AO632&amp;""),4)),"")</f>
        <v/>
      </c>
      <c r="DE632" s="78">
        <f>IF(AND($BY632=1,$BX632=1,OR(fDeal="All Deals",$BU632=fDeal),OR(fEntity="All Entities",$BV632=fEntity),OR(fPType="All Property Types",$BZ632=fPType),OR(fDefeased="Include",$CJ632=0)),1,0)</f>
        <v/>
      </c>
      <c r="DF632" s="83">
        <f>$DE632*N($I632)</f>
        <v/>
      </c>
      <c r="DG632" s="78">
        <f>IF($DE632=1,IF(COUNTIFS($F$8:$F632,$F632,$DE$8:$DE632,1)=1,1,0),0)</f>
        <v/>
      </c>
      <c r="DH632" s="83">
        <f>IF($DG632=1,SUMIFS($DF$8:$DF$1600,$F$8:$F$1600,$F632),0)</f>
        <v/>
      </c>
      <c r="DI632" s="78">
        <f>IF($DG632=1,COUNTIFS($F$8:$F$1600,$F632,$DE$8:$DE$1600,1),0)</f>
        <v/>
      </c>
      <c r="DJ632" s="84">
        <f>IF($DG632=1,$DH632+(100000-ROW())/mTieBreak,0)</f>
        <v/>
      </c>
    </row>
    <row r="633">
      <c r="B633" s="68" t="n">
        <v>46</v>
      </c>
      <c r="C633" s="69" t="inlineStr">
        <is>
          <t>UBS18C13</t>
        </is>
      </c>
      <c r="D633" s="69" t="inlineStr">
        <is>
          <t>46.000</t>
        </is>
      </c>
      <c r="E633" s="69" t="inlineStr">
        <is>
          <t>Eastern Courtyard</t>
        </is>
      </c>
      <c r="F633" s="69" t="inlineStr">
        <is>
          <t>LNUBS18C13-46.000</t>
        </is>
      </c>
      <c r="G633" s="70" t="n"/>
      <c r="H633" s="71" t="n">
        <v>4750000</v>
      </c>
      <c r="I633" s="71" t="n">
        <v>4094092.989999001</v>
      </c>
      <c r="J633" s="72" t="n">
        <v>4.922</v>
      </c>
      <c r="K633" s="69" t="inlineStr">
        <is>
          <t>Fixed rate</t>
        </is>
      </c>
      <c r="L633" s="68" t="n">
        <v>120</v>
      </c>
      <c r="M633" s="68" t="n">
        <v>23</v>
      </c>
      <c r="N633" s="68" t="n">
        <v>360</v>
      </c>
      <c r="O633" s="68" t="n"/>
      <c r="P633" s="68" t="n"/>
      <c r="Q633" s="68" t="n">
        <v>97</v>
      </c>
      <c r="R633" s="69" t="n"/>
      <c r="S633" s="69" t="inlineStr">
        <is>
          <t>No</t>
        </is>
      </c>
      <c r="T633" s="73" t="n">
        <v>43313</v>
      </c>
      <c r="U633" s="73" t="n">
        <v>46971</v>
      </c>
      <c r="V633" s="73" t="n"/>
      <c r="W633" s="69" t="inlineStr">
        <is>
          <t>60</t>
        </is>
      </c>
      <c r="X633" s="69" t="inlineStr">
        <is>
          <t>60-89 Days Delinquent</t>
        </is>
      </c>
      <c r="Y633" s="68" t="n">
        <v>2</v>
      </c>
      <c r="Z633" s="69" t="inlineStr">
        <is>
          <t>Defeasance Not Allowable</t>
        </is>
      </c>
      <c r="AA633" s="69" t="inlineStr">
        <is>
          <t>Yes</t>
        </is>
      </c>
      <c r="AB633" s="69" t="inlineStr">
        <is>
          <t>Never special serv</t>
        </is>
      </c>
      <c r="AC633" s="73" t="n"/>
      <c r="AD633" s="69" t="n"/>
      <c r="AE633" s="69" t="n"/>
      <c r="AF633" s="69" t="inlineStr">
        <is>
          <t>NV</t>
        </is>
      </c>
      <c r="AG633" s="69" t="inlineStr">
        <is>
          <t>Las Vegas</t>
        </is>
      </c>
      <c r="AH633" s="69" t="inlineStr">
        <is>
          <t>Las Vegas-Henderson-North Las Vegas, NV</t>
        </is>
      </c>
      <c r="AI633" s="69" t="inlineStr">
        <is>
          <t>West / Mountain</t>
        </is>
      </c>
      <c r="AJ633" s="69" t="inlineStr">
        <is>
          <t>OF</t>
        </is>
      </c>
      <c r="AK633" s="69" t="inlineStr">
        <is>
          <t>Suburban</t>
        </is>
      </c>
      <c r="AL633" s="68" t="n">
        <v>1</v>
      </c>
      <c r="AM633" s="68" t="n"/>
      <c r="AN633" s="68" t="n">
        <v>51883</v>
      </c>
      <c r="AO633" s="69" t="inlineStr">
        <is>
          <t>1985</t>
        </is>
      </c>
      <c r="AP633" s="70" t="n">
        <v>1985</v>
      </c>
      <c r="AQ633" s="74" t="n">
        <v>1.68</v>
      </c>
      <c r="AR633" s="74" t="n">
        <v>1.48</v>
      </c>
      <c r="AS633" s="74" t="n">
        <v>65.40000000000001</v>
      </c>
      <c r="AT633" s="74" t="n">
        <v>56.47</v>
      </c>
      <c r="AU633" s="74" t="n">
        <v>53.7</v>
      </c>
      <c r="AV633" s="74" t="n">
        <v>10.754215158</v>
      </c>
      <c r="AW633" s="74" t="n">
        <v>12.324137757</v>
      </c>
      <c r="AX633" s="75" t="n">
        <v>100</v>
      </c>
      <c r="AY633" s="71" t="n">
        <v>7250000</v>
      </c>
      <c r="AZ633" s="71" t="n">
        <v>7250000</v>
      </c>
      <c r="BA633" s="71" t="n">
        <v>510825.22</v>
      </c>
      <c r="BB633" s="71" t="n">
        <v>447994.34</v>
      </c>
      <c r="BC633" s="69" t="inlineStr">
        <is>
          <t>Refinance</t>
        </is>
      </c>
      <c r="BD633" s="69" t="inlineStr">
        <is>
          <t>N</t>
        </is>
      </c>
      <c r="BE633" s="71" t="n"/>
      <c r="BF633" s="71" t="n"/>
      <c r="BG633" s="71" t="n"/>
      <c r="BH633" s="71" t="n">
        <v>0</v>
      </c>
      <c r="BI633" s="71" t="n">
        <v>75792.95</v>
      </c>
      <c r="BJ633" s="69" t="inlineStr">
        <is>
          <t>N</t>
        </is>
      </c>
      <c r="BK633" s="69" t="inlineStr">
        <is>
          <t>Desert Radiology Imaging LLC</t>
        </is>
      </c>
      <c r="BL633" s="75" t="n">
        <v>40.84</v>
      </c>
      <c r="BM633" s="73" t="n">
        <v>46843</v>
      </c>
      <c r="BN633" s="69" t="inlineStr">
        <is>
          <t>Gilbert C. Barbieri</t>
        </is>
      </c>
      <c r="BO633" s="69" t="n"/>
      <c r="BP633" s="69" t="inlineStr">
        <is>
          <t>Midland Loan Services</t>
        </is>
      </c>
      <c r="BQ633" s="69" t="inlineStr">
        <is>
          <t>Midland Loan Services</t>
        </is>
      </c>
      <c r="BR633" s="69" t="n"/>
      <c r="BS633" s="73" t="n">
        <v>46276</v>
      </c>
      <c r="BU633" s="76">
        <f>IF($C633="","",IFERROR(INDEX(dmName,MATCH($C633,dmID,0)),"Unmapped"))</f>
        <v/>
      </c>
      <c r="BV633" s="76">
        <f>IF($C633="","",IFERROR(INDEX(dmEntity,MATCH($C633,dmID,0)),"Unmapped"))</f>
        <v/>
      </c>
      <c r="BW633" s="77">
        <f>IF($C633="","",IFERROR(INDEX(dmVintage,MATCH($C633,dmID,0)),""))</f>
        <v/>
      </c>
      <c r="BX633" s="78">
        <f>IFERROR(INDEX(dmInclude,MATCH($C633,dmID,0)),0)</f>
        <v/>
      </c>
      <c r="BY633" s="78">
        <f>IF(N($I633)&gt;0,1,0)</f>
        <v/>
      </c>
      <c r="BZ633" s="76">
        <f>IF($AJ633="","Other / Leased Fee",IFERROR(INDEX(mapPTGroup,MATCH(LEFT(TRIM($AJ633),2),mapPTCode,0)),"Other / Leased Fee"))</f>
        <v/>
      </c>
      <c r="CA633" s="76">
        <f>IF(TRIM($AF633&amp;"")="","NR",LEFT(TRIM($AF633),2))</f>
        <v/>
      </c>
      <c r="CB633" s="76">
        <f>IFERROR(LOOKUP(2,1/(LEFT(TRIM($AI633&amp;""),LEN(mapRegion))=mapRegion),mapRegion),"Not Reported")</f>
        <v/>
      </c>
      <c r="CC633" s="76">
        <f>IF($BY633=0,"",IF(TRIM($W633&amp;"")="REO","REO",IF(TRIM($W633&amp;"")="FC","Foreclosure",IF(TRIM($W633&amp;"")="90+","90+ Days Delinquent",IF(TRIM($W633&amp;"")="60","60 Days Delinquent",IF(TRIM($W633&amp;"")="30","30 Days Delinquent",IF($X633="Non-Performing Matured Balloon","Non-Performing Matured Balloon",IF(OR($X633="Late Payment But Less Than 30 Days Delinquent",LEFT($X633&amp;"",20)="Payment Not Received"),"Late / In Grace (&lt;30 Days)",IF($X633="Performing Matured Balloon","Performing Matured Balloon","Current")))))))))</f>
        <v/>
      </c>
      <c r="CD633" s="78">
        <f>IF(OR($CC633="REO",$CC633="Foreclosure",$CC633="90+ Days Delinquent",$CC633="60 Days Delinquent",$CC633="30 Days Delinquent",$CC633="Non-Performing Matured Balloon"),1,0)</f>
        <v/>
      </c>
      <c r="CE633" s="76">
        <f>IF($AB633="Currently special serv","Currently Specially Serviced",IF($AB633="Returned to master serv","Previously Specially Serviced","Never Specially Serviced"))</f>
        <v/>
      </c>
      <c r="CF633" s="78">
        <f>IF($CE633="Currently Specially Serviced",1,0)</f>
        <v/>
      </c>
      <c r="CG633" s="76">
        <f>IF($AA633="Yes","Currently on Watchlist",IF($AA633="Previously","Previously on Watchlist","Never on Watchlist"))</f>
        <v/>
      </c>
      <c r="CH633" s="78">
        <f>IF($CG633="Currently on Watchlist",1,0)</f>
        <v/>
      </c>
      <c r="CI633" s="76">
        <f>IF($Z633="Full Defeasance","Fully Defeased",IF($Z633="Portion Of Loan Previously Defeased","Partially Defeased",IF($Z633="Defeasance Not Allowable","Not Defeased (Not Permitted)","Not Defeased")))</f>
        <v/>
      </c>
      <c r="CJ633" s="78">
        <f>IF($CI633="Fully Defeased",1,0)</f>
        <v/>
      </c>
      <c r="CK633" s="76">
        <f>IF($R633="IO","Full IO",IF(LEFT($R633&amp;"",7)="IO then","Partial IO","Amortizing"))</f>
        <v/>
      </c>
      <c r="CL633" s="78">
        <f>IF($CK633="Full IO",1,0)</f>
        <v/>
      </c>
      <c r="CM633" s="78">
        <f>IF($CK633="Partial IO",1,0)</f>
        <v/>
      </c>
      <c r="CN633" s="76">
        <f>IF(LEFT($F633&amp;"",10)="SPLIT_LOAN","Pari Passu Split","Standalone")</f>
        <v/>
      </c>
      <c r="CO633" s="78">
        <f>IF($CN633="Pari Passu Split",1,0)</f>
        <v/>
      </c>
      <c r="CP633" s="77">
        <f>IF(ISNUMBER($T633),YEAR($T633),"")</f>
        <v/>
      </c>
      <c r="CQ633" s="79">
        <f>IF(ISNUMBER($V633),$V633,IF(ISNUMBER($U633),$U633,""))</f>
        <v/>
      </c>
      <c r="CR633" s="77">
        <f>IF(ISNUMBER($CQ633),YEAR($CQ633),"")</f>
        <v/>
      </c>
      <c r="CS633" s="78">
        <f>IF(ISNUMBER($M633),MAX(0,$M633),IF(TRIM($M633&amp;"")="matured",0,""))</f>
        <v/>
      </c>
      <c r="CT633" s="78">
        <f>IF(AND(ISNUMBER($CS633),N($CS633)&lt;=mMatWindow),1,0)</f>
        <v/>
      </c>
      <c r="CU633" s="80">
        <f>IF(ISNUMBER($J633),$J633/100,"")</f>
        <v/>
      </c>
      <c r="CV633" s="81">
        <f>IF(ISNUMBER($AQ633),$AQ633,"")</f>
        <v/>
      </c>
      <c r="CW633" s="81">
        <f>IF(ISNUMBER($AR633),$AR633,"")</f>
        <v/>
      </c>
      <c r="CX633" s="82">
        <f>IF(ISNUMBER($AS633),$AS633/100,"")</f>
        <v/>
      </c>
      <c r="CY633" s="82">
        <f>IF(ISNUMBER($AT633),$AT633/100,"")</f>
        <v/>
      </c>
      <c r="CZ633" s="82">
        <f>IF(ISNUMBER($AU633),$AU633/100,"")</f>
        <v/>
      </c>
      <c r="DA633" s="82">
        <f>IF(ISNUMBER($AV633),$AV633/100,"")</f>
        <v/>
      </c>
      <c r="DB633" s="82">
        <f>IF(ISNUMBER($AW633),$AW633/100,"")</f>
        <v/>
      </c>
      <c r="DC633" s="82">
        <f>IF(ISNUMBER($AX633),$AX633/100,"")</f>
        <v/>
      </c>
      <c r="DD633" s="77">
        <f>IFERROR(VALUE(LEFT(TRIM($AO633&amp;""),4)),"")</f>
        <v/>
      </c>
      <c r="DE633" s="78">
        <f>IF(AND($BY633=1,$BX633=1,OR(fDeal="All Deals",$BU633=fDeal),OR(fEntity="All Entities",$BV633=fEntity),OR(fPType="All Property Types",$BZ633=fPType),OR(fDefeased="Include",$CJ633=0)),1,0)</f>
        <v/>
      </c>
      <c r="DF633" s="83">
        <f>$DE633*N($I633)</f>
        <v/>
      </c>
      <c r="DG633" s="78">
        <f>IF($DE633=1,IF(COUNTIFS($F$8:$F633,$F633,$DE$8:$DE633,1)=1,1,0),0)</f>
        <v/>
      </c>
      <c r="DH633" s="83">
        <f>IF($DG633=1,SUMIFS($DF$8:$DF$1600,$F$8:$F$1600,$F633),0)</f>
        <v/>
      </c>
      <c r="DI633" s="78">
        <f>IF($DG633=1,COUNTIFS($F$8:$F$1600,$F633,$DE$8:$DE$1600,1),0)</f>
        <v/>
      </c>
      <c r="DJ633" s="84">
        <f>IF($DG633=1,$DH633+(100000-ROW())/mTieBreak,0)</f>
        <v/>
      </c>
    </row>
    <row r="634">
      <c r="B634" s="68" t="n">
        <v>47</v>
      </c>
      <c r="C634" s="69" t="inlineStr">
        <is>
          <t>UBS18C13</t>
        </is>
      </c>
      <c r="D634" s="69" t="inlineStr">
        <is>
          <t>47.000</t>
        </is>
      </c>
      <c r="E634" s="69" t="inlineStr">
        <is>
          <t>Best Western Travelers Rest</t>
        </is>
      </c>
      <c r="F634" s="69" t="inlineStr">
        <is>
          <t>LNUBS18C13-47.000</t>
        </is>
      </c>
      <c r="G634" s="70" t="n"/>
      <c r="H634" s="71" t="n">
        <v>4700000</v>
      </c>
      <c r="I634" s="71" t="n">
        <v>3897649.1799978</v>
      </c>
      <c r="J634" s="72" t="n">
        <v>5.81</v>
      </c>
      <c r="K634" s="69" t="inlineStr">
        <is>
          <t>Fixed rate</t>
        </is>
      </c>
      <c r="L634" s="68" t="n">
        <v>120</v>
      </c>
      <c r="M634" s="68" t="n">
        <v>25</v>
      </c>
      <c r="N634" s="68" t="n">
        <v>300</v>
      </c>
      <c r="O634" s="68" t="n"/>
      <c r="P634" s="68" t="n"/>
      <c r="Q634" s="68" t="n">
        <v>95</v>
      </c>
      <c r="R634" s="69" t="n"/>
      <c r="S634" s="69" t="inlineStr">
        <is>
          <t>No</t>
        </is>
      </c>
      <c r="T634" s="73" t="n">
        <v>43374</v>
      </c>
      <c r="U634" s="73" t="n">
        <v>47027</v>
      </c>
      <c r="V634" s="73" t="n"/>
      <c r="W634" s="69" t="n"/>
      <c r="X634" s="69" t="inlineStr">
        <is>
          <t>Current</t>
        </is>
      </c>
      <c r="Y634" s="68" t="n"/>
      <c r="Z634" s="69" t="inlineStr">
        <is>
          <t>No Defeasance Occurred</t>
        </is>
      </c>
      <c r="AA634" s="69" t="inlineStr">
        <is>
          <t>Yes</t>
        </is>
      </c>
      <c r="AB634" s="69" t="inlineStr">
        <is>
          <t>Returned to master serv</t>
        </is>
      </c>
      <c r="AC634" s="73" t="n"/>
      <c r="AD634" s="69" t="inlineStr">
        <is>
          <t>Other</t>
        </is>
      </c>
      <c r="AE634" s="69" t="inlineStr">
        <is>
          <t>Resolved</t>
        </is>
      </c>
      <c r="AF634" s="69" t="inlineStr">
        <is>
          <t>SC</t>
        </is>
      </c>
      <c r="AG634" s="69" t="inlineStr">
        <is>
          <t>Travelers Rest</t>
        </is>
      </c>
      <c r="AH634" s="69" t="inlineStr">
        <is>
          <t>Greenville-Anderson-Greer, SC</t>
        </is>
      </c>
      <c r="AI634" s="69" t="inlineStr">
        <is>
          <t>South / Atlantic</t>
        </is>
      </c>
      <c r="AJ634" s="69" t="inlineStr">
        <is>
          <t>HT</t>
        </is>
      </c>
      <c r="AK634" s="69" t="inlineStr">
        <is>
          <t>Limited Service</t>
        </is>
      </c>
      <c r="AL634" s="68" t="n">
        <v>1</v>
      </c>
      <c r="AM634" s="68" t="n">
        <v>60</v>
      </c>
      <c r="AN634" s="68" t="n"/>
      <c r="AO634" s="69" t="inlineStr">
        <is>
          <t>1997</t>
        </is>
      </c>
      <c r="AP634" s="70" t="n">
        <v>2016</v>
      </c>
      <c r="AQ634" s="74" t="n">
        <v>1.74</v>
      </c>
      <c r="AR634" s="74" t="n">
        <v>2.29</v>
      </c>
      <c r="AS634" s="74" t="n">
        <v>66.2</v>
      </c>
      <c r="AT634" s="74" t="n">
        <v>90.64</v>
      </c>
      <c r="AU634" s="74" t="n">
        <v>50.9</v>
      </c>
      <c r="AV634" s="74" t="n">
        <v>13.212680851</v>
      </c>
      <c r="AW634" s="74" t="n">
        <v>20.951663485</v>
      </c>
      <c r="AX634" s="75" t="n">
        <v>95</v>
      </c>
      <c r="AY634" s="71" t="n">
        <v>7100000</v>
      </c>
      <c r="AZ634" s="71" t="n">
        <v>4300000</v>
      </c>
      <c r="BA634" s="71" t="n">
        <v>620996</v>
      </c>
      <c r="BB634" s="71" t="n">
        <v>816622.34</v>
      </c>
      <c r="BC634" s="69" t="inlineStr">
        <is>
          <t>Refinance</t>
        </is>
      </c>
      <c r="BD634" s="69" t="inlineStr">
        <is>
          <t>N</t>
        </is>
      </c>
      <c r="BE634" s="71" t="n"/>
      <c r="BF634" s="71" t="n"/>
      <c r="BG634" s="71" t="n"/>
      <c r="BH634" s="71" t="n">
        <v>0</v>
      </c>
      <c r="BI634" s="71" t="n">
        <v>0</v>
      </c>
      <c r="BJ634" s="69" t="inlineStr">
        <is>
          <t>Y</t>
        </is>
      </c>
      <c r="BK634" s="69" t="n"/>
      <c r="BL634" s="75" t="n"/>
      <c r="BM634" s="73" t="n"/>
      <c r="BN634" s="69" t="inlineStr">
        <is>
          <t>Minesh Patel</t>
        </is>
      </c>
      <c r="BO634" s="69" t="n"/>
      <c r="BP634" s="69" t="inlineStr">
        <is>
          <t>Midland Loan Services</t>
        </is>
      </c>
      <c r="BQ634" s="69" t="inlineStr">
        <is>
          <t>Midland Loan Services</t>
        </is>
      </c>
      <c r="BR634" s="69" t="n"/>
      <c r="BS634" s="73" t="n">
        <v>46276</v>
      </c>
      <c r="BU634" s="76">
        <f>IF($C634="","",IFERROR(INDEX(dmName,MATCH($C634,dmID,0)),"Unmapped"))</f>
        <v/>
      </c>
      <c r="BV634" s="76">
        <f>IF($C634="","",IFERROR(INDEX(dmEntity,MATCH($C634,dmID,0)),"Unmapped"))</f>
        <v/>
      </c>
      <c r="BW634" s="77">
        <f>IF($C634="","",IFERROR(INDEX(dmVintage,MATCH($C634,dmID,0)),""))</f>
        <v/>
      </c>
      <c r="BX634" s="78">
        <f>IFERROR(INDEX(dmInclude,MATCH($C634,dmID,0)),0)</f>
        <v/>
      </c>
      <c r="BY634" s="78">
        <f>IF(N($I634)&gt;0,1,0)</f>
        <v/>
      </c>
      <c r="BZ634" s="76">
        <f>IF($AJ634="","Other / Leased Fee",IFERROR(INDEX(mapPTGroup,MATCH(LEFT(TRIM($AJ634),2),mapPTCode,0)),"Other / Leased Fee"))</f>
        <v/>
      </c>
      <c r="CA634" s="76">
        <f>IF(TRIM($AF634&amp;"")="","NR",LEFT(TRIM($AF634),2))</f>
        <v/>
      </c>
      <c r="CB634" s="76">
        <f>IFERROR(LOOKUP(2,1/(LEFT(TRIM($AI634&amp;""),LEN(mapRegion))=mapRegion),mapRegion),"Not Reported")</f>
        <v/>
      </c>
      <c r="CC634" s="76">
        <f>IF($BY634=0,"",IF(TRIM($W634&amp;"")="REO","REO",IF(TRIM($W634&amp;"")="FC","Foreclosure",IF(TRIM($W634&amp;"")="90+","90+ Days Delinquent",IF(TRIM($W634&amp;"")="60","60 Days Delinquent",IF(TRIM($W634&amp;"")="30","30 Days Delinquent",IF($X634="Non-Performing Matured Balloon","Non-Performing Matured Balloon",IF(OR($X634="Late Payment But Less Than 30 Days Delinquent",LEFT($X634&amp;"",20)="Payment Not Received"),"Late / In Grace (&lt;30 Days)",IF($X634="Performing Matured Balloon","Performing Matured Balloon","Current")))))))))</f>
        <v/>
      </c>
      <c r="CD634" s="78">
        <f>IF(OR($CC634="REO",$CC634="Foreclosure",$CC634="90+ Days Delinquent",$CC634="60 Days Delinquent",$CC634="30 Days Delinquent",$CC634="Non-Performing Matured Balloon"),1,0)</f>
        <v/>
      </c>
      <c r="CE634" s="76">
        <f>IF($AB634="Currently special serv","Currently Specially Serviced",IF($AB634="Returned to master serv","Previously Specially Serviced","Never Specially Serviced"))</f>
        <v/>
      </c>
      <c r="CF634" s="78">
        <f>IF($CE634="Currently Specially Serviced",1,0)</f>
        <v/>
      </c>
      <c r="CG634" s="76">
        <f>IF($AA634="Yes","Currently on Watchlist",IF($AA634="Previously","Previously on Watchlist","Never on Watchlist"))</f>
        <v/>
      </c>
      <c r="CH634" s="78">
        <f>IF($CG634="Currently on Watchlist",1,0)</f>
        <v/>
      </c>
      <c r="CI634" s="76">
        <f>IF($Z634="Full Defeasance","Fully Defeased",IF($Z634="Portion Of Loan Previously Defeased","Partially Defeased",IF($Z634="Defeasance Not Allowable","Not Defeased (Not Permitted)","Not Defeased")))</f>
        <v/>
      </c>
      <c r="CJ634" s="78">
        <f>IF($CI634="Fully Defeased",1,0)</f>
        <v/>
      </c>
      <c r="CK634" s="76">
        <f>IF($R634="IO","Full IO",IF(LEFT($R634&amp;"",7)="IO then","Partial IO","Amortizing"))</f>
        <v/>
      </c>
      <c r="CL634" s="78">
        <f>IF($CK634="Full IO",1,0)</f>
        <v/>
      </c>
      <c r="CM634" s="78">
        <f>IF($CK634="Partial IO",1,0)</f>
        <v/>
      </c>
      <c r="CN634" s="76">
        <f>IF(LEFT($F634&amp;"",10)="SPLIT_LOAN","Pari Passu Split","Standalone")</f>
        <v/>
      </c>
      <c r="CO634" s="78">
        <f>IF($CN634="Pari Passu Split",1,0)</f>
        <v/>
      </c>
      <c r="CP634" s="77">
        <f>IF(ISNUMBER($T634),YEAR($T634),"")</f>
        <v/>
      </c>
      <c r="CQ634" s="79">
        <f>IF(ISNUMBER($V634),$V634,IF(ISNUMBER($U634),$U634,""))</f>
        <v/>
      </c>
      <c r="CR634" s="77">
        <f>IF(ISNUMBER($CQ634),YEAR($CQ634),"")</f>
        <v/>
      </c>
      <c r="CS634" s="78">
        <f>IF(ISNUMBER($M634),MAX(0,$M634),IF(TRIM($M634&amp;"")="matured",0,""))</f>
        <v/>
      </c>
      <c r="CT634" s="78">
        <f>IF(AND(ISNUMBER($CS634),N($CS634)&lt;=mMatWindow),1,0)</f>
        <v/>
      </c>
      <c r="CU634" s="80">
        <f>IF(ISNUMBER($J634),$J634/100,"")</f>
        <v/>
      </c>
      <c r="CV634" s="81">
        <f>IF(ISNUMBER($AQ634),$AQ634,"")</f>
        <v/>
      </c>
      <c r="CW634" s="81">
        <f>IF(ISNUMBER($AR634),$AR634,"")</f>
        <v/>
      </c>
      <c r="CX634" s="82">
        <f>IF(ISNUMBER($AS634),$AS634/100,"")</f>
        <v/>
      </c>
      <c r="CY634" s="82">
        <f>IF(ISNUMBER($AT634),$AT634/100,"")</f>
        <v/>
      </c>
      <c r="CZ634" s="82">
        <f>IF(ISNUMBER($AU634),$AU634/100,"")</f>
        <v/>
      </c>
      <c r="DA634" s="82">
        <f>IF(ISNUMBER($AV634),$AV634/100,"")</f>
        <v/>
      </c>
      <c r="DB634" s="82">
        <f>IF(ISNUMBER($AW634),$AW634/100,"")</f>
        <v/>
      </c>
      <c r="DC634" s="82">
        <f>IF(ISNUMBER($AX634),$AX634/100,"")</f>
        <v/>
      </c>
      <c r="DD634" s="77">
        <f>IFERROR(VALUE(LEFT(TRIM($AO634&amp;""),4)),"")</f>
        <v/>
      </c>
      <c r="DE634" s="78">
        <f>IF(AND($BY634=1,$BX634=1,OR(fDeal="All Deals",$BU634=fDeal),OR(fEntity="All Entities",$BV634=fEntity),OR(fPType="All Property Types",$BZ634=fPType),OR(fDefeased="Include",$CJ634=0)),1,0)</f>
        <v/>
      </c>
      <c r="DF634" s="83">
        <f>$DE634*N($I634)</f>
        <v/>
      </c>
      <c r="DG634" s="78">
        <f>IF($DE634=1,IF(COUNTIFS($F$8:$F634,$F634,$DE$8:$DE634,1)=1,1,0),0)</f>
        <v/>
      </c>
      <c r="DH634" s="83">
        <f>IF($DG634=1,SUMIFS($DF$8:$DF$1600,$F$8:$F$1600,$F634),0)</f>
        <v/>
      </c>
      <c r="DI634" s="78">
        <f>IF($DG634=1,COUNTIFS($F$8:$F$1600,$F634,$DE$8:$DE$1600,1),0)</f>
        <v/>
      </c>
      <c r="DJ634" s="84">
        <f>IF($DG634=1,$DH634+(100000-ROW())/mTieBreak,0)</f>
        <v/>
      </c>
    </row>
    <row r="635">
      <c r="B635" s="68" t="n">
        <v>48</v>
      </c>
      <c r="C635" s="69" t="inlineStr">
        <is>
          <t>UBS18C13</t>
        </is>
      </c>
      <c r="D635" s="69" t="inlineStr">
        <is>
          <t>48.000</t>
        </is>
      </c>
      <c r="E635" s="69" t="inlineStr">
        <is>
          <t>8950 Old FM 1405</t>
        </is>
      </c>
      <c r="F635" s="69" t="inlineStr">
        <is>
          <t>LNUBS18C13-48.000</t>
        </is>
      </c>
      <c r="G635" s="70" t="n"/>
      <c r="H635" s="71" t="n">
        <v>4500000</v>
      </c>
      <c r="I635" s="71" t="n">
        <v>3697414.290000001</v>
      </c>
      <c r="J635" s="72" t="n">
        <v>5.57</v>
      </c>
      <c r="K635" s="69" t="inlineStr">
        <is>
          <t>Fixed rate</t>
        </is>
      </c>
      <c r="L635" s="68" t="n">
        <v>120</v>
      </c>
      <c r="M635" s="68" t="n">
        <v>24</v>
      </c>
      <c r="N635" s="68" t="n">
        <v>300</v>
      </c>
      <c r="O635" s="68" t="n"/>
      <c r="P635" s="68" t="n"/>
      <c r="Q635" s="68" t="n">
        <v>96</v>
      </c>
      <c r="R635" s="69" t="n"/>
      <c r="S635" s="69" t="inlineStr">
        <is>
          <t>No</t>
        </is>
      </c>
      <c r="T635" s="73" t="n">
        <v>43344</v>
      </c>
      <c r="U635" s="73" t="n">
        <v>47002</v>
      </c>
      <c r="V635" s="73" t="n"/>
      <c r="W635" s="69" t="n"/>
      <c r="X635" s="69" t="inlineStr">
        <is>
          <t>Current</t>
        </is>
      </c>
      <c r="Y635" s="68" t="n"/>
      <c r="Z635" s="69" t="inlineStr">
        <is>
          <t>No Defeasance Occurred</t>
        </is>
      </c>
      <c r="AA635" s="69" t="inlineStr">
        <is>
          <t>Previously</t>
        </is>
      </c>
      <c r="AB635" s="69" t="inlineStr">
        <is>
          <t>Returned to master serv</t>
        </is>
      </c>
      <c r="AC635" s="73" t="n"/>
      <c r="AD635" s="69" t="inlineStr">
        <is>
          <t>Payment Default (all payments excluding Balloon/Maturity Payment)</t>
        </is>
      </c>
      <c r="AE635" s="69" t="inlineStr">
        <is>
          <t>Resolved</t>
        </is>
      </c>
      <c r="AF635" s="69" t="inlineStr">
        <is>
          <t>TX</t>
        </is>
      </c>
      <c r="AG635" s="69" t="inlineStr">
        <is>
          <t>Baytown</t>
        </is>
      </c>
      <c r="AH635" s="69" t="inlineStr">
        <is>
          <t>Houston-Pasadena-The Woodlands, TX</t>
        </is>
      </c>
      <c r="AI635" s="69" t="inlineStr">
        <is>
          <t>South / Central West</t>
        </is>
      </c>
      <c r="AJ635" s="69" t="inlineStr">
        <is>
          <t>IN</t>
        </is>
      </c>
      <c r="AK635" s="69" t="inlineStr">
        <is>
          <t>Warehouse</t>
        </is>
      </c>
      <c r="AL635" s="68" t="n">
        <v>1</v>
      </c>
      <c r="AM635" s="68" t="n"/>
      <c r="AN635" s="68" t="n">
        <v>64700</v>
      </c>
      <c r="AO635" s="69" t="inlineStr">
        <is>
          <t>2001, 2007</t>
        </is>
      </c>
      <c r="AP635" s="70" t="n">
        <v>2007</v>
      </c>
      <c r="AQ635" s="74" t="n">
        <v>1.4</v>
      </c>
      <c r="AR635" s="74" t="n">
        <v>1.55</v>
      </c>
      <c r="AS635" s="74" t="n">
        <v>57.6</v>
      </c>
      <c r="AT635" s="74" t="n">
        <v>47.4</v>
      </c>
      <c r="AU635" s="74" t="n">
        <v>44</v>
      </c>
      <c r="AV635" s="74" t="n">
        <v>10.376222222</v>
      </c>
      <c r="AW635" s="74" t="n">
        <v>14.011894242</v>
      </c>
      <c r="AX635" s="75" t="n">
        <v>100</v>
      </c>
      <c r="AY635" s="71" t="n">
        <v>7800000</v>
      </c>
      <c r="AZ635" s="71" t="n">
        <v>7800000</v>
      </c>
      <c r="BA635" s="71" t="n">
        <v>466930</v>
      </c>
      <c r="BB635" s="71" t="n">
        <v>518077.78</v>
      </c>
      <c r="BC635" s="69" t="inlineStr">
        <is>
          <t>Refinance</t>
        </is>
      </c>
      <c r="BD635" s="69" t="inlineStr">
        <is>
          <t>N</t>
        </is>
      </c>
      <c r="BE635" s="71" t="n"/>
      <c r="BF635" s="71" t="n"/>
      <c r="BG635" s="71" t="n"/>
      <c r="BH635" s="71" t="n">
        <v>0</v>
      </c>
      <c r="BI635" s="71" t="n">
        <v>0</v>
      </c>
      <c r="BJ635" s="69" t="inlineStr">
        <is>
          <t>N</t>
        </is>
      </c>
      <c r="BK635" s="69" t="inlineStr">
        <is>
          <t>WEST TEXAS DRUM II</t>
        </is>
      </c>
      <c r="BL635" s="75" t="n">
        <v>100</v>
      </c>
      <c r="BM635" s="73" t="n">
        <v>46992</v>
      </c>
      <c r="BN635" s="69" t="inlineStr">
        <is>
          <t>Charles R. Ridge</t>
        </is>
      </c>
      <c r="BO635" s="69" t="n"/>
      <c r="BP635" s="69" t="inlineStr">
        <is>
          <t>Midland Loan Services</t>
        </is>
      </c>
      <c r="BQ635" s="69" t="inlineStr">
        <is>
          <t>Midland Loan Services</t>
        </is>
      </c>
      <c r="BR635" s="69" t="n"/>
      <c r="BS635" s="73" t="n">
        <v>46276</v>
      </c>
      <c r="BU635" s="76">
        <f>IF($C635="","",IFERROR(INDEX(dmName,MATCH($C635,dmID,0)),"Unmapped"))</f>
        <v/>
      </c>
      <c r="BV635" s="76">
        <f>IF($C635="","",IFERROR(INDEX(dmEntity,MATCH($C635,dmID,0)),"Unmapped"))</f>
        <v/>
      </c>
      <c r="BW635" s="77">
        <f>IF($C635="","",IFERROR(INDEX(dmVintage,MATCH($C635,dmID,0)),""))</f>
        <v/>
      </c>
      <c r="BX635" s="78">
        <f>IFERROR(INDEX(dmInclude,MATCH($C635,dmID,0)),0)</f>
        <v/>
      </c>
      <c r="BY635" s="78">
        <f>IF(N($I635)&gt;0,1,0)</f>
        <v/>
      </c>
      <c r="BZ635" s="76">
        <f>IF($AJ635="","Other / Leased Fee",IFERROR(INDEX(mapPTGroup,MATCH(LEFT(TRIM($AJ635),2),mapPTCode,0)),"Other / Leased Fee"))</f>
        <v/>
      </c>
      <c r="CA635" s="76">
        <f>IF(TRIM($AF635&amp;"")="","NR",LEFT(TRIM($AF635),2))</f>
        <v/>
      </c>
      <c r="CB635" s="76">
        <f>IFERROR(LOOKUP(2,1/(LEFT(TRIM($AI635&amp;""),LEN(mapRegion))=mapRegion),mapRegion),"Not Reported")</f>
        <v/>
      </c>
      <c r="CC635" s="76">
        <f>IF($BY635=0,"",IF(TRIM($W635&amp;"")="REO","REO",IF(TRIM($W635&amp;"")="FC","Foreclosure",IF(TRIM($W635&amp;"")="90+","90+ Days Delinquent",IF(TRIM($W635&amp;"")="60","60 Days Delinquent",IF(TRIM($W635&amp;"")="30","30 Days Delinquent",IF($X635="Non-Performing Matured Balloon","Non-Performing Matured Balloon",IF(OR($X635="Late Payment But Less Than 30 Days Delinquent",LEFT($X635&amp;"",20)="Payment Not Received"),"Late / In Grace (&lt;30 Days)",IF($X635="Performing Matured Balloon","Performing Matured Balloon","Current")))))))))</f>
        <v/>
      </c>
      <c r="CD635" s="78">
        <f>IF(OR($CC635="REO",$CC635="Foreclosure",$CC635="90+ Days Delinquent",$CC635="60 Days Delinquent",$CC635="30 Days Delinquent",$CC635="Non-Performing Matured Balloon"),1,0)</f>
        <v/>
      </c>
      <c r="CE635" s="76">
        <f>IF($AB635="Currently special serv","Currently Specially Serviced",IF($AB635="Returned to master serv","Previously Specially Serviced","Never Specially Serviced"))</f>
        <v/>
      </c>
      <c r="CF635" s="78">
        <f>IF($CE635="Currently Specially Serviced",1,0)</f>
        <v/>
      </c>
      <c r="CG635" s="76">
        <f>IF($AA635="Yes","Currently on Watchlist",IF($AA635="Previously","Previously on Watchlist","Never on Watchlist"))</f>
        <v/>
      </c>
      <c r="CH635" s="78">
        <f>IF($CG635="Currently on Watchlist",1,0)</f>
        <v/>
      </c>
      <c r="CI635" s="76">
        <f>IF($Z635="Full Defeasance","Fully Defeased",IF($Z635="Portion Of Loan Previously Defeased","Partially Defeased",IF($Z635="Defeasance Not Allowable","Not Defeased (Not Permitted)","Not Defeased")))</f>
        <v/>
      </c>
      <c r="CJ635" s="78">
        <f>IF($CI635="Fully Defeased",1,0)</f>
        <v/>
      </c>
      <c r="CK635" s="76">
        <f>IF($R635="IO","Full IO",IF(LEFT($R635&amp;"",7)="IO then","Partial IO","Amortizing"))</f>
        <v/>
      </c>
      <c r="CL635" s="78">
        <f>IF($CK635="Full IO",1,0)</f>
        <v/>
      </c>
      <c r="CM635" s="78">
        <f>IF($CK635="Partial IO",1,0)</f>
        <v/>
      </c>
      <c r="CN635" s="76">
        <f>IF(LEFT($F635&amp;"",10)="SPLIT_LOAN","Pari Passu Split","Standalone")</f>
        <v/>
      </c>
      <c r="CO635" s="78">
        <f>IF($CN635="Pari Passu Split",1,0)</f>
        <v/>
      </c>
      <c r="CP635" s="77">
        <f>IF(ISNUMBER($T635),YEAR($T635),"")</f>
        <v/>
      </c>
      <c r="CQ635" s="79">
        <f>IF(ISNUMBER($V635),$V635,IF(ISNUMBER($U635),$U635,""))</f>
        <v/>
      </c>
      <c r="CR635" s="77">
        <f>IF(ISNUMBER($CQ635),YEAR($CQ635),"")</f>
        <v/>
      </c>
      <c r="CS635" s="78">
        <f>IF(ISNUMBER($M635),MAX(0,$M635),IF(TRIM($M635&amp;"")="matured",0,""))</f>
        <v/>
      </c>
      <c r="CT635" s="78">
        <f>IF(AND(ISNUMBER($CS635),N($CS635)&lt;=mMatWindow),1,0)</f>
        <v/>
      </c>
      <c r="CU635" s="80">
        <f>IF(ISNUMBER($J635),$J635/100,"")</f>
        <v/>
      </c>
      <c r="CV635" s="81">
        <f>IF(ISNUMBER($AQ635),$AQ635,"")</f>
        <v/>
      </c>
      <c r="CW635" s="81">
        <f>IF(ISNUMBER($AR635),$AR635,"")</f>
        <v/>
      </c>
      <c r="CX635" s="82">
        <f>IF(ISNUMBER($AS635),$AS635/100,"")</f>
        <v/>
      </c>
      <c r="CY635" s="82">
        <f>IF(ISNUMBER($AT635),$AT635/100,"")</f>
        <v/>
      </c>
      <c r="CZ635" s="82">
        <f>IF(ISNUMBER($AU635),$AU635/100,"")</f>
        <v/>
      </c>
      <c r="DA635" s="82">
        <f>IF(ISNUMBER($AV635),$AV635/100,"")</f>
        <v/>
      </c>
      <c r="DB635" s="82">
        <f>IF(ISNUMBER($AW635),$AW635/100,"")</f>
        <v/>
      </c>
      <c r="DC635" s="82">
        <f>IF(ISNUMBER($AX635),$AX635/100,"")</f>
        <v/>
      </c>
      <c r="DD635" s="77">
        <f>IFERROR(VALUE(LEFT(TRIM($AO635&amp;""),4)),"")</f>
        <v/>
      </c>
      <c r="DE635" s="78">
        <f>IF(AND($BY635=1,$BX635=1,OR(fDeal="All Deals",$BU635=fDeal),OR(fEntity="All Entities",$BV635=fEntity),OR(fPType="All Property Types",$BZ635=fPType),OR(fDefeased="Include",$CJ635=0)),1,0)</f>
        <v/>
      </c>
      <c r="DF635" s="83">
        <f>$DE635*N($I635)</f>
        <v/>
      </c>
      <c r="DG635" s="78">
        <f>IF($DE635=1,IF(COUNTIFS($F$8:$F635,$F635,$DE$8:$DE635,1)=1,1,0),0)</f>
        <v/>
      </c>
      <c r="DH635" s="83">
        <f>IF($DG635=1,SUMIFS($DF$8:$DF$1600,$F$8:$F$1600,$F635),0)</f>
        <v/>
      </c>
      <c r="DI635" s="78">
        <f>IF($DG635=1,COUNTIFS($F$8:$F$1600,$F635,$DE$8:$DE$1600,1),0)</f>
        <v/>
      </c>
      <c r="DJ635" s="84">
        <f>IF($DG635=1,$DH635+(100000-ROW())/mTieBreak,0)</f>
        <v/>
      </c>
    </row>
    <row r="636">
      <c r="B636" s="68" t="n">
        <v>49</v>
      </c>
      <c r="C636" s="69" t="inlineStr">
        <is>
          <t>UBS18C13</t>
        </is>
      </c>
      <c r="D636" s="69" t="inlineStr">
        <is>
          <t>49.000</t>
        </is>
      </c>
      <c r="E636" s="69" t="inlineStr">
        <is>
          <t>CVS Pompano Beach</t>
        </is>
      </c>
      <c r="F636" s="69" t="inlineStr">
        <is>
          <t>LNUBS18C13-49.000</t>
        </is>
      </c>
      <c r="G636" s="70" t="n"/>
      <c r="H636" s="71" t="n">
        <v>4100000</v>
      </c>
      <c r="I636" s="71" t="n">
        <v>4100000</v>
      </c>
      <c r="J636" s="72" t="n">
        <v>5.12</v>
      </c>
      <c r="K636" s="69" t="inlineStr">
        <is>
          <t>Fixed rate</t>
        </is>
      </c>
      <c r="L636" s="68" t="n">
        <v>120</v>
      </c>
      <c r="M636" s="68" t="n">
        <v>22</v>
      </c>
      <c r="N636" s="68" t="n">
        <v>120</v>
      </c>
      <c r="O636" s="68" t="n">
        <v>120</v>
      </c>
      <c r="P636" s="68" t="n">
        <v>22</v>
      </c>
      <c r="Q636" s="68" t="n">
        <v>98</v>
      </c>
      <c r="R636" s="69" t="inlineStr">
        <is>
          <t>IO</t>
        </is>
      </c>
      <c r="S636" s="69" t="inlineStr">
        <is>
          <t>Yes</t>
        </is>
      </c>
      <c r="T636" s="73" t="n">
        <v>43282</v>
      </c>
      <c r="U636" s="73" t="n">
        <v>46940</v>
      </c>
      <c r="V636" s="73" t="n"/>
      <c r="W636" s="69" t="n"/>
      <c r="X636" s="69" t="inlineStr">
        <is>
          <t>Current</t>
        </is>
      </c>
      <c r="Y636" s="68" t="n"/>
      <c r="Z636" s="69" t="inlineStr">
        <is>
          <t>No Defeasance Occurred</t>
        </is>
      </c>
      <c r="AA636" s="69" t="n"/>
      <c r="AB636" s="69" t="inlineStr">
        <is>
          <t>Never special serv</t>
        </is>
      </c>
      <c r="AC636" s="73" t="n"/>
      <c r="AD636" s="69" t="n"/>
      <c r="AE636" s="69" t="n"/>
      <c r="AF636" s="69" t="inlineStr">
        <is>
          <t>FL</t>
        </is>
      </c>
      <c r="AG636" s="69" t="inlineStr">
        <is>
          <t>Pompano Beach</t>
        </is>
      </c>
      <c r="AH636" s="69" t="inlineStr">
        <is>
          <t>Miami-Fort Lauderdale-West Palm Beach, FL</t>
        </is>
      </c>
      <c r="AI636" s="69" t="inlineStr">
        <is>
          <t>South / Atlantic</t>
        </is>
      </c>
      <c r="AJ636" s="69" t="inlineStr">
        <is>
          <t>RT</t>
        </is>
      </c>
      <c r="AK636" s="69" t="inlineStr">
        <is>
          <t>Single Tenant</t>
        </is>
      </c>
      <c r="AL636" s="68" t="n">
        <v>1</v>
      </c>
      <c r="AM636" s="68" t="n"/>
      <c r="AN636" s="68" t="n">
        <v>12739</v>
      </c>
      <c r="AO636" s="69" t="inlineStr">
        <is>
          <t>2000</t>
        </is>
      </c>
      <c r="AP636" s="70" t="n">
        <v>2000</v>
      </c>
      <c r="AQ636" s="74" t="n">
        <v>1.69</v>
      </c>
      <c r="AR636" s="74" t="n">
        <v>1.68</v>
      </c>
      <c r="AS636" s="74" t="n">
        <v>53.2</v>
      </c>
      <c r="AT636" s="74" t="n">
        <v>53.25</v>
      </c>
      <c r="AU636" s="74" t="n">
        <v>53.2</v>
      </c>
      <c r="AV636" s="74" t="n">
        <v>8.783951220000001</v>
      </c>
      <c r="AW636" s="74" t="n">
        <v>8.772473171</v>
      </c>
      <c r="AX636" s="75" t="n">
        <v>100</v>
      </c>
      <c r="AY636" s="71" t="n">
        <v>7700000</v>
      </c>
      <c r="AZ636" s="71" t="n">
        <v>7700000</v>
      </c>
      <c r="BA636" s="71" t="n">
        <v>360142</v>
      </c>
      <c r="BB636" s="71" t="n">
        <v>356984.16</v>
      </c>
      <c r="BC636" s="69" t="inlineStr">
        <is>
          <t>Refinance</t>
        </is>
      </c>
      <c r="BD636" s="69" t="inlineStr">
        <is>
          <t>N</t>
        </is>
      </c>
      <c r="BE636" s="71" t="n"/>
      <c r="BF636" s="71" t="n"/>
      <c r="BG636" s="71" t="n"/>
      <c r="BH636" s="71" t="n">
        <v>0</v>
      </c>
      <c r="BI636" s="71" t="n">
        <v>0</v>
      </c>
      <c r="BJ636" s="69" t="inlineStr">
        <is>
          <t>N</t>
        </is>
      </c>
      <c r="BK636" s="69" t="inlineStr">
        <is>
          <t>CVS</t>
        </is>
      </c>
      <c r="BL636" s="75" t="n">
        <v>100</v>
      </c>
      <c r="BM636" s="73" t="n">
        <v>50431</v>
      </c>
      <c r="BN636" s="69" t="inlineStr">
        <is>
          <t>Layne Dalfen</t>
        </is>
      </c>
      <c r="BO636" s="69" t="n"/>
      <c r="BP636" s="69" t="inlineStr">
        <is>
          <t>Midland Loan Services</t>
        </is>
      </c>
      <c r="BQ636" s="69" t="inlineStr">
        <is>
          <t>Midland Loan Services</t>
        </is>
      </c>
      <c r="BR636" s="69" t="n"/>
      <c r="BS636" s="73" t="n">
        <v>46276</v>
      </c>
      <c r="BU636" s="76">
        <f>IF($C636="","",IFERROR(INDEX(dmName,MATCH($C636,dmID,0)),"Unmapped"))</f>
        <v/>
      </c>
      <c r="BV636" s="76">
        <f>IF($C636="","",IFERROR(INDEX(dmEntity,MATCH($C636,dmID,0)),"Unmapped"))</f>
        <v/>
      </c>
      <c r="BW636" s="77">
        <f>IF($C636="","",IFERROR(INDEX(dmVintage,MATCH($C636,dmID,0)),""))</f>
        <v/>
      </c>
      <c r="BX636" s="78">
        <f>IFERROR(INDEX(dmInclude,MATCH($C636,dmID,0)),0)</f>
        <v/>
      </c>
      <c r="BY636" s="78">
        <f>IF(N($I636)&gt;0,1,0)</f>
        <v/>
      </c>
      <c r="BZ636" s="76">
        <f>IF($AJ636="","Other / Leased Fee",IFERROR(INDEX(mapPTGroup,MATCH(LEFT(TRIM($AJ636),2),mapPTCode,0)),"Other / Leased Fee"))</f>
        <v/>
      </c>
      <c r="CA636" s="76">
        <f>IF(TRIM($AF636&amp;"")="","NR",LEFT(TRIM($AF636),2))</f>
        <v/>
      </c>
      <c r="CB636" s="76">
        <f>IFERROR(LOOKUP(2,1/(LEFT(TRIM($AI636&amp;""),LEN(mapRegion))=mapRegion),mapRegion),"Not Reported")</f>
        <v/>
      </c>
      <c r="CC636" s="76">
        <f>IF($BY636=0,"",IF(TRIM($W636&amp;"")="REO","REO",IF(TRIM($W636&amp;"")="FC","Foreclosure",IF(TRIM($W636&amp;"")="90+","90+ Days Delinquent",IF(TRIM($W636&amp;"")="60","60 Days Delinquent",IF(TRIM($W636&amp;"")="30","30 Days Delinquent",IF($X636="Non-Performing Matured Balloon","Non-Performing Matured Balloon",IF(OR($X636="Late Payment But Less Than 30 Days Delinquent",LEFT($X636&amp;"",20)="Payment Not Received"),"Late / In Grace (&lt;30 Days)",IF($X636="Performing Matured Balloon","Performing Matured Balloon","Current")))))))))</f>
        <v/>
      </c>
      <c r="CD636" s="78">
        <f>IF(OR($CC636="REO",$CC636="Foreclosure",$CC636="90+ Days Delinquent",$CC636="60 Days Delinquent",$CC636="30 Days Delinquent",$CC636="Non-Performing Matured Balloon"),1,0)</f>
        <v/>
      </c>
      <c r="CE636" s="76">
        <f>IF($AB636="Currently special serv","Currently Specially Serviced",IF($AB636="Returned to master serv","Previously Specially Serviced","Never Specially Serviced"))</f>
        <v/>
      </c>
      <c r="CF636" s="78">
        <f>IF($CE636="Currently Specially Serviced",1,0)</f>
        <v/>
      </c>
      <c r="CG636" s="76">
        <f>IF($AA636="Yes","Currently on Watchlist",IF($AA636="Previously","Previously on Watchlist","Never on Watchlist"))</f>
        <v/>
      </c>
      <c r="CH636" s="78">
        <f>IF($CG636="Currently on Watchlist",1,0)</f>
        <v/>
      </c>
      <c r="CI636" s="76">
        <f>IF($Z636="Full Defeasance","Fully Defeased",IF($Z636="Portion Of Loan Previously Defeased","Partially Defeased",IF($Z636="Defeasance Not Allowable","Not Defeased (Not Permitted)","Not Defeased")))</f>
        <v/>
      </c>
      <c r="CJ636" s="78">
        <f>IF($CI636="Fully Defeased",1,0)</f>
        <v/>
      </c>
      <c r="CK636" s="76">
        <f>IF($R636="IO","Full IO",IF(LEFT($R636&amp;"",7)="IO then","Partial IO","Amortizing"))</f>
        <v/>
      </c>
      <c r="CL636" s="78">
        <f>IF($CK636="Full IO",1,0)</f>
        <v/>
      </c>
      <c r="CM636" s="78">
        <f>IF($CK636="Partial IO",1,0)</f>
        <v/>
      </c>
      <c r="CN636" s="76">
        <f>IF(LEFT($F636&amp;"",10)="SPLIT_LOAN","Pari Passu Split","Standalone")</f>
        <v/>
      </c>
      <c r="CO636" s="78">
        <f>IF($CN636="Pari Passu Split",1,0)</f>
        <v/>
      </c>
      <c r="CP636" s="77">
        <f>IF(ISNUMBER($T636),YEAR($T636),"")</f>
        <v/>
      </c>
      <c r="CQ636" s="79">
        <f>IF(ISNUMBER($V636),$V636,IF(ISNUMBER($U636),$U636,""))</f>
        <v/>
      </c>
      <c r="CR636" s="77">
        <f>IF(ISNUMBER($CQ636),YEAR($CQ636),"")</f>
        <v/>
      </c>
      <c r="CS636" s="78">
        <f>IF(ISNUMBER($M636),MAX(0,$M636),IF(TRIM($M636&amp;"")="matured",0,""))</f>
        <v/>
      </c>
      <c r="CT636" s="78">
        <f>IF(AND(ISNUMBER($CS636),N($CS636)&lt;=mMatWindow),1,0)</f>
        <v/>
      </c>
      <c r="CU636" s="80">
        <f>IF(ISNUMBER($J636),$J636/100,"")</f>
        <v/>
      </c>
      <c r="CV636" s="81">
        <f>IF(ISNUMBER($AQ636),$AQ636,"")</f>
        <v/>
      </c>
      <c r="CW636" s="81">
        <f>IF(ISNUMBER($AR636),$AR636,"")</f>
        <v/>
      </c>
      <c r="CX636" s="82">
        <f>IF(ISNUMBER($AS636),$AS636/100,"")</f>
        <v/>
      </c>
      <c r="CY636" s="82">
        <f>IF(ISNUMBER($AT636),$AT636/100,"")</f>
        <v/>
      </c>
      <c r="CZ636" s="82">
        <f>IF(ISNUMBER($AU636),$AU636/100,"")</f>
        <v/>
      </c>
      <c r="DA636" s="82">
        <f>IF(ISNUMBER($AV636),$AV636/100,"")</f>
        <v/>
      </c>
      <c r="DB636" s="82">
        <f>IF(ISNUMBER($AW636),$AW636/100,"")</f>
        <v/>
      </c>
      <c r="DC636" s="82">
        <f>IF(ISNUMBER($AX636),$AX636/100,"")</f>
        <v/>
      </c>
      <c r="DD636" s="77">
        <f>IFERROR(VALUE(LEFT(TRIM($AO636&amp;""),4)),"")</f>
        <v/>
      </c>
      <c r="DE636" s="78">
        <f>IF(AND($BY636=1,$BX636=1,OR(fDeal="All Deals",$BU636=fDeal),OR(fEntity="All Entities",$BV636=fEntity),OR(fPType="All Property Types",$BZ636=fPType),OR(fDefeased="Include",$CJ636=0)),1,0)</f>
        <v/>
      </c>
      <c r="DF636" s="83">
        <f>$DE636*N($I636)</f>
        <v/>
      </c>
      <c r="DG636" s="78">
        <f>IF($DE636=1,IF(COUNTIFS($F$8:$F636,$F636,$DE$8:$DE636,1)=1,1,0),0)</f>
        <v/>
      </c>
      <c r="DH636" s="83">
        <f>IF($DG636=1,SUMIFS($DF$8:$DF$1600,$F$8:$F$1600,$F636),0)</f>
        <v/>
      </c>
      <c r="DI636" s="78">
        <f>IF($DG636=1,COUNTIFS($F$8:$F$1600,$F636,$DE$8:$DE$1600,1),0)</f>
        <v/>
      </c>
      <c r="DJ636" s="84">
        <f>IF($DG636=1,$DH636+(100000-ROW())/mTieBreak,0)</f>
        <v/>
      </c>
    </row>
    <row r="637">
      <c r="B637" s="68" t="n">
        <v>50</v>
      </c>
      <c r="C637" s="69" t="inlineStr">
        <is>
          <t>UBS18C13</t>
        </is>
      </c>
      <c r="D637" s="69" t="inlineStr">
        <is>
          <t>50.000</t>
        </is>
      </c>
      <c r="E637" s="69" t="inlineStr">
        <is>
          <t>Country Inn &amp; Suites - Vero Beach I 95</t>
        </is>
      </c>
      <c r="F637" s="69" t="inlineStr">
        <is>
          <t>LNUBS18C13-50.000</t>
        </is>
      </c>
      <c r="G637" s="70" t="n"/>
      <c r="H637" s="71" t="n">
        <v>4000000</v>
      </c>
      <c r="I637" s="71" t="n">
        <v>0</v>
      </c>
      <c r="J637" s="72" t="n">
        <v>5.56</v>
      </c>
      <c r="K637" s="69" t="inlineStr">
        <is>
          <t>Fixed rate</t>
        </is>
      </c>
      <c r="L637" s="68" t="n">
        <v>120</v>
      </c>
      <c r="M637" s="68" t="n"/>
      <c r="N637" s="68" t="n">
        <v>300</v>
      </c>
      <c r="O637" s="68" t="n"/>
      <c r="P637" s="68" t="n"/>
      <c r="Q637" s="68" t="n"/>
      <c r="R637" s="69" t="n"/>
      <c r="S637" s="69" t="inlineStr">
        <is>
          <t>No</t>
        </is>
      </c>
      <c r="T637" s="73" t="n">
        <v>43344</v>
      </c>
      <c r="U637" s="73" t="n">
        <v>47002</v>
      </c>
      <c r="V637" s="73" t="n"/>
      <c r="W637" s="69" t="n"/>
      <c r="X637" s="69" t="inlineStr">
        <is>
          <t>Late Payment But Less Than 30 Days Delinquent</t>
        </is>
      </c>
      <c r="Y637" s="68" t="n"/>
      <c r="Z637" s="69" t="inlineStr">
        <is>
          <t>No Defeasance Occurred</t>
        </is>
      </c>
      <c r="AA637" s="69" t="inlineStr">
        <is>
          <t>Previously</t>
        </is>
      </c>
      <c r="AB637" s="69" t="inlineStr">
        <is>
          <t>Currently special serv</t>
        </is>
      </c>
      <c r="AC637" s="73" t="n">
        <v>44322</v>
      </c>
      <c r="AD637" s="69" t="inlineStr">
        <is>
          <t>Imminent Monetary Default (excluding Balloon/Maturity Default &amp; Single Tenant Bankruptcy/Vacate)</t>
        </is>
      </c>
      <c r="AE637" s="69" t="inlineStr">
        <is>
          <t>TBD</t>
        </is>
      </c>
      <c r="AF637" s="69" t="inlineStr">
        <is>
          <t>FL</t>
        </is>
      </c>
      <c r="AG637" s="69" t="inlineStr">
        <is>
          <t>Vero Beach</t>
        </is>
      </c>
      <c r="AH637" s="69" t="inlineStr">
        <is>
          <t>Sebastian-Vero Beach-West Vero Corridor, FL</t>
        </is>
      </c>
      <c r="AI637" s="69" t="inlineStr">
        <is>
          <t>South / Atlantic</t>
        </is>
      </c>
      <c r="AJ637" s="69" t="inlineStr">
        <is>
          <t>HT</t>
        </is>
      </c>
      <c r="AK637" s="69" t="inlineStr">
        <is>
          <t>Limited Service</t>
        </is>
      </c>
      <c r="AL637" s="68" t="n">
        <v>1</v>
      </c>
      <c r="AM637" s="68" t="n">
        <v>65</v>
      </c>
      <c r="AN637" s="68" t="n"/>
      <c r="AO637" s="69" t="inlineStr">
        <is>
          <t>2006</t>
        </is>
      </c>
      <c r="AP637" s="70" t="n">
        <v>2017</v>
      </c>
      <c r="AQ637" s="74" t="n">
        <v>1.59</v>
      </c>
      <c r="AR637" s="74" t="n">
        <v>-0.49</v>
      </c>
      <c r="AS637" s="74" t="n">
        <v>57.9</v>
      </c>
      <c r="AT637" s="74" t="n"/>
      <c r="AU637" s="74" t="n">
        <v>44.2</v>
      </c>
      <c r="AV637" s="74" t="n">
        <v>11.81907525</v>
      </c>
      <c r="AW637" s="74" t="n"/>
      <c r="AX637" s="75" t="n">
        <v>60</v>
      </c>
      <c r="AY637" s="71" t="n">
        <v>6900000</v>
      </c>
      <c r="AZ637" s="71" t="n">
        <v>6900000</v>
      </c>
      <c r="BA637" s="71" t="n">
        <v>472763.01</v>
      </c>
      <c r="BB637" s="71" t="n">
        <v>-145807.94</v>
      </c>
      <c r="BC637" s="69" t="inlineStr">
        <is>
          <t>Refinance</t>
        </is>
      </c>
      <c r="BD637" s="69" t="inlineStr">
        <is>
          <t>N</t>
        </is>
      </c>
      <c r="BE637" s="71" t="n"/>
      <c r="BF637" s="71" t="n"/>
      <c r="BG637" s="71" t="n"/>
      <c r="BH637" s="71" t="n">
        <v>0</v>
      </c>
      <c r="BI637" s="71" t="n">
        <v>0</v>
      </c>
      <c r="BJ637" s="69" t="inlineStr">
        <is>
          <t>N</t>
        </is>
      </c>
      <c r="BK637" s="69" t="n"/>
      <c r="BL637" s="75" t="n"/>
      <c r="BM637" s="73" t="n"/>
      <c r="BN637" s="69" t="inlineStr">
        <is>
          <t>Punit R. Shah</t>
        </is>
      </c>
      <c r="BO637" s="69" t="n"/>
      <c r="BP637" s="69" t="inlineStr">
        <is>
          <t>Midland Loan Services</t>
        </is>
      </c>
      <c r="BQ637" s="69" t="inlineStr">
        <is>
          <t>Midland Loan Services</t>
        </is>
      </c>
      <c r="BR637" s="69" t="inlineStr">
        <is>
          <t>DPO</t>
        </is>
      </c>
      <c r="BS637" s="73" t="n">
        <v>44907</v>
      </c>
      <c r="BU637" s="76">
        <f>IF($C637="","",IFERROR(INDEX(dmName,MATCH($C637,dmID,0)),"Unmapped"))</f>
        <v/>
      </c>
      <c r="BV637" s="76">
        <f>IF($C637="","",IFERROR(INDEX(dmEntity,MATCH($C637,dmID,0)),"Unmapped"))</f>
        <v/>
      </c>
      <c r="BW637" s="77">
        <f>IF($C637="","",IFERROR(INDEX(dmVintage,MATCH($C637,dmID,0)),""))</f>
        <v/>
      </c>
      <c r="BX637" s="78">
        <f>IFERROR(INDEX(dmInclude,MATCH($C637,dmID,0)),0)</f>
        <v/>
      </c>
      <c r="BY637" s="78">
        <f>IF(N($I637)&gt;0,1,0)</f>
        <v/>
      </c>
      <c r="BZ637" s="76">
        <f>IF($AJ637="","Other / Leased Fee",IFERROR(INDEX(mapPTGroup,MATCH(LEFT(TRIM($AJ637),2),mapPTCode,0)),"Other / Leased Fee"))</f>
        <v/>
      </c>
      <c r="CA637" s="76">
        <f>IF(TRIM($AF637&amp;"")="","NR",LEFT(TRIM($AF637),2))</f>
        <v/>
      </c>
      <c r="CB637" s="76">
        <f>IFERROR(LOOKUP(2,1/(LEFT(TRIM($AI637&amp;""),LEN(mapRegion))=mapRegion),mapRegion),"Not Reported")</f>
        <v/>
      </c>
      <c r="CC637" s="76">
        <f>IF($BY637=0,"",IF(TRIM($W637&amp;"")="REO","REO",IF(TRIM($W637&amp;"")="FC","Foreclosure",IF(TRIM($W637&amp;"")="90+","90+ Days Delinquent",IF(TRIM($W637&amp;"")="60","60 Days Delinquent",IF(TRIM($W637&amp;"")="30","30 Days Delinquent",IF($X637="Non-Performing Matured Balloon","Non-Performing Matured Balloon",IF(OR($X637="Late Payment But Less Than 30 Days Delinquent",LEFT($X637&amp;"",20)="Payment Not Received"),"Late / In Grace (&lt;30 Days)",IF($X637="Performing Matured Balloon","Performing Matured Balloon","Current")))))))))</f>
        <v/>
      </c>
      <c r="CD637" s="78">
        <f>IF(OR($CC637="REO",$CC637="Foreclosure",$CC637="90+ Days Delinquent",$CC637="60 Days Delinquent",$CC637="30 Days Delinquent",$CC637="Non-Performing Matured Balloon"),1,0)</f>
        <v/>
      </c>
      <c r="CE637" s="76">
        <f>IF($AB637="Currently special serv","Currently Specially Serviced",IF($AB637="Returned to master serv","Previously Specially Serviced","Never Specially Serviced"))</f>
        <v/>
      </c>
      <c r="CF637" s="78">
        <f>IF($CE637="Currently Specially Serviced",1,0)</f>
        <v/>
      </c>
      <c r="CG637" s="76">
        <f>IF($AA637="Yes","Currently on Watchlist",IF($AA637="Previously","Previously on Watchlist","Never on Watchlist"))</f>
        <v/>
      </c>
      <c r="CH637" s="78">
        <f>IF($CG637="Currently on Watchlist",1,0)</f>
        <v/>
      </c>
      <c r="CI637" s="76">
        <f>IF($Z637="Full Defeasance","Fully Defeased",IF($Z637="Portion Of Loan Previously Defeased","Partially Defeased",IF($Z637="Defeasance Not Allowable","Not Defeased (Not Permitted)","Not Defeased")))</f>
        <v/>
      </c>
      <c r="CJ637" s="78">
        <f>IF($CI637="Fully Defeased",1,0)</f>
        <v/>
      </c>
      <c r="CK637" s="76">
        <f>IF($R637="IO","Full IO",IF(LEFT($R637&amp;"",7)="IO then","Partial IO","Amortizing"))</f>
        <v/>
      </c>
      <c r="CL637" s="78">
        <f>IF($CK637="Full IO",1,0)</f>
        <v/>
      </c>
      <c r="CM637" s="78">
        <f>IF($CK637="Partial IO",1,0)</f>
        <v/>
      </c>
      <c r="CN637" s="76">
        <f>IF(LEFT($F637&amp;"",10)="SPLIT_LOAN","Pari Passu Split","Standalone")</f>
        <v/>
      </c>
      <c r="CO637" s="78">
        <f>IF($CN637="Pari Passu Split",1,0)</f>
        <v/>
      </c>
      <c r="CP637" s="77">
        <f>IF(ISNUMBER($T637),YEAR($T637),"")</f>
        <v/>
      </c>
      <c r="CQ637" s="79">
        <f>IF(ISNUMBER($V637),$V637,IF(ISNUMBER($U637),$U637,""))</f>
        <v/>
      </c>
      <c r="CR637" s="77">
        <f>IF(ISNUMBER($CQ637),YEAR($CQ637),"")</f>
        <v/>
      </c>
      <c r="CS637" s="78">
        <f>IF(ISNUMBER($M637),MAX(0,$M637),IF(TRIM($M637&amp;"")="matured",0,""))</f>
        <v/>
      </c>
      <c r="CT637" s="78">
        <f>IF(AND(ISNUMBER($CS637),N($CS637)&lt;=mMatWindow),1,0)</f>
        <v/>
      </c>
      <c r="CU637" s="80">
        <f>IF(ISNUMBER($J637),$J637/100,"")</f>
        <v/>
      </c>
      <c r="CV637" s="81">
        <f>IF(ISNUMBER($AQ637),$AQ637,"")</f>
        <v/>
      </c>
      <c r="CW637" s="81">
        <f>IF(ISNUMBER($AR637),$AR637,"")</f>
        <v/>
      </c>
      <c r="CX637" s="82">
        <f>IF(ISNUMBER($AS637),$AS637/100,"")</f>
        <v/>
      </c>
      <c r="CY637" s="82">
        <f>IF(ISNUMBER($AT637),$AT637/100,"")</f>
        <v/>
      </c>
      <c r="CZ637" s="82">
        <f>IF(ISNUMBER($AU637),$AU637/100,"")</f>
        <v/>
      </c>
      <c r="DA637" s="82">
        <f>IF(ISNUMBER($AV637),$AV637/100,"")</f>
        <v/>
      </c>
      <c r="DB637" s="82">
        <f>IF(ISNUMBER($AW637),$AW637/100,"")</f>
        <v/>
      </c>
      <c r="DC637" s="82">
        <f>IF(ISNUMBER($AX637),$AX637/100,"")</f>
        <v/>
      </c>
      <c r="DD637" s="77">
        <f>IFERROR(VALUE(LEFT(TRIM($AO637&amp;""),4)),"")</f>
        <v/>
      </c>
      <c r="DE637" s="78">
        <f>IF(AND($BY637=1,$BX637=1,OR(fDeal="All Deals",$BU637=fDeal),OR(fEntity="All Entities",$BV637=fEntity),OR(fPType="All Property Types",$BZ637=fPType),OR(fDefeased="Include",$CJ637=0)),1,0)</f>
        <v/>
      </c>
      <c r="DF637" s="83">
        <f>$DE637*N($I637)</f>
        <v/>
      </c>
      <c r="DG637" s="78">
        <f>IF($DE637=1,IF(COUNTIFS($F$8:$F637,$F637,$DE$8:$DE637,1)=1,1,0),0)</f>
        <v/>
      </c>
      <c r="DH637" s="83">
        <f>IF($DG637=1,SUMIFS($DF$8:$DF$1600,$F$8:$F$1600,$F637),0)</f>
        <v/>
      </c>
      <c r="DI637" s="78">
        <f>IF($DG637=1,COUNTIFS($F$8:$F$1600,$F637,$DE$8:$DE$1600,1),0)</f>
        <v/>
      </c>
      <c r="DJ637" s="84">
        <f>IF($DG637=1,$DH637+(100000-ROW())/mTieBreak,0)</f>
        <v/>
      </c>
    </row>
    <row r="638">
      <c r="B638" s="68" t="n">
        <v>51</v>
      </c>
      <c r="C638" s="69" t="inlineStr">
        <is>
          <t>UBS18C13</t>
        </is>
      </c>
      <c r="D638" s="69" t="inlineStr">
        <is>
          <t>51.000</t>
        </is>
      </c>
      <c r="E638" s="69" t="inlineStr">
        <is>
          <t>Country Inn &amp; Suites Norcross</t>
        </is>
      </c>
      <c r="F638" s="69" t="inlineStr">
        <is>
          <t>LNUBS18C13-51.000</t>
        </is>
      </c>
      <c r="G638" s="70" t="n"/>
      <c r="H638" s="71" t="n">
        <v>3650000</v>
      </c>
      <c r="I638" s="71" t="n">
        <v>2986807.93999825</v>
      </c>
      <c r="J638" s="72" t="n">
        <v>5.31</v>
      </c>
      <c r="K638" s="69" t="inlineStr">
        <is>
          <t>Fixed rate</t>
        </is>
      </c>
      <c r="L638" s="68" t="n">
        <v>120</v>
      </c>
      <c r="M638" s="68" t="n">
        <v>25</v>
      </c>
      <c r="N638" s="68" t="n">
        <v>300</v>
      </c>
      <c r="O638" s="68" t="n"/>
      <c r="P638" s="68" t="n"/>
      <c r="Q638" s="68" t="n">
        <v>95</v>
      </c>
      <c r="R638" s="69" t="n"/>
      <c r="S638" s="69" t="inlineStr">
        <is>
          <t>No</t>
        </is>
      </c>
      <c r="T638" s="73" t="n">
        <v>43374</v>
      </c>
      <c r="U638" s="73" t="n">
        <v>47027</v>
      </c>
      <c r="V638" s="73" t="n"/>
      <c r="W638" s="69" t="n"/>
      <c r="X638" s="69" t="inlineStr">
        <is>
          <t>Current</t>
        </is>
      </c>
      <c r="Y638" s="68" t="n"/>
      <c r="Z638" s="69" t="inlineStr">
        <is>
          <t>No Defeasance Occurred</t>
        </is>
      </c>
      <c r="AA638" s="69" t="inlineStr">
        <is>
          <t>Yes</t>
        </is>
      </c>
      <c r="AB638" s="69" t="inlineStr">
        <is>
          <t>Never special serv</t>
        </is>
      </c>
      <c r="AC638" s="73" t="n"/>
      <c r="AD638" s="69" t="n"/>
      <c r="AE638" s="69" t="n"/>
      <c r="AF638" s="69" t="inlineStr">
        <is>
          <t>GA</t>
        </is>
      </c>
      <c r="AG638" s="69" t="inlineStr">
        <is>
          <t>Norcross</t>
        </is>
      </c>
      <c r="AH638" s="69" t="inlineStr">
        <is>
          <t>Atlanta-Sandy Springs-Roswell, GA</t>
        </is>
      </c>
      <c r="AI638" s="69" t="inlineStr">
        <is>
          <t>South / Atlantic</t>
        </is>
      </c>
      <c r="AJ638" s="69" t="inlineStr">
        <is>
          <t>HT</t>
        </is>
      </c>
      <c r="AK638" s="69" t="inlineStr">
        <is>
          <t>Limited Service</t>
        </is>
      </c>
      <c r="AL638" s="68" t="n">
        <v>1</v>
      </c>
      <c r="AM638" s="68" t="n">
        <v>50</v>
      </c>
      <c r="AN638" s="68" t="n"/>
      <c r="AO638" s="69" t="inlineStr">
        <is>
          <t>1999</t>
        </is>
      </c>
      <c r="AP638" s="70" t="n">
        <v>2018</v>
      </c>
      <c r="AQ638" s="74" t="n">
        <v>2.01</v>
      </c>
      <c r="AR638" s="74" t="n">
        <v>1.16</v>
      </c>
      <c r="AS638" s="74" t="n">
        <v>67.59999999999999</v>
      </c>
      <c r="AT638" s="74" t="n">
        <v>55.31</v>
      </c>
      <c r="AU638" s="74" t="n">
        <v>51.1</v>
      </c>
      <c r="AV638" s="74" t="n">
        <v>14.543250959</v>
      </c>
      <c r="AW638" s="74" t="n">
        <v>10.229173959</v>
      </c>
      <c r="AX638" s="75" t="n">
        <v>62</v>
      </c>
      <c r="AY638" s="71" t="n">
        <v>5400000</v>
      </c>
      <c r="AZ638" s="71" t="n">
        <v>5400000</v>
      </c>
      <c r="BA638" s="71" t="n">
        <v>530828.66</v>
      </c>
      <c r="BB638" s="71" t="n">
        <v>305525.78</v>
      </c>
      <c r="BC638" s="69" t="inlineStr">
        <is>
          <t>Refinance</t>
        </is>
      </c>
      <c r="BD638" s="69" t="inlineStr">
        <is>
          <t>N</t>
        </is>
      </c>
      <c r="BE638" s="71" t="n"/>
      <c r="BF638" s="71" t="n"/>
      <c r="BG638" s="71" t="n"/>
      <c r="BH638" s="71" t="n">
        <v>0</v>
      </c>
      <c r="BI638" s="71" t="n">
        <v>0</v>
      </c>
      <c r="BJ638" s="69" t="inlineStr">
        <is>
          <t>Y</t>
        </is>
      </c>
      <c r="BK638" s="69" t="n"/>
      <c r="BL638" s="75" t="n"/>
      <c r="BM638" s="73" t="n"/>
      <c r="BN638" s="69" t="inlineStr">
        <is>
          <t>Manish Jariwala; Paresh Parikh</t>
        </is>
      </c>
      <c r="BO638" s="69" t="n"/>
      <c r="BP638" s="69" t="inlineStr">
        <is>
          <t>Midland Loan Services</t>
        </is>
      </c>
      <c r="BQ638" s="69" t="inlineStr">
        <is>
          <t>Midland Loan Services</t>
        </is>
      </c>
      <c r="BR638" s="69" t="n"/>
      <c r="BS638" s="73" t="n">
        <v>46276</v>
      </c>
      <c r="BU638" s="76">
        <f>IF($C638="","",IFERROR(INDEX(dmName,MATCH($C638,dmID,0)),"Unmapped"))</f>
        <v/>
      </c>
      <c r="BV638" s="76">
        <f>IF($C638="","",IFERROR(INDEX(dmEntity,MATCH($C638,dmID,0)),"Unmapped"))</f>
        <v/>
      </c>
      <c r="BW638" s="77">
        <f>IF($C638="","",IFERROR(INDEX(dmVintage,MATCH($C638,dmID,0)),""))</f>
        <v/>
      </c>
      <c r="BX638" s="78">
        <f>IFERROR(INDEX(dmInclude,MATCH($C638,dmID,0)),0)</f>
        <v/>
      </c>
      <c r="BY638" s="78">
        <f>IF(N($I638)&gt;0,1,0)</f>
        <v/>
      </c>
      <c r="BZ638" s="76">
        <f>IF($AJ638="","Other / Leased Fee",IFERROR(INDEX(mapPTGroup,MATCH(LEFT(TRIM($AJ638),2),mapPTCode,0)),"Other / Leased Fee"))</f>
        <v/>
      </c>
      <c r="CA638" s="76">
        <f>IF(TRIM($AF638&amp;"")="","NR",LEFT(TRIM($AF638),2))</f>
        <v/>
      </c>
      <c r="CB638" s="76">
        <f>IFERROR(LOOKUP(2,1/(LEFT(TRIM($AI638&amp;""),LEN(mapRegion))=mapRegion),mapRegion),"Not Reported")</f>
        <v/>
      </c>
      <c r="CC638" s="76">
        <f>IF($BY638=0,"",IF(TRIM($W638&amp;"")="REO","REO",IF(TRIM($W638&amp;"")="FC","Foreclosure",IF(TRIM($W638&amp;"")="90+","90+ Days Delinquent",IF(TRIM($W638&amp;"")="60","60 Days Delinquent",IF(TRIM($W638&amp;"")="30","30 Days Delinquent",IF($X638="Non-Performing Matured Balloon","Non-Performing Matured Balloon",IF(OR($X638="Late Payment But Less Than 30 Days Delinquent",LEFT($X638&amp;"",20)="Payment Not Received"),"Late / In Grace (&lt;30 Days)",IF($X638="Performing Matured Balloon","Performing Matured Balloon","Current")))))))))</f>
        <v/>
      </c>
      <c r="CD638" s="78">
        <f>IF(OR($CC638="REO",$CC638="Foreclosure",$CC638="90+ Days Delinquent",$CC638="60 Days Delinquent",$CC638="30 Days Delinquent",$CC638="Non-Performing Matured Balloon"),1,0)</f>
        <v/>
      </c>
      <c r="CE638" s="76">
        <f>IF($AB638="Currently special serv","Currently Specially Serviced",IF($AB638="Returned to master serv","Previously Specially Serviced","Never Specially Serviced"))</f>
        <v/>
      </c>
      <c r="CF638" s="78">
        <f>IF($CE638="Currently Specially Serviced",1,0)</f>
        <v/>
      </c>
      <c r="CG638" s="76">
        <f>IF($AA638="Yes","Currently on Watchlist",IF($AA638="Previously","Previously on Watchlist","Never on Watchlist"))</f>
        <v/>
      </c>
      <c r="CH638" s="78">
        <f>IF($CG638="Currently on Watchlist",1,0)</f>
        <v/>
      </c>
      <c r="CI638" s="76">
        <f>IF($Z638="Full Defeasance","Fully Defeased",IF($Z638="Portion Of Loan Previously Defeased","Partially Defeased",IF($Z638="Defeasance Not Allowable","Not Defeased (Not Permitted)","Not Defeased")))</f>
        <v/>
      </c>
      <c r="CJ638" s="78">
        <f>IF($CI638="Fully Defeased",1,0)</f>
        <v/>
      </c>
      <c r="CK638" s="76">
        <f>IF($R638="IO","Full IO",IF(LEFT($R638&amp;"",7)="IO then","Partial IO","Amortizing"))</f>
        <v/>
      </c>
      <c r="CL638" s="78">
        <f>IF($CK638="Full IO",1,0)</f>
        <v/>
      </c>
      <c r="CM638" s="78">
        <f>IF($CK638="Partial IO",1,0)</f>
        <v/>
      </c>
      <c r="CN638" s="76">
        <f>IF(LEFT($F638&amp;"",10)="SPLIT_LOAN","Pari Passu Split","Standalone")</f>
        <v/>
      </c>
      <c r="CO638" s="78">
        <f>IF($CN638="Pari Passu Split",1,0)</f>
        <v/>
      </c>
      <c r="CP638" s="77">
        <f>IF(ISNUMBER($T638),YEAR($T638),"")</f>
        <v/>
      </c>
      <c r="CQ638" s="79">
        <f>IF(ISNUMBER($V638),$V638,IF(ISNUMBER($U638),$U638,""))</f>
        <v/>
      </c>
      <c r="CR638" s="77">
        <f>IF(ISNUMBER($CQ638),YEAR($CQ638),"")</f>
        <v/>
      </c>
      <c r="CS638" s="78">
        <f>IF(ISNUMBER($M638),MAX(0,$M638),IF(TRIM($M638&amp;"")="matured",0,""))</f>
        <v/>
      </c>
      <c r="CT638" s="78">
        <f>IF(AND(ISNUMBER($CS638),N($CS638)&lt;=mMatWindow),1,0)</f>
        <v/>
      </c>
      <c r="CU638" s="80">
        <f>IF(ISNUMBER($J638),$J638/100,"")</f>
        <v/>
      </c>
      <c r="CV638" s="81">
        <f>IF(ISNUMBER($AQ638),$AQ638,"")</f>
        <v/>
      </c>
      <c r="CW638" s="81">
        <f>IF(ISNUMBER($AR638),$AR638,"")</f>
        <v/>
      </c>
      <c r="CX638" s="82">
        <f>IF(ISNUMBER($AS638),$AS638/100,"")</f>
        <v/>
      </c>
      <c r="CY638" s="82">
        <f>IF(ISNUMBER($AT638),$AT638/100,"")</f>
        <v/>
      </c>
      <c r="CZ638" s="82">
        <f>IF(ISNUMBER($AU638),$AU638/100,"")</f>
        <v/>
      </c>
      <c r="DA638" s="82">
        <f>IF(ISNUMBER($AV638),$AV638/100,"")</f>
        <v/>
      </c>
      <c r="DB638" s="82">
        <f>IF(ISNUMBER($AW638),$AW638/100,"")</f>
        <v/>
      </c>
      <c r="DC638" s="82">
        <f>IF(ISNUMBER($AX638),$AX638/100,"")</f>
        <v/>
      </c>
      <c r="DD638" s="77">
        <f>IFERROR(VALUE(LEFT(TRIM($AO638&amp;""),4)),"")</f>
        <v/>
      </c>
      <c r="DE638" s="78">
        <f>IF(AND($BY638=1,$BX638=1,OR(fDeal="All Deals",$BU638=fDeal),OR(fEntity="All Entities",$BV638=fEntity),OR(fPType="All Property Types",$BZ638=fPType),OR(fDefeased="Include",$CJ638=0)),1,0)</f>
        <v/>
      </c>
      <c r="DF638" s="83">
        <f>$DE638*N($I638)</f>
        <v/>
      </c>
      <c r="DG638" s="78">
        <f>IF($DE638=1,IF(COUNTIFS($F$8:$F638,$F638,$DE$8:$DE638,1)=1,1,0),0)</f>
        <v/>
      </c>
      <c r="DH638" s="83">
        <f>IF($DG638=1,SUMIFS($DF$8:$DF$1600,$F$8:$F$1600,$F638),0)</f>
        <v/>
      </c>
      <c r="DI638" s="78">
        <f>IF($DG638=1,COUNTIFS($F$8:$F$1600,$F638,$DE$8:$DE$1600,1),0)</f>
        <v/>
      </c>
      <c r="DJ638" s="84">
        <f>IF($DG638=1,$DH638+(100000-ROW())/mTieBreak,0)</f>
        <v/>
      </c>
    </row>
    <row r="639">
      <c r="B639" s="68" t="n">
        <v>52</v>
      </c>
      <c r="C639" s="69" t="inlineStr">
        <is>
          <t>UBS18C13</t>
        </is>
      </c>
      <c r="D639" s="69" t="inlineStr">
        <is>
          <t>52.000</t>
        </is>
      </c>
      <c r="E639" s="69" t="inlineStr">
        <is>
          <t>Magnolia Village</t>
        </is>
      </c>
      <c r="F639" s="69" t="inlineStr">
        <is>
          <t>LNUBS18C13-52.000</t>
        </is>
      </c>
      <c r="G639" s="70" t="n"/>
      <c r="H639" s="71" t="n">
        <v>2700000</v>
      </c>
      <c r="I639" s="71" t="n">
        <v>2351939.3900001</v>
      </c>
      <c r="J639" s="72" t="n">
        <v>5.27</v>
      </c>
      <c r="K639" s="69" t="inlineStr">
        <is>
          <t>Fixed rate</t>
        </is>
      </c>
      <c r="L639" s="68" t="n">
        <v>120</v>
      </c>
      <c r="M639" s="68" t="n">
        <v>24</v>
      </c>
      <c r="N639" s="68" t="n">
        <v>360</v>
      </c>
      <c r="O639" s="68" t="n"/>
      <c r="P639" s="68" t="n"/>
      <c r="Q639" s="68" t="n">
        <v>96</v>
      </c>
      <c r="R639" s="69" t="n"/>
      <c r="S639" s="69" t="inlineStr">
        <is>
          <t>No</t>
        </is>
      </c>
      <c r="T639" s="73" t="n">
        <v>43344</v>
      </c>
      <c r="U639" s="73" t="n">
        <v>47002</v>
      </c>
      <c r="V639" s="73" t="n"/>
      <c r="W639" s="69" t="n"/>
      <c r="X639" s="69" t="inlineStr">
        <is>
          <t>Current</t>
        </is>
      </c>
      <c r="Y639" s="68" t="n"/>
      <c r="Z639" s="69" t="inlineStr">
        <is>
          <t>Defeasance Not Allowable</t>
        </is>
      </c>
      <c r="AA639" s="69" t="inlineStr">
        <is>
          <t>Previously</t>
        </is>
      </c>
      <c r="AB639" s="69" t="inlineStr">
        <is>
          <t>Never special serv</t>
        </is>
      </c>
      <c r="AC639" s="73" t="n"/>
      <c r="AD639" s="69" t="n"/>
      <c r="AE639" s="69" t="n"/>
      <c r="AF639" s="69" t="inlineStr">
        <is>
          <t>TX</t>
        </is>
      </c>
      <c r="AG639" s="69" t="inlineStr">
        <is>
          <t>Coppell</t>
        </is>
      </c>
      <c r="AH639" s="69" t="inlineStr">
        <is>
          <t>Dallas-Fort Worth-Arlington, TX</t>
        </is>
      </c>
      <c r="AI639" s="69" t="inlineStr">
        <is>
          <t>South / Central West</t>
        </is>
      </c>
      <c r="AJ639" s="69" t="inlineStr">
        <is>
          <t>RT</t>
        </is>
      </c>
      <c r="AK639" s="69" t="inlineStr">
        <is>
          <t>Unanchored</t>
        </is>
      </c>
      <c r="AL639" s="68" t="n">
        <v>1</v>
      </c>
      <c r="AM639" s="68" t="n"/>
      <c r="AN639" s="68" t="n">
        <v>15502</v>
      </c>
      <c r="AO639" s="69" t="inlineStr">
        <is>
          <t>2001</t>
        </is>
      </c>
      <c r="AP639" s="70" t="n">
        <v>2001</v>
      </c>
      <c r="AQ639" s="74" t="n">
        <v>1.53</v>
      </c>
      <c r="AR639" s="74" t="n">
        <v>2.05</v>
      </c>
      <c r="AS639" s="74" t="n">
        <v>59.3</v>
      </c>
      <c r="AT639" s="74" t="n">
        <v>51.69</v>
      </c>
      <c r="AU639" s="74" t="n">
        <v>49.2</v>
      </c>
      <c r="AV639" s="74" t="n">
        <v>10.129925926</v>
      </c>
      <c r="AW639" s="74" t="n">
        <v>15.594291739</v>
      </c>
      <c r="AX639" s="75" t="n">
        <v>82</v>
      </c>
      <c r="AY639" s="71" t="n">
        <v>4550000</v>
      </c>
      <c r="AZ639" s="71" t="n">
        <v>4550000</v>
      </c>
      <c r="BA639" s="71" t="n">
        <v>273508</v>
      </c>
      <c r="BB639" s="71" t="n">
        <v>366768.29</v>
      </c>
      <c r="BC639" s="69" t="inlineStr">
        <is>
          <t>Acquisition</t>
        </is>
      </c>
      <c r="BD639" s="69" t="inlineStr">
        <is>
          <t>N</t>
        </is>
      </c>
      <c r="BE639" s="71" t="n"/>
      <c r="BF639" s="71" t="n"/>
      <c r="BG639" s="71" t="n"/>
      <c r="BH639" s="71" t="n">
        <v>0</v>
      </c>
      <c r="BI639" s="71" t="n">
        <v>0</v>
      </c>
      <c r="BJ639" s="69" t="inlineStr">
        <is>
          <t>N</t>
        </is>
      </c>
      <c r="BK639" s="69" t="inlineStr">
        <is>
          <t>Dental Choice</t>
        </is>
      </c>
      <c r="BL639" s="75" t="n">
        <v>21.29</v>
      </c>
      <c r="BM639" s="73" t="n">
        <v>47269</v>
      </c>
      <c r="BN639" s="69" t="inlineStr">
        <is>
          <t>Lakeview Crossing Shopping Center Dallas, TX. Limited Partnership</t>
        </is>
      </c>
      <c r="BO639" s="69" t="n"/>
      <c r="BP639" s="69" t="inlineStr">
        <is>
          <t>Midland Loan Services</t>
        </is>
      </c>
      <c r="BQ639" s="69" t="inlineStr">
        <is>
          <t>Midland Loan Services</t>
        </is>
      </c>
      <c r="BR639" s="69" t="n"/>
      <c r="BS639" s="73" t="n">
        <v>46276</v>
      </c>
      <c r="BU639" s="76">
        <f>IF($C639="","",IFERROR(INDEX(dmName,MATCH($C639,dmID,0)),"Unmapped"))</f>
        <v/>
      </c>
      <c r="BV639" s="76">
        <f>IF($C639="","",IFERROR(INDEX(dmEntity,MATCH($C639,dmID,0)),"Unmapped"))</f>
        <v/>
      </c>
      <c r="BW639" s="77">
        <f>IF($C639="","",IFERROR(INDEX(dmVintage,MATCH($C639,dmID,0)),""))</f>
        <v/>
      </c>
      <c r="BX639" s="78">
        <f>IFERROR(INDEX(dmInclude,MATCH($C639,dmID,0)),0)</f>
        <v/>
      </c>
      <c r="BY639" s="78">
        <f>IF(N($I639)&gt;0,1,0)</f>
        <v/>
      </c>
      <c r="BZ639" s="76">
        <f>IF($AJ639="","Other / Leased Fee",IFERROR(INDEX(mapPTGroup,MATCH(LEFT(TRIM($AJ639),2),mapPTCode,0)),"Other / Leased Fee"))</f>
        <v/>
      </c>
      <c r="CA639" s="76">
        <f>IF(TRIM($AF639&amp;"")="","NR",LEFT(TRIM($AF639),2))</f>
        <v/>
      </c>
      <c r="CB639" s="76">
        <f>IFERROR(LOOKUP(2,1/(LEFT(TRIM($AI639&amp;""),LEN(mapRegion))=mapRegion),mapRegion),"Not Reported")</f>
        <v/>
      </c>
      <c r="CC639" s="76">
        <f>IF($BY639=0,"",IF(TRIM($W639&amp;"")="REO","REO",IF(TRIM($W639&amp;"")="FC","Foreclosure",IF(TRIM($W639&amp;"")="90+","90+ Days Delinquent",IF(TRIM($W639&amp;"")="60","60 Days Delinquent",IF(TRIM($W639&amp;"")="30","30 Days Delinquent",IF($X639="Non-Performing Matured Balloon","Non-Performing Matured Balloon",IF(OR($X639="Late Payment But Less Than 30 Days Delinquent",LEFT($X639&amp;"",20)="Payment Not Received"),"Late / In Grace (&lt;30 Days)",IF($X639="Performing Matured Balloon","Performing Matured Balloon","Current")))))))))</f>
        <v/>
      </c>
      <c r="CD639" s="78">
        <f>IF(OR($CC639="REO",$CC639="Foreclosure",$CC639="90+ Days Delinquent",$CC639="60 Days Delinquent",$CC639="30 Days Delinquent",$CC639="Non-Performing Matured Balloon"),1,0)</f>
        <v/>
      </c>
      <c r="CE639" s="76">
        <f>IF($AB639="Currently special serv","Currently Specially Serviced",IF($AB639="Returned to master serv","Previously Specially Serviced","Never Specially Serviced"))</f>
        <v/>
      </c>
      <c r="CF639" s="78">
        <f>IF($CE639="Currently Specially Serviced",1,0)</f>
        <v/>
      </c>
      <c r="CG639" s="76">
        <f>IF($AA639="Yes","Currently on Watchlist",IF($AA639="Previously","Previously on Watchlist","Never on Watchlist"))</f>
        <v/>
      </c>
      <c r="CH639" s="78">
        <f>IF($CG639="Currently on Watchlist",1,0)</f>
        <v/>
      </c>
      <c r="CI639" s="76">
        <f>IF($Z639="Full Defeasance","Fully Defeased",IF($Z639="Portion Of Loan Previously Defeased","Partially Defeased",IF($Z639="Defeasance Not Allowable","Not Defeased (Not Permitted)","Not Defeased")))</f>
        <v/>
      </c>
      <c r="CJ639" s="78">
        <f>IF($CI639="Fully Defeased",1,0)</f>
        <v/>
      </c>
      <c r="CK639" s="76">
        <f>IF($R639="IO","Full IO",IF(LEFT($R639&amp;"",7)="IO then","Partial IO","Amortizing"))</f>
        <v/>
      </c>
      <c r="CL639" s="78">
        <f>IF($CK639="Full IO",1,0)</f>
        <v/>
      </c>
      <c r="CM639" s="78">
        <f>IF($CK639="Partial IO",1,0)</f>
        <v/>
      </c>
      <c r="CN639" s="76">
        <f>IF(LEFT($F639&amp;"",10)="SPLIT_LOAN","Pari Passu Split","Standalone")</f>
        <v/>
      </c>
      <c r="CO639" s="78">
        <f>IF($CN639="Pari Passu Split",1,0)</f>
        <v/>
      </c>
      <c r="CP639" s="77">
        <f>IF(ISNUMBER($T639),YEAR($T639),"")</f>
        <v/>
      </c>
      <c r="CQ639" s="79">
        <f>IF(ISNUMBER($V639),$V639,IF(ISNUMBER($U639),$U639,""))</f>
        <v/>
      </c>
      <c r="CR639" s="77">
        <f>IF(ISNUMBER($CQ639),YEAR($CQ639),"")</f>
        <v/>
      </c>
      <c r="CS639" s="78">
        <f>IF(ISNUMBER($M639),MAX(0,$M639),IF(TRIM($M639&amp;"")="matured",0,""))</f>
        <v/>
      </c>
      <c r="CT639" s="78">
        <f>IF(AND(ISNUMBER($CS639),N($CS639)&lt;=mMatWindow),1,0)</f>
        <v/>
      </c>
      <c r="CU639" s="80">
        <f>IF(ISNUMBER($J639),$J639/100,"")</f>
        <v/>
      </c>
      <c r="CV639" s="81">
        <f>IF(ISNUMBER($AQ639),$AQ639,"")</f>
        <v/>
      </c>
      <c r="CW639" s="81">
        <f>IF(ISNUMBER($AR639),$AR639,"")</f>
        <v/>
      </c>
      <c r="CX639" s="82">
        <f>IF(ISNUMBER($AS639),$AS639/100,"")</f>
        <v/>
      </c>
      <c r="CY639" s="82">
        <f>IF(ISNUMBER($AT639),$AT639/100,"")</f>
        <v/>
      </c>
      <c r="CZ639" s="82">
        <f>IF(ISNUMBER($AU639),$AU639/100,"")</f>
        <v/>
      </c>
      <c r="DA639" s="82">
        <f>IF(ISNUMBER($AV639),$AV639/100,"")</f>
        <v/>
      </c>
      <c r="DB639" s="82">
        <f>IF(ISNUMBER($AW639),$AW639/100,"")</f>
        <v/>
      </c>
      <c r="DC639" s="82">
        <f>IF(ISNUMBER($AX639),$AX639/100,"")</f>
        <v/>
      </c>
      <c r="DD639" s="77">
        <f>IFERROR(VALUE(LEFT(TRIM($AO639&amp;""),4)),"")</f>
        <v/>
      </c>
      <c r="DE639" s="78">
        <f>IF(AND($BY639=1,$BX639=1,OR(fDeal="All Deals",$BU639=fDeal),OR(fEntity="All Entities",$BV639=fEntity),OR(fPType="All Property Types",$BZ639=fPType),OR(fDefeased="Include",$CJ639=0)),1,0)</f>
        <v/>
      </c>
      <c r="DF639" s="83">
        <f>$DE639*N($I639)</f>
        <v/>
      </c>
      <c r="DG639" s="78">
        <f>IF($DE639=1,IF(COUNTIFS($F$8:$F639,$F639,$DE$8:$DE639,1)=1,1,0),0)</f>
        <v/>
      </c>
      <c r="DH639" s="83">
        <f>IF($DG639=1,SUMIFS($DF$8:$DF$1600,$F$8:$F$1600,$F639),0)</f>
        <v/>
      </c>
      <c r="DI639" s="78">
        <f>IF($DG639=1,COUNTIFS($F$8:$F$1600,$F639,$DE$8:$DE$1600,1),0)</f>
        <v/>
      </c>
      <c r="DJ639" s="84">
        <f>IF($DG639=1,$DH639+(100000-ROW())/mTieBreak,0)</f>
        <v/>
      </c>
    </row>
    <row r="640">
      <c r="B640" s="68" t="n">
        <v>53</v>
      </c>
      <c r="C640" s="69" t="inlineStr">
        <is>
          <t>UBS18C13</t>
        </is>
      </c>
      <c r="D640" s="69" t="inlineStr">
        <is>
          <t>53.000</t>
        </is>
      </c>
      <c r="E640" s="69" t="inlineStr">
        <is>
          <t>A Storage Place - Fortuna</t>
        </is>
      </c>
      <c r="F640" s="69" t="inlineStr">
        <is>
          <t>LNUBS18C13-53.000</t>
        </is>
      </c>
      <c r="G640" s="70" t="n"/>
      <c r="H640" s="71" t="n">
        <v>2000000</v>
      </c>
      <c r="I640" s="71" t="n">
        <v>2000000</v>
      </c>
      <c r="J640" s="72" t="n">
        <v>5.1052</v>
      </c>
      <c r="K640" s="69" t="inlineStr">
        <is>
          <t>Fixed rate</t>
        </is>
      </c>
      <c r="L640" s="68" t="n">
        <v>120</v>
      </c>
      <c r="M640" s="68" t="n">
        <v>24</v>
      </c>
      <c r="N640" s="68" t="n">
        <v>120</v>
      </c>
      <c r="O640" s="68" t="n">
        <v>120</v>
      </c>
      <c r="P640" s="68" t="n">
        <v>24</v>
      </c>
      <c r="Q640" s="68" t="n">
        <v>96</v>
      </c>
      <c r="R640" s="69" t="inlineStr">
        <is>
          <t>IO</t>
        </is>
      </c>
      <c r="S640" s="69" t="inlineStr">
        <is>
          <t>Yes</t>
        </is>
      </c>
      <c r="T640" s="73" t="n">
        <v>43344</v>
      </c>
      <c r="U640" s="73" t="n">
        <v>47002</v>
      </c>
      <c r="V640" s="73" t="n"/>
      <c r="W640" s="69" t="n"/>
      <c r="X640" s="69" t="inlineStr">
        <is>
          <t>Current</t>
        </is>
      </c>
      <c r="Y640" s="68" t="n"/>
      <c r="Z640" s="69" t="inlineStr">
        <is>
          <t>Defeasance Not Allowable</t>
        </is>
      </c>
      <c r="AA640" s="69" t="n"/>
      <c r="AB640" s="69" t="inlineStr">
        <is>
          <t>Never special serv</t>
        </is>
      </c>
      <c r="AC640" s="73" t="n"/>
      <c r="AD640" s="69" t="n"/>
      <c r="AE640" s="69" t="n"/>
      <c r="AF640" s="69" t="inlineStr">
        <is>
          <t>AZ</t>
        </is>
      </c>
      <c r="AG640" s="69" t="inlineStr">
        <is>
          <t>Yuma</t>
        </is>
      </c>
      <c r="AH640" s="69" t="inlineStr">
        <is>
          <t>Yuma, AZ</t>
        </is>
      </c>
      <c r="AI640" s="69" t="inlineStr">
        <is>
          <t>West / Mountain</t>
        </is>
      </c>
      <c r="AJ640" s="69" t="inlineStr">
        <is>
          <t>SS</t>
        </is>
      </c>
      <c r="AK640" s="69" t="n"/>
      <c r="AL640" s="68" t="n">
        <v>1</v>
      </c>
      <c r="AM640" s="68" t="n"/>
      <c r="AN640" s="68" t="n">
        <v>64717</v>
      </c>
      <c r="AO640" s="69" t="inlineStr">
        <is>
          <t>1986</t>
        </is>
      </c>
      <c r="AP640" s="70" t="n">
        <v>1986</v>
      </c>
      <c r="AQ640" s="74" t="n">
        <v>2.12</v>
      </c>
      <c r="AR640" s="74" t="n">
        <v>4.11</v>
      </c>
      <c r="AS640" s="74" t="n">
        <v>60.6</v>
      </c>
      <c r="AT640" s="74" t="n">
        <v>60.61</v>
      </c>
      <c r="AU640" s="74" t="n">
        <v>60.6</v>
      </c>
      <c r="AV640" s="74" t="n">
        <v>10.953105</v>
      </c>
      <c r="AW640" s="74" t="n">
        <v>21.268294</v>
      </c>
      <c r="AX640" s="75" t="n">
        <v>92</v>
      </c>
      <c r="AY640" s="71" t="n">
        <v>3300000</v>
      </c>
      <c r="AZ640" s="71" t="n">
        <v>3300000</v>
      </c>
      <c r="BA640" s="71" t="n">
        <v>219062.1</v>
      </c>
      <c r="BB640" s="71" t="n">
        <v>425365.88</v>
      </c>
      <c r="BC640" s="69" t="inlineStr">
        <is>
          <t>Recapitalization</t>
        </is>
      </c>
      <c r="BD640" s="69" t="inlineStr">
        <is>
          <t>N</t>
        </is>
      </c>
      <c r="BE640" s="71" t="n"/>
      <c r="BF640" s="71" t="n"/>
      <c r="BG640" s="71" t="n"/>
      <c r="BH640" s="71" t="n">
        <v>0</v>
      </c>
      <c r="BI640" s="71" t="n">
        <v>0</v>
      </c>
      <c r="BJ640" s="69" t="inlineStr">
        <is>
          <t>N</t>
        </is>
      </c>
      <c r="BK640" s="69" t="n"/>
      <c r="BL640" s="75" t="n"/>
      <c r="BM640" s="73" t="n"/>
      <c r="BN640" s="69" t="inlineStr">
        <is>
          <t>Arthur L. Flaming; Arthur L. Flaming and Gwendolyn R. Flaming Trustees of the Flaming Family Trust Dated October 8, 1997</t>
        </is>
      </c>
      <c r="BO640" s="69" t="n"/>
      <c r="BP640" s="69" t="inlineStr">
        <is>
          <t>Midland Loan Services</t>
        </is>
      </c>
      <c r="BQ640" s="69" t="inlineStr">
        <is>
          <t>Midland Loan Services</t>
        </is>
      </c>
      <c r="BR640" s="69" t="n"/>
      <c r="BS640" s="73" t="n">
        <v>46276</v>
      </c>
      <c r="BU640" s="76">
        <f>IF($C640="","",IFERROR(INDEX(dmName,MATCH($C640,dmID,0)),"Unmapped"))</f>
        <v/>
      </c>
      <c r="BV640" s="76">
        <f>IF($C640="","",IFERROR(INDEX(dmEntity,MATCH($C640,dmID,0)),"Unmapped"))</f>
        <v/>
      </c>
      <c r="BW640" s="77">
        <f>IF($C640="","",IFERROR(INDEX(dmVintage,MATCH($C640,dmID,0)),""))</f>
        <v/>
      </c>
      <c r="BX640" s="78">
        <f>IFERROR(INDEX(dmInclude,MATCH($C640,dmID,0)),0)</f>
        <v/>
      </c>
      <c r="BY640" s="78">
        <f>IF(N($I640)&gt;0,1,0)</f>
        <v/>
      </c>
      <c r="BZ640" s="76">
        <f>IF($AJ640="","Other / Leased Fee",IFERROR(INDEX(mapPTGroup,MATCH(LEFT(TRIM($AJ640),2),mapPTCode,0)),"Other / Leased Fee"))</f>
        <v/>
      </c>
      <c r="CA640" s="76">
        <f>IF(TRIM($AF640&amp;"")="","NR",LEFT(TRIM($AF640),2))</f>
        <v/>
      </c>
      <c r="CB640" s="76">
        <f>IFERROR(LOOKUP(2,1/(LEFT(TRIM($AI640&amp;""),LEN(mapRegion))=mapRegion),mapRegion),"Not Reported")</f>
        <v/>
      </c>
      <c r="CC640" s="76">
        <f>IF($BY640=0,"",IF(TRIM($W640&amp;"")="REO","REO",IF(TRIM($W640&amp;"")="FC","Foreclosure",IF(TRIM($W640&amp;"")="90+","90+ Days Delinquent",IF(TRIM($W640&amp;"")="60","60 Days Delinquent",IF(TRIM($W640&amp;"")="30","30 Days Delinquent",IF($X640="Non-Performing Matured Balloon","Non-Performing Matured Balloon",IF(OR($X640="Late Payment But Less Than 30 Days Delinquent",LEFT($X640&amp;"",20)="Payment Not Received"),"Late / In Grace (&lt;30 Days)",IF($X640="Performing Matured Balloon","Performing Matured Balloon","Current")))))))))</f>
        <v/>
      </c>
      <c r="CD640" s="78">
        <f>IF(OR($CC640="REO",$CC640="Foreclosure",$CC640="90+ Days Delinquent",$CC640="60 Days Delinquent",$CC640="30 Days Delinquent",$CC640="Non-Performing Matured Balloon"),1,0)</f>
        <v/>
      </c>
      <c r="CE640" s="76">
        <f>IF($AB640="Currently special serv","Currently Specially Serviced",IF($AB640="Returned to master serv","Previously Specially Serviced","Never Specially Serviced"))</f>
        <v/>
      </c>
      <c r="CF640" s="78">
        <f>IF($CE640="Currently Specially Serviced",1,0)</f>
        <v/>
      </c>
      <c r="CG640" s="76">
        <f>IF($AA640="Yes","Currently on Watchlist",IF($AA640="Previously","Previously on Watchlist","Never on Watchlist"))</f>
        <v/>
      </c>
      <c r="CH640" s="78">
        <f>IF($CG640="Currently on Watchlist",1,0)</f>
        <v/>
      </c>
      <c r="CI640" s="76">
        <f>IF($Z640="Full Defeasance","Fully Defeased",IF($Z640="Portion Of Loan Previously Defeased","Partially Defeased",IF($Z640="Defeasance Not Allowable","Not Defeased (Not Permitted)","Not Defeased")))</f>
        <v/>
      </c>
      <c r="CJ640" s="78">
        <f>IF($CI640="Fully Defeased",1,0)</f>
        <v/>
      </c>
      <c r="CK640" s="76">
        <f>IF($R640="IO","Full IO",IF(LEFT($R640&amp;"",7)="IO then","Partial IO","Amortizing"))</f>
        <v/>
      </c>
      <c r="CL640" s="78">
        <f>IF($CK640="Full IO",1,0)</f>
        <v/>
      </c>
      <c r="CM640" s="78">
        <f>IF($CK640="Partial IO",1,0)</f>
        <v/>
      </c>
      <c r="CN640" s="76">
        <f>IF(LEFT($F640&amp;"",10)="SPLIT_LOAN","Pari Passu Split","Standalone")</f>
        <v/>
      </c>
      <c r="CO640" s="78">
        <f>IF($CN640="Pari Passu Split",1,0)</f>
        <v/>
      </c>
      <c r="CP640" s="77">
        <f>IF(ISNUMBER($T640),YEAR($T640),"")</f>
        <v/>
      </c>
      <c r="CQ640" s="79">
        <f>IF(ISNUMBER($V640),$V640,IF(ISNUMBER($U640),$U640,""))</f>
        <v/>
      </c>
      <c r="CR640" s="77">
        <f>IF(ISNUMBER($CQ640),YEAR($CQ640),"")</f>
        <v/>
      </c>
      <c r="CS640" s="78">
        <f>IF(ISNUMBER($M640),MAX(0,$M640),IF(TRIM($M640&amp;"")="matured",0,""))</f>
        <v/>
      </c>
      <c r="CT640" s="78">
        <f>IF(AND(ISNUMBER($CS640),N($CS640)&lt;=mMatWindow),1,0)</f>
        <v/>
      </c>
      <c r="CU640" s="80">
        <f>IF(ISNUMBER($J640),$J640/100,"")</f>
        <v/>
      </c>
      <c r="CV640" s="81">
        <f>IF(ISNUMBER($AQ640),$AQ640,"")</f>
        <v/>
      </c>
      <c r="CW640" s="81">
        <f>IF(ISNUMBER($AR640),$AR640,"")</f>
        <v/>
      </c>
      <c r="CX640" s="82">
        <f>IF(ISNUMBER($AS640),$AS640/100,"")</f>
        <v/>
      </c>
      <c r="CY640" s="82">
        <f>IF(ISNUMBER($AT640),$AT640/100,"")</f>
        <v/>
      </c>
      <c r="CZ640" s="82">
        <f>IF(ISNUMBER($AU640),$AU640/100,"")</f>
        <v/>
      </c>
      <c r="DA640" s="82">
        <f>IF(ISNUMBER($AV640),$AV640/100,"")</f>
        <v/>
      </c>
      <c r="DB640" s="82">
        <f>IF(ISNUMBER($AW640),$AW640/100,"")</f>
        <v/>
      </c>
      <c r="DC640" s="82">
        <f>IF(ISNUMBER($AX640),$AX640/100,"")</f>
        <v/>
      </c>
      <c r="DD640" s="77">
        <f>IFERROR(VALUE(LEFT(TRIM($AO640&amp;""),4)),"")</f>
        <v/>
      </c>
      <c r="DE640" s="78">
        <f>IF(AND($BY640=1,$BX640=1,OR(fDeal="All Deals",$BU640=fDeal),OR(fEntity="All Entities",$BV640=fEntity),OR(fPType="All Property Types",$BZ640=fPType),OR(fDefeased="Include",$CJ640=0)),1,0)</f>
        <v/>
      </c>
      <c r="DF640" s="83">
        <f>$DE640*N($I640)</f>
        <v/>
      </c>
      <c r="DG640" s="78">
        <f>IF($DE640=1,IF(COUNTIFS($F$8:$F640,$F640,$DE$8:$DE640,1)=1,1,0),0)</f>
        <v/>
      </c>
      <c r="DH640" s="83">
        <f>IF($DG640=1,SUMIFS($DF$8:$DF$1600,$F$8:$F$1600,$F640),0)</f>
        <v/>
      </c>
      <c r="DI640" s="78">
        <f>IF($DG640=1,COUNTIFS($F$8:$F$1600,$F640,$DE$8:$DE$1600,1),0)</f>
        <v/>
      </c>
      <c r="DJ640" s="84">
        <f>IF($DG640=1,$DH640+(100000-ROW())/mTieBreak,0)</f>
        <v/>
      </c>
    </row>
    <row r="641">
      <c r="B641" s="68" t="n">
        <v>1</v>
      </c>
      <c r="C641" s="69" t="inlineStr">
        <is>
          <t>CTG18C06</t>
        </is>
      </c>
      <c r="D641" s="69" t="inlineStr">
        <is>
          <t>1.TR</t>
        </is>
      </c>
      <c r="E641" s="69" t="inlineStr">
        <is>
          <t>DUMBO Heights Portfolio - Trust</t>
        </is>
      </c>
      <c r="F641" s="69" t="inlineStr">
        <is>
          <t>SPLIT_LOAN_01383</t>
        </is>
      </c>
      <c r="G641" s="70" t="n">
        <v>1383</v>
      </c>
      <c r="H641" s="71" t="n">
        <v>70000000</v>
      </c>
      <c r="I641" s="71" t="n">
        <v>63752319.26000001</v>
      </c>
      <c r="J641" s="72" t="n">
        <v>4.05</v>
      </c>
      <c r="K641" s="69" t="inlineStr">
        <is>
          <t>Fixed rate</t>
        </is>
      </c>
      <c r="L641" s="68" t="n">
        <v>96</v>
      </c>
      <c r="M641" s="68" t="inlineStr">
        <is>
          <t>matured</t>
        </is>
      </c>
      <c r="N641" s="68" t="n">
        <v>96</v>
      </c>
      <c r="O641" s="68" t="n">
        <v>96</v>
      </c>
      <c r="P641" s="68" t="n">
        <v>0</v>
      </c>
      <c r="Q641" s="68" t="n">
        <v>96</v>
      </c>
      <c r="R641" s="69" t="inlineStr">
        <is>
          <t>IO</t>
        </is>
      </c>
      <c r="S641" s="69" t="inlineStr">
        <is>
          <t>Yes</t>
        </is>
      </c>
      <c r="T641" s="73" t="n">
        <v>43344</v>
      </c>
      <c r="U641" s="73" t="n">
        <v>46271</v>
      </c>
      <c r="V641" s="73" t="n"/>
      <c r="W641" s="69" t="n"/>
      <c r="X641" s="69" t="inlineStr">
        <is>
          <t>Non-Performing Matured Balloon</t>
        </is>
      </c>
      <c r="Y641" s="68" t="n"/>
      <c r="Z641" s="69" t="inlineStr">
        <is>
          <t>No Defeasance Occurred</t>
        </is>
      </c>
      <c r="AA641" s="69" t="inlineStr">
        <is>
          <t>Previously</t>
        </is>
      </c>
      <c r="AB641" s="69" t="inlineStr">
        <is>
          <t>Currently special serv</t>
        </is>
      </c>
      <c r="AC641" s="73" t="n">
        <v>46071</v>
      </c>
      <c r="AD641" s="69" t="inlineStr">
        <is>
          <t>Balloon Payment/Maturity Default</t>
        </is>
      </c>
      <c r="AE641" s="69" t="inlineStr">
        <is>
          <t>Resolved</t>
        </is>
      </c>
      <c r="AF641" s="69" t="inlineStr">
        <is>
          <t>NY</t>
        </is>
      </c>
      <c r="AG641" s="69" t="n"/>
      <c r="AH641" s="69" t="inlineStr">
        <is>
          <t>New York-Newark-Jersey City, NY-NJ</t>
        </is>
      </c>
      <c r="AI641" s="69" t="inlineStr">
        <is>
          <t>Northeast / Mid-Atlantic</t>
        </is>
      </c>
      <c r="AJ641" s="69" t="inlineStr">
        <is>
          <t>OF</t>
        </is>
      </c>
      <c r="AK641" s="69" t="inlineStr">
        <is>
          <t>CBD</t>
        </is>
      </c>
      <c r="AL641" s="68" t="n">
        <v>1</v>
      </c>
      <c r="AM641" s="68" t="n"/>
      <c r="AN641" s="68" t="n">
        <v>753074</v>
      </c>
      <c r="AO641" s="69" t="n"/>
      <c r="AP641" s="70" t="n">
        <v>2017</v>
      </c>
      <c r="AQ641" s="74" t="n">
        <v>3.89</v>
      </c>
      <c r="AR641" s="74" t="n">
        <v>2.8</v>
      </c>
      <c r="AS641" s="74" t="n">
        <v>28.1</v>
      </c>
      <c r="AT641" s="74" t="n">
        <v>64.29000000000001</v>
      </c>
      <c r="AU641" s="74" t="n">
        <v>28.1</v>
      </c>
      <c r="AV641" s="74" t="n">
        <v>15.957639739</v>
      </c>
      <c r="AW641" s="74" t="n">
        <v>11.484214703</v>
      </c>
      <c r="AX641" s="75" t="n">
        <v>75</v>
      </c>
      <c r="AY641" s="71" t="n">
        <v>640000000</v>
      </c>
      <c r="AZ641" s="71" t="n">
        <v>255000000</v>
      </c>
      <c r="BA641" s="71" t="n">
        <v>28723751.53</v>
      </c>
      <c r="BB641" s="71" t="n">
        <v>18826594</v>
      </c>
      <c r="BC641" s="69" t="inlineStr">
        <is>
          <t>Refinance</t>
        </is>
      </c>
      <c r="BD641" s="69" t="inlineStr">
        <is>
          <t>N</t>
        </is>
      </c>
      <c r="BE641" s="71" t="n">
        <v>100182215.98</v>
      </c>
      <c r="BF641" s="71" t="n">
        <v>132058375.61</v>
      </c>
      <c r="BG641" s="71" t="n">
        <v>155000000</v>
      </c>
      <c r="BH641" s="71" t="n">
        <v>0</v>
      </c>
      <c r="BI641" s="71" t="n">
        <v>219907</v>
      </c>
      <c r="BJ641" s="69" t="inlineStr">
        <is>
          <t>Y</t>
        </is>
      </c>
      <c r="BK641" s="69" t="inlineStr">
        <is>
          <t>Etsy  Inc.</t>
        </is>
      </c>
      <c r="BL641" s="75" t="n">
        <v>29.9</v>
      </c>
      <c r="BM641" s="73" t="n">
        <v>50982</v>
      </c>
      <c r="BN641" s="69" t="inlineStr">
        <is>
          <t>Seryl Kushner, Aby Rosen and Michael Fuchs</t>
        </is>
      </c>
      <c r="BO641" s="69" t="inlineStr">
        <is>
          <t>Citigroup Global Markets</t>
        </is>
      </c>
      <c r="BP641" s="69" t="inlineStr">
        <is>
          <t>TriMont Real Estate Advisors</t>
        </is>
      </c>
      <c r="BQ641" s="69" t="inlineStr">
        <is>
          <t>Green Loan Services</t>
        </is>
      </c>
      <c r="BR641" s="69" t="inlineStr">
        <is>
          <t>Partial Liquidation (Curtailment)</t>
        </is>
      </c>
      <c r="BS641" s="73" t="n">
        <v>46273</v>
      </c>
      <c r="BU641" s="76">
        <f>IF($C641="","",IFERROR(INDEX(dmName,MATCH($C641,dmID,0)),"Unmapped"))</f>
        <v/>
      </c>
      <c r="BV641" s="76">
        <f>IF($C641="","",IFERROR(INDEX(dmEntity,MATCH($C641,dmID,0)),"Unmapped"))</f>
        <v/>
      </c>
      <c r="BW641" s="77">
        <f>IF($C641="","",IFERROR(INDEX(dmVintage,MATCH($C641,dmID,0)),""))</f>
        <v/>
      </c>
      <c r="BX641" s="78">
        <f>IFERROR(INDEX(dmInclude,MATCH($C641,dmID,0)),0)</f>
        <v/>
      </c>
      <c r="BY641" s="78">
        <f>IF(N($I641)&gt;0,1,0)</f>
        <v/>
      </c>
      <c r="BZ641" s="76">
        <f>IF($AJ641="","Other / Leased Fee",IFERROR(INDEX(mapPTGroup,MATCH(LEFT(TRIM($AJ641),2),mapPTCode,0)),"Other / Leased Fee"))</f>
        <v/>
      </c>
      <c r="CA641" s="76">
        <f>IF(TRIM($AF641&amp;"")="","NR",LEFT(TRIM($AF641),2))</f>
        <v/>
      </c>
      <c r="CB641" s="76">
        <f>IFERROR(LOOKUP(2,1/(LEFT(TRIM($AI641&amp;""),LEN(mapRegion))=mapRegion),mapRegion),"Not Reported")</f>
        <v/>
      </c>
      <c r="CC641" s="76">
        <f>IF($BY641=0,"",IF(TRIM($W641&amp;"")="REO","REO",IF(TRIM($W641&amp;"")="FC","Foreclosure",IF(TRIM($W641&amp;"")="90+","90+ Days Delinquent",IF(TRIM($W641&amp;"")="60","60 Days Delinquent",IF(TRIM($W641&amp;"")="30","30 Days Delinquent",IF($X641="Non-Performing Matured Balloon","Non-Performing Matured Balloon",IF(OR($X641="Late Payment But Less Than 30 Days Delinquent",LEFT($X641&amp;"",20)="Payment Not Received"),"Late / In Grace (&lt;30 Days)",IF($X641="Performing Matured Balloon","Performing Matured Balloon","Current")))))))))</f>
        <v/>
      </c>
      <c r="CD641" s="78">
        <f>IF(OR($CC641="REO",$CC641="Foreclosure",$CC641="90+ Days Delinquent",$CC641="60 Days Delinquent",$CC641="30 Days Delinquent",$CC641="Non-Performing Matured Balloon"),1,0)</f>
        <v/>
      </c>
      <c r="CE641" s="76">
        <f>IF($AB641="Currently special serv","Currently Specially Serviced",IF($AB641="Returned to master serv","Previously Specially Serviced","Never Specially Serviced"))</f>
        <v/>
      </c>
      <c r="CF641" s="78">
        <f>IF($CE641="Currently Specially Serviced",1,0)</f>
        <v/>
      </c>
      <c r="CG641" s="76">
        <f>IF($AA641="Yes","Currently on Watchlist",IF($AA641="Previously","Previously on Watchlist","Never on Watchlist"))</f>
        <v/>
      </c>
      <c r="CH641" s="78">
        <f>IF($CG641="Currently on Watchlist",1,0)</f>
        <v/>
      </c>
      <c r="CI641" s="76">
        <f>IF($Z641="Full Defeasance","Fully Defeased",IF($Z641="Portion Of Loan Previously Defeased","Partially Defeased",IF($Z641="Defeasance Not Allowable","Not Defeased (Not Permitted)","Not Defeased")))</f>
        <v/>
      </c>
      <c r="CJ641" s="78">
        <f>IF($CI641="Fully Defeased",1,0)</f>
        <v/>
      </c>
      <c r="CK641" s="76">
        <f>IF($R641="IO","Full IO",IF(LEFT($R641&amp;"",7)="IO then","Partial IO","Amortizing"))</f>
        <v/>
      </c>
      <c r="CL641" s="78">
        <f>IF($CK641="Full IO",1,0)</f>
        <v/>
      </c>
      <c r="CM641" s="78">
        <f>IF($CK641="Partial IO",1,0)</f>
        <v/>
      </c>
      <c r="CN641" s="76">
        <f>IF(LEFT($F641&amp;"",10)="SPLIT_LOAN","Pari Passu Split","Standalone")</f>
        <v/>
      </c>
      <c r="CO641" s="78">
        <f>IF($CN641="Pari Passu Split",1,0)</f>
        <v/>
      </c>
      <c r="CP641" s="77">
        <f>IF(ISNUMBER($T641),YEAR($T641),"")</f>
        <v/>
      </c>
      <c r="CQ641" s="79">
        <f>IF(ISNUMBER($V641),$V641,IF(ISNUMBER($U641),$U641,""))</f>
        <v/>
      </c>
      <c r="CR641" s="77">
        <f>IF(ISNUMBER($CQ641),YEAR($CQ641),"")</f>
        <v/>
      </c>
      <c r="CS641" s="78">
        <f>IF(ISNUMBER($M641),MAX(0,$M641),IF(TRIM($M641&amp;"")="matured",0,""))</f>
        <v/>
      </c>
      <c r="CT641" s="78">
        <f>IF(AND(ISNUMBER($CS641),N($CS641)&lt;=mMatWindow),1,0)</f>
        <v/>
      </c>
      <c r="CU641" s="80">
        <f>IF(ISNUMBER($J641),$J641/100,"")</f>
        <v/>
      </c>
      <c r="CV641" s="81">
        <f>IF(ISNUMBER($AQ641),$AQ641,"")</f>
        <v/>
      </c>
      <c r="CW641" s="81">
        <f>IF(ISNUMBER($AR641),$AR641,"")</f>
        <v/>
      </c>
      <c r="CX641" s="82">
        <f>IF(ISNUMBER($AS641),$AS641/100,"")</f>
        <v/>
      </c>
      <c r="CY641" s="82">
        <f>IF(ISNUMBER($AT641),$AT641/100,"")</f>
        <v/>
      </c>
      <c r="CZ641" s="82">
        <f>IF(ISNUMBER($AU641),$AU641/100,"")</f>
        <v/>
      </c>
      <c r="DA641" s="82">
        <f>IF(ISNUMBER($AV641),$AV641/100,"")</f>
        <v/>
      </c>
      <c r="DB641" s="82">
        <f>IF(ISNUMBER($AW641),$AW641/100,"")</f>
        <v/>
      </c>
      <c r="DC641" s="82">
        <f>IF(ISNUMBER($AX641),$AX641/100,"")</f>
        <v/>
      </c>
      <c r="DD641" s="77">
        <f>IFERROR(VALUE(LEFT(TRIM($AO641&amp;""),4)),"")</f>
        <v/>
      </c>
      <c r="DE641" s="78">
        <f>IF(AND($BY641=1,$BX641=1,OR(fDeal="All Deals",$BU641=fDeal),OR(fEntity="All Entities",$BV641=fEntity),OR(fPType="All Property Types",$BZ641=fPType),OR(fDefeased="Include",$CJ641=0)),1,0)</f>
        <v/>
      </c>
      <c r="DF641" s="83">
        <f>$DE641*N($I641)</f>
        <v/>
      </c>
      <c r="DG641" s="78">
        <f>IF($DE641=1,IF(COUNTIFS($F$8:$F641,$F641,$DE$8:$DE641,1)=1,1,0),0)</f>
        <v/>
      </c>
      <c r="DH641" s="83">
        <f>IF($DG641=1,SUMIFS($DF$8:$DF$1600,$F$8:$F$1600,$F641),0)</f>
        <v/>
      </c>
      <c r="DI641" s="78">
        <f>IF($DG641=1,COUNTIFS($F$8:$F$1600,$F641,$DE$8:$DE$1600,1),0)</f>
        <v/>
      </c>
      <c r="DJ641" s="84">
        <f>IF($DG641=1,$DH641+(100000-ROW())/mTieBreak,0)</f>
        <v/>
      </c>
    </row>
    <row r="642">
      <c r="B642" s="68" t="n">
        <v>2</v>
      </c>
      <c r="C642" s="69" t="inlineStr">
        <is>
          <t>CTG18C06</t>
        </is>
      </c>
      <c r="D642" s="69" t="inlineStr">
        <is>
          <t>2.000</t>
        </is>
      </c>
      <c r="E642" s="69" t="inlineStr">
        <is>
          <t>Liberty Portfolio</t>
        </is>
      </c>
      <c r="F642" s="69" t="inlineStr">
        <is>
          <t>SPLIT_LOAN_01385</t>
        </is>
      </c>
      <c r="G642" s="70" t="n">
        <v>1385</v>
      </c>
      <c r="H642" s="71" t="n">
        <v>52850000</v>
      </c>
      <c r="I642" s="71" t="n">
        <v>52850000</v>
      </c>
      <c r="J642" s="72" t="n">
        <v>4.755</v>
      </c>
      <c r="K642" s="69" t="inlineStr">
        <is>
          <t>Fixed rate</t>
        </is>
      </c>
      <c r="L642" s="68" t="n">
        <v>120</v>
      </c>
      <c r="M642" s="68" t="n">
        <v>25</v>
      </c>
      <c r="N642" s="68" t="n">
        <v>120</v>
      </c>
      <c r="O642" s="68" t="n">
        <v>120</v>
      </c>
      <c r="P642" s="68" t="n">
        <v>25</v>
      </c>
      <c r="Q642" s="68" t="n">
        <v>95</v>
      </c>
      <c r="R642" s="69" t="inlineStr">
        <is>
          <t>IO</t>
        </is>
      </c>
      <c r="S642" s="69" t="inlineStr">
        <is>
          <t>Yes</t>
        </is>
      </c>
      <c r="T642" s="73" t="n">
        <v>43374</v>
      </c>
      <c r="U642" s="73" t="n">
        <v>47032</v>
      </c>
      <c r="V642" s="73" t="n"/>
      <c r="W642" s="69" t="n"/>
      <c r="X642" s="69" t="inlineStr">
        <is>
          <t>Current</t>
        </is>
      </c>
      <c r="Y642" s="68" t="n"/>
      <c r="Z642" s="69" t="inlineStr">
        <is>
          <t>No Defeasance Occurred</t>
        </is>
      </c>
      <c r="AA642" s="69" t="inlineStr">
        <is>
          <t>Previously</t>
        </is>
      </c>
      <c r="AB642" s="69" t="inlineStr">
        <is>
          <t>Never special serv</t>
        </is>
      </c>
      <c r="AC642" s="73" t="n"/>
      <c r="AD642" s="69" t="n"/>
      <c r="AE642" s="69" t="n"/>
      <c r="AF642" s="69" t="inlineStr">
        <is>
          <t>AZ</t>
        </is>
      </c>
      <c r="AG642" s="69" t="n"/>
      <c r="AH642" s="69" t="inlineStr">
        <is>
          <t>Phoenix-Mesa-Chandler, AZ</t>
        </is>
      </c>
      <c r="AI642" s="69" t="inlineStr">
        <is>
          <t>West / Mountain</t>
        </is>
      </c>
      <c r="AJ642" s="69" t="inlineStr">
        <is>
          <t>OF</t>
        </is>
      </c>
      <c r="AK642" s="69" t="inlineStr">
        <is>
          <t>Suburban</t>
        </is>
      </c>
      <c r="AL642" s="68" t="n">
        <v>2</v>
      </c>
      <c r="AM642" s="68" t="n"/>
      <c r="AN642" s="68" t="n">
        <v>805746</v>
      </c>
      <c r="AO642" s="69" t="n"/>
      <c r="AP642" s="70" t="n">
        <v>2017</v>
      </c>
      <c r="AQ642" s="74" t="n">
        <v>1.77</v>
      </c>
      <c r="AR642" s="74" t="n">
        <v>1.58</v>
      </c>
      <c r="AS642" s="74" t="n">
        <v>64.55</v>
      </c>
      <c r="AT642" s="74" t="n">
        <v>64.55</v>
      </c>
      <c r="AU642" s="74" t="n">
        <v>64.55</v>
      </c>
      <c r="AV642" s="74" t="n">
        <v>8.52747102</v>
      </c>
      <c r="AW642" s="74" t="n">
        <v>7.848505733</v>
      </c>
      <c r="AX642" s="75" t="n">
        <v>97</v>
      </c>
      <c r="AY642" s="71" t="n">
        <v>256700000</v>
      </c>
      <c r="AZ642" s="71" t="n">
        <v>256700000</v>
      </c>
      <c r="BA642" s="71" t="n">
        <v>14130019.48</v>
      </c>
      <c r="BB642" s="71" t="n">
        <v>6287016.71</v>
      </c>
      <c r="BC642" s="69" t="inlineStr">
        <is>
          <t>Acquisition</t>
        </is>
      </c>
      <c r="BD642" s="69" t="inlineStr">
        <is>
          <t>Y</t>
        </is>
      </c>
      <c r="BE642" s="71" t="n">
        <v>112850000</v>
      </c>
      <c r="BF642" s="71" t="n"/>
      <c r="BG642" s="71" t="n"/>
      <c r="BH642" s="71" t="n">
        <v>0</v>
      </c>
      <c r="BI642" s="71" t="n">
        <v>0</v>
      </c>
      <c r="BJ642" s="69" t="inlineStr">
        <is>
          <t>N</t>
        </is>
      </c>
      <c r="BK642" s="69" t="inlineStr">
        <is>
          <t>Centene Corporation</t>
        </is>
      </c>
      <c r="BL642" s="75" t="n">
        <v>43.8</v>
      </c>
      <c r="BM642" s="73" t="n">
        <v>46774</v>
      </c>
      <c r="BN642" s="69" t="inlineStr">
        <is>
          <t>Bruce Karsh</t>
        </is>
      </c>
      <c r="BO642" s="69" t="inlineStr">
        <is>
          <t>Citigroup Global Markets / Cantor Commercial Real Estate Lending</t>
        </is>
      </c>
      <c r="BP642" s="69" t="inlineStr">
        <is>
          <t>TriMont Real Estate Advisors</t>
        </is>
      </c>
      <c r="BQ642" s="69" t="inlineStr">
        <is>
          <t>K-Star Asset Management LLC</t>
        </is>
      </c>
      <c r="BR642" s="69" t="n"/>
      <c r="BS642" s="73" t="n">
        <v>46273</v>
      </c>
      <c r="BU642" s="76">
        <f>IF($C642="","",IFERROR(INDEX(dmName,MATCH($C642,dmID,0)),"Unmapped"))</f>
        <v/>
      </c>
      <c r="BV642" s="76">
        <f>IF($C642="","",IFERROR(INDEX(dmEntity,MATCH($C642,dmID,0)),"Unmapped"))</f>
        <v/>
      </c>
      <c r="BW642" s="77">
        <f>IF($C642="","",IFERROR(INDEX(dmVintage,MATCH($C642,dmID,0)),""))</f>
        <v/>
      </c>
      <c r="BX642" s="78">
        <f>IFERROR(INDEX(dmInclude,MATCH($C642,dmID,0)),0)</f>
        <v/>
      </c>
      <c r="BY642" s="78">
        <f>IF(N($I642)&gt;0,1,0)</f>
        <v/>
      </c>
      <c r="BZ642" s="76">
        <f>IF($AJ642="","Other / Leased Fee",IFERROR(INDEX(mapPTGroup,MATCH(LEFT(TRIM($AJ642),2),mapPTCode,0)),"Other / Leased Fee"))</f>
        <v/>
      </c>
      <c r="CA642" s="76">
        <f>IF(TRIM($AF642&amp;"")="","NR",LEFT(TRIM($AF642),2))</f>
        <v/>
      </c>
      <c r="CB642" s="76">
        <f>IFERROR(LOOKUP(2,1/(LEFT(TRIM($AI642&amp;""),LEN(mapRegion))=mapRegion),mapRegion),"Not Reported")</f>
        <v/>
      </c>
      <c r="CC642" s="76">
        <f>IF($BY642=0,"",IF(TRIM($W642&amp;"")="REO","REO",IF(TRIM($W642&amp;"")="FC","Foreclosure",IF(TRIM($W642&amp;"")="90+","90+ Days Delinquent",IF(TRIM($W642&amp;"")="60","60 Days Delinquent",IF(TRIM($W642&amp;"")="30","30 Days Delinquent",IF($X642="Non-Performing Matured Balloon","Non-Performing Matured Balloon",IF(OR($X642="Late Payment But Less Than 30 Days Delinquent",LEFT($X642&amp;"",20)="Payment Not Received"),"Late / In Grace (&lt;30 Days)",IF($X642="Performing Matured Balloon","Performing Matured Balloon","Current")))))))))</f>
        <v/>
      </c>
      <c r="CD642" s="78">
        <f>IF(OR($CC642="REO",$CC642="Foreclosure",$CC642="90+ Days Delinquent",$CC642="60 Days Delinquent",$CC642="30 Days Delinquent",$CC642="Non-Performing Matured Balloon"),1,0)</f>
        <v/>
      </c>
      <c r="CE642" s="76">
        <f>IF($AB642="Currently special serv","Currently Specially Serviced",IF($AB642="Returned to master serv","Previously Specially Serviced","Never Specially Serviced"))</f>
        <v/>
      </c>
      <c r="CF642" s="78">
        <f>IF($CE642="Currently Specially Serviced",1,0)</f>
        <v/>
      </c>
      <c r="CG642" s="76">
        <f>IF($AA642="Yes","Currently on Watchlist",IF($AA642="Previously","Previously on Watchlist","Never on Watchlist"))</f>
        <v/>
      </c>
      <c r="CH642" s="78">
        <f>IF($CG642="Currently on Watchlist",1,0)</f>
        <v/>
      </c>
      <c r="CI642" s="76">
        <f>IF($Z642="Full Defeasance","Fully Defeased",IF($Z642="Portion Of Loan Previously Defeased","Partially Defeased",IF($Z642="Defeasance Not Allowable","Not Defeased (Not Permitted)","Not Defeased")))</f>
        <v/>
      </c>
      <c r="CJ642" s="78">
        <f>IF($CI642="Fully Defeased",1,0)</f>
        <v/>
      </c>
      <c r="CK642" s="76">
        <f>IF($R642="IO","Full IO",IF(LEFT($R642&amp;"",7)="IO then","Partial IO","Amortizing"))</f>
        <v/>
      </c>
      <c r="CL642" s="78">
        <f>IF($CK642="Full IO",1,0)</f>
        <v/>
      </c>
      <c r="CM642" s="78">
        <f>IF($CK642="Partial IO",1,0)</f>
        <v/>
      </c>
      <c r="CN642" s="76">
        <f>IF(LEFT($F642&amp;"",10)="SPLIT_LOAN","Pari Passu Split","Standalone")</f>
        <v/>
      </c>
      <c r="CO642" s="78">
        <f>IF($CN642="Pari Passu Split",1,0)</f>
        <v/>
      </c>
      <c r="CP642" s="77">
        <f>IF(ISNUMBER($T642),YEAR($T642),"")</f>
        <v/>
      </c>
      <c r="CQ642" s="79">
        <f>IF(ISNUMBER($V642),$V642,IF(ISNUMBER($U642),$U642,""))</f>
        <v/>
      </c>
      <c r="CR642" s="77">
        <f>IF(ISNUMBER($CQ642),YEAR($CQ642),"")</f>
        <v/>
      </c>
      <c r="CS642" s="78">
        <f>IF(ISNUMBER($M642),MAX(0,$M642),IF(TRIM($M642&amp;"")="matured",0,""))</f>
        <v/>
      </c>
      <c r="CT642" s="78">
        <f>IF(AND(ISNUMBER($CS642),N($CS642)&lt;=mMatWindow),1,0)</f>
        <v/>
      </c>
      <c r="CU642" s="80">
        <f>IF(ISNUMBER($J642),$J642/100,"")</f>
        <v/>
      </c>
      <c r="CV642" s="81">
        <f>IF(ISNUMBER($AQ642),$AQ642,"")</f>
        <v/>
      </c>
      <c r="CW642" s="81">
        <f>IF(ISNUMBER($AR642),$AR642,"")</f>
        <v/>
      </c>
      <c r="CX642" s="82">
        <f>IF(ISNUMBER($AS642),$AS642/100,"")</f>
        <v/>
      </c>
      <c r="CY642" s="82">
        <f>IF(ISNUMBER($AT642),$AT642/100,"")</f>
        <v/>
      </c>
      <c r="CZ642" s="82">
        <f>IF(ISNUMBER($AU642),$AU642/100,"")</f>
        <v/>
      </c>
      <c r="DA642" s="82">
        <f>IF(ISNUMBER($AV642),$AV642/100,"")</f>
        <v/>
      </c>
      <c r="DB642" s="82">
        <f>IF(ISNUMBER($AW642),$AW642/100,"")</f>
        <v/>
      </c>
      <c r="DC642" s="82">
        <f>IF(ISNUMBER($AX642),$AX642/100,"")</f>
        <v/>
      </c>
      <c r="DD642" s="77">
        <f>IFERROR(VALUE(LEFT(TRIM($AO642&amp;""),4)),"")</f>
        <v/>
      </c>
      <c r="DE642" s="78">
        <f>IF(AND($BY642=1,$BX642=1,OR(fDeal="All Deals",$BU642=fDeal),OR(fEntity="All Entities",$BV642=fEntity),OR(fPType="All Property Types",$BZ642=fPType),OR(fDefeased="Include",$CJ642=0)),1,0)</f>
        <v/>
      </c>
      <c r="DF642" s="83">
        <f>$DE642*N($I642)</f>
        <v/>
      </c>
      <c r="DG642" s="78">
        <f>IF($DE642=1,IF(COUNTIFS($F$8:$F642,$F642,$DE$8:$DE642,1)=1,1,0),0)</f>
        <v/>
      </c>
      <c r="DH642" s="83">
        <f>IF($DG642=1,SUMIFS($DF$8:$DF$1600,$F$8:$F$1600,$F642),0)</f>
        <v/>
      </c>
      <c r="DI642" s="78">
        <f>IF($DG642=1,COUNTIFS($F$8:$F$1600,$F642,$DE$8:$DE$1600,1),0)</f>
        <v/>
      </c>
      <c r="DJ642" s="84">
        <f>IF($DG642=1,$DH642+(100000-ROW())/mTieBreak,0)</f>
        <v/>
      </c>
    </row>
    <row r="643">
      <c r="B643" s="68" t="n">
        <v>3</v>
      </c>
      <c r="C643" s="69" t="inlineStr">
        <is>
          <t>CTG18C06</t>
        </is>
      </c>
      <c r="D643" s="69" t="inlineStr">
        <is>
          <t>3.000</t>
        </is>
      </c>
      <c r="E643" s="69" t="inlineStr">
        <is>
          <t>Cambridge Corporate Center</t>
        </is>
      </c>
      <c r="F643" s="69" t="inlineStr">
        <is>
          <t>LNCTG18C06-3.000</t>
        </is>
      </c>
      <c r="G643" s="70" t="n"/>
      <c r="H643" s="71" t="n">
        <v>43500000</v>
      </c>
      <c r="I643" s="71" t="n">
        <v>41854752.1400025</v>
      </c>
      <c r="J643" s="72" t="n">
        <v>5.4899</v>
      </c>
      <c r="K643" s="69" t="inlineStr">
        <is>
          <t>Fixed rate</t>
        </is>
      </c>
      <c r="L643" s="68" t="n">
        <v>120</v>
      </c>
      <c r="M643" s="68" t="n">
        <v>26</v>
      </c>
      <c r="N643" s="68" t="n">
        <v>420</v>
      </c>
      <c r="O643" s="68" t="n">
        <v>60</v>
      </c>
      <c r="P643" s="68" t="n">
        <v>0</v>
      </c>
      <c r="Q643" s="68" t="n">
        <v>94</v>
      </c>
      <c r="R643" s="69" t="inlineStr">
        <is>
          <t>IO then Amort</t>
        </is>
      </c>
      <c r="S643" s="69" t="inlineStr">
        <is>
          <t>No</t>
        </is>
      </c>
      <c r="T643" s="73" t="n">
        <v>43405</v>
      </c>
      <c r="U643" s="73" t="n">
        <v>47063</v>
      </c>
      <c r="V643" s="73" t="n"/>
      <c r="W643" s="69" t="inlineStr">
        <is>
          <t>30</t>
        </is>
      </c>
      <c r="X643" s="69" t="inlineStr">
        <is>
          <t>30-59 Days Delinquent</t>
        </is>
      </c>
      <c r="Y643" s="68" t="n">
        <v>1</v>
      </c>
      <c r="Z643" s="69" t="inlineStr">
        <is>
          <t>No Defeasance Occurred</t>
        </is>
      </c>
      <c r="AA643" s="69" t="inlineStr">
        <is>
          <t>Previously</t>
        </is>
      </c>
      <c r="AB643" s="69" t="inlineStr">
        <is>
          <t>Currently special serv</t>
        </is>
      </c>
      <c r="AC643" s="73" t="n">
        <v>46223</v>
      </c>
      <c r="AD643" s="69" t="inlineStr">
        <is>
          <t>Imminent Monetary Default (Balloon/Maturity Default)</t>
        </is>
      </c>
      <c r="AE643" s="69" t="inlineStr">
        <is>
          <t>TBD</t>
        </is>
      </c>
      <c r="AF643" s="69" t="inlineStr">
        <is>
          <t>NC</t>
        </is>
      </c>
      <c r="AG643" s="69" t="inlineStr">
        <is>
          <t>Charlotte</t>
        </is>
      </c>
      <c r="AH643" s="69" t="inlineStr">
        <is>
          <t>Charlotte-Concord-Gastonia, NC-SC</t>
        </is>
      </c>
      <c r="AI643" s="69" t="inlineStr">
        <is>
          <t>South / Atlantic</t>
        </is>
      </c>
      <c r="AJ643" s="69" t="inlineStr">
        <is>
          <t>OF</t>
        </is>
      </c>
      <c r="AK643" s="69" t="inlineStr">
        <is>
          <t>Suburban</t>
        </is>
      </c>
      <c r="AL643" s="68" t="n">
        <v>1</v>
      </c>
      <c r="AM643" s="68" t="n"/>
      <c r="AN643" s="68" t="n">
        <v>349823</v>
      </c>
      <c r="AO643" s="69" t="inlineStr">
        <is>
          <t>1990</t>
        </is>
      </c>
      <c r="AP643" s="70" t="n">
        <v>2016</v>
      </c>
      <c r="AQ643" s="74" t="n">
        <v>1.46</v>
      </c>
      <c r="AR643" s="74" t="n">
        <v>0.59</v>
      </c>
      <c r="AS643" s="74" t="n">
        <v>62.9</v>
      </c>
      <c r="AT643" s="74" t="n">
        <v>60.48</v>
      </c>
      <c r="AU643" s="74" t="n">
        <v>58.4</v>
      </c>
      <c r="AV643" s="74" t="n">
        <v>9.948617631999999</v>
      </c>
      <c r="AW643" s="74" t="n">
        <v>4.142048015</v>
      </c>
      <c r="AX643" s="75" t="n">
        <v>59</v>
      </c>
      <c r="AY643" s="71" t="n">
        <v>69200000</v>
      </c>
      <c r="AZ643" s="71" t="n">
        <v>69200000</v>
      </c>
      <c r="BA643" s="71" t="n">
        <v>4327648.67</v>
      </c>
      <c r="BB643" s="71" t="n">
        <v>436958.38</v>
      </c>
      <c r="BC643" s="69" t="inlineStr">
        <is>
          <t>Acquisition</t>
        </is>
      </c>
      <c r="BD643" s="69" t="inlineStr">
        <is>
          <t>N</t>
        </is>
      </c>
      <c r="BE643" s="71" t="n"/>
      <c r="BF643" s="71" t="n"/>
      <c r="BG643" s="71" t="n">
        <v>6900000</v>
      </c>
      <c r="BH643" s="71" t="n">
        <v>0</v>
      </c>
      <c r="BI643" s="71" t="n">
        <v>493244.74</v>
      </c>
      <c r="BJ643" s="69" t="inlineStr">
        <is>
          <t>N</t>
        </is>
      </c>
      <c r="BK643" s="69" t="inlineStr">
        <is>
          <t>General Motors</t>
        </is>
      </c>
      <c r="BL643" s="75" t="n">
        <v>27.24</v>
      </c>
      <c r="BM643" s="73" t="n">
        <v>46599</v>
      </c>
      <c r="BN643" s="69" t="inlineStr">
        <is>
          <t>Yeheskel Frankel and Arch Cambridge MM LLC</t>
        </is>
      </c>
      <c r="BO643" s="69" t="inlineStr">
        <is>
          <t>Citigroup Global Markets</t>
        </is>
      </c>
      <c r="BP643" s="69" t="inlineStr">
        <is>
          <t>TriMont Real Estate Advisors</t>
        </is>
      </c>
      <c r="BQ643" s="69" t="inlineStr">
        <is>
          <t>K-Star Asset Management LLC</t>
        </is>
      </c>
      <c r="BR643" s="69" t="n"/>
      <c r="BS643" s="73" t="n">
        <v>46273</v>
      </c>
      <c r="BU643" s="76">
        <f>IF($C643="","",IFERROR(INDEX(dmName,MATCH($C643,dmID,0)),"Unmapped"))</f>
        <v/>
      </c>
      <c r="BV643" s="76">
        <f>IF($C643="","",IFERROR(INDEX(dmEntity,MATCH($C643,dmID,0)),"Unmapped"))</f>
        <v/>
      </c>
      <c r="BW643" s="77">
        <f>IF($C643="","",IFERROR(INDEX(dmVintage,MATCH($C643,dmID,0)),""))</f>
        <v/>
      </c>
      <c r="BX643" s="78">
        <f>IFERROR(INDEX(dmInclude,MATCH($C643,dmID,0)),0)</f>
        <v/>
      </c>
      <c r="BY643" s="78">
        <f>IF(N($I643)&gt;0,1,0)</f>
        <v/>
      </c>
      <c r="BZ643" s="76">
        <f>IF($AJ643="","Other / Leased Fee",IFERROR(INDEX(mapPTGroup,MATCH(LEFT(TRIM($AJ643),2),mapPTCode,0)),"Other / Leased Fee"))</f>
        <v/>
      </c>
      <c r="CA643" s="76">
        <f>IF(TRIM($AF643&amp;"")="","NR",LEFT(TRIM($AF643),2))</f>
        <v/>
      </c>
      <c r="CB643" s="76">
        <f>IFERROR(LOOKUP(2,1/(LEFT(TRIM($AI643&amp;""),LEN(mapRegion))=mapRegion),mapRegion),"Not Reported")</f>
        <v/>
      </c>
      <c r="CC643" s="76">
        <f>IF($BY643=0,"",IF(TRIM($W643&amp;"")="REO","REO",IF(TRIM($W643&amp;"")="FC","Foreclosure",IF(TRIM($W643&amp;"")="90+","90+ Days Delinquent",IF(TRIM($W643&amp;"")="60","60 Days Delinquent",IF(TRIM($W643&amp;"")="30","30 Days Delinquent",IF($X643="Non-Performing Matured Balloon","Non-Performing Matured Balloon",IF(OR($X643="Late Payment But Less Than 30 Days Delinquent",LEFT($X643&amp;"",20)="Payment Not Received"),"Late / In Grace (&lt;30 Days)",IF($X643="Performing Matured Balloon","Performing Matured Balloon","Current")))))))))</f>
        <v/>
      </c>
      <c r="CD643" s="78">
        <f>IF(OR($CC643="REO",$CC643="Foreclosure",$CC643="90+ Days Delinquent",$CC643="60 Days Delinquent",$CC643="30 Days Delinquent",$CC643="Non-Performing Matured Balloon"),1,0)</f>
        <v/>
      </c>
      <c r="CE643" s="76">
        <f>IF($AB643="Currently special serv","Currently Specially Serviced",IF($AB643="Returned to master serv","Previously Specially Serviced","Never Specially Serviced"))</f>
        <v/>
      </c>
      <c r="CF643" s="78">
        <f>IF($CE643="Currently Specially Serviced",1,0)</f>
        <v/>
      </c>
      <c r="CG643" s="76">
        <f>IF($AA643="Yes","Currently on Watchlist",IF($AA643="Previously","Previously on Watchlist","Never on Watchlist"))</f>
        <v/>
      </c>
      <c r="CH643" s="78">
        <f>IF($CG643="Currently on Watchlist",1,0)</f>
        <v/>
      </c>
      <c r="CI643" s="76">
        <f>IF($Z643="Full Defeasance","Fully Defeased",IF($Z643="Portion Of Loan Previously Defeased","Partially Defeased",IF($Z643="Defeasance Not Allowable","Not Defeased (Not Permitted)","Not Defeased")))</f>
        <v/>
      </c>
      <c r="CJ643" s="78">
        <f>IF($CI643="Fully Defeased",1,0)</f>
        <v/>
      </c>
      <c r="CK643" s="76">
        <f>IF($R643="IO","Full IO",IF(LEFT($R643&amp;"",7)="IO then","Partial IO","Amortizing"))</f>
        <v/>
      </c>
      <c r="CL643" s="78">
        <f>IF($CK643="Full IO",1,0)</f>
        <v/>
      </c>
      <c r="CM643" s="78">
        <f>IF($CK643="Partial IO",1,0)</f>
        <v/>
      </c>
      <c r="CN643" s="76">
        <f>IF(LEFT($F643&amp;"",10)="SPLIT_LOAN","Pari Passu Split","Standalone")</f>
        <v/>
      </c>
      <c r="CO643" s="78">
        <f>IF($CN643="Pari Passu Split",1,0)</f>
        <v/>
      </c>
      <c r="CP643" s="77">
        <f>IF(ISNUMBER($T643),YEAR($T643),"")</f>
        <v/>
      </c>
      <c r="CQ643" s="79">
        <f>IF(ISNUMBER($V643),$V643,IF(ISNUMBER($U643),$U643,""))</f>
        <v/>
      </c>
      <c r="CR643" s="77">
        <f>IF(ISNUMBER($CQ643),YEAR($CQ643),"")</f>
        <v/>
      </c>
      <c r="CS643" s="78">
        <f>IF(ISNUMBER($M643),MAX(0,$M643),IF(TRIM($M643&amp;"")="matured",0,""))</f>
        <v/>
      </c>
      <c r="CT643" s="78">
        <f>IF(AND(ISNUMBER($CS643),N($CS643)&lt;=mMatWindow),1,0)</f>
        <v/>
      </c>
      <c r="CU643" s="80">
        <f>IF(ISNUMBER($J643),$J643/100,"")</f>
        <v/>
      </c>
      <c r="CV643" s="81">
        <f>IF(ISNUMBER($AQ643),$AQ643,"")</f>
        <v/>
      </c>
      <c r="CW643" s="81">
        <f>IF(ISNUMBER($AR643),$AR643,"")</f>
        <v/>
      </c>
      <c r="CX643" s="82">
        <f>IF(ISNUMBER($AS643),$AS643/100,"")</f>
        <v/>
      </c>
      <c r="CY643" s="82">
        <f>IF(ISNUMBER($AT643),$AT643/100,"")</f>
        <v/>
      </c>
      <c r="CZ643" s="82">
        <f>IF(ISNUMBER($AU643),$AU643/100,"")</f>
        <v/>
      </c>
      <c r="DA643" s="82">
        <f>IF(ISNUMBER($AV643),$AV643/100,"")</f>
        <v/>
      </c>
      <c r="DB643" s="82">
        <f>IF(ISNUMBER($AW643),$AW643/100,"")</f>
        <v/>
      </c>
      <c r="DC643" s="82">
        <f>IF(ISNUMBER($AX643),$AX643/100,"")</f>
        <v/>
      </c>
      <c r="DD643" s="77">
        <f>IFERROR(VALUE(LEFT(TRIM($AO643&amp;""),4)),"")</f>
        <v/>
      </c>
      <c r="DE643" s="78">
        <f>IF(AND($BY643=1,$BX643=1,OR(fDeal="All Deals",$BU643=fDeal),OR(fEntity="All Entities",$BV643=fEntity),OR(fPType="All Property Types",$BZ643=fPType),OR(fDefeased="Include",$CJ643=0)),1,0)</f>
        <v/>
      </c>
      <c r="DF643" s="83">
        <f>$DE643*N($I643)</f>
        <v/>
      </c>
      <c r="DG643" s="78">
        <f>IF($DE643=1,IF(COUNTIFS($F$8:$F643,$F643,$DE$8:$DE643,1)=1,1,0),0)</f>
        <v/>
      </c>
      <c r="DH643" s="83">
        <f>IF($DG643=1,SUMIFS($DF$8:$DF$1600,$F$8:$F$1600,$F643),0)</f>
        <v/>
      </c>
      <c r="DI643" s="78">
        <f>IF($DG643=1,COUNTIFS($F$8:$F$1600,$F643,$DE$8:$DE$1600,1),0)</f>
        <v/>
      </c>
      <c r="DJ643" s="84">
        <f>IF($DG643=1,$DH643+(100000-ROW())/mTieBreak,0)</f>
        <v/>
      </c>
    </row>
    <row r="644">
      <c r="B644" s="68" t="n">
        <v>4</v>
      </c>
      <c r="C644" s="69" t="inlineStr">
        <is>
          <t>CTG18C06</t>
        </is>
      </c>
      <c r="D644" s="69" t="inlineStr">
        <is>
          <t>4.000</t>
        </is>
      </c>
      <c r="E644" s="69" t="inlineStr">
        <is>
          <t>Woodlands Square</t>
        </is>
      </c>
      <c r="F644" s="69" t="inlineStr">
        <is>
          <t>LNCTG18C06-4.000</t>
        </is>
      </c>
      <c r="G644" s="70" t="n"/>
      <c r="H644" s="71" t="n">
        <v>42250000</v>
      </c>
      <c r="I644" s="71" t="n">
        <v>42250000</v>
      </c>
      <c r="J644" s="72" t="n">
        <v>4.75</v>
      </c>
      <c r="K644" s="69" t="inlineStr">
        <is>
          <t>Fixed rate</t>
        </is>
      </c>
      <c r="L644" s="68" t="n">
        <v>120</v>
      </c>
      <c r="M644" s="68" t="n">
        <v>26</v>
      </c>
      <c r="N644" s="68" t="n">
        <v>120</v>
      </c>
      <c r="O644" s="68" t="n">
        <v>120</v>
      </c>
      <c r="P644" s="68" t="n">
        <v>26</v>
      </c>
      <c r="Q644" s="68" t="n">
        <v>94</v>
      </c>
      <c r="R644" s="69" t="inlineStr">
        <is>
          <t>IO</t>
        </is>
      </c>
      <c r="S644" s="69" t="inlineStr">
        <is>
          <t>Yes</t>
        </is>
      </c>
      <c r="T644" s="73" t="n">
        <v>43405</v>
      </c>
      <c r="U644" s="73" t="n">
        <v>47063</v>
      </c>
      <c r="V644" s="73" t="n"/>
      <c r="W644" s="69" t="n"/>
      <c r="X644" s="69" t="inlineStr">
        <is>
          <t>Current</t>
        </is>
      </c>
      <c r="Y644" s="68" t="n"/>
      <c r="Z644" s="69" t="inlineStr">
        <is>
          <t>No Defeasance Occurred</t>
        </is>
      </c>
      <c r="AA644" s="69" t="inlineStr">
        <is>
          <t>Previously</t>
        </is>
      </c>
      <c r="AB644" s="69" t="inlineStr">
        <is>
          <t>Never special serv</t>
        </is>
      </c>
      <c r="AC644" s="73" t="n"/>
      <c r="AD644" s="69" t="n"/>
      <c r="AE644" s="69" t="n"/>
      <c r="AF644" s="69" t="inlineStr">
        <is>
          <t>FL</t>
        </is>
      </c>
      <c r="AG644" s="69" t="inlineStr">
        <is>
          <t>Oldsmar</t>
        </is>
      </c>
      <c r="AH644" s="69" t="inlineStr">
        <is>
          <t>Tampa-St. Petersburg-Clearwater, FL</t>
        </is>
      </c>
      <c r="AI644" s="69" t="inlineStr">
        <is>
          <t>South / Atlantic</t>
        </is>
      </c>
      <c r="AJ644" s="69" t="inlineStr">
        <is>
          <t>RT</t>
        </is>
      </c>
      <c r="AK644" s="69" t="inlineStr">
        <is>
          <t>Anchored</t>
        </is>
      </c>
      <c r="AL644" s="68" t="n">
        <v>1</v>
      </c>
      <c r="AM644" s="68" t="n"/>
      <c r="AN644" s="68" t="n">
        <v>308712</v>
      </c>
      <c r="AO644" s="69" t="inlineStr">
        <is>
          <t>1992</t>
        </is>
      </c>
      <c r="AP644" s="70" t="n">
        <v>2017</v>
      </c>
      <c r="AQ644" s="74" t="n">
        <v>2.24</v>
      </c>
      <c r="AR644" s="74" t="n">
        <v>2</v>
      </c>
      <c r="AS644" s="74" t="n">
        <v>62.59</v>
      </c>
      <c r="AT644" s="74" t="n">
        <v>62.59</v>
      </c>
      <c r="AU644" s="74" t="n">
        <v>62.59</v>
      </c>
      <c r="AV644" s="74" t="n">
        <v>10.804087574</v>
      </c>
      <c r="AW644" s="74" t="n">
        <v>9.614125515</v>
      </c>
      <c r="AX644" s="75" t="n">
        <v>86</v>
      </c>
      <c r="AY644" s="71" t="n">
        <v>67500000</v>
      </c>
      <c r="AZ644" s="71" t="n">
        <v>67500000</v>
      </c>
      <c r="BA644" s="71" t="n">
        <v>4564727</v>
      </c>
      <c r="BB644" s="71" t="n">
        <v>2025647.65</v>
      </c>
      <c r="BC644" s="69" t="inlineStr">
        <is>
          <t>Acquisition</t>
        </is>
      </c>
      <c r="BD644" s="69" t="inlineStr">
        <is>
          <t>N</t>
        </is>
      </c>
      <c r="BE644" s="71" t="n"/>
      <c r="BF644" s="71" t="n"/>
      <c r="BG644" s="71" t="n"/>
      <c r="BH644" s="71" t="n">
        <v>0</v>
      </c>
      <c r="BI644" s="71" t="n">
        <v>0</v>
      </c>
      <c r="BJ644" s="69" t="inlineStr">
        <is>
          <t>N</t>
        </is>
      </c>
      <c r="BK644" s="69" t="inlineStr">
        <is>
          <t>Bealls Department Stores  Inc</t>
        </is>
      </c>
      <c r="BL644" s="75" t="n">
        <v>27.26</v>
      </c>
      <c r="BM644" s="73" t="n">
        <v>47118</v>
      </c>
      <c r="BN644" s="69" t="inlineStr">
        <is>
          <t>J. Kenneth Dunn</t>
        </is>
      </c>
      <c r="BO644" s="69" t="inlineStr">
        <is>
          <t>RMF</t>
        </is>
      </c>
      <c r="BP644" s="69" t="inlineStr">
        <is>
          <t>TriMont Real Estate Advisors</t>
        </is>
      </c>
      <c r="BQ644" s="69" t="inlineStr">
        <is>
          <t>K-Star Asset Management LLC</t>
        </is>
      </c>
      <c r="BR644" s="69" t="n"/>
      <c r="BS644" s="73" t="n">
        <v>46273</v>
      </c>
      <c r="BU644" s="76">
        <f>IF($C644="","",IFERROR(INDEX(dmName,MATCH($C644,dmID,0)),"Unmapped"))</f>
        <v/>
      </c>
      <c r="BV644" s="76">
        <f>IF($C644="","",IFERROR(INDEX(dmEntity,MATCH($C644,dmID,0)),"Unmapped"))</f>
        <v/>
      </c>
      <c r="BW644" s="77">
        <f>IF($C644="","",IFERROR(INDEX(dmVintage,MATCH($C644,dmID,0)),""))</f>
        <v/>
      </c>
      <c r="BX644" s="78">
        <f>IFERROR(INDEX(dmInclude,MATCH($C644,dmID,0)),0)</f>
        <v/>
      </c>
      <c r="BY644" s="78">
        <f>IF(N($I644)&gt;0,1,0)</f>
        <v/>
      </c>
      <c r="BZ644" s="76">
        <f>IF($AJ644="","Other / Leased Fee",IFERROR(INDEX(mapPTGroup,MATCH(LEFT(TRIM($AJ644),2),mapPTCode,0)),"Other / Leased Fee"))</f>
        <v/>
      </c>
      <c r="CA644" s="76">
        <f>IF(TRIM($AF644&amp;"")="","NR",LEFT(TRIM($AF644),2))</f>
        <v/>
      </c>
      <c r="CB644" s="76">
        <f>IFERROR(LOOKUP(2,1/(LEFT(TRIM($AI644&amp;""),LEN(mapRegion))=mapRegion),mapRegion),"Not Reported")</f>
        <v/>
      </c>
      <c r="CC644" s="76">
        <f>IF($BY644=0,"",IF(TRIM($W644&amp;"")="REO","REO",IF(TRIM($W644&amp;"")="FC","Foreclosure",IF(TRIM($W644&amp;"")="90+","90+ Days Delinquent",IF(TRIM($W644&amp;"")="60","60 Days Delinquent",IF(TRIM($W644&amp;"")="30","30 Days Delinquent",IF($X644="Non-Performing Matured Balloon","Non-Performing Matured Balloon",IF(OR($X644="Late Payment But Less Than 30 Days Delinquent",LEFT($X644&amp;"",20)="Payment Not Received"),"Late / In Grace (&lt;30 Days)",IF($X644="Performing Matured Balloon","Performing Matured Balloon","Current")))))))))</f>
        <v/>
      </c>
      <c r="CD644" s="78">
        <f>IF(OR($CC644="REO",$CC644="Foreclosure",$CC644="90+ Days Delinquent",$CC644="60 Days Delinquent",$CC644="30 Days Delinquent",$CC644="Non-Performing Matured Balloon"),1,0)</f>
        <v/>
      </c>
      <c r="CE644" s="76">
        <f>IF($AB644="Currently special serv","Currently Specially Serviced",IF($AB644="Returned to master serv","Previously Specially Serviced","Never Specially Serviced"))</f>
        <v/>
      </c>
      <c r="CF644" s="78">
        <f>IF($CE644="Currently Specially Serviced",1,0)</f>
        <v/>
      </c>
      <c r="CG644" s="76">
        <f>IF($AA644="Yes","Currently on Watchlist",IF($AA644="Previously","Previously on Watchlist","Never on Watchlist"))</f>
        <v/>
      </c>
      <c r="CH644" s="78">
        <f>IF($CG644="Currently on Watchlist",1,0)</f>
        <v/>
      </c>
      <c r="CI644" s="76">
        <f>IF($Z644="Full Defeasance","Fully Defeased",IF($Z644="Portion Of Loan Previously Defeased","Partially Defeased",IF($Z644="Defeasance Not Allowable","Not Defeased (Not Permitted)","Not Defeased")))</f>
        <v/>
      </c>
      <c r="CJ644" s="78">
        <f>IF($CI644="Fully Defeased",1,0)</f>
        <v/>
      </c>
      <c r="CK644" s="76">
        <f>IF($R644="IO","Full IO",IF(LEFT($R644&amp;"",7)="IO then","Partial IO","Amortizing"))</f>
        <v/>
      </c>
      <c r="CL644" s="78">
        <f>IF($CK644="Full IO",1,0)</f>
        <v/>
      </c>
      <c r="CM644" s="78">
        <f>IF($CK644="Partial IO",1,0)</f>
        <v/>
      </c>
      <c r="CN644" s="76">
        <f>IF(LEFT($F644&amp;"",10)="SPLIT_LOAN","Pari Passu Split","Standalone")</f>
        <v/>
      </c>
      <c r="CO644" s="78">
        <f>IF($CN644="Pari Passu Split",1,0)</f>
        <v/>
      </c>
      <c r="CP644" s="77">
        <f>IF(ISNUMBER($T644),YEAR($T644),"")</f>
        <v/>
      </c>
      <c r="CQ644" s="79">
        <f>IF(ISNUMBER($V644),$V644,IF(ISNUMBER($U644),$U644,""))</f>
        <v/>
      </c>
      <c r="CR644" s="77">
        <f>IF(ISNUMBER($CQ644),YEAR($CQ644),"")</f>
        <v/>
      </c>
      <c r="CS644" s="78">
        <f>IF(ISNUMBER($M644),MAX(0,$M644),IF(TRIM($M644&amp;"")="matured",0,""))</f>
        <v/>
      </c>
      <c r="CT644" s="78">
        <f>IF(AND(ISNUMBER($CS644),N($CS644)&lt;=mMatWindow),1,0)</f>
        <v/>
      </c>
      <c r="CU644" s="80">
        <f>IF(ISNUMBER($J644),$J644/100,"")</f>
        <v/>
      </c>
      <c r="CV644" s="81">
        <f>IF(ISNUMBER($AQ644),$AQ644,"")</f>
        <v/>
      </c>
      <c r="CW644" s="81">
        <f>IF(ISNUMBER($AR644),$AR644,"")</f>
        <v/>
      </c>
      <c r="CX644" s="82">
        <f>IF(ISNUMBER($AS644),$AS644/100,"")</f>
        <v/>
      </c>
      <c r="CY644" s="82">
        <f>IF(ISNUMBER($AT644),$AT644/100,"")</f>
        <v/>
      </c>
      <c r="CZ644" s="82">
        <f>IF(ISNUMBER($AU644),$AU644/100,"")</f>
        <v/>
      </c>
      <c r="DA644" s="82">
        <f>IF(ISNUMBER($AV644),$AV644/100,"")</f>
        <v/>
      </c>
      <c r="DB644" s="82">
        <f>IF(ISNUMBER($AW644),$AW644/100,"")</f>
        <v/>
      </c>
      <c r="DC644" s="82">
        <f>IF(ISNUMBER($AX644),$AX644/100,"")</f>
        <v/>
      </c>
      <c r="DD644" s="77">
        <f>IFERROR(VALUE(LEFT(TRIM($AO644&amp;""),4)),"")</f>
        <v/>
      </c>
      <c r="DE644" s="78">
        <f>IF(AND($BY644=1,$BX644=1,OR(fDeal="All Deals",$BU644=fDeal),OR(fEntity="All Entities",$BV644=fEntity),OR(fPType="All Property Types",$BZ644=fPType),OR(fDefeased="Include",$CJ644=0)),1,0)</f>
        <v/>
      </c>
      <c r="DF644" s="83">
        <f>$DE644*N($I644)</f>
        <v/>
      </c>
      <c r="DG644" s="78">
        <f>IF($DE644=1,IF(COUNTIFS($F$8:$F644,$F644,$DE$8:$DE644,1)=1,1,0),0)</f>
        <v/>
      </c>
      <c r="DH644" s="83">
        <f>IF($DG644=1,SUMIFS($DF$8:$DF$1600,$F$8:$F$1600,$F644),0)</f>
        <v/>
      </c>
      <c r="DI644" s="78">
        <f>IF($DG644=1,COUNTIFS($F$8:$F$1600,$F644,$DE$8:$DE$1600,1),0)</f>
        <v/>
      </c>
      <c r="DJ644" s="84">
        <f>IF($DG644=1,$DH644+(100000-ROW())/mTieBreak,0)</f>
        <v/>
      </c>
    </row>
    <row r="645">
      <c r="B645" s="68" t="n">
        <v>5</v>
      </c>
      <c r="C645" s="69" t="inlineStr">
        <is>
          <t>CTG18C06</t>
        </is>
      </c>
      <c r="D645" s="69" t="inlineStr">
        <is>
          <t>5.000</t>
        </is>
      </c>
      <c r="E645" s="69" t="inlineStr">
        <is>
          <t>Phoenix Marriott Tempe at the Buttes</t>
        </is>
      </c>
      <c r="F645" s="69" t="inlineStr">
        <is>
          <t>SPLIT_LOAN_01387</t>
        </is>
      </c>
      <c r="G645" s="70" t="n">
        <v>1387</v>
      </c>
      <c r="H645" s="71" t="n">
        <v>40500000</v>
      </c>
      <c r="I645" s="71" t="n">
        <v>35211237.530013</v>
      </c>
      <c r="J645" s="72" t="n">
        <v>5.11</v>
      </c>
      <c r="K645" s="69" t="inlineStr">
        <is>
          <t>Fixed rate</t>
        </is>
      </c>
      <c r="L645" s="68" t="n">
        <v>120</v>
      </c>
      <c r="M645" s="68" t="n">
        <v>25</v>
      </c>
      <c r="N645" s="68" t="n">
        <v>360</v>
      </c>
      <c r="O645" s="68" t="n"/>
      <c r="P645" s="68" t="n"/>
      <c r="Q645" s="68" t="n">
        <v>95</v>
      </c>
      <c r="R645" s="69" t="n"/>
      <c r="S645" s="69" t="inlineStr">
        <is>
          <t>No</t>
        </is>
      </c>
      <c r="T645" s="73" t="n">
        <v>43374</v>
      </c>
      <c r="U645" s="73" t="n">
        <v>47032</v>
      </c>
      <c r="V645" s="73" t="n"/>
      <c r="W645" s="69" t="n"/>
      <c r="X645" s="69" t="inlineStr">
        <is>
          <t>Current</t>
        </is>
      </c>
      <c r="Y645" s="68" t="n"/>
      <c r="Z645" s="69" t="inlineStr">
        <is>
          <t>No Defeasance Occurred</t>
        </is>
      </c>
      <c r="AA645" s="69" t="inlineStr">
        <is>
          <t>Previously</t>
        </is>
      </c>
      <c r="AB645" s="69" t="inlineStr">
        <is>
          <t>Never special serv</t>
        </is>
      </c>
      <c r="AC645" s="73" t="n"/>
      <c r="AD645" s="69" t="n"/>
      <c r="AE645" s="69" t="n"/>
      <c r="AF645" s="69" t="inlineStr">
        <is>
          <t>AZ</t>
        </is>
      </c>
      <c r="AG645" s="69" t="inlineStr">
        <is>
          <t>Tempe</t>
        </is>
      </c>
      <c r="AH645" s="69" t="inlineStr">
        <is>
          <t>Phoenix-Mesa-Chandler, AZ</t>
        </is>
      </c>
      <c r="AI645" s="69" t="inlineStr">
        <is>
          <t>West / Mountain</t>
        </is>
      </c>
      <c r="AJ645" s="69" t="inlineStr">
        <is>
          <t>HT</t>
        </is>
      </c>
      <c r="AK645" s="69" t="inlineStr">
        <is>
          <t>Full Service</t>
        </is>
      </c>
      <c r="AL645" s="68" t="n">
        <v>1</v>
      </c>
      <c r="AM645" s="68" t="n">
        <v>353</v>
      </c>
      <c r="AN645" s="68" t="n"/>
      <c r="AO645" s="69" t="inlineStr">
        <is>
          <t>1987</t>
        </is>
      </c>
      <c r="AP645" s="70" t="n">
        <v>2017</v>
      </c>
      <c r="AQ645" s="74" t="n">
        <v>1.67</v>
      </c>
      <c r="AR645" s="74" t="n">
        <v>2.9</v>
      </c>
      <c r="AS645" s="74" t="n">
        <v>67.59</v>
      </c>
      <c r="AT645" s="74" t="n">
        <v>58.89</v>
      </c>
      <c r="AU645" s="74" t="n">
        <v>55.89</v>
      </c>
      <c r="AV645" s="74" t="n">
        <v>10.898136</v>
      </c>
      <c r="AW645" s="74" t="n">
        <v>17.575330816</v>
      </c>
      <c r="AX645" s="75" t="n">
        <v>65</v>
      </c>
      <c r="AY645" s="71" t="n">
        <v>96700000</v>
      </c>
      <c r="AZ645" s="71" t="n">
        <v>96700000</v>
      </c>
      <c r="BA645" s="71" t="n">
        <v>7138279.08</v>
      </c>
      <c r="BB645" s="71" t="n">
        <v>12403794.75</v>
      </c>
      <c r="BC645" s="69" t="inlineStr">
        <is>
          <t>Refinance</t>
        </is>
      </c>
      <c r="BD645" s="69" t="inlineStr">
        <is>
          <t>Y</t>
        </is>
      </c>
      <c r="BE645" s="71" t="n">
        <v>21735331.81</v>
      </c>
      <c r="BF645" s="71" t="n"/>
      <c r="BG645" s="71" t="n"/>
      <c r="BH645" s="71" t="n">
        <v>0</v>
      </c>
      <c r="BI645" s="71" t="n">
        <v>0</v>
      </c>
      <c r="BJ645" s="69" t="inlineStr">
        <is>
          <t>Y</t>
        </is>
      </c>
      <c r="BK645" s="69" t="n"/>
      <c r="BL645" s="75" t="n"/>
      <c r="BM645" s="73" t="n"/>
      <c r="BN645" s="69" t="inlineStr">
        <is>
          <t>William J. Yung III</t>
        </is>
      </c>
      <c r="BO645" s="69" t="inlineStr">
        <is>
          <t>Citigroup Global Markets</t>
        </is>
      </c>
      <c r="BP645" s="69" t="inlineStr">
        <is>
          <t>TriMont Real Estate Advisors</t>
        </is>
      </c>
      <c r="BQ645" s="69" t="inlineStr">
        <is>
          <t>K-Star Asset Management LLC</t>
        </is>
      </c>
      <c r="BR645" s="69" t="n"/>
      <c r="BS645" s="73" t="n">
        <v>46273</v>
      </c>
      <c r="BU645" s="76">
        <f>IF($C645="","",IFERROR(INDEX(dmName,MATCH($C645,dmID,0)),"Unmapped"))</f>
        <v/>
      </c>
      <c r="BV645" s="76">
        <f>IF($C645="","",IFERROR(INDEX(dmEntity,MATCH($C645,dmID,0)),"Unmapped"))</f>
        <v/>
      </c>
      <c r="BW645" s="77">
        <f>IF($C645="","",IFERROR(INDEX(dmVintage,MATCH($C645,dmID,0)),""))</f>
        <v/>
      </c>
      <c r="BX645" s="78">
        <f>IFERROR(INDEX(dmInclude,MATCH($C645,dmID,0)),0)</f>
        <v/>
      </c>
      <c r="BY645" s="78">
        <f>IF(N($I645)&gt;0,1,0)</f>
        <v/>
      </c>
      <c r="BZ645" s="76">
        <f>IF($AJ645="","Other / Leased Fee",IFERROR(INDEX(mapPTGroup,MATCH(LEFT(TRIM($AJ645),2),mapPTCode,0)),"Other / Leased Fee"))</f>
        <v/>
      </c>
      <c r="CA645" s="76">
        <f>IF(TRIM($AF645&amp;"")="","NR",LEFT(TRIM($AF645),2))</f>
        <v/>
      </c>
      <c r="CB645" s="76">
        <f>IFERROR(LOOKUP(2,1/(LEFT(TRIM($AI645&amp;""),LEN(mapRegion))=mapRegion),mapRegion),"Not Reported")</f>
        <v/>
      </c>
      <c r="CC645" s="76">
        <f>IF($BY645=0,"",IF(TRIM($W645&amp;"")="REO","REO",IF(TRIM($W645&amp;"")="FC","Foreclosure",IF(TRIM($W645&amp;"")="90+","90+ Days Delinquent",IF(TRIM($W645&amp;"")="60","60 Days Delinquent",IF(TRIM($W645&amp;"")="30","30 Days Delinquent",IF($X645="Non-Performing Matured Balloon","Non-Performing Matured Balloon",IF(OR($X645="Late Payment But Less Than 30 Days Delinquent",LEFT($X645&amp;"",20)="Payment Not Received"),"Late / In Grace (&lt;30 Days)",IF($X645="Performing Matured Balloon","Performing Matured Balloon","Current")))))))))</f>
        <v/>
      </c>
      <c r="CD645" s="78">
        <f>IF(OR($CC645="REO",$CC645="Foreclosure",$CC645="90+ Days Delinquent",$CC645="60 Days Delinquent",$CC645="30 Days Delinquent",$CC645="Non-Performing Matured Balloon"),1,0)</f>
        <v/>
      </c>
      <c r="CE645" s="76">
        <f>IF($AB645="Currently special serv","Currently Specially Serviced",IF($AB645="Returned to master serv","Previously Specially Serviced","Never Specially Serviced"))</f>
        <v/>
      </c>
      <c r="CF645" s="78">
        <f>IF($CE645="Currently Specially Serviced",1,0)</f>
        <v/>
      </c>
      <c r="CG645" s="76">
        <f>IF($AA645="Yes","Currently on Watchlist",IF($AA645="Previously","Previously on Watchlist","Never on Watchlist"))</f>
        <v/>
      </c>
      <c r="CH645" s="78">
        <f>IF($CG645="Currently on Watchlist",1,0)</f>
        <v/>
      </c>
      <c r="CI645" s="76">
        <f>IF($Z645="Full Defeasance","Fully Defeased",IF($Z645="Portion Of Loan Previously Defeased","Partially Defeased",IF($Z645="Defeasance Not Allowable","Not Defeased (Not Permitted)","Not Defeased")))</f>
        <v/>
      </c>
      <c r="CJ645" s="78">
        <f>IF($CI645="Fully Defeased",1,0)</f>
        <v/>
      </c>
      <c r="CK645" s="76">
        <f>IF($R645="IO","Full IO",IF(LEFT($R645&amp;"",7)="IO then","Partial IO","Amortizing"))</f>
        <v/>
      </c>
      <c r="CL645" s="78">
        <f>IF($CK645="Full IO",1,0)</f>
        <v/>
      </c>
      <c r="CM645" s="78">
        <f>IF($CK645="Partial IO",1,0)</f>
        <v/>
      </c>
      <c r="CN645" s="76">
        <f>IF(LEFT($F645&amp;"",10)="SPLIT_LOAN","Pari Passu Split","Standalone")</f>
        <v/>
      </c>
      <c r="CO645" s="78">
        <f>IF($CN645="Pari Passu Split",1,0)</f>
        <v/>
      </c>
      <c r="CP645" s="77">
        <f>IF(ISNUMBER($T645),YEAR($T645),"")</f>
        <v/>
      </c>
      <c r="CQ645" s="79">
        <f>IF(ISNUMBER($V645),$V645,IF(ISNUMBER($U645),$U645,""))</f>
        <v/>
      </c>
      <c r="CR645" s="77">
        <f>IF(ISNUMBER($CQ645),YEAR($CQ645),"")</f>
        <v/>
      </c>
      <c r="CS645" s="78">
        <f>IF(ISNUMBER($M645),MAX(0,$M645),IF(TRIM($M645&amp;"")="matured",0,""))</f>
        <v/>
      </c>
      <c r="CT645" s="78">
        <f>IF(AND(ISNUMBER($CS645),N($CS645)&lt;=mMatWindow),1,0)</f>
        <v/>
      </c>
      <c r="CU645" s="80">
        <f>IF(ISNUMBER($J645),$J645/100,"")</f>
        <v/>
      </c>
      <c r="CV645" s="81">
        <f>IF(ISNUMBER($AQ645),$AQ645,"")</f>
        <v/>
      </c>
      <c r="CW645" s="81">
        <f>IF(ISNUMBER($AR645),$AR645,"")</f>
        <v/>
      </c>
      <c r="CX645" s="82">
        <f>IF(ISNUMBER($AS645),$AS645/100,"")</f>
        <v/>
      </c>
      <c r="CY645" s="82">
        <f>IF(ISNUMBER($AT645),$AT645/100,"")</f>
        <v/>
      </c>
      <c r="CZ645" s="82">
        <f>IF(ISNUMBER($AU645),$AU645/100,"")</f>
        <v/>
      </c>
      <c r="DA645" s="82">
        <f>IF(ISNUMBER($AV645),$AV645/100,"")</f>
        <v/>
      </c>
      <c r="DB645" s="82">
        <f>IF(ISNUMBER($AW645),$AW645/100,"")</f>
        <v/>
      </c>
      <c r="DC645" s="82">
        <f>IF(ISNUMBER($AX645),$AX645/100,"")</f>
        <v/>
      </c>
      <c r="DD645" s="77">
        <f>IFERROR(VALUE(LEFT(TRIM($AO645&amp;""),4)),"")</f>
        <v/>
      </c>
      <c r="DE645" s="78">
        <f>IF(AND($BY645=1,$BX645=1,OR(fDeal="All Deals",$BU645=fDeal),OR(fEntity="All Entities",$BV645=fEntity),OR(fPType="All Property Types",$BZ645=fPType),OR(fDefeased="Include",$CJ645=0)),1,0)</f>
        <v/>
      </c>
      <c r="DF645" s="83">
        <f>$DE645*N($I645)</f>
        <v/>
      </c>
      <c r="DG645" s="78">
        <f>IF($DE645=1,IF(COUNTIFS($F$8:$F645,$F645,$DE$8:$DE645,1)=1,1,0),0)</f>
        <v/>
      </c>
      <c r="DH645" s="83">
        <f>IF($DG645=1,SUMIFS($DF$8:$DF$1600,$F$8:$F$1600,$F645),0)</f>
        <v/>
      </c>
      <c r="DI645" s="78">
        <f>IF($DG645=1,COUNTIFS($F$8:$F$1600,$F645,$DE$8:$DE$1600,1),0)</f>
        <v/>
      </c>
      <c r="DJ645" s="84">
        <f>IF($DG645=1,$DH645+(100000-ROW())/mTieBreak,0)</f>
        <v/>
      </c>
    </row>
    <row r="646">
      <c r="B646" s="68" t="n">
        <v>6</v>
      </c>
      <c r="C646" s="69" t="inlineStr">
        <is>
          <t>CTG18C06</t>
        </is>
      </c>
      <c r="D646" s="69" t="inlineStr">
        <is>
          <t>6.000</t>
        </is>
      </c>
      <c r="E646" s="69" t="inlineStr">
        <is>
          <t>Optimum Portfolio - Group B</t>
        </is>
      </c>
      <c r="F646" s="69" t="inlineStr">
        <is>
          <t>LNCTG18C06-6.000</t>
        </is>
      </c>
      <c r="G646" s="70" t="n"/>
      <c r="H646" s="71" t="n">
        <v>33855066</v>
      </c>
      <c r="I646" s="71" t="n">
        <v>33855066</v>
      </c>
      <c r="J646" s="72" t="n">
        <v>5.34</v>
      </c>
      <c r="K646" s="69" t="inlineStr">
        <is>
          <t>Fixed rate</t>
        </is>
      </c>
      <c r="L646" s="68" t="n">
        <v>120</v>
      </c>
      <c r="M646" s="68" t="n">
        <v>26</v>
      </c>
      <c r="N646" s="68" t="n">
        <v>120</v>
      </c>
      <c r="O646" s="68" t="n">
        <v>120</v>
      </c>
      <c r="P646" s="68" t="n">
        <v>26</v>
      </c>
      <c r="Q646" s="68" t="n">
        <v>94</v>
      </c>
      <c r="R646" s="69" t="inlineStr">
        <is>
          <t>IO</t>
        </is>
      </c>
      <c r="S646" s="69" t="inlineStr">
        <is>
          <t>Yes</t>
        </is>
      </c>
      <c r="T646" s="73" t="n">
        <v>43405</v>
      </c>
      <c r="U646" s="73" t="n">
        <v>47063</v>
      </c>
      <c r="V646" s="73" t="n"/>
      <c r="W646" s="69" t="n"/>
      <c r="X646" s="69" t="inlineStr">
        <is>
          <t>Current</t>
        </is>
      </c>
      <c r="Y646" s="68" t="n"/>
      <c r="Z646" s="69" t="inlineStr">
        <is>
          <t>No Defeasance Occurred</t>
        </is>
      </c>
      <c r="AA646" s="69" t="inlineStr">
        <is>
          <t>Previously</t>
        </is>
      </c>
      <c r="AB646" s="69" t="inlineStr">
        <is>
          <t>Never special serv</t>
        </is>
      </c>
      <c r="AC646" s="73" t="n"/>
      <c r="AD646" s="69" t="n"/>
      <c r="AE646" s="69" t="n"/>
      <c r="AF646" s="69" t="inlineStr">
        <is>
          <t>NJ</t>
        </is>
      </c>
      <c r="AG646" s="69" t="n"/>
      <c r="AH646" s="69" t="inlineStr">
        <is>
          <t>New York-Newark-Jersey City, NY-NJ</t>
        </is>
      </c>
      <c r="AI646" s="69" t="inlineStr">
        <is>
          <t>Northeast / Mid-Atlantic</t>
        </is>
      </c>
      <c r="AJ646" s="69" t="inlineStr">
        <is>
          <t>MF</t>
        </is>
      </c>
      <c r="AK646" s="69" t="n"/>
      <c r="AL646" s="68" t="n">
        <v>7</v>
      </c>
      <c r="AM646" s="68" t="n">
        <v>258</v>
      </c>
      <c r="AN646" s="68" t="n"/>
      <c r="AO646" s="69" t="n"/>
      <c r="AP646" s="70" t="n">
        <v>2018</v>
      </c>
      <c r="AQ646" s="74" t="n">
        <v>1.3</v>
      </c>
      <c r="AR646" s="74" t="n">
        <v>1.49</v>
      </c>
      <c r="AS646" s="74" t="n">
        <v>65</v>
      </c>
      <c r="AT646" s="74" t="n">
        <v>64.98</v>
      </c>
      <c r="AU646" s="74" t="n">
        <v>64.98</v>
      </c>
      <c r="AV646" s="74" t="n">
        <v>7.012820474</v>
      </c>
      <c r="AW646" s="74" t="n">
        <v>6.924345178</v>
      </c>
      <c r="AX646" s="75" t="n">
        <v>95</v>
      </c>
      <c r="AY646" s="71" t="n">
        <v>52100000</v>
      </c>
      <c r="AZ646" s="71" t="n">
        <v>52100000</v>
      </c>
      <c r="BA646" s="71" t="n">
        <v>2374195</v>
      </c>
      <c r="BB646" s="71" t="n">
        <v>2051044.82</v>
      </c>
      <c r="BC646" s="69" t="inlineStr">
        <is>
          <t>Refinance</t>
        </is>
      </c>
      <c r="BD646" s="69" t="inlineStr">
        <is>
          <t>N</t>
        </is>
      </c>
      <c r="BE646" s="71" t="n"/>
      <c r="BF646" s="71" t="n"/>
      <c r="BG646" s="71" t="n"/>
      <c r="BH646" s="71" t="n">
        <v>0</v>
      </c>
      <c r="BI646" s="71" t="n">
        <v>0</v>
      </c>
      <c r="BJ646" s="69" t="inlineStr">
        <is>
          <t>N</t>
        </is>
      </c>
      <c r="BK646" s="69" t="n"/>
      <c r="BL646" s="75" t="n"/>
      <c r="BM646" s="73" t="n"/>
      <c r="BN646" s="69" t="inlineStr">
        <is>
          <t>Joseph Ehrman</t>
        </is>
      </c>
      <c r="BO646" s="69" t="inlineStr">
        <is>
          <t>Citigroup Global Markets</t>
        </is>
      </c>
      <c r="BP646" s="69" t="inlineStr">
        <is>
          <t>TriMont Real Estate Advisors</t>
        </is>
      </c>
      <c r="BQ646" s="69" t="inlineStr">
        <is>
          <t>K-Star Asset Management LLC</t>
        </is>
      </c>
      <c r="BR646" s="69" t="n"/>
      <c r="BS646" s="73" t="n">
        <v>46273</v>
      </c>
      <c r="BU646" s="76">
        <f>IF($C646="","",IFERROR(INDEX(dmName,MATCH($C646,dmID,0)),"Unmapped"))</f>
        <v/>
      </c>
      <c r="BV646" s="76">
        <f>IF($C646="","",IFERROR(INDEX(dmEntity,MATCH($C646,dmID,0)),"Unmapped"))</f>
        <v/>
      </c>
      <c r="BW646" s="77">
        <f>IF($C646="","",IFERROR(INDEX(dmVintage,MATCH($C646,dmID,0)),""))</f>
        <v/>
      </c>
      <c r="BX646" s="78">
        <f>IFERROR(INDEX(dmInclude,MATCH($C646,dmID,0)),0)</f>
        <v/>
      </c>
      <c r="BY646" s="78">
        <f>IF(N($I646)&gt;0,1,0)</f>
        <v/>
      </c>
      <c r="BZ646" s="76">
        <f>IF($AJ646="","Other / Leased Fee",IFERROR(INDEX(mapPTGroup,MATCH(LEFT(TRIM($AJ646),2),mapPTCode,0)),"Other / Leased Fee"))</f>
        <v/>
      </c>
      <c r="CA646" s="76">
        <f>IF(TRIM($AF646&amp;"")="","NR",LEFT(TRIM($AF646),2))</f>
        <v/>
      </c>
      <c r="CB646" s="76">
        <f>IFERROR(LOOKUP(2,1/(LEFT(TRIM($AI646&amp;""),LEN(mapRegion))=mapRegion),mapRegion),"Not Reported")</f>
        <v/>
      </c>
      <c r="CC646" s="76">
        <f>IF($BY646=0,"",IF(TRIM($W646&amp;"")="REO","REO",IF(TRIM($W646&amp;"")="FC","Foreclosure",IF(TRIM($W646&amp;"")="90+","90+ Days Delinquent",IF(TRIM($W646&amp;"")="60","60 Days Delinquent",IF(TRIM($W646&amp;"")="30","30 Days Delinquent",IF($X646="Non-Performing Matured Balloon","Non-Performing Matured Balloon",IF(OR($X646="Late Payment But Less Than 30 Days Delinquent",LEFT($X646&amp;"",20)="Payment Not Received"),"Late / In Grace (&lt;30 Days)",IF($X646="Performing Matured Balloon","Performing Matured Balloon","Current")))))))))</f>
        <v/>
      </c>
      <c r="CD646" s="78">
        <f>IF(OR($CC646="REO",$CC646="Foreclosure",$CC646="90+ Days Delinquent",$CC646="60 Days Delinquent",$CC646="30 Days Delinquent",$CC646="Non-Performing Matured Balloon"),1,0)</f>
        <v/>
      </c>
      <c r="CE646" s="76">
        <f>IF($AB646="Currently special serv","Currently Specially Serviced",IF($AB646="Returned to master serv","Previously Specially Serviced","Never Specially Serviced"))</f>
        <v/>
      </c>
      <c r="CF646" s="78">
        <f>IF($CE646="Currently Specially Serviced",1,0)</f>
        <v/>
      </c>
      <c r="CG646" s="76">
        <f>IF($AA646="Yes","Currently on Watchlist",IF($AA646="Previously","Previously on Watchlist","Never on Watchlist"))</f>
        <v/>
      </c>
      <c r="CH646" s="78">
        <f>IF($CG646="Currently on Watchlist",1,0)</f>
        <v/>
      </c>
      <c r="CI646" s="76">
        <f>IF($Z646="Full Defeasance","Fully Defeased",IF($Z646="Portion Of Loan Previously Defeased","Partially Defeased",IF($Z646="Defeasance Not Allowable","Not Defeased (Not Permitted)","Not Defeased")))</f>
        <v/>
      </c>
      <c r="CJ646" s="78">
        <f>IF($CI646="Fully Defeased",1,0)</f>
        <v/>
      </c>
      <c r="CK646" s="76">
        <f>IF($R646="IO","Full IO",IF(LEFT($R646&amp;"",7)="IO then","Partial IO","Amortizing"))</f>
        <v/>
      </c>
      <c r="CL646" s="78">
        <f>IF($CK646="Full IO",1,0)</f>
        <v/>
      </c>
      <c r="CM646" s="78">
        <f>IF($CK646="Partial IO",1,0)</f>
        <v/>
      </c>
      <c r="CN646" s="76">
        <f>IF(LEFT($F646&amp;"",10)="SPLIT_LOAN","Pari Passu Split","Standalone")</f>
        <v/>
      </c>
      <c r="CO646" s="78">
        <f>IF($CN646="Pari Passu Split",1,0)</f>
        <v/>
      </c>
      <c r="CP646" s="77">
        <f>IF(ISNUMBER($T646),YEAR($T646),"")</f>
        <v/>
      </c>
      <c r="CQ646" s="79">
        <f>IF(ISNUMBER($V646),$V646,IF(ISNUMBER($U646),$U646,""))</f>
        <v/>
      </c>
      <c r="CR646" s="77">
        <f>IF(ISNUMBER($CQ646),YEAR($CQ646),"")</f>
        <v/>
      </c>
      <c r="CS646" s="78">
        <f>IF(ISNUMBER($M646),MAX(0,$M646),IF(TRIM($M646&amp;"")="matured",0,""))</f>
        <v/>
      </c>
      <c r="CT646" s="78">
        <f>IF(AND(ISNUMBER($CS646),N($CS646)&lt;=mMatWindow),1,0)</f>
        <v/>
      </c>
      <c r="CU646" s="80">
        <f>IF(ISNUMBER($J646),$J646/100,"")</f>
        <v/>
      </c>
      <c r="CV646" s="81">
        <f>IF(ISNUMBER($AQ646),$AQ646,"")</f>
        <v/>
      </c>
      <c r="CW646" s="81">
        <f>IF(ISNUMBER($AR646),$AR646,"")</f>
        <v/>
      </c>
      <c r="CX646" s="82">
        <f>IF(ISNUMBER($AS646),$AS646/100,"")</f>
        <v/>
      </c>
      <c r="CY646" s="82">
        <f>IF(ISNUMBER($AT646),$AT646/100,"")</f>
        <v/>
      </c>
      <c r="CZ646" s="82">
        <f>IF(ISNUMBER($AU646),$AU646/100,"")</f>
        <v/>
      </c>
      <c r="DA646" s="82">
        <f>IF(ISNUMBER($AV646),$AV646/100,"")</f>
        <v/>
      </c>
      <c r="DB646" s="82">
        <f>IF(ISNUMBER($AW646),$AW646/100,"")</f>
        <v/>
      </c>
      <c r="DC646" s="82">
        <f>IF(ISNUMBER($AX646),$AX646/100,"")</f>
        <v/>
      </c>
      <c r="DD646" s="77">
        <f>IFERROR(VALUE(LEFT(TRIM($AO646&amp;""),4)),"")</f>
        <v/>
      </c>
      <c r="DE646" s="78">
        <f>IF(AND($BY646=1,$BX646=1,OR(fDeal="All Deals",$BU646=fDeal),OR(fEntity="All Entities",$BV646=fEntity),OR(fPType="All Property Types",$BZ646=fPType),OR(fDefeased="Include",$CJ646=0)),1,0)</f>
        <v/>
      </c>
      <c r="DF646" s="83">
        <f>$DE646*N($I646)</f>
        <v/>
      </c>
      <c r="DG646" s="78">
        <f>IF($DE646=1,IF(COUNTIFS($F$8:$F646,$F646,$DE$8:$DE646,1)=1,1,0),0)</f>
        <v/>
      </c>
      <c r="DH646" s="83">
        <f>IF($DG646=1,SUMIFS($DF$8:$DF$1600,$F$8:$F$1600,$F646),0)</f>
        <v/>
      </c>
      <c r="DI646" s="78">
        <f>IF($DG646=1,COUNTIFS($F$8:$F$1600,$F646,$DE$8:$DE$1600,1),0)</f>
        <v/>
      </c>
      <c r="DJ646" s="84">
        <f>IF($DG646=1,$DH646+(100000-ROW())/mTieBreak,0)</f>
        <v/>
      </c>
    </row>
    <row r="647">
      <c r="B647" s="68" t="n">
        <v>7</v>
      </c>
      <c r="C647" s="69" t="inlineStr">
        <is>
          <t>CTG18C06</t>
        </is>
      </c>
      <c r="D647" s="69" t="inlineStr">
        <is>
          <t>7.000</t>
        </is>
      </c>
      <c r="E647" s="69" t="inlineStr">
        <is>
          <t>Shelbourne Global Portfolio I</t>
        </is>
      </c>
      <c r="F647" s="69" t="inlineStr">
        <is>
          <t>SPLIT_LOAN_01361</t>
        </is>
      </c>
      <c r="G647" s="70" t="n">
        <v>1361</v>
      </c>
      <c r="H647" s="71" t="n">
        <v>30000000</v>
      </c>
      <c r="I647" s="71" t="n">
        <v>0</v>
      </c>
      <c r="J647" s="72" t="n">
        <v>5.853</v>
      </c>
      <c r="K647" s="69" t="inlineStr">
        <is>
          <t>Fixed rate</t>
        </is>
      </c>
      <c r="L647" s="68" t="n">
        <v>120</v>
      </c>
      <c r="M647" s="68" t="n"/>
      <c r="N647" s="68" t="n">
        <v>120</v>
      </c>
      <c r="O647" s="68" t="n">
        <v>120</v>
      </c>
      <c r="P647" s="68" t="n"/>
      <c r="Q647" s="68" t="n"/>
      <c r="R647" s="69" t="inlineStr">
        <is>
          <t>IO</t>
        </is>
      </c>
      <c r="S647" s="69" t="inlineStr">
        <is>
          <t>Yes</t>
        </is>
      </c>
      <c r="T647" s="73" t="n">
        <v>43374</v>
      </c>
      <c r="U647" s="73" t="n">
        <v>47032</v>
      </c>
      <c r="V647" s="73" t="n"/>
      <c r="W647" s="69" t="n"/>
      <c r="X647" s="69" t="inlineStr">
        <is>
          <t>Current</t>
        </is>
      </c>
      <c r="Y647" s="68" t="n"/>
      <c r="Z647" s="69" t="inlineStr">
        <is>
          <t>No Defeasance Occurred</t>
        </is>
      </c>
      <c r="AA647" s="69" t="n"/>
      <c r="AB647" s="69" t="inlineStr">
        <is>
          <t>Currently special serv</t>
        </is>
      </c>
      <c r="AC647" s="73" t="n">
        <v>44960</v>
      </c>
      <c r="AD647" s="69" t="inlineStr">
        <is>
          <t>Other</t>
        </is>
      </c>
      <c r="AE647" s="69" t="inlineStr">
        <is>
          <t>DPO</t>
        </is>
      </c>
      <c r="AF647" s="69" t="inlineStr">
        <is>
          <t>NJ</t>
        </is>
      </c>
      <c r="AG647" s="69" t="n"/>
      <c r="AH647" s="69" t="inlineStr">
        <is>
          <t>New York-Newark-Jersey City, NY-NJ</t>
        </is>
      </c>
      <c r="AI647" s="69" t="inlineStr">
        <is>
          <t>Northeast / Mid-Atlantic</t>
        </is>
      </c>
      <c r="AJ647" s="69" t="inlineStr">
        <is>
          <t>IN-72.819614724% OF-27.180385276%</t>
        </is>
      </c>
      <c r="AK647" s="69" t="n"/>
      <c r="AL647" s="68" t="n">
        <v>7</v>
      </c>
      <c r="AM647" s="68" t="n"/>
      <c r="AN647" s="68" t="n">
        <v>640983</v>
      </c>
      <c r="AO647" s="69" t="n"/>
      <c r="AP647" s="70" t="n">
        <v>2009</v>
      </c>
      <c r="AQ647" s="74" t="n">
        <v>1.45</v>
      </c>
      <c r="AR647" s="74" t="n">
        <v>1.61</v>
      </c>
      <c r="AS647" s="74" t="n">
        <v>65.15000000000001</v>
      </c>
      <c r="AT647" s="74" t="n"/>
      <c r="AU647" s="74" t="n">
        <v>65.15000000000001</v>
      </c>
      <c r="AV647" s="74" t="n">
        <v>8.584806989</v>
      </c>
      <c r="AW647" s="74" t="n"/>
      <c r="AX647" s="75" t="n">
        <v>100</v>
      </c>
      <c r="AY647" s="71" t="n">
        <v>142750000</v>
      </c>
      <c r="AZ647" s="71" t="n">
        <v>166800000</v>
      </c>
      <c r="BA647" s="71" t="n">
        <v>7983870.5</v>
      </c>
      <c r="BB647" s="71" t="n">
        <v>8892187</v>
      </c>
      <c r="BC647" s="69" t="inlineStr">
        <is>
          <t>Refinance</t>
        </is>
      </c>
      <c r="BD647" s="69" t="inlineStr">
        <is>
          <t>N</t>
        </is>
      </c>
      <c r="BE647" s="71" t="n">
        <v>0</v>
      </c>
      <c r="BF647" s="71" t="n"/>
      <c r="BG647" s="71" t="n"/>
      <c r="BH647" s="71" t="n">
        <v>0</v>
      </c>
      <c r="BI647" s="71" t="n">
        <v>0</v>
      </c>
      <c r="BJ647" s="69" t="inlineStr">
        <is>
          <t>N</t>
        </is>
      </c>
      <c r="BK647" s="69" t="inlineStr">
        <is>
          <t>Lummus Technology Inc</t>
        </is>
      </c>
      <c r="BL647" s="75" t="n">
        <v>13.06</v>
      </c>
      <c r="BM647" s="73" t="n">
        <v>49095</v>
      </c>
      <c r="BN647" s="69" t="inlineStr">
        <is>
          <t>Barry Friedman and Benjamin Schlossberg</t>
        </is>
      </c>
      <c r="BO647" s="69" t="inlineStr">
        <is>
          <t>Citigroup Global Markets</t>
        </is>
      </c>
      <c r="BP647" s="69" t="inlineStr">
        <is>
          <t>TriMont Real Estate Advisors</t>
        </is>
      </c>
      <c r="BQ647" s="69" t="inlineStr">
        <is>
          <t>Midland Loan Services</t>
        </is>
      </c>
      <c r="BR647" s="69" t="inlineStr">
        <is>
          <t>Disposition / Liquidation</t>
        </is>
      </c>
      <c r="BS647" s="73" t="n">
        <v>46273</v>
      </c>
      <c r="BU647" s="76">
        <f>IF($C647="","",IFERROR(INDEX(dmName,MATCH($C647,dmID,0)),"Unmapped"))</f>
        <v/>
      </c>
      <c r="BV647" s="76">
        <f>IF($C647="","",IFERROR(INDEX(dmEntity,MATCH($C647,dmID,0)),"Unmapped"))</f>
        <v/>
      </c>
      <c r="BW647" s="77">
        <f>IF($C647="","",IFERROR(INDEX(dmVintage,MATCH($C647,dmID,0)),""))</f>
        <v/>
      </c>
      <c r="BX647" s="78">
        <f>IFERROR(INDEX(dmInclude,MATCH($C647,dmID,0)),0)</f>
        <v/>
      </c>
      <c r="BY647" s="78">
        <f>IF(N($I647)&gt;0,1,0)</f>
        <v/>
      </c>
      <c r="BZ647" s="76">
        <f>IF($AJ647="","Other / Leased Fee",IFERROR(INDEX(mapPTGroup,MATCH(LEFT(TRIM($AJ647),2),mapPTCode,0)),"Other / Leased Fee"))</f>
        <v/>
      </c>
      <c r="CA647" s="76">
        <f>IF(TRIM($AF647&amp;"")="","NR",LEFT(TRIM($AF647),2))</f>
        <v/>
      </c>
      <c r="CB647" s="76">
        <f>IFERROR(LOOKUP(2,1/(LEFT(TRIM($AI647&amp;""),LEN(mapRegion))=mapRegion),mapRegion),"Not Reported")</f>
        <v/>
      </c>
      <c r="CC647" s="76">
        <f>IF($BY647=0,"",IF(TRIM($W647&amp;"")="REO","REO",IF(TRIM($W647&amp;"")="FC","Foreclosure",IF(TRIM($W647&amp;"")="90+","90+ Days Delinquent",IF(TRIM($W647&amp;"")="60","60 Days Delinquent",IF(TRIM($W647&amp;"")="30","30 Days Delinquent",IF($X647="Non-Performing Matured Balloon","Non-Performing Matured Balloon",IF(OR($X647="Late Payment But Less Than 30 Days Delinquent",LEFT($X647&amp;"",20)="Payment Not Received"),"Late / In Grace (&lt;30 Days)",IF($X647="Performing Matured Balloon","Performing Matured Balloon","Current")))))))))</f>
        <v/>
      </c>
      <c r="CD647" s="78">
        <f>IF(OR($CC647="REO",$CC647="Foreclosure",$CC647="90+ Days Delinquent",$CC647="60 Days Delinquent",$CC647="30 Days Delinquent",$CC647="Non-Performing Matured Balloon"),1,0)</f>
        <v/>
      </c>
      <c r="CE647" s="76">
        <f>IF($AB647="Currently special serv","Currently Specially Serviced",IF($AB647="Returned to master serv","Previously Specially Serviced","Never Specially Serviced"))</f>
        <v/>
      </c>
      <c r="CF647" s="78">
        <f>IF($CE647="Currently Specially Serviced",1,0)</f>
        <v/>
      </c>
      <c r="CG647" s="76">
        <f>IF($AA647="Yes","Currently on Watchlist",IF($AA647="Previously","Previously on Watchlist","Never on Watchlist"))</f>
        <v/>
      </c>
      <c r="CH647" s="78">
        <f>IF($CG647="Currently on Watchlist",1,0)</f>
        <v/>
      </c>
      <c r="CI647" s="76">
        <f>IF($Z647="Full Defeasance","Fully Defeased",IF($Z647="Portion Of Loan Previously Defeased","Partially Defeased",IF($Z647="Defeasance Not Allowable","Not Defeased (Not Permitted)","Not Defeased")))</f>
        <v/>
      </c>
      <c r="CJ647" s="78">
        <f>IF($CI647="Fully Defeased",1,0)</f>
        <v/>
      </c>
      <c r="CK647" s="76">
        <f>IF($R647="IO","Full IO",IF(LEFT($R647&amp;"",7)="IO then","Partial IO","Amortizing"))</f>
        <v/>
      </c>
      <c r="CL647" s="78">
        <f>IF($CK647="Full IO",1,0)</f>
        <v/>
      </c>
      <c r="CM647" s="78">
        <f>IF($CK647="Partial IO",1,0)</f>
        <v/>
      </c>
      <c r="CN647" s="76">
        <f>IF(LEFT($F647&amp;"",10)="SPLIT_LOAN","Pari Passu Split","Standalone")</f>
        <v/>
      </c>
      <c r="CO647" s="78">
        <f>IF($CN647="Pari Passu Split",1,0)</f>
        <v/>
      </c>
      <c r="CP647" s="77">
        <f>IF(ISNUMBER($T647),YEAR($T647),"")</f>
        <v/>
      </c>
      <c r="CQ647" s="79">
        <f>IF(ISNUMBER($V647),$V647,IF(ISNUMBER($U647),$U647,""))</f>
        <v/>
      </c>
      <c r="CR647" s="77">
        <f>IF(ISNUMBER($CQ647),YEAR($CQ647),"")</f>
        <v/>
      </c>
      <c r="CS647" s="78">
        <f>IF(ISNUMBER($M647),MAX(0,$M647),IF(TRIM($M647&amp;"")="matured",0,""))</f>
        <v/>
      </c>
      <c r="CT647" s="78">
        <f>IF(AND(ISNUMBER($CS647),N($CS647)&lt;=mMatWindow),1,0)</f>
        <v/>
      </c>
      <c r="CU647" s="80">
        <f>IF(ISNUMBER($J647),$J647/100,"")</f>
        <v/>
      </c>
      <c r="CV647" s="81">
        <f>IF(ISNUMBER($AQ647),$AQ647,"")</f>
        <v/>
      </c>
      <c r="CW647" s="81">
        <f>IF(ISNUMBER($AR647),$AR647,"")</f>
        <v/>
      </c>
      <c r="CX647" s="82">
        <f>IF(ISNUMBER($AS647),$AS647/100,"")</f>
        <v/>
      </c>
      <c r="CY647" s="82">
        <f>IF(ISNUMBER($AT647),$AT647/100,"")</f>
        <v/>
      </c>
      <c r="CZ647" s="82">
        <f>IF(ISNUMBER($AU647),$AU647/100,"")</f>
        <v/>
      </c>
      <c r="DA647" s="82">
        <f>IF(ISNUMBER($AV647),$AV647/100,"")</f>
        <v/>
      </c>
      <c r="DB647" s="82">
        <f>IF(ISNUMBER($AW647),$AW647/100,"")</f>
        <v/>
      </c>
      <c r="DC647" s="82">
        <f>IF(ISNUMBER($AX647),$AX647/100,"")</f>
        <v/>
      </c>
      <c r="DD647" s="77">
        <f>IFERROR(VALUE(LEFT(TRIM($AO647&amp;""),4)),"")</f>
        <v/>
      </c>
      <c r="DE647" s="78">
        <f>IF(AND($BY647=1,$BX647=1,OR(fDeal="All Deals",$BU647=fDeal),OR(fEntity="All Entities",$BV647=fEntity),OR(fPType="All Property Types",$BZ647=fPType),OR(fDefeased="Include",$CJ647=0)),1,0)</f>
        <v/>
      </c>
      <c r="DF647" s="83">
        <f>$DE647*N($I647)</f>
        <v/>
      </c>
      <c r="DG647" s="78">
        <f>IF($DE647=1,IF(COUNTIFS($F$8:$F647,$F647,$DE$8:$DE647,1)=1,1,0),0)</f>
        <v/>
      </c>
      <c r="DH647" s="83">
        <f>IF($DG647=1,SUMIFS($DF$8:$DF$1600,$F$8:$F$1600,$F647),0)</f>
        <v/>
      </c>
      <c r="DI647" s="78">
        <f>IF($DG647=1,COUNTIFS($F$8:$F$1600,$F647,$DE$8:$DE$1600,1),0)</f>
        <v/>
      </c>
      <c r="DJ647" s="84">
        <f>IF($DG647=1,$DH647+(100000-ROW())/mTieBreak,0)</f>
        <v/>
      </c>
    </row>
    <row r="648">
      <c r="B648" s="68" t="n">
        <v>8</v>
      </c>
      <c r="C648" s="69" t="inlineStr">
        <is>
          <t>CTG18C06</t>
        </is>
      </c>
      <c r="D648" s="69" t="inlineStr">
        <is>
          <t>8.000</t>
        </is>
      </c>
      <c r="E648" s="69" t="inlineStr">
        <is>
          <t>Optimum Portfolio - Group A</t>
        </is>
      </c>
      <c r="F648" s="69" t="inlineStr">
        <is>
          <t>LNCTG18C06-8.000</t>
        </is>
      </c>
      <c r="G648" s="70" t="n"/>
      <c r="H648" s="71" t="n">
        <v>27224423</v>
      </c>
      <c r="I648" s="71" t="n">
        <v>27224423</v>
      </c>
      <c r="J648" s="72" t="n">
        <v>5.34</v>
      </c>
      <c r="K648" s="69" t="inlineStr">
        <is>
          <t>Fixed rate</t>
        </is>
      </c>
      <c r="L648" s="68" t="n">
        <v>120</v>
      </c>
      <c r="M648" s="68" t="n">
        <v>26</v>
      </c>
      <c r="N648" s="68" t="n">
        <v>120</v>
      </c>
      <c r="O648" s="68" t="n">
        <v>120</v>
      </c>
      <c r="P648" s="68" t="n">
        <v>26</v>
      </c>
      <c r="Q648" s="68" t="n">
        <v>94</v>
      </c>
      <c r="R648" s="69" t="inlineStr">
        <is>
          <t>IO</t>
        </is>
      </c>
      <c r="S648" s="69" t="inlineStr">
        <is>
          <t>Yes</t>
        </is>
      </c>
      <c r="T648" s="73" t="n">
        <v>43405</v>
      </c>
      <c r="U648" s="73" t="n">
        <v>47063</v>
      </c>
      <c r="V648" s="73" t="n"/>
      <c r="W648" s="69" t="n"/>
      <c r="X648" s="69" t="inlineStr">
        <is>
          <t>Current</t>
        </is>
      </c>
      <c r="Y648" s="68" t="n"/>
      <c r="Z648" s="69" t="inlineStr">
        <is>
          <t>No Defeasance Occurred</t>
        </is>
      </c>
      <c r="AA648" s="69" t="inlineStr">
        <is>
          <t>Previously</t>
        </is>
      </c>
      <c r="AB648" s="69" t="inlineStr">
        <is>
          <t>Never special serv</t>
        </is>
      </c>
      <c r="AC648" s="73" t="n"/>
      <c r="AD648" s="69" t="n"/>
      <c r="AE648" s="69" t="n"/>
      <c r="AF648" s="69" t="inlineStr">
        <is>
          <t>NJ</t>
        </is>
      </c>
      <c r="AG648" s="69" t="n"/>
      <c r="AH648" s="69" t="inlineStr">
        <is>
          <t>New York-Newark-Jersey City, NY-NJ</t>
        </is>
      </c>
      <c r="AI648" s="69" t="inlineStr">
        <is>
          <t>Northeast / Mid-Atlantic</t>
        </is>
      </c>
      <c r="AJ648" s="69" t="inlineStr">
        <is>
          <t>MF</t>
        </is>
      </c>
      <c r="AK648" s="69" t="inlineStr">
        <is>
          <t>Mid Rise</t>
        </is>
      </c>
      <c r="AL648" s="68" t="n">
        <v>2</v>
      </c>
      <c r="AM648" s="68" t="n">
        <v>196</v>
      </c>
      <c r="AN648" s="68" t="n"/>
      <c r="AO648" s="69" t="n"/>
      <c r="AP648" s="70" t="n">
        <v>2018</v>
      </c>
      <c r="AQ648" s="74" t="n">
        <v>1.31</v>
      </c>
      <c r="AR648" s="74" t="n">
        <v>1.33</v>
      </c>
      <c r="AS648" s="74" t="n">
        <v>63.8</v>
      </c>
      <c r="AT648" s="74" t="n">
        <v>63.76</v>
      </c>
      <c r="AU648" s="74" t="n">
        <v>63.76</v>
      </c>
      <c r="AV648" s="74" t="n">
        <v>7.078258371</v>
      </c>
      <c r="AW648" s="74" t="n">
        <v>7.213410988</v>
      </c>
      <c r="AX648" s="75" t="n">
        <v>81</v>
      </c>
      <c r="AY648" s="71" t="n">
        <v>42700000</v>
      </c>
      <c r="AZ648" s="71" t="n">
        <v>42700000</v>
      </c>
      <c r="BA648" s="71" t="n">
        <v>1927015</v>
      </c>
      <c r="BB648" s="71" t="n">
        <v>1963809.52</v>
      </c>
      <c r="BC648" s="69" t="inlineStr">
        <is>
          <t>Refinance</t>
        </is>
      </c>
      <c r="BD648" s="69" t="inlineStr">
        <is>
          <t>N</t>
        </is>
      </c>
      <c r="BE648" s="71" t="n"/>
      <c r="BF648" s="71" t="n"/>
      <c r="BG648" s="71" t="n"/>
      <c r="BH648" s="71" t="n">
        <v>0</v>
      </c>
      <c r="BI648" s="71" t="n">
        <v>0</v>
      </c>
      <c r="BJ648" s="69" t="inlineStr">
        <is>
          <t>N</t>
        </is>
      </c>
      <c r="BK648" s="69" t="n"/>
      <c r="BL648" s="75" t="n"/>
      <c r="BM648" s="73" t="n"/>
      <c r="BN648" s="69" t="inlineStr">
        <is>
          <t>Joseph Ehrman</t>
        </is>
      </c>
      <c r="BO648" s="69" t="inlineStr">
        <is>
          <t>Citigroup Global Markets</t>
        </is>
      </c>
      <c r="BP648" s="69" t="inlineStr">
        <is>
          <t>TriMont Real Estate Advisors</t>
        </is>
      </c>
      <c r="BQ648" s="69" t="inlineStr">
        <is>
          <t>K-Star Asset Management LLC</t>
        </is>
      </c>
      <c r="BR648" s="69" t="n"/>
      <c r="BS648" s="73" t="n">
        <v>46273</v>
      </c>
      <c r="BU648" s="76">
        <f>IF($C648="","",IFERROR(INDEX(dmName,MATCH($C648,dmID,0)),"Unmapped"))</f>
        <v/>
      </c>
      <c r="BV648" s="76">
        <f>IF($C648="","",IFERROR(INDEX(dmEntity,MATCH($C648,dmID,0)),"Unmapped"))</f>
        <v/>
      </c>
      <c r="BW648" s="77">
        <f>IF($C648="","",IFERROR(INDEX(dmVintage,MATCH($C648,dmID,0)),""))</f>
        <v/>
      </c>
      <c r="BX648" s="78">
        <f>IFERROR(INDEX(dmInclude,MATCH($C648,dmID,0)),0)</f>
        <v/>
      </c>
      <c r="BY648" s="78">
        <f>IF(N($I648)&gt;0,1,0)</f>
        <v/>
      </c>
      <c r="BZ648" s="76">
        <f>IF($AJ648="","Other / Leased Fee",IFERROR(INDEX(mapPTGroup,MATCH(LEFT(TRIM($AJ648),2),mapPTCode,0)),"Other / Leased Fee"))</f>
        <v/>
      </c>
      <c r="CA648" s="76">
        <f>IF(TRIM($AF648&amp;"")="","NR",LEFT(TRIM($AF648),2))</f>
        <v/>
      </c>
      <c r="CB648" s="76">
        <f>IFERROR(LOOKUP(2,1/(LEFT(TRIM($AI648&amp;""),LEN(mapRegion))=mapRegion),mapRegion),"Not Reported")</f>
        <v/>
      </c>
      <c r="CC648" s="76">
        <f>IF($BY648=0,"",IF(TRIM($W648&amp;"")="REO","REO",IF(TRIM($W648&amp;"")="FC","Foreclosure",IF(TRIM($W648&amp;"")="90+","90+ Days Delinquent",IF(TRIM($W648&amp;"")="60","60 Days Delinquent",IF(TRIM($W648&amp;"")="30","30 Days Delinquent",IF($X648="Non-Performing Matured Balloon","Non-Performing Matured Balloon",IF(OR($X648="Late Payment But Less Than 30 Days Delinquent",LEFT($X648&amp;"",20)="Payment Not Received"),"Late / In Grace (&lt;30 Days)",IF($X648="Performing Matured Balloon","Performing Matured Balloon","Current")))))))))</f>
        <v/>
      </c>
      <c r="CD648" s="78">
        <f>IF(OR($CC648="REO",$CC648="Foreclosure",$CC648="90+ Days Delinquent",$CC648="60 Days Delinquent",$CC648="30 Days Delinquent",$CC648="Non-Performing Matured Balloon"),1,0)</f>
        <v/>
      </c>
      <c r="CE648" s="76">
        <f>IF($AB648="Currently special serv","Currently Specially Serviced",IF($AB648="Returned to master serv","Previously Specially Serviced","Never Specially Serviced"))</f>
        <v/>
      </c>
      <c r="CF648" s="78">
        <f>IF($CE648="Currently Specially Serviced",1,0)</f>
        <v/>
      </c>
      <c r="CG648" s="76">
        <f>IF($AA648="Yes","Currently on Watchlist",IF($AA648="Previously","Previously on Watchlist","Never on Watchlist"))</f>
        <v/>
      </c>
      <c r="CH648" s="78">
        <f>IF($CG648="Currently on Watchlist",1,0)</f>
        <v/>
      </c>
      <c r="CI648" s="76">
        <f>IF($Z648="Full Defeasance","Fully Defeased",IF($Z648="Portion Of Loan Previously Defeased","Partially Defeased",IF($Z648="Defeasance Not Allowable","Not Defeased (Not Permitted)","Not Defeased")))</f>
        <v/>
      </c>
      <c r="CJ648" s="78">
        <f>IF($CI648="Fully Defeased",1,0)</f>
        <v/>
      </c>
      <c r="CK648" s="76">
        <f>IF($R648="IO","Full IO",IF(LEFT($R648&amp;"",7)="IO then","Partial IO","Amortizing"))</f>
        <v/>
      </c>
      <c r="CL648" s="78">
        <f>IF($CK648="Full IO",1,0)</f>
        <v/>
      </c>
      <c r="CM648" s="78">
        <f>IF($CK648="Partial IO",1,0)</f>
        <v/>
      </c>
      <c r="CN648" s="76">
        <f>IF(LEFT($F648&amp;"",10)="SPLIT_LOAN","Pari Passu Split","Standalone")</f>
        <v/>
      </c>
      <c r="CO648" s="78">
        <f>IF($CN648="Pari Passu Split",1,0)</f>
        <v/>
      </c>
      <c r="CP648" s="77">
        <f>IF(ISNUMBER($T648),YEAR($T648),"")</f>
        <v/>
      </c>
      <c r="CQ648" s="79">
        <f>IF(ISNUMBER($V648),$V648,IF(ISNUMBER($U648),$U648,""))</f>
        <v/>
      </c>
      <c r="CR648" s="77">
        <f>IF(ISNUMBER($CQ648),YEAR($CQ648),"")</f>
        <v/>
      </c>
      <c r="CS648" s="78">
        <f>IF(ISNUMBER($M648),MAX(0,$M648),IF(TRIM($M648&amp;"")="matured",0,""))</f>
        <v/>
      </c>
      <c r="CT648" s="78">
        <f>IF(AND(ISNUMBER($CS648),N($CS648)&lt;=mMatWindow),1,0)</f>
        <v/>
      </c>
      <c r="CU648" s="80">
        <f>IF(ISNUMBER($J648),$J648/100,"")</f>
        <v/>
      </c>
      <c r="CV648" s="81">
        <f>IF(ISNUMBER($AQ648),$AQ648,"")</f>
        <v/>
      </c>
      <c r="CW648" s="81">
        <f>IF(ISNUMBER($AR648),$AR648,"")</f>
        <v/>
      </c>
      <c r="CX648" s="82">
        <f>IF(ISNUMBER($AS648),$AS648/100,"")</f>
        <v/>
      </c>
      <c r="CY648" s="82">
        <f>IF(ISNUMBER($AT648),$AT648/100,"")</f>
        <v/>
      </c>
      <c r="CZ648" s="82">
        <f>IF(ISNUMBER($AU648),$AU648/100,"")</f>
        <v/>
      </c>
      <c r="DA648" s="82">
        <f>IF(ISNUMBER($AV648),$AV648/100,"")</f>
        <v/>
      </c>
      <c r="DB648" s="82">
        <f>IF(ISNUMBER($AW648),$AW648/100,"")</f>
        <v/>
      </c>
      <c r="DC648" s="82">
        <f>IF(ISNUMBER($AX648),$AX648/100,"")</f>
        <v/>
      </c>
      <c r="DD648" s="77">
        <f>IFERROR(VALUE(LEFT(TRIM($AO648&amp;""),4)),"")</f>
        <v/>
      </c>
      <c r="DE648" s="78">
        <f>IF(AND($BY648=1,$BX648=1,OR(fDeal="All Deals",$BU648=fDeal),OR(fEntity="All Entities",$BV648=fEntity),OR(fPType="All Property Types",$BZ648=fPType),OR(fDefeased="Include",$CJ648=0)),1,0)</f>
        <v/>
      </c>
      <c r="DF648" s="83">
        <f>$DE648*N($I648)</f>
        <v/>
      </c>
      <c r="DG648" s="78">
        <f>IF($DE648=1,IF(COUNTIFS($F$8:$F648,$F648,$DE$8:$DE648,1)=1,1,0),0)</f>
        <v/>
      </c>
      <c r="DH648" s="83">
        <f>IF($DG648=1,SUMIFS($DF$8:$DF$1600,$F$8:$F$1600,$F648),0)</f>
        <v/>
      </c>
      <c r="DI648" s="78">
        <f>IF($DG648=1,COUNTIFS($F$8:$F$1600,$F648,$DE$8:$DE$1600,1),0)</f>
        <v/>
      </c>
      <c r="DJ648" s="84">
        <f>IF($DG648=1,$DH648+(100000-ROW())/mTieBreak,0)</f>
        <v/>
      </c>
    </row>
    <row r="649">
      <c r="B649" s="68" t="n">
        <v>9</v>
      </c>
      <c r="C649" s="69" t="inlineStr">
        <is>
          <t>CTG18C06</t>
        </is>
      </c>
      <c r="D649" s="69" t="inlineStr">
        <is>
          <t>9.TR</t>
        </is>
      </c>
      <c r="E649" s="69" t="inlineStr">
        <is>
          <t>Holiday Inn FiDi - Trust</t>
        </is>
      </c>
      <c r="F649" s="69" t="inlineStr">
        <is>
          <t>SPLIT_LOAN_01374</t>
        </is>
      </c>
      <c r="G649" s="70" t="n">
        <v>1374</v>
      </c>
      <c r="H649" s="71" t="n">
        <v>27025000</v>
      </c>
      <c r="I649" s="71" t="n">
        <v>27025000</v>
      </c>
      <c r="J649" s="72" t="n">
        <v>5.1205</v>
      </c>
      <c r="K649" s="69" t="inlineStr">
        <is>
          <t>Fixed rate</t>
        </is>
      </c>
      <c r="L649" s="68" t="n">
        <v>120</v>
      </c>
      <c r="M649" s="68" t="n">
        <v>25</v>
      </c>
      <c r="N649" s="68" t="n">
        <v>120</v>
      </c>
      <c r="O649" s="68" t="n">
        <v>120</v>
      </c>
      <c r="P649" s="68" t="n">
        <v>25</v>
      </c>
      <c r="Q649" s="68" t="n">
        <v>95</v>
      </c>
      <c r="R649" s="69" t="inlineStr">
        <is>
          <t>IO</t>
        </is>
      </c>
      <c r="S649" s="69" t="inlineStr">
        <is>
          <t>Yes</t>
        </is>
      </c>
      <c r="T649" s="73" t="n">
        <v>43374</v>
      </c>
      <c r="U649" s="73" t="n">
        <v>47032</v>
      </c>
      <c r="V649" s="73" t="n"/>
      <c r="W649" s="69" t="n"/>
      <c r="X649" s="69" t="inlineStr">
        <is>
          <t>Late Payment But Less Than 30 Days Delinquent</t>
        </is>
      </c>
      <c r="Y649" s="68" t="n"/>
      <c r="Z649" s="69" t="inlineStr">
        <is>
          <t>No Defeasance Occurred</t>
        </is>
      </c>
      <c r="AA649" s="69" t="inlineStr">
        <is>
          <t>Yes</t>
        </is>
      </c>
      <c r="AB649" s="69" t="inlineStr">
        <is>
          <t>Returned to master serv</t>
        </is>
      </c>
      <c r="AC649" s="73" t="n"/>
      <c r="AD649" s="69" t="inlineStr">
        <is>
          <t>Imminent Monetary Default (excluding Balloon/Maturity Default &amp; Single Tenant Bankruptcy/Vacate)</t>
        </is>
      </c>
      <c r="AE649" s="69" t="inlineStr">
        <is>
          <t>Resolved</t>
        </is>
      </c>
      <c r="AF649" s="69" t="inlineStr">
        <is>
          <t>NY</t>
        </is>
      </c>
      <c r="AG649" s="69" t="inlineStr">
        <is>
          <t>New York</t>
        </is>
      </c>
      <c r="AH649" s="69" t="inlineStr">
        <is>
          <t>New York-Newark-Jersey City, NY-NJ</t>
        </is>
      </c>
      <c r="AI649" s="69" t="inlineStr">
        <is>
          <t>Northeast / Mid-Atlantic</t>
        </is>
      </c>
      <c r="AJ649" s="69" t="inlineStr">
        <is>
          <t>HT</t>
        </is>
      </c>
      <c r="AK649" s="69" t="inlineStr">
        <is>
          <t>Full Service</t>
        </is>
      </c>
      <c r="AL649" s="68" t="n">
        <v>1</v>
      </c>
      <c r="AM649" s="68" t="n">
        <v>492</v>
      </c>
      <c r="AN649" s="68" t="n"/>
      <c r="AO649" s="69" t="inlineStr">
        <is>
          <t>2014</t>
        </is>
      </c>
      <c r="AP649" s="70" t="n">
        <v>2014</v>
      </c>
      <c r="AQ649" s="74" t="n">
        <v>2.47</v>
      </c>
      <c r="AR649" s="74" t="n">
        <v>-0.15</v>
      </c>
      <c r="AS649" s="74" t="n">
        <v>37.35</v>
      </c>
      <c r="AT649" s="74" t="n">
        <v>58.02</v>
      </c>
      <c r="AU649" s="74" t="n">
        <v>37.35</v>
      </c>
      <c r="AV649" s="74" t="n">
        <v>12.811396082</v>
      </c>
      <c r="AW649" s="74" t="n">
        <v>-6.349815432</v>
      </c>
      <c r="AX649" s="75" t="n">
        <v>38</v>
      </c>
      <c r="AY649" s="71" t="n">
        <v>233000000</v>
      </c>
      <c r="AZ649" s="71" t="n">
        <v>150000000</v>
      </c>
      <c r="BA649" s="71" t="n">
        <v>11149117.44</v>
      </c>
      <c r="BB649" s="71" t="n">
        <v>-694420</v>
      </c>
      <c r="BC649" s="69" t="inlineStr">
        <is>
          <t>Refinance</t>
        </is>
      </c>
      <c r="BD649" s="69" t="inlineStr">
        <is>
          <t>N</t>
        </is>
      </c>
      <c r="BE649" s="71" t="n">
        <v>60000000</v>
      </c>
      <c r="BF649" s="71" t="n">
        <v>50000000</v>
      </c>
      <c r="BG649" s="71" t="n"/>
      <c r="BH649" s="71" t="n">
        <v>0</v>
      </c>
      <c r="BI649" s="71" t="n">
        <v>119074.59</v>
      </c>
      <c r="BJ649" s="69" t="inlineStr">
        <is>
          <t>Y</t>
        </is>
      </c>
      <c r="BK649" s="69" t="n"/>
      <c r="BL649" s="75" t="n"/>
      <c r="BM649" s="73" t="n"/>
      <c r="BN649" s="69" t="inlineStr">
        <is>
          <t>Jubao Xie</t>
        </is>
      </c>
      <c r="BO649" s="69" t="inlineStr">
        <is>
          <t>Ladder Capital Finance</t>
        </is>
      </c>
      <c r="BP649" s="69" t="inlineStr">
        <is>
          <t>TriMont Real Estate Advisors</t>
        </is>
      </c>
      <c r="BQ649" s="69" t="inlineStr">
        <is>
          <t>Midland Loan Services</t>
        </is>
      </c>
      <c r="BR649" s="69" t="n"/>
      <c r="BS649" s="73" t="n">
        <v>46273</v>
      </c>
      <c r="BU649" s="76">
        <f>IF($C649="","",IFERROR(INDEX(dmName,MATCH($C649,dmID,0)),"Unmapped"))</f>
        <v/>
      </c>
      <c r="BV649" s="76">
        <f>IF($C649="","",IFERROR(INDEX(dmEntity,MATCH($C649,dmID,0)),"Unmapped"))</f>
        <v/>
      </c>
      <c r="BW649" s="77">
        <f>IF($C649="","",IFERROR(INDEX(dmVintage,MATCH($C649,dmID,0)),""))</f>
        <v/>
      </c>
      <c r="BX649" s="78">
        <f>IFERROR(INDEX(dmInclude,MATCH($C649,dmID,0)),0)</f>
        <v/>
      </c>
      <c r="BY649" s="78">
        <f>IF(N($I649)&gt;0,1,0)</f>
        <v/>
      </c>
      <c r="BZ649" s="76">
        <f>IF($AJ649="","Other / Leased Fee",IFERROR(INDEX(mapPTGroup,MATCH(LEFT(TRIM($AJ649),2),mapPTCode,0)),"Other / Leased Fee"))</f>
        <v/>
      </c>
      <c r="CA649" s="76">
        <f>IF(TRIM($AF649&amp;"")="","NR",LEFT(TRIM($AF649),2))</f>
        <v/>
      </c>
      <c r="CB649" s="76">
        <f>IFERROR(LOOKUP(2,1/(LEFT(TRIM($AI649&amp;""),LEN(mapRegion))=mapRegion),mapRegion),"Not Reported")</f>
        <v/>
      </c>
      <c r="CC649" s="76">
        <f>IF($BY649=0,"",IF(TRIM($W649&amp;"")="REO","REO",IF(TRIM($W649&amp;"")="FC","Foreclosure",IF(TRIM($W649&amp;"")="90+","90+ Days Delinquent",IF(TRIM($W649&amp;"")="60","60 Days Delinquent",IF(TRIM($W649&amp;"")="30","30 Days Delinquent",IF($X649="Non-Performing Matured Balloon","Non-Performing Matured Balloon",IF(OR($X649="Late Payment But Less Than 30 Days Delinquent",LEFT($X649&amp;"",20)="Payment Not Received"),"Late / In Grace (&lt;30 Days)",IF($X649="Performing Matured Balloon","Performing Matured Balloon","Current")))))))))</f>
        <v/>
      </c>
      <c r="CD649" s="78">
        <f>IF(OR($CC649="REO",$CC649="Foreclosure",$CC649="90+ Days Delinquent",$CC649="60 Days Delinquent",$CC649="30 Days Delinquent",$CC649="Non-Performing Matured Balloon"),1,0)</f>
        <v/>
      </c>
      <c r="CE649" s="76">
        <f>IF($AB649="Currently special serv","Currently Specially Serviced",IF($AB649="Returned to master serv","Previously Specially Serviced","Never Specially Serviced"))</f>
        <v/>
      </c>
      <c r="CF649" s="78">
        <f>IF($CE649="Currently Specially Serviced",1,0)</f>
        <v/>
      </c>
      <c r="CG649" s="76">
        <f>IF($AA649="Yes","Currently on Watchlist",IF($AA649="Previously","Previously on Watchlist","Never on Watchlist"))</f>
        <v/>
      </c>
      <c r="CH649" s="78">
        <f>IF($CG649="Currently on Watchlist",1,0)</f>
        <v/>
      </c>
      <c r="CI649" s="76">
        <f>IF($Z649="Full Defeasance","Fully Defeased",IF($Z649="Portion Of Loan Previously Defeased","Partially Defeased",IF($Z649="Defeasance Not Allowable","Not Defeased (Not Permitted)","Not Defeased")))</f>
        <v/>
      </c>
      <c r="CJ649" s="78">
        <f>IF($CI649="Fully Defeased",1,0)</f>
        <v/>
      </c>
      <c r="CK649" s="76">
        <f>IF($R649="IO","Full IO",IF(LEFT($R649&amp;"",7)="IO then","Partial IO","Amortizing"))</f>
        <v/>
      </c>
      <c r="CL649" s="78">
        <f>IF($CK649="Full IO",1,0)</f>
        <v/>
      </c>
      <c r="CM649" s="78">
        <f>IF($CK649="Partial IO",1,0)</f>
        <v/>
      </c>
      <c r="CN649" s="76">
        <f>IF(LEFT($F649&amp;"",10)="SPLIT_LOAN","Pari Passu Split","Standalone")</f>
        <v/>
      </c>
      <c r="CO649" s="78">
        <f>IF($CN649="Pari Passu Split",1,0)</f>
        <v/>
      </c>
      <c r="CP649" s="77">
        <f>IF(ISNUMBER($T649),YEAR($T649),"")</f>
        <v/>
      </c>
      <c r="CQ649" s="79">
        <f>IF(ISNUMBER($V649),$V649,IF(ISNUMBER($U649),$U649,""))</f>
        <v/>
      </c>
      <c r="CR649" s="77">
        <f>IF(ISNUMBER($CQ649),YEAR($CQ649),"")</f>
        <v/>
      </c>
      <c r="CS649" s="78">
        <f>IF(ISNUMBER($M649),MAX(0,$M649),IF(TRIM($M649&amp;"")="matured",0,""))</f>
        <v/>
      </c>
      <c r="CT649" s="78">
        <f>IF(AND(ISNUMBER($CS649),N($CS649)&lt;=mMatWindow),1,0)</f>
        <v/>
      </c>
      <c r="CU649" s="80">
        <f>IF(ISNUMBER($J649),$J649/100,"")</f>
        <v/>
      </c>
      <c r="CV649" s="81">
        <f>IF(ISNUMBER($AQ649),$AQ649,"")</f>
        <v/>
      </c>
      <c r="CW649" s="81">
        <f>IF(ISNUMBER($AR649),$AR649,"")</f>
        <v/>
      </c>
      <c r="CX649" s="82">
        <f>IF(ISNUMBER($AS649),$AS649/100,"")</f>
        <v/>
      </c>
      <c r="CY649" s="82">
        <f>IF(ISNUMBER($AT649),$AT649/100,"")</f>
        <v/>
      </c>
      <c r="CZ649" s="82">
        <f>IF(ISNUMBER($AU649),$AU649/100,"")</f>
        <v/>
      </c>
      <c r="DA649" s="82">
        <f>IF(ISNUMBER($AV649),$AV649/100,"")</f>
        <v/>
      </c>
      <c r="DB649" s="82">
        <f>IF(ISNUMBER($AW649),$AW649/100,"")</f>
        <v/>
      </c>
      <c r="DC649" s="82">
        <f>IF(ISNUMBER($AX649),$AX649/100,"")</f>
        <v/>
      </c>
      <c r="DD649" s="77">
        <f>IFERROR(VALUE(LEFT(TRIM($AO649&amp;""),4)),"")</f>
        <v/>
      </c>
      <c r="DE649" s="78">
        <f>IF(AND($BY649=1,$BX649=1,OR(fDeal="All Deals",$BU649=fDeal),OR(fEntity="All Entities",$BV649=fEntity),OR(fPType="All Property Types",$BZ649=fPType),OR(fDefeased="Include",$CJ649=0)),1,0)</f>
        <v/>
      </c>
      <c r="DF649" s="83">
        <f>$DE649*N($I649)</f>
        <v/>
      </c>
      <c r="DG649" s="78">
        <f>IF($DE649=1,IF(COUNTIFS($F$8:$F649,$F649,$DE$8:$DE649,1)=1,1,0),0)</f>
        <v/>
      </c>
      <c r="DH649" s="83">
        <f>IF($DG649=1,SUMIFS($DF$8:$DF$1600,$F$8:$F$1600,$F649),0)</f>
        <v/>
      </c>
      <c r="DI649" s="78">
        <f>IF($DG649=1,COUNTIFS($F$8:$F$1600,$F649,$DE$8:$DE$1600,1),0)</f>
        <v/>
      </c>
      <c r="DJ649" s="84">
        <f>IF($DG649=1,$DH649+(100000-ROW())/mTieBreak,0)</f>
        <v/>
      </c>
    </row>
    <row r="650">
      <c r="B650" s="68" t="n">
        <v>10</v>
      </c>
      <c r="C650" s="69" t="inlineStr">
        <is>
          <t>CTG18C06</t>
        </is>
      </c>
      <c r="D650" s="69" t="inlineStr">
        <is>
          <t>10.000</t>
        </is>
      </c>
      <c r="E650" s="69" t="inlineStr">
        <is>
          <t>Cayuga Capital Bushwick Portfolio</t>
        </is>
      </c>
      <c r="F650" s="69" t="inlineStr">
        <is>
          <t>LNCTG18C06-10.000</t>
        </is>
      </c>
      <c r="G650" s="70" t="n"/>
      <c r="H650" s="71" t="n">
        <v>26000000</v>
      </c>
      <c r="I650" s="71" t="n">
        <v>26000000</v>
      </c>
      <c r="J650" s="72" t="n">
        <v>5.28</v>
      </c>
      <c r="K650" s="69" t="inlineStr">
        <is>
          <t>Fixed rate</t>
        </is>
      </c>
      <c r="L650" s="68" t="n">
        <v>120</v>
      </c>
      <c r="M650" s="68" t="n">
        <v>26</v>
      </c>
      <c r="N650" s="68" t="n">
        <v>120</v>
      </c>
      <c r="O650" s="68" t="n">
        <v>120</v>
      </c>
      <c r="P650" s="68" t="n">
        <v>26</v>
      </c>
      <c r="Q650" s="68" t="n">
        <v>94</v>
      </c>
      <c r="R650" s="69" t="inlineStr">
        <is>
          <t>IO</t>
        </is>
      </c>
      <c r="S650" s="69" t="inlineStr">
        <is>
          <t>Yes</t>
        </is>
      </c>
      <c r="T650" s="73" t="n">
        <v>43405</v>
      </c>
      <c r="U650" s="73" t="n">
        <v>47063</v>
      </c>
      <c r="V650" s="73" t="n"/>
      <c r="W650" s="69" t="n"/>
      <c r="X650" s="69" t="inlineStr">
        <is>
          <t>Current</t>
        </is>
      </c>
      <c r="Y650" s="68" t="n"/>
      <c r="Z650" s="69" t="inlineStr">
        <is>
          <t>No Defeasance Occurred</t>
        </is>
      </c>
      <c r="AA650" s="69" t="inlineStr">
        <is>
          <t>Yes</t>
        </is>
      </c>
      <c r="AB650" s="69" t="inlineStr">
        <is>
          <t>Never special serv</t>
        </is>
      </c>
      <c r="AC650" s="73" t="n"/>
      <c r="AD650" s="69" t="n"/>
      <c r="AE650" s="69" t="n"/>
      <c r="AF650" s="69" t="inlineStr">
        <is>
          <t>NY</t>
        </is>
      </c>
      <c r="AG650" s="69" t="n"/>
      <c r="AH650" s="69" t="inlineStr">
        <is>
          <t>New York-Newark-Jersey City, NY-NJ</t>
        </is>
      </c>
      <c r="AI650" s="69" t="inlineStr">
        <is>
          <t>Northeast / Mid-Atlantic</t>
        </is>
      </c>
      <c r="AJ650" s="69" t="inlineStr">
        <is>
          <t>MF</t>
        </is>
      </c>
      <c r="AK650" s="69" t="inlineStr">
        <is>
          <t>Mid Rise</t>
        </is>
      </c>
      <c r="AL650" s="68" t="n">
        <v>3</v>
      </c>
      <c r="AM650" s="68" t="n">
        <v>63</v>
      </c>
      <c r="AN650" s="68" t="n"/>
      <c r="AO650" s="69" t="n"/>
      <c r="AP650" s="70" t="n">
        <v>2010</v>
      </c>
      <c r="AQ650" s="74" t="n">
        <v>1.4</v>
      </c>
      <c r="AR650" s="74" t="n">
        <v>1.07</v>
      </c>
      <c r="AS650" s="74" t="n">
        <v>63.7</v>
      </c>
      <c r="AT650" s="74" t="n">
        <v>63.73</v>
      </c>
      <c r="AU650" s="74" t="n">
        <v>63.73</v>
      </c>
      <c r="AV650" s="74" t="n">
        <v>7.485673077</v>
      </c>
      <c r="AW650" s="74" t="n">
        <v>5.704933269</v>
      </c>
      <c r="AX650" s="75" t="n">
        <v>97</v>
      </c>
      <c r="AY650" s="71" t="n">
        <v>40800000</v>
      </c>
      <c r="AZ650" s="71" t="n">
        <v>40800000</v>
      </c>
      <c r="BA650" s="71" t="n">
        <v>1946275</v>
      </c>
      <c r="BB650" s="71" t="n">
        <v>1483282.65</v>
      </c>
      <c r="BC650" s="69" t="inlineStr">
        <is>
          <t>Refinance</t>
        </is>
      </c>
      <c r="BD650" s="69" t="inlineStr">
        <is>
          <t>N</t>
        </is>
      </c>
      <c r="BE650" s="71" t="n"/>
      <c r="BF650" s="71" t="n"/>
      <c r="BG650" s="71" t="n"/>
      <c r="BH650" s="71" t="n">
        <v>0</v>
      </c>
      <c r="BI650" s="71" t="n">
        <v>0</v>
      </c>
      <c r="BJ650" s="69" t="inlineStr">
        <is>
          <t>N</t>
        </is>
      </c>
      <c r="BK650" s="69" t="inlineStr">
        <is>
          <t>Cellar Studio</t>
        </is>
      </c>
      <c r="BL650" s="75" t="n">
        <v>0</v>
      </c>
      <c r="BM650" s="73" t="n">
        <v>44012</v>
      </c>
      <c r="BN650" s="69" t="inlineStr">
        <is>
          <t>Marshall Kesten, James P. Wiseman and Jacob L. Sacks</t>
        </is>
      </c>
      <c r="BO650" s="69" t="inlineStr">
        <is>
          <t>Citigroup Global Markets</t>
        </is>
      </c>
      <c r="BP650" s="69" t="inlineStr">
        <is>
          <t>TriMont Real Estate Advisors</t>
        </is>
      </c>
      <c r="BQ650" s="69" t="inlineStr">
        <is>
          <t>K-Star Asset Management LLC</t>
        </is>
      </c>
      <c r="BR650" s="69" t="n"/>
      <c r="BS650" s="73" t="n">
        <v>46273</v>
      </c>
      <c r="BU650" s="76">
        <f>IF($C650="","",IFERROR(INDEX(dmName,MATCH($C650,dmID,0)),"Unmapped"))</f>
        <v/>
      </c>
      <c r="BV650" s="76">
        <f>IF($C650="","",IFERROR(INDEX(dmEntity,MATCH($C650,dmID,0)),"Unmapped"))</f>
        <v/>
      </c>
      <c r="BW650" s="77">
        <f>IF($C650="","",IFERROR(INDEX(dmVintage,MATCH($C650,dmID,0)),""))</f>
        <v/>
      </c>
      <c r="BX650" s="78">
        <f>IFERROR(INDEX(dmInclude,MATCH($C650,dmID,0)),0)</f>
        <v/>
      </c>
      <c r="BY650" s="78">
        <f>IF(N($I650)&gt;0,1,0)</f>
        <v/>
      </c>
      <c r="BZ650" s="76">
        <f>IF($AJ650="","Other / Leased Fee",IFERROR(INDEX(mapPTGroup,MATCH(LEFT(TRIM($AJ650),2),mapPTCode,0)),"Other / Leased Fee"))</f>
        <v/>
      </c>
      <c r="CA650" s="76">
        <f>IF(TRIM($AF650&amp;"")="","NR",LEFT(TRIM($AF650),2))</f>
        <v/>
      </c>
      <c r="CB650" s="76">
        <f>IFERROR(LOOKUP(2,1/(LEFT(TRIM($AI650&amp;""),LEN(mapRegion))=mapRegion),mapRegion),"Not Reported")</f>
        <v/>
      </c>
      <c r="CC650" s="76">
        <f>IF($BY650=0,"",IF(TRIM($W650&amp;"")="REO","REO",IF(TRIM($W650&amp;"")="FC","Foreclosure",IF(TRIM($W650&amp;"")="90+","90+ Days Delinquent",IF(TRIM($W650&amp;"")="60","60 Days Delinquent",IF(TRIM($W650&amp;"")="30","30 Days Delinquent",IF($X650="Non-Performing Matured Balloon","Non-Performing Matured Balloon",IF(OR($X650="Late Payment But Less Than 30 Days Delinquent",LEFT($X650&amp;"",20)="Payment Not Received"),"Late / In Grace (&lt;30 Days)",IF($X650="Performing Matured Balloon","Performing Matured Balloon","Current")))))))))</f>
        <v/>
      </c>
      <c r="CD650" s="78">
        <f>IF(OR($CC650="REO",$CC650="Foreclosure",$CC650="90+ Days Delinquent",$CC650="60 Days Delinquent",$CC650="30 Days Delinquent",$CC650="Non-Performing Matured Balloon"),1,0)</f>
        <v/>
      </c>
      <c r="CE650" s="76">
        <f>IF($AB650="Currently special serv","Currently Specially Serviced",IF($AB650="Returned to master serv","Previously Specially Serviced","Never Specially Serviced"))</f>
        <v/>
      </c>
      <c r="CF650" s="78">
        <f>IF($CE650="Currently Specially Serviced",1,0)</f>
        <v/>
      </c>
      <c r="CG650" s="76">
        <f>IF($AA650="Yes","Currently on Watchlist",IF($AA650="Previously","Previously on Watchlist","Never on Watchlist"))</f>
        <v/>
      </c>
      <c r="CH650" s="78">
        <f>IF($CG650="Currently on Watchlist",1,0)</f>
        <v/>
      </c>
      <c r="CI650" s="76">
        <f>IF($Z650="Full Defeasance","Fully Defeased",IF($Z650="Portion Of Loan Previously Defeased","Partially Defeased",IF($Z650="Defeasance Not Allowable","Not Defeased (Not Permitted)","Not Defeased")))</f>
        <v/>
      </c>
      <c r="CJ650" s="78">
        <f>IF($CI650="Fully Defeased",1,0)</f>
        <v/>
      </c>
      <c r="CK650" s="76">
        <f>IF($R650="IO","Full IO",IF(LEFT($R650&amp;"",7)="IO then","Partial IO","Amortizing"))</f>
        <v/>
      </c>
      <c r="CL650" s="78">
        <f>IF($CK650="Full IO",1,0)</f>
        <v/>
      </c>
      <c r="CM650" s="78">
        <f>IF($CK650="Partial IO",1,0)</f>
        <v/>
      </c>
      <c r="CN650" s="76">
        <f>IF(LEFT($F650&amp;"",10)="SPLIT_LOAN","Pari Passu Split","Standalone")</f>
        <v/>
      </c>
      <c r="CO650" s="78">
        <f>IF($CN650="Pari Passu Split",1,0)</f>
        <v/>
      </c>
      <c r="CP650" s="77">
        <f>IF(ISNUMBER($T650),YEAR($T650),"")</f>
        <v/>
      </c>
      <c r="CQ650" s="79">
        <f>IF(ISNUMBER($V650),$V650,IF(ISNUMBER($U650),$U650,""))</f>
        <v/>
      </c>
      <c r="CR650" s="77">
        <f>IF(ISNUMBER($CQ650),YEAR($CQ650),"")</f>
        <v/>
      </c>
      <c r="CS650" s="78">
        <f>IF(ISNUMBER($M650),MAX(0,$M650),IF(TRIM($M650&amp;"")="matured",0,""))</f>
        <v/>
      </c>
      <c r="CT650" s="78">
        <f>IF(AND(ISNUMBER($CS650),N($CS650)&lt;=mMatWindow),1,0)</f>
        <v/>
      </c>
      <c r="CU650" s="80">
        <f>IF(ISNUMBER($J650),$J650/100,"")</f>
        <v/>
      </c>
      <c r="CV650" s="81">
        <f>IF(ISNUMBER($AQ650),$AQ650,"")</f>
        <v/>
      </c>
      <c r="CW650" s="81">
        <f>IF(ISNUMBER($AR650),$AR650,"")</f>
        <v/>
      </c>
      <c r="CX650" s="82">
        <f>IF(ISNUMBER($AS650),$AS650/100,"")</f>
        <v/>
      </c>
      <c r="CY650" s="82">
        <f>IF(ISNUMBER($AT650),$AT650/100,"")</f>
        <v/>
      </c>
      <c r="CZ650" s="82">
        <f>IF(ISNUMBER($AU650),$AU650/100,"")</f>
        <v/>
      </c>
      <c r="DA650" s="82">
        <f>IF(ISNUMBER($AV650),$AV650/100,"")</f>
        <v/>
      </c>
      <c r="DB650" s="82">
        <f>IF(ISNUMBER($AW650),$AW650/100,"")</f>
        <v/>
      </c>
      <c r="DC650" s="82">
        <f>IF(ISNUMBER($AX650),$AX650/100,"")</f>
        <v/>
      </c>
      <c r="DD650" s="77">
        <f>IFERROR(VALUE(LEFT(TRIM($AO650&amp;""),4)),"")</f>
        <v/>
      </c>
      <c r="DE650" s="78">
        <f>IF(AND($BY650=1,$BX650=1,OR(fDeal="All Deals",$BU650=fDeal),OR(fEntity="All Entities",$BV650=fEntity),OR(fPType="All Property Types",$BZ650=fPType),OR(fDefeased="Include",$CJ650=0)),1,0)</f>
        <v/>
      </c>
      <c r="DF650" s="83">
        <f>$DE650*N($I650)</f>
        <v/>
      </c>
      <c r="DG650" s="78">
        <f>IF($DE650=1,IF(COUNTIFS($F$8:$F650,$F650,$DE$8:$DE650,1)=1,1,0),0)</f>
        <v/>
      </c>
      <c r="DH650" s="83">
        <f>IF($DG650=1,SUMIFS($DF$8:$DF$1600,$F$8:$F$1600,$F650),0)</f>
        <v/>
      </c>
      <c r="DI650" s="78">
        <f>IF($DG650=1,COUNTIFS($F$8:$F$1600,$F650,$DE$8:$DE$1600,1),0)</f>
        <v/>
      </c>
      <c r="DJ650" s="84">
        <f>IF($DG650=1,$DH650+(100000-ROW())/mTieBreak,0)</f>
        <v/>
      </c>
    </row>
    <row r="651">
      <c r="B651" s="68" t="n">
        <v>11</v>
      </c>
      <c r="C651" s="69" t="inlineStr">
        <is>
          <t>CTG18C06</t>
        </is>
      </c>
      <c r="D651" s="69" t="inlineStr">
        <is>
          <t>11.000</t>
        </is>
      </c>
      <c r="E651" s="69" t="inlineStr">
        <is>
          <t>Moffett Towers - Buildings E,F,G</t>
        </is>
      </c>
      <c r="F651" s="69" t="inlineStr">
        <is>
          <t>SPLIT_LOAN_01378</t>
        </is>
      </c>
      <c r="G651" s="70" t="n">
        <v>1378</v>
      </c>
      <c r="H651" s="71" t="n">
        <v>25000000</v>
      </c>
      <c r="I651" s="71" t="n">
        <v>25000000</v>
      </c>
      <c r="J651" s="72" t="n">
        <v>4.1309859</v>
      </c>
      <c r="K651" s="69" t="inlineStr">
        <is>
          <t>Fixed rate</t>
        </is>
      </c>
      <c r="L651" s="68" t="n">
        <v>120</v>
      </c>
      <c r="M651" s="68" t="n">
        <v>25</v>
      </c>
      <c r="N651" s="68" t="n">
        <v>120</v>
      </c>
      <c r="O651" s="68" t="n">
        <v>120</v>
      </c>
      <c r="P651" s="68" t="n">
        <v>25</v>
      </c>
      <c r="Q651" s="68" t="n">
        <v>95</v>
      </c>
      <c r="R651" s="69" t="inlineStr">
        <is>
          <t>IO</t>
        </is>
      </c>
      <c r="S651" s="69" t="inlineStr">
        <is>
          <t>Yes</t>
        </is>
      </c>
      <c r="T651" s="73" t="n">
        <v>43374</v>
      </c>
      <c r="U651" s="73" t="n">
        <v>47032</v>
      </c>
      <c r="V651" s="73" t="n"/>
      <c r="W651" s="69" t="n"/>
      <c r="X651" s="69" t="inlineStr">
        <is>
          <t>Current</t>
        </is>
      </c>
      <c r="Y651" s="68" t="n"/>
      <c r="Z651" s="69" t="inlineStr">
        <is>
          <t>No Defeasance Occurred</t>
        </is>
      </c>
      <c r="AA651" s="69" t="inlineStr">
        <is>
          <t>Previously</t>
        </is>
      </c>
      <c r="AB651" s="69" t="inlineStr">
        <is>
          <t>Never special serv</t>
        </is>
      </c>
      <c r="AC651" s="73" t="n"/>
      <c r="AD651" s="69" t="n"/>
      <c r="AE651" s="69" t="n"/>
      <c r="AF651" s="69" t="inlineStr">
        <is>
          <t>CA</t>
        </is>
      </c>
      <c r="AG651" s="69" t="inlineStr">
        <is>
          <t>Sunnyvale</t>
        </is>
      </c>
      <c r="AH651" s="69" t="inlineStr">
        <is>
          <t>San Jose-Sunnyvale-Santa Clara, CA</t>
        </is>
      </c>
      <c r="AI651" s="69" t="inlineStr">
        <is>
          <t>West / Pacific North</t>
        </is>
      </c>
      <c r="AJ651" s="69" t="inlineStr">
        <is>
          <t>OF</t>
        </is>
      </c>
      <c r="AK651" s="69" t="inlineStr">
        <is>
          <t>CBD</t>
        </is>
      </c>
      <c r="AL651" s="68" t="n">
        <v>1</v>
      </c>
      <c r="AM651" s="68" t="n"/>
      <c r="AN651" s="68" t="n">
        <v>676598</v>
      </c>
      <c r="AO651" s="69" t="inlineStr">
        <is>
          <t>2009</t>
        </is>
      </c>
      <c r="AP651" s="70" t="n">
        <v>2011</v>
      </c>
      <c r="AQ651" s="74" t="n">
        <v>2.97</v>
      </c>
      <c r="AR651" s="74" t="n">
        <v>3.46</v>
      </c>
      <c r="AS651" s="74" t="n">
        <v>40.2</v>
      </c>
      <c r="AT651" s="74" t="n">
        <v>40.24</v>
      </c>
      <c r="AU651" s="74" t="n">
        <v>40.2</v>
      </c>
      <c r="AV651" s="74" t="n">
        <v>12.43277907</v>
      </c>
      <c r="AW651" s="74" t="n">
        <v>13.938027088</v>
      </c>
      <c r="AX651" s="75" t="n">
        <v>100</v>
      </c>
      <c r="AY651" s="71" t="n">
        <v>705800000</v>
      </c>
      <c r="AZ651" s="71" t="n">
        <v>705800000</v>
      </c>
      <c r="BA651" s="71" t="n">
        <v>35309092.56</v>
      </c>
      <c r="BB651" s="71" t="n">
        <v>20538366.25</v>
      </c>
      <c r="BC651" s="69" t="inlineStr">
        <is>
          <t>Refinance</t>
        </is>
      </c>
      <c r="BD651" s="69" t="inlineStr">
        <is>
          <t>N</t>
        </is>
      </c>
      <c r="BE651" s="71" t="n">
        <v>259000000</v>
      </c>
      <c r="BF651" s="71" t="n"/>
      <c r="BG651" s="71" t="n">
        <v>216000000</v>
      </c>
      <c r="BH651" s="71" t="n">
        <v>0</v>
      </c>
      <c r="BI651" s="71" t="n">
        <v>0</v>
      </c>
      <c r="BJ651" s="69" t="inlineStr">
        <is>
          <t>N</t>
        </is>
      </c>
      <c r="BK651" s="69" t="inlineStr">
        <is>
          <t>Amazon.com</t>
        </is>
      </c>
      <c r="BL651" s="75" t="n">
        <v>66.81999999999999</v>
      </c>
      <c r="BM651" s="73" t="n">
        <v>47650</v>
      </c>
      <c r="BN651" s="69" t="inlineStr">
        <is>
          <t>Joseph K. Paul</t>
        </is>
      </c>
      <c r="BO651" s="69" t="inlineStr">
        <is>
          <t>Cantor Commercial Real Estate Lending</t>
        </is>
      </c>
      <c r="BP651" s="69" t="inlineStr">
        <is>
          <t>TriMont Real Estate Advisors</t>
        </is>
      </c>
      <c r="BQ651" s="69" t="inlineStr">
        <is>
          <t>Rialto Capital</t>
        </is>
      </c>
      <c r="BR651" s="69" t="n"/>
      <c r="BS651" s="73" t="n">
        <v>46273</v>
      </c>
      <c r="BU651" s="76">
        <f>IF($C651="","",IFERROR(INDEX(dmName,MATCH($C651,dmID,0)),"Unmapped"))</f>
        <v/>
      </c>
      <c r="BV651" s="76">
        <f>IF($C651="","",IFERROR(INDEX(dmEntity,MATCH($C651,dmID,0)),"Unmapped"))</f>
        <v/>
      </c>
      <c r="BW651" s="77">
        <f>IF($C651="","",IFERROR(INDEX(dmVintage,MATCH($C651,dmID,0)),""))</f>
        <v/>
      </c>
      <c r="BX651" s="78">
        <f>IFERROR(INDEX(dmInclude,MATCH($C651,dmID,0)),0)</f>
        <v/>
      </c>
      <c r="BY651" s="78">
        <f>IF(N($I651)&gt;0,1,0)</f>
        <v/>
      </c>
      <c r="BZ651" s="76">
        <f>IF($AJ651="","Other / Leased Fee",IFERROR(INDEX(mapPTGroup,MATCH(LEFT(TRIM($AJ651),2),mapPTCode,0)),"Other / Leased Fee"))</f>
        <v/>
      </c>
      <c r="CA651" s="76">
        <f>IF(TRIM($AF651&amp;"")="","NR",LEFT(TRIM($AF651),2))</f>
        <v/>
      </c>
      <c r="CB651" s="76">
        <f>IFERROR(LOOKUP(2,1/(LEFT(TRIM($AI651&amp;""),LEN(mapRegion))=mapRegion),mapRegion),"Not Reported")</f>
        <v/>
      </c>
      <c r="CC651" s="76">
        <f>IF($BY651=0,"",IF(TRIM($W651&amp;"")="REO","REO",IF(TRIM($W651&amp;"")="FC","Foreclosure",IF(TRIM($W651&amp;"")="90+","90+ Days Delinquent",IF(TRIM($W651&amp;"")="60","60 Days Delinquent",IF(TRIM($W651&amp;"")="30","30 Days Delinquent",IF($X651="Non-Performing Matured Balloon","Non-Performing Matured Balloon",IF(OR($X651="Late Payment But Less Than 30 Days Delinquent",LEFT($X651&amp;"",20)="Payment Not Received"),"Late / In Grace (&lt;30 Days)",IF($X651="Performing Matured Balloon","Performing Matured Balloon","Current")))))))))</f>
        <v/>
      </c>
      <c r="CD651" s="78">
        <f>IF(OR($CC651="REO",$CC651="Foreclosure",$CC651="90+ Days Delinquent",$CC651="60 Days Delinquent",$CC651="30 Days Delinquent",$CC651="Non-Performing Matured Balloon"),1,0)</f>
        <v/>
      </c>
      <c r="CE651" s="76">
        <f>IF($AB651="Currently special serv","Currently Specially Serviced",IF($AB651="Returned to master serv","Previously Specially Serviced","Never Specially Serviced"))</f>
        <v/>
      </c>
      <c r="CF651" s="78">
        <f>IF($CE651="Currently Specially Serviced",1,0)</f>
        <v/>
      </c>
      <c r="CG651" s="76">
        <f>IF($AA651="Yes","Currently on Watchlist",IF($AA651="Previously","Previously on Watchlist","Never on Watchlist"))</f>
        <v/>
      </c>
      <c r="CH651" s="78">
        <f>IF($CG651="Currently on Watchlist",1,0)</f>
        <v/>
      </c>
      <c r="CI651" s="76">
        <f>IF($Z651="Full Defeasance","Fully Defeased",IF($Z651="Portion Of Loan Previously Defeased","Partially Defeased",IF($Z651="Defeasance Not Allowable","Not Defeased (Not Permitted)","Not Defeased")))</f>
        <v/>
      </c>
      <c r="CJ651" s="78">
        <f>IF($CI651="Fully Defeased",1,0)</f>
        <v/>
      </c>
      <c r="CK651" s="76">
        <f>IF($R651="IO","Full IO",IF(LEFT($R651&amp;"",7)="IO then","Partial IO","Amortizing"))</f>
        <v/>
      </c>
      <c r="CL651" s="78">
        <f>IF($CK651="Full IO",1,0)</f>
        <v/>
      </c>
      <c r="CM651" s="78">
        <f>IF($CK651="Partial IO",1,0)</f>
        <v/>
      </c>
      <c r="CN651" s="76">
        <f>IF(LEFT($F651&amp;"",10)="SPLIT_LOAN","Pari Passu Split","Standalone")</f>
        <v/>
      </c>
      <c r="CO651" s="78">
        <f>IF($CN651="Pari Passu Split",1,0)</f>
        <v/>
      </c>
      <c r="CP651" s="77">
        <f>IF(ISNUMBER($T651),YEAR($T651),"")</f>
        <v/>
      </c>
      <c r="CQ651" s="79">
        <f>IF(ISNUMBER($V651),$V651,IF(ISNUMBER($U651),$U651,""))</f>
        <v/>
      </c>
      <c r="CR651" s="77">
        <f>IF(ISNUMBER($CQ651),YEAR($CQ651),"")</f>
        <v/>
      </c>
      <c r="CS651" s="78">
        <f>IF(ISNUMBER($M651),MAX(0,$M651),IF(TRIM($M651&amp;"")="matured",0,""))</f>
        <v/>
      </c>
      <c r="CT651" s="78">
        <f>IF(AND(ISNUMBER($CS651),N($CS651)&lt;=mMatWindow),1,0)</f>
        <v/>
      </c>
      <c r="CU651" s="80">
        <f>IF(ISNUMBER($J651),$J651/100,"")</f>
        <v/>
      </c>
      <c r="CV651" s="81">
        <f>IF(ISNUMBER($AQ651),$AQ651,"")</f>
        <v/>
      </c>
      <c r="CW651" s="81">
        <f>IF(ISNUMBER($AR651),$AR651,"")</f>
        <v/>
      </c>
      <c r="CX651" s="82">
        <f>IF(ISNUMBER($AS651),$AS651/100,"")</f>
        <v/>
      </c>
      <c r="CY651" s="82">
        <f>IF(ISNUMBER($AT651),$AT651/100,"")</f>
        <v/>
      </c>
      <c r="CZ651" s="82">
        <f>IF(ISNUMBER($AU651),$AU651/100,"")</f>
        <v/>
      </c>
      <c r="DA651" s="82">
        <f>IF(ISNUMBER($AV651),$AV651/100,"")</f>
        <v/>
      </c>
      <c r="DB651" s="82">
        <f>IF(ISNUMBER($AW651),$AW651/100,"")</f>
        <v/>
      </c>
      <c r="DC651" s="82">
        <f>IF(ISNUMBER($AX651),$AX651/100,"")</f>
        <v/>
      </c>
      <c r="DD651" s="77">
        <f>IFERROR(VALUE(LEFT(TRIM($AO651&amp;""),4)),"")</f>
        <v/>
      </c>
      <c r="DE651" s="78">
        <f>IF(AND($BY651=1,$BX651=1,OR(fDeal="All Deals",$BU651=fDeal),OR(fEntity="All Entities",$BV651=fEntity),OR(fPType="All Property Types",$BZ651=fPType),OR(fDefeased="Include",$CJ651=0)),1,0)</f>
        <v/>
      </c>
      <c r="DF651" s="83">
        <f>$DE651*N($I651)</f>
        <v/>
      </c>
      <c r="DG651" s="78">
        <f>IF($DE651=1,IF(COUNTIFS($F$8:$F651,$F651,$DE$8:$DE651,1)=1,1,0),0)</f>
        <v/>
      </c>
      <c r="DH651" s="83">
        <f>IF($DG651=1,SUMIFS($DF$8:$DF$1600,$F$8:$F$1600,$F651),0)</f>
        <v/>
      </c>
      <c r="DI651" s="78">
        <f>IF($DG651=1,COUNTIFS($F$8:$F$1600,$F651,$DE$8:$DE$1600,1),0)</f>
        <v/>
      </c>
      <c r="DJ651" s="84">
        <f>IF($DG651=1,$DH651+(100000-ROW())/mTieBreak,0)</f>
        <v/>
      </c>
    </row>
    <row r="652">
      <c r="B652" s="68" t="n">
        <v>12</v>
      </c>
      <c r="C652" s="69" t="inlineStr">
        <is>
          <t>CTG18C06</t>
        </is>
      </c>
      <c r="D652" s="69" t="inlineStr">
        <is>
          <t>12.000</t>
        </is>
      </c>
      <c r="E652" s="69" t="inlineStr">
        <is>
          <t>Riverwalk II</t>
        </is>
      </c>
      <c r="F652" s="69" t="inlineStr">
        <is>
          <t>SPLIT_LOAN_01438</t>
        </is>
      </c>
      <c r="G652" s="70" t="n">
        <v>1438</v>
      </c>
      <c r="H652" s="71" t="n">
        <v>25000000</v>
      </c>
      <c r="I652" s="71" t="n">
        <v>23245633.44000001</v>
      </c>
      <c r="J652" s="72" t="n">
        <v>5.35675</v>
      </c>
      <c r="K652" s="69" t="inlineStr">
        <is>
          <t>Fixed rate</t>
        </is>
      </c>
      <c r="L652" s="68" t="n">
        <v>118</v>
      </c>
      <c r="M652" s="68" t="n">
        <v>24</v>
      </c>
      <c r="N652" s="68" t="n">
        <v>396</v>
      </c>
      <c r="O652" s="68" t="n">
        <v>36</v>
      </c>
      <c r="P652" s="68" t="n">
        <v>0</v>
      </c>
      <c r="Q652" s="68" t="n">
        <v>94</v>
      </c>
      <c r="R652" s="69" t="inlineStr">
        <is>
          <t>IO then Amort</t>
        </is>
      </c>
      <c r="S652" s="69" t="inlineStr">
        <is>
          <t>No</t>
        </is>
      </c>
      <c r="T652" s="73" t="n">
        <v>43405</v>
      </c>
      <c r="U652" s="73" t="n">
        <v>47002</v>
      </c>
      <c r="V652" s="73" t="n"/>
      <c r="W652" s="69" t="n"/>
      <c r="X652" s="69" t="inlineStr">
        <is>
          <t>Current</t>
        </is>
      </c>
      <c r="Y652" s="68" t="n"/>
      <c r="Z652" s="69" t="inlineStr">
        <is>
          <t>Full Defeasance</t>
        </is>
      </c>
      <c r="AA652" s="69" t="inlineStr">
        <is>
          <t>Previously</t>
        </is>
      </c>
      <c r="AB652" s="69" t="inlineStr">
        <is>
          <t>Never special serv</t>
        </is>
      </c>
      <c r="AC652" s="73" t="n"/>
      <c r="AD652" s="69" t="n"/>
      <c r="AE652" s="69" t="n"/>
      <c r="AF652" s="69" t="inlineStr">
        <is>
          <t>MA</t>
        </is>
      </c>
      <c r="AG652" s="69" t="inlineStr">
        <is>
          <t>Lawrence</t>
        </is>
      </c>
      <c r="AH652" s="69" t="inlineStr">
        <is>
          <t>Boston-Cambridge-Newton, MA-NH</t>
        </is>
      </c>
      <c r="AI652" s="69" t="inlineStr">
        <is>
          <t>Northeast / New England</t>
        </is>
      </c>
      <c r="AJ652" s="69" t="inlineStr">
        <is>
          <t>OF</t>
        </is>
      </c>
      <c r="AK652" s="69" t="inlineStr">
        <is>
          <t>Suburban</t>
        </is>
      </c>
      <c r="AL652" s="68" t="n">
        <v>1</v>
      </c>
      <c r="AM652" s="68" t="n"/>
      <c r="AN652" s="68" t="n">
        <v>538338</v>
      </c>
      <c r="AO652" s="69" t="inlineStr">
        <is>
          <t>1900, 1906, 2014</t>
        </is>
      </c>
      <c r="AP652" s="70" t="n">
        <v>2014</v>
      </c>
      <c r="AQ652" s="74" t="n">
        <v>1.46</v>
      </c>
      <c r="AR652" s="74" t="n">
        <v>1.84</v>
      </c>
      <c r="AS652" s="74" t="n">
        <v>64</v>
      </c>
      <c r="AT652" s="74" t="n">
        <v>59.48</v>
      </c>
      <c r="AU652" s="74" t="n">
        <v>57.1</v>
      </c>
      <c r="AV652" s="74" t="n">
        <v>9.759338850000001</v>
      </c>
      <c r="AW652" s="74" t="n">
        <v>12.614379846</v>
      </c>
      <c r="AX652" s="75" t="n">
        <v>93</v>
      </c>
      <c r="AY652" s="71" t="n">
        <v>93800000</v>
      </c>
      <c r="AZ652" s="71" t="n">
        <v>93800000</v>
      </c>
      <c r="BA652" s="71" t="n">
        <v>5855603.31</v>
      </c>
      <c r="BB652" s="71" t="n">
        <v>5540260</v>
      </c>
      <c r="BC652" s="69" t="inlineStr">
        <is>
          <t>Refinance</t>
        </is>
      </c>
      <c r="BD652" s="69" t="inlineStr">
        <is>
          <t>N</t>
        </is>
      </c>
      <c r="BE652" s="71" t="n">
        <v>32543886.82</v>
      </c>
      <c r="BF652" s="71" t="n"/>
      <c r="BG652" s="71" t="n">
        <v>5000000</v>
      </c>
      <c r="BH652" s="71" t="n">
        <v>0</v>
      </c>
      <c r="BI652" s="71" t="n">
        <v>0</v>
      </c>
      <c r="BJ652" s="69" t="inlineStr">
        <is>
          <t>N</t>
        </is>
      </c>
      <c r="BK652" s="69" t="inlineStr">
        <is>
          <t>NaStage Medical  Inc</t>
        </is>
      </c>
      <c r="BL652" s="75" t="n">
        <v>26.93</v>
      </c>
      <c r="BM652" s="73" t="n">
        <v>47177</v>
      </c>
      <c r="BN652" s="69" t="inlineStr">
        <is>
          <t>Salvatore N. Lupoli</t>
        </is>
      </c>
      <c r="BO652" s="69" t="inlineStr">
        <is>
          <t>Cantor Commercial Real Estate Lending</t>
        </is>
      </c>
      <c r="BP652" s="69" t="inlineStr">
        <is>
          <t>TriMont Real Estate Advisors</t>
        </is>
      </c>
      <c r="BQ652" s="69" t="inlineStr">
        <is>
          <t>K-Star Asset Management LLC</t>
        </is>
      </c>
      <c r="BR652" s="69" t="n"/>
      <c r="BS652" s="73" t="n">
        <v>46273</v>
      </c>
      <c r="BU652" s="76">
        <f>IF($C652="","",IFERROR(INDEX(dmName,MATCH($C652,dmID,0)),"Unmapped"))</f>
        <v/>
      </c>
      <c r="BV652" s="76">
        <f>IF($C652="","",IFERROR(INDEX(dmEntity,MATCH($C652,dmID,0)),"Unmapped"))</f>
        <v/>
      </c>
      <c r="BW652" s="77">
        <f>IF($C652="","",IFERROR(INDEX(dmVintage,MATCH($C652,dmID,0)),""))</f>
        <v/>
      </c>
      <c r="BX652" s="78">
        <f>IFERROR(INDEX(dmInclude,MATCH($C652,dmID,0)),0)</f>
        <v/>
      </c>
      <c r="BY652" s="78">
        <f>IF(N($I652)&gt;0,1,0)</f>
        <v/>
      </c>
      <c r="BZ652" s="76">
        <f>IF($AJ652="","Other / Leased Fee",IFERROR(INDEX(mapPTGroup,MATCH(LEFT(TRIM($AJ652),2),mapPTCode,0)),"Other / Leased Fee"))</f>
        <v/>
      </c>
      <c r="CA652" s="76">
        <f>IF(TRIM($AF652&amp;"")="","NR",LEFT(TRIM($AF652),2))</f>
        <v/>
      </c>
      <c r="CB652" s="76">
        <f>IFERROR(LOOKUP(2,1/(LEFT(TRIM($AI652&amp;""),LEN(mapRegion))=mapRegion),mapRegion),"Not Reported")</f>
        <v/>
      </c>
      <c r="CC652" s="76">
        <f>IF($BY652=0,"",IF(TRIM($W652&amp;"")="REO","REO",IF(TRIM($W652&amp;"")="FC","Foreclosure",IF(TRIM($W652&amp;"")="90+","90+ Days Delinquent",IF(TRIM($W652&amp;"")="60","60 Days Delinquent",IF(TRIM($W652&amp;"")="30","30 Days Delinquent",IF($X652="Non-Performing Matured Balloon","Non-Performing Matured Balloon",IF(OR($X652="Late Payment But Less Than 30 Days Delinquent",LEFT($X652&amp;"",20)="Payment Not Received"),"Late / In Grace (&lt;30 Days)",IF($X652="Performing Matured Balloon","Performing Matured Balloon","Current")))))))))</f>
        <v/>
      </c>
      <c r="CD652" s="78">
        <f>IF(OR($CC652="REO",$CC652="Foreclosure",$CC652="90+ Days Delinquent",$CC652="60 Days Delinquent",$CC652="30 Days Delinquent",$CC652="Non-Performing Matured Balloon"),1,0)</f>
        <v/>
      </c>
      <c r="CE652" s="76">
        <f>IF($AB652="Currently special serv","Currently Specially Serviced",IF($AB652="Returned to master serv","Previously Specially Serviced","Never Specially Serviced"))</f>
        <v/>
      </c>
      <c r="CF652" s="78">
        <f>IF($CE652="Currently Specially Serviced",1,0)</f>
        <v/>
      </c>
      <c r="CG652" s="76">
        <f>IF($AA652="Yes","Currently on Watchlist",IF($AA652="Previously","Previously on Watchlist","Never on Watchlist"))</f>
        <v/>
      </c>
      <c r="CH652" s="78">
        <f>IF($CG652="Currently on Watchlist",1,0)</f>
        <v/>
      </c>
      <c r="CI652" s="76">
        <f>IF($Z652="Full Defeasance","Fully Defeased",IF($Z652="Portion Of Loan Previously Defeased","Partially Defeased",IF($Z652="Defeasance Not Allowable","Not Defeased (Not Permitted)","Not Defeased")))</f>
        <v/>
      </c>
      <c r="CJ652" s="78">
        <f>IF($CI652="Fully Defeased",1,0)</f>
        <v/>
      </c>
      <c r="CK652" s="76">
        <f>IF($R652="IO","Full IO",IF(LEFT($R652&amp;"",7)="IO then","Partial IO","Amortizing"))</f>
        <v/>
      </c>
      <c r="CL652" s="78">
        <f>IF($CK652="Full IO",1,0)</f>
        <v/>
      </c>
      <c r="CM652" s="78">
        <f>IF($CK652="Partial IO",1,0)</f>
        <v/>
      </c>
      <c r="CN652" s="76">
        <f>IF(LEFT($F652&amp;"",10)="SPLIT_LOAN","Pari Passu Split","Standalone")</f>
        <v/>
      </c>
      <c r="CO652" s="78">
        <f>IF($CN652="Pari Passu Split",1,0)</f>
        <v/>
      </c>
      <c r="CP652" s="77">
        <f>IF(ISNUMBER($T652),YEAR($T652),"")</f>
        <v/>
      </c>
      <c r="CQ652" s="79">
        <f>IF(ISNUMBER($V652),$V652,IF(ISNUMBER($U652),$U652,""))</f>
        <v/>
      </c>
      <c r="CR652" s="77">
        <f>IF(ISNUMBER($CQ652),YEAR($CQ652),"")</f>
        <v/>
      </c>
      <c r="CS652" s="78">
        <f>IF(ISNUMBER($M652),MAX(0,$M652),IF(TRIM($M652&amp;"")="matured",0,""))</f>
        <v/>
      </c>
      <c r="CT652" s="78">
        <f>IF(AND(ISNUMBER($CS652),N($CS652)&lt;=mMatWindow),1,0)</f>
        <v/>
      </c>
      <c r="CU652" s="80">
        <f>IF(ISNUMBER($J652),$J652/100,"")</f>
        <v/>
      </c>
      <c r="CV652" s="81">
        <f>IF(ISNUMBER($AQ652),$AQ652,"")</f>
        <v/>
      </c>
      <c r="CW652" s="81">
        <f>IF(ISNUMBER($AR652),$AR652,"")</f>
        <v/>
      </c>
      <c r="CX652" s="82">
        <f>IF(ISNUMBER($AS652),$AS652/100,"")</f>
        <v/>
      </c>
      <c r="CY652" s="82">
        <f>IF(ISNUMBER($AT652),$AT652/100,"")</f>
        <v/>
      </c>
      <c r="CZ652" s="82">
        <f>IF(ISNUMBER($AU652),$AU652/100,"")</f>
        <v/>
      </c>
      <c r="DA652" s="82">
        <f>IF(ISNUMBER($AV652),$AV652/100,"")</f>
        <v/>
      </c>
      <c r="DB652" s="82">
        <f>IF(ISNUMBER($AW652),$AW652/100,"")</f>
        <v/>
      </c>
      <c r="DC652" s="82">
        <f>IF(ISNUMBER($AX652),$AX652/100,"")</f>
        <v/>
      </c>
      <c r="DD652" s="77">
        <f>IFERROR(VALUE(LEFT(TRIM($AO652&amp;""),4)),"")</f>
        <v/>
      </c>
      <c r="DE652" s="78">
        <f>IF(AND($BY652=1,$BX652=1,OR(fDeal="All Deals",$BU652=fDeal),OR(fEntity="All Entities",$BV652=fEntity),OR(fPType="All Property Types",$BZ652=fPType),OR(fDefeased="Include",$CJ652=0)),1,0)</f>
        <v/>
      </c>
      <c r="DF652" s="83">
        <f>$DE652*N($I652)</f>
        <v/>
      </c>
      <c r="DG652" s="78">
        <f>IF($DE652=1,IF(COUNTIFS($F$8:$F652,$F652,$DE$8:$DE652,1)=1,1,0),0)</f>
        <v/>
      </c>
      <c r="DH652" s="83">
        <f>IF($DG652=1,SUMIFS($DF$8:$DF$1600,$F$8:$F$1600,$F652),0)</f>
        <v/>
      </c>
      <c r="DI652" s="78">
        <f>IF($DG652=1,COUNTIFS($F$8:$F$1600,$F652,$DE$8:$DE$1600,1),0)</f>
        <v/>
      </c>
      <c r="DJ652" s="84">
        <f>IF($DG652=1,$DH652+(100000-ROW())/mTieBreak,0)</f>
        <v/>
      </c>
    </row>
    <row r="653">
      <c r="B653" s="68" t="n">
        <v>13</v>
      </c>
      <c r="C653" s="69" t="inlineStr">
        <is>
          <t>CTG18C06</t>
        </is>
      </c>
      <c r="D653" s="69" t="inlineStr">
        <is>
          <t>13.000</t>
        </is>
      </c>
      <c r="E653" s="69" t="inlineStr">
        <is>
          <t>Kimpton Cardinal Hotel Winston-Salem</t>
        </is>
      </c>
      <c r="F653" s="69" t="inlineStr">
        <is>
          <t>LNCTG18C06-13.000</t>
        </is>
      </c>
      <c r="G653" s="70" t="n"/>
      <c r="H653" s="71" t="n">
        <v>25000000</v>
      </c>
      <c r="I653" s="71" t="n">
        <v>21928556.26000001</v>
      </c>
      <c r="J653" s="72" t="n">
        <v>5.475</v>
      </c>
      <c r="K653" s="69" t="inlineStr">
        <is>
          <t>Fixed rate</t>
        </is>
      </c>
      <c r="L653" s="68" t="n">
        <v>120</v>
      </c>
      <c r="M653" s="68" t="n">
        <v>25</v>
      </c>
      <c r="N653" s="68" t="n">
        <v>360</v>
      </c>
      <c r="O653" s="68" t="n"/>
      <c r="P653" s="68" t="n"/>
      <c r="Q653" s="68" t="n">
        <v>95</v>
      </c>
      <c r="R653" s="69" t="n"/>
      <c r="S653" s="69" t="inlineStr">
        <is>
          <t>No</t>
        </is>
      </c>
      <c r="T653" s="73" t="n">
        <v>43374</v>
      </c>
      <c r="U653" s="73" t="n">
        <v>47032</v>
      </c>
      <c r="V653" s="73" t="n"/>
      <c r="W653" s="69" t="n"/>
      <c r="X653" s="69" t="inlineStr">
        <is>
          <t>Current</t>
        </is>
      </c>
      <c r="Y653" s="68" t="n"/>
      <c r="Z653" s="69" t="inlineStr">
        <is>
          <t>No Defeasance Occurred</t>
        </is>
      </c>
      <c r="AA653" s="69" t="inlineStr">
        <is>
          <t>Previously</t>
        </is>
      </c>
      <c r="AB653" s="69" t="inlineStr">
        <is>
          <t>Never special serv</t>
        </is>
      </c>
      <c r="AC653" s="73" t="n"/>
      <c r="AD653" s="69" t="n"/>
      <c r="AE653" s="69" t="n"/>
      <c r="AF653" s="69" t="inlineStr">
        <is>
          <t>NC</t>
        </is>
      </c>
      <c r="AG653" s="69" t="inlineStr">
        <is>
          <t>Winston Salem</t>
        </is>
      </c>
      <c r="AH653" s="69" t="inlineStr">
        <is>
          <t>Winston-Salem, NC</t>
        </is>
      </c>
      <c r="AI653" s="69" t="inlineStr">
        <is>
          <t>South / Atlantic</t>
        </is>
      </c>
      <c r="AJ653" s="69" t="inlineStr">
        <is>
          <t>HT</t>
        </is>
      </c>
      <c r="AK653" s="69" t="inlineStr">
        <is>
          <t>Full Service</t>
        </is>
      </c>
      <c r="AL653" s="68" t="n">
        <v>1</v>
      </c>
      <c r="AM653" s="68" t="n">
        <v>174</v>
      </c>
      <c r="AN653" s="68" t="n"/>
      <c r="AO653" s="69" t="inlineStr">
        <is>
          <t>1929</t>
        </is>
      </c>
      <c r="AP653" s="70" t="n">
        <v>2016</v>
      </c>
      <c r="AQ653" s="74" t="n">
        <v>1.74</v>
      </c>
      <c r="AR653" s="74" t="n">
        <v>3.36</v>
      </c>
      <c r="AS653" s="74" t="n">
        <v>67.8</v>
      </c>
      <c r="AT653" s="74" t="n">
        <v>59.59</v>
      </c>
      <c r="AU653" s="74" t="n">
        <v>56.71</v>
      </c>
      <c r="AV653" s="74" t="n">
        <v>11.84277828</v>
      </c>
      <c r="AW653" s="74" t="n">
        <v>24.445127561</v>
      </c>
      <c r="AX653" s="75" t="n">
        <v>66</v>
      </c>
      <c r="AY653" s="71" t="n">
        <v>36800000</v>
      </c>
      <c r="AZ653" s="71" t="n">
        <v>36800000</v>
      </c>
      <c r="BA653" s="71" t="n">
        <v>2960694.57</v>
      </c>
      <c r="BB653" s="71" t="n">
        <v>5703648.64</v>
      </c>
      <c r="BC653" s="69" t="inlineStr">
        <is>
          <t>Refinance</t>
        </is>
      </c>
      <c r="BD653" s="69" t="inlineStr">
        <is>
          <t>N</t>
        </is>
      </c>
      <c r="BE653" s="71" t="n"/>
      <c r="BF653" s="71" t="n"/>
      <c r="BG653" s="71" t="n"/>
      <c r="BH653" s="71" t="n">
        <v>0</v>
      </c>
      <c r="BI653" s="71" t="n">
        <v>0</v>
      </c>
      <c r="BJ653" s="69" t="inlineStr">
        <is>
          <t>Y</t>
        </is>
      </c>
      <c r="BK653" s="69" t="n"/>
      <c r="BL653" s="75" t="n"/>
      <c r="BM653" s="73" t="n"/>
      <c r="BN653" s="69" t="inlineStr">
        <is>
          <t>Ronald L. Caplan</t>
        </is>
      </c>
      <c r="BO653" s="69" t="inlineStr">
        <is>
          <t>Ladder Capital Finance</t>
        </is>
      </c>
      <c r="BP653" s="69" t="inlineStr">
        <is>
          <t>TriMont Real Estate Advisors</t>
        </is>
      </c>
      <c r="BQ653" s="69" t="inlineStr">
        <is>
          <t>K-Star Asset Management LLC</t>
        </is>
      </c>
      <c r="BR653" s="69" t="n"/>
      <c r="BS653" s="73" t="n">
        <v>46273</v>
      </c>
      <c r="BU653" s="76">
        <f>IF($C653="","",IFERROR(INDEX(dmName,MATCH($C653,dmID,0)),"Unmapped"))</f>
        <v/>
      </c>
      <c r="BV653" s="76">
        <f>IF($C653="","",IFERROR(INDEX(dmEntity,MATCH($C653,dmID,0)),"Unmapped"))</f>
        <v/>
      </c>
      <c r="BW653" s="77">
        <f>IF($C653="","",IFERROR(INDEX(dmVintage,MATCH($C653,dmID,0)),""))</f>
        <v/>
      </c>
      <c r="BX653" s="78">
        <f>IFERROR(INDEX(dmInclude,MATCH($C653,dmID,0)),0)</f>
        <v/>
      </c>
      <c r="BY653" s="78">
        <f>IF(N($I653)&gt;0,1,0)</f>
        <v/>
      </c>
      <c r="BZ653" s="76">
        <f>IF($AJ653="","Other / Leased Fee",IFERROR(INDEX(mapPTGroup,MATCH(LEFT(TRIM($AJ653),2),mapPTCode,0)),"Other / Leased Fee"))</f>
        <v/>
      </c>
      <c r="CA653" s="76">
        <f>IF(TRIM($AF653&amp;"")="","NR",LEFT(TRIM($AF653),2))</f>
        <v/>
      </c>
      <c r="CB653" s="76">
        <f>IFERROR(LOOKUP(2,1/(LEFT(TRIM($AI653&amp;""),LEN(mapRegion))=mapRegion),mapRegion),"Not Reported")</f>
        <v/>
      </c>
      <c r="CC653" s="76">
        <f>IF($BY653=0,"",IF(TRIM($W653&amp;"")="REO","REO",IF(TRIM($W653&amp;"")="FC","Foreclosure",IF(TRIM($W653&amp;"")="90+","90+ Days Delinquent",IF(TRIM($W653&amp;"")="60","60 Days Delinquent",IF(TRIM($W653&amp;"")="30","30 Days Delinquent",IF($X653="Non-Performing Matured Balloon","Non-Performing Matured Balloon",IF(OR($X653="Late Payment But Less Than 30 Days Delinquent",LEFT($X653&amp;"",20)="Payment Not Received"),"Late / In Grace (&lt;30 Days)",IF($X653="Performing Matured Balloon","Performing Matured Balloon","Current")))))))))</f>
        <v/>
      </c>
      <c r="CD653" s="78">
        <f>IF(OR($CC653="REO",$CC653="Foreclosure",$CC653="90+ Days Delinquent",$CC653="60 Days Delinquent",$CC653="30 Days Delinquent",$CC653="Non-Performing Matured Balloon"),1,0)</f>
        <v/>
      </c>
      <c r="CE653" s="76">
        <f>IF($AB653="Currently special serv","Currently Specially Serviced",IF($AB653="Returned to master serv","Previously Specially Serviced","Never Specially Serviced"))</f>
        <v/>
      </c>
      <c r="CF653" s="78">
        <f>IF($CE653="Currently Specially Serviced",1,0)</f>
        <v/>
      </c>
      <c r="CG653" s="76">
        <f>IF($AA653="Yes","Currently on Watchlist",IF($AA653="Previously","Previously on Watchlist","Never on Watchlist"))</f>
        <v/>
      </c>
      <c r="CH653" s="78">
        <f>IF($CG653="Currently on Watchlist",1,0)</f>
        <v/>
      </c>
      <c r="CI653" s="76">
        <f>IF($Z653="Full Defeasance","Fully Defeased",IF($Z653="Portion Of Loan Previously Defeased","Partially Defeased",IF($Z653="Defeasance Not Allowable","Not Defeased (Not Permitted)","Not Defeased")))</f>
        <v/>
      </c>
      <c r="CJ653" s="78">
        <f>IF($CI653="Fully Defeased",1,0)</f>
        <v/>
      </c>
      <c r="CK653" s="76">
        <f>IF($R653="IO","Full IO",IF(LEFT($R653&amp;"",7)="IO then","Partial IO","Amortizing"))</f>
        <v/>
      </c>
      <c r="CL653" s="78">
        <f>IF($CK653="Full IO",1,0)</f>
        <v/>
      </c>
      <c r="CM653" s="78">
        <f>IF($CK653="Partial IO",1,0)</f>
        <v/>
      </c>
      <c r="CN653" s="76">
        <f>IF(LEFT($F653&amp;"",10)="SPLIT_LOAN","Pari Passu Split","Standalone")</f>
        <v/>
      </c>
      <c r="CO653" s="78">
        <f>IF($CN653="Pari Passu Split",1,0)</f>
        <v/>
      </c>
      <c r="CP653" s="77">
        <f>IF(ISNUMBER($T653),YEAR($T653),"")</f>
        <v/>
      </c>
      <c r="CQ653" s="79">
        <f>IF(ISNUMBER($V653),$V653,IF(ISNUMBER($U653),$U653,""))</f>
        <v/>
      </c>
      <c r="CR653" s="77">
        <f>IF(ISNUMBER($CQ653),YEAR($CQ653),"")</f>
        <v/>
      </c>
      <c r="CS653" s="78">
        <f>IF(ISNUMBER($M653),MAX(0,$M653),IF(TRIM($M653&amp;"")="matured",0,""))</f>
        <v/>
      </c>
      <c r="CT653" s="78">
        <f>IF(AND(ISNUMBER($CS653),N($CS653)&lt;=mMatWindow),1,0)</f>
        <v/>
      </c>
      <c r="CU653" s="80">
        <f>IF(ISNUMBER($J653),$J653/100,"")</f>
        <v/>
      </c>
      <c r="CV653" s="81">
        <f>IF(ISNUMBER($AQ653),$AQ653,"")</f>
        <v/>
      </c>
      <c r="CW653" s="81">
        <f>IF(ISNUMBER($AR653),$AR653,"")</f>
        <v/>
      </c>
      <c r="CX653" s="82">
        <f>IF(ISNUMBER($AS653),$AS653/100,"")</f>
        <v/>
      </c>
      <c r="CY653" s="82">
        <f>IF(ISNUMBER($AT653),$AT653/100,"")</f>
        <v/>
      </c>
      <c r="CZ653" s="82">
        <f>IF(ISNUMBER($AU653),$AU653/100,"")</f>
        <v/>
      </c>
      <c r="DA653" s="82">
        <f>IF(ISNUMBER($AV653),$AV653/100,"")</f>
        <v/>
      </c>
      <c r="DB653" s="82">
        <f>IF(ISNUMBER($AW653),$AW653/100,"")</f>
        <v/>
      </c>
      <c r="DC653" s="82">
        <f>IF(ISNUMBER($AX653),$AX653/100,"")</f>
        <v/>
      </c>
      <c r="DD653" s="77">
        <f>IFERROR(VALUE(LEFT(TRIM($AO653&amp;""),4)),"")</f>
        <v/>
      </c>
      <c r="DE653" s="78">
        <f>IF(AND($BY653=1,$BX653=1,OR(fDeal="All Deals",$BU653=fDeal),OR(fEntity="All Entities",$BV653=fEntity),OR(fPType="All Property Types",$BZ653=fPType),OR(fDefeased="Include",$CJ653=0)),1,0)</f>
        <v/>
      </c>
      <c r="DF653" s="83">
        <f>$DE653*N($I653)</f>
        <v/>
      </c>
      <c r="DG653" s="78">
        <f>IF($DE653=1,IF(COUNTIFS($F$8:$F653,$F653,$DE$8:$DE653,1)=1,1,0),0)</f>
        <v/>
      </c>
      <c r="DH653" s="83">
        <f>IF($DG653=1,SUMIFS($DF$8:$DF$1600,$F$8:$F$1600,$F653),0)</f>
        <v/>
      </c>
      <c r="DI653" s="78">
        <f>IF($DG653=1,COUNTIFS($F$8:$F$1600,$F653,$DE$8:$DE$1600,1),0)</f>
        <v/>
      </c>
      <c r="DJ653" s="84">
        <f>IF($DG653=1,$DH653+(100000-ROW())/mTieBreak,0)</f>
        <v/>
      </c>
    </row>
    <row r="654">
      <c r="B654" s="68" t="n">
        <v>14</v>
      </c>
      <c r="C654" s="69" t="inlineStr">
        <is>
          <t>CTG18C06</t>
        </is>
      </c>
      <c r="D654" s="69" t="inlineStr">
        <is>
          <t>14.000</t>
        </is>
      </c>
      <c r="E654" s="69" t="inlineStr">
        <is>
          <t>3101 N. Central</t>
        </is>
      </c>
      <c r="F654" s="69" t="inlineStr">
        <is>
          <t>LNCTG18C06-14.000</t>
        </is>
      </c>
      <c r="G654" s="70" t="n"/>
      <c r="H654" s="71" t="n">
        <v>22800000</v>
      </c>
      <c r="I654" s="71" t="n">
        <v>20003480.7800088</v>
      </c>
      <c r="J654" s="72" t="n">
        <v>5.414</v>
      </c>
      <c r="K654" s="69" t="inlineStr">
        <is>
          <t>Fixed rate</t>
        </is>
      </c>
      <c r="L654" s="68" t="n">
        <v>120</v>
      </c>
      <c r="M654" s="68" t="n">
        <v>26</v>
      </c>
      <c r="N654" s="68" t="n">
        <v>360</v>
      </c>
      <c r="O654" s="68" t="n"/>
      <c r="P654" s="68" t="n"/>
      <c r="Q654" s="68" t="n">
        <v>94</v>
      </c>
      <c r="R654" s="69" t="n"/>
      <c r="S654" s="69" t="inlineStr">
        <is>
          <t>No</t>
        </is>
      </c>
      <c r="T654" s="73" t="n">
        <v>43405</v>
      </c>
      <c r="U654" s="73" t="n">
        <v>47063</v>
      </c>
      <c r="V654" s="73" t="n"/>
      <c r="W654" s="69" t="n"/>
      <c r="X654" s="69" t="inlineStr">
        <is>
          <t>Current</t>
        </is>
      </c>
      <c r="Y654" s="68" t="n"/>
      <c r="Z654" s="69" t="inlineStr">
        <is>
          <t>No Defeasance Occurred</t>
        </is>
      </c>
      <c r="AA654" s="69" t="inlineStr">
        <is>
          <t>Previously</t>
        </is>
      </c>
      <c r="AB654" s="69" t="inlineStr">
        <is>
          <t>Never special serv</t>
        </is>
      </c>
      <c r="AC654" s="73" t="n"/>
      <c r="AD654" s="69" t="n"/>
      <c r="AE654" s="69" t="n"/>
      <c r="AF654" s="69" t="inlineStr">
        <is>
          <t>AZ</t>
        </is>
      </c>
      <c r="AG654" s="69" t="inlineStr">
        <is>
          <t>Phoenix</t>
        </is>
      </c>
      <c r="AH654" s="69" t="inlineStr">
        <is>
          <t>Phoenix-Mesa-Chandler, AZ</t>
        </is>
      </c>
      <c r="AI654" s="69" t="inlineStr">
        <is>
          <t>West / Mountain</t>
        </is>
      </c>
      <c r="AJ654" s="69" t="inlineStr">
        <is>
          <t>OF</t>
        </is>
      </c>
      <c r="AK654" s="69" t="inlineStr">
        <is>
          <t>CBD</t>
        </is>
      </c>
      <c r="AL654" s="68" t="n">
        <v>1</v>
      </c>
      <c r="AM654" s="68" t="n"/>
      <c r="AN654" s="68" t="n">
        <v>266321</v>
      </c>
      <c r="AO654" s="69" t="inlineStr">
        <is>
          <t>1980</t>
        </is>
      </c>
      <c r="AP654" s="70" t="n">
        <v>1980</v>
      </c>
      <c r="AQ654" s="74" t="n">
        <v>1.41</v>
      </c>
      <c r="AR654" s="74" t="n">
        <v>1.43</v>
      </c>
      <c r="AS654" s="74" t="n">
        <v>64.23999999999999</v>
      </c>
      <c r="AT654" s="74" t="n">
        <v>56.43</v>
      </c>
      <c r="AU654" s="74" t="n">
        <v>53.58</v>
      </c>
      <c r="AV654" s="74" t="n">
        <v>9.502879868000001</v>
      </c>
      <c r="AW654" s="74" t="n">
        <v>10.995741812</v>
      </c>
      <c r="AX654" s="75" t="n">
        <v>72</v>
      </c>
      <c r="AY654" s="71" t="n">
        <v>35450000</v>
      </c>
      <c r="AZ654" s="71" t="n">
        <v>35450000</v>
      </c>
      <c r="BA654" s="71" t="n">
        <v>2166656.61</v>
      </c>
      <c r="BB654" s="71" t="n">
        <v>1101366.97</v>
      </c>
      <c r="BC654" s="69" t="inlineStr">
        <is>
          <t>Recapitalization</t>
        </is>
      </c>
      <c r="BD654" s="69" t="inlineStr">
        <is>
          <t>N</t>
        </is>
      </c>
      <c r="BE654" s="71" t="n"/>
      <c r="BF654" s="71" t="n"/>
      <c r="BG654" s="71" t="n"/>
      <c r="BH654" s="71" t="n">
        <v>0</v>
      </c>
      <c r="BI654" s="71" t="n">
        <v>0</v>
      </c>
      <c r="BJ654" s="69" t="inlineStr">
        <is>
          <t>N</t>
        </is>
      </c>
      <c r="BK654" s="69" t="inlineStr">
        <is>
          <t>Denova Collaborative Health  LLC</t>
        </is>
      </c>
      <c r="BL654" s="75" t="n">
        <v>5.96</v>
      </c>
      <c r="BM654" s="73" t="n">
        <v>48029</v>
      </c>
      <c r="BN654" s="69" t="inlineStr">
        <is>
          <t>Andrew J. Segal</t>
        </is>
      </c>
      <c r="BO654" s="69" t="inlineStr">
        <is>
          <t>Ladder Capital Finance</t>
        </is>
      </c>
      <c r="BP654" s="69" t="inlineStr">
        <is>
          <t>TriMont Real Estate Advisors</t>
        </is>
      </c>
      <c r="BQ654" s="69" t="inlineStr">
        <is>
          <t>K-Star Asset Management LLC</t>
        </is>
      </c>
      <c r="BR654" s="69" t="n"/>
      <c r="BS654" s="73" t="n">
        <v>46273</v>
      </c>
      <c r="BU654" s="76">
        <f>IF($C654="","",IFERROR(INDEX(dmName,MATCH($C654,dmID,0)),"Unmapped"))</f>
        <v/>
      </c>
      <c r="BV654" s="76">
        <f>IF($C654="","",IFERROR(INDEX(dmEntity,MATCH($C654,dmID,0)),"Unmapped"))</f>
        <v/>
      </c>
      <c r="BW654" s="77">
        <f>IF($C654="","",IFERROR(INDEX(dmVintage,MATCH($C654,dmID,0)),""))</f>
        <v/>
      </c>
      <c r="BX654" s="78">
        <f>IFERROR(INDEX(dmInclude,MATCH($C654,dmID,0)),0)</f>
        <v/>
      </c>
      <c r="BY654" s="78">
        <f>IF(N($I654)&gt;0,1,0)</f>
        <v/>
      </c>
      <c r="BZ654" s="76">
        <f>IF($AJ654="","Other / Leased Fee",IFERROR(INDEX(mapPTGroup,MATCH(LEFT(TRIM($AJ654),2),mapPTCode,0)),"Other / Leased Fee"))</f>
        <v/>
      </c>
      <c r="CA654" s="76">
        <f>IF(TRIM($AF654&amp;"")="","NR",LEFT(TRIM($AF654),2))</f>
        <v/>
      </c>
      <c r="CB654" s="76">
        <f>IFERROR(LOOKUP(2,1/(LEFT(TRIM($AI654&amp;""),LEN(mapRegion))=mapRegion),mapRegion),"Not Reported")</f>
        <v/>
      </c>
      <c r="CC654" s="76">
        <f>IF($BY654=0,"",IF(TRIM($W654&amp;"")="REO","REO",IF(TRIM($W654&amp;"")="FC","Foreclosure",IF(TRIM($W654&amp;"")="90+","90+ Days Delinquent",IF(TRIM($W654&amp;"")="60","60 Days Delinquent",IF(TRIM($W654&amp;"")="30","30 Days Delinquent",IF($X654="Non-Performing Matured Balloon","Non-Performing Matured Balloon",IF(OR($X654="Late Payment But Less Than 30 Days Delinquent",LEFT($X654&amp;"",20)="Payment Not Received"),"Late / In Grace (&lt;30 Days)",IF($X654="Performing Matured Balloon","Performing Matured Balloon","Current")))))))))</f>
        <v/>
      </c>
      <c r="CD654" s="78">
        <f>IF(OR($CC654="REO",$CC654="Foreclosure",$CC654="90+ Days Delinquent",$CC654="60 Days Delinquent",$CC654="30 Days Delinquent",$CC654="Non-Performing Matured Balloon"),1,0)</f>
        <v/>
      </c>
      <c r="CE654" s="76">
        <f>IF($AB654="Currently special serv","Currently Specially Serviced",IF($AB654="Returned to master serv","Previously Specially Serviced","Never Specially Serviced"))</f>
        <v/>
      </c>
      <c r="CF654" s="78">
        <f>IF($CE654="Currently Specially Serviced",1,0)</f>
        <v/>
      </c>
      <c r="CG654" s="76">
        <f>IF($AA654="Yes","Currently on Watchlist",IF($AA654="Previously","Previously on Watchlist","Never on Watchlist"))</f>
        <v/>
      </c>
      <c r="CH654" s="78">
        <f>IF($CG654="Currently on Watchlist",1,0)</f>
        <v/>
      </c>
      <c r="CI654" s="76">
        <f>IF($Z654="Full Defeasance","Fully Defeased",IF($Z654="Portion Of Loan Previously Defeased","Partially Defeased",IF($Z654="Defeasance Not Allowable","Not Defeased (Not Permitted)","Not Defeased")))</f>
        <v/>
      </c>
      <c r="CJ654" s="78">
        <f>IF($CI654="Fully Defeased",1,0)</f>
        <v/>
      </c>
      <c r="CK654" s="76">
        <f>IF($R654="IO","Full IO",IF(LEFT($R654&amp;"",7)="IO then","Partial IO","Amortizing"))</f>
        <v/>
      </c>
      <c r="CL654" s="78">
        <f>IF($CK654="Full IO",1,0)</f>
        <v/>
      </c>
      <c r="CM654" s="78">
        <f>IF($CK654="Partial IO",1,0)</f>
        <v/>
      </c>
      <c r="CN654" s="76">
        <f>IF(LEFT($F654&amp;"",10)="SPLIT_LOAN","Pari Passu Split","Standalone")</f>
        <v/>
      </c>
      <c r="CO654" s="78">
        <f>IF($CN654="Pari Passu Split",1,0)</f>
        <v/>
      </c>
      <c r="CP654" s="77">
        <f>IF(ISNUMBER($T654),YEAR($T654),"")</f>
        <v/>
      </c>
      <c r="CQ654" s="79">
        <f>IF(ISNUMBER($V654),$V654,IF(ISNUMBER($U654),$U654,""))</f>
        <v/>
      </c>
      <c r="CR654" s="77">
        <f>IF(ISNUMBER($CQ654),YEAR($CQ654),"")</f>
        <v/>
      </c>
      <c r="CS654" s="78">
        <f>IF(ISNUMBER($M654),MAX(0,$M654),IF(TRIM($M654&amp;"")="matured",0,""))</f>
        <v/>
      </c>
      <c r="CT654" s="78">
        <f>IF(AND(ISNUMBER($CS654),N($CS654)&lt;=mMatWindow),1,0)</f>
        <v/>
      </c>
      <c r="CU654" s="80">
        <f>IF(ISNUMBER($J654),$J654/100,"")</f>
        <v/>
      </c>
      <c r="CV654" s="81">
        <f>IF(ISNUMBER($AQ654),$AQ654,"")</f>
        <v/>
      </c>
      <c r="CW654" s="81">
        <f>IF(ISNUMBER($AR654),$AR654,"")</f>
        <v/>
      </c>
      <c r="CX654" s="82">
        <f>IF(ISNUMBER($AS654),$AS654/100,"")</f>
        <v/>
      </c>
      <c r="CY654" s="82">
        <f>IF(ISNUMBER($AT654),$AT654/100,"")</f>
        <v/>
      </c>
      <c r="CZ654" s="82">
        <f>IF(ISNUMBER($AU654),$AU654/100,"")</f>
        <v/>
      </c>
      <c r="DA654" s="82">
        <f>IF(ISNUMBER($AV654),$AV654/100,"")</f>
        <v/>
      </c>
      <c r="DB654" s="82">
        <f>IF(ISNUMBER($AW654),$AW654/100,"")</f>
        <v/>
      </c>
      <c r="DC654" s="82">
        <f>IF(ISNUMBER($AX654),$AX654/100,"")</f>
        <v/>
      </c>
      <c r="DD654" s="77">
        <f>IFERROR(VALUE(LEFT(TRIM($AO654&amp;""),4)),"")</f>
        <v/>
      </c>
      <c r="DE654" s="78">
        <f>IF(AND($BY654=1,$BX654=1,OR(fDeal="All Deals",$BU654=fDeal),OR(fEntity="All Entities",$BV654=fEntity),OR(fPType="All Property Types",$BZ654=fPType),OR(fDefeased="Include",$CJ654=0)),1,0)</f>
        <v/>
      </c>
      <c r="DF654" s="83">
        <f>$DE654*N($I654)</f>
        <v/>
      </c>
      <c r="DG654" s="78">
        <f>IF($DE654=1,IF(COUNTIFS($F$8:$F654,$F654,$DE$8:$DE654,1)=1,1,0),0)</f>
        <v/>
      </c>
      <c r="DH654" s="83">
        <f>IF($DG654=1,SUMIFS($DF$8:$DF$1600,$F$8:$F$1600,$F654),0)</f>
        <v/>
      </c>
      <c r="DI654" s="78">
        <f>IF($DG654=1,COUNTIFS($F$8:$F$1600,$F654,$DE$8:$DE$1600,1),0)</f>
        <v/>
      </c>
      <c r="DJ654" s="84">
        <f>IF($DG654=1,$DH654+(100000-ROW())/mTieBreak,0)</f>
        <v/>
      </c>
    </row>
    <row r="655">
      <c r="B655" s="68" t="n">
        <v>15</v>
      </c>
      <c r="C655" s="69" t="inlineStr">
        <is>
          <t>CTG18C06</t>
        </is>
      </c>
      <c r="D655" s="69" t="inlineStr">
        <is>
          <t>15.000</t>
        </is>
      </c>
      <c r="E655" s="69" t="inlineStr">
        <is>
          <t>Embassy Suites - Atlanta Northeast Gwinnet Sugarloaf</t>
        </is>
      </c>
      <c r="F655" s="69" t="inlineStr">
        <is>
          <t>LNCTG18C06-15.000</t>
        </is>
      </c>
      <c r="G655" s="70" t="n"/>
      <c r="H655" s="71" t="n">
        <v>21100000</v>
      </c>
      <c r="I655" s="71" t="n">
        <v>18088957.420009</v>
      </c>
      <c r="J655" s="72" t="n">
        <v>4.56</v>
      </c>
      <c r="K655" s="69" t="inlineStr">
        <is>
          <t>Fixed rate</t>
        </is>
      </c>
      <c r="L655" s="68" t="n">
        <v>120</v>
      </c>
      <c r="M655" s="68" t="n">
        <v>25</v>
      </c>
      <c r="N655" s="68" t="n">
        <v>360</v>
      </c>
      <c r="O655" s="68" t="n"/>
      <c r="P655" s="68" t="n"/>
      <c r="Q655" s="68" t="n">
        <v>95</v>
      </c>
      <c r="R655" s="69" t="n"/>
      <c r="S655" s="69" t="inlineStr">
        <is>
          <t>No</t>
        </is>
      </c>
      <c r="T655" s="73" t="n">
        <v>43374</v>
      </c>
      <c r="U655" s="73" t="n">
        <v>47032</v>
      </c>
      <c r="V655" s="73" t="n"/>
      <c r="W655" s="69" t="n"/>
      <c r="X655" s="69" t="inlineStr">
        <is>
          <t>Current</t>
        </is>
      </c>
      <c r="Y655" s="68" t="n"/>
      <c r="Z655" s="69" t="inlineStr">
        <is>
          <t>No Defeasance Occurred</t>
        </is>
      </c>
      <c r="AA655" s="69" t="n"/>
      <c r="AB655" s="69" t="inlineStr">
        <is>
          <t>Never special serv</t>
        </is>
      </c>
      <c r="AC655" s="73" t="n"/>
      <c r="AD655" s="69" t="n"/>
      <c r="AE655" s="69" t="n"/>
      <c r="AF655" s="69" t="inlineStr">
        <is>
          <t>GA</t>
        </is>
      </c>
      <c r="AG655" s="69" t="inlineStr">
        <is>
          <t>Duluth</t>
        </is>
      </c>
      <c r="AH655" s="69" t="inlineStr">
        <is>
          <t>Atlanta-Sandy Springs-Roswell, GA</t>
        </is>
      </c>
      <c r="AI655" s="69" t="inlineStr">
        <is>
          <t>South / Atlantic</t>
        </is>
      </c>
      <c r="AJ655" s="69" t="inlineStr">
        <is>
          <t>HT</t>
        </is>
      </c>
      <c r="AK655" s="69" t="inlineStr">
        <is>
          <t>Full Service</t>
        </is>
      </c>
      <c r="AL655" s="68" t="n">
        <v>1</v>
      </c>
      <c r="AM655" s="68" t="n">
        <v>166</v>
      </c>
      <c r="AN655" s="68" t="n"/>
      <c r="AO655" s="69" t="inlineStr">
        <is>
          <t>2017</t>
        </is>
      </c>
      <c r="AP655" s="70" t="n">
        <v>2017</v>
      </c>
      <c r="AQ655" s="74" t="n">
        <v>2.27</v>
      </c>
      <c r="AR655" s="74" t="n">
        <v>2.41</v>
      </c>
      <c r="AS655" s="74" t="n">
        <v>50.7</v>
      </c>
      <c r="AT655" s="74" t="n">
        <v>43.59</v>
      </c>
      <c r="AU655" s="74" t="n">
        <v>41.19</v>
      </c>
      <c r="AV655" s="74" t="n">
        <v>13.912255924</v>
      </c>
      <c r="AW655" s="74" t="n">
        <v>16.019912993</v>
      </c>
      <c r="AX655" s="75" t="n">
        <v>74</v>
      </c>
      <c r="AY655" s="71" t="n">
        <v>41500000</v>
      </c>
      <c r="AZ655" s="71" t="n">
        <v>41500000</v>
      </c>
      <c r="BA655" s="71" t="n">
        <v>2935486</v>
      </c>
      <c r="BB655" s="71" t="n">
        <v>3118647.42</v>
      </c>
      <c r="BC655" s="69" t="inlineStr">
        <is>
          <t>Refinance</t>
        </is>
      </c>
      <c r="BD655" s="69" t="inlineStr">
        <is>
          <t>N</t>
        </is>
      </c>
      <c r="BE655" s="71" t="n"/>
      <c r="BF655" s="71" t="n"/>
      <c r="BG655" s="71" t="n"/>
      <c r="BH655" s="71" t="n">
        <v>0</v>
      </c>
      <c r="BI655" s="71" t="n">
        <v>0</v>
      </c>
      <c r="BJ655" s="69" t="inlineStr">
        <is>
          <t>N</t>
        </is>
      </c>
      <c r="BK655" s="69" t="n"/>
      <c r="BL655" s="75" t="n"/>
      <c r="BM655" s="73" t="n"/>
      <c r="BN655" s="69" t="inlineStr">
        <is>
          <t>Alpesh Patel</t>
        </is>
      </c>
      <c r="BO655" s="69" t="inlineStr">
        <is>
          <t>Citigroup Global Markets</t>
        </is>
      </c>
      <c r="BP655" s="69" t="inlineStr">
        <is>
          <t>TriMont Real Estate Advisors</t>
        </is>
      </c>
      <c r="BQ655" s="69" t="inlineStr">
        <is>
          <t>K-Star Asset Management LLC</t>
        </is>
      </c>
      <c r="BR655" s="69" t="n"/>
      <c r="BS655" s="73" t="n">
        <v>46273</v>
      </c>
      <c r="BU655" s="76">
        <f>IF($C655="","",IFERROR(INDEX(dmName,MATCH($C655,dmID,0)),"Unmapped"))</f>
        <v/>
      </c>
      <c r="BV655" s="76">
        <f>IF($C655="","",IFERROR(INDEX(dmEntity,MATCH($C655,dmID,0)),"Unmapped"))</f>
        <v/>
      </c>
      <c r="BW655" s="77">
        <f>IF($C655="","",IFERROR(INDEX(dmVintage,MATCH($C655,dmID,0)),""))</f>
        <v/>
      </c>
      <c r="BX655" s="78">
        <f>IFERROR(INDEX(dmInclude,MATCH($C655,dmID,0)),0)</f>
        <v/>
      </c>
      <c r="BY655" s="78">
        <f>IF(N($I655)&gt;0,1,0)</f>
        <v/>
      </c>
      <c r="BZ655" s="76">
        <f>IF($AJ655="","Other / Leased Fee",IFERROR(INDEX(mapPTGroup,MATCH(LEFT(TRIM($AJ655),2),mapPTCode,0)),"Other / Leased Fee"))</f>
        <v/>
      </c>
      <c r="CA655" s="76">
        <f>IF(TRIM($AF655&amp;"")="","NR",LEFT(TRIM($AF655),2))</f>
        <v/>
      </c>
      <c r="CB655" s="76">
        <f>IFERROR(LOOKUP(2,1/(LEFT(TRIM($AI655&amp;""),LEN(mapRegion))=mapRegion),mapRegion),"Not Reported")</f>
        <v/>
      </c>
      <c r="CC655" s="76">
        <f>IF($BY655=0,"",IF(TRIM($W655&amp;"")="REO","REO",IF(TRIM($W655&amp;"")="FC","Foreclosure",IF(TRIM($W655&amp;"")="90+","90+ Days Delinquent",IF(TRIM($W655&amp;"")="60","60 Days Delinquent",IF(TRIM($W655&amp;"")="30","30 Days Delinquent",IF($X655="Non-Performing Matured Balloon","Non-Performing Matured Balloon",IF(OR($X655="Late Payment But Less Than 30 Days Delinquent",LEFT($X655&amp;"",20)="Payment Not Received"),"Late / In Grace (&lt;30 Days)",IF($X655="Performing Matured Balloon","Performing Matured Balloon","Current")))))))))</f>
        <v/>
      </c>
      <c r="CD655" s="78">
        <f>IF(OR($CC655="REO",$CC655="Foreclosure",$CC655="90+ Days Delinquent",$CC655="60 Days Delinquent",$CC655="30 Days Delinquent",$CC655="Non-Performing Matured Balloon"),1,0)</f>
        <v/>
      </c>
      <c r="CE655" s="76">
        <f>IF($AB655="Currently special serv","Currently Specially Serviced",IF($AB655="Returned to master serv","Previously Specially Serviced","Never Specially Serviced"))</f>
        <v/>
      </c>
      <c r="CF655" s="78">
        <f>IF($CE655="Currently Specially Serviced",1,0)</f>
        <v/>
      </c>
      <c r="CG655" s="76">
        <f>IF($AA655="Yes","Currently on Watchlist",IF($AA655="Previously","Previously on Watchlist","Never on Watchlist"))</f>
        <v/>
      </c>
      <c r="CH655" s="78">
        <f>IF($CG655="Currently on Watchlist",1,0)</f>
        <v/>
      </c>
      <c r="CI655" s="76">
        <f>IF($Z655="Full Defeasance","Fully Defeased",IF($Z655="Portion Of Loan Previously Defeased","Partially Defeased",IF($Z655="Defeasance Not Allowable","Not Defeased (Not Permitted)","Not Defeased")))</f>
        <v/>
      </c>
      <c r="CJ655" s="78">
        <f>IF($CI655="Fully Defeased",1,0)</f>
        <v/>
      </c>
      <c r="CK655" s="76">
        <f>IF($R655="IO","Full IO",IF(LEFT($R655&amp;"",7)="IO then","Partial IO","Amortizing"))</f>
        <v/>
      </c>
      <c r="CL655" s="78">
        <f>IF($CK655="Full IO",1,0)</f>
        <v/>
      </c>
      <c r="CM655" s="78">
        <f>IF($CK655="Partial IO",1,0)</f>
        <v/>
      </c>
      <c r="CN655" s="76">
        <f>IF(LEFT($F655&amp;"",10)="SPLIT_LOAN","Pari Passu Split","Standalone")</f>
        <v/>
      </c>
      <c r="CO655" s="78">
        <f>IF($CN655="Pari Passu Split",1,0)</f>
        <v/>
      </c>
      <c r="CP655" s="77">
        <f>IF(ISNUMBER($T655),YEAR($T655),"")</f>
        <v/>
      </c>
      <c r="CQ655" s="79">
        <f>IF(ISNUMBER($V655),$V655,IF(ISNUMBER($U655),$U655,""))</f>
        <v/>
      </c>
      <c r="CR655" s="77">
        <f>IF(ISNUMBER($CQ655),YEAR($CQ655),"")</f>
        <v/>
      </c>
      <c r="CS655" s="78">
        <f>IF(ISNUMBER($M655),MAX(0,$M655),IF(TRIM($M655&amp;"")="matured",0,""))</f>
        <v/>
      </c>
      <c r="CT655" s="78">
        <f>IF(AND(ISNUMBER($CS655),N($CS655)&lt;=mMatWindow),1,0)</f>
        <v/>
      </c>
      <c r="CU655" s="80">
        <f>IF(ISNUMBER($J655),$J655/100,"")</f>
        <v/>
      </c>
      <c r="CV655" s="81">
        <f>IF(ISNUMBER($AQ655),$AQ655,"")</f>
        <v/>
      </c>
      <c r="CW655" s="81">
        <f>IF(ISNUMBER($AR655),$AR655,"")</f>
        <v/>
      </c>
      <c r="CX655" s="82">
        <f>IF(ISNUMBER($AS655),$AS655/100,"")</f>
        <v/>
      </c>
      <c r="CY655" s="82">
        <f>IF(ISNUMBER($AT655),$AT655/100,"")</f>
        <v/>
      </c>
      <c r="CZ655" s="82">
        <f>IF(ISNUMBER($AU655),$AU655/100,"")</f>
        <v/>
      </c>
      <c r="DA655" s="82">
        <f>IF(ISNUMBER($AV655),$AV655/100,"")</f>
        <v/>
      </c>
      <c r="DB655" s="82">
        <f>IF(ISNUMBER($AW655),$AW655/100,"")</f>
        <v/>
      </c>
      <c r="DC655" s="82">
        <f>IF(ISNUMBER($AX655),$AX655/100,"")</f>
        <v/>
      </c>
      <c r="DD655" s="77">
        <f>IFERROR(VALUE(LEFT(TRIM($AO655&amp;""),4)),"")</f>
        <v/>
      </c>
      <c r="DE655" s="78">
        <f>IF(AND($BY655=1,$BX655=1,OR(fDeal="All Deals",$BU655=fDeal),OR(fEntity="All Entities",$BV655=fEntity),OR(fPType="All Property Types",$BZ655=fPType),OR(fDefeased="Include",$CJ655=0)),1,0)</f>
        <v/>
      </c>
      <c r="DF655" s="83">
        <f>$DE655*N($I655)</f>
        <v/>
      </c>
      <c r="DG655" s="78">
        <f>IF($DE655=1,IF(COUNTIFS($F$8:$F655,$F655,$DE$8:$DE655,1)=1,1,0),0)</f>
        <v/>
      </c>
      <c r="DH655" s="83">
        <f>IF($DG655=1,SUMIFS($DF$8:$DF$1600,$F$8:$F$1600,$F655),0)</f>
        <v/>
      </c>
      <c r="DI655" s="78">
        <f>IF($DG655=1,COUNTIFS($F$8:$F$1600,$F655,$DE$8:$DE$1600,1),0)</f>
        <v/>
      </c>
      <c r="DJ655" s="84">
        <f>IF($DG655=1,$DH655+(100000-ROW())/mTieBreak,0)</f>
        <v/>
      </c>
    </row>
    <row r="656">
      <c r="B656" s="68" t="n">
        <v>16</v>
      </c>
      <c r="C656" s="69" t="inlineStr">
        <is>
          <t>CTG18C06</t>
        </is>
      </c>
      <c r="D656" s="69" t="inlineStr">
        <is>
          <t>16.000</t>
        </is>
      </c>
      <c r="E656" s="69" t="inlineStr">
        <is>
          <t>Dillsburg Shopping Center</t>
        </is>
      </c>
      <c r="F656" s="69" t="inlineStr">
        <is>
          <t>LNCTG18C06-16.000</t>
        </is>
      </c>
      <c r="G656" s="70" t="n"/>
      <c r="H656" s="71" t="n">
        <v>18000000</v>
      </c>
      <c r="I656" s="71" t="n">
        <v>17230518.99</v>
      </c>
      <c r="J656" s="72" t="n">
        <v>5.01</v>
      </c>
      <c r="K656" s="69" t="inlineStr">
        <is>
          <t>Fixed rate</t>
        </is>
      </c>
      <c r="L656" s="68" t="n">
        <v>120</v>
      </c>
      <c r="M656" s="68" t="n">
        <v>25</v>
      </c>
      <c r="N656" s="68" t="n">
        <v>420</v>
      </c>
      <c r="O656" s="68" t="n">
        <v>60</v>
      </c>
      <c r="P656" s="68" t="n">
        <v>0</v>
      </c>
      <c r="Q656" s="68" t="n">
        <v>95</v>
      </c>
      <c r="R656" s="69" t="inlineStr">
        <is>
          <t>IO then Amort</t>
        </is>
      </c>
      <c r="S656" s="69" t="inlineStr">
        <is>
          <t>No</t>
        </is>
      </c>
      <c r="T656" s="73" t="n">
        <v>43374</v>
      </c>
      <c r="U656" s="73" t="n">
        <v>47032</v>
      </c>
      <c r="V656" s="73" t="n"/>
      <c r="W656" s="69" t="n"/>
      <c r="X656" s="69" t="inlineStr">
        <is>
          <t>Current</t>
        </is>
      </c>
      <c r="Y656" s="68" t="n"/>
      <c r="Z656" s="69" t="inlineStr">
        <is>
          <t>Full Defeasance</t>
        </is>
      </c>
      <c r="AA656" s="69" t="inlineStr">
        <is>
          <t>Previously</t>
        </is>
      </c>
      <c r="AB656" s="69" t="inlineStr">
        <is>
          <t>Never special serv</t>
        </is>
      </c>
      <c r="AC656" s="73" t="n"/>
      <c r="AD656" s="69" t="n"/>
      <c r="AE656" s="69" t="n"/>
      <c r="AF656" s="69" t="inlineStr">
        <is>
          <t>PA</t>
        </is>
      </c>
      <c r="AG656" s="69" t="inlineStr">
        <is>
          <t>Dillsburg</t>
        </is>
      </c>
      <c r="AH656" s="69" t="inlineStr">
        <is>
          <t>York-Hanover, PA</t>
        </is>
      </c>
      <c r="AI656" s="69" t="inlineStr">
        <is>
          <t>Northeast / Mid-Atlantic</t>
        </is>
      </c>
      <c r="AJ656" s="69" t="inlineStr">
        <is>
          <t>RT</t>
        </is>
      </c>
      <c r="AK656" s="69" t="inlineStr">
        <is>
          <t>Anchored</t>
        </is>
      </c>
      <c r="AL656" s="68" t="n">
        <v>1</v>
      </c>
      <c r="AM656" s="68" t="n"/>
      <c r="AN656" s="68" t="n">
        <v>153088</v>
      </c>
      <c r="AO656" s="69" t="inlineStr">
        <is>
          <t>1992</t>
        </is>
      </c>
      <c r="AP656" s="70" t="n">
        <v>2002</v>
      </c>
      <c r="AQ656" s="74" t="n">
        <v>1.48</v>
      </c>
      <c r="AR656" s="74" t="n">
        <v>1.54</v>
      </c>
      <c r="AS656" s="74" t="n">
        <v>73.8</v>
      </c>
      <c r="AT656" s="74" t="n">
        <v>70.62</v>
      </c>
      <c r="AU656" s="74" t="n">
        <v>68.06</v>
      </c>
      <c r="AV656" s="74" t="n">
        <v>9.529388889</v>
      </c>
      <c r="AW656" s="74" t="n">
        <v>10.663922492</v>
      </c>
      <c r="AX656" s="75" t="n">
        <v>88</v>
      </c>
      <c r="AY656" s="71" t="n">
        <v>24400000</v>
      </c>
      <c r="AZ656" s="71" t="n">
        <v>24400000</v>
      </c>
      <c r="BA656" s="71" t="n">
        <v>1715290</v>
      </c>
      <c r="BB656" s="71" t="n">
        <v>1338800.55</v>
      </c>
      <c r="BC656" s="69" t="inlineStr">
        <is>
          <t>Acquisition</t>
        </is>
      </c>
      <c r="BD656" s="69" t="inlineStr">
        <is>
          <t>N</t>
        </is>
      </c>
      <c r="BE656" s="71" t="n"/>
      <c r="BF656" s="71" t="n"/>
      <c r="BG656" s="71" t="n"/>
      <c r="BH656" s="71" t="n">
        <v>0</v>
      </c>
      <c r="BI656" s="71" t="n">
        <v>0</v>
      </c>
      <c r="BJ656" s="69" t="inlineStr">
        <is>
          <t>N</t>
        </is>
      </c>
      <c r="BK656" s="69" t="inlineStr">
        <is>
          <t>Giant Food Market</t>
        </is>
      </c>
      <c r="BL656" s="75" t="n">
        <v>38.38</v>
      </c>
      <c r="BM656" s="73" t="n">
        <v>46691</v>
      </c>
      <c r="BN656" s="69" t="inlineStr">
        <is>
          <t>Leo S. Ullman and Robert F. Whalen, Jr.</t>
        </is>
      </c>
      <c r="BO656" s="69" t="inlineStr">
        <is>
          <t>Citigroup Global Markets</t>
        </is>
      </c>
      <c r="BP656" s="69" t="inlineStr">
        <is>
          <t>TriMont Real Estate Advisors</t>
        </is>
      </c>
      <c r="BQ656" s="69" t="inlineStr">
        <is>
          <t>K-Star Asset Management LLC</t>
        </is>
      </c>
      <c r="BR656" s="69" t="n"/>
      <c r="BS656" s="73" t="n">
        <v>46273</v>
      </c>
      <c r="BU656" s="76">
        <f>IF($C656="","",IFERROR(INDEX(dmName,MATCH($C656,dmID,0)),"Unmapped"))</f>
        <v/>
      </c>
      <c r="BV656" s="76">
        <f>IF($C656="","",IFERROR(INDEX(dmEntity,MATCH($C656,dmID,0)),"Unmapped"))</f>
        <v/>
      </c>
      <c r="BW656" s="77">
        <f>IF($C656="","",IFERROR(INDEX(dmVintage,MATCH($C656,dmID,0)),""))</f>
        <v/>
      </c>
      <c r="BX656" s="78">
        <f>IFERROR(INDEX(dmInclude,MATCH($C656,dmID,0)),0)</f>
        <v/>
      </c>
      <c r="BY656" s="78">
        <f>IF(N($I656)&gt;0,1,0)</f>
        <v/>
      </c>
      <c r="BZ656" s="76">
        <f>IF($AJ656="","Other / Leased Fee",IFERROR(INDEX(mapPTGroup,MATCH(LEFT(TRIM($AJ656),2),mapPTCode,0)),"Other / Leased Fee"))</f>
        <v/>
      </c>
      <c r="CA656" s="76">
        <f>IF(TRIM($AF656&amp;"")="","NR",LEFT(TRIM($AF656),2))</f>
        <v/>
      </c>
      <c r="CB656" s="76">
        <f>IFERROR(LOOKUP(2,1/(LEFT(TRIM($AI656&amp;""),LEN(mapRegion))=mapRegion),mapRegion),"Not Reported")</f>
        <v/>
      </c>
      <c r="CC656" s="76">
        <f>IF($BY656=0,"",IF(TRIM($W656&amp;"")="REO","REO",IF(TRIM($W656&amp;"")="FC","Foreclosure",IF(TRIM($W656&amp;"")="90+","90+ Days Delinquent",IF(TRIM($W656&amp;"")="60","60 Days Delinquent",IF(TRIM($W656&amp;"")="30","30 Days Delinquent",IF($X656="Non-Performing Matured Balloon","Non-Performing Matured Balloon",IF(OR($X656="Late Payment But Less Than 30 Days Delinquent",LEFT($X656&amp;"",20)="Payment Not Received"),"Late / In Grace (&lt;30 Days)",IF($X656="Performing Matured Balloon","Performing Matured Balloon","Current")))))))))</f>
        <v/>
      </c>
      <c r="CD656" s="78">
        <f>IF(OR($CC656="REO",$CC656="Foreclosure",$CC656="90+ Days Delinquent",$CC656="60 Days Delinquent",$CC656="30 Days Delinquent",$CC656="Non-Performing Matured Balloon"),1,0)</f>
        <v/>
      </c>
      <c r="CE656" s="76">
        <f>IF($AB656="Currently special serv","Currently Specially Serviced",IF($AB656="Returned to master serv","Previously Specially Serviced","Never Specially Serviced"))</f>
        <v/>
      </c>
      <c r="CF656" s="78">
        <f>IF($CE656="Currently Specially Serviced",1,0)</f>
        <v/>
      </c>
      <c r="CG656" s="76">
        <f>IF($AA656="Yes","Currently on Watchlist",IF($AA656="Previously","Previously on Watchlist","Never on Watchlist"))</f>
        <v/>
      </c>
      <c r="CH656" s="78">
        <f>IF($CG656="Currently on Watchlist",1,0)</f>
        <v/>
      </c>
      <c r="CI656" s="76">
        <f>IF($Z656="Full Defeasance","Fully Defeased",IF($Z656="Portion Of Loan Previously Defeased","Partially Defeased",IF($Z656="Defeasance Not Allowable","Not Defeased (Not Permitted)","Not Defeased")))</f>
        <v/>
      </c>
      <c r="CJ656" s="78">
        <f>IF($CI656="Fully Defeased",1,0)</f>
        <v/>
      </c>
      <c r="CK656" s="76">
        <f>IF($R656="IO","Full IO",IF(LEFT($R656&amp;"",7)="IO then","Partial IO","Amortizing"))</f>
        <v/>
      </c>
      <c r="CL656" s="78">
        <f>IF($CK656="Full IO",1,0)</f>
        <v/>
      </c>
      <c r="CM656" s="78">
        <f>IF($CK656="Partial IO",1,0)</f>
        <v/>
      </c>
      <c r="CN656" s="76">
        <f>IF(LEFT($F656&amp;"",10)="SPLIT_LOAN","Pari Passu Split","Standalone")</f>
        <v/>
      </c>
      <c r="CO656" s="78">
        <f>IF($CN656="Pari Passu Split",1,0)</f>
        <v/>
      </c>
      <c r="CP656" s="77">
        <f>IF(ISNUMBER($T656),YEAR($T656),"")</f>
        <v/>
      </c>
      <c r="CQ656" s="79">
        <f>IF(ISNUMBER($V656),$V656,IF(ISNUMBER($U656),$U656,""))</f>
        <v/>
      </c>
      <c r="CR656" s="77">
        <f>IF(ISNUMBER($CQ656),YEAR($CQ656),"")</f>
        <v/>
      </c>
      <c r="CS656" s="78">
        <f>IF(ISNUMBER($M656),MAX(0,$M656),IF(TRIM($M656&amp;"")="matured",0,""))</f>
        <v/>
      </c>
      <c r="CT656" s="78">
        <f>IF(AND(ISNUMBER($CS656),N($CS656)&lt;=mMatWindow),1,0)</f>
        <v/>
      </c>
      <c r="CU656" s="80">
        <f>IF(ISNUMBER($J656),$J656/100,"")</f>
        <v/>
      </c>
      <c r="CV656" s="81">
        <f>IF(ISNUMBER($AQ656),$AQ656,"")</f>
        <v/>
      </c>
      <c r="CW656" s="81">
        <f>IF(ISNUMBER($AR656),$AR656,"")</f>
        <v/>
      </c>
      <c r="CX656" s="82">
        <f>IF(ISNUMBER($AS656),$AS656/100,"")</f>
        <v/>
      </c>
      <c r="CY656" s="82">
        <f>IF(ISNUMBER($AT656),$AT656/100,"")</f>
        <v/>
      </c>
      <c r="CZ656" s="82">
        <f>IF(ISNUMBER($AU656),$AU656/100,"")</f>
        <v/>
      </c>
      <c r="DA656" s="82">
        <f>IF(ISNUMBER($AV656),$AV656/100,"")</f>
        <v/>
      </c>
      <c r="DB656" s="82">
        <f>IF(ISNUMBER($AW656),$AW656/100,"")</f>
        <v/>
      </c>
      <c r="DC656" s="82">
        <f>IF(ISNUMBER($AX656),$AX656/100,"")</f>
        <v/>
      </c>
      <c r="DD656" s="77">
        <f>IFERROR(VALUE(LEFT(TRIM($AO656&amp;""),4)),"")</f>
        <v/>
      </c>
      <c r="DE656" s="78">
        <f>IF(AND($BY656=1,$BX656=1,OR(fDeal="All Deals",$BU656=fDeal),OR(fEntity="All Entities",$BV656=fEntity),OR(fPType="All Property Types",$BZ656=fPType),OR(fDefeased="Include",$CJ656=0)),1,0)</f>
        <v/>
      </c>
      <c r="DF656" s="83">
        <f>$DE656*N($I656)</f>
        <v/>
      </c>
      <c r="DG656" s="78">
        <f>IF($DE656=1,IF(COUNTIFS($F$8:$F656,$F656,$DE$8:$DE656,1)=1,1,0),0)</f>
        <v/>
      </c>
      <c r="DH656" s="83">
        <f>IF($DG656=1,SUMIFS($DF$8:$DF$1600,$F$8:$F$1600,$F656),0)</f>
        <v/>
      </c>
      <c r="DI656" s="78">
        <f>IF($DG656=1,COUNTIFS($F$8:$F$1600,$F656,$DE$8:$DE$1600,1),0)</f>
        <v/>
      </c>
      <c r="DJ656" s="84">
        <f>IF($DG656=1,$DH656+(100000-ROW())/mTieBreak,0)</f>
        <v/>
      </c>
    </row>
    <row r="657">
      <c r="B657" s="68" t="n">
        <v>17</v>
      </c>
      <c r="C657" s="69" t="inlineStr">
        <is>
          <t>CTG18C06</t>
        </is>
      </c>
      <c r="D657" s="69" t="inlineStr">
        <is>
          <t>17.000</t>
        </is>
      </c>
      <c r="E657" s="69" t="inlineStr">
        <is>
          <t>Connexion</t>
        </is>
      </c>
      <c r="F657" s="69" t="inlineStr">
        <is>
          <t>LNCTG18C06-17.000</t>
        </is>
      </c>
      <c r="G657" s="70" t="n"/>
      <c r="H657" s="71" t="n">
        <v>16320000</v>
      </c>
      <c r="I657" s="71" t="n">
        <v>0</v>
      </c>
      <c r="J657" s="72" t="n">
        <v>5.28</v>
      </c>
      <c r="K657" s="69" t="inlineStr">
        <is>
          <t>Fixed rate</t>
        </is>
      </c>
      <c r="L657" s="68" t="n">
        <v>60</v>
      </c>
      <c r="M657" s="68" t="n"/>
      <c r="N657" s="68" t="n">
        <v>384</v>
      </c>
      <c r="O657" s="68" t="n">
        <v>24</v>
      </c>
      <c r="P657" s="68" t="n"/>
      <c r="Q657" s="68" t="n"/>
      <c r="R657" s="69" t="inlineStr">
        <is>
          <t>IO then Amort</t>
        </is>
      </c>
      <c r="S657" s="69" t="inlineStr">
        <is>
          <t>No</t>
        </is>
      </c>
      <c r="T657" s="73" t="n">
        <v>43374</v>
      </c>
      <c r="U657" s="73" t="n">
        <v>45205</v>
      </c>
      <c r="V657" s="73" t="n"/>
      <c r="W657" s="69" t="n"/>
      <c r="X657" s="69" t="inlineStr">
        <is>
          <t>Current</t>
        </is>
      </c>
      <c r="Y657" s="68" t="n"/>
      <c r="Z657" s="69" t="inlineStr">
        <is>
          <t>Full Defeasance</t>
        </is>
      </c>
      <c r="AA657" s="69" t="n"/>
      <c r="AB657" s="69" t="inlineStr">
        <is>
          <t>Never special serv</t>
        </is>
      </c>
      <c r="AC657" s="73" t="n"/>
      <c r="AD657" s="69" t="n"/>
      <c r="AE657" s="69" t="n"/>
      <c r="AF657" s="69" t="inlineStr">
        <is>
          <t>GA</t>
        </is>
      </c>
      <c r="AG657" s="69" t="inlineStr">
        <is>
          <t>Roswell</t>
        </is>
      </c>
      <c r="AH657" s="69" t="inlineStr">
        <is>
          <t>Atlanta-Sandy Springs-Roswell, GA</t>
        </is>
      </c>
      <c r="AI657" s="69" t="inlineStr">
        <is>
          <t>South / Atlantic</t>
        </is>
      </c>
      <c r="AJ657" s="69" t="inlineStr">
        <is>
          <t>RT</t>
        </is>
      </c>
      <c r="AK657" s="69" t="inlineStr">
        <is>
          <t>Anchored</t>
        </is>
      </c>
      <c r="AL657" s="68" t="n">
        <v>1</v>
      </c>
      <c r="AM657" s="68" t="n"/>
      <c r="AN657" s="68" t="n">
        <v>107707</v>
      </c>
      <c r="AO657" s="69" t="inlineStr">
        <is>
          <t>1985</t>
        </is>
      </c>
      <c r="AP657" s="70" t="n">
        <v>2013</v>
      </c>
      <c r="AQ657" s="74" t="n">
        <v>1.39</v>
      </c>
      <c r="AR657" s="74" t="n">
        <v>1.54</v>
      </c>
      <c r="AS657" s="74" t="n">
        <v>68.59999999999999</v>
      </c>
      <c r="AT657" s="74" t="n"/>
      <c r="AU657" s="74" t="n">
        <v>65.69</v>
      </c>
      <c r="AV657" s="74" t="n">
        <v>9.209481924</v>
      </c>
      <c r="AW657" s="74" t="n"/>
      <c r="AX657" s="75" t="n">
        <v>97</v>
      </c>
      <c r="AY657" s="71" t="n">
        <v>23800000</v>
      </c>
      <c r="AZ657" s="71" t="n">
        <v>23800000</v>
      </c>
      <c r="BA657" s="71" t="n">
        <v>1502987.45</v>
      </c>
      <c r="BB657" s="71" t="n">
        <v>1250673.03</v>
      </c>
      <c r="BC657" s="69" t="inlineStr">
        <is>
          <t>Acquisition</t>
        </is>
      </c>
      <c r="BD657" s="69" t="inlineStr">
        <is>
          <t>N</t>
        </is>
      </c>
      <c r="BE657" s="71" t="n"/>
      <c r="BF657" s="71" t="n"/>
      <c r="BG657" s="71" t="n"/>
      <c r="BH657" s="71" t="n">
        <v>0</v>
      </c>
      <c r="BI657" s="71" t="n">
        <v>0</v>
      </c>
      <c r="BJ657" s="69" t="inlineStr">
        <is>
          <t>N</t>
        </is>
      </c>
      <c r="BK657" s="69" t="inlineStr">
        <is>
          <t>Planet Fitness</t>
        </is>
      </c>
      <c r="BL657" s="75" t="n">
        <v>18.26</v>
      </c>
      <c r="BM657" s="73" t="n">
        <v>45747</v>
      </c>
      <c r="BN657" s="69" t="inlineStr">
        <is>
          <t>Amy Stevens and David Weinstein</t>
        </is>
      </c>
      <c r="BO657" s="69" t="inlineStr">
        <is>
          <t>Citigroup Global Markets</t>
        </is>
      </c>
      <c r="BP657" s="69" t="inlineStr">
        <is>
          <t>Wells Fargo</t>
        </is>
      </c>
      <c r="BQ657" s="69" t="inlineStr">
        <is>
          <t>K-Star Asset Management LLC</t>
        </is>
      </c>
      <c r="BR657" s="69" t="inlineStr">
        <is>
          <t>Full Payoff At Maturity</t>
        </is>
      </c>
      <c r="BS657" s="73" t="n">
        <v>45205</v>
      </c>
      <c r="BU657" s="76">
        <f>IF($C657="","",IFERROR(INDEX(dmName,MATCH($C657,dmID,0)),"Unmapped"))</f>
        <v/>
      </c>
      <c r="BV657" s="76">
        <f>IF($C657="","",IFERROR(INDEX(dmEntity,MATCH($C657,dmID,0)),"Unmapped"))</f>
        <v/>
      </c>
      <c r="BW657" s="77">
        <f>IF($C657="","",IFERROR(INDEX(dmVintage,MATCH($C657,dmID,0)),""))</f>
        <v/>
      </c>
      <c r="BX657" s="78">
        <f>IFERROR(INDEX(dmInclude,MATCH($C657,dmID,0)),0)</f>
        <v/>
      </c>
      <c r="BY657" s="78">
        <f>IF(N($I657)&gt;0,1,0)</f>
        <v/>
      </c>
      <c r="BZ657" s="76">
        <f>IF($AJ657="","Other / Leased Fee",IFERROR(INDEX(mapPTGroup,MATCH(LEFT(TRIM($AJ657),2),mapPTCode,0)),"Other / Leased Fee"))</f>
        <v/>
      </c>
      <c r="CA657" s="76">
        <f>IF(TRIM($AF657&amp;"")="","NR",LEFT(TRIM($AF657),2))</f>
        <v/>
      </c>
      <c r="CB657" s="76">
        <f>IFERROR(LOOKUP(2,1/(LEFT(TRIM($AI657&amp;""),LEN(mapRegion))=mapRegion),mapRegion),"Not Reported")</f>
        <v/>
      </c>
      <c r="CC657" s="76">
        <f>IF($BY657=0,"",IF(TRIM($W657&amp;"")="REO","REO",IF(TRIM($W657&amp;"")="FC","Foreclosure",IF(TRIM($W657&amp;"")="90+","90+ Days Delinquent",IF(TRIM($W657&amp;"")="60","60 Days Delinquent",IF(TRIM($W657&amp;"")="30","30 Days Delinquent",IF($X657="Non-Performing Matured Balloon","Non-Performing Matured Balloon",IF(OR($X657="Late Payment But Less Than 30 Days Delinquent",LEFT($X657&amp;"",20)="Payment Not Received"),"Late / In Grace (&lt;30 Days)",IF($X657="Performing Matured Balloon","Performing Matured Balloon","Current")))))))))</f>
        <v/>
      </c>
      <c r="CD657" s="78">
        <f>IF(OR($CC657="REO",$CC657="Foreclosure",$CC657="90+ Days Delinquent",$CC657="60 Days Delinquent",$CC657="30 Days Delinquent",$CC657="Non-Performing Matured Balloon"),1,0)</f>
        <v/>
      </c>
      <c r="CE657" s="76">
        <f>IF($AB657="Currently special serv","Currently Specially Serviced",IF($AB657="Returned to master serv","Previously Specially Serviced","Never Specially Serviced"))</f>
        <v/>
      </c>
      <c r="CF657" s="78">
        <f>IF($CE657="Currently Specially Serviced",1,0)</f>
        <v/>
      </c>
      <c r="CG657" s="76">
        <f>IF($AA657="Yes","Currently on Watchlist",IF($AA657="Previously","Previously on Watchlist","Never on Watchlist"))</f>
        <v/>
      </c>
      <c r="CH657" s="78">
        <f>IF($CG657="Currently on Watchlist",1,0)</f>
        <v/>
      </c>
      <c r="CI657" s="76">
        <f>IF($Z657="Full Defeasance","Fully Defeased",IF($Z657="Portion Of Loan Previously Defeased","Partially Defeased",IF($Z657="Defeasance Not Allowable","Not Defeased (Not Permitted)","Not Defeased")))</f>
        <v/>
      </c>
      <c r="CJ657" s="78">
        <f>IF($CI657="Fully Defeased",1,0)</f>
        <v/>
      </c>
      <c r="CK657" s="76">
        <f>IF($R657="IO","Full IO",IF(LEFT($R657&amp;"",7)="IO then","Partial IO","Amortizing"))</f>
        <v/>
      </c>
      <c r="CL657" s="78">
        <f>IF($CK657="Full IO",1,0)</f>
        <v/>
      </c>
      <c r="CM657" s="78">
        <f>IF($CK657="Partial IO",1,0)</f>
        <v/>
      </c>
      <c r="CN657" s="76">
        <f>IF(LEFT($F657&amp;"",10)="SPLIT_LOAN","Pari Passu Split","Standalone")</f>
        <v/>
      </c>
      <c r="CO657" s="78">
        <f>IF($CN657="Pari Passu Split",1,0)</f>
        <v/>
      </c>
      <c r="CP657" s="77">
        <f>IF(ISNUMBER($T657),YEAR($T657),"")</f>
        <v/>
      </c>
      <c r="CQ657" s="79">
        <f>IF(ISNUMBER($V657),$V657,IF(ISNUMBER($U657),$U657,""))</f>
        <v/>
      </c>
      <c r="CR657" s="77">
        <f>IF(ISNUMBER($CQ657),YEAR($CQ657),"")</f>
        <v/>
      </c>
      <c r="CS657" s="78">
        <f>IF(ISNUMBER($M657),MAX(0,$M657),IF(TRIM($M657&amp;"")="matured",0,""))</f>
        <v/>
      </c>
      <c r="CT657" s="78">
        <f>IF(AND(ISNUMBER($CS657),N($CS657)&lt;=mMatWindow),1,0)</f>
        <v/>
      </c>
      <c r="CU657" s="80">
        <f>IF(ISNUMBER($J657),$J657/100,"")</f>
        <v/>
      </c>
      <c r="CV657" s="81">
        <f>IF(ISNUMBER($AQ657),$AQ657,"")</f>
        <v/>
      </c>
      <c r="CW657" s="81">
        <f>IF(ISNUMBER($AR657),$AR657,"")</f>
        <v/>
      </c>
      <c r="CX657" s="82">
        <f>IF(ISNUMBER($AS657),$AS657/100,"")</f>
        <v/>
      </c>
      <c r="CY657" s="82">
        <f>IF(ISNUMBER($AT657),$AT657/100,"")</f>
        <v/>
      </c>
      <c r="CZ657" s="82">
        <f>IF(ISNUMBER($AU657),$AU657/100,"")</f>
        <v/>
      </c>
      <c r="DA657" s="82">
        <f>IF(ISNUMBER($AV657),$AV657/100,"")</f>
        <v/>
      </c>
      <c r="DB657" s="82">
        <f>IF(ISNUMBER($AW657),$AW657/100,"")</f>
        <v/>
      </c>
      <c r="DC657" s="82">
        <f>IF(ISNUMBER($AX657),$AX657/100,"")</f>
        <v/>
      </c>
      <c r="DD657" s="77">
        <f>IFERROR(VALUE(LEFT(TRIM($AO657&amp;""),4)),"")</f>
        <v/>
      </c>
      <c r="DE657" s="78">
        <f>IF(AND($BY657=1,$BX657=1,OR(fDeal="All Deals",$BU657=fDeal),OR(fEntity="All Entities",$BV657=fEntity),OR(fPType="All Property Types",$BZ657=fPType),OR(fDefeased="Include",$CJ657=0)),1,0)</f>
        <v/>
      </c>
      <c r="DF657" s="83">
        <f>$DE657*N($I657)</f>
        <v/>
      </c>
      <c r="DG657" s="78">
        <f>IF($DE657=1,IF(COUNTIFS($F$8:$F657,$F657,$DE$8:$DE657,1)=1,1,0),0)</f>
        <v/>
      </c>
      <c r="DH657" s="83">
        <f>IF($DG657=1,SUMIFS($DF$8:$DF$1600,$F$8:$F$1600,$F657),0)</f>
        <v/>
      </c>
      <c r="DI657" s="78">
        <f>IF($DG657=1,COUNTIFS($F$8:$F$1600,$F657,$DE$8:$DE$1600,1),0)</f>
        <v/>
      </c>
      <c r="DJ657" s="84">
        <f>IF($DG657=1,$DH657+(100000-ROW())/mTieBreak,0)</f>
        <v/>
      </c>
    </row>
    <row r="658">
      <c r="B658" s="68" t="n">
        <v>18</v>
      </c>
      <c r="C658" s="69" t="inlineStr">
        <is>
          <t>CTG18C06</t>
        </is>
      </c>
      <c r="D658" s="69" t="inlineStr">
        <is>
          <t>18.000</t>
        </is>
      </c>
      <c r="E658" s="69" t="inlineStr">
        <is>
          <t>CityLine XV Portfolio</t>
        </is>
      </c>
      <c r="F658" s="69" t="inlineStr">
        <is>
          <t>LNCTG18C06-18.000</t>
        </is>
      </c>
      <c r="G658" s="70" t="n"/>
      <c r="H658" s="71" t="n">
        <v>15600000</v>
      </c>
      <c r="I658" s="71" t="n">
        <v>14526016.4300004</v>
      </c>
      <c r="J658" s="72" t="n">
        <v>5.46</v>
      </c>
      <c r="K658" s="69" t="inlineStr">
        <is>
          <t>Fixed rate</t>
        </is>
      </c>
      <c r="L658" s="68" t="n">
        <v>120</v>
      </c>
      <c r="M658" s="68" t="n">
        <v>26</v>
      </c>
      <c r="N658" s="68" t="n">
        <v>396</v>
      </c>
      <c r="O658" s="68" t="n">
        <v>36</v>
      </c>
      <c r="P658" s="68" t="n">
        <v>0</v>
      </c>
      <c r="Q658" s="68" t="n">
        <v>94</v>
      </c>
      <c r="R658" s="69" t="inlineStr">
        <is>
          <t>IO then Amort</t>
        </is>
      </c>
      <c r="S658" s="69" t="inlineStr">
        <is>
          <t>No</t>
        </is>
      </c>
      <c r="T658" s="73" t="n">
        <v>43405</v>
      </c>
      <c r="U658" s="73" t="n">
        <v>47063</v>
      </c>
      <c r="V658" s="73" t="n"/>
      <c r="W658" s="69" t="n"/>
      <c r="X658" s="69" t="inlineStr">
        <is>
          <t>Current</t>
        </is>
      </c>
      <c r="Y658" s="68" t="n"/>
      <c r="Z658" s="69" t="inlineStr">
        <is>
          <t>No Defeasance Occurred</t>
        </is>
      </c>
      <c r="AA658" s="69" t="inlineStr">
        <is>
          <t>Previously</t>
        </is>
      </c>
      <c r="AB658" s="69" t="inlineStr">
        <is>
          <t>Never special serv</t>
        </is>
      </c>
      <c r="AC658" s="73" t="n"/>
      <c r="AD658" s="69" t="n"/>
      <c r="AE658" s="69" t="n"/>
      <c r="AF658" s="69" t="inlineStr">
        <is>
          <t>AL-43.108974303% TX-33.974363404% FL-22.916662294%</t>
        </is>
      </c>
      <c r="AG658" s="69" t="n"/>
      <c r="AH658" s="69" t="inlineStr">
        <is>
          <t>Huntsville, AL-43.108974303% Dallas-Fort Worth-Arlington, TX-33.974363404% Ocala, FL-22.916662294%</t>
        </is>
      </c>
      <c r="AI658" s="69" t="inlineStr">
        <is>
          <t>South / Central East-43.108974303% South / Central West-33.974363404% South / Atlantic-22.916662294%</t>
        </is>
      </c>
      <c r="AJ658" s="69" t="inlineStr">
        <is>
          <t>SS</t>
        </is>
      </c>
      <c r="AK658" s="69" t="n"/>
      <c r="AL658" s="68" t="n">
        <v>4</v>
      </c>
      <c r="AM658" s="68" t="n"/>
      <c r="AN658" s="68" t="n">
        <v>203107</v>
      </c>
      <c r="AO658" s="69" t="n"/>
      <c r="AP658" s="70" t="n">
        <v>2008</v>
      </c>
      <c r="AQ658" s="74" t="n">
        <v>1.27</v>
      </c>
      <c r="AR658" s="74" t="n">
        <v>1.93</v>
      </c>
      <c r="AS658" s="74" t="n">
        <v>69.09999999999999</v>
      </c>
      <c r="AT658" s="74" t="n">
        <v>65.43000000000001</v>
      </c>
      <c r="AU658" s="74" t="n">
        <v>62.8</v>
      </c>
      <c r="AV658" s="74" t="n">
        <v>8.645275641</v>
      </c>
      <c r="AW658" s="74" t="n">
        <v>14.72122526</v>
      </c>
      <c r="AX658" s="75" t="n">
        <v>86</v>
      </c>
      <c r="AY658" s="71" t="n">
        <v>22200000</v>
      </c>
      <c r="AZ658" s="71" t="n">
        <v>22200000</v>
      </c>
      <c r="BA658" s="71" t="n">
        <v>1348663</v>
      </c>
      <c r="BB658" s="71" t="n">
        <v>1020508.28</v>
      </c>
      <c r="BC658" s="69" t="inlineStr">
        <is>
          <t>Acquisition</t>
        </is>
      </c>
      <c r="BD658" s="69" t="inlineStr">
        <is>
          <t>N</t>
        </is>
      </c>
      <c r="BE658" s="71" t="n"/>
      <c r="BF658" s="71" t="n"/>
      <c r="BG658" s="71" t="n"/>
      <c r="BH658" s="71" t="n">
        <v>0</v>
      </c>
      <c r="BI658" s="71" t="n">
        <v>0</v>
      </c>
      <c r="BJ658" s="69" t="inlineStr">
        <is>
          <t>N</t>
        </is>
      </c>
      <c r="BK658" s="69" t="n"/>
      <c r="BL658" s="75" t="n"/>
      <c r="BM658" s="73" t="n"/>
      <c r="BN658" s="69" t="inlineStr">
        <is>
          <t>George Thacker, Lawrence Charles Kaplan and Richard Schontz</t>
        </is>
      </c>
      <c r="BO658" s="69" t="inlineStr">
        <is>
          <t>Citigroup Global Markets</t>
        </is>
      </c>
      <c r="BP658" s="69" t="inlineStr">
        <is>
          <t>TriMont Real Estate Advisors</t>
        </is>
      </c>
      <c r="BQ658" s="69" t="inlineStr">
        <is>
          <t>K-Star Asset Management LLC</t>
        </is>
      </c>
      <c r="BR658" s="69" t="n"/>
      <c r="BS658" s="73" t="n">
        <v>46273</v>
      </c>
      <c r="BU658" s="76">
        <f>IF($C658="","",IFERROR(INDEX(dmName,MATCH($C658,dmID,0)),"Unmapped"))</f>
        <v/>
      </c>
      <c r="BV658" s="76">
        <f>IF($C658="","",IFERROR(INDEX(dmEntity,MATCH($C658,dmID,0)),"Unmapped"))</f>
        <v/>
      </c>
      <c r="BW658" s="77">
        <f>IF($C658="","",IFERROR(INDEX(dmVintage,MATCH($C658,dmID,0)),""))</f>
        <v/>
      </c>
      <c r="BX658" s="78">
        <f>IFERROR(INDEX(dmInclude,MATCH($C658,dmID,0)),0)</f>
        <v/>
      </c>
      <c r="BY658" s="78">
        <f>IF(N($I658)&gt;0,1,0)</f>
        <v/>
      </c>
      <c r="BZ658" s="76">
        <f>IF($AJ658="","Other / Leased Fee",IFERROR(INDEX(mapPTGroup,MATCH(LEFT(TRIM($AJ658),2),mapPTCode,0)),"Other / Leased Fee"))</f>
        <v/>
      </c>
      <c r="CA658" s="76">
        <f>IF(TRIM($AF658&amp;"")="","NR",LEFT(TRIM($AF658),2))</f>
        <v/>
      </c>
      <c r="CB658" s="76">
        <f>IFERROR(LOOKUP(2,1/(LEFT(TRIM($AI658&amp;""),LEN(mapRegion))=mapRegion),mapRegion),"Not Reported")</f>
        <v/>
      </c>
      <c r="CC658" s="76">
        <f>IF($BY658=0,"",IF(TRIM($W658&amp;"")="REO","REO",IF(TRIM($W658&amp;"")="FC","Foreclosure",IF(TRIM($W658&amp;"")="90+","90+ Days Delinquent",IF(TRIM($W658&amp;"")="60","60 Days Delinquent",IF(TRIM($W658&amp;"")="30","30 Days Delinquent",IF($X658="Non-Performing Matured Balloon","Non-Performing Matured Balloon",IF(OR($X658="Late Payment But Less Than 30 Days Delinquent",LEFT($X658&amp;"",20)="Payment Not Received"),"Late / In Grace (&lt;30 Days)",IF($X658="Performing Matured Balloon","Performing Matured Balloon","Current")))))))))</f>
        <v/>
      </c>
      <c r="CD658" s="78">
        <f>IF(OR($CC658="REO",$CC658="Foreclosure",$CC658="90+ Days Delinquent",$CC658="60 Days Delinquent",$CC658="30 Days Delinquent",$CC658="Non-Performing Matured Balloon"),1,0)</f>
        <v/>
      </c>
      <c r="CE658" s="76">
        <f>IF($AB658="Currently special serv","Currently Specially Serviced",IF($AB658="Returned to master serv","Previously Specially Serviced","Never Specially Serviced"))</f>
        <v/>
      </c>
      <c r="CF658" s="78">
        <f>IF($CE658="Currently Specially Serviced",1,0)</f>
        <v/>
      </c>
      <c r="CG658" s="76">
        <f>IF($AA658="Yes","Currently on Watchlist",IF($AA658="Previously","Previously on Watchlist","Never on Watchlist"))</f>
        <v/>
      </c>
      <c r="CH658" s="78">
        <f>IF($CG658="Currently on Watchlist",1,0)</f>
        <v/>
      </c>
      <c r="CI658" s="76">
        <f>IF($Z658="Full Defeasance","Fully Defeased",IF($Z658="Portion Of Loan Previously Defeased","Partially Defeased",IF($Z658="Defeasance Not Allowable","Not Defeased (Not Permitted)","Not Defeased")))</f>
        <v/>
      </c>
      <c r="CJ658" s="78">
        <f>IF($CI658="Fully Defeased",1,0)</f>
        <v/>
      </c>
      <c r="CK658" s="76">
        <f>IF($R658="IO","Full IO",IF(LEFT($R658&amp;"",7)="IO then","Partial IO","Amortizing"))</f>
        <v/>
      </c>
      <c r="CL658" s="78">
        <f>IF($CK658="Full IO",1,0)</f>
        <v/>
      </c>
      <c r="CM658" s="78">
        <f>IF($CK658="Partial IO",1,0)</f>
        <v/>
      </c>
      <c r="CN658" s="76">
        <f>IF(LEFT($F658&amp;"",10)="SPLIT_LOAN","Pari Passu Split","Standalone")</f>
        <v/>
      </c>
      <c r="CO658" s="78">
        <f>IF($CN658="Pari Passu Split",1,0)</f>
        <v/>
      </c>
      <c r="CP658" s="77">
        <f>IF(ISNUMBER($T658),YEAR($T658),"")</f>
        <v/>
      </c>
      <c r="CQ658" s="79">
        <f>IF(ISNUMBER($V658),$V658,IF(ISNUMBER($U658),$U658,""))</f>
        <v/>
      </c>
      <c r="CR658" s="77">
        <f>IF(ISNUMBER($CQ658),YEAR($CQ658),"")</f>
        <v/>
      </c>
      <c r="CS658" s="78">
        <f>IF(ISNUMBER($M658),MAX(0,$M658),IF(TRIM($M658&amp;"")="matured",0,""))</f>
        <v/>
      </c>
      <c r="CT658" s="78">
        <f>IF(AND(ISNUMBER($CS658),N($CS658)&lt;=mMatWindow),1,0)</f>
        <v/>
      </c>
      <c r="CU658" s="80">
        <f>IF(ISNUMBER($J658),$J658/100,"")</f>
        <v/>
      </c>
      <c r="CV658" s="81">
        <f>IF(ISNUMBER($AQ658),$AQ658,"")</f>
        <v/>
      </c>
      <c r="CW658" s="81">
        <f>IF(ISNUMBER($AR658),$AR658,"")</f>
        <v/>
      </c>
      <c r="CX658" s="82">
        <f>IF(ISNUMBER($AS658),$AS658/100,"")</f>
        <v/>
      </c>
      <c r="CY658" s="82">
        <f>IF(ISNUMBER($AT658),$AT658/100,"")</f>
        <v/>
      </c>
      <c r="CZ658" s="82">
        <f>IF(ISNUMBER($AU658),$AU658/100,"")</f>
        <v/>
      </c>
      <c r="DA658" s="82">
        <f>IF(ISNUMBER($AV658),$AV658/100,"")</f>
        <v/>
      </c>
      <c r="DB658" s="82">
        <f>IF(ISNUMBER($AW658),$AW658/100,"")</f>
        <v/>
      </c>
      <c r="DC658" s="82">
        <f>IF(ISNUMBER($AX658),$AX658/100,"")</f>
        <v/>
      </c>
      <c r="DD658" s="77">
        <f>IFERROR(VALUE(LEFT(TRIM($AO658&amp;""),4)),"")</f>
        <v/>
      </c>
      <c r="DE658" s="78">
        <f>IF(AND($BY658=1,$BX658=1,OR(fDeal="All Deals",$BU658=fDeal),OR(fEntity="All Entities",$BV658=fEntity),OR(fPType="All Property Types",$BZ658=fPType),OR(fDefeased="Include",$CJ658=0)),1,0)</f>
        <v/>
      </c>
      <c r="DF658" s="83">
        <f>$DE658*N($I658)</f>
        <v/>
      </c>
      <c r="DG658" s="78">
        <f>IF($DE658=1,IF(COUNTIFS($F$8:$F658,$F658,$DE$8:$DE658,1)=1,1,0),0)</f>
        <v/>
      </c>
      <c r="DH658" s="83">
        <f>IF($DG658=1,SUMIFS($DF$8:$DF$1600,$F$8:$F$1600,$F658),0)</f>
        <v/>
      </c>
      <c r="DI658" s="78">
        <f>IF($DG658=1,COUNTIFS($F$8:$F$1600,$F658,$DE$8:$DE$1600,1),0)</f>
        <v/>
      </c>
      <c r="DJ658" s="84">
        <f>IF($DG658=1,$DH658+(100000-ROW())/mTieBreak,0)</f>
        <v/>
      </c>
    </row>
    <row r="659">
      <c r="B659" s="68" t="n">
        <v>19</v>
      </c>
      <c r="C659" s="69" t="inlineStr">
        <is>
          <t>CTG18C06</t>
        </is>
      </c>
      <c r="D659" s="69" t="inlineStr">
        <is>
          <t>19.000</t>
        </is>
      </c>
      <c r="E659" s="69" t="inlineStr">
        <is>
          <t>TownePlace Suites Clinton at Joint Base Andrews</t>
        </is>
      </c>
      <c r="F659" s="69" t="inlineStr">
        <is>
          <t>LNCTG18C06-19.000</t>
        </is>
      </c>
      <c r="G659" s="70" t="n"/>
      <c r="H659" s="71" t="n">
        <v>15512500</v>
      </c>
      <c r="I659" s="71" t="n">
        <v>13694230.31999299</v>
      </c>
      <c r="J659" s="72" t="n">
        <v>5.68</v>
      </c>
      <c r="K659" s="69" t="inlineStr">
        <is>
          <t>Fixed rate</t>
        </is>
      </c>
      <c r="L659" s="68" t="n">
        <v>120</v>
      </c>
      <c r="M659" s="68" t="n">
        <v>26</v>
      </c>
      <c r="N659" s="68" t="n">
        <v>360</v>
      </c>
      <c r="O659" s="68" t="n"/>
      <c r="P659" s="68" t="n"/>
      <c r="Q659" s="68" t="n">
        <v>94</v>
      </c>
      <c r="R659" s="69" t="n"/>
      <c r="S659" s="69" t="inlineStr">
        <is>
          <t>No</t>
        </is>
      </c>
      <c r="T659" s="73" t="n">
        <v>43405</v>
      </c>
      <c r="U659" s="73" t="n">
        <v>47063</v>
      </c>
      <c r="V659" s="73" t="n"/>
      <c r="W659" s="69" t="n"/>
      <c r="X659" s="69" t="inlineStr">
        <is>
          <t>Current</t>
        </is>
      </c>
      <c r="Y659" s="68" t="n"/>
      <c r="Z659" s="69" t="inlineStr">
        <is>
          <t>No Defeasance Occurred</t>
        </is>
      </c>
      <c r="AA659" s="69" t="inlineStr">
        <is>
          <t>Yes</t>
        </is>
      </c>
      <c r="AB659" s="69" t="inlineStr">
        <is>
          <t>Never special serv</t>
        </is>
      </c>
      <c r="AC659" s="73" t="n"/>
      <c r="AD659" s="69" t="n"/>
      <c r="AE659" s="69" t="n"/>
      <c r="AF659" s="69" t="inlineStr">
        <is>
          <t>MD</t>
        </is>
      </c>
      <c r="AG659" s="69" t="inlineStr">
        <is>
          <t>Clinton</t>
        </is>
      </c>
      <c r="AH659" s="69" t="inlineStr">
        <is>
          <t>Washington-Arlington-Alexandria, DC-VA-MD-WV</t>
        </is>
      </c>
      <c r="AI659" s="69" t="inlineStr">
        <is>
          <t>South / Atlantic</t>
        </is>
      </c>
      <c r="AJ659" s="69" t="inlineStr">
        <is>
          <t>HT</t>
        </is>
      </c>
      <c r="AK659" s="69" t="inlineStr">
        <is>
          <t>Extended Stay</t>
        </is>
      </c>
      <c r="AL659" s="68" t="n">
        <v>1</v>
      </c>
      <c r="AM659" s="68" t="n">
        <v>115</v>
      </c>
      <c r="AN659" s="68" t="n"/>
      <c r="AO659" s="69" t="inlineStr">
        <is>
          <t>2008</t>
        </is>
      </c>
      <c r="AP659" s="70" t="n">
        <v>2015</v>
      </c>
      <c r="AQ659" s="74" t="n">
        <v>1.6</v>
      </c>
      <c r="AR659" s="74" t="n">
        <v>1.09</v>
      </c>
      <c r="AS659" s="74" t="n">
        <v>66.5</v>
      </c>
      <c r="AT659" s="74" t="n">
        <v>58.77</v>
      </c>
      <c r="AU659" s="74" t="n">
        <v>55.92</v>
      </c>
      <c r="AV659" s="74" t="n">
        <v>11.106250314</v>
      </c>
      <c r="AW659" s="74" t="n">
        <v>8.733968701</v>
      </c>
      <c r="AX659" s="75" t="n">
        <v>71</v>
      </c>
      <c r="AY659" s="71" t="n">
        <v>23300000</v>
      </c>
      <c r="AZ659" s="71" t="n">
        <v>23300000</v>
      </c>
      <c r="BA659" s="71" t="n">
        <v>1722857.08</v>
      </c>
      <c r="BB659" s="71" t="n">
        <v>1178850</v>
      </c>
      <c r="BC659" s="69" t="inlineStr">
        <is>
          <t>Acquisition</t>
        </is>
      </c>
      <c r="BD659" s="69" t="inlineStr">
        <is>
          <t>N</t>
        </is>
      </c>
      <c r="BE659" s="71" t="n"/>
      <c r="BF659" s="71" t="n"/>
      <c r="BG659" s="71" t="n"/>
      <c r="BH659" s="71" t="n">
        <v>0</v>
      </c>
      <c r="BI659" s="71" t="n">
        <v>0</v>
      </c>
      <c r="BJ659" s="69" t="inlineStr">
        <is>
          <t>N</t>
        </is>
      </c>
      <c r="BK659" s="69" t="n"/>
      <c r="BL659" s="75" t="n"/>
      <c r="BM659" s="73" t="n"/>
      <c r="BN659" s="69" t="inlineStr">
        <is>
          <t>Civitas Pretium Fund, LP and Civitas Pretium Parallel Fund, LP</t>
        </is>
      </c>
      <c r="BO659" s="69" t="inlineStr">
        <is>
          <t>Citigroup Global Markets</t>
        </is>
      </c>
      <c r="BP659" s="69" t="inlineStr">
        <is>
          <t>TriMont Real Estate Advisors</t>
        </is>
      </c>
      <c r="BQ659" s="69" t="inlineStr">
        <is>
          <t>K-Star Asset Management LLC</t>
        </is>
      </c>
      <c r="BR659" s="69" t="n"/>
      <c r="BS659" s="73" t="n">
        <v>46273</v>
      </c>
      <c r="BU659" s="76">
        <f>IF($C659="","",IFERROR(INDEX(dmName,MATCH($C659,dmID,0)),"Unmapped"))</f>
        <v/>
      </c>
      <c r="BV659" s="76">
        <f>IF($C659="","",IFERROR(INDEX(dmEntity,MATCH($C659,dmID,0)),"Unmapped"))</f>
        <v/>
      </c>
      <c r="BW659" s="77">
        <f>IF($C659="","",IFERROR(INDEX(dmVintage,MATCH($C659,dmID,0)),""))</f>
        <v/>
      </c>
      <c r="BX659" s="78">
        <f>IFERROR(INDEX(dmInclude,MATCH($C659,dmID,0)),0)</f>
        <v/>
      </c>
      <c r="BY659" s="78">
        <f>IF(N($I659)&gt;0,1,0)</f>
        <v/>
      </c>
      <c r="BZ659" s="76">
        <f>IF($AJ659="","Other / Leased Fee",IFERROR(INDEX(mapPTGroup,MATCH(LEFT(TRIM($AJ659),2),mapPTCode,0)),"Other / Leased Fee"))</f>
        <v/>
      </c>
      <c r="CA659" s="76">
        <f>IF(TRIM($AF659&amp;"")="","NR",LEFT(TRIM($AF659),2))</f>
        <v/>
      </c>
      <c r="CB659" s="76">
        <f>IFERROR(LOOKUP(2,1/(LEFT(TRIM($AI659&amp;""),LEN(mapRegion))=mapRegion),mapRegion),"Not Reported")</f>
        <v/>
      </c>
      <c r="CC659" s="76">
        <f>IF($BY659=0,"",IF(TRIM($W659&amp;"")="REO","REO",IF(TRIM($W659&amp;"")="FC","Foreclosure",IF(TRIM($W659&amp;"")="90+","90+ Days Delinquent",IF(TRIM($W659&amp;"")="60","60 Days Delinquent",IF(TRIM($W659&amp;"")="30","30 Days Delinquent",IF($X659="Non-Performing Matured Balloon","Non-Performing Matured Balloon",IF(OR($X659="Late Payment But Less Than 30 Days Delinquent",LEFT($X659&amp;"",20)="Payment Not Received"),"Late / In Grace (&lt;30 Days)",IF($X659="Performing Matured Balloon","Performing Matured Balloon","Current")))))))))</f>
        <v/>
      </c>
      <c r="CD659" s="78">
        <f>IF(OR($CC659="REO",$CC659="Foreclosure",$CC659="90+ Days Delinquent",$CC659="60 Days Delinquent",$CC659="30 Days Delinquent",$CC659="Non-Performing Matured Balloon"),1,0)</f>
        <v/>
      </c>
      <c r="CE659" s="76">
        <f>IF($AB659="Currently special serv","Currently Specially Serviced",IF($AB659="Returned to master serv","Previously Specially Serviced","Never Specially Serviced"))</f>
        <v/>
      </c>
      <c r="CF659" s="78">
        <f>IF($CE659="Currently Specially Serviced",1,0)</f>
        <v/>
      </c>
      <c r="CG659" s="76">
        <f>IF($AA659="Yes","Currently on Watchlist",IF($AA659="Previously","Previously on Watchlist","Never on Watchlist"))</f>
        <v/>
      </c>
      <c r="CH659" s="78">
        <f>IF($CG659="Currently on Watchlist",1,0)</f>
        <v/>
      </c>
      <c r="CI659" s="76">
        <f>IF($Z659="Full Defeasance","Fully Defeased",IF($Z659="Portion Of Loan Previously Defeased","Partially Defeased",IF($Z659="Defeasance Not Allowable","Not Defeased (Not Permitted)","Not Defeased")))</f>
        <v/>
      </c>
      <c r="CJ659" s="78">
        <f>IF($CI659="Fully Defeased",1,0)</f>
        <v/>
      </c>
      <c r="CK659" s="76">
        <f>IF($R659="IO","Full IO",IF(LEFT($R659&amp;"",7)="IO then","Partial IO","Amortizing"))</f>
        <v/>
      </c>
      <c r="CL659" s="78">
        <f>IF($CK659="Full IO",1,0)</f>
        <v/>
      </c>
      <c r="CM659" s="78">
        <f>IF($CK659="Partial IO",1,0)</f>
        <v/>
      </c>
      <c r="CN659" s="76">
        <f>IF(LEFT($F659&amp;"",10)="SPLIT_LOAN","Pari Passu Split","Standalone")</f>
        <v/>
      </c>
      <c r="CO659" s="78">
        <f>IF($CN659="Pari Passu Split",1,0)</f>
        <v/>
      </c>
      <c r="CP659" s="77">
        <f>IF(ISNUMBER($T659),YEAR($T659),"")</f>
        <v/>
      </c>
      <c r="CQ659" s="79">
        <f>IF(ISNUMBER($V659),$V659,IF(ISNUMBER($U659),$U659,""))</f>
        <v/>
      </c>
      <c r="CR659" s="77">
        <f>IF(ISNUMBER($CQ659),YEAR($CQ659),"")</f>
        <v/>
      </c>
      <c r="CS659" s="78">
        <f>IF(ISNUMBER($M659),MAX(0,$M659),IF(TRIM($M659&amp;"")="matured",0,""))</f>
        <v/>
      </c>
      <c r="CT659" s="78">
        <f>IF(AND(ISNUMBER($CS659),N($CS659)&lt;=mMatWindow),1,0)</f>
        <v/>
      </c>
      <c r="CU659" s="80">
        <f>IF(ISNUMBER($J659),$J659/100,"")</f>
        <v/>
      </c>
      <c r="CV659" s="81">
        <f>IF(ISNUMBER($AQ659),$AQ659,"")</f>
        <v/>
      </c>
      <c r="CW659" s="81">
        <f>IF(ISNUMBER($AR659),$AR659,"")</f>
        <v/>
      </c>
      <c r="CX659" s="82">
        <f>IF(ISNUMBER($AS659),$AS659/100,"")</f>
        <v/>
      </c>
      <c r="CY659" s="82">
        <f>IF(ISNUMBER($AT659),$AT659/100,"")</f>
        <v/>
      </c>
      <c r="CZ659" s="82">
        <f>IF(ISNUMBER($AU659),$AU659/100,"")</f>
        <v/>
      </c>
      <c r="DA659" s="82">
        <f>IF(ISNUMBER($AV659),$AV659/100,"")</f>
        <v/>
      </c>
      <c r="DB659" s="82">
        <f>IF(ISNUMBER($AW659),$AW659/100,"")</f>
        <v/>
      </c>
      <c r="DC659" s="82">
        <f>IF(ISNUMBER($AX659),$AX659/100,"")</f>
        <v/>
      </c>
      <c r="DD659" s="77">
        <f>IFERROR(VALUE(LEFT(TRIM($AO659&amp;""),4)),"")</f>
        <v/>
      </c>
      <c r="DE659" s="78">
        <f>IF(AND($BY659=1,$BX659=1,OR(fDeal="All Deals",$BU659=fDeal),OR(fEntity="All Entities",$BV659=fEntity),OR(fPType="All Property Types",$BZ659=fPType),OR(fDefeased="Include",$CJ659=0)),1,0)</f>
        <v/>
      </c>
      <c r="DF659" s="83">
        <f>$DE659*N($I659)</f>
        <v/>
      </c>
      <c r="DG659" s="78">
        <f>IF($DE659=1,IF(COUNTIFS($F$8:$F659,$F659,$DE$8:$DE659,1)=1,1,0),0)</f>
        <v/>
      </c>
      <c r="DH659" s="83">
        <f>IF($DG659=1,SUMIFS($DF$8:$DF$1600,$F$8:$F$1600,$F659),0)</f>
        <v/>
      </c>
      <c r="DI659" s="78">
        <f>IF($DG659=1,COUNTIFS($F$8:$F$1600,$F659,$DE$8:$DE$1600,1),0)</f>
        <v/>
      </c>
      <c r="DJ659" s="84">
        <f>IF($DG659=1,$DH659+(100000-ROW())/mTieBreak,0)</f>
        <v/>
      </c>
    </row>
    <row r="660">
      <c r="B660" s="68" t="n">
        <v>20</v>
      </c>
      <c r="C660" s="69" t="inlineStr">
        <is>
          <t>CTG18C06</t>
        </is>
      </c>
      <c r="D660" s="69" t="inlineStr">
        <is>
          <t>20.000</t>
        </is>
      </c>
      <c r="E660" s="69" t="inlineStr">
        <is>
          <t>Danbury Commerce Portfolio</t>
        </is>
      </c>
      <c r="F660" s="69" t="inlineStr">
        <is>
          <t>SPLIT_LOAN_01439</t>
        </is>
      </c>
      <c r="G660" s="70" t="n">
        <v>1439</v>
      </c>
      <c r="H660" s="71" t="n">
        <v>15200000</v>
      </c>
      <c r="I660" s="71" t="n">
        <v>15200000</v>
      </c>
      <c r="J660" s="72" t="n">
        <v>5.725</v>
      </c>
      <c r="K660" s="69" t="inlineStr">
        <is>
          <t>Fixed rate</t>
        </is>
      </c>
      <c r="L660" s="68" t="n">
        <v>120</v>
      </c>
      <c r="M660" s="68" t="n">
        <v>26</v>
      </c>
      <c r="N660" s="68" t="n">
        <v>120</v>
      </c>
      <c r="O660" s="68" t="n">
        <v>120</v>
      </c>
      <c r="P660" s="68" t="n">
        <v>26</v>
      </c>
      <c r="Q660" s="68" t="n">
        <v>94</v>
      </c>
      <c r="R660" s="69" t="inlineStr">
        <is>
          <t>IO</t>
        </is>
      </c>
      <c r="S660" s="69" t="inlineStr">
        <is>
          <t>Yes</t>
        </is>
      </c>
      <c r="T660" s="73" t="n">
        <v>43405</v>
      </c>
      <c r="U660" s="73" t="n">
        <v>47063</v>
      </c>
      <c r="V660" s="73" t="n"/>
      <c r="W660" s="69" t="n"/>
      <c r="X660" s="69" t="inlineStr">
        <is>
          <t>Current</t>
        </is>
      </c>
      <c r="Y660" s="68" t="n"/>
      <c r="Z660" s="69" t="inlineStr">
        <is>
          <t>No Defeasance Occurred</t>
        </is>
      </c>
      <c r="AA660" s="69" t="inlineStr">
        <is>
          <t>Yes</t>
        </is>
      </c>
      <c r="AB660" s="69" t="inlineStr">
        <is>
          <t>Never special serv</t>
        </is>
      </c>
      <c r="AC660" s="73" t="n"/>
      <c r="AD660" s="69" t="n"/>
      <c r="AE660" s="69" t="n"/>
      <c r="AF660" s="69" t="inlineStr">
        <is>
          <t>CT</t>
        </is>
      </c>
      <c r="AG660" s="69" t="n"/>
      <c r="AH660" s="69" t="inlineStr">
        <is>
          <t>Bridgeport-Stamford-Danbury, CT</t>
        </is>
      </c>
      <c r="AI660" s="69" t="inlineStr">
        <is>
          <t>Northeast / New England</t>
        </is>
      </c>
      <c r="AJ660" s="69" t="inlineStr">
        <is>
          <t>IN</t>
        </is>
      </c>
      <c r="AK660" s="69" t="inlineStr">
        <is>
          <t>Flex</t>
        </is>
      </c>
      <c r="AL660" s="68" t="n">
        <v>2</v>
      </c>
      <c r="AM660" s="68" t="n"/>
      <c r="AN660" s="68" t="n">
        <v>468711</v>
      </c>
      <c r="AO660" s="69" t="n"/>
      <c r="AP660" s="70" t="n">
        <v>1996</v>
      </c>
      <c r="AQ660" s="74" t="n">
        <v>1.48</v>
      </c>
      <c r="AR660" s="74" t="n">
        <v>1.53</v>
      </c>
      <c r="AS660" s="74" t="n">
        <v>62.19</v>
      </c>
      <c r="AT660" s="74" t="n">
        <v>62.19</v>
      </c>
      <c r="AU660" s="74" t="n">
        <v>62.19</v>
      </c>
      <c r="AV660" s="74" t="n">
        <v>8.612226210999999</v>
      </c>
      <c r="AW660" s="74" t="n">
        <v>8.957716158</v>
      </c>
      <c r="AX660" s="75" t="n">
        <v>99</v>
      </c>
      <c r="AY660" s="71" t="n">
        <v>61100000</v>
      </c>
      <c r="AZ660" s="71" t="n">
        <v>61100000</v>
      </c>
      <c r="BA660" s="71" t="n">
        <v>3272645.96</v>
      </c>
      <c r="BB660" s="71" t="n">
        <v>1678223.79</v>
      </c>
      <c r="BC660" s="69" t="inlineStr">
        <is>
          <t>Refinance</t>
        </is>
      </c>
      <c r="BD660" s="69" t="inlineStr">
        <is>
          <t>N</t>
        </is>
      </c>
      <c r="BE660" s="71" t="n">
        <v>22800000</v>
      </c>
      <c r="BF660" s="71" t="n"/>
      <c r="BG660" s="71" t="n">
        <v>7000000</v>
      </c>
      <c r="BH660" s="71" t="n">
        <v>0</v>
      </c>
      <c r="BI660" s="71" t="n">
        <v>0</v>
      </c>
      <c r="BJ660" s="69" t="inlineStr">
        <is>
          <t>N</t>
        </is>
      </c>
      <c r="BK660" s="69" t="inlineStr">
        <is>
          <t>RK MFG</t>
        </is>
      </c>
      <c r="BL660" s="75" t="n">
        <v>16.51</v>
      </c>
      <c r="BM660" s="73" t="n">
        <v>51104</v>
      </c>
      <c r="BN660" s="69" t="inlineStr">
        <is>
          <t>Melvyn J. Powers and Mary P. Powers</t>
        </is>
      </c>
      <c r="BO660" s="69" t="inlineStr">
        <is>
          <t>Citigroup Global Markets</t>
        </is>
      </c>
      <c r="BP660" s="69" t="inlineStr">
        <is>
          <t>TriMont Real Estate Advisors</t>
        </is>
      </c>
      <c r="BQ660" s="69" t="inlineStr">
        <is>
          <t>Argentic Services Company LP</t>
        </is>
      </c>
      <c r="BR660" s="69" t="n"/>
      <c r="BS660" s="73" t="n">
        <v>46273</v>
      </c>
      <c r="BU660" s="76">
        <f>IF($C660="","",IFERROR(INDEX(dmName,MATCH($C660,dmID,0)),"Unmapped"))</f>
        <v/>
      </c>
      <c r="BV660" s="76">
        <f>IF($C660="","",IFERROR(INDEX(dmEntity,MATCH($C660,dmID,0)),"Unmapped"))</f>
        <v/>
      </c>
      <c r="BW660" s="77">
        <f>IF($C660="","",IFERROR(INDEX(dmVintage,MATCH($C660,dmID,0)),""))</f>
        <v/>
      </c>
      <c r="BX660" s="78">
        <f>IFERROR(INDEX(dmInclude,MATCH($C660,dmID,0)),0)</f>
        <v/>
      </c>
      <c r="BY660" s="78">
        <f>IF(N($I660)&gt;0,1,0)</f>
        <v/>
      </c>
      <c r="BZ660" s="76">
        <f>IF($AJ660="","Other / Leased Fee",IFERROR(INDEX(mapPTGroup,MATCH(LEFT(TRIM($AJ660),2),mapPTCode,0)),"Other / Leased Fee"))</f>
        <v/>
      </c>
      <c r="CA660" s="76">
        <f>IF(TRIM($AF660&amp;"")="","NR",LEFT(TRIM($AF660),2))</f>
        <v/>
      </c>
      <c r="CB660" s="76">
        <f>IFERROR(LOOKUP(2,1/(LEFT(TRIM($AI660&amp;""),LEN(mapRegion))=mapRegion),mapRegion),"Not Reported")</f>
        <v/>
      </c>
      <c r="CC660" s="76">
        <f>IF($BY660=0,"",IF(TRIM($W660&amp;"")="REO","REO",IF(TRIM($W660&amp;"")="FC","Foreclosure",IF(TRIM($W660&amp;"")="90+","90+ Days Delinquent",IF(TRIM($W660&amp;"")="60","60 Days Delinquent",IF(TRIM($W660&amp;"")="30","30 Days Delinquent",IF($X660="Non-Performing Matured Balloon","Non-Performing Matured Balloon",IF(OR($X660="Late Payment But Less Than 30 Days Delinquent",LEFT($X660&amp;"",20)="Payment Not Received"),"Late / In Grace (&lt;30 Days)",IF($X660="Performing Matured Balloon","Performing Matured Balloon","Current")))))))))</f>
        <v/>
      </c>
      <c r="CD660" s="78">
        <f>IF(OR($CC660="REO",$CC660="Foreclosure",$CC660="90+ Days Delinquent",$CC660="60 Days Delinquent",$CC660="30 Days Delinquent",$CC660="Non-Performing Matured Balloon"),1,0)</f>
        <v/>
      </c>
      <c r="CE660" s="76">
        <f>IF($AB660="Currently special serv","Currently Specially Serviced",IF($AB660="Returned to master serv","Previously Specially Serviced","Never Specially Serviced"))</f>
        <v/>
      </c>
      <c r="CF660" s="78">
        <f>IF($CE660="Currently Specially Serviced",1,0)</f>
        <v/>
      </c>
      <c r="CG660" s="76">
        <f>IF($AA660="Yes","Currently on Watchlist",IF($AA660="Previously","Previously on Watchlist","Never on Watchlist"))</f>
        <v/>
      </c>
      <c r="CH660" s="78">
        <f>IF($CG660="Currently on Watchlist",1,0)</f>
        <v/>
      </c>
      <c r="CI660" s="76">
        <f>IF($Z660="Full Defeasance","Fully Defeased",IF($Z660="Portion Of Loan Previously Defeased","Partially Defeased",IF($Z660="Defeasance Not Allowable","Not Defeased (Not Permitted)","Not Defeased")))</f>
        <v/>
      </c>
      <c r="CJ660" s="78">
        <f>IF($CI660="Fully Defeased",1,0)</f>
        <v/>
      </c>
      <c r="CK660" s="76">
        <f>IF($R660="IO","Full IO",IF(LEFT($R660&amp;"",7)="IO then","Partial IO","Amortizing"))</f>
        <v/>
      </c>
      <c r="CL660" s="78">
        <f>IF($CK660="Full IO",1,0)</f>
        <v/>
      </c>
      <c r="CM660" s="78">
        <f>IF($CK660="Partial IO",1,0)</f>
        <v/>
      </c>
      <c r="CN660" s="76">
        <f>IF(LEFT($F660&amp;"",10)="SPLIT_LOAN","Pari Passu Split","Standalone")</f>
        <v/>
      </c>
      <c r="CO660" s="78">
        <f>IF($CN660="Pari Passu Split",1,0)</f>
        <v/>
      </c>
      <c r="CP660" s="77">
        <f>IF(ISNUMBER($T660),YEAR($T660),"")</f>
        <v/>
      </c>
      <c r="CQ660" s="79">
        <f>IF(ISNUMBER($V660),$V660,IF(ISNUMBER($U660),$U660,""))</f>
        <v/>
      </c>
      <c r="CR660" s="77">
        <f>IF(ISNUMBER($CQ660),YEAR($CQ660),"")</f>
        <v/>
      </c>
      <c r="CS660" s="78">
        <f>IF(ISNUMBER($M660),MAX(0,$M660),IF(TRIM($M660&amp;"")="matured",0,""))</f>
        <v/>
      </c>
      <c r="CT660" s="78">
        <f>IF(AND(ISNUMBER($CS660),N($CS660)&lt;=mMatWindow),1,0)</f>
        <v/>
      </c>
      <c r="CU660" s="80">
        <f>IF(ISNUMBER($J660),$J660/100,"")</f>
        <v/>
      </c>
      <c r="CV660" s="81">
        <f>IF(ISNUMBER($AQ660),$AQ660,"")</f>
        <v/>
      </c>
      <c r="CW660" s="81">
        <f>IF(ISNUMBER($AR660),$AR660,"")</f>
        <v/>
      </c>
      <c r="CX660" s="82">
        <f>IF(ISNUMBER($AS660),$AS660/100,"")</f>
        <v/>
      </c>
      <c r="CY660" s="82">
        <f>IF(ISNUMBER($AT660),$AT660/100,"")</f>
        <v/>
      </c>
      <c r="CZ660" s="82">
        <f>IF(ISNUMBER($AU660),$AU660/100,"")</f>
        <v/>
      </c>
      <c r="DA660" s="82">
        <f>IF(ISNUMBER($AV660),$AV660/100,"")</f>
        <v/>
      </c>
      <c r="DB660" s="82">
        <f>IF(ISNUMBER($AW660),$AW660/100,"")</f>
        <v/>
      </c>
      <c r="DC660" s="82">
        <f>IF(ISNUMBER($AX660),$AX660/100,"")</f>
        <v/>
      </c>
      <c r="DD660" s="77">
        <f>IFERROR(VALUE(LEFT(TRIM($AO660&amp;""),4)),"")</f>
        <v/>
      </c>
      <c r="DE660" s="78">
        <f>IF(AND($BY660=1,$BX660=1,OR(fDeal="All Deals",$BU660=fDeal),OR(fEntity="All Entities",$BV660=fEntity),OR(fPType="All Property Types",$BZ660=fPType),OR(fDefeased="Include",$CJ660=0)),1,0)</f>
        <v/>
      </c>
      <c r="DF660" s="83">
        <f>$DE660*N($I660)</f>
        <v/>
      </c>
      <c r="DG660" s="78">
        <f>IF($DE660=1,IF(COUNTIFS($F$8:$F660,$F660,$DE$8:$DE660,1)=1,1,0),0)</f>
        <v/>
      </c>
      <c r="DH660" s="83">
        <f>IF($DG660=1,SUMIFS($DF$8:$DF$1600,$F$8:$F$1600,$F660),0)</f>
        <v/>
      </c>
      <c r="DI660" s="78">
        <f>IF($DG660=1,COUNTIFS($F$8:$F$1600,$F660,$DE$8:$DE$1600,1),0)</f>
        <v/>
      </c>
      <c r="DJ660" s="84">
        <f>IF($DG660=1,$DH660+(100000-ROW())/mTieBreak,0)</f>
        <v/>
      </c>
    </row>
    <row r="661">
      <c r="B661" s="68" t="n">
        <v>21</v>
      </c>
      <c r="C661" s="69" t="inlineStr">
        <is>
          <t>CTG18C06</t>
        </is>
      </c>
      <c r="D661" s="69" t="inlineStr">
        <is>
          <t>21.000</t>
        </is>
      </c>
      <c r="E661" s="69" t="inlineStr">
        <is>
          <t>Summit Heights Gateway</t>
        </is>
      </c>
      <c r="F661" s="69" t="inlineStr">
        <is>
          <t>LNCTG18C06-21.000</t>
        </is>
      </c>
      <c r="G661" s="70" t="n"/>
      <c r="H661" s="71" t="n">
        <v>15000000</v>
      </c>
      <c r="I661" s="71" t="n">
        <v>14356642.810005</v>
      </c>
      <c r="J661" s="72" t="n">
        <v>4.84</v>
      </c>
      <c r="K661" s="69" t="inlineStr">
        <is>
          <t>Fixed rate</t>
        </is>
      </c>
      <c r="L661" s="68" t="n">
        <v>120</v>
      </c>
      <c r="M661" s="68" t="n">
        <v>26</v>
      </c>
      <c r="N661" s="68" t="n">
        <v>420</v>
      </c>
      <c r="O661" s="68" t="n">
        <v>60</v>
      </c>
      <c r="P661" s="68" t="n">
        <v>0</v>
      </c>
      <c r="Q661" s="68" t="n">
        <v>94</v>
      </c>
      <c r="R661" s="69" t="inlineStr">
        <is>
          <t>IO then Amort</t>
        </is>
      </c>
      <c r="S661" s="69" t="inlineStr">
        <is>
          <t>No</t>
        </is>
      </c>
      <c r="T661" s="73" t="n">
        <v>43405</v>
      </c>
      <c r="U661" s="73" t="n">
        <v>47063</v>
      </c>
      <c r="V661" s="73" t="n"/>
      <c r="W661" s="69" t="n"/>
      <c r="X661" s="69" t="inlineStr">
        <is>
          <t>Current</t>
        </is>
      </c>
      <c r="Y661" s="68" t="n"/>
      <c r="Z661" s="69" t="inlineStr">
        <is>
          <t>No Defeasance Occurred</t>
        </is>
      </c>
      <c r="AA661" s="69" t="inlineStr">
        <is>
          <t>Previously</t>
        </is>
      </c>
      <c r="AB661" s="69" t="inlineStr">
        <is>
          <t>Never special serv</t>
        </is>
      </c>
      <c r="AC661" s="73" t="n"/>
      <c r="AD661" s="69" t="n"/>
      <c r="AE661" s="69" t="n"/>
      <c r="AF661" s="69" t="inlineStr">
        <is>
          <t>CA</t>
        </is>
      </c>
      <c r="AG661" s="69" t="inlineStr">
        <is>
          <t>Fontana</t>
        </is>
      </c>
      <c r="AH661" s="69" t="inlineStr">
        <is>
          <t>Riverside-San Bernardino-Ontario, CA</t>
        </is>
      </c>
      <c r="AI661" s="69" t="inlineStr">
        <is>
          <t>West / Pacific South</t>
        </is>
      </c>
      <c r="AJ661" s="69" t="inlineStr">
        <is>
          <t>RT</t>
        </is>
      </c>
      <c r="AK661" s="69" t="inlineStr">
        <is>
          <t>Anchored</t>
        </is>
      </c>
      <c r="AL661" s="68" t="n">
        <v>1</v>
      </c>
      <c r="AM661" s="68" t="n"/>
      <c r="AN661" s="68" t="n">
        <v>224855</v>
      </c>
      <c r="AO661" s="69" t="inlineStr">
        <is>
          <t>2003</t>
        </is>
      </c>
      <c r="AP661" s="70" t="n">
        <v>2003</v>
      </c>
      <c r="AQ661" s="74" t="n">
        <v>1.72</v>
      </c>
      <c r="AR661" s="74" t="n">
        <v>2.04</v>
      </c>
      <c r="AS661" s="74" t="n">
        <v>65.22</v>
      </c>
      <c r="AT661" s="74" t="n">
        <v>62.42</v>
      </c>
      <c r="AU661" s="74" t="n">
        <v>60.01</v>
      </c>
      <c r="AV661" s="74" t="n">
        <v>10.857813333</v>
      </c>
      <c r="AW661" s="74" t="n">
        <v>17.748276764</v>
      </c>
      <c r="AX661" s="75" t="n">
        <v>98</v>
      </c>
      <c r="AY661" s="71" t="n">
        <v>23000000</v>
      </c>
      <c r="AZ661" s="71" t="n">
        <v>23000000</v>
      </c>
      <c r="BA661" s="71" t="n">
        <v>1628672</v>
      </c>
      <c r="BB661" s="71" t="n">
        <v>968860.98</v>
      </c>
      <c r="BC661" s="69" t="inlineStr">
        <is>
          <t>Acquisition</t>
        </is>
      </c>
      <c r="BD661" s="69" t="inlineStr">
        <is>
          <t>N</t>
        </is>
      </c>
      <c r="BE661" s="71" t="n"/>
      <c r="BF661" s="71" t="n"/>
      <c r="BG661" s="71" t="n"/>
      <c r="BH661" s="71" t="n">
        <v>0</v>
      </c>
      <c r="BI661" s="71" t="n">
        <v>0</v>
      </c>
      <c r="BJ661" s="69" t="inlineStr">
        <is>
          <t>N</t>
        </is>
      </c>
      <c r="BK661" s="69" t="inlineStr">
        <is>
          <t>Kohl's Department Store</t>
        </is>
      </c>
      <c r="BL661" s="75" t="n">
        <v>39.49</v>
      </c>
      <c r="BM661" s="73" t="n">
        <v>47149</v>
      </c>
      <c r="BN661" s="69" t="inlineStr">
        <is>
          <t>Trevor Smith and Joshua Volen</t>
        </is>
      </c>
      <c r="BO661" s="69" t="inlineStr">
        <is>
          <t>RMF</t>
        </is>
      </c>
      <c r="BP661" s="69" t="inlineStr">
        <is>
          <t>TriMont Real Estate Advisors</t>
        </is>
      </c>
      <c r="BQ661" s="69" t="inlineStr">
        <is>
          <t>K-Star Asset Management LLC</t>
        </is>
      </c>
      <c r="BR661" s="69" t="n"/>
      <c r="BS661" s="73" t="n">
        <v>46273</v>
      </c>
      <c r="BU661" s="76">
        <f>IF($C661="","",IFERROR(INDEX(dmName,MATCH($C661,dmID,0)),"Unmapped"))</f>
        <v/>
      </c>
      <c r="BV661" s="76">
        <f>IF($C661="","",IFERROR(INDEX(dmEntity,MATCH($C661,dmID,0)),"Unmapped"))</f>
        <v/>
      </c>
      <c r="BW661" s="77">
        <f>IF($C661="","",IFERROR(INDEX(dmVintage,MATCH($C661,dmID,0)),""))</f>
        <v/>
      </c>
      <c r="BX661" s="78">
        <f>IFERROR(INDEX(dmInclude,MATCH($C661,dmID,0)),0)</f>
        <v/>
      </c>
      <c r="BY661" s="78">
        <f>IF(N($I661)&gt;0,1,0)</f>
        <v/>
      </c>
      <c r="BZ661" s="76">
        <f>IF($AJ661="","Other / Leased Fee",IFERROR(INDEX(mapPTGroup,MATCH(LEFT(TRIM($AJ661),2),mapPTCode,0)),"Other / Leased Fee"))</f>
        <v/>
      </c>
      <c r="CA661" s="76">
        <f>IF(TRIM($AF661&amp;"")="","NR",LEFT(TRIM($AF661),2))</f>
        <v/>
      </c>
      <c r="CB661" s="76">
        <f>IFERROR(LOOKUP(2,1/(LEFT(TRIM($AI661&amp;""),LEN(mapRegion))=mapRegion),mapRegion),"Not Reported")</f>
        <v/>
      </c>
      <c r="CC661" s="76">
        <f>IF($BY661=0,"",IF(TRIM($W661&amp;"")="REO","REO",IF(TRIM($W661&amp;"")="FC","Foreclosure",IF(TRIM($W661&amp;"")="90+","90+ Days Delinquent",IF(TRIM($W661&amp;"")="60","60 Days Delinquent",IF(TRIM($W661&amp;"")="30","30 Days Delinquent",IF($X661="Non-Performing Matured Balloon","Non-Performing Matured Balloon",IF(OR($X661="Late Payment But Less Than 30 Days Delinquent",LEFT($X661&amp;"",20)="Payment Not Received"),"Late / In Grace (&lt;30 Days)",IF($X661="Performing Matured Balloon","Performing Matured Balloon","Current")))))))))</f>
        <v/>
      </c>
      <c r="CD661" s="78">
        <f>IF(OR($CC661="REO",$CC661="Foreclosure",$CC661="90+ Days Delinquent",$CC661="60 Days Delinquent",$CC661="30 Days Delinquent",$CC661="Non-Performing Matured Balloon"),1,0)</f>
        <v/>
      </c>
      <c r="CE661" s="76">
        <f>IF($AB661="Currently special serv","Currently Specially Serviced",IF($AB661="Returned to master serv","Previously Specially Serviced","Never Specially Serviced"))</f>
        <v/>
      </c>
      <c r="CF661" s="78">
        <f>IF($CE661="Currently Specially Serviced",1,0)</f>
        <v/>
      </c>
      <c r="CG661" s="76">
        <f>IF($AA661="Yes","Currently on Watchlist",IF($AA661="Previously","Previously on Watchlist","Never on Watchlist"))</f>
        <v/>
      </c>
      <c r="CH661" s="78">
        <f>IF($CG661="Currently on Watchlist",1,0)</f>
        <v/>
      </c>
      <c r="CI661" s="76">
        <f>IF($Z661="Full Defeasance","Fully Defeased",IF($Z661="Portion Of Loan Previously Defeased","Partially Defeased",IF($Z661="Defeasance Not Allowable","Not Defeased (Not Permitted)","Not Defeased")))</f>
        <v/>
      </c>
      <c r="CJ661" s="78">
        <f>IF($CI661="Fully Defeased",1,0)</f>
        <v/>
      </c>
      <c r="CK661" s="76">
        <f>IF($R661="IO","Full IO",IF(LEFT($R661&amp;"",7)="IO then","Partial IO","Amortizing"))</f>
        <v/>
      </c>
      <c r="CL661" s="78">
        <f>IF($CK661="Full IO",1,0)</f>
        <v/>
      </c>
      <c r="CM661" s="78">
        <f>IF($CK661="Partial IO",1,0)</f>
        <v/>
      </c>
      <c r="CN661" s="76">
        <f>IF(LEFT($F661&amp;"",10)="SPLIT_LOAN","Pari Passu Split","Standalone")</f>
        <v/>
      </c>
      <c r="CO661" s="78">
        <f>IF($CN661="Pari Passu Split",1,0)</f>
        <v/>
      </c>
      <c r="CP661" s="77">
        <f>IF(ISNUMBER($T661),YEAR($T661),"")</f>
        <v/>
      </c>
      <c r="CQ661" s="79">
        <f>IF(ISNUMBER($V661),$V661,IF(ISNUMBER($U661),$U661,""))</f>
        <v/>
      </c>
      <c r="CR661" s="77">
        <f>IF(ISNUMBER($CQ661),YEAR($CQ661),"")</f>
        <v/>
      </c>
      <c r="CS661" s="78">
        <f>IF(ISNUMBER($M661),MAX(0,$M661),IF(TRIM($M661&amp;"")="matured",0,""))</f>
        <v/>
      </c>
      <c r="CT661" s="78">
        <f>IF(AND(ISNUMBER($CS661),N($CS661)&lt;=mMatWindow),1,0)</f>
        <v/>
      </c>
      <c r="CU661" s="80">
        <f>IF(ISNUMBER($J661),$J661/100,"")</f>
        <v/>
      </c>
      <c r="CV661" s="81">
        <f>IF(ISNUMBER($AQ661),$AQ661,"")</f>
        <v/>
      </c>
      <c r="CW661" s="81">
        <f>IF(ISNUMBER($AR661),$AR661,"")</f>
        <v/>
      </c>
      <c r="CX661" s="82">
        <f>IF(ISNUMBER($AS661),$AS661/100,"")</f>
        <v/>
      </c>
      <c r="CY661" s="82">
        <f>IF(ISNUMBER($AT661),$AT661/100,"")</f>
        <v/>
      </c>
      <c r="CZ661" s="82">
        <f>IF(ISNUMBER($AU661),$AU661/100,"")</f>
        <v/>
      </c>
      <c r="DA661" s="82">
        <f>IF(ISNUMBER($AV661),$AV661/100,"")</f>
        <v/>
      </c>
      <c r="DB661" s="82">
        <f>IF(ISNUMBER($AW661),$AW661/100,"")</f>
        <v/>
      </c>
      <c r="DC661" s="82">
        <f>IF(ISNUMBER($AX661),$AX661/100,"")</f>
        <v/>
      </c>
      <c r="DD661" s="77">
        <f>IFERROR(VALUE(LEFT(TRIM($AO661&amp;""),4)),"")</f>
        <v/>
      </c>
      <c r="DE661" s="78">
        <f>IF(AND($BY661=1,$BX661=1,OR(fDeal="All Deals",$BU661=fDeal),OR(fEntity="All Entities",$BV661=fEntity),OR(fPType="All Property Types",$BZ661=fPType),OR(fDefeased="Include",$CJ661=0)),1,0)</f>
        <v/>
      </c>
      <c r="DF661" s="83">
        <f>$DE661*N($I661)</f>
        <v/>
      </c>
      <c r="DG661" s="78">
        <f>IF($DE661=1,IF(COUNTIFS($F$8:$F661,$F661,$DE$8:$DE661,1)=1,1,0),0)</f>
        <v/>
      </c>
      <c r="DH661" s="83">
        <f>IF($DG661=1,SUMIFS($DF$8:$DF$1600,$F$8:$F$1600,$F661),0)</f>
        <v/>
      </c>
      <c r="DI661" s="78">
        <f>IF($DG661=1,COUNTIFS($F$8:$F$1600,$F661,$DE$8:$DE$1600,1),0)</f>
        <v/>
      </c>
      <c r="DJ661" s="84">
        <f>IF($DG661=1,$DH661+(100000-ROW())/mTieBreak,0)</f>
        <v/>
      </c>
    </row>
    <row r="662">
      <c r="B662" s="68" t="n">
        <v>22</v>
      </c>
      <c r="C662" s="69" t="inlineStr">
        <is>
          <t>CTG18C06</t>
        </is>
      </c>
      <c r="D662" s="69" t="inlineStr">
        <is>
          <t>22.000</t>
        </is>
      </c>
      <c r="E662" s="69" t="inlineStr">
        <is>
          <t>Riverside Office Center</t>
        </is>
      </c>
      <c r="F662" s="69" t="inlineStr">
        <is>
          <t>LNCTG18C06-22.000</t>
        </is>
      </c>
      <c r="G662" s="70" t="n"/>
      <c r="H662" s="71" t="n">
        <v>15000000</v>
      </c>
      <c r="I662" s="71" t="n">
        <v>13051705.32</v>
      </c>
      <c r="J662" s="72" t="n">
        <v>5.07</v>
      </c>
      <c r="K662" s="69" t="inlineStr">
        <is>
          <t>Fixed rate</t>
        </is>
      </c>
      <c r="L662" s="68" t="n">
        <v>120</v>
      </c>
      <c r="M662" s="68" t="n">
        <v>26</v>
      </c>
      <c r="N662" s="68" t="n">
        <v>360</v>
      </c>
      <c r="O662" s="68" t="n"/>
      <c r="P662" s="68" t="n"/>
      <c r="Q662" s="68" t="n">
        <v>94</v>
      </c>
      <c r="R662" s="69" t="n"/>
      <c r="S662" s="69" t="inlineStr">
        <is>
          <t>No</t>
        </is>
      </c>
      <c r="T662" s="73" t="n">
        <v>43405</v>
      </c>
      <c r="U662" s="73" t="n">
        <v>47063</v>
      </c>
      <c r="V662" s="73" t="n"/>
      <c r="W662" s="69" t="n"/>
      <c r="X662" s="69" t="inlineStr">
        <is>
          <t>Current</t>
        </is>
      </c>
      <c r="Y662" s="68" t="n"/>
      <c r="Z662" s="69" t="inlineStr">
        <is>
          <t>No Defeasance Occurred</t>
        </is>
      </c>
      <c r="AA662" s="69" t="inlineStr">
        <is>
          <t>Yes</t>
        </is>
      </c>
      <c r="AB662" s="69" t="inlineStr">
        <is>
          <t>Never special serv</t>
        </is>
      </c>
      <c r="AC662" s="73" t="n"/>
      <c r="AD662" s="69" t="n"/>
      <c r="AE662" s="69" t="n"/>
      <c r="AF662" s="69" t="inlineStr">
        <is>
          <t>MI</t>
        </is>
      </c>
      <c r="AG662" s="69" t="inlineStr">
        <is>
          <t>Southfield</t>
        </is>
      </c>
      <c r="AH662" s="69" t="inlineStr">
        <is>
          <t>Detroit-Warren-Dearborn, MI</t>
        </is>
      </c>
      <c r="AI662" s="69" t="inlineStr">
        <is>
          <t>Midwest / Central East</t>
        </is>
      </c>
      <c r="AJ662" s="69" t="inlineStr">
        <is>
          <t>OF</t>
        </is>
      </c>
      <c r="AK662" s="69" t="inlineStr">
        <is>
          <t>Suburban</t>
        </is>
      </c>
      <c r="AL662" s="68" t="n">
        <v>1</v>
      </c>
      <c r="AM662" s="68" t="n"/>
      <c r="AN662" s="68" t="n">
        <v>187434</v>
      </c>
      <c r="AO662" s="69" t="inlineStr">
        <is>
          <t>1989</t>
        </is>
      </c>
      <c r="AP662" s="70" t="n">
        <v>2017</v>
      </c>
      <c r="AQ662" s="74" t="n">
        <v>1.45</v>
      </c>
      <c r="AR662" s="74" t="n">
        <v>0.64</v>
      </c>
      <c r="AS662" s="74" t="n">
        <v>63.2</v>
      </c>
      <c r="AT662" s="74" t="n">
        <v>55.07</v>
      </c>
      <c r="AU662" s="74" t="n">
        <v>52.15</v>
      </c>
      <c r="AV662" s="74" t="n">
        <v>9.400079267000001</v>
      </c>
      <c r="AW662" s="74" t="n">
        <v>0.49924411</v>
      </c>
      <c r="AX662" s="75" t="n">
        <v>85</v>
      </c>
      <c r="AY662" s="71" t="n">
        <v>23700000</v>
      </c>
      <c r="AZ662" s="71" t="n">
        <v>23700000</v>
      </c>
      <c r="BA662" s="71" t="n">
        <v>1410011.89</v>
      </c>
      <c r="BB662" s="71" t="n">
        <v>310611.58</v>
      </c>
      <c r="BC662" s="69" t="inlineStr">
        <is>
          <t>Refinance</t>
        </is>
      </c>
      <c r="BD662" s="69" t="inlineStr">
        <is>
          <t>N</t>
        </is>
      </c>
      <c r="BE662" s="71" t="n"/>
      <c r="BF662" s="71" t="n"/>
      <c r="BG662" s="71" t="n"/>
      <c r="BH662" s="71" t="n">
        <v>0</v>
      </c>
      <c r="BI662" s="71" t="n">
        <v>0</v>
      </c>
      <c r="BJ662" s="69" t="inlineStr">
        <is>
          <t>N</t>
        </is>
      </c>
      <c r="BK662" s="69" t="inlineStr">
        <is>
          <t>Dentemax</t>
        </is>
      </c>
      <c r="BL662" s="75" t="n">
        <v>11.65</v>
      </c>
      <c r="BM662" s="73" t="n">
        <v>48091</v>
      </c>
      <c r="BN662" s="69" t="inlineStr">
        <is>
          <t>Frank J. Motter</t>
        </is>
      </c>
      <c r="BO662" s="69" t="inlineStr">
        <is>
          <t>Citigroup Global Markets</t>
        </is>
      </c>
      <c r="BP662" s="69" t="inlineStr">
        <is>
          <t>TriMont Real Estate Advisors</t>
        </is>
      </c>
      <c r="BQ662" s="69" t="inlineStr">
        <is>
          <t>K-Star Asset Management LLC</t>
        </is>
      </c>
      <c r="BR662" s="69" t="n"/>
      <c r="BS662" s="73" t="n">
        <v>46273</v>
      </c>
      <c r="BU662" s="76">
        <f>IF($C662="","",IFERROR(INDEX(dmName,MATCH($C662,dmID,0)),"Unmapped"))</f>
        <v/>
      </c>
      <c r="BV662" s="76">
        <f>IF($C662="","",IFERROR(INDEX(dmEntity,MATCH($C662,dmID,0)),"Unmapped"))</f>
        <v/>
      </c>
      <c r="BW662" s="77">
        <f>IF($C662="","",IFERROR(INDEX(dmVintage,MATCH($C662,dmID,0)),""))</f>
        <v/>
      </c>
      <c r="BX662" s="78">
        <f>IFERROR(INDEX(dmInclude,MATCH($C662,dmID,0)),0)</f>
        <v/>
      </c>
      <c r="BY662" s="78">
        <f>IF(N($I662)&gt;0,1,0)</f>
        <v/>
      </c>
      <c r="BZ662" s="76">
        <f>IF($AJ662="","Other / Leased Fee",IFERROR(INDEX(mapPTGroup,MATCH(LEFT(TRIM($AJ662),2),mapPTCode,0)),"Other / Leased Fee"))</f>
        <v/>
      </c>
      <c r="CA662" s="76">
        <f>IF(TRIM($AF662&amp;"")="","NR",LEFT(TRIM($AF662),2))</f>
        <v/>
      </c>
      <c r="CB662" s="76">
        <f>IFERROR(LOOKUP(2,1/(LEFT(TRIM($AI662&amp;""),LEN(mapRegion))=mapRegion),mapRegion),"Not Reported")</f>
        <v/>
      </c>
      <c r="CC662" s="76">
        <f>IF($BY662=0,"",IF(TRIM($W662&amp;"")="REO","REO",IF(TRIM($W662&amp;"")="FC","Foreclosure",IF(TRIM($W662&amp;"")="90+","90+ Days Delinquent",IF(TRIM($W662&amp;"")="60","60 Days Delinquent",IF(TRIM($W662&amp;"")="30","30 Days Delinquent",IF($X662="Non-Performing Matured Balloon","Non-Performing Matured Balloon",IF(OR($X662="Late Payment But Less Than 30 Days Delinquent",LEFT($X662&amp;"",20)="Payment Not Received"),"Late / In Grace (&lt;30 Days)",IF($X662="Performing Matured Balloon","Performing Matured Balloon","Current")))))))))</f>
        <v/>
      </c>
      <c r="CD662" s="78">
        <f>IF(OR($CC662="REO",$CC662="Foreclosure",$CC662="90+ Days Delinquent",$CC662="60 Days Delinquent",$CC662="30 Days Delinquent",$CC662="Non-Performing Matured Balloon"),1,0)</f>
        <v/>
      </c>
      <c r="CE662" s="76">
        <f>IF($AB662="Currently special serv","Currently Specially Serviced",IF($AB662="Returned to master serv","Previously Specially Serviced","Never Specially Serviced"))</f>
        <v/>
      </c>
      <c r="CF662" s="78">
        <f>IF($CE662="Currently Specially Serviced",1,0)</f>
        <v/>
      </c>
      <c r="CG662" s="76">
        <f>IF($AA662="Yes","Currently on Watchlist",IF($AA662="Previously","Previously on Watchlist","Never on Watchlist"))</f>
        <v/>
      </c>
      <c r="CH662" s="78">
        <f>IF($CG662="Currently on Watchlist",1,0)</f>
        <v/>
      </c>
      <c r="CI662" s="76">
        <f>IF($Z662="Full Defeasance","Fully Defeased",IF($Z662="Portion Of Loan Previously Defeased","Partially Defeased",IF($Z662="Defeasance Not Allowable","Not Defeased (Not Permitted)","Not Defeased")))</f>
        <v/>
      </c>
      <c r="CJ662" s="78">
        <f>IF($CI662="Fully Defeased",1,0)</f>
        <v/>
      </c>
      <c r="CK662" s="76">
        <f>IF($R662="IO","Full IO",IF(LEFT($R662&amp;"",7)="IO then","Partial IO","Amortizing"))</f>
        <v/>
      </c>
      <c r="CL662" s="78">
        <f>IF($CK662="Full IO",1,0)</f>
        <v/>
      </c>
      <c r="CM662" s="78">
        <f>IF($CK662="Partial IO",1,0)</f>
        <v/>
      </c>
      <c r="CN662" s="76">
        <f>IF(LEFT($F662&amp;"",10)="SPLIT_LOAN","Pari Passu Split","Standalone")</f>
        <v/>
      </c>
      <c r="CO662" s="78">
        <f>IF($CN662="Pari Passu Split",1,0)</f>
        <v/>
      </c>
      <c r="CP662" s="77">
        <f>IF(ISNUMBER($T662),YEAR($T662),"")</f>
        <v/>
      </c>
      <c r="CQ662" s="79">
        <f>IF(ISNUMBER($V662),$V662,IF(ISNUMBER($U662),$U662,""))</f>
        <v/>
      </c>
      <c r="CR662" s="77">
        <f>IF(ISNUMBER($CQ662),YEAR($CQ662),"")</f>
        <v/>
      </c>
      <c r="CS662" s="78">
        <f>IF(ISNUMBER($M662),MAX(0,$M662),IF(TRIM($M662&amp;"")="matured",0,""))</f>
        <v/>
      </c>
      <c r="CT662" s="78">
        <f>IF(AND(ISNUMBER($CS662),N($CS662)&lt;=mMatWindow),1,0)</f>
        <v/>
      </c>
      <c r="CU662" s="80">
        <f>IF(ISNUMBER($J662),$J662/100,"")</f>
        <v/>
      </c>
      <c r="CV662" s="81">
        <f>IF(ISNUMBER($AQ662),$AQ662,"")</f>
        <v/>
      </c>
      <c r="CW662" s="81">
        <f>IF(ISNUMBER($AR662),$AR662,"")</f>
        <v/>
      </c>
      <c r="CX662" s="82">
        <f>IF(ISNUMBER($AS662),$AS662/100,"")</f>
        <v/>
      </c>
      <c r="CY662" s="82">
        <f>IF(ISNUMBER($AT662),$AT662/100,"")</f>
        <v/>
      </c>
      <c r="CZ662" s="82">
        <f>IF(ISNUMBER($AU662),$AU662/100,"")</f>
        <v/>
      </c>
      <c r="DA662" s="82">
        <f>IF(ISNUMBER($AV662),$AV662/100,"")</f>
        <v/>
      </c>
      <c r="DB662" s="82">
        <f>IF(ISNUMBER($AW662),$AW662/100,"")</f>
        <v/>
      </c>
      <c r="DC662" s="82">
        <f>IF(ISNUMBER($AX662),$AX662/100,"")</f>
        <v/>
      </c>
      <c r="DD662" s="77">
        <f>IFERROR(VALUE(LEFT(TRIM($AO662&amp;""),4)),"")</f>
        <v/>
      </c>
      <c r="DE662" s="78">
        <f>IF(AND($BY662=1,$BX662=1,OR(fDeal="All Deals",$BU662=fDeal),OR(fEntity="All Entities",$BV662=fEntity),OR(fPType="All Property Types",$BZ662=fPType),OR(fDefeased="Include",$CJ662=0)),1,0)</f>
        <v/>
      </c>
      <c r="DF662" s="83">
        <f>$DE662*N($I662)</f>
        <v/>
      </c>
      <c r="DG662" s="78">
        <f>IF($DE662=1,IF(COUNTIFS($F$8:$F662,$F662,$DE$8:$DE662,1)=1,1,0),0)</f>
        <v/>
      </c>
      <c r="DH662" s="83">
        <f>IF($DG662=1,SUMIFS($DF$8:$DF$1600,$F$8:$F$1600,$F662),0)</f>
        <v/>
      </c>
      <c r="DI662" s="78">
        <f>IF($DG662=1,COUNTIFS($F$8:$F$1600,$F662,$DE$8:$DE$1600,1),0)</f>
        <v/>
      </c>
      <c r="DJ662" s="84">
        <f>IF($DG662=1,$DH662+(100000-ROW())/mTieBreak,0)</f>
        <v/>
      </c>
    </row>
    <row r="663">
      <c r="B663" s="68" t="n">
        <v>23</v>
      </c>
      <c r="C663" s="69" t="inlineStr">
        <is>
          <t>CTG18C06</t>
        </is>
      </c>
      <c r="D663" s="69" t="inlineStr">
        <is>
          <t>23.000</t>
        </is>
      </c>
      <c r="E663" s="69" t="inlineStr">
        <is>
          <t>Pennbrook Apartments</t>
        </is>
      </c>
      <c r="F663" s="69" t="inlineStr">
        <is>
          <t>LNCTG18C06-23.000</t>
        </is>
      </c>
      <c r="G663" s="70" t="n"/>
      <c r="H663" s="71" t="n">
        <v>14140000</v>
      </c>
      <c r="I663" s="71" t="n">
        <v>13188106.48000118</v>
      </c>
      <c r="J663" s="72" t="n">
        <v>5.58</v>
      </c>
      <c r="K663" s="69" t="inlineStr">
        <is>
          <t>Fixed rate</t>
        </is>
      </c>
      <c r="L663" s="68" t="n">
        <v>120</v>
      </c>
      <c r="M663" s="68" t="n">
        <v>26</v>
      </c>
      <c r="N663" s="68" t="n">
        <v>396</v>
      </c>
      <c r="O663" s="68" t="n">
        <v>36</v>
      </c>
      <c r="P663" s="68" t="n">
        <v>0</v>
      </c>
      <c r="Q663" s="68" t="n">
        <v>94</v>
      </c>
      <c r="R663" s="69" t="inlineStr">
        <is>
          <t>IO then Amort</t>
        </is>
      </c>
      <c r="S663" s="69" t="inlineStr">
        <is>
          <t>No</t>
        </is>
      </c>
      <c r="T663" s="73" t="n">
        <v>43405</v>
      </c>
      <c r="U663" s="73" t="n">
        <v>47063</v>
      </c>
      <c r="V663" s="73" t="n"/>
      <c r="W663" s="69" t="n"/>
      <c r="X663" s="69" t="inlineStr">
        <is>
          <t>Current</t>
        </is>
      </c>
      <c r="Y663" s="68" t="n"/>
      <c r="Z663" s="69" t="inlineStr">
        <is>
          <t>Full Defeasance</t>
        </is>
      </c>
      <c r="AA663" s="69" t="inlineStr">
        <is>
          <t>Previously</t>
        </is>
      </c>
      <c r="AB663" s="69" t="inlineStr">
        <is>
          <t>Never special serv</t>
        </is>
      </c>
      <c r="AC663" s="73" t="n"/>
      <c r="AD663" s="69" t="n"/>
      <c r="AE663" s="69" t="n"/>
      <c r="AF663" s="69" t="inlineStr">
        <is>
          <t>MI</t>
        </is>
      </c>
      <c r="AG663" s="69" t="inlineStr">
        <is>
          <t>Riverview</t>
        </is>
      </c>
      <c r="AH663" s="69" t="inlineStr">
        <is>
          <t>Detroit-Warren-Dearborn, MI</t>
        </is>
      </c>
      <c r="AI663" s="69" t="inlineStr">
        <is>
          <t>Midwest / Central East</t>
        </is>
      </c>
      <c r="AJ663" s="69" t="inlineStr">
        <is>
          <t>MF</t>
        </is>
      </c>
      <c r="AK663" s="69" t="inlineStr">
        <is>
          <t>Garden</t>
        </is>
      </c>
      <c r="AL663" s="68" t="n">
        <v>1</v>
      </c>
      <c r="AM663" s="68" t="n">
        <v>300</v>
      </c>
      <c r="AN663" s="68" t="n"/>
      <c r="AO663" s="69" t="inlineStr">
        <is>
          <t>1973</t>
        </is>
      </c>
      <c r="AP663" s="70" t="n">
        <v>1973</v>
      </c>
      <c r="AQ663" s="74" t="n">
        <v>1.25</v>
      </c>
      <c r="AR663" s="74" t="n">
        <v>1.3</v>
      </c>
      <c r="AS663" s="74" t="n">
        <v>65.5</v>
      </c>
      <c r="AT663" s="74" t="n">
        <v>61.06</v>
      </c>
      <c r="AU663" s="74" t="n">
        <v>58.66</v>
      </c>
      <c r="AV663" s="74" t="n">
        <v>8.608705799000001</v>
      </c>
      <c r="AW663" s="74" t="n">
        <v>8.043922010999999</v>
      </c>
      <c r="AX663" s="75" t="n">
        <v>81</v>
      </c>
      <c r="AY663" s="71" t="n">
        <v>21600000</v>
      </c>
      <c r="AZ663" s="71" t="n">
        <v>21600000</v>
      </c>
      <c r="BA663" s="71" t="n">
        <v>1217271</v>
      </c>
      <c r="BB663" s="71" t="n">
        <v>1060841</v>
      </c>
      <c r="BC663" s="69" t="inlineStr">
        <is>
          <t>Acquisition</t>
        </is>
      </c>
      <c r="BD663" s="69" t="inlineStr">
        <is>
          <t>N</t>
        </is>
      </c>
      <c r="BE663" s="71" t="n"/>
      <c r="BF663" s="71" t="n"/>
      <c r="BG663" s="71" t="n"/>
      <c r="BH663" s="71" t="n">
        <v>0</v>
      </c>
      <c r="BI663" s="71" t="n">
        <v>0</v>
      </c>
      <c r="BJ663" s="69" t="inlineStr">
        <is>
          <t>N</t>
        </is>
      </c>
      <c r="BK663" s="69" t="n"/>
      <c r="BL663" s="75" t="n"/>
      <c r="BM663" s="73" t="n"/>
      <c r="BN663" s="69" t="inlineStr">
        <is>
          <t>Shawn Stafford</t>
        </is>
      </c>
      <c r="BO663" s="69" t="inlineStr">
        <is>
          <t>Citigroup Global Markets</t>
        </is>
      </c>
      <c r="BP663" s="69" t="inlineStr">
        <is>
          <t>TriMont Real Estate Advisors</t>
        </is>
      </c>
      <c r="BQ663" s="69" t="inlineStr">
        <is>
          <t>K-Star Asset Management LLC</t>
        </is>
      </c>
      <c r="BR663" s="69" t="n"/>
      <c r="BS663" s="73" t="n">
        <v>46273</v>
      </c>
      <c r="BU663" s="76">
        <f>IF($C663="","",IFERROR(INDEX(dmName,MATCH($C663,dmID,0)),"Unmapped"))</f>
        <v/>
      </c>
      <c r="BV663" s="76">
        <f>IF($C663="","",IFERROR(INDEX(dmEntity,MATCH($C663,dmID,0)),"Unmapped"))</f>
        <v/>
      </c>
      <c r="BW663" s="77">
        <f>IF($C663="","",IFERROR(INDEX(dmVintage,MATCH($C663,dmID,0)),""))</f>
        <v/>
      </c>
      <c r="BX663" s="78">
        <f>IFERROR(INDEX(dmInclude,MATCH($C663,dmID,0)),0)</f>
        <v/>
      </c>
      <c r="BY663" s="78">
        <f>IF(N($I663)&gt;0,1,0)</f>
        <v/>
      </c>
      <c r="BZ663" s="76">
        <f>IF($AJ663="","Other / Leased Fee",IFERROR(INDEX(mapPTGroup,MATCH(LEFT(TRIM($AJ663),2),mapPTCode,0)),"Other / Leased Fee"))</f>
        <v/>
      </c>
      <c r="CA663" s="76">
        <f>IF(TRIM($AF663&amp;"")="","NR",LEFT(TRIM($AF663),2))</f>
        <v/>
      </c>
      <c r="CB663" s="76">
        <f>IFERROR(LOOKUP(2,1/(LEFT(TRIM($AI663&amp;""),LEN(mapRegion))=mapRegion),mapRegion),"Not Reported")</f>
        <v/>
      </c>
      <c r="CC663" s="76">
        <f>IF($BY663=0,"",IF(TRIM($W663&amp;"")="REO","REO",IF(TRIM($W663&amp;"")="FC","Foreclosure",IF(TRIM($W663&amp;"")="90+","90+ Days Delinquent",IF(TRIM($W663&amp;"")="60","60 Days Delinquent",IF(TRIM($W663&amp;"")="30","30 Days Delinquent",IF($X663="Non-Performing Matured Balloon","Non-Performing Matured Balloon",IF(OR($X663="Late Payment But Less Than 30 Days Delinquent",LEFT($X663&amp;"",20)="Payment Not Received"),"Late / In Grace (&lt;30 Days)",IF($X663="Performing Matured Balloon","Performing Matured Balloon","Current")))))))))</f>
        <v/>
      </c>
      <c r="CD663" s="78">
        <f>IF(OR($CC663="REO",$CC663="Foreclosure",$CC663="90+ Days Delinquent",$CC663="60 Days Delinquent",$CC663="30 Days Delinquent",$CC663="Non-Performing Matured Balloon"),1,0)</f>
        <v/>
      </c>
      <c r="CE663" s="76">
        <f>IF($AB663="Currently special serv","Currently Specially Serviced",IF($AB663="Returned to master serv","Previously Specially Serviced","Never Specially Serviced"))</f>
        <v/>
      </c>
      <c r="CF663" s="78">
        <f>IF($CE663="Currently Specially Serviced",1,0)</f>
        <v/>
      </c>
      <c r="CG663" s="76">
        <f>IF($AA663="Yes","Currently on Watchlist",IF($AA663="Previously","Previously on Watchlist","Never on Watchlist"))</f>
        <v/>
      </c>
      <c r="CH663" s="78">
        <f>IF($CG663="Currently on Watchlist",1,0)</f>
        <v/>
      </c>
      <c r="CI663" s="76">
        <f>IF($Z663="Full Defeasance","Fully Defeased",IF($Z663="Portion Of Loan Previously Defeased","Partially Defeased",IF($Z663="Defeasance Not Allowable","Not Defeased (Not Permitted)","Not Defeased")))</f>
        <v/>
      </c>
      <c r="CJ663" s="78">
        <f>IF($CI663="Fully Defeased",1,0)</f>
        <v/>
      </c>
      <c r="CK663" s="76">
        <f>IF($R663="IO","Full IO",IF(LEFT($R663&amp;"",7)="IO then","Partial IO","Amortizing"))</f>
        <v/>
      </c>
      <c r="CL663" s="78">
        <f>IF($CK663="Full IO",1,0)</f>
        <v/>
      </c>
      <c r="CM663" s="78">
        <f>IF($CK663="Partial IO",1,0)</f>
        <v/>
      </c>
      <c r="CN663" s="76">
        <f>IF(LEFT($F663&amp;"",10)="SPLIT_LOAN","Pari Passu Split","Standalone")</f>
        <v/>
      </c>
      <c r="CO663" s="78">
        <f>IF($CN663="Pari Passu Split",1,0)</f>
        <v/>
      </c>
      <c r="CP663" s="77">
        <f>IF(ISNUMBER($T663),YEAR($T663),"")</f>
        <v/>
      </c>
      <c r="CQ663" s="79">
        <f>IF(ISNUMBER($V663),$V663,IF(ISNUMBER($U663),$U663,""))</f>
        <v/>
      </c>
      <c r="CR663" s="77">
        <f>IF(ISNUMBER($CQ663),YEAR($CQ663),"")</f>
        <v/>
      </c>
      <c r="CS663" s="78">
        <f>IF(ISNUMBER($M663),MAX(0,$M663),IF(TRIM($M663&amp;"")="matured",0,""))</f>
        <v/>
      </c>
      <c r="CT663" s="78">
        <f>IF(AND(ISNUMBER($CS663),N($CS663)&lt;=mMatWindow),1,0)</f>
        <v/>
      </c>
      <c r="CU663" s="80">
        <f>IF(ISNUMBER($J663),$J663/100,"")</f>
        <v/>
      </c>
      <c r="CV663" s="81">
        <f>IF(ISNUMBER($AQ663),$AQ663,"")</f>
        <v/>
      </c>
      <c r="CW663" s="81">
        <f>IF(ISNUMBER($AR663),$AR663,"")</f>
        <v/>
      </c>
      <c r="CX663" s="82">
        <f>IF(ISNUMBER($AS663),$AS663/100,"")</f>
        <v/>
      </c>
      <c r="CY663" s="82">
        <f>IF(ISNUMBER($AT663),$AT663/100,"")</f>
        <v/>
      </c>
      <c r="CZ663" s="82">
        <f>IF(ISNUMBER($AU663),$AU663/100,"")</f>
        <v/>
      </c>
      <c r="DA663" s="82">
        <f>IF(ISNUMBER($AV663),$AV663/100,"")</f>
        <v/>
      </c>
      <c r="DB663" s="82">
        <f>IF(ISNUMBER($AW663),$AW663/100,"")</f>
        <v/>
      </c>
      <c r="DC663" s="82">
        <f>IF(ISNUMBER($AX663),$AX663/100,"")</f>
        <v/>
      </c>
      <c r="DD663" s="77">
        <f>IFERROR(VALUE(LEFT(TRIM($AO663&amp;""),4)),"")</f>
        <v/>
      </c>
      <c r="DE663" s="78">
        <f>IF(AND($BY663=1,$BX663=1,OR(fDeal="All Deals",$BU663=fDeal),OR(fEntity="All Entities",$BV663=fEntity),OR(fPType="All Property Types",$BZ663=fPType),OR(fDefeased="Include",$CJ663=0)),1,0)</f>
        <v/>
      </c>
      <c r="DF663" s="83">
        <f>$DE663*N($I663)</f>
        <v/>
      </c>
      <c r="DG663" s="78">
        <f>IF($DE663=1,IF(COUNTIFS($F$8:$F663,$F663,$DE$8:$DE663,1)=1,1,0),0)</f>
        <v/>
      </c>
      <c r="DH663" s="83">
        <f>IF($DG663=1,SUMIFS($DF$8:$DF$1600,$F$8:$F$1600,$F663),0)</f>
        <v/>
      </c>
      <c r="DI663" s="78">
        <f>IF($DG663=1,COUNTIFS($F$8:$F$1600,$F663,$DE$8:$DE$1600,1),0)</f>
        <v/>
      </c>
      <c r="DJ663" s="84">
        <f>IF($DG663=1,$DH663+(100000-ROW())/mTieBreak,0)</f>
        <v/>
      </c>
    </row>
    <row r="664">
      <c r="B664" s="68" t="n">
        <v>24</v>
      </c>
      <c r="C664" s="69" t="inlineStr">
        <is>
          <t>CTG18C06</t>
        </is>
      </c>
      <c r="D664" s="69" t="inlineStr">
        <is>
          <t>24.000</t>
        </is>
      </c>
      <c r="E664" s="69" t="inlineStr">
        <is>
          <t>192 Lexington Avenue</t>
        </is>
      </c>
      <c r="F664" s="69" t="inlineStr">
        <is>
          <t>SPLIT_LOAN_01386</t>
        </is>
      </c>
      <c r="G664" s="70" t="n">
        <v>1386</v>
      </c>
      <c r="H664" s="71" t="n">
        <v>14000000</v>
      </c>
      <c r="I664" s="71" t="n">
        <v>14000000</v>
      </c>
      <c r="J664" s="72" t="n">
        <v>4.91</v>
      </c>
      <c r="K664" s="69" t="inlineStr">
        <is>
          <t>Fixed rate</t>
        </is>
      </c>
      <c r="L664" s="68" t="n">
        <v>120</v>
      </c>
      <c r="M664" s="68" t="n">
        <v>25</v>
      </c>
      <c r="N664" s="68" t="n">
        <v>120</v>
      </c>
      <c r="O664" s="68" t="n">
        <v>120</v>
      </c>
      <c r="P664" s="68" t="n">
        <v>25</v>
      </c>
      <c r="Q664" s="68" t="n">
        <v>95</v>
      </c>
      <c r="R664" s="69" t="inlineStr">
        <is>
          <t>IO</t>
        </is>
      </c>
      <c r="S664" s="69" t="inlineStr">
        <is>
          <t>Yes</t>
        </is>
      </c>
      <c r="T664" s="73" t="n">
        <v>43374</v>
      </c>
      <c r="U664" s="73" t="n">
        <v>47032</v>
      </c>
      <c r="V664" s="73" t="n"/>
      <c r="W664" s="69" t="n"/>
      <c r="X664" s="69" t="inlineStr">
        <is>
          <t>Current</t>
        </is>
      </c>
      <c r="Y664" s="68" t="n"/>
      <c r="Z664" s="69" t="inlineStr">
        <is>
          <t>No Defeasance Occurred</t>
        </is>
      </c>
      <c r="AA664" s="69" t="inlineStr">
        <is>
          <t>Previously</t>
        </is>
      </c>
      <c r="AB664" s="69" t="inlineStr">
        <is>
          <t>Never special serv</t>
        </is>
      </c>
      <c r="AC664" s="73" t="n"/>
      <c r="AD664" s="69" t="n"/>
      <c r="AE664" s="69" t="n"/>
      <c r="AF664" s="69" t="inlineStr">
        <is>
          <t>NY</t>
        </is>
      </c>
      <c r="AG664" s="69" t="inlineStr">
        <is>
          <t>New York</t>
        </is>
      </c>
      <c r="AH664" s="69" t="inlineStr">
        <is>
          <t>New York-Newark-Jersey City, NY-NJ</t>
        </is>
      </c>
      <c r="AI664" s="69" t="inlineStr">
        <is>
          <t>Northeast / Mid-Atlantic</t>
        </is>
      </c>
      <c r="AJ664" s="69" t="inlineStr">
        <is>
          <t>OF</t>
        </is>
      </c>
      <c r="AK664" s="69" t="inlineStr">
        <is>
          <t>CBD</t>
        </is>
      </c>
      <c r="AL664" s="68" t="n">
        <v>1</v>
      </c>
      <c r="AM664" s="68" t="n"/>
      <c r="AN664" s="68" t="n">
        <v>132049</v>
      </c>
      <c r="AO664" s="69" t="inlineStr">
        <is>
          <t>1926</t>
        </is>
      </c>
      <c r="AP664" s="70" t="n">
        <v>1926</v>
      </c>
      <c r="AQ664" s="74" t="n">
        <v>1.41</v>
      </c>
      <c r="AR664" s="74" t="n">
        <v>1.8</v>
      </c>
      <c r="AS664" s="74" t="n">
        <v>59.41</v>
      </c>
      <c r="AT664" s="74" t="n">
        <v>59.41</v>
      </c>
      <c r="AU664" s="74" t="n">
        <v>59.41</v>
      </c>
      <c r="AV664" s="74" t="n">
        <v>7.006621667</v>
      </c>
      <c r="AW664" s="74" t="n">
        <v>8.613035</v>
      </c>
      <c r="AX664" s="75" t="n">
        <v>99</v>
      </c>
      <c r="AY664" s="71" t="n">
        <v>101000000</v>
      </c>
      <c r="AZ664" s="71" t="n">
        <v>101000000</v>
      </c>
      <c r="BA664" s="71" t="n">
        <v>4203973</v>
      </c>
      <c r="BB664" s="71" t="n">
        <v>2684993.02</v>
      </c>
      <c r="BC664" s="69" t="inlineStr">
        <is>
          <t>Acquisition</t>
        </is>
      </c>
      <c r="BD664" s="69" t="inlineStr">
        <is>
          <t>N</t>
        </is>
      </c>
      <c r="BE664" s="71" t="n">
        <v>46000000</v>
      </c>
      <c r="BF664" s="71" t="n"/>
      <c r="BG664" s="71" t="n"/>
      <c r="BH664" s="71" t="n">
        <v>0</v>
      </c>
      <c r="BI664" s="71" t="n">
        <v>0</v>
      </c>
      <c r="BJ664" s="69" t="inlineStr">
        <is>
          <t>N</t>
        </is>
      </c>
      <c r="BK664" s="69" t="inlineStr">
        <is>
          <t>VFS Services USA Inc.</t>
        </is>
      </c>
      <c r="BL664" s="75" t="n">
        <v>6.44</v>
      </c>
      <c r="BM664" s="73" t="n">
        <v>46095</v>
      </c>
      <c r="BN664" s="69" t="inlineStr">
        <is>
          <t>Justin Gorjian and Cobby Gorjian</t>
        </is>
      </c>
      <c r="BO664" s="69" t="inlineStr">
        <is>
          <t>Citigroup Global Markets</t>
        </is>
      </c>
      <c r="BP664" s="69" t="inlineStr">
        <is>
          <t>TriMont Real Estate Advisors</t>
        </is>
      </c>
      <c r="BQ664" s="69" t="inlineStr">
        <is>
          <t>K-Star Asset Management LLC</t>
        </is>
      </c>
      <c r="BR664" s="69" t="n"/>
      <c r="BS664" s="73" t="n">
        <v>46273</v>
      </c>
      <c r="BU664" s="76">
        <f>IF($C664="","",IFERROR(INDEX(dmName,MATCH($C664,dmID,0)),"Unmapped"))</f>
        <v/>
      </c>
      <c r="BV664" s="76">
        <f>IF($C664="","",IFERROR(INDEX(dmEntity,MATCH($C664,dmID,0)),"Unmapped"))</f>
        <v/>
      </c>
      <c r="BW664" s="77">
        <f>IF($C664="","",IFERROR(INDEX(dmVintage,MATCH($C664,dmID,0)),""))</f>
        <v/>
      </c>
      <c r="BX664" s="78">
        <f>IFERROR(INDEX(dmInclude,MATCH($C664,dmID,0)),0)</f>
        <v/>
      </c>
      <c r="BY664" s="78">
        <f>IF(N($I664)&gt;0,1,0)</f>
        <v/>
      </c>
      <c r="BZ664" s="76">
        <f>IF($AJ664="","Other / Leased Fee",IFERROR(INDEX(mapPTGroup,MATCH(LEFT(TRIM($AJ664),2),mapPTCode,0)),"Other / Leased Fee"))</f>
        <v/>
      </c>
      <c r="CA664" s="76">
        <f>IF(TRIM($AF664&amp;"")="","NR",LEFT(TRIM($AF664),2))</f>
        <v/>
      </c>
      <c r="CB664" s="76">
        <f>IFERROR(LOOKUP(2,1/(LEFT(TRIM($AI664&amp;""),LEN(mapRegion))=mapRegion),mapRegion),"Not Reported")</f>
        <v/>
      </c>
      <c r="CC664" s="76">
        <f>IF($BY664=0,"",IF(TRIM($W664&amp;"")="REO","REO",IF(TRIM($W664&amp;"")="FC","Foreclosure",IF(TRIM($W664&amp;"")="90+","90+ Days Delinquent",IF(TRIM($W664&amp;"")="60","60 Days Delinquent",IF(TRIM($W664&amp;"")="30","30 Days Delinquent",IF($X664="Non-Performing Matured Balloon","Non-Performing Matured Balloon",IF(OR($X664="Late Payment But Less Than 30 Days Delinquent",LEFT($X664&amp;"",20)="Payment Not Received"),"Late / In Grace (&lt;30 Days)",IF($X664="Performing Matured Balloon","Performing Matured Balloon","Current")))))))))</f>
        <v/>
      </c>
      <c r="CD664" s="78">
        <f>IF(OR($CC664="REO",$CC664="Foreclosure",$CC664="90+ Days Delinquent",$CC664="60 Days Delinquent",$CC664="30 Days Delinquent",$CC664="Non-Performing Matured Balloon"),1,0)</f>
        <v/>
      </c>
      <c r="CE664" s="76">
        <f>IF($AB664="Currently special serv","Currently Specially Serviced",IF($AB664="Returned to master serv","Previously Specially Serviced","Never Specially Serviced"))</f>
        <v/>
      </c>
      <c r="CF664" s="78">
        <f>IF($CE664="Currently Specially Serviced",1,0)</f>
        <v/>
      </c>
      <c r="CG664" s="76">
        <f>IF($AA664="Yes","Currently on Watchlist",IF($AA664="Previously","Previously on Watchlist","Never on Watchlist"))</f>
        <v/>
      </c>
      <c r="CH664" s="78">
        <f>IF($CG664="Currently on Watchlist",1,0)</f>
        <v/>
      </c>
      <c r="CI664" s="76">
        <f>IF($Z664="Full Defeasance","Fully Defeased",IF($Z664="Portion Of Loan Previously Defeased","Partially Defeased",IF($Z664="Defeasance Not Allowable","Not Defeased (Not Permitted)","Not Defeased")))</f>
        <v/>
      </c>
      <c r="CJ664" s="78">
        <f>IF($CI664="Fully Defeased",1,0)</f>
        <v/>
      </c>
      <c r="CK664" s="76">
        <f>IF($R664="IO","Full IO",IF(LEFT($R664&amp;"",7)="IO then","Partial IO","Amortizing"))</f>
        <v/>
      </c>
      <c r="CL664" s="78">
        <f>IF($CK664="Full IO",1,0)</f>
        <v/>
      </c>
      <c r="CM664" s="78">
        <f>IF($CK664="Partial IO",1,0)</f>
        <v/>
      </c>
      <c r="CN664" s="76">
        <f>IF(LEFT($F664&amp;"",10)="SPLIT_LOAN","Pari Passu Split","Standalone")</f>
        <v/>
      </c>
      <c r="CO664" s="78">
        <f>IF($CN664="Pari Passu Split",1,0)</f>
        <v/>
      </c>
      <c r="CP664" s="77">
        <f>IF(ISNUMBER($T664),YEAR($T664),"")</f>
        <v/>
      </c>
      <c r="CQ664" s="79">
        <f>IF(ISNUMBER($V664),$V664,IF(ISNUMBER($U664),$U664,""))</f>
        <v/>
      </c>
      <c r="CR664" s="77">
        <f>IF(ISNUMBER($CQ664),YEAR($CQ664),"")</f>
        <v/>
      </c>
      <c r="CS664" s="78">
        <f>IF(ISNUMBER($M664),MAX(0,$M664),IF(TRIM($M664&amp;"")="matured",0,""))</f>
        <v/>
      </c>
      <c r="CT664" s="78">
        <f>IF(AND(ISNUMBER($CS664),N($CS664)&lt;=mMatWindow),1,0)</f>
        <v/>
      </c>
      <c r="CU664" s="80">
        <f>IF(ISNUMBER($J664),$J664/100,"")</f>
        <v/>
      </c>
      <c r="CV664" s="81">
        <f>IF(ISNUMBER($AQ664),$AQ664,"")</f>
        <v/>
      </c>
      <c r="CW664" s="81">
        <f>IF(ISNUMBER($AR664),$AR664,"")</f>
        <v/>
      </c>
      <c r="CX664" s="82">
        <f>IF(ISNUMBER($AS664),$AS664/100,"")</f>
        <v/>
      </c>
      <c r="CY664" s="82">
        <f>IF(ISNUMBER($AT664),$AT664/100,"")</f>
        <v/>
      </c>
      <c r="CZ664" s="82">
        <f>IF(ISNUMBER($AU664),$AU664/100,"")</f>
        <v/>
      </c>
      <c r="DA664" s="82">
        <f>IF(ISNUMBER($AV664),$AV664/100,"")</f>
        <v/>
      </c>
      <c r="DB664" s="82">
        <f>IF(ISNUMBER($AW664),$AW664/100,"")</f>
        <v/>
      </c>
      <c r="DC664" s="82">
        <f>IF(ISNUMBER($AX664),$AX664/100,"")</f>
        <v/>
      </c>
      <c r="DD664" s="77">
        <f>IFERROR(VALUE(LEFT(TRIM($AO664&amp;""),4)),"")</f>
        <v/>
      </c>
      <c r="DE664" s="78">
        <f>IF(AND($BY664=1,$BX664=1,OR(fDeal="All Deals",$BU664=fDeal),OR(fEntity="All Entities",$BV664=fEntity),OR(fPType="All Property Types",$BZ664=fPType),OR(fDefeased="Include",$CJ664=0)),1,0)</f>
        <v/>
      </c>
      <c r="DF664" s="83">
        <f>$DE664*N($I664)</f>
        <v/>
      </c>
      <c r="DG664" s="78">
        <f>IF($DE664=1,IF(COUNTIFS($F$8:$F664,$F664,$DE$8:$DE664,1)=1,1,0),0)</f>
        <v/>
      </c>
      <c r="DH664" s="83">
        <f>IF($DG664=1,SUMIFS($DF$8:$DF$1600,$F$8:$F$1600,$F664),0)</f>
        <v/>
      </c>
      <c r="DI664" s="78">
        <f>IF($DG664=1,COUNTIFS($F$8:$F$1600,$F664,$DE$8:$DE$1600,1),0)</f>
        <v/>
      </c>
      <c r="DJ664" s="84">
        <f>IF($DG664=1,$DH664+(100000-ROW())/mTieBreak,0)</f>
        <v/>
      </c>
    </row>
    <row r="665">
      <c r="B665" s="68" t="n">
        <v>25</v>
      </c>
      <c r="C665" s="69" t="inlineStr">
        <is>
          <t>CTG18C06</t>
        </is>
      </c>
      <c r="D665" s="69" t="inlineStr">
        <is>
          <t>25.000</t>
        </is>
      </c>
      <c r="E665" s="69" t="inlineStr">
        <is>
          <t>Victory on 30th</t>
        </is>
      </c>
      <c r="F665" s="69" t="inlineStr">
        <is>
          <t>LNCTG18C06-25.000</t>
        </is>
      </c>
      <c r="G665" s="70" t="n"/>
      <c r="H665" s="71" t="n">
        <v>13500000</v>
      </c>
      <c r="I665" s="71" t="n">
        <v>13500000</v>
      </c>
      <c r="J665" s="72" t="n">
        <v>5.76</v>
      </c>
      <c r="K665" s="69" t="inlineStr">
        <is>
          <t>Fixed rate</t>
        </is>
      </c>
      <c r="L665" s="68" t="n">
        <v>120</v>
      </c>
      <c r="M665" s="68" t="n">
        <v>26</v>
      </c>
      <c r="N665" s="68" t="n">
        <v>120</v>
      </c>
      <c r="O665" s="68" t="n">
        <v>120</v>
      </c>
      <c r="P665" s="68" t="n">
        <v>26</v>
      </c>
      <c r="Q665" s="68" t="n">
        <v>94</v>
      </c>
      <c r="R665" s="69" t="inlineStr">
        <is>
          <t>IO</t>
        </is>
      </c>
      <c r="S665" s="69" t="inlineStr">
        <is>
          <t>Yes</t>
        </is>
      </c>
      <c r="T665" s="73" t="n">
        <v>43405</v>
      </c>
      <c r="U665" s="73" t="n">
        <v>47063</v>
      </c>
      <c r="V665" s="73" t="n"/>
      <c r="W665" s="69" t="n"/>
      <c r="X665" s="69" t="inlineStr">
        <is>
          <t>Current</t>
        </is>
      </c>
      <c r="Y665" s="68" t="n"/>
      <c r="Z665" s="69" t="inlineStr">
        <is>
          <t>No Defeasance Occurred</t>
        </is>
      </c>
      <c r="AA665" s="69" t="inlineStr">
        <is>
          <t>Yes</t>
        </is>
      </c>
      <c r="AB665" s="69" t="inlineStr">
        <is>
          <t>Never special serv</t>
        </is>
      </c>
      <c r="AC665" s="73" t="n"/>
      <c r="AD665" s="69" t="n"/>
      <c r="AE665" s="69" t="n"/>
      <c r="AF665" s="69" t="inlineStr">
        <is>
          <t>CA</t>
        </is>
      </c>
      <c r="AG665" s="69" t="inlineStr">
        <is>
          <t>Los Angeles</t>
        </is>
      </c>
      <c r="AH665" s="69" t="inlineStr">
        <is>
          <t>Los Angeles-Long Beach-Anaheim, CA</t>
        </is>
      </c>
      <c r="AI665" s="69" t="inlineStr">
        <is>
          <t>West / Pacific South</t>
        </is>
      </c>
      <c r="AJ665" s="69" t="inlineStr">
        <is>
          <t>MF</t>
        </is>
      </c>
      <c r="AK665" s="69" t="inlineStr">
        <is>
          <t>Student</t>
        </is>
      </c>
      <c r="AL665" s="68" t="n">
        <v>1</v>
      </c>
      <c r="AM665" s="68" t="n">
        <v>232</v>
      </c>
      <c r="AN665" s="68" t="n"/>
      <c r="AO665" s="69" t="inlineStr">
        <is>
          <t>2017</t>
        </is>
      </c>
      <c r="AP665" s="70" t="n">
        <v>2017</v>
      </c>
      <c r="AQ665" s="74" t="n">
        <v>1.26</v>
      </c>
      <c r="AR665" s="74" t="n">
        <v>0.55</v>
      </c>
      <c r="AS665" s="74" t="n">
        <v>59.73</v>
      </c>
      <c r="AT665" s="74" t="n">
        <v>59.73</v>
      </c>
      <c r="AU665" s="74" t="n">
        <v>59.73</v>
      </c>
      <c r="AV665" s="74" t="n">
        <v>7.377096296</v>
      </c>
      <c r="AW665" s="74" t="n">
        <v>4.703109481</v>
      </c>
      <c r="AX665" s="75" t="n">
        <v>65</v>
      </c>
      <c r="AY665" s="71" t="n">
        <v>22600000</v>
      </c>
      <c r="AZ665" s="71" t="n">
        <v>22600000</v>
      </c>
      <c r="BA665" s="71" t="n">
        <v>995908</v>
      </c>
      <c r="BB665" s="71" t="n">
        <v>215478.49</v>
      </c>
      <c r="BC665" s="69" t="inlineStr">
        <is>
          <t>Refinance</t>
        </is>
      </c>
      <c r="BD665" s="69" t="inlineStr">
        <is>
          <t>N</t>
        </is>
      </c>
      <c r="BE665" s="71" t="n"/>
      <c r="BF665" s="71" t="n"/>
      <c r="BG665" s="71" t="n"/>
      <c r="BH665" s="71" t="n">
        <v>0</v>
      </c>
      <c r="BI665" s="71" t="n">
        <v>0</v>
      </c>
      <c r="BJ665" s="69" t="inlineStr">
        <is>
          <t>N</t>
        </is>
      </c>
      <c r="BK665" s="69" t="n"/>
      <c r="BL665" s="75" t="n"/>
      <c r="BM665" s="73" t="n"/>
      <c r="BN665" s="69" t="inlineStr">
        <is>
          <t>Robert Champion; Robert and Marjorie Champion Trust</t>
        </is>
      </c>
      <c r="BO665" s="69" t="inlineStr">
        <is>
          <t>RMF</t>
        </is>
      </c>
      <c r="BP665" s="69" t="inlineStr">
        <is>
          <t>TriMont Real Estate Advisors</t>
        </is>
      </c>
      <c r="BQ665" s="69" t="inlineStr">
        <is>
          <t>K-Star Asset Management LLC</t>
        </is>
      </c>
      <c r="BR665" s="69" t="n"/>
      <c r="BS665" s="73" t="n">
        <v>46273</v>
      </c>
      <c r="BU665" s="76">
        <f>IF($C665="","",IFERROR(INDEX(dmName,MATCH($C665,dmID,0)),"Unmapped"))</f>
        <v/>
      </c>
      <c r="BV665" s="76">
        <f>IF($C665="","",IFERROR(INDEX(dmEntity,MATCH($C665,dmID,0)),"Unmapped"))</f>
        <v/>
      </c>
      <c r="BW665" s="77">
        <f>IF($C665="","",IFERROR(INDEX(dmVintage,MATCH($C665,dmID,0)),""))</f>
        <v/>
      </c>
      <c r="BX665" s="78">
        <f>IFERROR(INDEX(dmInclude,MATCH($C665,dmID,0)),0)</f>
        <v/>
      </c>
      <c r="BY665" s="78">
        <f>IF(N($I665)&gt;0,1,0)</f>
        <v/>
      </c>
      <c r="BZ665" s="76">
        <f>IF($AJ665="","Other / Leased Fee",IFERROR(INDEX(mapPTGroup,MATCH(LEFT(TRIM($AJ665),2),mapPTCode,0)),"Other / Leased Fee"))</f>
        <v/>
      </c>
      <c r="CA665" s="76">
        <f>IF(TRIM($AF665&amp;"")="","NR",LEFT(TRIM($AF665),2))</f>
        <v/>
      </c>
      <c r="CB665" s="76">
        <f>IFERROR(LOOKUP(2,1/(LEFT(TRIM($AI665&amp;""),LEN(mapRegion))=mapRegion),mapRegion),"Not Reported")</f>
        <v/>
      </c>
      <c r="CC665" s="76">
        <f>IF($BY665=0,"",IF(TRIM($W665&amp;"")="REO","REO",IF(TRIM($W665&amp;"")="FC","Foreclosure",IF(TRIM($W665&amp;"")="90+","90+ Days Delinquent",IF(TRIM($W665&amp;"")="60","60 Days Delinquent",IF(TRIM($W665&amp;"")="30","30 Days Delinquent",IF($X665="Non-Performing Matured Balloon","Non-Performing Matured Balloon",IF(OR($X665="Late Payment But Less Than 30 Days Delinquent",LEFT($X665&amp;"",20)="Payment Not Received"),"Late / In Grace (&lt;30 Days)",IF($X665="Performing Matured Balloon","Performing Matured Balloon","Current")))))))))</f>
        <v/>
      </c>
      <c r="CD665" s="78">
        <f>IF(OR($CC665="REO",$CC665="Foreclosure",$CC665="90+ Days Delinquent",$CC665="60 Days Delinquent",$CC665="30 Days Delinquent",$CC665="Non-Performing Matured Balloon"),1,0)</f>
        <v/>
      </c>
      <c r="CE665" s="76">
        <f>IF($AB665="Currently special serv","Currently Specially Serviced",IF($AB665="Returned to master serv","Previously Specially Serviced","Never Specially Serviced"))</f>
        <v/>
      </c>
      <c r="CF665" s="78">
        <f>IF($CE665="Currently Specially Serviced",1,0)</f>
        <v/>
      </c>
      <c r="CG665" s="76">
        <f>IF($AA665="Yes","Currently on Watchlist",IF($AA665="Previously","Previously on Watchlist","Never on Watchlist"))</f>
        <v/>
      </c>
      <c r="CH665" s="78">
        <f>IF($CG665="Currently on Watchlist",1,0)</f>
        <v/>
      </c>
      <c r="CI665" s="76">
        <f>IF($Z665="Full Defeasance","Fully Defeased",IF($Z665="Portion Of Loan Previously Defeased","Partially Defeased",IF($Z665="Defeasance Not Allowable","Not Defeased (Not Permitted)","Not Defeased")))</f>
        <v/>
      </c>
      <c r="CJ665" s="78">
        <f>IF($CI665="Fully Defeased",1,0)</f>
        <v/>
      </c>
      <c r="CK665" s="76">
        <f>IF($R665="IO","Full IO",IF(LEFT($R665&amp;"",7)="IO then","Partial IO","Amortizing"))</f>
        <v/>
      </c>
      <c r="CL665" s="78">
        <f>IF($CK665="Full IO",1,0)</f>
        <v/>
      </c>
      <c r="CM665" s="78">
        <f>IF($CK665="Partial IO",1,0)</f>
        <v/>
      </c>
      <c r="CN665" s="76">
        <f>IF(LEFT($F665&amp;"",10)="SPLIT_LOAN","Pari Passu Split","Standalone")</f>
        <v/>
      </c>
      <c r="CO665" s="78">
        <f>IF($CN665="Pari Passu Split",1,0)</f>
        <v/>
      </c>
      <c r="CP665" s="77">
        <f>IF(ISNUMBER($T665),YEAR($T665),"")</f>
        <v/>
      </c>
      <c r="CQ665" s="79">
        <f>IF(ISNUMBER($V665),$V665,IF(ISNUMBER($U665),$U665,""))</f>
        <v/>
      </c>
      <c r="CR665" s="77">
        <f>IF(ISNUMBER($CQ665),YEAR($CQ665),"")</f>
        <v/>
      </c>
      <c r="CS665" s="78">
        <f>IF(ISNUMBER($M665),MAX(0,$M665),IF(TRIM($M665&amp;"")="matured",0,""))</f>
        <v/>
      </c>
      <c r="CT665" s="78">
        <f>IF(AND(ISNUMBER($CS665),N($CS665)&lt;=mMatWindow),1,0)</f>
        <v/>
      </c>
      <c r="CU665" s="80">
        <f>IF(ISNUMBER($J665),$J665/100,"")</f>
        <v/>
      </c>
      <c r="CV665" s="81">
        <f>IF(ISNUMBER($AQ665),$AQ665,"")</f>
        <v/>
      </c>
      <c r="CW665" s="81">
        <f>IF(ISNUMBER($AR665),$AR665,"")</f>
        <v/>
      </c>
      <c r="CX665" s="82">
        <f>IF(ISNUMBER($AS665),$AS665/100,"")</f>
        <v/>
      </c>
      <c r="CY665" s="82">
        <f>IF(ISNUMBER($AT665),$AT665/100,"")</f>
        <v/>
      </c>
      <c r="CZ665" s="82">
        <f>IF(ISNUMBER($AU665),$AU665/100,"")</f>
        <v/>
      </c>
      <c r="DA665" s="82">
        <f>IF(ISNUMBER($AV665),$AV665/100,"")</f>
        <v/>
      </c>
      <c r="DB665" s="82">
        <f>IF(ISNUMBER($AW665),$AW665/100,"")</f>
        <v/>
      </c>
      <c r="DC665" s="82">
        <f>IF(ISNUMBER($AX665),$AX665/100,"")</f>
        <v/>
      </c>
      <c r="DD665" s="77">
        <f>IFERROR(VALUE(LEFT(TRIM($AO665&amp;""),4)),"")</f>
        <v/>
      </c>
      <c r="DE665" s="78">
        <f>IF(AND($BY665=1,$BX665=1,OR(fDeal="All Deals",$BU665=fDeal),OR(fEntity="All Entities",$BV665=fEntity),OR(fPType="All Property Types",$BZ665=fPType),OR(fDefeased="Include",$CJ665=0)),1,0)</f>
        <v/>
      </c>
      <c r="DF665" s="83">
        <f>$DE665*N($I665)</f>
        <v/>
      </c>
      <c r="DG665" s="78">
        <f>IF($DE665=1,IF(COUNTIFS($F$8:$F665,$F665,$DE$8:$DE665,1)=1,1,0),0)</f>
        <v/>
      </c>
      <c r="DH665" s="83">
        <f>IF($DG665=1,SUMIFS($DF$8:$DF$1600,$F$8:$F$1600,$F665),0)</f>
        <v/>
      </c>
      <c r="DI665" s="78">
        <f>IF($DG665=1,COUNTIFS($F$8:$F$1600,$F665,$DE$8:$DE$1600,1),0)</f>
        <v/>
      </c>
      <c r="DJ665" s="84">
        <f>IF($DG665=1,$DH665+(100000-ROW())/mTieBreak,0)</f>
        <v/>
      </c>
    </row>
    <row r="666">
      <c r="B666" s="68" t="n">
        <v>26</v>
      </c>
      <c r="C666" s="69" t="inlineStr">
        <is>
          <t>CTG18C06</t>
        </is>
      </c>
      <c r="D666" s="69" t="inlineStr">
        <is>
          <t>26.000</t>
        </is>
      </c>
      <c r="E666" s="69" t="inlineStr">
        <is>
          <t>New York State OCFS Headquarters</t>
        </is>
      </c>
      <c r="F666" s="69" t="inlineStr">
        <is>
          <t>LNCTG18C06-26.000</t>
        </is>
      </c>
      <c r="G666" s="70" t="n"/>
      <c r="H666" s="71" t="n">
        <v>13300000</v>
      </c>
      <c r="I666" s="71" t="n">
        <v>11659320.5599997</v>
      </c>
      <c r="J666" s="72" t="n">
        <v>5.38</v>
      </c>
      <c r="K666" s="69" t="inlineStr">
        <is>
          <t>Fixed rate</t>
        </is>
      </c>
      <c r="L666" s="68" t="n">
        <v>120</v>
      </c>
      <c r="M666" s="68" t="n">
        <v>26</v>
      </c>
      <c r="N666" s="68" t="n">
        <v>360</v>
      </c>
      <c r="O666" s="68" t="n"/>
      <c r="P666" s="68" t="n"/>
      <c r="Q666" s="68" t="n">
        <v>94</v>
      </c>
      <c r="R666" s="69" t="n"/>
      <c r="S666" s="69" t="inlineStr">
        <is>
          <t>No</t>
        </is>
      </c>
      <c r="T666" s="73" t="n">
        <v>43405</v>
      </c>
      <c r="U666" s="73" t="n">
        <v>47063</v>
      </c>
      <c r="V666" s="73" t="n"/>
      <c r="W666" s="69" t="n"/>
      <c r="X666" s="69" t="inlineStr">
        <is>
          <t>Current</t>
        </is>
      </c>
      <c r="Y666" s="68" t="n"/>
      <c r="Z666" s="69" t="inlineStr">
        <is>
          <t>No Defeasance Occurred</t>
        </is>
      </c>
      <c r="AA666" s="69" t="inlineStr">
        <is>
          <t>Yes</t>
        </is>
      </c>
      <c r="AB666" s="69" t="inlineStr">
        <is>
          <t>Never special serv</t>
        </is>
      </c>
      <c r="AC666" s="73" t="n"/>
      <c r="AD666" s="69" t="n"/>
      <c r="AE666" s="69" t="n"/>
      <c r="AF666" s="69" t="inlineStr">
        <is>
          <t>NY</t>
        </is>
      </c>
      <c r="AG666" s="69" t="inlineStr">
        <is>
          <t>Rensselaer</t>
        </is>
      </c>
      <c r="AH666" s="69" t="inlineStr">
        <is>
          <t>Albany-Schenectady-Troy, NY</t>
        </is>
      </c>
      <c r="AI666" s="69" t="inlineStr">
        <is>
          <t>Northeast / Mid-Atlantic</t>
        </is>
      </c>
      <c r="AJ666" s="69" t="inlineStr">
        <is>
          <t>OF</t>
        </is>
      </c>
      <c r="AK666" s="69" t="inlineStr">
        <is>
          <t>Suburban</t>
        </is>
      </c>
      <c r="AL666" s="68" t="n">
        <v>1</v>
      </c>
      <c r="AM666" s="68" t="n"/>
      <c r="AN666" s="68" t="n">
        <v>249002</v>
      </c>
      <c r="AO666" s="69" t="inlineStr">
        <is>
          <t>1925</t>
        </is>
      </c>
      <c r="AP666" s="70" t="n">
        <v>2016</v>
      </c>
      <c r="AQ666" s="74" t="n">
        <v>1.35</v>
      </c>
      <c r="AR666" s="74" t="n">
        <v>0.9399999999999999</v>
      </c>
      <c r="AS666" s="74" t="n">
        <v>64.5</v>
      </c>
      <c r="AT666" s="74" t="n">
        <v>56.6</v>
      </c>
      <c r="AU666" s="74" t="n">
        <v>53.73</v>
      </c>
      <c r="AV666" s="74" t="n">
        <v>9.057361429</v>
      </c>
      <c r="AW666" s="74" t="n">
        <v>12.821734271</v>
      </c>
      <c r="AX666" s="75" t="n">
        <v>100</v>
      </c>
      <c r="AY666" s="71" t="n">
        <v>20600000</v>
      </c>
      <c r="AZ666" s="71" t="n">
        <v>20600000</v>
      </c>
      <c r="BA666" s="71" t="n">
        <v>1204629.07</v>
      </c>
      <c r="BB666" s="71" t="n">
        <v>209450.48</v>
      </c>
      <c r="BC666" s="69" t="inlineStr">
        <is>
          <t>Acquisition</t>
        </is>
      </c>
      <c r="BD666" s="69" t="inlineStr">
        <is>
          <t>N</t>
        </is>
      </c>
      <c r="BE666" s="71" t="n"/>
      <c r="BF666" s="71" t="n"/>
      <c r="BG666" s="71" t="n"/>
      <c r="BH666" s="71" t="n">
        <v>0</v>
      </c>
      <c r="BI666" s="71" t="n">
        <v>0</v>
      </c>
      <c r="BJ666" s="69" t="inlineStr">
        <is>
          <t>N</t>
        </is>
      </c>
      <c r="BK666" s="69" t="inlineStr">
        <is>
          <t>Washington Mutual Bank</t>
        </is>
      </c>
      <c r="BL666" s="75" t="n">
        <v>100</v>
      </c>
      <c r="BM666" s="73" t="n">
        <v>46295</v>
      </c>
      <c r="BN666" s="69" t="inlineStr">
        <is>
          <t>Chaim Simkowitz</t>
        </is>
      </c>
      <c r="BO666" s="69" t="inlineStr">
        <is>
          <t>Citigroup Global Markets</t>
        </is>
      </c>
      <c r="BP666" s="69" t="inlineStr">
        <is>
          <t>TriMont Real Estate Advisors</t>
        </is>
      </c>
      <c r="BQ666" s="69" t="inlineStr">
        <is>
          <t>K-Star Asset Management LLC</t>
        </is>
      </c>
      <c r="BR666" s="69" t="n"/>
      <c r="BS666" s="73" t="n">
        <v>46273</v>
      </c>
      <c r="BU666" s="76">
        <f>IF($C666="","",IFERROR(INDEX(dmName,MATCH($C666,dmID,0)),"Unmapped"))</f>
        <v/>
      </c>
      <c r="BV666" s="76">
        <f>IF($C666="","",IFERROR(INDEX(dmEntity,MATCH($C666,dmID,0)),"Unmapped"))</f>
        <v/>
      </c>
      <c r="BW666" s="77">
        <f>IF($C666="","",IFERROR(INDEX(dmVintage,MATCH($C666,dmID,0)),""))</f>
        <v/>
      </c>
      <c r="BX666" s="78">
        <f>IFERROR(INDEX(dmInclude,MATCH($C666,dmID,0)),0)</f>
        <v/>
      </c>
      <c r="BY666" s="78">
        <f>IF(N($I666)&gt;0,1,0)</f>
        <v/>
      </c>
      <c r="BZ666" s="76">
        <f>IF($AJ666="","Other / Leased Fee",IFERROR(INDEX(mapPTGroup,MATCH(LEFT(TRIM($AJ666),2),mapPTCode,0)),"Other / Leased Fee"))</f>
        <v/>
      </c>
      <c r="CA666" s="76">
        <f>IF(TRIM($AF666&amp;"")="","NR",LEFT(TRIM($AF666),2))</f>
        <v/>
      </c>
      <c r="CB666" s="76">
        <f>IFERROR(LOOKUP(2,1/(LEFT(TRIM($AI666&amp;""),LEN(mapRegion))=mapRegion),mapRegion),"Not Reported")</f>
        <v/>
      </c>
      <c r="CC666" s="76">
        <f>IF($BY666=0,"",IF(TRIM($W666&amp;"")="REO","REO",IF(TRIM($W666&amp;"")="FC","Foreclosure",IF(TRIM($W666&amp;"")="90+","90+ Days Delinquent",IF(TRIM($W666&amp;"")="60","60 Days Delinquent",IF(TRIM($W666&amp;"")="30","30 Days Delinquent",IF($X666="Non-Performing Matured Balloon","Non-Performing Matured Balloon",IF(OR($X666="Late Payment But Less Than 30 Days Delinquent",LEFT($X666&amp;"",20)="Payment Not Received"),"Late / In Grace (&lt;30 Days)",IF($X666="Performing Matured Balloon","Performing Matured Balloon","Current")))))))))</f>
        <v/>
      </c>
      <c r="CD666" s="78">
        <f>IF(OR($CC666="REO",$CC666="Foreclosure",$CC666="90+ Days Delinquent",$CC666="60 Days Delinquent",$CC666="30 Days Delinquent",$CC666="Non-Performing Matured Balloon"),1,0)</f>
        <v/>
      </c>
      <c r="CE666" s="76">
        <f>IF($AB666="Currently special serv","Currently Specially Serviced",IF($AB666="Returned to master serv","Previously Specially Serviced","Never Specially Serviced"))</f>
        <v/>
      </c>
      <c r="CF666" s="78">
        <f>IF($CE666="Currently Specially Serviced",1,0)</f>
        <v/>
      </c>
      <c r="CG666" s="76">
        <f>IF($AA666="Yes","Currently on Watchlist",IF($AA666="Previously","Previously on Watchlist","Never on Watchlist"))</f>
        <v/>
      </c>
      <c r="CH666" s="78">
        <f>IF($CG666="Currently on Watchlist",1,0)</f>
        <v/>
      </c>
      <c r="CI666" s="76">
        <f>IF($Z666="Full Defeasance","Fully Defeased",IF($Z666="Portion Of Loan Previously Defeased","Partially Defeased",IF($Z666="Defeasance Not Allowable","Not Defeased (Not Permitted)","Not Defeased")))</f>
        <v/>
      </c>
      <c r="CJ666" s="78">
        <f>IF($CI666="Fully Defeased",1,0)</f>
        <v/>
      </c>
      <c r="CK666" s="76">
        <f>IF($R666="IO","Full IO",IF(LEFT($R666&amp;"",7)="IO then","Partial IO","Amortizing"))</f>
        <v/>
      </c>
      <c r="CL666" s="78">
        <f>IF($CK666="Full IO",1,0)</f>
        <v/>
      </c>
      <c r="CM666" s="78">
        <f>IF($CK666="Partial IO",1,0)</f>
        <v/>
      </c>
      <c r="CN666" s="76">
        <f>IF(LEFT($F666&amp;"",10)="SPLIT_LOAN","Pari Passu Split","Standalone")</f>
        <v/>
      </c>
      <c r="CO666" s="78">
        <f>IF($CN666="Pari Passu Split",1,0)</f>
        <v/>
      </c>
      <c r="CP666" s="77">
        <f>IF(ISNUMBER($T666),YEAR($T666),"")</f>
        <v/>
      </c>
      <c r="CQ666" s="79">
        <f>IF(ISNUMBER($V666),$V666,IF(ISNUMBER($U666),$U666,""))</f>
        <v/>
      </c>
      <c r="CR666" s="77">
        <f>IF(ISNUMBER($CQ666),YEAR($CQ666),"")</f>
        <v/>
      </c>
      <c r="CS666" s="78">
        <f>IF(ISNUMBER($M666),MAX(0,$M666),IF(TRIM($M666&amp;"")="matured",0,""))</f>
        <v/>
      </c>
      <c r="CT666" s="78">
        <f>IF(AND(ISNUMBER($CS666),N($CS666)&lt;=mMatWindow),1,0)</f>
        <v/>
      </c>
      <c r="CU666" s="80">
        <f>IF(ISNUMBER($J666),$J666/100,"")</f>
        <v/>
      </c>
      <c r="CV666" s="81">
        <f>IF(ISNUMBER($AQ666),$AQ666,"")</f>
        <v/>
      </c>
      <c r="CW666" s="81">
        <f>IF(ISNUMBER($AR666),$AR666,"")</f>
        <v/>
      </c>
      <c r="CX666" s="82">
        <f>IF(ISNUMBER($AS666),$AS666/100,"")</f>
        <v/>
      </c>
      <c r="CY666" s="82">
        <f>IF(ISNUMBER($AT666),$AT666/100,"")</f>
        <v/>
      </c>
      <c r="CZ666" s="82">
        <f>IF(ISNUMBER($AU666),$AU666/100,"")</f>
        <v/>
      </c>
      <c r="DA666" s="82">
        <f>IF(ISNUMBER($AV666),$AV666/100,"")</f>
        <v/>
      </c>
      <c r="DB666" s="82">
        <f>IF(ISNUMBER($AW666),$AW666/100,"")</f>
        <v/>
      </c>
      <c r="DC666" s="82">
        <f>IF(ISNUMBER($AX666),$AX666/100,"")</f>
        <v/>
      </c>
      <c r="DD666" s="77">
        <f>IFERROR(VALUE(LEFT(TRIM($AO666&amp;""),4)),"")</f>
        <v/>
      </c>
      <c r="DE666" s="78">
        <f>IF(AND($BY666=1,$BX666=1,OR(fDeal="All Deals",$BU666=fDeal),OR(fEntity="All Entities",$BV666=fEntity),OR(fPType="All Property Types",$BZ666=fPType),OR(fDefeased="Include",$CJ666=0)),1,0)</f>
        <v/>
      </c>
      <c r="DF666" s="83">
        <f>$DE666*N($I666)</f>
        <v/>
      </c>
      <c r="DG666" s="78">
        <f>IF($DE666=1,IF(COUNTIFS($F$8:$F666,$F666,$DE$8:$DE666,1)=1,1,0),0)</f>
        <v/>
      </c>
      <c r="DH666" s="83">
        <f>IF($DG666=1,SUMIFS($DF$8:$DF$1600,$F$8:$F$1600,$F666),0)</f>
        <v/>
      </c>
      <c r="DI666" s="78">
        <f>IF($DG666=1,COUNTIFS($F$8:$F$1600,$F666,$DE$8:$DE$1600,1),0)</f>
        <v/>
      </c>
      <c r="DJ666" s="84">
        <f>IF($DG666=1,$DH666+(100000-ROW())/mTieBreak,0)</f>
        <v/>
      </c>
    </row>
    <row r="667">
      <c r="B667" s="68" t="n">
        <v>27</v>
      </c>
      <c r="C667" s="69" t="inlineStr">
        <is>
          <t>CTG18C06</t>
        </is>
      </c>
      <c r="D667" s="69" t="inlineStr">
        <is>
          <t>27.000</t>
        </is>
      </c>
      <c r="E667" s="69" t="inlineStr">
        <is>
          <t>TownePlace Suites Houston - Galleria Area</t>
        </is>
      </c>
      <c r="F667" s="69" t="inlineStr">
        <is>
          <t>LNCTG18C06-27.000</t>
        </is>
      </c>
      <c r="G667" s="70" t="n"/>
      <c r="H667" s="71" t="n">
        <v>12000000</v>
      </c>
      <c r="I667" s="71" t="n">
        <v>10799188.479996</v>
      </c>
      <c r="J667" s="72" t="n">
        <v>5.7</v>
      </c>
      <c r="K667" s="69" t="inlineStr">
        <is>
          <t>Fixed rate</t>
        </is>
      </c>
      <c r="L667" s="68" t="n">
        <v>120</v>
      </c>
      <c r="M667" s="68" t="n">
        <v>25</v>
      </c>
      <c r="N667" s="68" t="n">
        <v>372</v>
      </c>
      <c r="O667" s="68" t="n">
        <v>12</v>
      </c>
      <c r="P667" s="68" t="n">
        <v>0</v>
      </c>
      <c r="Q667" s="68" t="n">
        <v>95</v>
      </c>
      <c r="R667" s="69" t="inlineStr">
        <is>
          <t>IO then Amort</t>
        </is>
      </c>
      <c r="S667" s="69" t="inlineStr">
        <is>
          <t>No</t>
        </is>
      </c>
      <c r="T667" s="73" t="n">
        <v>43374</v>
      </c>
      <c r="U667" s="73" t="n">
        <v>47032</v>
      </c>
      <c r="V667" s="73" t="n"/>
      <c r="W667" s="69" t="n"/>
      <c r="X667" s="69" t="inlineStr">
        <is>
          <t>Current</t>
        </is>
      </c>
      <c r="Y667" s="68" t="n"/>
      <c r="Z667" s="69" t="inlineStr">
        <is>
          <t>No Defeasance Occurred</t>
        </is>
      </c>
      <c r="AA667" s="69" t="inlineStr">
        <is>
          <t>Previously</t>
        </is>
      </c>
      <c r="AB667" s="69" t="inlineStr">
        <is>
          <t>Never special serv</t>
        </is>
      </c>
      <c r="AC667" s="73" t="n"/>
      <c r="AD667" s="69" t="n"/>
      <c r="AE667" s="69" t="n"/>
      <c r="AF667" s="69" t="inlineStr">
        <is>
          <t>TX</t>
        </is>
      </c>
      <c r="AG667" s="69" t="inlineStr">
        <is>
          <t>Houston</t>
        </is>
      </c>
      <c r="AH667" s="69" t="inlineStr">
        <is>
          <t>Houston-Pasadena-The Woodlands, TX</t>
        </is>
      </c>
      <c r="AI667" s="69" t="inlineStr">
        <is>
          <t>South / Central West</t>
        </is>
      </c>
      <c r="AJ667" s="69" t="inlineStr">
        <is>
          <t>HT</t>
        </is>
      </c>
      <c r="AK667" s="69" t="inlineStr">
        <is>
          <t>Extended Stay</t>
        </is>
      </c>
      <c r="AL667" s="68" t="n">
        <v>1</v>
      </c>
      <c r="AM667" s="68" t="n">
        <v>120</v>
      </c>
      <c r="AN667" s="68" t="n"/>
      <c r="AO667" s="69" t="inlineStr">
        <is>
          <t>2015</t>
        </is>
      </c>
      <c r="AP667" s="70" t="n">
        <v>2015</v>
      </c>
      <c r="AQ667" s="74" t="n">
        <v>1.7</v>
      </c>
      <c r="AR667" s="74" t="n">
        <v>1.46</v>
      </c>
      <c r="AS667" s="74" t="n">
        <v>67.8</v>
      </c>
      <c r="AT667" s="74" t="n">
        <v>61.01</v>
      </c>
      <c r="AU667" s="74" t="n">
        <v>58.38</v>
      </c>
      <c r="AV667" s="74" t="n">
        <v>11.853858333</v>
      </c>
      <c r="AW667" s="74" t="n">
        <v>9.109496624</v>
      </c>
      <c r="AX667" s="75" t="n">
        <v>79</v>
      </c>
      <c r="AY667" s="71" t="n">
        <v>17700000</v>
      </c>
      <c r="AZ667" s="71" t="n">
        <v>17700000</v>
      </c>
      <c r="BA667" s="71" t="n">
        <v>1422463</v>
      </c>
      <c r="BB667" s="71" t="n">
        <v>1218169.04</v>
      </c>
      <c r="BC667" s="69" t="inlineStr">
        <is>
          <t>Acquisition</t>
        </is>
      </c>
      <c r="BD667" s="69" t="inlineStr">
        <is>
          <t>N</t>
        </is>
      </c>
      <c r="BE667" s="71" t="n"/>
      <c r="BF667" s="71" t="n"/>
      <c r="BG667" s="71" t="n"/>
      <c r="BH667" s="71" t="n">
        <v>0</v>
      </c>
      <c r="BI667" s="71" t="n">
        <v>0</v>
      </c>
      <c r="BJ667" s="69" t="inlineStr">
        <is>
          <t>N</t>
        </is>
      </c>
      <c r="BK667" s="69" t="n"/>
      <c r="BL667" s="75" t="n"/>
      <c r="BM667" s="73" t="n"/>
      <c r="BN667" s="69" t="inlineStr">
        <is>
          <t>R. Hunter Goodwin and Casey M. Oldham</t>
        </is>
      </c>
      <c r="BO667" s="69" t="inlineStr">
        <is>
          <t>RMF</t>
        </is>
      </c>
      <c r="BP667" s="69" t="inlineStr">
        <is>
          <t>TriMont Real Estate Advisors</t>
        </is>
      </c>
      <c r="BQ667" s="69" t="inlineStr">
        <is>
          <t>K-Star Asset Management LLC</t>
        </is>
      </c>
      <c r="BR667" s="69" t="n"/>
      <c r="BS667" s="73" t="n">
        <v>46273</v>
      </c>
      <c r="BU667" s="76">
        <f>IF($C667="","",IFERROR(INDEX(dmName,MATCH($C667,dmID,0)),"Unmapped"))</f>
        <v/>
      </c>
      <c r="BV667" s="76">
        <f>IF($C667="","",IFERROR(INDEX(dmEntity,MATCH($C667,dmID,0)),"Unmapped"))</f>
        <v/>
      </c>
      <c r="BW667" s="77">
        <f>IF($C667="","",IFERROR(INDEX(dmVintage,MATCH($C667,dmID,0)),""))</f>
        <v/>
      </c>
      <c r="BX667" s="78">
        <f>IFERROR(INDEX(dmInclude,MATCH($C667,dmID,0)),0)</f>
        <v/>
      </c>
      <c r="BY667" s="78">
        <f>IF(N($I667)&gt;0,1,0)</f>
        <v/>
      </c>
      <c r="BZ667" s="76">
        <f>IF($AJ667="","Other / Leased Fee",IFERROR(INDEX(mapPTGroup,MATCH(LEFT(TRIM($AJ667),2),mapPTCode,0)),"Other / Leased Fee"))</f>
        <v/>
      </c>
      <c r="CA667" s="76">
        <f>IF(TRIM($AF667&amp;"")="","NR",LEFT(TRIM($AF667),2))</f>
        <v/>
      </c>
      <c r="CB667" s="76">
        <f>IFERROR(LOOKUP(2,1/(LEFT(TRIM($AI667&amp;""),LEN(mapRegion))=mapRegion),mapRegion),"Not Reported")</f>
        <v/>
      </c>
      <c r="CC667" s="76">
        <f>IF($BY667=0,"",IF(TRIM($W667&amp;"")="REO","REO",IF(TRIM($W667&amp;"")="FC","Foreclosure",IF(TRIM($W667&amp;"")="90+","90+ Days Delinquent",IF(TRIM($W667&amp;"")="60","60 Days Delinquent",IF(TRIM($W667&amp;"")="30","30 Days Delinquent",IF($X667="Non-Performing Matured Balloon","Non-Performing Matured Balloon",IF(OR($X667="Late Payment But Less Than 30 Days Delinquent",LEFT($X667&amp;"",20)="Payment Not Received"),"Late / In Grace (&lt;30 Days)",IF($X667="Performing Matured Balloon","Performing Matured Balloon","Current")))))))))</f>
        <v/>
      </c>
      <c r="CD667" s="78">
        <f>IF(OR($CC667="REO",$CC667="Foreclosure",$CC667="90+ Days Delinquent",$CC667="60 Days Delinquent",$CC667="30 Days Delinquent",$CC667="Non-Performing Matured Balloon"),1,0)</f>
        <v/>
      </c>
      <c r="CE667" s="76">
        <f>IF($AB667="Currently special serv","Currently Specially Serviced",IF($AB667="Returned to master serv","Previously Specially Serviced","Never Specially Serviced"))</f>
        <v/>
      </c>
      <c r="CF667" s="78">
        <f>IF($CE667="Currently Specially Serviced",1,0)</f>
        <v/>
      </c>
      <c r="CG667" s="76">
        <f>IF($AA667="Yes","Currently on Watchlist",IF($AA667="Previously","Previously on Watchlist","Never on Watchlist"))</f>
        <v/>
      </c>
      <c r="CH667" s="78">
        <f>IF($CG667="Currently on Watchlist",1,0)</f>
        <v/>
      </c>
      <c r="CI667" s="76">
        <f>IF($Z667="Full Defeasance","Fully Defeased",IF($Z667="Portion Of Loan Previously Defeased","Partially Defeased",IF($Z667="Defeasance Not Allowable","Not Defeased (Not Permitted)","Not Defeased")))</f>
        <v/>
      </c>
      <c r="CJ667" s="78">
        <f>IF($CI667="Fully Defeased",1,0)</f>
        <v/>
      </c>
      <c r="CK667" s="76">
        <f>IF($R667="IO","Full IO",IF(LEFT($R667&amp;"",7)="IO then","Partial IO","Amortizing"))</f>
        <v/>
      </c>
      <c r="CL667" s="78">
        <f>IF($CK667="Full IO",1,0)</f>
        <v/>
      </c>
      <c r="CM667" s="78">
        <f>IF($CK667="Partial IO",1,0)</f>
        <v/>
      </c>
      <c r="CN667" s="76">
        <f>IF(LEFT($F667&amp;"",10)="SPLIT_LOAN","Pari Passu Split","Standalone")</f>
        <v/>
      </c>
      <c r="CO667" s="78">
        <f>IF($CN667="Pari Passu Split",1,0)</f>
        <v/>
      </c>
      <c r="CP667" s="77">
        <f>IF(ISNUMBER($T667),YEAR($T667),"")</f>
        <v/>
      </c>
      <c r="CQ667" s="79">
        <f>IF(ISNUMBER($V667),$V667,IF(ISNUMBER($U667),$U667,""))</f>
        <v/>
      </c>
      <c r="CR667" s="77">
        <f>IF(ISNUMBER($CQ667),YEAR($CQ667),"")</f>
        <v/>
      </c>
      <c r="CS667" s="78">
        <f>IF(ISNUMBER($M667),MAX(0,$M667),IF(TRIM($M667&amp;"")="matured",0,""))</f>
        <v/>
      </c>
      <c r="CT667" s="78">
        <f>IF(AND(ISNUMBER($CS667),N($CS667)&lt;=mMatWindow),1,0)</f>
        <v/>
      </c>
      <c r="CU667" s="80">
        <f>IF(ISNUMBER($J667),$J667/100,"")</f>
        <v/>
      </c>
      <c r="CV667" s="81">
        <f>IF(ISNUMBER($AQ667),$AQ667,"")</f>
        <v/>
      </c>
      <c r="CW667" s="81">
        <f>IF(ISNUMBER($AR667),$AR667,"")</f>
        <v/>
      </c>
      <c r="CX667" s="82">
        <f>IF(ISNUMBER($AS667),$AS667/100,"")</f>
        <v/>
      </c>
      <c r="CY667" s="82">
        <f>IF(ISNUMBER($AT667),$AT667/100,"")</f>
        <v/>
      </c>
      <c r="CZ667" s="82">
        <f>IF(ISNUMBER($AU667),$AU667/100,"")</f>
        <v/>
      </c>
      <c r="DA667" s="82">
        <f>IF(ISNUMBER($AV667),$AV667/100,"")</f>
        <v/>
      </c>
      <c r="DB667" s="82">
        <f>IF(ISNUMBER($AW667),$AW667/100,"")</f>
        <v/>
      </c>
      <c r="DC667" s="82">
        <f>IF(ISNUMBER($AX667),$AX667/100,"")</f>
        <v/>
      </c>
      <c r="DD667" s="77">
        <f>IFERROR(VALUE(LEFT(TRIM($AO667&amp;""),4)),"")</f>
        <v/>
      </c>
      <c r="DE667" s="78">
        <f>IF(AND($BY667=1,$BX667=1,OR(fDeal="All Deals",$BU667=fDeal),OR(fEntity="All Entities",$BV667=fEntity),OR(fPType="All Property Types",$BZ667=fPType),OR(fDefeased="Include",$CJ667=0)),1,0)</f>
        <v/>
      </c>
      <c r="DF667" s="83">
        <f>$DE667*N($I667)</f>
        <v/>
      </c>
      <c r="DG667" s="78">
        <f>IF($DE667=1,IF(COUNTIFS($F$8:$F667,$F667,$DE$8:$DE667,1)=1,1,0),0)</f>
        <v/>
      </c>
      <c r="DH667" s="83">
        <f>IF($DG667=1,SUMIFS($DF$8:$DF$1600,$F$8:$F$1600,$F667),0)</f>
        <v/>
      </c>
      <c r="DI667" s="78">
        <f>IF($DG667=1,COUNTIFS($F$8:$F$1600,$F667,$DE$8:$DE$1600,1),0)</f>
        <v/>
      </c>
      <c r="DJ667" s="84">
        <f>IF($DG667=1,$DH667+(100000-ROW())/mTieBreak,0)</f>
        <v/>
      </c>
    </row>
    <row r="668">
      <c r="B668" s="68" t="n">
        <v>28</v>
      </c>
      <c r="C668" s="69" t="inlineStr">
        <is>
          <t>CTG18C06</t>
        </is>
      </c>
      <c r="D668" s="69" t="inlineStr">
        <is>
          <t>28.000</t>
        </is>
      </c>
      <c r="E668" s="69" t="inlineStr">
        <is>
          <t>Cotton Center I</t>
        </is>
      </c>
      <c r="F668" s="69" t="inlineStr">
        <is>
          <t>LNCTG18C06-28.000</t>
        </is>
      </c>
      <c r="G668" s="70" t="n"/>
      <c r="H668" s="71" t="n">
        <v>11000000</v>
      </c>
      <c r="I668" s="71" t="n">
        <v>10524328.139996</v>
      </c>
      <c r="J668" s="72" t="n">
        <v>4.95</v>
      </c>
      <c r="K668" s="69" t="inlineStr">
        <is>
          <t>Fixed rate</t>
        </is>
      </c>
      <c r="L668" s="68" t="n">
        <v>120</v>
      </c>
      <c r="M668" s="68" t="n">
        <v>25</v>
      </c>
      <c r="N668" s="68" t="n">
        <v>420</v>
      </c>
      <c r="O668" s="68" t="n">
        <v>60</v>
      </c>
      <c r="P668" s="68" t="n">
        <v>0</v>
      </c>
      <c r="Q668" s="68" t="n">
        <v>95</v>
      </c>
      <c r="R668" s="69" t="inlineStr">
        <is>
          <t>IO then Amort</t>
        </is>
      </c>
      <c r="S668" s="69" t="inlineStr">
        <is>
          <t>No</t>
        </is>
      </c>
      <c r="T668" s="73" t="n">
        <v>43374</v>
      </c>
      <c r="U668" s="73" t="n">
        <v>47032</v>
      </c>
      <c r="V668" s="73" t="n"/>
      <c r="W668" s="69" t="n"/>
      <c r="X668" s="69" t="inlineStr">
        <is>
          <t>Current</t>
        </is>
      </c>
      <c r="Y668" s="68" t="n"/>
      <c r="Z668" s="69" t="inlineStr">
        <is>
          <t>No Defeasance Occurred</t>
        </is>
      </c>
      <c r="AA668" s="69" t="inlineStr">
        <is>
          <t>Yes</t>
        </is>
      </c>
      <c r="AB668" s="69" t="inlineStr">
        <is>
          <t>Never special serv</t>
        </is>
      </c>
      <c r="AC668" s="73" t="n"/>
      <c r="AD668" s="69" t="n"/>
      <c r="AE668" s="69" t="n"/>
      <c r="AF668" s="69" t="inlineStr">
        <is>
          <t>AZ</t>
        </is>
      </c>
      <c r="AG668" s="69" t="inlineStr">
        <is>
          <t>Phoenix</t>
        </is>
      </c>
      <c r="AH668" s="69" t="inlineStr">
        <is>
          <t>Phoenix-Mesa-Chandler, AZ</t>
        </is>
      </c>
      <c r="AI668" s="69" t="inlineStr">
        <is>
          <t>West / Mountain</t>
        </is>
      </c>
      <c r="AJ668" s="69" t="inlineStr">
        <is>
          <t>OF</t>
        </is>
      </c>
      <c r="AK668" s="69" t="inlineStr">
        <is>
          <t>Suburban</t>
        </is>
      </c>
      <c r="AL668" s="68" t="n">
        <v>1</v>
      </c>
      <c r="AM668" s="68" t="n"/>
      <c r="AN668" s="68" t="n">
        <v>114466</v>
      </c>
      <c r="AO668" s="69" t="inlineStr">
        <is>
          <t>2000</t>
        </is>
      </c>
      <c r="AP668" s="70" t="n">
        <v>2000</v>
      </c>
      <c r="AQ668" s="74" t="n">
        <v>1.9</v>
      </c>
      <c r="AR668" s="74" t="n">
        <v>2.71</v>
      </c>
      <c r="AS668" s="74" t="n">
        <v>60.8</v>
      </c>
      <c r="AT668" s="74" t="n">
        <v>58.15</v>
      </c>
      <c r="AU668" s="74" t="n">
        <v>56.01</v>
      </c>
      <c r="AV668" s="74" t="n">
        <v>12.179444636</v>
      </c>
      <c r="AW668" s="74" t="n">
        <v>17.53663593</v>
      </c>
      <c r="AX668" s="75" t="n">
        <v>100</v>
      </c>
      <c r="AY668" s="71" t="n">
        <v>18100000</v>
      </c>
      <c r="AZ668" s="71" t="n">
        <v>18100000</v>
      </c>
      <c r="BA668" s="71" t="n">
        <v>1339738.91</v>
      </c>
      <c r="BB668" s="71" t="n">
        <v>956320.23</v>
      </c>
      <c r="BC668" s="69" t="inlineStr">
        <is>
          <t>Acquisition</t>
        </is>
      </c>
      <c r="BD668" s="69" t="inlineStr">
        <is>
          <t>N</t>
        </is>
      </c>
      <c r="BE668" s="71" t="n"/>
      <c r="BF668" s="71" t="n"/>
      <c r="BG668" s="71" t="n"/>
      <c r="BH668" s="71" t="n">
        <v>0</v>
      </c>
      <c r="BI668" s="71" t="n">
        <v>0</v>
      </c>
      <c r="BJ668" s="69" t="inlineStr">
        <is>
          <t>N</t>
        </is>
      </c>
      <c r="BK668" s="69" t="inlineStr">
        <is>
          <t>AETNA</t>
        </is>
      </c>
      <c r="BL668" s="75" t="n">
        <v>36.88</v>
      </c>
      <c r="BM668" s="73" t="n">
        <v>46203</v>
      </c>
      <c r="BN668" s="69" t="inlineStr">
        <is>
          <t>Maia Boulder LLC</t>
        </is>
      </c>
      <c r="BO668" s="69" t="inlineStr">
        <is>
          <t>Citigroup Global Markets</t>
        </is>
      </c>
      <c r="BP668" s="69" t="inlineStr">
        <is>
          <t>TriMont Real Estate Advisors</t>
        </is>
      </c>
      <c r="BQ668" s="69" t="inlineStr">
        <is>
          <t>K-Star Asset Management LLC</t>
        </is>
      </c>
      <c r="BR668" s="69" t="n"/>
      <c r="BS668" s="73" t="n">
        <v>46273</v>
      </c>
      <c r="BU668" s="76">
        <f>IF($C668="","",IFERROR(INDEX(dmName,MATCH($C668,dmID,0)),"Unmapped"))</f>
        <v/>
      </c>
      <c r="BV668" s="76">
        <f>IF($C668="","",IFERROR(INDEX(dmEntity,MATCH($C668,dmID,0)),"Unmapped"))</f>
        <v/>
      </c>
      <c r="BW668" s="77">
        <f>IF($C668="","",IFERROR(INDEX(dmVintage,MATCH($C668,dmID,0)),""))</f>
        <v/>
      </c>
      <c r="BX668" s="78">
        <f>IFERROR(INDEX(dmInclude,MATCH($C668,dmID,0)),0)</f>
        <v/>
      </c>
      <c r="BY668" s="78">
        <f>IF(N($I668)&gt;0,1,0)</f>
        <v/>
      </c>
      <c r="BZ668" s="76">
        <f>IF($AJ668="","Other / Leased Fee",IFERROR(INDEX(mapPTGroup,MATCH(LEFT(TRIM($AJ668),2),mapPTCode,0)),"Other / Leased Fee"))</f>
        <v/>
      </c>
      <c r="CA668" s="76">
        <f>IF(TRIM($AF668&amp;"")="","NR",LEFT(TRIM($AF668),2))</f>
        <v/>
      </c>
      <c r="CB668" s="76">
        <f>IFERROR(LOOKUP(2,1/(LEFT(TRIM($AI668&amp;""),LEN(mapRegion))=mapRegion),mapRegion),"Not Reported")</f>
        <v/>
      </c>
      <c r="CC668" s="76">
        <f>IF($BY668=0,"",IF(TRIM($W668&amp;"")="REO","REO",IF(TRIM($W668&amp;"")="FC","Foreclosure",IF(TRIM($W668&amp;"")="90+","90+ Days Delinquent",IF(TRIM($W668&amp;"")="60","60 Days Delinquent",IF(TRIM($W668&amp;"")="30","30 Days Delinquent",IF($X668="Non-Performing Matured Balloon","Non-Performing Matured Balloon",IF(OR($X668="Late Payment But Less Than 30 Days Delinquent",LEFT($X668&amp;"",20)="Payment Not Received"),"Late / In Grace (&lt;30 Days)",IF($X668="Performing Matured Balloon","Performing Matured Balloon","Current")))))))))</f>
        <v/>
      </c>
      <c r="CD668" s="78">
        <f>IF(OR($CC668="REO",$CC668="Foreclosure",$CC668="90+ Days Delinquent",$CC668="60 Days Delinquent",$CC668="30 Days Delinquent",$CC668="Non-Performing Matured Balloon"),1,0)</f>
        <v/>
      </c>
      <c r="CE668" s="76">
        <f>IF($AB668="Currently special serv","Currently Specially Serviced",IF($AB668="Returned to master serv","Previously Specially Serviced","Never Specially Serviced"))</f>
        <v/>
      </c>
      <c r="CF668" s="78">
        <f>IF($CE668="Currently Specially Serviced",1,0)</f>
        <v/>
      </c>
      <c r="CG668" s="76">
        <f>IF($AA668="Yes","Currently on Watchlist",IF($AA668="Previously","Previously on Watchlist","Never on Watchlist"))</f>
        <v/>
      </c>
      <c r="CH668" s="78">
        <f>IF($CG668="Currently on Watchlist",1,0)</f>
        <v/>
      </c>
      <c r="CI668" s="76">
        <f>IF($Z668="Full Defeasance","Fully Defeased",IF($Z668="Portion Of Loan Previously Defeased","Partially Defeased",IF($Z668="Defeasance Not Allowable","Not Defeased (Not Permitted)","Not Defeased")))</f>
        <v/>
      </c>
      <c r="CJ668" s="78">
        <f>IF($CI668="Fully Defeased",1,0)</f>
        <v/>
      </c>
      <c r="CK668" s="76">
        <f>IF($R668="IO","Full IO",IF(LEFT($R668&amp;"",7)="IO then","Partial IO","Amortizing"))</f>
        <v/>
      </c>
      <c r="CL668" s="78">
        <f>IF($CK668="Full IO",1,0)</f>
        <v/>
      </c>
      <c r="CM668" s="78">
        <f>IF($CK668="Partial IO",1,0)</f>
        <v/>
      </c>
      <c r="CN668" s="76">
        <f>IF(LEFT($F668&amp;"",10)="SPLIT_LOAN","Pari Passu Split","Standalone")</f>
        <v/>
      </c>
      <c r="CO668" s="78">
        <f>IF($CN668="Pari Passu Split",1,0)</f>
        <v/>
      </c>
      <c r="CP668" s="77">
        <f>IF(ISNUMBER($T668),YEAR($T668),"")</f>
        <v/>
      </c>
      <c r="CQ668" s="79">
        <f>IF(ISNUMBER($V668),$V668,IF(ISNUMBER($U668),$U668,""))</f>
        <v/>
      </c>
      <c r="CR668" s="77">
        <f>IF(ISNUMBER($CQ668),YEAR($CQ668),"")</f>
        <v/>
      </c>
      <c r="CS668" s="78">
        <f>IF(ISNUMBER($M668),MAX(0,$M668),IF(TRIM($M668&amp;"")="matured",0,""))</f>
        <v/>
      </c>
      <c r="CT668" s="78">
        <f>IF(AND(ISNUMBER($CS668),N($CS668)&lt;=mMatWindow),1,0)</f>
        <v/>
      </c>
      <c r="CU668" s="80">
        <f>IF(ISNUMBER($J668),$J668/100,"")</f>
        <v/>
      </c>
      <c r="CV668" s="81">
        <f>IF(ISNUMBER($AQ668),$AQ668,"")</f>
        <v/>
      </c>
      <c r="CW668" s="81">
        <f>IF(ISNUMBER($AR668),$AR668,"")</f>
        <v/>
      </c>
      <c r="CX668" s="82">
        <f>IF(ISNUMBER($AS668),$AS668/100,"")</f>
        <v/>
      </c>
      <c r="CY668" s="82">
        <f>IF(ISNUMBER($AT668),$AT668/100,"")</f>
        <v/>
      </c>
      <c r="CZ668" s="82">
        <f>IF(ISNUMBER($AU668),$AU668/100,"")</f>
        <v/>
      </c>
      <c r="DA668" s="82">
        <f>IF(ISNUMBER($AV668),$AV668/100,"")</f>
        <v/>
      </c>
      <c r="DB668" s="82">
        <f>IF(ISNUMBER($AW668),$AW668/100,"")</f>
        <v/>
      </c>
      <c r="DC668" s="82">
        <f>IF(ISNUMBER($AX668),$AX668/100,"")</f>
        <v/>
      </c>
      <c r="DD668" s="77">
        <f>IFERROR(VALUE(LEFT(TRIM($AO668&amp;""),4)),"")</f>
        <v/>
      </c>
      <c r="DE668" s="78">
        <f>IF(AND($BY668=1,$BX668=1,OR(fDeal="All Deals",$BU668=fDeal),OR(fEntity="All Entities",$BV668=fEntity),OR(fPType="All Property Types",$BZ668=fPType),OR(fDefeased="Include",$CJ668=0)),1,0)</f>
        <v/>
      </c>
      <c r="DF668" s="83">
        <f>$DE668*N($I668)</f>
        <v/>
      </c>
      <c r="DG668" s="78">
        <f>IF($DE668=1,IF(COUNTIFS($F$8:$F668,$F668,$DE$8:$DE668,1)=1,1,0),0)</f>
        <v/>
      </c>
      <c r="DH668" s="83">
        <f>IF($DG668=1,SUMIFS($DF$8:$DF$1600,$F$8:$F$1600,$F668),0)</f>
        <v/>
      </c>
      <c r="DI668" s="78">
        <f>IF($DG668=1,COUNTIFS($F$8:$F$1600,$F668,$DE$8:$DE$1600,1),0)</f>
        <v/>
      </c>
      <c r="DJ668" s="84">
        <f>IF($DG668=1,$DH668+(100000-ROW())/mTieBreak,0)</f>
        <v/>
      </c>
    </row>
    <row r="669">
      <c r="B669" s="68" t="n">
        <v>29</v>
      </c>
      <c r="C669" s="69" t="inlineStr">
        <is>
          <t>CTG18C06</t>
        </is>
      </c>
      <c r="D669" s="69" t="inlineStr">
        <is>
          <t>29.000</t>
        </is>
      </c>
      <c r="E669" s="69" t="inlineStr">
        <is>
          <t>Terrace Plaza</t>
        </is>
      </c>
      <c r="F669" s="69" t="inlineStr">
        <is>
          <t>LNCTG18C06-29.000</t>
        </is>
      </c>
      <c r="G669" s="70" t="n"/>
      <c r="H669" s="71" t="n">
        <v>7500000</v>
      </c>
      <c r="I669" s="71" t="n">
        <v>7500000</v>
      </c>
      <c r="J669" s="72" t="n">
        <v>4.83</v>
      </c>
      <c r="K669" s="69" t="inlineStr">
        <is>
          <t>Fixed rate</t>
        </is>
      </c>
      <c r="L669" s="68" t="n">
        <v>120</v>
      </c>
      <c r="M669" s="68" t="n">
        <v>24</v>
      </c>
      <c r="N669" s="68" t="n">
        <v>120</v>
      </c>
      <c r="O669" s="68" t="n">
        <v>120</v>
      </c>
      <c r="P669" s="68" t="n">
        <v>24</v>
      </c>
      <c r="Q669" s="68" t="n">
        <v>96</v>
      </c>
      <c r="R669" s="69" t="inlineStr">
        <is>
          <t>IO</t>
        </is>
      </c>
      <c r="S669" s="69" t="inlineStr">
        <is>
          <t>Yes</t>
        </is>
      </c>
      <c r="T669" s="73" t="n">
        <v>43344</v>
      </c>
      <c r="U669" s="73" t="n">
        <v>47002</v>
      </c>
      <c r="V669" s="73" t="n"/>
      <c r="W669" s="69" t="n"/>
      <c r="X669" s="69" t="inlineStr">
        <is>
          <t>Current</t>
        </is>
      </c>
      <c r="Y669" s="68" t="n"/>
      <c r="Z669" s="69" t="inlineStr">
        <is>
          <t>Defeasance Not Allowable</t>
        </is>
      </c>
      <c r="AA669" s="69" t="inlineStr">
        <is>
          <t>Previously</t>
        </is>
      </c>
      <c r="AB669" s="69" t="inlineStr">
        <is>
          <t>Never special serv</t>
        </is>
      </c>
      <c r="AC669" s="73" t="n"/>
      <c r="AD669" s="69" t="n"/>
      <c r="AE669" s="69" t="n"/>
      <c r="AF669" s="69" t="inlineStr">
        <is>
          <t>NY</t>
        </is>
      </c>
      <c r="AG669" s="69" t="inlineStr">
        <is>
          <t>Islip Terrace</t>
        </is>
      </c>
      <c r="AH669" s="69" t="inlineStr">
        <is>
          <t>New York-Newark-Jersey City, NY-NJ</t>
        </is>
      </c>
      <c r="AI669" s="69" t="inlineStr">
        <is>
          <t>Northeast / Mid-Atlantic</t>
        </is>
      </c>
      <c r="AJ669" s="69" t="inlineStr">
        <is>
          <t>RT</t>
        </is>
      </c>
      <c r="AK669" s="69" t="inlineStr">
        <is>
          <t>Anchored</t>
        </is>
      </c>
      <c r="AL669" s="68" t="n">
        <v>1</v>
      </c>
      <c r="AM669" s="68" t="n"/>
      <c r="AN669" s="68" t="n">
        <v>61039</v>
      </c>
      <c r="AO669" s="69" t="inlineStr">
        <is>
          <t>1966</t>
        </is>
      </c>
      <c r="AP669" s="70" t="n">
        <v>2012</v>
      </c>
      <c r="AQ669" s="74" t="n">
        <v>2.09</v>
      </c>
      <c r="AR669" s="74" t="n">
        <v>4.32</v>
      </c>
      <c r="AS669" s="74" t="n">
        <v>43.1</v>
      </c>
      <c r="AT669" s="74" t="n">
        <v>43.1</v>
      </c>
      <c r="AU669" s="74" t="n">
        <v>43.1</v>
      </c>
      <c r="AV669" s="74" t="n">
        <v>10.250054133</v>
      </c>
      <c r="AW669" s="74" t="n">
        <v>18.9952624</v>
      </c>
      <c r="AX669" s="75" t="n">
        <v>97</v>
      </c>
      <c r="AY669" s="71" t="n">
        <v>17400000</v>
      </c>
      <c r="AZ669" s="71" t="n">
        <v>17400000</v>
      </c>
      <c r="BA669" s="71" t="n">
        <v>768754.0600000001</v>
      </c>
      <c r="BB669" s="71" t="n">
        <v>390956.98</v>
      </c>
      <c r="BC669" s="69" t="inlineStr">
        <is>
          <t>Refinance</t>
        </is>
      </c>
      <c r="BD669" s="69" t="inlineStr">
        <is>
          <t>N</t>
        </is>
      </c>
      <c r="BE669" s="71" t="n"/>
      <c r="BF669" s="71" t="n"/>
      <c r="BG669" s="71" t="n"/>
      <c r="BH669" s="71" t="n">
        <v>0</v>
      </c>
      <c r="BI669" s="71" t="n">
        <v>0</v>
      </c>
      <c r="BJ669" s="69" t="inlineStr">
        <is>
          <t>N</t>
        </is>
      </c>
      <c r="BK669" s="69" t="inlineStr">
        <is>
          <t>Supermarket</t>
        </is>
      </c>
      <c r="BL669" s="75" t="n">
        <v>39.91</v>
      </c>
      <c r="BM669" s="73" t="n">
        <v>49490</v>
      </c>
      <c r="BN669" s="69" t="inlineStr">
        <is>
          <t>Donald J. Anzalone and David J. Anzalone</t>
        </is>
      </c>
      <c r="BO669" s="69" t="inlineStr">
        <is>
          <t>Citigroup Global Markets</t>
        </is>
      </c>
      <c r="BP669" s="69" t="inlineStr">
        <is>
          <t>TriMont Real Estate Advisors</t>
        </is>
      </c>
      <c r="BQ669" s="69" t="inlineStr">
        <is>
          <t>K-Star Asset Management LLC</t>
        </is>
      </c>
      <c r="BR669" s="69" t="n"/>
      <c r="BS669" s="73" t="n">
        <v>46273</v>
      </c>
      <c r="BU669" s="76">
        <f>IF($C669="","",IFERROR(INDEX(dmName,MATCH($C669,dmID,0)),"Unmapped"))</f>
        <v/>
      </c>
      <c r="BV669" s="76">
        <f>IF($C669="","",IFERROR(INDEX(dmEntity,MATCH($C669,dmID,0)),"Unmapped"))</f>
        <v/>
      </c>
      <c r="BW669" s="77">
        <f>IF($C669="","",IFERROR(INDEX(dmVintage,MATCH($C669,dmID,0)),""))</f>
        <v/>
      </c>
      <c r="BX669" s="78">
        <f>IFERROR(INDEX(dmInclude,MATCH($C669,dmID,0)),0)</f>
        <v/>
      </c>
      <c r="BY669" s="78">
        <f>IF(N($I669)&gt;0,1,0)</f>
        <v/>
      </c>
      <c r="BZ669" s="76">
        <f>IF($AJ669="","Other / Leased Fee",IFERROR(INDEX(mapPTGroup,MATCH(LEFT(TRIM($AJ669),2),mapPTCode,0)),"Other / Leased Fee"))</f>
        <v/>
      </c>
      <c r="CA669" s="76">
        <f>IF(TRIM($AF669&amp;"")="","NR",LEFT(TRIM($AF669),2))</f>
        <v/>
      </c>
      <c r="CB669" s="76">
        <f>IFERROR(LOOKUP(2,1/(LEFT(TRIM($AI669&amp;""),LEN(mapRegion))=mapRegion),mapRegion),"Not Reported")</f>
        <v/>
      </c>
      <c r="CC669" s="76">
        <f>IF($BY669=0,"",IF(TRIM($W669&amp;"")="REO","REO",IF(TRIM($W669&amp;"")="FC","Foreclosure",IF(TRIM($W669&amp;"")="90+","90+ Days Delinquent",IF(TRIM($W669&amp;"")="60","60 Days Delinquent",IF(TRIM($W669&amp;"")="30","30 Days Delinquent",IF($X669="Non-Performing Matured Balloon","Non-Performing Matured Balloon",IF(OR($X669="Late Payment But Less Than 30 Days Delinquent",LEFT($X669&amp;"",20)="Payment Not Received"),"Late / In Grace (&lt;30 Days)",IF($X669="Performing Matured Balloon","Performing Matured Balloon","Current")))))))))</f>
        <v/>
      </c>
      <c r="CD669" s="78">
        <f>IF(OR($CC669="REO",$CC669="Foreclosure",$CC669="90+ Days Delinquent",$CC669="60 Days Delinquent",$CC669="30 Days Delinquent",$CC669="Non-Performing Matured Balloon"),1,0)</f>
        <v/>
      </c>
      <c r="CE669" s="76">
        <f>IF($AB669="Currently special serv","Currently Specially Serviced",IF($AB669="Returned to master serv","Previously Specially Serviced","Never Specially Serviced"))</f>
        <v/>
      </c>
      <c r="CF669" s="78">
        <f>IF($CE669="Currently Specially Serviced",1,0)</f>
        <v/>
      </c>
      <c r="CG669" s="76">
        <f>IF($AA669="Yes","Currently on Watchlist",IF($AA669="Previously","Previously on Watchlist","Never on Watchlist"))</f>
        <v/>
      </c>
      <c r="CH669" s="78">
        <f>IF($CG669="Currently on Watchlist",1,0)</f>
        <v/>
      </c>
      <c r="CI669" s="76">
        <f>IF($Z669="Full Defeasance","Fully Defeased",IF($Z669="Portion Of Loan Previously Defeased","Partially Defeased",IF($Z669="Defeasance Not Allowable","Not Defeased (Not Permitted)","Not Defeased")))</f>
        <v/>
      </c>
      <c r="CJ669" s="78">
        <f>IF($CI669="Fully Defeased",1,0)</f>
        <v/>
      </c>
      <c r="CK669" s="76">
        <f>IF($R669="IO","Full IO",IF(LEFT($R669&amp;"",7)="IO then","Partial IO","Amortizing"))</f>
        <v/>
      </c>
      <c r="CL669" s="78">
        <f>IF($CK669="Full IO",1,0)</f>
        <v/>
      </c>
      <c r="CM669" s="78">
        <f>IF($CK669="Partial IO",1,0)</f>
        <v/>
      </c>
      <c r="CN669" s="76">
        <f>IF(LEFT($F669&amp;"",10)="SPLIT_LOAN","Pari Passu Split","Standalone")</f>
        <v/>
      </c>
      <c r="CO669" s="78">
        <f>IF($CN669="Pari Passu Split",1,0)</f>
        <v/>
      </c>
      <c r="CP669" s="77">
        <f>IF(ISNUMBER($T669),YEAR($T669),"")</f>
        <v/>
      </c>
      <c r="CQ669" s="79">
        <f>IF(ISNUMBER($V669),$V669,IF(ISNUMBER($U669),$U669,""))</f>
        <v/>
      </c>
      <c r="CR669" s="77">
        <f>IF(ISNUMBER($CQ669),YEAR($CQ669),"")</f>
        <v/>
      </c>
      <c r="CS669" s="78">
        <f>IF(ISNUMBER($M669),MAX(0,$M669),IF(TRIM($M669&amp;"")="matured",0,""))</f>
        <v/>
      </c>
      <c r="CT669" s="78">
        <f>IF(AND(ISNUMBER($CS669),N($CS669)&lt;=mMatWindow),1,0)</f>
        <v/>
      </c>
      <c r="CU669" s="80">
        <f>IF(ISNUMBER($J669),$J669/100,"")</f>
        <v/>
      </c>
      <c r="CV669" s="81">
        <f>IF(ISNUMBER($AQ669),$AQ669,"")</f>
        <v/>
      </c>
      <c r="CW669" s="81">
        <f>IF(ISNUMBER($AR669),$AR669,"")</f>
        <v/>
      </c>
      <c r="CX669" s="82">
        <f>IF(ISNUMBER($AS669),$AS669/100,"")</f>
        <v/>
      </c>
      <c r="CY669" s="82">
        <f>IF(ISNUMBER($AT669),$AT669/100,"")</f>
        <v/>
      </c>
      <c r="CZ669" s="82">
        <f>IF(ISNUMBER($AU669),$AU669/100,"")</f>
        <v/>
      </c>
      <c r="DA669" s="82">
        <f>IF(ISNUMBER($AV669),$AV669/100,"")</f>
        <v/>
      </c>
      <c r="DB669" s="82">
        <f>IF(ISNUMBER($AW669),$AW669/100,"")</f>
        <v/>
      </c>
      <c r="DC669" s="82">
        <f>IF(ISNUMBER($AX669),$AX669/100,"")</f>
        <v/>
      </c>
      <c r="DD669" s="77">
        <f>IFERROR(VALUE(LEFT(TRIM($AO669&amp;""),4)),"")</f>
        <v/>
      </c>
      <c r="DE669" s="78">
        <f>IF(AND($BY669=1,$BX669=1,OR(fDeal="All Deals",$BU669=fDeal),OR(fEntity="All Entities",$BV669=fEntity),OR(fPType="All Property Types",$BZ669=fPType),OR(fDefeased="Include",$CJ669=0)),1,0)</f>
        <v/>
      </c>
      <c r="DF669" s="83">
        <f>$DE669*N($I669)</f>
        <v/>
      </c>
      <c r="DG669" s="78">
        <f>IF($DE669=1,IF(COUNTIFS($F$8:$F669,$F669,$DE$8:$DE669,1)=1,1,0),0)</f>
        <v/>
      </c>
      <c r="DH669" s="83">
        <f>IF($DG669=1,SUMIFS($DF$8:$DF$1600,$F$8:$F$1600,$F669),0)</f>
        <v/>
      </c>
      <c r="DI669" s="78">
        <f>IF($DG669=1,COUNTIFS($F$8:$F$1600,$F669,$DE$8:$DE$1600,1),0)</f>
        <v/>
      </c>
      <c r="DJ669" s="84">
        <f>IF($DG669=1,$DH669+(100000-ROW())/mTieBreak,0)</f>
        <v/>
      </c>
    </row>
    <row r="670">
      <c r="B670" s="68" t="n">
        <v>30</v>
      </c>
      <c r="C670" s="69" t="inlineStr">
        <is>
          <t>CTG18C06</t>
        </is>
      </c>
      <c r="D670" s="69" t="inlineStr">
        <is>
          <t>30.000</t>
        </is>
      </c>
      <c r="E670" s="69" t="inlineStr">
        <is>
          <t>Walmart Supercenter Tennessee</t>
        </is>
      </c>
      <c r="F670" s="69" t="inlineStr">
        <is>
          <t>LNCTG18C06-30.000</t>
        </is>
      </c>
      <c r="G670" s="70" t="n"/>
      <c r="H670" s="71" t="n">
        <v>7100000</v>
      </c>
      <c r="I670" s="71" t="n">
        <v>6394591.1499995</v>
      </c>
      <c r="J670" s="72" t="n">
        <v>5.74</v>
      </c>
      <c r="K670" s="69" t="inlineStr">
        <is>
          <t>Fixed rate</t>
        </is>
      </c>
      <c r="L670" s="68" t="n">
        <v>117</v>
      </c>
      <c r="M670" s="68" t="n">
        <v>22</v>
      </c>
      <c r="N670" s="68" t="n">
        <v>372</v>
      </c>
      <c r="O670" s="68" t="n">
        <v>12</v>
      </c>
      <c r="P670" s="68" t="n">
        <v>0</v>
      </c>
      <c r="Q670" s="68" t="n">
        <v>95</v>
      </c>
      <c r="R670" s="69" t="inlineStr">
        <is>
          <t>IO then Amort</t>
        </is>
      </c>
      <c r="S670" s="69" t="inlineStr">
        <is>
          <t>No</t>
        </is>
      </c>
      <c r="T670" s="73" t="n">
        <v>43374</v>
      </c>
      <c r="U670" s="73" t="n">
        <v>46940</v>
      </c>
      <c r="V670" s="73" t="n"/>
      <c r="W670" s="69" t="n"/>
      <c r="X670" s="69" t="inlineStr">
        <is>
          <t>Current</t>
        </is>
      </c>
      <c r="Y670" s="68" t="n"/>
      <c r="Z670" s="69" t="inlineStr">
        <is>
          <t>Full Defeasance</t>
        </is>
      </c>
      <c r="AA670" s="69" t="inlineStr">
        <is>
          <t>Previously</t>
        </is>
      </c>
      <c r="AB670" s="69" t="inlineStr">
        <is>
          <t>Never special serv</t>
        </is>
      </c>
      <c r="AC670" s="73" t="n"/>
      <c r="AD670" s="69" t="n"/>
      <c r="AE670" s="69" t="n"/>
      <c r="AF670" s="69" t="inlineStr">
        <is>
          <t>TN</t>
        </is>
      </c>
      <c r="AG670" s="69" t="inlineStr">
        <is>
          <t>Oneida</t>
        </is>
      </c>
      <c r="AH670" s="69" t="n"/>
      <c r="AI670" s="69" t="inlineStr">
        <is>
          <t>South / Central East</t>
        </is>
      </c>
      <c r="AJ670" s="69" t="inlineStr">
        <is>
          <t>RT</t>
        </is>
      </c>
      <c r="AK670" s="69" t="inlineStr">
        <is>
          <t>Single Tenant</t>
        </is>
      </c>
      <c r="AL670" s="68" t="n">
        <v>1</v>
      </c>
      <c r="AM670" s="68" t="n"/>
      <c r="AN670" s="68" t="n">
        <v>151971</v>
      </c>
      <c r="AO670" s="69" t="inlineStr">
        <is>
          <t>1999</t>
        </is>
      </c>
      <c r="AP670" s="70" t="n">
        <v>1999</v>
      </c>
      <c r="AQ670" s="74" t="n">
        <v>1.4</v>
      </c>
      <c r="AR670" s="74" t="n">
        <v>1.41</v>
      </c>
      <c r="AS670" s="74" t="n">
        <v>63.39</v>
      </c>
      <c r="AT670" s="74" t="n">
        <v>57.09</v>
      </c>
      <c r="AU670" s="74" t="n">
        <v>54.64</v>
      </c>
      <c r="AV670" s="74" t="n">
        <v>9.792647886999999</v>
      </c>
      <c r="AW670" s="74" t="n">
        <v>10.989112572</v>
      </c>
      <c r="AX670" s="75" t="n">
        <v>100</v>
      </c>
      <c r="AY670" s="71" t="n">
        <v>11200000</v>
      </c>
      <c r="AZ670" s="71" t="n">
        <v>11200000</v>
      </c>
      <c r="BA670" s="71" t="n">
        <v>695278</v>
      </c>
      <c r="BB670" s="71" t="n">
        <v>527031.64</v>
      </c>
      <c r="BC670" s="69" t="inlineStr">
        <is>
          <t>Acquisition</t>
        </is>
      </c>
      <c r="BD670" s="69" t="inlineStr">
        <is>
          <t>N</t>
        </is>
      </c>
      <c r="BE670" s="71" t="n"/>
      <c r="BF670" s="71" t="n"/>
      <c r="BG670" s="71" t="n"/>
      <c r="BH670" s="71" t="n">
        <v>0</v>
      </c>
      <c r="BI670" s="71" t="n">
        <v>0</v>
      </c>
      <c r="BJ670" s="69" t="inlineStr">
        <is>
          <t>N</t>
        </is>
      </c>
      <c r="BK670" s="69" t="inlineStr">
        <is>
          <t>Walmart</t>
        </is>
      </c>
      <c r="BL670" s="75" t="n">
        <v>100</v>
      </c>
      <c r="BM670" s="73" t="n">
        <v>47149</v>
      </c>
      <c r="BN670" s="69" t="inlineStr">
        <is>
          <t>Donald F. Shooster and Daniel H. Shooster</t>
        </is>
      </c>
      <c r="BO670" s="69" t="inlineStr">
        <is>
          <t>RMF</t>
        </is>
      </c>
      <c r="BP670" s="69" t="inlineStr">
        <is>
          <t>TriMont Real Estate Advisors</t>
        </is>
      </c>
      <c r="BQ670" s="69" t="inlineStr">
        <is>
          <t>K-Star Asset Management LLC</t>
        </is>
      </c>
      <c r="BR670" s="69" t="n"/>
      <c r="BS670" s="73" t="n">
        <v>46273</v>
      </c>
      <c r="BU670" s="76">
        <f>IF($C670="","",IFERROR(INDEX(dmName,MATCH($C670,dmID,0)),"Unmapped"))</f>
        <v/>
      </c>
      <c r="BV670" s="76">
        <f>IF($C670="","",IFERROR(INDEX(dmEntity,MATCH($C670,dmID,0)),"Unmapped"))</f>
        <v/>
      </c>
      <c r="BW670" s="77">
        <f>IF($C670="","",IFERROR(INDEX(dmVintage,MATCH($C670,dmID,0)),""))</f>
        <v/>
      </c>
      <c r="BX670" s="78">
        <f>IFERROR(INDEX(dmInclude,MATCH($C670,dmID,0)),0)</f>
        <v/>
      </c>
      <c r="BY670" s="78">
        <f>IF(N($I670)&gt;0,1,0)</f>
        <v/>
      </c>
      <c r="BZ670" s="76">
        <f>IF($AJ670="","Other / Leased Fee",IFERROR(INDEX(mapPTGroup,MATCH(LEFT(TRIM($AJ670),2),mapPTCode,0)),"Other / Leased Fee"))</f>
        <v/>
      </c>
      <c r="CA670" s="76">
        <f>IF(TRIM($AF670&amp;"")="","NR",LEFT(TRIM($AF670),2))</f>
        <v/>
      </c>
      <c r="CB670" s="76">
        <f>IFERROR(LOOKUP(2,1/(LEFT(TRIM($AI670&amp;""),LEN(mapRegion))=mapRegion),mapRegion),"Not Reported")</f>
        <v/>
      </c>
      <c r="CC670" s="76">
        <f>IF($BY670=0,"",IF(TRIM($W670&amp;"")="REO","REO",IF(TRIM($W670&amp;"")="FC","Foreclosure",IF(TRIM($W670&amp;"")="90+","90+ Days Delinquent",IF(TRIM($W670&amp;"")="60","60 Days Delinquent",IF(TRIM($W670&amp;"")="30","30 Days Delinquent",IF($X670="Non-Performing Matured Balloon","Non-Performing Matured Balloon",IF(OR($X670="Late Payment But Less Than 30 Days Delinquent",LEFT($X670&amp;"",20)="Payment Not Received"),"Late / In Grace (&lt;30 Days)",IF($X670="Performing Matured Balloon","Performing Matured Balloon","Current")))))))))</f>
        <v/>
      </c>
      <c r="CD670" s="78">
        <f>IF(OR($CC670="REO",$CC670="Foreclosure",$CC670="90+ Days Delinquent",$CC670="60 Days Delinquent",$CC670="30 Days Delinquent",$CC670="Non-Performing Matured Balloon"),1,0)</f>
        <v/>
      </c>
      <c r="CE670" s="76">
        <f>IF($AB670="Currently special serv","Currently Specially Serviced",IF($AB670="Returned to master serv","Previously Specially Serviced","Never Specially Serviced"))</f>
        <v/>
      </c>
      <c r="CF670" s="78">
        <f>IF($CE670="Currently Specially Serviced",1,0)</f>
        <v/>
      </c>
      <c r="CG670" s="76">
        <f>IF($AA670="Yes","Currently on Watchlist",IF($AA670="Previously","Previously on Watchlist","Never on Watchlist"))</f>
        <v/>
      </c>
      <c r="CH670" s="78">
        <f>IF($CG670="Currently on Watchlist",1,0)</f>
        <v/>
      </c>
      <c r="CI670" s="76">
        <f>IF($Z670="Full Defeasance","Fully Defeased",IF($Z670="Portion Of Loan Previously Defeased","Partially Defeased",IF($Z670="Defeasance Not Allowable","Not Defeased (Not Permitted)","Not Defeased")))</f>
        <v/>
      </c>
      <c r="CJ670" s="78">
        <f>IF($CI670="Fully Defeased",1,0)</f>
        <v/>
      </c>
      <c r="CK670" s="76">
        <f>IF($R670="IO","Full IO",IF(LEFT($R670&amp;"",7)="IO then","Partial IO","Amortizing"))</f>
        <v/>
      </c>
      <c r="CL670" s="78">
        <f>IF($CK670="Full IO",1,0)</f>
        <v/>
      </c>
      <c r="CM670" s="78">
        <f>IF($CK670="Partial IO",1,0)</f>
        <v/>
      </c>
      <c r="CN670" s="76">
        <f>IF(LEFT($F670&amp;"",10)="SPLIT_LOAN","Pari Passu Split","Standalone")</f>
        <v/>
      </c>
      <c r="CO670" s="78">
        <f>IF($CN670="Pari Passu Split",1,0)</f>
        <v/>
      </c>
      <c r="CP670" s="77">
        <f>IF(ISNUMBER($T670),YEAR($T670),"")</f>
        <v/>
      </c>
      <c r="CQ670" s="79">
        <f>IF(ISNUMBER($V670),$V670,IF(ISNUMBER($U670),$U670,""))</f>
        <v/>
      </c>
      <c r="CR670" s="77">
        <f>IF(ISNUMBER($CQ670),YEAR($CQ670),"")</f>
        <v/>
      </c>
      <c r="CS670" s="78">
        <f>IF(ISNUMBER($M670),MAX(0,$M670),IF(TRIM($M670&amp;"")="matured",0,""))</f>
        <v/>
      </c>
      <c r="CT670" s="78">
        <f>IF(AND(ISNUMBER($CS670),N($CS670)&lt;=mMatWindow),1,0)</f>
        <v/>
      </c>
      <c r="CU670" s="80">
        <f>IF(ISNUMBER($J670),$J670/100,"")</f>
        <v/>
      </c>
      <c r="CV670" s="81">
        <f>IF(ISNUMBER($AQ670),$AQ670,"")</f>
        <v/>
      </c>
      <c r="CW670" s="81">
        <f>IF(ISNUMBER($AR670),$AR670,"")</f>
        <v/>
      </c>
      <c r="CX670" s="82">
        <f>IF(ISNUMBER($AS670),$AS670/100,"")</f>
        <v/>
      </c>
      <c r="CY670" s="82">
        <f>IF(ISNUMBER($AT670),$AT670/100,"")</f>
        <v/>
      </c>
      <c r="CZ670" s="82">
        <f>IF(ISNUMBER($AU670),$AU670/100,"")</f>
        <v/>
      </c>
      <c r="DA670" s="82">
        <f>IF(ISNUMBER($AV670),$AV670/100,"")</f>
        <v/>
      </c>
      <c r="DB670" s="82">
        <f>IF(ISNUMBER($AW670),$AW670/100,"")</f>
        <v/>
      </c>
      <c r="DC670" s="82">
        <f>IF(ISNUMBER($AX670),$AX670/100,"")</f>
        <v/>
      </c>
      <c r="DD670" s="77">
        <f>IFERROR(VALUE(LEFT(TRIM($AO670&amp;""),4)),"")</f>
        <v/>
      </c>
      <c r="DE670" s="78">
        <f>IF(AND($BY670=1,$BX670=1,OR(fDeal="All Deals",$BU670=fDeal),OR(fEntity="All Entities",$BV670=fEntity),OR(fPType="All Property Types",$BZ670=fPType),OR(fDefeased="Include",$CJ670=0)),1,0)</f>
        <v/>
      </c>
      <c r="DF670" s="83">
        <f>$DE670*N($I670)</f>
        <v/>
      </c>
      <c r="DG670" s="78">
        <f>IF($DE670=1,IF(COUNTIFS($F$8:$F670,$F670,$DE$8:$DE670,1)=1,1,0),0)</f>
        <v/>
      </c>
      <c r="DH670" s="83">
        <f>IF($DG670=1,SUMIFS($DF$8:$DF$1600,$F$8:$F$1600,$F670),0)</f>
        <v/>
      </c>
      <c r="DI670" s="78">
        <f>IF($DG670=1,COUNTIFS($F$8:$F$1600,$F670,$DE$8:$DE$1600,1),0)</f>
        <v/>
      </c>
      <c r="DJ670" s="84">
        <f>IF($DG670=1,$DH670+(100000-ROW())/mTieBreak,0)</f>
        <v/>
      </c>
    </row>
    <row r="671">
      <c r="B671" s="68" t="n">
        <v>31</v>
      </c>
      <c r="C671" s="69" t="inlineStr">
        <is>
          <t>CTG18C06</t>
        </is>
      </c>
      <c r="D671" s="69" t="inlineStr">
        <is>
          <t>31.000</t>
        </is>
      </c>
      <c r="E671" s="69" t="inlineStr">
        <is>
          <t>2 Executive Campus</t>
        </is>
      </c>
      <c r="F671" s="69" t="inlineStr">
        <is>
          <t>LNCTG18C06-31.000</t>
        </is>
      </c>
      <c r="G671" s="70" t="n"/>
      <c r="H671" s="71" t="n">
        <v>6840000</v>
      </c>
      <c r="I671" s="71" t="n">
        <v>0</v>
      </c>
      <c r="J671" s="72" t="n">
        <v>4.96</v>
      </c>
      <c r="K671" s="69" t="inlineStr">
        <is>
          <t>Fixed rate</t>
        </is>
      </c>
      <c r="L671" s="68" t="n">
        <v>120</v>
      </c>
      <c r="M671" s="68" t="n"/>
      <c r="N671" s="68" t="n">
        <v>360</v>
      </c>
      <c r="O671" s="68" t="n"/>
      <c r="P671" s="68" t="n"/>
      <c r="Q671" s="68" t="n"/>
      <c r="R671" s="69" t="n"/>
      <c r="S671" s="69" t="inlineStr">
        <is>
          <t>No</t>
        </is>
      </c>
      <c r="T671" s="73" t="n">
        <v>43405</v>
      </c>
      <c r="U671" s="73" t="n">
        <v>47063</v>
      </c>
      <c r="V671" s="73" t="n"/>
      <c r="W671" s="69" t="n"/>
      <c r="X671" s="69" t="inlineStr">
        <is>
          <t>Current</t>
        </is>
      </c>
      <c r="Y671" s="68" t="n"/>
      <c r="Z671" s="69" t="inlineStr">
        <is>
          <t>No Defeasance Occurred</t>
        </is>
      </c>
      <c r="AA671" s="69" t="inlineStr">
        <is>
          <t>Previously</t>
        </is>
      </c>
      <c r="AB671" s="69" t="inlineStr">
        <is>
          <t>Currently special serv</t>
        </is>
      </c>
      <c r="AC671" s="73" t="n">
        <v>44945</v>
      </c>
      <c r="AD671" s="69" t="inlineStr">
        <is>
          <t>Imminent Monetary Default (excluding Balloon/Maturity Default &amp; Single Tenant Bankruptcy/Vacate)</t>
        </is>
      </c>
      <c r="AE671" s="69" t="inlineStr">
        <is>
          <t>Resolved</t>
        </is>
      </c>
      <c r="AF671" s="69" t="inlineStr">
        <is>
          <t>NJ</t>
        </is>
      </c>
      <c r="AG671" s="69" t="inlineStr">
        <is>
          <t>Cherry Hill</t>
        </is>
      </c>
      <c r="AH671" s="69" t="inlineStr">
        <is>
          <t>Philadelphia-Camden-Wilmington, PA-NJ-DE-MD</t>
        </is>
      </c>
      <c r="AI671" s="69" t="inlineStr">
        <is>
          <t>Northeast / Mid-Atlantic</t>
        </is>
      </c>
      <c r="AJ671" s="69" t="inlineStr">
        <is>
          <t>OF</t>
        </is>
      </c>
      <c r="AK671" s="69" t="inlineStr">
        <is>
          <t>Suburban</t>
        </is>
      </c>
      <c r="AL671" s="68" t="n">
        <v>1</v>
      </c>
      <c r="AM671" s="68" t="n"/>
      <c r="AN671" s="68" t="n">
        <v>102037</v>
      </c>
      <c r="AO671" s="69" t="inlineStr">
        <is>
          <t>1974</t>
        </is>
      </c>
      <c r="AP671" s="70" t="n">
        <v>2014</v>
      </c>
      <c r="AQ671" s="74" t="n">
        <v>1.62</v>
      </c>
      <c r="AR671" s="74" t="n">
        <v>0.58</v>
      </c>
      <c r="AS671" s="74" t="n">
        <v>59.9</v>
      </c>
      <c r="AT671" s="74" t="n"/>
      <c r="AU671" s="74" t="n">
        <v>49.27</v>
      </c>
      <c r="AV671" s="74" t="n">
        <v>10.403406433</v>
      </c>
      <c r="AW671" s="74" t="n"/>
      <c r="AX671" s="75" t="n">
        <v>57</v>
      </c>
      <c r="AY671" s="71" t="n">
        <v>11400000</v>
      </c>
      <c r="AZ671" s="71" t="n">
        <v>11400000</v>
      </c>
      <c r="BA671" s="71" t="n">
        <v>711593</v>
      </c>
      <c r="BB671" s="71" t="n">
        <v>253872.25</v>
      </c>
      <c r="BC671" s="69" t="inlineStr">
        <is>
          <t>Refinance</t>
        </is>
      </c>
      <c r="BD671" s="69" t="inlineStr">
        <is>
          <t>N</t>
        </is>
      </c>
      <c r="BE671" s="71" t="n"/>
      <c r="BF671" s="71" t="n"/>
      <c r="BG671" s="71" t="n"/>
      <c r="BH671" s="71" t="n">
        <v>0</v>
      </c>
      <c r="BI671" s="71" t="n">
        <v>0</v>
      </c>
      <c r="BJ671" s="69" t="inlineStr">
        <is>
          <t>N</t>
        </is>
      </c>
      <c r="BK671" s="69" t="inlineStr">
        <is>
          <t>Innovairre Global  LLC</t>
        </is>
      </c>
      <c r="BL671" s="75" t="n">
        <v>13.65</v>
      </c>
      <c r="BM671" s="73" t="n">
        <v>46507</v>
      </c>
      <c r="BN671" s="69" t="inlineStr">
        <is>
          <t>Paul Pollak</t>
        </is>
      </c>
      <c r="BO671" s="69" t="inlineStr">
        <is>
          <t>Citigroup Global Markets</t>
        </is>
      </c>
      <c r="BP671" s="69" t="inlineStr">
        <is>
          <t>Wells Fargo</t>
        </is>
      </c>
      <c r="BQ671" s="69" t="inlineStr">
        <is>
          <t>K-Star Asset Management LLC</t>
        </is>
      </c>
      <c r="BR671" s="69" t="inlineStr">
        <is>
          <t>Disposition / Liquidation</t>
        </is>
      </c>
      <c r="BS671" s="73" t="n">
        <v>46273</v>
      </c>
      <c r="BU671" s="76">
        <f>IF($C671="","",IFERROR(INDEX(dmName,MATCH($C671,dmID,0)),"Unmapped"))</f>
        <v/>
      </c>
      <c r="BV671" s="76">
        <f>IF($C671="","",IFERROR(INDEX(dmEntity,MATCH($C671,dmID,0)),"Unmapped"))</f>
        <v/>
      </c>
      <c r="BW671" s="77">
        <f>IF($C671="","",IFERROR(INDEX(dmVintage,MATCH($C671,dmID,0)),""))</f>
        <v/>
      </c>
      <c r="BX671" s="78">
        <f>IFERROR(INDEX(dmInclude,MATCH($C671,dmID,0)),0)</f>
        <v/>
      </c>
      <c r="BY671" s="78">
        <f>IF(N($I671)&gt;0,1,0)</f>
        <v/>
      </c>
      <c r="BZ671" s="76">
        <f>IF($AJ671="","Other / Leased Fee",IFERROR(INDEX(mapPTGroup,MATCH(LEFT(TRIM($AJ671),2),mapPTCode,0)),"Other / Leased Fee"))</f>
        <v/>
      </c>
      <c r="CA671" s="76">
        <f>IF(TRIM($AF671&amp;"")="","NR",LEFT(TRIM($AF671),2))</f>
        <v/>
      </c>
      <c r="CB671" s="76">
        <f>IFERROR(LOOKUP(2,1/(LEFT(TRIM($AI671&amp;""),LEN(mapRegion))=mapRegion),mapRegion),"Not Reported")</f>
        <v/>
      </c>
      <c r="CC671" s="76">
        <f>IF($BY671=0,"",IF(TRIM($W671&amp;"")="REO","REO",IF(TRIM($W671&amp;"")="FC","Foreclosure",IF(TRIM($W671&amp;"")="90+","90+ Days Delinquent",IF(TRIM($W671&amp;"")="60","60 Days Delinquent",IF(TRIM($W671&amp;"")="30","30 Days Delinquent",IF($X671="Non-Performing Matured Balloon","Non-Performing Matured Balloon",IF(OR($X671="Late Payment But Less Than 30 Days Delinquent",LEFT($X671&amp;"",20)="Payment Not Received"),"Late / In Grace (&lt;30 Days)",IF($X671="Performing Matured Balloon","Performing Matured Balloon","Current")))))))))</f>
        <v/>
      </c>
      <c r="CD671" s="78">
        <f>IF(OR($CC671="REO",$CC671="Foreclosure",$CC671="90+ Days Delinquent",$CC671="60 Days Delinquent",$CC671="30 Days Delinquent",$CC671="Non-Performing Matured Balloon"),1,0)</f>
        <v/>
      </c>
      <c r="CE671" s="76">
        <f>IF($AB671="Currently special serv","Currently Specially Serviced",IF($AB671="Returned to master serv","Previously Specially Serviced","Never Specially Serviced"))</f>
        <v/>
      </c>
      <c r="CF671" s="78">
        <f>IF($CE671="Currently Specially Serviced",1,0)</f>
        <v/>
      </c>
      <c r="CG671" s="76">
        <f>IF($AA671="Yes","Currently on Watchlist",IF($AA671="Previously","Previously on Watchlist","Never on Watchlist"))</f>
        <v/>
      </c>
      <c r="CH671" s="78">
        <f>IF($CG671="Currently on Watchlist",1,0)</f>
        <v/>
      </c>
      <c r="CI671" s="76">
        <f>IF($Z671="Full Defeasance","Fully Defeased",IF($Z671="Portion Of Loan Previously Defeased","Partially Defeased",IF($Z671="Defeasance Not Allowable","Not Defeased (Not Permitted)","Not Defeased")))</f>
        <v/>
      </c>
      <c r="CJ671" s="78">
        <f>IF($CI671="Fully Defeased",1,0)</f>
        <v/>
      </c>
      <c r="CK671" s="76">
        <f>IF($R671="IO","Full IO",IF(LEFT($R671&amp;"",7)="IO then","Partial IO","Amortizing"))</f>
        <v/>
      </c>
      <c r="CL671" s="78">
        <f>IF($CK671="Full IO",1,0)</f>
        <v/>
      </c>
      <c r="CM671" s="78">
        <f>IF($CK671="Partial IO",1,0)</f>
        <v/>
      </c>
      <c r="CN671" s="76">
        <f>IF(LEFT($F671&amp;"",10)="SPLIT_LOAN","Pari Passu Split","Standalone")</f>
        <v/>
      </c>
      <c r="CO671" s="78">
        <f>IF($CN671="Pari Passu Split",1,0)</f>
        <v/>
      </c>
      <c r="CP671" s="77">
        <f>IF(ISNUMBER($T671),YEAR($T671),"")</f>
        <v/>
      </c>
      <c r="CQ671" s="79">
        <f>IF(ISNUMBER($V671),$V671,IF(ISNUMBER($U671),$U671,""))</f>
        <v/>
      </c>
      <c r="CR671" s="77">
        <f>IF(ISNUMBER($CQ671),YEAR($CQ671),"")</f>
        <v/>
      </c>
      <c r="CS671" s="78">
        <f>IF(ISNUMBER($M671),MAX(0,$M671),IF(TRIM($M671&amp;"")="matured",0,""))</f>
        <v/>
      </c>
      <c r="CT671" s="78">
        <f>IF(AND(ISNUMBER($CS671),N($CS671)&lt;=mMatWindow),1,0)</f>
        <v/>
      </c>
      <c r="CU671" s="80">
        <f>IF(ISNUMBER($J671),$J671/100,"")</f>
        <v/>
      </c>
      <c r="CV671" s="81">
        <f>IF(ISNUMBER($AQ671),$AQ671,"")</f>
        <v/>
      </c>
      <c r="CW671" s="81">
        <f>IF(ISNUMBER($AR671),$AR671,"")</f>
        <v/>
      </c>
      <c r="CX671" s="82">
        <f>IF(ISNUMBER($AS671),$AS671/100,"")</f>
        <v/>
      </c>
      <c r="CY671" s="82">
        <f>IF(ISNUMBER($AT671),$AT671/100,"")</f>
        <v/>
      </c>
      <c r="CZ671" s="82">
        <f>IF(ISNUMBER($AU671),$AU671/100,"")</f>
        <v/>
      </c>
      <c r="DA671" s="82">
        <f>IF(ISNUMBER($AV671),$AV671/100,"")</f>
        <v/>
      </c>
      <c r="DB671" s="82">
        <f>IF(ISNUMBER($AW671),$AW671/100,"")</f>
        <v/>
      </c>
      <c r="DC671" s="82">
        <f>IF(ISNUMBER($AX671),$AX671/100,"")</f>
        <v/>
      </c>
      <c r="DD671" s="77">
        <f>IFERROR(VALUE(LEFT(TRIM($AO671&amp;""),4)),"")</f>
        <v/>
      </c>
      <c r="DE671" s="78">
        <f>IF(AND($BY671=1,$BX671=1,OR(fDeal="All Deals",$BU671=fDeal),OR(fEntity="All Entities",$BV671=fEntity),OR(fPType="All Property Types",$BZ671=fPType),OR(fDefeased="Include",$CJ671=0)),1,0)</f>
        <v/>
      </c>
      <c r="DF671" s="83">
        <f>$DE671*N($I671)</f>
        <v/>
      </c>
      <c r="DG671" s="78">
        <f>IF($DE671=1,IF(COUNTIFS($F$8:$F671,$F671,$DE$8:$DE671,1)=1,1,0),0)</f>
        <v/>
      </c>
      <c r="DH671" s="83">
        <f>IF($DG671=1,SUMIFS($DF$8:$DF$1600,$F$8:$F$1600,$F671),0)</f>
        <v/>
      </c>
      <c r="DI671" s="78">
        <f>IF($DG671=1,COUNTIFS($F$8:$F$1600,$F671,$DE$8:$DE$1600,1),0)</f>
        <v/>
      </c>
      <c r="DJ671" s="84">
        <f>IF($DG671=1,$DH671+(100000-ROW())/mTieBreak,0)</f>
        <v/>
      </c>
    </row>
    <row r="672">
      <c r="B672" s="68" t="n">
        <v>32</v>
      </c>
      <c r="C672" s="69" t="inlineStr">
        <is>
          <t>CTG18C06</t>
        </is>
      </c>
      <c r="D672" s="69" t="inlineStr">
        <is>
          <t>32.000</t>
        </is>
      </c>
      <c r="E672" s="69" t="inlineStr">
        <is>
          <t>Owens Corning</t>
        </is>
      </c>
      <c r="F672" s="69" t="inlineStr">
        <is>
          <t>LNCTG18C06-32.000</t>
        </is>
      </c>
      <c r="G672" s="70" t="n"/>
      <c r="H672" s="71" t="n">
        <v>6240000</v>
      </c>
      <c r="I672" s="71" t="n">
        <v>5424172.860000961</v>
      </c>
      <c r="J672" s="72" t="n">
        <v>5.03</v>
      </c>
      <c r="K672" s="69" t="inlineStr">
        <is>
          <t>Fixed rate</t>
        </is>
      </c>
      <c r="L672" s="68" t="n">
        <v>120</v>
      </c>
      <c r="M672" s="68" t="n">
        <v>26</v>
      </c>
      <c r="N672" s="68" t="n">
        <v>360</v>
      </c>
      <c r="O672" s="68" t="n"/>
      <c r="P672" s="68" t="n"/>
      <c r="Q672" s="68" t="n">
        <v>94</v>
      </c>
      <c r="R672" s="69" t="n"/>
      <c r="S672" s="69" t="inlineStr">
        <is>
          <t>No</t>
        </is>
      </c>
      <c r="T672" s="73" t="n">
        <v>43405</v>
      </c>
      <c r="U672" s="73" t="n">
        <v>47063</v>
      </c>
      <c r="V672" s="73" t="n"/>
      <c r="W672" s="69" t="n"/>
      <c r="X672" s="69" t="inlineStr">
        <is>
          <t>Current</t>
        </is>
      </c>
      <c r="Y672" s="68" t="n"/>
      <c r="Z672" s="69" t="inlineStr">
        <is>
          <t>No Defeasance Occurred</t>
        </is>
      </c>
      <c r="AA672" s="69" t="inlineStr">
        <is>
          <t>Previously</t>
        </is>
      </c>
      <c r="AB672" s="69" t="inlineStr">
        <is>
          <t>Never special serv</t>
        </is>
      </c>
      <c r="AC672" s="73" t="n"/>
      <c r="AD672" s="69" t="n"/>
      <c r="AE672" s="69" t="n"/>
      <c r="AF672" s="69" t="inlineStr">
        <is>
          <t>SC</t>
        </is>
      </c>
      <c r="AG672" s="69" t="inlineStr">
        <is>
          <t>Aiken</t>
        </is>
      </c>
      <c r="AH672" s="69" t="inlineStr">
        <is>
          <t>Augusta-Richmond County, GA-SC</t>
        </is>
      </c>
      <c r="AI672" s="69" t="inlineStr">
        <is>
          <t>South / Atlantic</t>
        </is>
      </c>
      <c r="AJ672" s="69" t="inlineStr">
        <is>
          <t>IN</t>
        </is>
      </c>
      <c r="AK672" s="69" t="inlineStr">
        <is>
          <t>Warehouse/Distribution</t>
        </is>
      </c>
      <c r="AL672" s="68" t="n">
        <v>1</v>
      </c>
      <c r="AM672" s="68" t="n"/>
      <c r="AN672" s="68" t="n">
        <v>188293</v>
      </c>
      <c r="AO672" s="69" t="inlineStr">
        <is>
          <t>2014</t>
        </is>
      </c>
      <c r="AP672" s="70" t="n">
        <v>2014</v>
      </c>
      <c r="AQ672" s="74" t="n">
        <v>1.62</v>
      </c>
      <c r="AR672" s="74" t="n">
        <v>1.72</v>
      </c>
      <c r="AS672" s="74" t="n">
        <v>54.9</v>
      </c>
      <c r="AT672" s="74" t="n">
        <v>47.79</v>
      </c>
      <c r="AU672" s="74" t="n">
        <v>45.25</v>
      </c>
      <c r="AV672" s="74" t="n">
        <v>10.489262821</v>
      </c>
      <c r="AW672" s="74" t="n">
        <v>12.805743805</v>
      </c>
      <c r="AX672" s="75" t="n">
        <v>100</v>
      </c>
      <c r="AY672" s="71" t="n">
        <v>11350000</v>
      </c>
      <c r="AZ672" s="71" t="n">
        <v>11350000</v>
      </c>
      <c r="BA672" s="71" t="n">
        <v>654530</v>
      </c>
      <c r="BB672" s="71" t="n">
        <v>347302.84</v>
      </c>
      <c r="BC672" s="69" t="inlineStr">
        <is>
          <t>Acquisition</t>
        </is>
      </c>
      <c r="BD672" s="69" t="inlineStr">
        <is>
          <t>N</t>
        </is>
      </c>
      <c r="BE672" s="71" t="n"/>
      <c r="BF672" s="71" t="n"/>
      <c r="BG672" s="71" t="n"/>
      <c r="BH672" s="71" t="n">
        <v>0</v>
      </c>
      <c r="BI672" s="71" t="n">
        <v>0</v>
      </c>
      <c r="BJ672" s="69" t="inlineStr">
        <is>
          <t>N</t>
        </is>
      </c>
      <c r="BK672" s="69" t="inlineStr">
        <is>
          <t>OWENS CORNING</t>
        </is>
      </c>
      <c r="BL672" s="75" t="n">
        <v>92.94</v>
      </c>
      <c r="BM672" s="73" t="n">
        <v>47149</v>
      </c>
      <c r="BN672" s="69" t="inlineStr">
        <is>
          <t>Michael Zacharias</t>
        </is>
      </c>
      <c r="BO672" s="69" t="inlineStr">
        <is>
          <t>Citigroup Global Markets</t>
        </is>
      </c>
      <c r="BP672" s="69" t="inlineStr">
        <is>
          <t>TriMont Real Estate Advisors</t>
        </is>
      </c>
      <c r="BQ672" s="69" t="inlineStr">
        <is>
          <t>K-Star Asset Management LLC</t>
        </is>
      </c>
      <c r="BR672" s="69" t="n"/>
      <c r="BS672" s="73" t="n">
        <v>46273</v>
      </c>
      <c r="BU672" s="76">
        <f>IF($C672="","",IFERROR(INDEX(dmName,MATCH($C672,dmID,0)),"Unmapped"))</f>
        <v/>
      </c>
      <c r="BV672" s="76">
        <f>IF($C672="","",IFERROR(INDEX(dmEntity,MATCH($C672,dmID,0)),"Unmapped"))</f>
        <v/>
      </c>
      <c r="BW672" s="77">
        <f>IF($C672="","",IFERROR(INDEX(dmVintage,MATCH($C672,dmID,0)),""))</f>
        <v/>
      </c>
      <c r="BX672" s="78">
        <f>IFERROR(INDEX(dmInclude,MATCH($C672,dmID,0)),0)</f>
        <v/>
      </c>
      <c r="BY672" s="78">
        <f>IF(N($I672)&gt;0,1,0)</f>
        <v/>
      </c>
      <c r="BZ672" s="76">
        <f>IF($AJ672="","Other / Leased Fee",IFERROR(INDEX(mapPTGroup,MATCH(LEFT(TRIM($AJ672),2),mapPTCode,0)),"Other / Leased Fee"))</f>
        <v/>
      </c>
      <c r="CA672" s="76">
        <f>IF(TRIM($AF672&amp;"")="","NR",LEFT(TRIM($AF672),2))</f>
        <v/>
      </c>
      <c r="CB672" s="76">
        <f>IFERROR(LOOKUP(2,1/(LEFT(TRIM($AI672&amp;""),LEN(mapRegion))=mapRegion),mapRegion),"Not Reported")</f>
        <v/>
      </c>
      <c r="CC672" s="76">
        <f>IF($BY672=0,"",IF(TRIM($W672&amp;"")="REO","REO",IF(TRIM($W672&amp;"")="FC","Foreclosure",IF(TRIM($W672&amp;"")="90+","90+ Days Delinquent",IF(TRIM($W672&amp;"")="60","60 Days Delinquent",IF(TRIM($W672&amp;"")="30","30 Days Delinquent",IF($X672="Non-Performing Matured Balloon","Non-Performing Matured Balloon",IF(OR($X672="Late Payment But Less Than 30 Days Delinquent",LEFT($X672&amp;"",20)="Payment Not Received"),"Late / In Grace (&lt;30 Days)",IF($X672="Performing Matured Balloon","Performing Matured Balloon","Current")))))))))</f>
        <v/>
      </c>
      <c r="CD672" s="78">
        <f>IF(OR($CC672="REO",$CC672="Foreclosure",$CC672="90+ Days Delinquent",$CC672="60 Days Delinquent",$CC672="30 Days Delinquent",$CC672="Non-Performing Matured Balloon"),1,0)</f>
        <v/>
      </c>
      <c r="CE672" s="76">
        <f>IF($AB672="Currently special serv","Currently Specially Serviced",IF($AB672="Returned to master serv","Previously Specially Serviced","Never Specially Serviced"))</f>
        <v/>
      </c>
      <c r="CF672" s="78">
        <f>IF($CE672="Currently Specially Serviced",1,0)</f>
        <v/>
      </c>
      <c r="CG672" s="76">
        <f>IF($AA672="Yes","Currently on Watchlist",IF($AA672="Previously","Previously on Watchlist","Never on Watchlist"))</f>
        <v/>
      </c>
      <c r="CH672" s="78">
        <f>IF($CG672="Currently on Watchlist",1,0)</f>
        <v/>
      </c>
      <c r="CI672" s="76">
        <f>IF($Z672="Full Defeasance","Fully Defeased",IF($Z672="Portion Of Loan Previously Defeased","Partially Defeased",IF($Z672="Defeasance Not Allowable","Not Defeased (Not Permitted)","Not Defeased")))</f>
        <v/>
      </c>
      <c r="CJ672" s="78">
        <f>IF($CI672="Fully Defeased",1,0)</f>
        <v/>
      </c>
      <c r="CK672" s="76">
        <f>IF($R672="IO","Full IO",IF(LEFT($R672&amp;"",7)="IO then","Partial IO","Amortizing"))</f>
        <v/>
      </c>
      <c r="CL672" s="78">
        <f>IF($CK672="Full IO",1,0)</f>
        <v/>
      </c>
      <c r="CM672" s="78">
        <f>IF($CK672="Partial IO",1,0)</f>
        <v/>
      </c>
      <c r="CN672" s="76">
        <f>IF(LEFT($F672&amp;"",10)="SPLIT_LOAN","Pari Passu Split","Standalone")</f>
        <v/>
      </c>
      <c r="CO672" s="78">
        <f>IF($CN672="Pari Passu Split",1,0)</f>
        <v/>
      </c>
      <c r="CP672" s="77">
        <f>IF(ISNUMBER($T672),YEAR($T672),"")</f>
        <v/>
      </c>
      <c r="CQ672" s="79">
        <f>IF(ISNUMBER($V672),$V672,IF(ISNUMBER($U672),$U672,""))</f>
        <v/>
      </c>
      <c r="CR672" s="77">
        <f>IF(ISNUMBER($CQ672),YEAR($CQ672),"")</f>
        <v/>
      </c>
      <c r="CS672" s="78">
        <f>IF(ISNUMBER($M672),MAX(0,$M672),IF(TRIM($M672&amp;"")="matured",0,""))</f>
        <v/>
      </c>
      <c r="CT672" s="78">
        <f>IF(AND(ISNUMBER($CS672),N($CS672)&lt;=mMatWindow),1,0)</f>
        <v/>
      </c>
      <c r="CU672" s="80">
        <f>IF(ISNUMBER($J672),$J672/100,"")</f>
        <v/>
      </c>
      <c r="CV672" s="81">
        <f>IF(ISNUMBER($AQ672),$AQ672,"")</f>
        <v/>
      </c>
      <c r="CW672" s="81">
        <f>IF(ISNUMBER($AR672),$AR672,"")</f>
        <v/>
      </c>
      <c r="CX672" s="82">
        <f>IF(ISNUMBER($AS672),$AS672/100,"")</f>
        <v/>
      </c>
      <c r="CY672" s="82">
        <f>IF(ISNUMBER($AT672),$AT672/100,"")</f>
        <v/>
      </c>
      <c r="CZ672" s="82">
        <f>IF(ISNUMBER($AU672),$AU672/100,"")</f>
        <v/>
      </c>
      <c r="DA672" s="82">
        <f>IF(ISNUMBER($AV672),$AV672/100,"")</f>
        <v/>
      </c>
      <c r="DB672" s="82">
        <f>IF(ISNUMBER($AW672),$AW672/100,"")</f>
        <v/>
      </c>
      <c r="DC672" s="82">
        <f>IF(ISNUMBER($AX672),$AX672/100,"")</f>
        <v/>
      </c>
      <c r="DD672" s="77">
        <f>IFERROR(VALUE(LEFT(TRIM($AO672&amp;""),4)),"")</f>
        <v/>
      </c>
      <c r="DE672" s="78">
        <f>IF(AND($BY672=1,$BX672=1,OR(fDeal="All Deals",$BU672=fDeal),OR(fEntity="All Entities",$BV672=fEntity),OR(fPType="All Property Types",$BZ672=fPType),OR(fDefeased="Include",$CJ672=0)),1,0)</f>
        <v/>
      </c>
      <c r="DF672" s="83">
        <f>$DE672*N($I672)</f>
        <v/>
      </c>
      <c r="DG672" s="78">
        <f>IF($DE672=1,IF(COUNTIFS($F$8:$F672,$F672,$DE$8:$DE672,1)=1,1,0),0)</f>
        <v/>
      </c>
      <c r="DH672" s="83">
        <f>IF($DG672=1,SUMIFS($DF$8:$DF$1600,$F$8:$F$1600,$F672),0)</f>
        <v/>
      </c>
      <c r="DI672" s="78">
        <f>IF($DG672=1,COUNTIFS($F$8:$F$1600,$F672,$DE$8:$DE$1600,1),0)</f>
        <v/>
      </c>
      <c r="DJ672" s="84">
        <f>IF($DG672=1,$DH672+(100000-ROW())/mTieBreak,0)</f>
        <v/>
      </c>
    </row>
    <row r="673">
      <c r="B673" s="68" t="n">
        <v>33</v>
      </c>
      <c r="C673" s="69" t="inlineStr">
        <is>
          <t>CTG18C06</t>
        </is>
      </c>
      <c r="D673" s="69" t="inlineStr">
        <is>
          <t>33.000</t>
        </is>
      </c>
      <c r="E673" s="69" t="inlineStr">
        <is>
          <t>Fairway Plaza</t>
        </is>
      </c>
      <c r="F673" s="69" t="inlineStr">
        <is>
          <t>LNCTG18C06-33.000</t>
        </is>
      </c>
      <c r="G673" s="70" t="n"/>
      <c r="H673" s="71" t="n">
        <v>3750000</v>
      </c>
      <c r="I673" s="71" t="n">
        <v>3277881.130001251</v>
      </c>
      <c r="J673" s="72" t="n">
        <v>5.33</v>
      </c>
      <c r="K673" s="69" t="inlineStr">
        <is>
          <t>Fixed rate</t>
        </is>
      </c>
      <c r="L673" s="68" t="n">
        <v>120</v>
      </c>
      <c r="M673" s="68" t="n">
        <v>25</v>
      </c>
      <c r="N673" s="68" t="n">
        <v>360</v>
      </c>
      <c r="O673" s="68" t="n"/>
      <c r="P673" s="68" t="n"/>
      <c r="Q673" s="68" t="n">
        <v>95</v>
      </c>
      <c r="R673" s="69" t="n"/>
      <c r="S673" s="69" t="inlineStr">
        <is>
          <t>No</t>
        </is>
      </c>
      <c r="T673" s="73" t="n">
        <v>43374</v>
      </c>
      <c r="U673" s="73" t="n">
        <v>47032</v>
      </c>
      <c r="V673" s="73" t="n"/>
      <c r="W673" s="69" t="inlineStr">
        <is>
          <t>90+</t>
        </is>
      </c>
      <c r="X673" s="69" t="inlineStr">
        <is>
          <t>121+ Days Delinquent</t>
        </is>
      </c>
      <c r="Y673" s="68" t="n">
        <v>5</v>
      </c>
      <c r="Z673" s="69" t="inlineStr">
        <is>
          <t>No Defeasance Occurred</t>
        </is>
      </c>
      <c r="AA673" s="69" t="inlineStr">
        <is>
          <t>Previously</t>
        </is>
      </c>
      <c r="AB673" s="69" t="inlineStr">
        <is>
          <t>Currently special serv</t>
        </is>
      </c>
      <c r="AC673" s="73" t="n">
        <v>46164</v>
      </c>
      <c r="AD673" s="69" t="inlineStr">
        <is>
          <t>Payment Default (all payments excluding Balloon/Maturity Payment)</t>
        </is>
      </c>
      <c r="AE673" s="69" t="inlineStr">
        <is>
          <t>Foreclosure</t>
        </is>
      </c>
      <c r="AF673" s="69" t="inlineStr">
        <is>
          <t>PA</t>
        </is>
      </c>
      <c r="AG673" s="69" t="inlineStr">
        <is>
          <t>Huntingdon Valley</t>
        </is>
      </c>
      <c r="AH673" s="69" t="inlineStr">
        <is>
          <t>Philadelphia-Camden-Wilmington, PA-NJ-DE-MD</t>
        </is>
      </c>
      <c r="AI673" s="69" t="inlineStr">
        <is>
          <t>Northeast / Mid-Atlantic</t>
        </is>
      </c>
      <c r="AJ673" s="69" t="inlineStr">
        <is>
          <t>OF</t>
        </is>
      </c>
      <c r="AK673" s="69" t="inlineStr">
        <is>
          <t>Suburban</t>
        </is>
      </c>
      <c r="AL673" s="68" t="n">
        <v>1</v>
      </c>
      <c r="AM673" s="68" t="n"/>
      <c r="AN673" s="68" t="n">
        <v>67731</v>
      </c>
      <c r="AO673" s="69" t="inlineStr">
        <is>
          <t>1971</t>
        </is>
      </c>
      <c r="AP673" s="70" t="n">
        <v>1992</v>
      </c>
      <c r="AQ673" s="74" t="n">
        <v>2.07</v>
      </c>
      <c r="AR673" s="74" t="n"/>
      <c r="AS673" s="74" t="n">
        <v>62.37</v>
      </c>
      <c r="AT673" s="74" t="n">
        <v>54.63</v>
      </c>
      <c r="AU673" s="74" t="n">
        <v>51.94</v>
      </c>
      <c r="AV673" s="74" t="n">
        <v>13.844453333</v>
      </c>
      <c r="AW673" s="74" t="n">
        <v>10.994419435</v>
      </c>
      <c r="AX673" s="75" t="n">
        <v>90.8</v>
      </c>
      <c r="AY673" s="71" t="n">
        <v>6000000</v>
      </c>
      <c r="AZ673" s="71" t="n">
        <v>6000000</v>
      </c>
      <c r="BA673" s="71" t="n">
        <v>519167</v>
      </c>
      <c r="BB673" s="71" t="n">
        <v>384186</v>
      </c>
      <c r="BC673" s="69" t="inlineStr">
        <is>
          <t>Acquisition</t>
        </is>
      </c>
      <c r="BD673" s="69" t="inlineStr">
        <is>
          <t>N</t>
        </is>
      </c>
      <c r="BE673" s="71" t="n"/>
      <c r="BF673" s="71" t="n"/>
      <c r="BG673" s="71" t="n"/>
      <c r="BH673" s="71" t="n">
        <v>0</v>
      </c>
      <c r="BI673" s="71" t="n">
        <v>125320.89</v>
      </c>
      <c r="BJ673" s="69" t="inlineStr">
        <is>
          <t>N</t>
        </is>
      </c>
      <c r="BK673" s="69" t="inlineStr">
        <is>
          <t>Amcord Care Inc./Liberty support</t>
        </is>
      </c>
      <c r="BL673" s="75" t="n">
        <v>13.44</v>
      </c>
      <c r="BM673" s="73" t="n">
        <v>45291</v>
      </c>
      <c r="BN673" s="69" t="inlineStr">
        <is>
          <t>Manilal Mathai and Daisy Manilal</t>
        </is>
      </c>
      <c r="BO673" s="69" t="inlineStr">
        <is>
          <t>RMF</t>
        </is>
      </c>
      <c r="BP673" s="69" t="inlineStr">
        <is>
          <t>TriMont Real Estate Advisors</t>
        </is>
      </c>
      <c r="BQ673" s="69" t="inlineStr">
        <is>
          <t>K-Star Asset Management LLC</t>
        </is>
      </c>
      <c r="BR673" s="69" t="n"/>
      <c r="BS673" s="73" t="n">
        <v>46273</v>
      </c>
      <c r="BU673" s="76">
        <f>IF($C673="","",IFERROR(INDEX(dmName,MATCH($C673,dmID,0)),"Unmapped"))</f>
        <v/>
      </c>
      <c r="BV673" s="76">
        <f>IF($C673="","",IFERROR(INDEX(dmEntity,MATCH($C673,dmID,0)),"Unmapped"))</f>
        <v/>
      </c>
      <c r="BW673" s="77">
        <f>IF($C673="","",IFERROR(INDEX(dmVintage,MATCH($C673,dmID,0)),""))</f>
        <v/>
      </c>
      <c r="BX673" s="78">
        <f>IFERROR(INDEX(dmInclude,MATCH($C673,dmID,0)),0)</f>
        <v/>
      </c>
      <c r="BY673" s="78">
        <f>IF(N($I673)&gt;0,1,0)</f>
        <v/>
      </c>
      <c r="BZ673" s="76">
        <f>IF($AJ673="","Other / Leased Fee",IFERROR(INDEX(mapPTGroup,MATCH(LEFT(TRIM($AJ673),2),mapPTCode,0)),"Other / Leased Fee"))</f>
        <v/>
      </c>
      <c r="CA673" s="76">
        <f>IF(TRIM($AF673&amp;"")="","NR",LEFT(TRIM($AF673),2))</f>
        <v/>
      </c>
      <c r="CB673" s="76">
        <f>IFERROR(LOOKUP(2,1/(LEFT(TRIM($AI673&amp;""),LEN(mapRegion))=mapRegion),mapRegion),"Not Reported")</f>
        <v/>
      </c>
      <c r="CC673" s="76">
        <f>IF($BY673=0,"",IF(TRIM($W673&amp;"")="REO","REO",IF(TRIM($W673&amp;"")="FC","Foreclosure",IF(TRIM($W673&amp;"")="90+","90+ Days Delinquent",IF(TRIM($W673&amp;"")="60","60 Days Delinquent",IF(TRIM($W673&amp;"")="30","30 Days Delinquent",IF($X673="Non-Performing Matured Balloon","Non-Performing Matured Balloon",IF(OR($X673="Late Payment But Less Than 30 Days Delinquent",LEFT($X673&amp;"",20)="Payment Not Received"),"Late / In Grace (&lt;30 Days)",IF($X673="Performing Matured Balloon","Performing Matured Balloon","Current")))))))))</f>
        <v/>
      </c>
      <c r="CD673" s="78">
        <f>IF(OR($CC673="REO",$CC673="Foreclosure",$CC673="90+ Days Delinquent",$CC673="60 Days Delinquent",$CC673="30 Days Delinquent",$CC673="Non-Performing Matured Balloon"),1,0)</f>
        <v/>
      </c>
      <c r="CE673" s="76">
        <f>IF($AB673="Currently special serv","Currently Specially Serviced",IF($AB673="Returned to master serv","Previously Specially Serviced","Never Specially Serviced"))</f>
        <v/>
      </c>
      <c r="CF673" s="78">
        <f>IF($CE673="Currently Specially Serviced",1,0)</f>
        <v/>
      </c>
      <c r="CG673" s="76">
        <f>IF($AA673="Yes","Currently on Watchlist",IF($AA673="Previously","Previously on Watchlist","Never on Watchlist"))</f>
        <v/>
      </c>
      <c r="CH673" s="78">
        <f>IF($CG673="Currently on Watchlist",1,0)</f>
        <v/>
      </c>
      <c r="CI673" s="76">
        <f>IF($Z673="Full Defeasance","Fully Defeased",IF($Z673="Portion Of Loan Previously Defeased","Partially Defeased",IF($Z673="Defeasance Not Allowable","Not Defeased (Not Permitted)","Not Defeased")))</f>
        <v/>
      </c>
      <c r="CJ673" s="78">
        <f>IF($CI673="Fully Defeased",1,0)</f>
        <v/>
      </c>
      <c r="CK673" s="76">
        <f>IF($R673="IO","Full IO",IF(LEFT($R673&amp;"",7)="IO then","Partial IO","Amortizing"))</f>
        <v/>
      </c>
      <c r="CL673" s="78">
        <f>IF($CK673="Full IO",1,0)</f>
        <v/>
      </c>
      <c r="CM673" s="78">
        <f>IF($CK673="Partial IO",1,0)</f>
        <v/>
      </c>
      <c r="CN673" s="76">
        <f>IF(LEFT($F673&amp;"",10)="SPLIT_LOAN","Pari Passu Split","Standalone")</f>
        <v/>
      </c>
      <c r="CO673" s="78">
        <f>IF($CN673="Pari Passu Split",1,0)</f>
        <v/>
      </c>
      <c r="CP673" s="77">
        <f>IF(ISNUMBER($T673),YEAR($T673),"")</f>
        <v/>
      </c>
      <c r="CQ673" s="79">
        <f>IF(ISNUMBER($V673),$V673,IF(ISNUMBER($U673),$U673,""))</f>
        <v/>
      </c>
      <c r="CR673" s="77">
        <f>IF(ISNUMBER($CQ673),YEAR($CQ673),"")</f>
        <v/>
      </c>
      <c r="CS673" s="78">
        <f>IF(ISNUMBER($M673),MAX(0,$M673),IF(TRIM($M673&amp;"")="matured",0,""))</f>
        <v/>
      </c>
      <c r="CT673" s="78">
        <f>IF(AND(ISNUMBER($CS673),N($CS673)&lt;=mMatWindow),1,0)</f>
        <v/>
      </c>
      <c r="CU673" s="80">
        <f>IF(ISNUMBER($J673),$J673/100,"")</f>
        <v/>
      </c>
      <c r="CV673" s="81">
        <f>IF(ISNUMBER($AQ673),$AQ673,"")</f>
        <v/>
      </c>
      <c r="CW673" s="81">
        <f>IF(ISNUMBER($AR673),$AR673,"")</f>
        <v/>
      </c>
      <c r="CX673" s="82">
        <f>IF(ISNUMBER($AS673),$AS673/100,"")</f>
        <v/>
      </c>
      <c r="CY673" s="82">
        <f>IF(ISNUMBER($AT673),$AT673/100,"")</f>
        <v/>
      </c>
      <c r="CZ673" s="82">
        <f>IF(ISNUMBER($AU673),$AU673/100,"")</f>
        <v/>
      </c>
      <c r="DA673" s="82">
        <f>IF(ISNUMBER($AV673),$AV673/100,"")</f>
        <v/>
      </c>
      <c r="DB673" s="82">
        <f>IF(ISNUMBER($AW673),$AW673/100,"")</f>
        <v/>
      </c>
      <c r="DC673" s="82">
        <f>IF(ISNUMBER($AX673),$AX673/100,"")</f>
        <v/>
      </c>
      <c r="DD673" s="77">
        <f>IFERROR(VALUE(LEFT(TRIM($AO673&amp;""),4)),"")</f>
        <v/>
      </c>
      <c r="DE673" s="78">
        <f>IF(AND($BY673=1,$BX673=1,OR(fDeal="All Deals",$BU673=fDeal),OR(fEntity="All Entities",$BV673=fEntity),OR(fPType="All Property Types",$BZ673=fPType),OR(fDefeased="Include",$CJ673=0)),1,0)</f>
        <v/>
      </c>
      <c r="DF673" s="83">
        <f>$DE673*N($I673)</f>
        <v/>
      </c>
      <c r="DG673" s="78">
        <f>IF($DE673=1,IF(COUNTIFS($F$8:$F673,$F673,$DE$8:$DE673,1)=1,1,0),0)</f>
        <v/>
      </c>
      <c r="DH673" s="83">
        <f>IF($DG673=1,SUMIFS($DF$8:$DF$1600,$F$8:$F$1600,$F673),0)</f>
        <v/>
      </c>
      <c r="DI673" s="78">
        <f>IF($DG673=1,COUNTIFS($F$8:$F$1600,$F673,$DE$8:$DE$1600,1),0)</f>
        <v/>
      </c>
      <c r="DJ673" s="84">
        <f>IF($DG673=1,$DH673+(100000-ROW())/mTieBreak,0)</f>
        <v/>
      </c>
    </row>
    <row r="674">
      <c r="B674" s="68" t="n">
        <v>34</v>
      </c>
      <c r="C674" s="69" t="inlineStr">
        <is>
          <t>CTG18C06</t>
        </is>
      </c>
      <c r="D674" s="69" t="inlineStr">
        <is>
          <t>34.000</t>
        </is>
      </c>
      <c r="E674" s="69" t="inlineStr">
        <is>
          <t>Mulberry Flats</t>
        </is>
      </c>
      <c r="F674" s="69" t="inlineStr">
        <is>
          <t>LNCTG18C06-34.000</t>
        </is>
      </c>
      <c r="G674" s="70" t="n"/>
      <c r="H674" s="71" t="n">
        <v>2666000</v>
      </c>
      <c r="I674" s="71" t="n">
        <v>2363181.170001076</v>
      </c>
      <c r="J674" s="72" t="n">
        <v>5.861</v>
      </c>
      <c r="K674" s="69" t="inlineStr">
        <is>
          <t>Fixed rate</t>
        </is>
      </c>
      <c r="L674" s="68" t="n">
        <v>120</v>
      </c>
      <c r="M674" s="68" t="n">
        <v>26</v>
      </c>
      <c r="N674" s="68" t="n">
        <v>360</v>
      </c>
      <c r="O674" s="68" t="n"/>
      <c r="P674" s="68" t="n"/>
      <c r="Q674" s="68" t="n">
        <v>94</v>
      </c>
      <c r="R674" s="69" t="n"/>
      <c r="S674" s="69" t="inlineStr">
        <is>
          <t>No</t>
        </is>
      </c>
      <c r="T674" s="73" t="n">
        <v>43405</v>
      </c>
      <c r="U674" s="73" t="n">
        <v>47063</v>
      </c>
      <c r="V674" s="73" t="n"/>
      <c r="W674" s="69" t="n"/>
      <c r="X674" s="69" t="inlineStr">
        <is>
          <t>Current</t>
        </is>
      </c>
      <c r="Y674" s="68" t="n"/>
      <c r="Z674" s="69" t="inlineStr">
        <is>
          <t>Full Defeasance</t>
        </is>
      </c>
      <c r="AA674" s="69" t="inlineStr">
        <is>
          <t>Previously</t>
        </is>
      </c>
      <c r="AB674" s="69" t="inlineStr">
        <is>
          <t>Never special serv</t>
        </is>
      </c>
      <c r="AC674" s="73" t="n"/>
      <c r="AD674" s="69" t="n"/>
      <c r="AE674" s="69" t="n"/>
      <c r="AF674" s="69" t="inlineStr">
        <is>
          <t>AR</t>
        </is>
      </c>
      <c r="AG674" s="69" t="inlineStr">
        <is>
          <t>Little Rock</t>
        </is>
      </c>
      <c r="AH674" s="69" t="inlineStr">
        <is>
          <t>Little Rock-North Little Rock-Conway, AR</t>
        </is>
      </c>
      <c r="AI674" s="69" t="inlineStr">
        <is>
          <t>South / Central West</t>
        </is>
      </c>
      <c r="AJ674" s="69" t="inlineStr">
        <is>
          <t>MX</t>
        </is>
      </c>
      <c r="AK674" s="69" t="inlineStr">
        <is>
          <t>Multifamily/Retail</t>
        </is>
      </c>
      <c r="AL674" s="68" t="n">
        <v>1</v>
      </c>
      <c r="AM674" s="68" t="n">
        <v>30</v>
      </c>
      <c r="AN674" s="68" t="n"/>
      <c r="AO674" s="69" t="inlineStr">
        <is>
          <t>1900</t>
        </is>
      </c>
      <c r="AP674" s="70" t="n">
        <v>2017</v>
      </c>
      <c r="AQ674" s="74" t="n">
        <v>1.25</v>
      </c>
      <c r="AR674" s="74" t="n">
        <v>1.22</v>
      </c>
      <c r="AS674" s="74" t="n">
        <v>57.9</v>
      </c>
      <c r="AT674" s="74" t="n">
        <v>51.37</v>
      </c>
      <c r="AU674" s="74" t="n">
        <v>48.95</v>
      </c>
      <c r="AV674" s="74" t="n">
        <v>8.857873593000001</v>
      </c>
      <c r="AW674" s="74" t="n">
        <v>9.653850619</v>
      </c>
      <c r="AX674" s="75" t="n">
        <v>95</v>
      </c>
      <c r="AY674" s="71" t="n">
        <v>4600000</v>
      </c>
      <c r="AZ674" s="71" t="n">
        <v>4600000</v>
      </c>
      <c r="BA674" s="71" t="n">
        <v>236150.91</v>
      </c>
      <c r="BB674" s="71" t="n">
        <v>114874.95</v>
      </c>
      <c r="BC674" s="69" t="inlineStr">
        <is>
          <t>Refinance</t>
        </is>
      </c>
      <c r="BD674" s="69" t="inlineStr">
        <is>
          <t>N</t>
        </is>
      </c>
      <c r="BE674" s="71" t="n"/>
      <c r="BF674" s="71" t="n"/>
      <c r="BG674" s="71" t="n"/>
      <c r="BH674" s="71" t="n">
        <v>0</v>
      </c>
      <c r="BI674" s="71" t="n">
        <v>0</v>
      </c>
      <c r="BJ674" s="69" t="inlineStr">
        <is>
          <t>N</t>
        </is>
      </c>
      <c r="BK674" s="69" t="inlineStr">
        <is>
          <t>Brewski's</t>
        </is>
      </c>
      <c r="BL674" s="75" t="n">
        <v>0</v>
      </c>
      <c r="BM674" s="73" t="n">
        <v>45657</v>
      </c>
      <c r="BN674" s="69" t="inlineStr">
        <is>
          <t>Jacob V. Spellmeyer and Bryan D. Pereboom</t>
        </is>
      </c>
      <c r="BO674" s="69" t="inlineStr">
        <is>
          <t>Ladder Capital Finance</t>
        </is>
      </c>
      <c r="BP674" s="69" t="inlineStr">
        <is>
          <t>TriMont Real Estate Advisors</t>
        </is>
      </c>
      <c r="BQ674" s="69" t="inlineStr">
        <is>
          <t>K-Star Asset Management LLC</t>
        </is>
      </c>
      <c r="BR674" s="69" t="n"/>
      <c r="BS674" s="73" t="n">
        <v>46273</v>
      </c>
      <c r="BU674" s="76">
        <f>IF($C674="","",IFERROR(INDEX(dmName,MATCH($C674,dmID,0)),"Unmapped"))</f>
        <v/>
      </c>
      <c r="BV674" s="76">
        <f>IF($C674="","",IFERROR(INDEX(dmEntity,MATCH($C674,dmID,0)),"Unmapped"))</f>
        <v/>
      </c>
      <c r="BW674" s="77">
        <f>IF($C674="","",IFERROR(INDEX(dmVintage,MATCH($C674,dmID,0)),""))</f>
        <v/>
      </c>
      <c r="BX674" s="78">
        <f>IFERROR(INDEX(dmInclude,MATCH($C674,dmID,0)),0)</f>
        <v/>
      </c>
      <c r="BY674" s="78">
        <f>IF(N($I674)&gt;0,1,0)</f>
        <v/>
      </c>
      <c r="BZ674" s="76">
        <f>IF($AJ674="","Other / Leased Fee",IFERROR(INDEX(mapPTGroup,MATCH(LEFT(TRIM($AJ674),2),mapPTCode,0)),"Other / Leased Fee"))</f>
        <v/>
      </c>
      <c r="CA674" s="76">
        <f>IF(TRIM($AF674&amp;"")="","NR",LEFT(TRIM($AF674),2))</f>
        <v/>
      </c>
      <c r="CB674" s="76">
        <f>IFERROR(LOOKUP(2,1/(LEFT(TRIM($AI674&amp;""),LEN(mapRegion))=mapRegion),mapRegion),"Not Reported")</f>
        <v/>
      </c>
      <c r="CC674" s="76">
        <f>IF($BY674=0,"",IF(TRIM($W674&amp;"")="REO","REO",IF(TRIM($W674&amp;"")="FC","Foreclosure",IF(TRIM($W674&amp;"")="90+","90+ Days Delinquent",IF(TRIM($W674&amp;"")="60","60 Days Delinquent",IF(TRIM($W674&amp;"")="30","30 Days Delinquent",IF($X674="Non-Performing Matured Balloon","Non-Performing Matured Balloon",IF(OR($X674="Late Payment But Less Than 30 Days Delinquent",LEFT($X674&amp;"",20)="Payment Not Received"),"Late / In Grace (&lt;30 Days)",IF($X674="Performing Matured Balloon","Performing Matured Balloon","Current")))))))))</f>
        <v/>
      </c>
      <c r="CD674" s="78">
        <f>IF(OR($CC674="REO",$CC674="Foreclosure",$CC674="90+ Days Delinquent",$CC674="60 Days Delinquent",$CC674="30 Days Delinquent",$CC674="Non-Performing Matured Balloon"),1,0)</f>
        <v/>
      </c>
      <c r="CE674" s="76">
        <f>IF($AB674="Currently special serv","Currently Specially Serviced",IF($AB674="Returned to master serv","Previously Specially Serviced","Never Specially Serviced"))</f>
        <v/>
      </c>
      <c r="CF674" s="78">
        <f>IF($CE674="Currently Specially Serviced",1,0)</f>
        <v/>
      </c>
      <c r="CG674" s="76">
        <f>IF($AA674="Yes","Currently on Watchlist",IF($AA674="Previously","Previously on Watchlist","Never on Watchlist"))</f>
        <v/>
      </c>
      <c r="CH674" s="78">
        <f>IF($CG674="Currently on Watchlist",1,0)</f>
        <v/>
      </c>
      <c r="CI674" s="76">
        <f>IF($Z674="Full Defeasance","Fully Defeased",IF($Z674="Portion Of Loan Previously Defeased","Partially Defeased",IF($Z674="Defeasance Not Allowable","Not Defeased (Not Permitted)","Not Defeased")))</f>
        <v/>
      </c>
      <c r="CJ674" s="78">
        <f>IF($CI674="Fully Defeased",1,0)</f>
        <v/>
      </c>
      <c r="CK674" s="76">
        <f>IF($R674="IO","Full IO",IF(LEFT($R674&amp;"",7)="IO then","Partial IO","Amortizing"))</f>
        <v/>
      </c>
      <c r="CL674" s="78">
        <f>IF($CK674="Full IO",1,0)</f>
        <v/>
      </c>
      <c r="CM674" s="78">
        <f>IF($CK674="Partial IO",1,0)</f>
        <v/>
      </c>
      <c r="CN674" s="76">
        <f>IF(LEFT($F674&amp;"",10)="SPLIT_LOAN","Pari Passu Split","Standalone")</f>
        <v/>
      </c>
      <c r="CO674" s="78">
        <f>IF($CN674="Pari Passu Split",1,0)</f>
        <v/>
      </c>
      <c r="CP674" s="77">
        <f>IF(ISNUMBER($T674),YEAR($T674),"")</f>
        <v/>
      </c>
      <c r="CQ674" s="79">
        <f>IF(ISNUMBER($V674),$V674,IF(ISNUMBER($U674),$U674,""))</f>
        <v/>
      </c>
      <c r="CR674" s="77">
        <f>IF(ISNUMBER($CQ674),YEAR($CQ674),"")</f>
        <v/>
      </c>
      <c r="CS674" s="78">
        <f>IF(ISNUMBER($M674),MAX(0,$M674),IF(TRIM($M674&amp;"")="matured",0,""))</f>
        <v/>
      </c>
      <c r="CT674" s="78">
        <f>IF(AND(ISNUMBER($CS674),N($CS674)&lt;=mMatWindow),1,0)</f>
        <v/>
      </c>
      <c r="CU674" s="80">
        <f>IF(ISNUMBER($J674),$J674/100,"")</f>
        <v/>
      </c>
      <c r="CV674" s="81">
        <f>IF(ISNUMBER($AQ674),$AQ674,"")</f>
        <v/>
      </c>
      <c r="CW674" s="81">
        <f>IF(ISNUMBER($AR674),$AR674,"")</f>
        <v/>
      </c>
      <c r="CX674" s="82">
        <f>IF(ISNUMBER($AS674),$AS674/100,"")</f>
        <v/>
      </c>
      <c r="CY674" s="82">
        <f>IF(ISNUMBER($AT674),$AT674/100,"")</f>
        <v/>
      </c>
      <c r="CZ674" s="82">
        <f>IF(ISNUMBER($AU674),$AU674/100,"")</f>
        <v/>
      </c>
      <c r="DA674" s="82">
        <f>IF(ISNUMBER($AV674),$AV674/100,"")</f>
        <v/>
      </c>
      <c r="DB674" s="82">
        <f>IF(ISNUMBER($AW674),$AW674/100,"")</f>
        <v/>
      </c>
      <c r="DC674" s="82">
        <f>IF(ISNUMBER($AX674),$AX674/100,"")</f>
        <v/>
      </c>
      <c r="DD674" s="77">
        <f>IFERROR(VALUE(LEFT(TRIM($AO674&amp;""),4)),"")</f>
        <v/>
      </c>
      <c r="DE674" s="78">
        <f>IF(AND($BY674=1,$BX674=1,OR(fDeal="All Deals",$BU674=fDeal),OR(fEntity="All Entities",$BV674=fEntity),OR(fPType="All Property Types",$BZ674=fPType),OR(fDefeased="Include",$CJ674=0)),1,0)</f>
        <v/>
      </c>
      <c r="DF674" s="83">
        <f>$DE674*N($I674)</f>
        <v/>
      </c>
      <c r="DG674" s="78">
        <f>IF($DE674=1,IF(COUNTIFS($F$8:$F674,$F674,$DE$8:$DE674,1)=1,1,0),0)</f>
        <v/>
      </c>
      <c r="DH674" s="83">
        <f>IF($DG674=1,SUMIFS($DF$8:$DF$1600,$F$8:$F$1600,$F674),0)</f>
        <v/>
      </c>
      <c r="DI674" s="78">
        <f>IF($DG674=1,COUNTIFS($F$8:$F$1600,$F674,$DE$8:$DE$1600,1),0)</f>
        <v/>
      </c>
      <c r="DJ674" s="84">
        <f>IF($DG674=1,$DH674+(100000-ROW())/mTieBreak,0)</f>
        <v/>
      </c>
    </row>
    <row r="675">
      <c r="B675" s="68" t="n">
        <v>35</v>
      </c>
      <c r="C675" s="69" t="inlineStr">
        <is>
          <t>CTG18C06</t>
        </is>
      </c>
      <c r="D675" s="69" t="inlineStr">
        <is>
          <t>35.000</t>
        </is>
      </c>
      <c r="E675" s="69" t="inlineStr">
        <is>
          <t>Optimum Multifamily - Jersey City</t>
        </is>
      </c>
      <c r="F675" s="69" t="inlineStr">
        <is>
          <t>LNCTG18C06-35.000</t>
        </is>
      </c>
      <c r="G675" s="70" t="n"/>
      <c r="H675" s="71" t="n">
        <v>1920511</v>
      </c>
      <c r="I675" s="71" t="n">
        <v>1920511</v>
      </c>
      <c r="J675" s="72" t="n">
        <v>5.34</v>
      </c>
      <c r="K675" s="69" t="inlineStr">
        <is>
          <t>Fixed rate</t>
        </is>
      </c>
      <c r="L675" s="68" t="n">
        <v>120</v>
      </c>
      <c r="M675" s="68" t="n">
        <v>26</v>
      </c>
      <c r="N675" s="68" t="n">
        <v>120</v>
      </c>
      <c r="O675" s="68" t="n">
        <v>120</v>
      </c>
      <c r="P675" s="68" t="n">
        <v>26</v>
      </c>
      <c r="Q675" s="68" t="n">
        <v>94</v>
      </c>
      <c r="R675" s="69" t="inlineStr">
        <is>
          <t>IO</t>
        </is>
      </c>
      <c r="S675" s="69" t="inlineStr">
        <is>
          <t>Yes</t>
        </is>
      </c>
      <c r="T675" s="73" t="n">
        <v>43405</v>
      </c>
      <c r="U675" s="73" t="n">
        <v>47063</v>
      </c>
      <c r="V675" s="73" t="n"/>
      <c r="W675" s="69" t="n"/>
      <c r="X675" s="69" t="inlineStr">
        <is>
          <t>Current</t>
        </is>
      </c>
      <c r="Y675" s="68" t="n"/>
      <c r="Z675" s="69" t="inlineStr">
        <is>
          <t>No Defeasance Occurred</t>
        </is>
      </c>
      <c r="AA675" s="69" t="inlineStr">
        <is>
          <t>Previously</t>
        </is>
      </c>
      <c r="AB675" s="69" t="inlineStr">
        <is>
          <t>Never special serv</t>
        </is>
      </c>
      <c r="AC675" s="73" t="n"/>
      <c r="AD675" s="69" t="n"/>
      <c r="AE675" s="69" t="n"/>
      <c r="AF675" s="69" t="inlineStr">
        <is>
          <t>NJ</t>
        </is>
      </c>
      <c r="AG675" s="69" t="inlineStr">
        <is>
          <t>Jersey City</t>
        </is>
      </c>
      <c r="AH675" s="69" t="inlineStr">
        <is>
          <t>New York-Newark-Jersey City, NY-NJ</t>
        </is>
      </c>
      <c r="AI675" s="69" t="inlineStr">
        <is>
          <t>Northeast / Mid-Atlantic</t>
        </is>
      </c>
      <c r="AJ675" s="69" t="inlineStr">
        <is>
          <t>MF</t>
        </is>
      </c>
      <c r="AK675" s="69" t="inlineStr">
        <is>
          <t>Garden</t>
        </is>
      </c>
      <c r="AL675" s="68" t="n">
        <v>1</v>
      </c>
      <c r="AM675" s="68" t="n">
        <v>24</v>
      </c>
      <c r="AN675" s="68" t="n"/>
      <c r="AO675" s="69" t="inlineStr">
        <is>
          <t>1925</t>
        </is>
      </c>
      <c r="AP675" s="70" t="n">
        <v>1925</v>
      </c>
      <c r="AQ675" s="74" t="n">
        <v>1.45</v>
      </c>
      <c r="AR675" s="74" t="n">
        <v>2.43</v>
      </c>
      <c r="AS675" s="74" t="n">
        <v>62</v>
      </c>
      <c r="AT675" s="74" t="n">
        <v>61.95</v>
      </c>
      <c r="AU675" s="74" t="n">
        <v>61.95</v>
      </c>
      <c r="AV675" s="74" t="n">
        <v>7.846536677</v>
      </c>
      <c r="AW675" s="74" t="n">
        <v>4.013462563</v>
      </c>
      <c r="AX675" s="75" t="n">
        <v>96</v>
      </c>
      <c r="AY675" s="71" t="n">
        <v>3100000</v>
      </c>
      <c r="AZ675" s="71" t="n">
        <v>3100000</v>
      </c>
      <c r="BA675" s="71" t="n">
        <v>150693.6</v>
      </c>
      <c r="BB675" s="71" t="n">
        <v>189844.51</v>
      </c>
      <c r="BC675" s="69" t="inlineStr">
        <is>
          <t>Refinance</t>
        </is>
      </c>
      <c r="BD675" s="69" t="inlineStr">
        <is>
          <t>N</t>
        </is>
      </c>
      <c r="BE675" s="71" t="n"/>
      <c r="BF675" s="71" t="n"/>
      <c r="BG675" s="71" t="n"/>
      <c r="BH675" s="71" t="n">
        <v>0</v>
      </c>
      <c r="BI675" s="71" t="n">
        <v>0</v>
      </c>
      <c r="BJ675" s="69" t="inlineStr">
        <is>
          <t>N</t>
        </is>
      </c>
      <c r="BK675" s="69" t="n"/>
      <c r="BL675" s="75" t="n"/>
      <c r="BM675" s="73" t="n"/>
      <c r="BN675" s="69" t="inlineStr">
        <is>
          <t>Joseph Ehrman</t>
        </is>
      </c>
      <c r="BO675" s="69" t="inlineStr">
        <is>
          <t>Citigroup Global Markets</t>
        </is>
      </c>
      <c r="BP675" s="69" t="inlineStr">
        <is>
          <t>TriMont Real Estate Advisors</t>
        </is>
      </c>
      <c r="BQ675" s="69" t="inlineStr">
        <is>
          <t>K-Star Asset Management LLC</t>
        </is>
      </c>
      <c r="BR675" s="69" t="n"/>
      <c r="BS675" s="73" t="n">
        <v>46273</v>
      </c>
      <c r="BU675" s="76">
        <f>IF($C675="","",IFERROR(INDEX(dmName,MATCH($C675,dmID,0)),"Unmapped"))</f>
        <v/>
      </c>
      <c r="BV675" s="76">
        <f>IF($C675="","",IFERROR(INDEX(dmEntity,MATCH($C675,dmID,0)),"Unmapped"))</f>
        <v/>
      </c>
      <c r="BW675" s="77">
        <f>IF($C675="","",IFERROR(INDEX(dmVintage,MATCH($C675,dmID,0)),""))</f>
        <v/>
      </c>
      <c r="BX675" s="78">
        <f>IFERROR(INDEX(dmInclude,MATCH($C675,dmID,0)),0)</f>
        <v/>
      </c>
      <c r="BY675" s="78">
        <f>IF(N($I675)&gt;0,1,0)</f>
        <v/>
      </c>
      <c r="BZ675" s="76">
        <f>IF($AJ675="","Other / Leased Fee",IFERROR(INDEX(mapPTGroup,MATCH(LEFT(TRIM($AJ675),2),mapPTCode,0)),"Other / Leased Fee"))</f>
        <v/>
      </c>
      <c r="CA675" s="76">
        <f>IF(TRIM($AF675&amp;"")="","NR",LEFT(TRIM($AF675),2))</f>
        <v/>
      </c>
      <c r="CB675" s="76">
        <f>IFERROR(LOOKUP(2,1/(LEFT(TRIM($AI675&amp;""),LEN(mapRegion))=mapRegion),mapRegion),"Not Reported")</f>
        <v/>
      </c>
      <c r="CC675" s="76">
        <f>IF($BY675=0,"",IF(TRIM($W675&amp;"")="REO","REO",IF(TRIM($W675&amp;"")="FC","Foreclosure",IF(TRIM($W675&amp;"")="90+","90+ Days Delinquent",IF(TRIM($W675&amp;"")="60","60 Days Delinquent",IF(TRIM($W675&amp;"")="30","30 Days Delinquent",IF($X675="Non-Performing Matured Balloon","Non-Performing Matured Balloon",IF(OR($X675="Late Payment But Less Than 30 Days Delinquent",LEFT($X675&amp;"",20)="Payment Not Received"),"Late / In Grace (&lt;30 Days)",IF($X675="Performing Matured Balloon","Performing Matured Balloon","Current")))))))))</f>
        <v/>
      </c>
      <c r="CD675" s="78">
        <f>IF(OR($CC675="REO",$CC675="Foreclosure",$CC675="90+ Days Delinquent",$CC675="60 Days Delinquent",$CC675="30 Days Delinquent",$CC675="Non-Performing Matured Balloon"),1,0)</f>
        <v/>
      </c>
      <c r="CE675" s="76">
        <f>IF($AB675="Currently special serv","Currently Specially Serviced",IF($AB675="Returned to master serv","Previously Specially Serviced","Never Specially Serviced"))</f>
        <v/>
      </c>
      <c r="CF675" s="78">
        <f>IF($CE675="Currently Specially Serviced",1,0)</f>
        <v/>
      </c>
      <c r="CG675" s="76">
        <f>IF($AA675="Yes","Currently on Watchlist",IF($AA675="Previously","Previously on Watchlist","Never on Watchlist"))</f>
        <v/>
      </c>
      <c r="CH675" s="78">
        <f>IF($CG675="Currently on Watchlist",1,0)</f>
        <v/>
      </c>
      <c r="CI675" s="76">
        <f>IF($Z675="Full Defeasance","Fully Defeased",IF($Z675="Portion Of Loan Previously Defeased","Partially Defeased",IF($Z675="Defeasance Not Allowable","Not Defeased (Not Permitted)","Not Defeased")))</f>
        <v/>
      </c>
      <c r="CJ675" s="78">
        <f>IF($CI675="Fully Defeased",1,0)</f>
        <v/>
      </c>
      <c r="CK675" s="76">
        <f>IF($R675="IO","Full IO",IF(LEFT($R675&amp;"",7)="IO then","Partial IO","Amortizing"))</f>
        <v/>
      </c>
      <c r="CL675" s="78">
        <f>IF($CK675="Full IO",1,0)</f>
        <v/>
      </c>
      <c r="CM675" s="78">
        <f>IF($CK675="Partial IO",1,0)</f>
        <v/>
      </c>
      <c r="CN675" s="76">
        <f>IF(LEFT($F675&amp;"",10)="SPLIT_LOAN","Pari Passu Split","Standalone")</f>
        <v/>
      </c>
      <c r="CO675" s="78">
        <f>IF($CN675="Pari Passu Split",1,0)</f>
        <v/>
      </c>
      <c r="CP675" s="77">
        <f>IF(ISNUMBER($T675),YEAR($T675),"")</f>
        <v/>
      </c>
      <c r="CQ675" s="79">
        <f>IF(ISNUMBER($V675),$V675,IF(ISNUMBER($U675),$U675,""))</f>
        <v/>
      </c>
      <c r="CR675" s="77">
        <f>IF(ISNUMBER($CQ675),YEAR($CQ675),"")</f>
        <v/>
      </c>
      <c r="CS675" s="78">
        <f>IF(ISNUMBER($M675),MAX(0,$M675),IF(TRIM($M675&amp;"")="matured",0,""))</f>
        <v/>
      </c>
      <c r="CT675" s="78">
        <f>IF(AND(ISNUMBER($CS675),N($CS675)&lt;=mMatWindow),1,0)</f>
        <v/>
      </c>
      <c r="CU675" s="80">
        <f>IF(ISNUMBER($J675),$J675/100,"")</f>
        <v/>
      </c>
      <c r="CV675" s="81">
        <f>IF(ISNUMBER($AQ675),$AQ675,"")</f>
        <v/>
      </c>
      <c r="CW675" s="81">
        <f>IF(ISNUMBER($AR675),$AR675,"")</f>
        <v/>
      </c>
      <c r="CX675" s="82">
        <f>IF(ISNUMBER($AS675),$AS675/100,"")</f>
        <v/>
      </c>
      <c r="CY675" s="82">
        <f>IF(ISNUMBER($AT675),$AT675/100,"")</f>
        <v/>
      </c>
      <c r="CZ675" s="82">
        <f>IF(ISNUMBER($AU675),$AU675/100,"")</f>
        <v/>
      </c>
      <c r="DA675" s="82">
        <f>IF(ISNUMBER($AV675),$AV675/100,"")</f>
        <v/>
      </c>
      <c r="DB675" s="82">
        <f>IF(ISNUMBER($AW675),$AW675/100,"")</f>
        <v/>
      </c>
      <c r="DC675" s="82">
        <f>IF(ISNUMBER($AX675),$AX675/100,"")</f>
        <v/>
      </c>
      <c r="DD675" s="77">
        <f>IFERROR(VALUE(LEFT(TRIM($AO675&amp;""),4)),"")</f>
        <v/>
      </c>
      <c r="DE675" s="78">
        <f>IF(AND($BY675=1,$BX675=1,OR(fDeal="All Deals",$BU675=fDeal),OR(fEntity="All Entities",$BV675=fEntity),OR(fPType="All Property Types",$BZ675=fPType),OR(fDefeased="Include",$CJ675=0)),1,0)</f>
        <v/>
      </c>
      <c r="DF675" s="83">
        <f>$DE675*N($I675)</f>
        <v/>
      </c>
      <c r="DG675" s="78">
        <f>IF($DE675=1,IF(COUNTIFS($F$8:$F675,$F675,$DE$8:$DE675,1)=1,1,0),0)</f>
        <v/>
      </c>
      <c r="DH675" s="83">
        <f>IF($DG675=1,SUMIFS($DF$8:$DF$1600,$F$8:$F$1600,$F675),0)</f>
        <v/>
      </c>
      <c r="DI675" s="78">
        <f>IF($DG675=1,COUNTIFS($F$8:$F$1600,$F675,$DE$8:$DE$1600,1),0)</f>
        <v/>
      </c>
      <c r="DJ675" s="84">
        <f>IF($DG675=1,$DH675+(100000-ROW())/mTieBreak,0)</f>
        <v/>
      </c>
    </row>
    <row r="676">
      <c r="B676" s="68" t="n">
        <v>1</v>
      </c>
      <c r="C676" s="69" t="inlineStr">
        <is>
          <t>UBS19C16</t>
        </is>
      </c>
      <c r="D676" s="69" t="inlineStr">
        <is>
          <t>1.TR</t>
        </is>
      </c>
      <c r="E676" s="69" t="inlineStr">
        <is>
          <t>The Colonnade Office Complex</t>
        </is>
      </c>
      <c r="F676" s="69" t="inlineStr">
        <is>
          <t>SPLIT_LOAN_01496</t>
        </is>
      </c>
      <c r="G676" s="70" t="n">
        <v>1496</v>
      </c>
      <c r="H676" s="71" t="n">
        <v>47000000</v>
      </c>
      <c r="I676" s="71" t="n">
        <v>47000000</v>
      </c>
      <c r="J676" s="72" t="n">
        <v>4.568</v>
      </c>
      <c r="K676" s="69" t="inlineStr">
        <is>
          <t>Fixed rate</t>
        </is>
      </c>
      <c r="L676" s="68" t="n">
        <v>60</v>
      </c>
      <c r="M676" s="68" t="inlineStr">
        <is>
          <t>matured</t>
        </is>
      </c>
      <c r="N676" s="68" t="n">
        <v>60</v>
      </c>
      <c r="O676" s="68" t="n">
        <v>60</v>
      </c>
      <c r="P676" s="68" t="n">
        <v>0</v>
      </c>
      <c r="Q676" s="68" t="n">
        <v>90</v>
      </c>
      <c r="R676" s="69" t="inlineStr">
        <is>
          <t>IO</t>
        </is>
      </c>
      <c r="S676" s="69" t="inlineStr">
        <is>
          <t>Yes</t>
        </is>
      </c>
      <c r="T676" s="73" t="n">
        <v>43525</v>
      </c>
      <c r="U676" s="73" t="n">
        <v>45328</v>
      </c>
      <c r="V676" s="73" t="n"/>
      <c r="W676" s="69" t="inlineStr">
        <is>
          <t>90+</t>
        </is>
      </c>
      <c r="X676" s="69" t="inlineStr">
        <is>
          <t>Non-Performing Matured Balloon</t>
        </is>
      </c>
      <c r="Y676" s="68" t="n">
        <v>29</v>
      </c>
      <c r="Z676" s="69" t="inlineStr">
        <is>
          <t>No Defeasance Occurred</t>
        </is>
      </c>
      <c r="AA676" s="69" t="inlineStr">
        <is>
          <t>Previously</t>
        </is>
      </c>
      <c r="AB676" s="69" t="inlineStr">
        <is>
          <t>Currently special serv</t>
        </is>
      </c>
      <c r="AC676" s="73" t="n">
        <v>45181</v>
      </c>
      <c r="AD676" s="69" t="inlineStr">
        <is>
          <t>Imminent Monetary Default (excluding Balloon/Maturity Default &amp; Single Tenant Bankruptcy/Vacate)</t>
        </is>
      </c>
      <c r="AE676" s="69" t="inlineStr">
        <is>
          <t>Modification</t>
        </is>
      </c>
      <c r="AF676" s="69" t="inlineStr">
        <is>
          <t>TX</t>
        </is>
      </c>
      <c r="AG676" s="69" t="inlineStr">
        <is>
          <t>Addison</t>
        </is>
      </c>
      <c r="AH676" s="69" t="inlineStr">
        <is>
          <t>Dallas-Fort Worth-Arlington, TX</t>
        </is>
      </c>
      <c r="AI676" s="69" t="inlineStr">
        <is>
          <t>South / Central West</t>
        </is>
      </c>
      <c r="AJ676" s="69" t="inlineStr">
        <is>
          <t>OF</t>
        </is>
      </c>
      <c r="AK676" s="69" t="inlineStr">
        <is>
          <t>Suburban</t>
        </is>
      </c>
      <c r="AL676" s="68" t="n">
        <v>1</v>
      </c>
      <c r="AM676" s="68" t="n"/>
      <c r="AN676" s="68" t="n">
        <v>1080180</v>
      </c>
      <c r="AO676" s="69" t="inlineStr">
        <is>
          <t>1983</t>
        </is>
      </c>
      <c r="AP676" s="70" t="n">
        <v>2017</v>
      </c>
      <c r="AQ676" s="74" t="n">
        <v>3.87</v>
      </c>
      <c r="AR676" s="74" t="n">
        <v>2.26</v>
      </c>
      <c r="AS676" s="74" t="n">
        <v>30.2</v>
      </c>
      <c r="AT676" s="74" t="n">
        <v>48.17</v>
      </c>
      <c r="AU676" s="74" t="n">
        <v>30.2</v>
      </c>
      <c r="AV676" s="74" t="n">
        <v>17.944113867</v>
      </c>
      <c r="AW676" s="74" t="n">
        <v>10.48887619</v>
      </c>
      <c r="AX676" s="75" t="n">
        <v>75</v>
      </c>
      <c r="AY676" s="71" t="n">
        <v>347590000</v>
      </c>
      <c r="AZ676" s="71" t="n">
        <v>218000000</v>
      </c>
      <c r="BA676" s="71" t="n">
        <v>18841319.56</v>
      </c>
      <c r="BB676" s="71" t="n">
        <v>11013320</v>
      </c>
      <c r="BC676" s="69" t="inlineStr">
        <is>
          <t>Refinance</t>
        </is>
      </c>
      <c r="BD676" s="69" t="inlineStr">
        <is>
          <t>N</t>
        </is>
      </c>
      <c r="BE676" s="71" t="n">
        <v>58000000</v>
      </c>
      <c r="BF676" s="71" t="n">
        <v>118000000</v>
      </c>
      <c r="BG676" s="71" t="n">
        <v>17000000</v>
      </c>
      <c r="BH676" s="71" t="n">
        <v>0</v>
      </c>
      <c r="BI676" s="71" t="n">
        <v>5447910.18</v>
      </c>
      <c r="BJ676" s="69" t="inlineStr">
        <is>
          <t>N</t>
        </is>
      </c>
      <c r="BK676" s="69" t="inlineStr">
        <is>
          <t>Hilton Domestic Operating Company</t>
        </is>
      </c>
      <c r="BL676" s="75" t="n">
        <v>13.76</v>
      </c>
      <c r="BM676" s="73" t="n">
        <v>48244</v>
      </c>
      <c r="BN676" s="69" t="inlineStr">
        <is>
          <t>Fortis Property Group, LLC</t>
        </is>
      </c>
      <c r="BO676" s="69" t="inlineStr">
        <is>
          <t>UBS</t>
        </is>
      </c>
      <c r="BP676" s="69" t="inlineStr">
        <is>
          <t>Midland Loan Services</t>
        </is>
      </c>
      <c r="BQ676" s="69" t="inlineStr">
        <is>
          <t>CWCapital</t>
        </is>
      </c>
      <c r="BR676" s="69" t="n"/>
      <c r="BS676" s="73" t="n">
        <v>46276</v>
      </c>
      <c r="BU676" s="76">
        <f>IF($C676="","",IFERROR(INDEX(dmName,MATCH($C676,dmID,0)),"Unmapped"))</f>
        <v/>
      </c>
      <c r="BV676" s="76">
        <f>IF($C676="","",IFERROR(INDEX(dmEntity,MATCH($C676,dmID,0)),"Unmapped"))</f>
        <v/>
      </c>
      <c r="BW676" s="77">
        <f>IF($C676="","",IFERROR(INDEX(dmVintage,MATCH($C676,dmID,0)),""))</f>
        <v/>
      </c>
      <c r="BX676" s="78">
        <f>IFERROR(INDEX(dmInclude,MATCH($C676,dmID,0)),0)</f>
        <v/>
      </c>
      <c r="BY676" s="78">
        <f>IF(N($I676)&gt;0,1,0)</f>
        <v/>
      </c>
      <c r="BZ676" s="76">
        <f>IF($AJ676="","Other / Leased Fee",IFERROR(INDEX(mapPTGroup,MATCH(LEFT(TRIM($AJ676),2),mapPTCode,0)),"Other / Leased Fee"))</f>
        <v/>
      </c>
      <c r="CA676" s="76">
        <f>IF(TRIM($AF676&amp;"")="","NR",LEFT(TRIM($AF676),2))</f>
        <v/>
      </c>
      <c r="CB676" s="76">
        <f>IFERROR(LOOKUP(2,1/(LEFT(TRIM($AI676&amp;""),LEN(mapRegion))=mapRegion),mapRegion),"Not Reported")</f>
        <v/>
      </c>
      <c r="CC676" s="76">
        <f>IF($BY676=0,"",IF(TRIM($W676&amp;"")="REO","REO",IF(TRIM($W676&amp;"")="FC","Foreclosure",IF(TRIM($W676&amp;"")="90+","90+ Days Delinquent",IF(TRIM($W676&amp;"")="60","60 Days Delinquent",IF(TRIM($W676&amp;"")="30","30 Days Delinquent",IF($X676="Non-Performing Matured Balloon","Non-Performing Matured Balloon",IF(OR($X676="Late Payment But Less Than 30 Days Delinquent",LEFT($X676&amp;"",20)="Payment Not Received"),"Late / In Grace (&lt;30 Days)",IF($X676="Performing Matured Balloon","Performing Matured Balloon","Current")))))))))</f>
        <v/>
      </c>
      <c r="CD676" s="78">
        <f>IF(OR($CC676="REO",$CC676="Foreclosure",$CC676="90+ Days Delinquent",$CC676="60 Days Delinquent",$CC676="30 Days Delinquent",$CC676="Non-Performing Matured Balloon"),1,0)</f>
        <v/>
      </c>
      <c r="CE676" s="76">
        <f>IF($AB676="Currently special serv","Currently Specially Serviced",IF($AB676="Returned to master serv","Previously Specially Serviced","Never Specially Serviced"))</f>
        <v/>
      </c>
      <c r="CF676" s="78">
        <f>IF($CE676="Currently Specially Serviced",1,0)</f>
        <v/>
      </c>
      <c r="CG676" s="76">
        <f>IF($AA676="Yes","Currently on Watchlist",IF($AA676="Previously","Previously on Watchlist","Never on Watchlist"))</f>
        <v/>
      </c>
      <c r="CH676" s="78">
        <f>IF($CG676="Currently on Watchlist",1,0)</f>
        <v/>
      </c>
      <c r="CI676" s="76">
        <f>IF($Z676="Full Defeasance","Fully Defeased",IF($Z676="Portion Of Loan Previously Defeased","Partially Defeased",IF($Z676="Defeasance Not Allowable","Not Defeased (Not Permitted)","Not Defeased")))</f>
        <v/>
      </c>
      <c r="CJ676" s="78">
        <f>IF($CI676="Fully Defeased",1,0)</f>
        <v/>
      </c>
      <c r="CK676" s="76">
        <f>IF($R676="IO","Full IO",IF(LEFT($R676&amp;"",7)="IO then","Partial IO","Amortizing"))</f>
        <v/>
      </c>
      <c r="CL676" s="78">
        <f>IF($CK676="Full IO",1,0)</f>
        <v/>
      </c>
      <c r="CM676" s="78">
        <f>IF($CK676="Partial IO",1,0)</f>
        <v/>
      </c>
      <c r="CN676" s="76">
        <f>IF(LEFT($F676&amp;"",10)="SPLIT_LOAN","Pari Passu Split","Standalone")</f>
        <v/>
      </c>
      <c r="CO676" s="78">
        <f>IF($CN676="Pari Passu Split",1,0)</f>
        <v/>
      </c>
      <c r="CP676" s="77">
        <f>IF(ISNUMBER($T676),YEAR($T676),"")</f>
        <v/>
      </c>
      <c r="CQ676" s="79">
        <f>IF(ISNUMBER($V676),$V676,IF(ISNUMBER($U676),$U676,""))</f>
        <v/>
      </c>
      <c r="CR676" s="77">
        <f>IF(ISNUMBER($CQ676),YEAR($CQ676),"")</f>
        <v/>
      </c>
      <c r="CS676" s="78">
        <f>IF(ISNUMBER($M676),MAX(0,$M676),IF(TRIM($M676&amp;"")="matured",0,""))</f>
        <v/>
      </c>
      <c r="CT676" s="78">
        <f>IF(AND(ISNUMBER($CS676),N($CS676)&lt;=mMatWindow),1,0)</f>
        <v/>
      </c>
      <c r="CU676" s="80">
        <f>IF(ISNUMBER($J676),$J676/100,"")</f>
        <v/>
      </c>
      <c r="CV676" s="81">
        <f>IF(ISNUMBER($AQ676),$AQ676,"")</f>
        <v/>
      </c>
      <c r="CW676" s="81">
        <f>IF(ISNUMBER($AR676),$AR676,"")</f>
        <v/>
      </c>
      <c r="CX676" s="82">
        <f>IF(ISNUMBER($AS676),$AS676/100,"")</f>
        <v/>
      </c>
      <c r="CY676" s="82">
        <f>IF(ISNUMBER($AT676),$AT676/100,"")</f>
        <v/>
      </c>
      <c r="CZ676" s="82">
        <f>IF(ISNUMBER($AU676),$AU676/100,"")</f>
        <v/>
      </c>
      <c r="DA676" s="82">
        <f>IF(ISNUMBER($AV676),$AV676/100,"")</f>
        <v/>
      </c>
      <c r="DB676" s="82">
        <f>IF(ISNUMBER($AW676),$AW676/100,"")</f>
        <v/>
      </c>
      <c r="DC676" s="82">
        <f>IF(ISNUMBER($AX676),$AX676/100,"")</f>
        <v/>
      </c>
      <c r="DD676" s="77">
        <f>IFERROR(VALUE(LEFT(TRIM($AO676&amp;""),4)),"")</f>
        <v/>
      </c>
      <c r="DE676" s="78">
        <f>IF(AND($BY676=1,$BX676=1,OR(fDeal="All Deals",$BU676=fDeal),OR(fEntity="All Entities",$BV676=fEntity),OR(fPType="All Property Types",$BZ676=fPType),OR(fDefeased="Include",$CJ676=0)),1,0)</f>
        <v/>
      </c>
      <c r="DF676" s="83">
        <f>$DE676*N($I676)</f>
        <v/>
      </c>
      <c r="DG676" s="78">
        <f>IF($DE676=1,IF(COUNTIFS($F$8:$F676,$F676,$DE$8:$DE676,1)=1,1,0),0)</f>
        <v/>
      </c>
      <c r="DH676" s="83">
        <f>IF($DG676=1,SUMIFS($DF$8:$DF$1600,$F$8:$F$1600,$F676),0)</f>
        <v/>
      </c>
      <c r="DI676" s="78">
        <f>IF($DG676=1,COUNTIFS($F$8:$F$1600,$F676,$DE$8:$DE$1600,1),0)</f>
        <v/>
      </c>
      <c r="DJ676" s="84">
        <f>IF($DG676=1,$DH676+(100000-ROW())/mTieBreak,0)</f>
        <v/>
      </c>
    </row>
    <row r="677">
      <c r="B677" s="68" t="n">
        <v>2</v>
      </c>
      <c r="C677" s="69" t="inlineStr">
        <is>
          <t>UBS19C16</t>
        </is>
      </c>
      <c r="D677" s="69" t="inlineStr">
        <is>
          <t>2.000</t>
        </is>
      </c>
      <c r="E677" s="69" t="inlineStr">
        <is>
          <t>Dominion Tower</t>
        </is>
      </c>
      <c r="F677" s="69" t="inlineStr">
        <is>
          <t>SPLIT_LOAN_01480</t>
        </is>
      </c>
      <c r="G677" s="70" t="n">
        <v>1480</v>
      </c>
      <c r="H677" s="71" t="n">
        <v>46000000</v>
      </c>
      <c r="I677" s="71" t="n">
        <v>42858144.560018</v>
      </c>
      <c r="J677" s="72" t="n">
        <v>5.29</v>
      </c>
      <c r="K677" s="69" t="inlineStr">
        <is>
          <t>Fixed rate</t>
        </is>
      </c>
      <c r="L677" s="68" t="n">
        <v>120</v>
      </c>
      <c r="M677" s="68" t="n">
        <v>28</v>
      </c>
      <c r="N677" s="68" t="n">
        <v>396</v>
      </c>
      <c r="O677" s="68" t="n">
        <v>36</v>
      </c>
      <c r="P677" s="68" t="n">
        <v>0</v>
      </c>
      <c r="Q677" s="68" t="n">
        <v>92</v>
      </c>
      <c r="R677" s="69" t="inlineStr">
        <is>
          <t>IO then Amort</t>
        </is>
      </c>
      <c r="S677" s="69" t="inlineStr">
        <is>
          <t>No</t>
        </is>
      </c>
      <c r="T677" s="73" t="n">
        <v>43466</v>
      </c>
      <c r="U677" s="73" t="n">
        <v>47124</v>
      </c>
      <c r="V677" s="73" t="n"/>
      <c r="W677" s="69" t="n"/>
      <c r="X677" s="69" t="inlineStr">
        <is>
          <t>Current</t>
        </is>
      </c>
      <c r="Y677" s="68" t="n"/>
      <c r="Z677" s="69" t="inlineStr">
        <is>
          <t>No Defeasance Occurred</t>
        </is>
      </c>
      <c r="AA677" s="69" t="inlineStr">
        <is>
          <t>Previously</t>
        </is>
      </c>
      <c r="AB677" s="69" t="inlineStr">
        <is>
          <t>Currently special serv</t>
        </is>
      </c>
      <c r="AC677" s="73" t="n">
        <v>46150</v>
      </c>
      <c r="AD677" s="69" t="inlineStr">
        <is>
          <t>Imminent Non Monetary Default</t>
        </is>
      </c>
      <c r="AE677" s="69" t="inlineStr">
        <is>
          <t>Foreclosure</t>
        </is>
      </c>
      <c r="AF677" s="69" t="inlineStr">
        <is>
          <t>VA</t>
        </is>
      </c>
      <c r="AG677" s="69" t="inlineStr">
        <is>
          <t>Norfolk</t>
        </is>
      </c>
      <c r="AH677" s="69" t="inlineStr">
        <is>
          <t>Virginia Beach-Chesapeake-Norfolk, VA-NC</t>
        </is>
      </c>
      <c r="AI677" s="69" t="inlineStr">
        <is>
          <t>South / Atlantic</t>
        </is>
      </c>
      <c r="AJ677" s="69" t="inlineStr">
        <is>
          <t>OF</t>
        </is>
      </c>
      <c r="AK677" s="69" t="inlineStr">
        <is>
          <t>CBD</t>
        </is>
      </c>
      <c r="AL677" s="68" t="n">
        <v>1</v>
      </c>
      <c r="AM677" s="68" t="n"/>
      <c r="AN677" s="68" t="n">
        <v>403276</v>
      </c>
      <c r="AO677" s="69" t="inlineStr">
        <is>
          <t>1988</t>
        </is>
      </c>
      <c r="AP677" s="70" t="n">
        <v>2018</v>
      </c>
      <c r="AQ677" s="74" t="n">
        <v>1.9</v>
      </c>
      <c r="AR677" s="74" t="n">
        <v>1.37</v>
      </c>
      <c r="AS677" s="74" t="n">
        <v>70.5</v>
      </c>
      <c r="AT677" s="74" t="n">
        <v>65.7</v>
      </c>
      <c r="AU677" s="74" t="n">
        <v>62.8</v>
      </c>
      <c r="AV677" s="74" t="n">
        <v>10.189856691</v>
      </c>
      <c r="AW677" s="74" t="n">
        <v>9.807844537999999</v>
      </c>
      <c r="AX677" s="75" t="n">
        <v>65</v>
      </c>
      <c r="AY677" s="71" t="n">
        <v>87000000</v>
      </c>
      <c r="AZ677" s="71" t="n">
        <v>87000000</v>
      </c>
      <c r="BA677" s="71" t="n">
        <v>6251477.08</v>
      </c>
      <c r="BB677" s="71" t="n">
        <v>5606136.58</v>
      </c>
      <c r="BC677" s="69" t="inlineStr">
        <is>
          <t>Acquisition</t>
        </is>
      </c>
      <c r="BD677" s="69" t="inlineStr">
        <is>
          <t>N</t>
        </is>
      </c>
      <c r="BE677" s="71" t="n">
        <v>14301576.5</v>
      </c>
      <c r="BF677" s="71" t="n"/>
      <c r="BG677" s="71" t="n"/>
      <c r="BH677" s="71" t="n">
        <v>0</v>
      </c>
      <c r="BI677" s="71" t="n">
        <v>0</v>
      </c>
      <c r="BJ677" s="69" t="inlineStr">
        <is>
          <t>N</t>
        </is>
      </c>
      <c r="BK677" s="69" t="inlineStr">
        <is>
          <t>CACI Enterprise</t>
        </is>
      </c>
      <c r="BL677" s="75" t="n">
        <v>8.48</v>
      </c>
      <c r="BM677" s="73" t="n">
        <v>46265</v>
      </c>
      <c r="BN677" s="69" t="inlineStr">
        <is>
          <t>Isaac Hertz; William Zev Hertz; Sarah Hertz Gordon</t>
        </is>
      </c>
      <c r="BO677" s="69" t="inlineStr">
        <is>
          <t>Ladder Capital Finance</t>
        </is>
      </c>
      <c r="BP677" s="69" t="inlineStr">
        <is>
          <t>Midland Loan Services</t>
        </is>
      </c>
      <c r="BQ677" s="69" t="inlineStr">
        <is>
          <t>Midland Loan Services</t>
        </is>
      </c>
      <c r="BR677" s="69" t="n"/>
      <c r="BS677" s="73" t="n">
        <v>46276</v>
      </c>
      <c r="BU677" s="76">
        <f>IF($C677="","",IFERROR(INDEX(dmName,MATCH($C677,dmID,0)),"Unmapped"))</f>
        <v/>
      </c>
      <c r="BV677" s="76">
        <f>IF($C677="","",IFERROR(INDEX(dmEntity,MATCH($C677,dmID,0)),"Unmapped"))</f>
        <v/>
      </c>
      <c r="BW677" s="77">
        <f>IF($C677="","",IFERROR(INDEX(dmVintage,MATCH($C677,dmID,0)),""))</f>
        <v/>
      </c>
      <c r="BX677" s="78">
        <f>IFERROR(INDEX(dmInclude,MATCH($C677,dmID,0)),0)</f>
        <v/>
      </c>
      <c r="BY677" s="78">
        <f>IF(N($I677)&gt;0,1,0)</f>
        <v/>
      </c>
      <c r="BZ677" s="76">
        <f>IF($AJ677="","Other / Leased Fee",IFERROR(INDEX(mapPTGroup,MATCH(LEFT(TRIM($AJ677),2),mapPTCode,0)),"Other / Leased Fee"))</f>
        <v/>
      </c>
      <c r="CA677" s="76">
        <f>IF(TRIM($AF677&amp;"")="","NR",LEFT(TRIM($AF677),2))</f>
        <v/>
      </c>
      <c r="CB677" s="76">
        <f>IFERROR(LOOKUP(2,1/(LEFT(TRIM($AI677&amp;""),LEN(mapRegion))=mapRegion),mapRegion),"Not Reported")</f>
        <v/>
      </c>
      <c r="CC677" s="76">
        <f>IF($BY677=0,"",IF(TRIM($W677&amp;"")="REO","REO",IF(TRIM($W677&amp;"")="FC","Foreclosure",IF(TRIM($W677&amp;"")="90+","90+ Days Delinquent",IF(TRIM($W677&amp;"")="60","60 Days Delinquent",IF(TRIM($W677&amp;"")="30","30 Days Delinquent",IF($X677="Non-Performing Matured Balloon","Non-Performing Matured Balloon",IF(OR($X677="Late Payment But Less Than 30 Days Delinquent",LEFT($X677&amp;"",20)="Payment Not Received"),"Late / In Grace (&lt;30 Days)",IF($X677="Performing Matured Balloon","Performing Matured Balloon","Current")))))))))</f>
        <v/>
      </c>
      <c r="CD677" s="78">
        <f>IF(OR($CC677="REO",$CC677="Foreclosure",$CC677="90+ Days Delinquent",$CC677="60 Days Delinquent",$CC677="30 Days Delinquent",$CC677="Non-Performing Matured Balloon"),1,0)</f>
        <v/>
      </c>
      <c r="CE677" s="76">
        <f>IF($AB677="Currently special serv","Currently Specially Serviced",IF($AB677="Returned to master serv","Previously Specially Serviced","Never Specially Serviced"))</f>
        <v/>
      </c>
      <c r="CF677" s="78">
        <f>IF($CE677="Currently Specially Serviced",1,0)</f>
        <v/>
      </c>
      <c r="CG677" s="76">
        <f>IF($AA677="Yes","Currently on Watchlist",IF($AA677="Previously","Previously on Watchlist","Never on Watchlist"))</f>
        <v/>
      </c>
      <c r="CH677" s="78">
        <f>IF($CG677="Currently on Watchlist",1,0)</f>
        <v/>
      </c>
      <c r="CI677" s="76">
        <f>IF($Z677="Full Defeasance","Fully Defeased",IF($Z677="Portion Of Loan Previously Defeased","Partially Defeased",IF($Z677="Defeasance Not Allowable","Not Defeased (Not Permitted)","Not Defeased")))</f>
        <v/>
      </c>
      <c r="CJ677" s="78">
        <f>IF($CI677="Fully Defeased",1,0)</f>
        <v/>
      </c>
      <c r="CK677" s="76">
        <f>IF($R677="IO","Full IO",IF(LEFT($R677&amp;"",7)="IO then","Partial IO","Amortizing"))</f>
        <v/>
      </c>
      <c r="CL677" s="78">
        <f>IF($CK677="Full IO",1,0)</f>
        <v/>
      </c>
      <c r="CM677" s="78">
        <f>IF($CK677="Partial IO",1,0)</f>
        <v/>
      </c>
      <c r="CN677" s="76">
        <f>IF(LEFT($F677&amp;"",10)="SPLIT_LOAN","Pari Passu Split","Standalone")</f>
        <v/>
      </c>
      <c r="CO677" s="78">
        <f>IF($CN677="Pari Passu Split",1,0)</f>
        <v/>
      </c>
      <c r="CP677" s="77">
        <f>IF(ISNUMBER($T677),YEAR($T677),"")</f>
        <v/>
      </c>
      <c r="CQ677" s="79">
        <f>IF(ISNUMBER($V677),$V677,IF(ISNUMBER($U677),$U677,""))</f>
        <v/>
      </c>
      <c r="CR677" s="77">
        <f>IF(ISNUMBER($CQ677),YEAR($CQ677),"")</f>
        <v/>
      </c>
      <c r="CS677" s="78">
        <f>IF(ISNUMBER($M677),MAX(0,$M677),IF(TRIM($M677&amp;"")="matured",0,""))</f>
        <v/>
      </c>
      <c r="CT677" s="78">
        <f>IF(AND(ISNUMBER($CS677),N($CS677)&lt;=mMatWindow),1,0)</f>
        <v/>
      </c>
      <c r="CU677" s="80">
        <f>IF(ISNUMBER($J677),$J677/100,"")</f>
        <v/>
      </c>
      <c r="CV677" s="81">
        <f>IF(ISNUMBER($AQ677),$AQ677,"")</f>
        <v/>
      </c>
      <c r="CW677" s="81">
        <f>IF(ISNUMBER($AR677),$AR677,"")</f>
        <v/>
      </c>
      <c r="CX677" s="82">
        <f>IF(ISNUMBER($AS677),$AS677/100,"")</f>
        <v/>
      </c>
      <c r="CY677" s="82">
        <f>IF(ISNUMBER($AT677),$AT677/100,"")</f>
        <v/>
      </c>
      <c r="CZ677" s="82">
        <f>IF(ISNUMBER($AU677),$AU677/100,"")</f>
        <v/>
      </c>
      <c r="DA677" s="82">
        <f>IF(ISNUMBER($AV677),$AV677/100,"")</f>
        <v/>
      </c>
      <c r="DB677" s="82">
        <f>IF(ISNUMBER($AW677),$AW677/100,"")</f>
        <v/>
      </c>
      <c r="DC677" s="82">
        <f>IF(ISNUMBER($AX677),$AX677/100,"")</f>
        <v/>
      </c>
      <c r="DD677" s="77">
        <f>IFERROR(VALUE(LEFT(TRIM($AO677&amp;""),4)),"")</f>
        <v/>
      </c>
      <c r="DE677" s="78">
        <f>IF(AND($BY677=1,$BX677=1,OR(fDeal="All Deals",$BU677=fDeal),OR(fEntity="All Entities",$BV677=fEntity),OR(fPType="All Property Types",$BZ677=fPType),OR(fDefeased="Include",$CJ677=0)),1,0)</f>
        <v/>
      </c>
      <c r="DF677" s="83">
        <f>$DE677*N($I677)</f>
        <v/>
      </c>
      <c r="DG677" s="78">
        <f>IF($DE677=1,IF(COUNTIFS($F$8:$F677,$F677,$DE$8:$DE677,1)=1,1,0),0)</f>
        <v/>
      </c>
      <c r="DH677" s="83">
        <f>IF($DG677=1,SUMIFS($DF$8:$DF$1600,$F$8:$F$1600,$F677),0)</f>
        <v/>
      </c>
      <c r="DI677" s="78">
        <f>IF($DG677=1,COUNTIFS($F$8:$F$1600,$F677,$DE$8:$DE$1600,1),0)</f>
        <v/>
      </c>
      <c r="DJ677" s="84">
        <f>IF($DG677=1,$DH677+(100000-ROW())/mTieBreak,0)</f>
        <v/>
      </c>
    </row>
    <row r="678">
      <c r="B678" s="68" t="n">
        <v>3</v>
      </c>
      <c r="C678" s="69" t="inlineStr">
        <is>
          <t>UBS19C16</t>
        </is>
      </c>
      <c r="D678" s="69" t="inlineStr">
        <is>
          <t>3.TR</t>
        </is>
      </c>
      <c r="E678" s="69" t="inlineStr">
        <is>
          <t>SkyLoft Austin</t>
        </is>
      </c>
      <c r="F678" s="69" t="inlineStr">
        <is>
          <t>LNUBS19C16-3.000</t>
        </is>
      </c>
      <c r="G678" s="70" t="n"/>
      <c r="H678" s="71" t="n">
        <v>36000000</v>
      </c>
      <c r="I678" s="71" t="n">
        <v>36000000</v>
      </c>
      <c r="J678" s="72" t="n">
        <v>4.28263</v>
      </c>
      <c r="K678" s="69" t="inlineStr">
        <is>
          <t>Fixed rate</t>
        </is>
      </c>
      <c r="L678" s="68" t="n">
        <v>120</v>
      </c>
      <c r="M678" s="68" t="n">
        <v>30</v>
      </c>
      <c r="N678" s="68" t="n">
        <v>120</v>
      </c>
      <c r="O678" s="68" t="n">
        <v>120</v>
      </c>
      <c r="P678" s="68" t="n">
        <v>30</v>
      </c>
      <c r="Q678" s="68" t="n">
        <v>90</v>
      </c>
      <c r="R678" s="69" t="inlineStr">
        <is>
          <t>IO</t>
        </is>
      </c>
      <c r="S678" s="69" t="inlineStr">
        <is>
          <t>Yes</t>
        </is>
      </c>
      <c r="T678" s="73" t="n">
        <v>43525</v>
      </c>
      <c r="U678" s="73" t="n">
        <v>47183</v>
      </c>
      <c r="V678" s="73" t="n"/>
      <c r="W678" s="69" t="n"/>
      <c r="X678" s="69" t="inlineStr">
        <is>
          <t>Current</t>
        </is>
      </c>
      <c r="Y678" s="68" t="n"/>
      <c r="Z678" s="69" t="inlineStr">
        <is>
          <t>Defeasance Not Allowable</t>
        </is>
      </c>
      <c r="AA678" s="69" t="inlineStr">
        <is>
          <t>Previously</t>
        </is>
      </c>
      <c r="AB678" s="69" t="inlineStr">
        <is>
          <t>Returned to master serv</t>
        </is>
      </c>
      <c r="AC678" s="73" t="n"/>
      <c r="AD678" s="69" t="inlineStr">
        <is>
          <t>Other</t>
        </is>
      </c>
      <c r="AE678" s="69" t="inlineStr">
        <is>
          <t>Resolved</t>
        </is>
      </c>
      <c r="AF678" s="69" t="inlineStr">
        <is>
          <t>TX</t>
        </is>
      </c>
      <c r="AG678" s="69" t="inlineStr">
        <is>
          <t>Austin</t>
        </is>
      </c>
      <c r="AH678" s="69" t="inlineStr">
        <is>
          <t>Austin-Round Rock-San Marcos, TX</t>
        </is>
      </c>
      <c r="AI678" s="69" t="inlineStr">
        <is>
          <t>South / Central West</t>
        </is>
      </c>
      <c r="AJ678" s="69" t="inlineStr">
        <is>
          <t>MF</t>
        </is>
      </c>
      <c r="AK678" s="69" t="inlineStr">
        <is>
          <t>Student</t>
        </is>
      </c>
      <c r="AL678" s="68" t="n">
        <v>1</v>
      </c>
      <c r="AM678" s="68" t="n">
        <v>674</v>
      </c>
      <c r="AN678" s="68" t="n"/>
      <c r="AO678" s="69" t="inlineStr">
        <is>
          <t>2018</t>
        </is>
      </c>
      <c r="AP678" s="70" t="n">
        <v>2018</v>
      </c>
      <c r="AQ678" s="74" t="n">
        <v>3.87</v>
      </c>
      <c r="AR678" s="74" t="n">
        <v>2.96</v>
      </c>
      <c r="AS678" s="74" t="n">
        <v>30.1</v>
      </c>
      <c r="AT678" s="74" t="n">
        <v>30.05</v>
      </c>
      <c r="AU678" s="74" t="n">
        <v>30.1</v>
      </c>
      <c r="AV678" s="74" t="n">
        <v>16.792180556</v>
      </c>
      <c r="AW678" s="74" t="n">
        <v>13.807590111</v>
      </c>
      <c r="AX678" s="75" t="n">
        <v>87</v>
      </c>
      <c r="AY678" s="71" t="n">
        <v>119800000</v>
      </c>
      <c r="AZ678" s="71" t="n">
        <v>119800000</v>
      </c>
      <c r="BA678" s="71" t="n">
        <v>6045185</v>
      </c>
      <c r="BB678" s="71" t="n">
        <v>4622121.17</v>
      </c>
      <c r="BC678" s="69" t="inlineStr">
        <is>
          <t>Acquisition</t>
        </is>
      </c>
      <c r="BD678" s="69" t="inlineStr">
        <is>
          <t>N</t>
        </is>
      </c>
      <c r="BE678" s="71" t="n"/>
      <c r="BF678" s="71" t="n">
        <v>30125000</v>
      </c>
      <c r="BG678" s="71" t="n"/>
      <c r="BH678" s="71" t="n">
        <v>0</v>
      </c>
      <c r="BI678" s="71" t="n">
        <v>0</v>
      </c>
      <c r="BJ678" s="69" t="inlineStr">
        <is>
          <t>N</t>
        </is>
      </c>
      <c r="BK678" s="69" t="n"/>
      <c r="BL678" s="75" t="n"/>
      <c r="BM678" s="73" t="n"/>
      <c r="BN678" s="69" t="inlineStr">
        <is>
          <t>Patrick Nelson</t>
        </is>
      </c>
      <c r="BO678" s="69" t="inlineStr">
        <is>
          <t>UBS</t>
        </is>
      </c>
      <c r="BP678" s="69" t="inlineStr">
        <is>
          <t>Midland Loan Services</t>
        </is>
      </c>
      <c r="BQ678" s="69" t="inlineStr">
        <is>
          <t>Situs</t>
        </is>
      </c>
      <c r="BR678" s="69" t="n"/>
      <c r="BS678" s="73" t="n">
        <v>46276</v>
      </c>
      <c r="BU678" s="76">
        <f>IF($C678="","",IFERROR(INDEX(dmName,MATCH($C678,dmID,0)),"Unmapped"))</f>
        <v/>
      </c>
      <c r="BV678" s="76">
        <f>IF($C678="","",IFERROR(INDEX(dmEntity,MATCH($C678,dmID,0)),"Unmapped"))</f>
        <v/>
      </c>
      <c r="BW678" s="77">
        <f>IF($C678="","",IFERROR(INDEX(dmVintage,MATCH($C678,dmID,0)),""))</f>
        <v/>
      </c>
      <c r="BX678" s="78">
        <f>IFERROR(INDEX(dmInclude,MATCH($C678,dmID,0)),0)</f>
        <v/>
      </c>
      <c r="BY678" s="78">
        <f>IF(N($I678)&gt;0,1,0)</f>
        <v/>
      </c>
      <c r="BZ678" s="76">
        <f>IF($AJ678="","Other / Leased Fee",IFERROR(INDEX(mapPTGroup,MATCH(LEFT(TRIM($AJ678),2),mapPTCode,0)),"Other / Leased Fee"))</f>
        <v/>
      </c>
      <c r="CA678" s="76">
        <f>IF(TRIM($AF678&amp;"")="","NR",LEFT(TRIM($AF678),2))</f>
        <v/>
      </c>
      <c r="CB678" s="76">
        <f>IFERROR(LOOKUP(2,1/(LEFT(TRIM($AI678&amp;""),LEN(mapRegion))=mapRegion),mapRegion),"Not Reported")</f>
        <v/>
      </c>
      <c r="CC678" s="76">
        <f>IF($BY678=0,"",IF(TRIM($W678&amp;"")="REO","REO",IF(TRIM($W678&amp;"")="FC","Foreclosure",IF(TRIM($W678&amp;"")="90+","90+ Days Delinquent",IF(TRIM($W678&amp;"")="60","60 Days Delinquent",IF(TRIM($W678&amp;"")="30","30 Days Delinquent",IF($X678="Non-Performing Matured Balloon","Non-Performing Matured Balloon",IF(OR($X678="Late Payment But Less Than 30 Days Delinquent",LEFT($X678&amp;"",20)="Payment Not Received"),"Late / In Grace (&lt;30 Days)",IF($X678="Performing Matured Balloon","Performing Matured Balloon","Current")))))))))</f>
        <v/>
      </c>
      <c r="CD678" s="78">
        <f>IF(OR($CC678="REO",$CC678="Foreclosure",$CC678="90+ Days Delinquent",$CC678="60 Days Delinquent",$CC678="30 Days Delinquent",$CC678="Non-Performing Matured Balloon"),1,0)</f>
        <v/>
      </c>
      <c r="CE678" s="76">
        <f>IF($AB678="Currently special serv","Currently Specially Serviced",IF($AB678="Returned to master serv","Previously Specially Serviced","Never Specially Serviced"))</f>
        <v/>
      </c>
      <c r="CF678" s="78">
        <f>IF($CE678="Currently Specially Serviced",1,0)</f>
        <v/>
      </c>
      <c r="CG678" s="76">
        <f>IF($AA678="Yes","Currently on Watchlist",IF($AA678="Previously","Previously on Watchlist","Never on Watchlist"))</f>
        <v/>
      </c>
      <c r="CH678" s="78">
        <f>IF($CG678="Currently on Watchlist",1,0)</f>
        <v/>
      </c>
      <c r="CI678" s="76">
        <f>IF($Z678="Full Defeasance","Fully Defeased",IF($Z678="Portion Of Loan Previously Defeased","Partially Defeased",IF($Z678="Defeasance Not Allowable","Not Defeased (Not Permitted)","Not Defeased")))</f>
        <v/>
      </c>
      <c r="CJ678" s="78">
        <f>IF($CI678="Fully Defeased",1,0)</f>
        <v/>
      </c>
      <c r="CK678" s="76">
        <f>IF($R678="IO","Full IO",IF(LEFT($R678&amp;"",7)="IO then","Partial IO","Amortizing"))</f>
        <v/>
      </c>
      <c r="CL678" s="78">
        <f>IF($CK678="Full IO",1,0)</f>
        <v/>
      </c>
      <c r="CM678" s="78">
        <f>IF($CK678="Partial IO",1,0)</f>
        <v/>
      </c>
      <c r="CN678" s="76">
        <f>IF(LEFT($F678&amp;"",10)="SPLIT_LOAN","Pari Passu Split","Standalone")</f>
        <v/>
      </c>
      <c r="CO678" s="78">
        <f>IF($CN678="Pari Passu Split",1,0)</f>
        <v/>
      </c>
      <c r="CP678" s="77">
        <f>IF(ISNUMBER($T678),YEAR($T678),"")</f>
        <v/>
      </c>
      <c r="CQ678" s="79">
        <f>IF(ISNUMBER($V678),$V678,IF(ISNUMBER($U678),$U678,""))</f>
        <v/>
      </c>
      <c r="CR678" s="77">
        <f>IF(ISNUMBER($CQ678),YEAR($CQ678),"")</f>
        <v/>
      </c>
      <c r="CS678" s="78">
        <f>IF(ISNUMBER($M678),MAX(0,$M678),IF(TRIM($M678&amp;"")="matured",0,""))</f>
        <v/>
      </c>
      <c r="CT678" s="78">
        <f>IF(AND(ISNUMBER($CS678),N($CS678)&lt;=mMatWindow),1,0)</f>
        <v/>
      </c>
      <c r="CU678" s="80">
        <f>IF(ISNUMBER($J678),$J678/100,"")</f>
        <v/>
      </c>
      <c r="CV678" s="81">
        <f>IF(ISNUMBER($AQ678),$AQ678,"")</f>
        <v/>
      </c>
      <c r="CW678" s="81">
        <f>IF(ISNUMBER($AR678),$AR678,"")</f>
        <v/>
      </c>
      <c r="CX678" s="82">
        <f>IF(ISNUMBER($AS678),$AS678/100,"")</f>
        <v/>
      </c>
      <c r="CY678" s="82">
        <f>IF(ISNUMBER($AT678),$AT678/100,"")</f>
        <v/>
      </c>
      <c r="CZ678" s="82">
        <f>IF(ISNUMBER($AU678),$AU678/100,"")</f>
        <v/>
      </c>
      <c r="DA678" s="82">
        <f>IF(ISNUMBER($AV678),$AV678/100,"")</f>
        <v/>
      </c>
      <c r="DB678" s="82">
        <f>IF(ISNUMBER($AW678),$AW678/100,"")</f>
        <v/>
      </c>
      <c r="DC678" s="82">
        <f>IF(ISNUMBER($AX678),$AX678/100,"")</f>
        <v/>
      </c>
      <c r="DD678" s="77">
        <f>IFERROR(VALUE(LEFT(TRIM($AO678&amp;""),4)),"")</f>
        <v/>
      </c>
      <c r="DE678" s="78">
        <f>IF(AND($BY678=1,$BX678=1,OR(fDeal="All Deals",$BU678=fDeal),OR(fEntity="All Entities",$BV678=fEntity),OR(fPType="All Property Types",$BZ678=fPType),OR(fDefeased="Include",$CJ678=0)),1,0)</f>
        <v/>
      </c>
      <c r="DF678" s="83">
        <f>$DE678*N($I678)</f>
        <v/>
      </c>
      <c r="DG678" s="78">
        <f>IF($DE678=1,IF(COUNTIFS($F$8:$F678,$F678,$DE$8:$DE678,1)=1,1,0),0)</f>
        <v/>
      </c>
      <c r="DH678" s="83">
        <f>IF($DG678=1,SUMIFS($DF$8:$DF$1600,$F$8:$F$1600,$F678),0)</f>
        <v/>
      </c>
      <c r="DI678" s="78">
        <f>IF($DG678=1,COUNTIFS($F$8:$F$1600,$F678,$DE$8:$DE$1600,1),0)</f>
        <v/>
      </c>
      <c r="DJ678" s="84">
        <f>IF($DG678=1,$DH678+(100000-ROW())/mTieBreak,0)</f>
        <v/>
      </c>
    </row>
    <row r="679">
      <c r="B679" s="68" t="n">
        <v>4</v>
      </c>
      <c r="C679" s="69" t="inlineStr">
        <is>
          <t>UBS19C16</t>
        </is>
      </c>
      <c r="D679" s="69" t="inlineStr">
        <is>
          <t>4.000</t>
        </is>
      </c>
      <c r="E679" s="69" t="inlineStr">
        <is>
          <t>Southern Motion Industrial Portfolio</t>
        </is>
      </c>
      <c r="F679" s="69" t="inlineStr">
        <is>
          <t>SPLIT_LOAN_01497</t>
        </is>
      </c>
      <c r="G679" s="70" t="n">
        <v>1497</v>
      </c>
      <c r="H679" s="71" t="n">
        <v>31690000</v>
      </c>
      <c r="I679" s="71" t="n">
        <v>28897980.02000115</v>
      </c>
      <c r="J679" s="72" t="n">
        <v>4.8</v>
      </c>
      <c r="K679" s="69" t="inlineStr">
        <is>
          <t>Fixed rate</t>
        </is>
      </c>
      <c r="L679" s="68" t="n">
        <v>120</v>
      </c>
      <c r="M679" s="68" t="n">
        <v>31</v>
      </c>
      <c r="N679" s="68" t="n">
        <v>384</v>
      </c>
      <c r="O679" s="68" t="n">
        <v>24</v>
      </c>
      <c r="P679" s="68" t="n">
        <v>0</v>
      </c>
      <c r="Q679" s="68" t="n">
        <v>89</v>
      </c>
      <c r="R679" s="69" t="inlineStr">
        <is>
          <t>IO then Amort</t>
        </is>
      </c>
      <c r="S679" s="69" t="inlineStr">
        <is>
          <t>No</t>
        </is>
      </c>
      <c r="T679" s="73" t="n">
        <v>43556</v>
      </c>
      <c r="U679" s="73" t="n">
        <v>47214</v>
      </c>
      <c r="V679" s="73" t="n"/>
      <c r="W679" s="69" t="n"/>
      <c r="X679" s="69" t="inlineStr">
        <is>
          <t>Current</t>
        </is>
      </c>
      <c r="Y679" s="68" t="n"/>
      <c r="Z679" s="69" t="inlineStr">
        <is>
          <t>Defeasance Not Allowable</t>
        </is>
      </c>
      <c r="AA679" s="69" t="inlineStr">
        <is>
          <t>Yes</t>
        </is>
      </c>
      <c r="AB679" s="69" t="inlineStr">
        <is>
          <t>Never special serv</t>
        </is>
      </c>
      <c r="AC679" s="73" t="n"/>
      <c r="AD679" s="69" t="n"/>
      <c r="AE679" s="69" t="n"/>
      <c r="AF679" s="69" t="inlineStr">
        <is>
          <t>MS</t>
        </is>
      </c>
      <c r="AG679" s="69" t="n"/>
      <c r="AH679" s="69" t="inlineStr">
        <is>
          <t>Tupelo, MS-44.657110343%</t>
        </is>
      </c>
      <c r="AI679" s="69" t="inlineStr">
        <is>
          <t>South / Central East</t>
        </is>
      </c>
      <c r="AJ679" s="69" t="inlineStr">
        <is>
          <t>IN</t>
        </is>
      </c>
      <c r="AK679" s="69" t="inlineStr">
        <is>
          <t>Manufacturing</t>
        </is>
      </c>
      <c r="AL679" s="68" t="n">
        <v>6</v>
      </c>
      <c r="AM679" s="68" t="n"/>
      <c r="AN679" s="68" t="n">
        <v>1710330</v>
      </c>
      <c r="AO679" s="69" t="n"/>
      <c r="AP679" s="70" t="n">
        <v>2016</v>
      </c>
      <c r="AQ679" s="74" t="n">
        <v>2.24</v>
      </c>
      <c r="AR679" s="74" t="n">
        <v>0.79</v>
      </c>
      <c r="AS679" s="74" t="n">
        <v>65.59999999999999</v>
      </c>
      <c r="AT679" s="74" t="n">
        <v>61.93</v>
      </c>
      <c r="AU679" s="74" t="n">
        <v>56.5</v>
      </c>
      <c r="AV679" s="74" t="n">
        <v>10.891528808</v>
      </c>
      <c r="AW679" s="74" t="n">
        <v>4.238757474</v>
      </c>
      <c r="AX679" s="75" t="n"/>
      <c r="AY679" s="71" t="n">
        <v>63575000</v>
      </c>
      <c r="AZ679" s="71" t="n">
        <v>61390000</v>
      </c>
      <c r="BA679" s="71" t="n">
        <v>4540678.36</v>
      </c>
      <c r="BB679" s="71" t="n">
        <v>516900.58</v>
      </c>
      <c r="BC679" s="69" t="inlineStr">
        <is>
          <t>Recapitalization</t>
        </is>
      </c>
      <c r="BD679" s="69" t="inlineStr">
        <is>
          <t>N</t>
        </is>
      </c>
      <c r="BE679" s="71" t="n">
        <v>9118958.67</v>
      </c>
      <c r="BF679" s="71" t="n"/>
      <c r="BG679" s="71" t="n"/>
      <c r="BH679" s="71" t="n">
        <v>0</v>
      </c>
      <c r="BI679" s="71" t="n">
        <v>0</v>
      </c>
      <c r="BJ679" s="69" t="inlineStr">
        <is>
          <t>N</t>
        </is>
      </c>
      <c r="BK679" s="69" t="inlineStr">
        <is>
          <t>Southern Motion Inc.</t>
        </is>
      </c>
      <c r="BL679" s="75" t="n">
        <v>100</v>
      </c>
      <c r="BM679" s="73" t="n">
        <v>50770</v>
      </c>
      <c r="BN679" s="69" t="inlineStr">
        <is>
          <t>STORE Capital Corporation</t>
        </is>
      </c>
      <c r="BO679" s="69" t="inlineStr">
        <is>
          <t>UBS</t>
        </is>
      </c>
      <c r="BP679" s="69" t="inlineStr">
        <is>
          <t>Midland Loan Services</t>
        </is>
      </c>
      <c r="BQ679" s="69" t="inlineStr">
        <is>
          <t>Midland Loan Services</t>
        </is>
      </c>
      <c r="BR679" s="69" t="n"/>
      <c r="BS679" s="73" t="n">
        <v>46276</v>
      </c>
      <c r="BU679" s="76">
        <f>IF($C679="","",IFERROR(INDEX(dmName,MATCH($C679,dmID,0)),"Unmapped"))</f>
        <v/>
      </c>
      <c r="BV679" s="76">
        <f>IF($C679="","",IFERROR(INDEX(dmEntity,MATCH($C679,dmID,0)),"Unmapped"))</f>
        <v/>
      </c>
      <c r="BW679" s="77">
        <f>IF($C679="","",IFERROR(INDEX(dmVintage,MATCH($C679,dmID,0)),""))</f>
        <v/>
      </c>
      <c r="BX679" s="78">
        <f>IFERROR(INDEX(dmInclude,MATCH($C679,dmID,0)),0)</f>
        <v/>
      </c>
      <c r="BY679" s="78">
        <f>IF(N($I679)&gt;0,1,0)</f>
        <v/>
      </c>
      <c r="BZ679" s="76">
        <f>IF($AJ679="","Other / Leased Fee",IFERROR(INDEX(mapPTGroup,MATCH(LEFT(TRIM($AJ679),2),mapPTCode,0)),"Other / Leased Fee"))</f>
        <v/>
      </c>
      <c r="CA679" s="76">
        <f>IF(TRIM($AF679&amp;"")="","NR",LEFT(TRIM($AF679),2))</f>
        <v/>
      </c>
      <c r="CB679" s="76">
        <f>IFERROR(LOOKUP(2,1/(LEFT(TRIM($AI679&amp;""),LEN(mapRegion))=mapRegion),mapRegion),"Not Reported")</f>
        <v/>
      </c>
      <c r="CC679" s="76">
        <f>IF($BY679=0,"",IF(TRIM($W679&amp;"")="REO","REO",IF(TRIM($W679&amp;"")="FC","Foreclosure",IF(TRIM($W679&amp;"")="90+","90+ Days Delinquent",IF(TRIM($W679&amp;"")="60","60 Days Delinquent",IF(TRIM($W679&amp;"")="30","30 Days Delinquent",IF($X679="Non-Performing Matured Balloon","Non-Performing Matured Balloon",IF(OR($X679="Late Payment But Less Than 30 Days Delinquent",LEFT($X679&amp;"",20)="Payment Not Received"),"Late / In Grace (&lt;30 Days)",IF($X679="Performing Matured Balloon","Performing Matured Balloon","Current")))))))))</f>
        <v/>
      </c>
      <c r="CD679" s="78">
        <f>IF(OR($CC679="REO",$CC679="Foreclosure",$CC679="90+ Days Delinquent",$CC679="60 Days Delinquent",$CC679="30 Days Delinquent",$CC679="Non-Performing Matured Balloon"),1,0)</f>
        <v/>
      </c>
      <c r="CE679" s="76">
        <f>IF($AB679="Currently special serv","Currently Specially Serviced",IF($AB679="Returned to master serv","Previously Specially Serviced","Never Specially Serviced"))</f>
        <v/>
      </c>
      <c r="CF679" s="78">
        <f>IF($CE679="Currently Specially Serviced",1,0)</f>
        <v/>
      </c>
      <c r="CG679" s="76">
        <f>IF($AA679="Yes","Currently on Watchlist",IF($AA679="Previously","Previously on Watchlist","Never on Watchlist"))</f>
        <v/>
      </c>
      <c r="CH679" s="78">
        <f>IF($CG679="Currently on Watchlist",1,0)</f>
        <v/>
      </c>
      <c r="CI679" s="76">
        <f>IF($Z679="Full Defeasance","Fully Defeased",IF($Z679="Portion Of Loan Previously Defeased","Partially Defeased",IF($Z679="Defeasance Not Allowable","Not Defeased (Not Permitted)","Not Defeased")))</f>
        <v/>
      </c>
      <c r="CJ679" s="78">
        <f>IF($CI679="Fully Defeased",1,0)</f>
        <v/>
      </c>
      <c r="CK679" s="76">
        <f>IF($R679="IO","Full IO",IF(LEFT($R679&amp;"",7)="IO then","Partial IO","Amortizing"))</f>
        <v/>
      </c>
      <c r="CL679" s="78">
        <f>IF($CK679="Full IO",1,0)</f>
        <v/>
      </c>
      <c r="CM679" s="78">
        <f>IF($CK679="Partial IO",1,0)</f>
        <v/>
      </c>
      <c r="CN679" s="76">
        <f>IF(LEFT($F679&amp;"",10)="SPLIT_LOAN","Pari Passu Split","Standalone")</f>
        <v/>
      </c>
      <c r="CO679" s="78">
        <f>IF($CN679="Pari Passu Split",1,0)</f>
        <v/>
      </c>
      <c r="CP679" s="77">
        <f>IF(ISNUMBER($T679),YEAR($T679),"")</f>
        <v/>
      </c>
      <c r="CQ679" s="79">
        <f>IF(ISNUMBER($V679),$V679,IF(ISNUMBER($U679),$U679,""))</f>
        <v/>
      </c>
      <c r="CR679" s="77">
        <f>IF(ISNUMBER($CQ679),YEAR($CQ679),"")</f>
        <v/>
      </c>
      <c r="CS679" s="78">
        <f>IF(ISNUMBER($M679),MAX(0,$M679),IF(TRIM($M679&amp;"")="matured",0,""))</f>
        <v/>
      </c>
      <c r="CT679" s="78">
        <f>IF(AND(ISNUMBER($CS679),N($CS679)&lt;=mMatWindow),1,0)</f>
        <v/>
      </c>
      <c r="CU679" s="80">
        <f>IF(ISNUMBER($J679),$J679/100,"")</f>
        <v/>
      </c>
      <c r="CV679" s="81">
        <f>IF(ISNUMBER($AQ679),$AQ679,"")</f>
        <v/>
      </c>
      <c r="CW679" s="81">
        <f>IF(ISNUMBER($AR679),$AR679,"")</f>
        <v/>
      </c>
      <c r="CX679" s="82">
        <f>IF(ISNUMBER($AS679),$AS679/100,"")</f>
        <v/>
      </c>
      <c r="CY679" s="82">
        <f>IF(ISNUMBER($AT679),$AT679/100,"")</f>
        <v/>
      </c>
      <c r="CZ679" s="82">
        <f>IF(ISNUMBER($AU679),$AU679/100,"")</f>
        <v/>
      </c>
      <c r="DA679" s="82">
        <f>IF(ISNUMBER($AV679),$AV679/100,"")</f>
        <v/>
      </c>
      <c r="DB679" s="82">
        <f>IF(ISNUMBER($AW679),$AW679/100,"")</f>
        <v/>
      </c>
      <c r="DC679" s="82">
        <f>IF(ISNUMBER($AX679),$AX679/100,"")</f>
        <v/>
      </c>
      <c r="DD679" s="77">
        <f>IFERROR(VALUE(LEFT(TRIM($AO679&amp;""),4)),"")</f>
        <v/>
      </c>
      <c r="DE679" s="78">
        <f>IF(AND($BY679=1,$BX679=1,OR(fDeal="All Deals",$BU679=fDeal),OR(fEntity="All Entities",$BV679=fEntity),OR(fPType="All Property Types",$BZ679=fPType),OR(fDefeased="Include",$CJ679=0)),1,0)</f>
        <v/>
      </c>
      <c r="DF679" s="83">
        <f>$DE679*N($I679)</f>
        <v/>
      </c>
      <c r="DG679" s="78">
        <f>IF($DE679=1,IF(COUNTIFS($F$8:$F679,$F679,$DE$8:$DE679,1)=1,1,0),0)</f>
        <v/>
      </c>
      <c r="DH679" s="83">
        <f>IF($DG679=1,SUMIFS($DF$8:$DF$1600,$F$8:$F$1600,$F679),0)</f>
        <v/>
      </c>
      <c r="DI679" s="78">
        <f>IF($DG679=1,COUNTIFS($F$8:$F$1600,$F679,$DE$8:$DE$1600,1),0)</f>
        <v/>
      </c>
      <c r="DJ679" s="84">
        <f>IF($DG679=1,$DH679+(100000-ROW())/mTieBreak,0)</f>
        <v/>
      </c>
    </row>
    <row r="680">
      <c r="B680" s="68" t="n">
        <v>5</v>
      </c>
      <c r="C680" s="69" t="inlineStr">
        <is>
          <t>UBS19C16</t>
        </is>
      </c>
      <c r="D680" s="69" t="inlineStr">
        <is>
          <t>5.000</t>
        </is>
      </c>
      <c r="E680" s="69" t="inlineStr">
        <is>
          <t>Great Value Storage Portfolio</t>
        </is>
      </c>
      <c r="F680" s="69" t="inlineStr">
        <is>
          <t>SPLIT_LOAN_01462</t>
        </is>
      </c>
      <c r="G680" s="70" t="n">
        <v>1462</v>
      </c>
      <c r="H680" s="71" t="n">
        <v>30000000</v>
      </c>
      <c r="I680" s="71" t="n">
        <v>0</v>
      </c>
      <c r="J680" s="72" t="n">
        <v>4.13977</v>
      </c>
      <c r="K680" s="69" t="inlineStr">
        <is>
          <t>Fixed rate</t>
        </is>
      </c>
      <c r="L680" s="68" t="n">
        <v>60</v>
      </c>
      <c r="M680" s="68" t="n"/>
      <c r="N680" s="68" t="n">
        <v>60</v>
      </c>
      <c r="O680" s="68" t="n">
        <v>60</v>
      </c>
      <c r="P680" s="68" t="n"/>
      <c r="Q680" s="68" t="n"/>
      <c r="R680" s="69" t="inlineStr">
        <is>
          <t>IO</t>
        </is>
      </c>
      <c r="S680" s="69" t="inlineStr">
        <is>
          <t>Yes</t>
        </is>
      </c>
      <c r="T680" s="73" t="n">
        <v>43466</v>
      </c>
      <c r="U680" s="73" t="n">
        <v>45266</v>
      </c>
      <c r="V680" s="73" t="n"/>
      <c r="W680" s="69" t="n"/>
      <c r="X680" s="69" t="inlineStr">
        <is>
          <t>Current</t>
        </is>
      </c>
      <c r="Y680" s="68" t="n"/>
      <c r="Z680" s="69" t="inlineStr">
        <is>
          <t>Defeasance Not Allowable</t>
        </is>
      </c>
      <c r="AA680" s="69" t="inlineStr">
        <is>
          <t>Previously</t>
        </is>
      </c>
      <c r="AB680" s="69" t="inlineStr">
        <is>
          <t>Currently special serv</t>
        </is>
      </c>
      <c r="AC680" s="73" t="n">
        <v>44365</v>
      </c>
      <c r="AD680" s="69" t="inlineStr">
        <is>
          <t>Borrower Bankruptcy</t>
        </is>
      </c>
      <c r="AE680" s="69" t="inlineStr">
        <is>
          <t>Other</t>
        </is>
      </c>
      <c r="AF680" s="69" t="inlineStr">
        <is>
          <t>TX-51.485509134% OH-23.913036316% MS-5.326090937% IL-4.130427269% CO-3.659418202% NV-3.115954535% NY-3.079709069% MO-1.884054535% TN-1.847827268% IN-1.557972734%</t>
        </is>
      </c>
      <c r="AG680" s="69" t="n"/>
      <c r="AH680" s="69" t="inlineStr">
        <is>
          <t>Houston-Pasadena-The Woodlands, TX-32.210145455% Dallas-Fort Worth-Arlington, TX-13.224636409% Columbus, OH-12.282609075% Dayton-Kettering-Beavercreek, OH-6.304345438% Champaign-Urbana, IL-4.130427269% Denver-Aurora-Centennial, CO-3.659418202% Jackson, MS-3.550727302% Youngstown-Warren, OH-3.188400002% Las Vegas-Henderson-North Las Vegas, NV-3.115954535% Kiryas Joel-Poughkeepsie-Newburgh, NY-3.079709069% Austin-Round Rock-San Marcos, TX-2.898554535% Kansas City, MO-KS-1.884054535% Memphis, TN-MS-AR-1.847827268% Hattiesburg, MS-1.775363635% San Antonio-New Braunfels, TX-1.666663634% Indianapolis-Carmel-Greenwood, IN-1.557972734% Cincinnati, OH-KY-IN-1.123190901% Mansfield, OH-1.014490901% Brownsville-Harlingen, TX-0.543481834%</t>
        </is>
      </c>
      <c r="AI680" s="69" t="inlineStr">
        <is>
          <t>South / Central West-51.485509134% Midwest / Central East-29.601436320% South / Central East-7.173918205% West / Mountain-6.775372738% Northeast / Mid-Atlantic-3.079709069% Midwest / Central West-1.884054535%</t>
        </is>
      </c>
      <c r="AJ680" s="69" t="inlineStr">
        <is>
          <t>SS</t>
        </is>
      </c>
      <c r="AK680" s="69" t="n"/>
      <c r="AL680" s="68" t="n">
        <v>64</v>
      </c>
      <c r="AM680" s="68" t="n"/>
      <c r="AN680" s="68" t="n">
        <v>4103764</v>
      </c>
      <c r="AO680" s="69" t="n"/>
      <c r="AP680" s="70" t="n">
        <v>2017</v>
      </c>
      <c r="AQ680" s="74" t="n">
        <v>4.69</v>
      </c>
      <c r="AR680" s="74" t="n">
        <v>3.4</v>
      </c>
      <c r="AS680" s="74" t="n">
        <v>29.3</v>
      </c>
      <c r="AT680" s="74" t="n"/>
      <c r="AU680" s="74" t="n">
        <v>29.3</v>
      </c>
      <c r="AV680" s="74" t="n">
        <v>19.700909064</v>
      </c>
      <c r="AW680" s="74" t="n"/>
      <c r="AX680" s="75" t="n">
        <v>76</v>
      </c>
      <c r="AY680" s="71" t="n">
        <v>376000000</v>
      </c>
      <c r="AZ680" s="71" t="n">
        <v>326000000</v>
      </c>
      <c r="BA680" s="71" t="n">
        <v>21670999.97</v>
      </c>
      <c r="BB680" s="71" t="n">
        <v>14982290.18</v>
      </c>
      <c r="BC680" s="69" t="inlineStr">
        <is>
          <t>Refinance</t>
        </is>
      </c>
      <c r="BD680" s="69" t="inlineStr">
        <is>
          <t>N</t>
        </is>
      </c>
      <c r="BE680" s="71" t="n">
        <v>0</v>
      </c>
      <c r="BF680" s="71" t="n"/>
      <c r="BG680" s="71" t="n">
        <v>185000000</v>
      </c>
      <c r="BH680" s="71" t="n">
        <v>0</v>
      </c>
      <c r="BI680" s="71" t="n">
        <v>0</v>
      </c>
      <c r="BJ680" s="69" t="inlineStr">
        <is>
          <t>N</t>
        </is>
      </c>
      <c r="BK680" s="69" t="n"/>
      <c r="BL680" s="75" t="n"/>
      <c r="BM680" s="73" t="n"/>
      <c r="BN680" s="69" t="inlineStr">
        <is>
          <t>Natin Paul</t>
        </is>
      </c>
      <c r="BO680" s="69" t="inlineStr">
        <is>
          <t>UBS</t>
        </is>
      </c>
      <c r="BP680" s="69" t="inlineStr">
        <is>
          <t>Midland Loan Services</t>
        </is>
      </c>
      <c r="BQ680" s="69" t="inlineStr">
        <is>
          <t>Midland Loan Services</t>
        </is>
      </c>
      <c r="BR680" s="69" t="inlineStr">
        <is>
          <t>Payoff Prior To Maturity</t>
        </is>
      </c>
      <c r="BS680" s="73" t="n">
        <v>44631</v>
      </c>
      <c r="BU680" s="76">
        <f>IF($C680="","",IFERROR(INDEX(dmName,MATCH($C680,dmID,0)),"Unmapped"))</f>
        <v/>
      </c>
      <c r="BV680" s="76">
        <f>IF($C680="","",IFERROR(INDEX(dmEntity,MATCH($C680,dmID,0)),"Unmapped"))</f>
        <v/>
      </c>
      <c r="BW680" s="77">
        <f>IF($C680="","",IFERROR(INDEX(dmVintage,MATCH($C680,dmID,0)),""))</f>
        <v/>
      </c>
      <c r="BX680" s="78">
        <f>IFERROR(INDEX(dmInclude,MATCH($C680,dmID,0)),0)</f>
        <v/>
      </c>
      <c r="BY680" s="78">
        <f>IF(N($I680)&gt;0,1,0)</f>
        <v/>
      </c>
      <c r="BZ680" s="76">
        <f>IF($AJ680="","Other / Leased Fee",IFERROR(INDEX(mapPTGroup,MATCH(LEFT(TRIM($AJ680),2),mapPTCode,0)),"Other / Leased Fee"))</f>
        <v/>
      </c>
      <c r="CA680" s="76">
        <f>IF(TRIM($AF680&amp;"")="","NR",LEFT(TRIM($AF680),2))</f>
        <v/>
      </c>
      <c r="CB680" s="76">
        <f>IFERROR(LOOKUP(2,1/(LEFT(TRIM($AI680&amp;""),LEN(mapRegion))=mapRegion),mapRegion),"Not Reported")</f>
        <v/>
      </c>
      <c r="CC680" s="76">
        <f>IF($BY680=0,"",IF(TRIM($W680&amp;"")="REO","REO",IF(TRIM($W680&amp;"")="FC","Foreclosure",IF(TRIM($W680&amp;"")="90+","90+ Days Delinquent",IF(TRIM($W680&amp;"")="60","60 Days Delinquent",IF(TRIM($W680&amp;"")="30","30 Days Delinquent",IF($X680="Non-Performing Matured Balloon","Non-Performing Matured Balloon",IF(OR($X680="Late Payment But Less Than 30 Days Delinquent",LEFT($X680&amp;"",20)="Payment Not Received"),"Late / In Grace (&lt;30 Days)",IF($X680="Performing Matured Balloon","Performing Matured Balloon","Current")))))))))</f>
        <v/>
      </c>
      <c r="CD680" s="78">
        <f>IF(OR($CC680="REO",$CC680="Foreclosure",$CC680="90+ Days Delinquent",$CC680="60 Days Delinquent",$CC680="30 Days Delinquent",$CC680="Non-Performing Matured Balloon"),1,0)</f>
        <v/>
      </c>
      <c r="CE680" s="76">
        <f>IF($AB680="Currently special serv","Currently Specially Serviced",IF($AB680="Returned to master serv","Previously Specially Serviced","Never Specially Serviced"))</f>
        <v/>
      </c>
      <c r="CF680" s="78">
        <f>IF($CE680="Currently Specially Serviced",1,0)</f>
        <v/>
      </c>
      <c r="CG680" s="76">
        <f>IF($AA680="Yes","Currently on Watchlist",IF($AA680="Previously","Previously on Watchlist","Never on Watchlist"))</f>
        <v/>
      </c>
      <c r="CH680" s="78">
        <f>IF($CG680="Currently on Watchlist",1,0)</f>
        <v/>
      </c>
      <c r="CI680" s="76">
        <f>IF($Z680="Full Defeasance","Fully Defeased",IF($Z680="Portion Of Loan Previously Defeased","Partially Defeased",IF($Z680="Defeasance Not Allowable","Not Defeased (Not Permitted)","Not Defeased")))</f>
        <v/>
      </c>
      <c r="CJ680" s="78">
        <f>IF($CI680="Fully Defeased",1,0)</f>
        <v/>
      </c>
      <c r="CK680" s="76">
        <f>IF($R680="IO","Full IO",IF(LEFT($R680&amp;"",7)="IO then","Partial IO","Amortizing"))</f>
        <v/>
      </c>
      <c r="CL680" s="78">
        <f>IF($CK680="Full IO",1,0)</f>
        <v/>
      </c>
      <c r="CM680" s="78">
        <f>IF($CK680="Partial IO",1,0)</f>
        <v/>
      </c>
      <c r="CN680" s="76">
        <f>IF(LEFT($F680&amp;"",10)="SPLIT_LOAN","Pari Passu Split","Standalone")</f>
        <v/>
      </c>
      <c r="CO680" s="78">
        <f>IF($CN680="Pari Passu Split",1,0)</f>
        <v/>
      </c>
      <c r="CP680" s="77">
        <f>IF(ISNUMBER($T680),YEAR($T680),"")</f>
        <v/>
      </c>
      <c r="CQ680" s="79">
        <f>IF(ISNUMBER($V680),$V680,IF(ISNUMBER($U680),$U680,""))</f>
        <v/>
      </c>
      <c r="CR680" s="77">
        <f>IF(ISNUMBER($CQ680),YEAR($CQ680),"")</f>
        <v/>
      </c>
      <c r="CS680" s="78">
        <f>IF(ISNUMBER($M680),MAX(0,$M680),IF(TRIM($M680&amp;"")="matured",0,""))</f>
        <v/>
      </c>
      <c r="CT680" s="78">
        <f>IF(AND(ISNUMBER($CS680),N($CS680)&lt;=mMatWindow),1,0)</f>
        <v/>
      </c>
      <c r="CU680" s="80">
        <f>IF(ISNUMBER($J680),$J680/100,"")</f>
        <v/>
      </c>
      <c r="CV680" s="81">
        <f>IF(ISNUMBER($AQ680),$AQ680,"")</f>
        <v/>
      </c>
      <c r="CW680" s="81">
        <f>IF(ISNUMBER($AR680),$AR680,"")</f>
        <v/>
      </c>
      <c r="CX680" s="82">
        <f>IF(ISNUMBER($AS680),$AS680/100,"")</f>
        <v/>
      </c>
      <c r="CY680" s="82">
        <f>IF(ISNUMBER($AT680),$AT680/100,"")</f>
        <v/>
      </c>
      <c r="CZ680" s="82">
        <f>IF(ISNUMBER($AU680),$AU680/100,"")</f>
        <v/>
      </c>
      <c r="DA680" s="82">
        <f>IF(ISNUMBER($AV680),$AV680/100,"")</f>
        <v/>
      </c>
      <c r="DB680" s="82">
        <f>IF(ISNUMBER($AW680),$AW680/100,"")</f>
        <v/>
      </c>
      <c r="DC680" s="82">
        <f>IF(ISNUMBER($AX680),$AX680/100,"")</f>
        <v/>
      </c>
      <c r="DD680" s="77">
        <f>IFERROR(VALUE(LEFT(TRIM($AO680&amp;""),4)),"")</f>
        <v/>
      </c>
      <c r="DE680" s="78">
        <f>IF(AND($BY680=1,$BX680=1,OR(fDeal="All Deals",$BU680=fDeal),OR(fEntity="All Entities",$BV680=fEntity),OR(fPType="All Property Types",$BZ680=fPType),OR(fDefeased="Include",$CJ680=0)),1,0)</f>
        <v/>
      </c>
      <c r="DF680" s="83">
        <f>$DE680*N($I680)</f>
        <v/>
      </c>
      <c r="DG680" s="78">
        <f>IF($DE680=1,IF(COUNTIFS($F$8:$F680,$F680,$DE$8:$DE680,1)=1,1,0),0)</f>
        <v/>
      </c>
      <c r="DH680" s="83">
        <f>IF($DG680=1,SUMIFS($DF$8:$DF$1600,$F$8:$F$1600,$F680),0)</f>
        <v/>
      </c>
      <c r="DI680" s="78">
        <f>IF($DG680=1,COUNTIFS($F$8:$F$1600,$F680,$DE$8:$DE$1600,1),0)</f>
        <v/>
      </c>
      <c r="DJ680" s="84">
        <f>IF($DG680=1,$DH680+(100000-ROW())/mTieBreak,0)</f>
        <v/>
      </c>
    </row>
    <row r="681">
      <c r="B681" s="68" t="n">
        <v>6</v>
      </c>
      <c r="C681" s="69" t="inlineStr">
        <is>
          <t>UBS19C16</t>
        </is>
      </c>
      <c r="D681" s="69" t="inlineStr">
        <is>
          <t>6.000</t>
        </is>
      </c>
      <c r="E681" s="69" t="inlineStr">
        <is>
          <t>FIGO Multi-State MF Portfolio II</t>
        </is>
      </c>
      <c r="F681" s="69" t="inlineStr">
        <is>
          <t>LNUBS19C16-6.000</t>
        </is>
      </c>
      <c r="G681" s="70" t="n"/>
      <c r="H681" s="71" t="n">
        <v>28200000</v>
      </c>
      <c r="I681" s="71" t="n">
        <v>25892156.5400106</v>
      </c>
      <c r="J681" s="72" t="n">
        <v>5.305</v>
      </c>
      <c r="K681" s="69" t="inlineStr">
        <is>
          <t>Fixed rate</t>
        </is>
      </c>
      <c r="L681" s="68" t="n">
        <v>120</v>
      </c>
      <c r="M681" s="68" t="n">
        <v>30</v>
      </c>
      <c r="N681" s="68" t="n">
        <v>384</v>
      </c>
      <c r="O681" s="68" t="n">
        <v>24</v>
      </c>
      <c r="P681" s="68" t="n">
        <v>0</v>
      </c>
      <c r="Q681" s="68" t="n">
        <v>90</v>
      </c>
      <c r="R681" s="69" t="inlineStr">
        <is>
          <t>IO then Amort</t>
        </is>
      </c>
      <c r="S681" s="69" t="inlineStr">
        <is>
          <t>No</t>
        </is>
      </c>
      <c r="T681" s="73" t="n">
        <v>43525</v>
      </c>
      <c r="U681" s="73" t="n">
        <v>47183</v>
      </c>
      <c r="V681" s="73" t="n"/>
      <c r="W681" s="69" t="n"/>
      <c r="X681" s="69" t="inlineStr">
        <is>
          <t>Current</t>
        </is>
      </c>
      <c r="Y681" s="68" t="n"/>
      <c r="Z681" s="69" t="inlineStr">
        <is>
          <t>No Defeasance Occurred</t>
        </is>
      </c>
      <c r="AA681" s="69" t="inlineStr">
        <is>
          <t>Yes</t>
        </is>
      </c>
      <c r="AB681" s="69" t="inlineStr">
        <is>
          <t>Never special serv</t>
        </is>
      </c>
      <c r="AC681" s="73" t="n"/>
      <c r="AD681" s="69" t="n"/>
      <c r="AE681" s="69" t="n"/>
      <c r="AF681" s="69" t="inlineStr">
        <is>
          <t>OH-57.359301383% GA-23.719535482% IN-18.921163135%</t>
        </is>
      </c>
      <c r="AG681" s="69" t="n"/>
      <c r="AH681" s="69" t="inlineStr">
        <is>
          <t>Columbus, OH-30.105226944% Akron, OH-27.254074439% Atlanta-Sandy Springs-Roswell, GA-13.713021289% Indianapolis-Carmel-Greenwood, IN-10.571195044% Hinesville, GA-10.006514193% Richmond, IN-8.349968091%</t>
        </is>
      </c>
      <c r="AI681" s="69" t="inlineStr">
        <is>
          <t>Midwest / Central East-76.280464518% South / Atlantic-23.719535482%</t>
        </is>
      </c>
      <c r="AJ681" s="69" t="inlineStr">
        <is>
          <t>MF</t>
        </is>
      </c>
      <c r="AK681" s="69" t="inlineStr">
        <is>
          <t>Garden</t>
        </is>
      </c>
      <c r="AL681" s="68" t="n">
        <v>7</v>
      </c>
      <c r="AM681" s="68" t="n">
        <v>567</v>
      </c>
      <c r="AN681" s="68" t="n"/>
      <c r="AO681" s="69" t="n"/>
      <c r="AP681" s="70" t="n">
        <v>1986</v>
      </c>
      <c r="AQ681" s="74" t="n">
        <v>1.68</v>
      </c>
      <c r="AR681" s="74" t="n">
        <v>1.88</v>
      </c>
      <c r="AS681" s="74" t="n">
        <v>69.8</v>
      </c>
      <c r="AT681" s="74" t="n">
        <v>67.45999999999999</v>
      </c>
      <c r="AU681" s="74" t="n">
        <v>60.9</v>
      </c>
      <c r="AV681" s="74" t="n">
        <v>9.011385816000001</v>
      </c>
      <c r="AW681" s="74" t="n">
        <v>13.625942878</v>
      </c>
      <c r="AX681" s="75" t="n">
        <v>88.59999999999999</v>
      </c>
      <c r="AY681" s="71" t="n">
        <v>40400000</v>
      </c>
      <c r="AZ681" s="71" t="n">
        <v>38380000</v>
      </c>
      <c r="BA681" s="71" t="n">
        <v>2541210.8</v>
      </c>
      <c r="BB681" s="71" t="n">
        <v>3528050.46</v>
      </c>
      <c r="BC681" s="69" t="inlineStr">
        <is>
          <t>Refinance</t>
        </is>
      </c>
      <c r="BD681" s="69" t="inlineStr">
        <is>
          <t>N</t>
        </is>
      </c>
      <c r="BE681" s="71" t="n"/>
      <c r="BF681" s="71" t="n"/>
      <c r="BG681" s="71" t="n"/>
      <c r="BH681" s="71" t="n">
        <v>0</v>
      </c>
      <c r="BI681" s="71" t="n">
        <v>0</v>
      </c>
      <c r="BJ681" s="69" t="inlineStr">
        <is>
          <t>N</t>
        </is>
      </c>
      <c r="BK681" s="69" t="n"/>
      <c r="BL681" s="75" t="n"/>
      <c r="BM681" s="73" t="n"/>
      <c r="BN681" s="69" t="inlineStr">
        <is>
          <t>Arbor Realty SR, Inc.</t>
        </is>
      </c>
      <c r="BO681" s="69" t="inlineStr">
        <is>
          <t>Cantor Commercial Real Estate Lending</t>
        </is>
      </c>
      <c r="BP681" s="69" t="inlineStr">
        <is>
          <t>Midland Loan Services</t>
        </is>
      </c>
      <c r="BQ681" s="69" t="inlineStr">
        <is>
          <t>Midland Loan Services</t>
        </is>
      </c>
      <c r="BR681" s="69" t="n"/>
      <c r="BS681" s="73" t="n">
        <v>46276</v>
      </c>
      <c r="BU681" s="76">
        <f>IF($C681="","",IFERROR(INDEX(dmName,MATCH($C681,dmID,0)),"Unmapped"))</f>
        <v/>
      </c>
      <c r="BV681" s="76">
        <f>IF($C681="","",IFERROR(INDEX(dmEntity,MATCH($C681,dmID,0)),"Unmapped"))</f>
        <v/>
      </c>
      <c r="BW681" s="77">
        <f>IF($C681="","",IFERROR(INDEX(dmVintage,MATCH($C681,dmID,0)),""))</f>
        <v/>
      </c>
      <c r="BX681" s="78">
        <f>IFERROR(INDEX(dmInclude,MATCH($C681,dmID,0)),0)</f>
        <v/>
      </c>
      <c r="BY681" s="78">
        <f>IF(N($I681)&gt;0,1,0)</f>
        <v/>
      </c>
      <c r="BZ681" s="76">
        <f>IF($AJ681="","Other / Leased Fee",IFERROR(INDEX(mapPTGroup,MATCH(LEFT(TRIM($AJ681),2),mapPTCode,0)),"Other / Leased Fee"))</f>
        <v/>
      </c>
      <c r="CA681" s="76">
        <f>IF(TRIM($AF681&amp;"")="","NR",LEFT(TRIM($AF681),2))</f>
        <v/>
      </c>
      <c r="CB681" s="76">
        <f>IFERROR(LOOKUP(2,1/(LEFT(TRIM($AI681&amp;""),LEN(mapRegion))=mapRegion),mapRegion),"Not Reported")</f>
        <v/>
      </c>
      <c r="CC681" s="76">
        <f>IF($BY681=0,"",IF(TRIM($W681&amp;"")="REO","REO",IF(TRIM($W681&amp;"")="FC","Foreclosure",IF(TRIM($W681&amp;"")="90+","90+ Days Delinquent",IF(TRIM($W681&amp;"")="60","60 Days Delinquent",IF(TRIM($W681&amp;"")="30","30 Days Delinquent",IF($X681="Non-Performing Matured Balloon","Non-Performing Matured Balloon",IF(OR($X681="Late Payment But Less Than 30 Days Delinquent",LEFT($X681&amp;"",20)="Payment Not Received"),"Late / In Grace (&lt;30 Days)",IF($X681="Performing Matured Balloon","Performing Matured Balloon","Current")))))))))</f>
        <v/>
      </c>
      <c r="CD681" s="78">
        <f>IF(OR($CC681="REO",$CC681="Foreclosure",$CC681="90+ Days Delinquent",$CC681="60 Days Delinquent",$CC681="30 Days Delinquent",$CC681="Non-Performing Matured Balloon"),1,0)</f>
        <v/>
      </c>
      <c r="CE681" s="76">
        <f>IF($AB681="Currently special serv","Currently Specially Serviced",IF($AB681="Returned to master serv","Previously Specially Serviced","Never Specially Serviced"))</f>
        <v/>
      </c>
      <c r="CF681" s="78">
        <f>IF($CE681="Currently Specially Serviced",1,0)</f>
        <v/>
      </c>
      <c r="CG681" s="76">
        <f>IF($AA681="Yes","Currently on Watchlist",IF($AA681="Previously","Previously on Watchlist","Never on Watchlist"))</f>
        <v/>
      </c>
      <c r="CH681" s="78">
        <f>IF($CG681="Currently on Watchlist",1,0)</f>
        <v/>
      </c>
      <c r="CI681" s="76">
        <f>IF($Z681="Full Defeasance","Fully Defeased",IF($Z681="Portion Of Loan Previously Defeased","Partially Defeased",IF($Z681="Defeasance Not Allowable","Not Defeased (Not Permitted)","Not Defeased")))</f>
        <v/>
      </c>
      <c r="CJ681" s="78">
        <f>IF($CI681="Fully Defeased",1,0)</f>
        <v/>
      </c>
      <c r="CK681" s="76">
        <f>IF($R681="IO","Full IO",IF(LEFT($R681&amp;"",7)="IO then","Partial IO","Amortizing"))</f>
        <v/>
      </c>
      <c r="CL681" s="78">
        <f>IF($CK681="Full IO",1,0)</f>
        <v/>
      </c>
      <c r="CM681" s="78">
        <f>IF($CK681="Partial IO",1,0)</f>
        <v/>
      </c>
      <c r="CN681" s="76">
        <f>IF(LEFT($F681&amp;"",10)="SPLIT_LOAN","Pari Passu Split","Standalone")</f>
        <v/>
      </c>
      <c r="CO681" s="78">
        <f>IF($CN681="Pari Passu Split",1,0)</f>
        <v/>
      </c>
      <c r="CP681" s="77">
        <f>IF(ISNUMBER($T681),YEAR($T681),"")</f>
        <v/>
      </c>
      <c r="CQ681" s="79">
        <f>IF(ISNUMBER($V681),$V681,IF(ISNUMBER($U681),$U681,""))</f>
        <v/>
      </c>
      <c r="CR681" s="77">
        <f>IF(ISNUMBER($CQ681),YEAR($CQ681),"")</f>
        <v/>
      </c>
      <c r="CS681" s="78">
        <f>IF(ISNUMBER($M681),MAX(0,$M681),IF(TRIM($M681&amp;"")="matured",0,""))</f>
        <v/>
      </c>
      <c r="CT681" s="78">
        <f>IF(AND(ISNUMBER($CS681),N($CS681)&lt;=mMatWindow),1,0)</f>
        <v/>
      </c>
      <c r="CU681" s="80">
        <f>IF(ISNUMBER($J681),$J681/100,"")</f>
        <v/>
      </c>
      <c r="CV681" s="81">
        <f>IF(ISNUMBER($AQ681),$AQ681,"")</f>
        <v/>
      </c>
      <c r="CW681" s="81">
        <f>IF(ISNUMBER($AR681),$AR681,"")</f>
        <v/>
      </c>
      <c r="CX681" s="82">
        <f>IF(ISNUMBER($AS681),$AS681/100,"")</f>
        <v/>
      </c>
      <c r="CY681" s="82">
        <f>IF(ISNUMBER($AT681),$AT681/100,"")</f>
        <v/>
      </c>
      <c r="CZ681" s="82">
        <f>IF(ISNUMBER($AU681),$AU681/100,"")</f>
        <v/>
      </c>
      <c r="DA681" s="82">
        <f>IF(ISNUMBER($AV681),$AV681/100,"")</f>
        <v/>
      </c>
      <c r="DB681" s="82">
        <f>IF(ISNUMBER($AW681),$AW681/100,"")</f>
        <v/>
      </c>
      <c r="DC681" s="82">
        <f>IF(ISNUMBER($AX681),$AX681/100,"")</f>
        <v/>
      </c>
      <c r="DD681" s="77">
        <f>IFERROR(VALUE(LEFT(TRIM($AO681&amp;""),4)),"")</f>
        <v/>
      </c>
      <c r="DE681" s="78">
        <f>IF(AND($BY681=1,$BX681=1,OR(fDeal="All Deals",$BU681=fDeal),OR(fEntity="All Entities",$BV681=fEntity),OR(fPType="All Property Types",$BZ681=fPType),OR(fDefeased="Include",$CJ681=0)),1,0)</f>
        <v/>
      </c>
      <c r="DF681" s="83">
        <f>$DE681*N($I681)</f>
        <v/>
      </c>
      <c r="DG681" s="78">
        <f>IF($DE681=1,IF(COUNTIFS($F$8:$F681,$F681,$DE$8:$DE681,1)=1,1,0),0)</f>
        <v/>
      </c>
      <c r="DH681" s="83">
        <f>IF($DG681=1,SUMIFS($DF$8:$DF$1600,$F$8:$F$1600,$F681),0)</f>
        <v/>
      </c>
      <c r="DI681" s="78">
        <f>IF($DG681=1,COUNTIFS($F$8:$F$1600,$F681,$DE$8:$DE$1600,1),0)</f>
        <v/>
      </c>
      <c r="DJ681" s="84">
        <f>IF($DG681=1,$DH681+(100000-ROW())/mTieBreak,0)</f>
        <v/>
      </c>
    </row>
    <row r="682">
      <c r="B682" s="68" t="n">
        <v>7</v>
      </c>
      <c r="C682" s="69" t="inlineStr">
        <is>
          <t>UBS19C16</t>
        </is>
      </c>
      <c r="D682" s="69" t="inlineStr">
        <is>
          <t>7.000</t>
        </is>
      </c>
      <c r="E682" s="69" t="inlineStr">
        <is>
          <t>Heartland Dental Medical Office Portfolio</t>
        </is>
      </c>
      <c r="F682" s="69" t="inlineStr">
        <is>
          <t>SPLIT_LOAN_01441</t>
        </is>
      </c>
      <c r="G682" s="70" t="n">
        <v>1441</v>
      </c>
      <c r="H682" s="71" t="n">
        <v>25000000</v>
      </c>
      <c r="I682" s="71" t="n">
        <v>0</v>
      </c>
      <c r="J682" s="72" t="n">
        <v>5.7</v>
      </c>
      <c r="K682" s="69" t="inlineStr">
        <is>
          <t>Fixed rate</t>
        </is>
      </c>
      <c r="L682" s="68" t="n">
        <v>120</v>
      </c>
      <c r="M682" s="68" t="n"/>
      <c r="N682" s="68" t="n">
        <v>360</v>
      </c>
      <c r="O682" s="68" t="n"/>
      <c r="P682" s="68" t="n"/>
      <c r="Q682" s="68" t="n"/>
      <c r="R682" s="69" t="n"/>
      <c r="S682" s="69" t="inlineStr">
        <is>
          <t>No</t>
        </is>
      </c>
      <c r="T682" s="73" t="n">
        <v>43405</v>
      </c>
      <c r="U682" s="73" t="n">
        <v>47063</v>
      </c>
      <c r="V682" s="73" t="n"/>
      <c r="W682" s="69" t="n"/>
      <c r="X682" s="69" t="inlineStr">
        <is>
          <t>Current</t>
        </is>
      </c>
      <c r="Y682" s="68" t="n"/>
      <c r="Z682" s="69" t="inlineStr">
        <is>
          <t>Defeasance Not Allowable</t>
        </is>
      </c>
      <c r="AA682" s="69" t="n"/>
      <c r="AB682" s="69" t="inlineStr">
        <is>
          <t>Never special serv</t>
        </is>
      </c>
      <c r="AC682" s="73" t="n"/>
      <c r="AD682" s="69" t="n"/>
      <c r="AE682" s="69" t="n"/>
      <c r="AF682" s="69" t="inlineStr">
        <is>
          <t>FL-23.082631520% IL-18.127512400% SC-7.594692480% MO-7.357656520% GA-6.919362880% IN-6.588182800% TX-6.295440440% TN-5.955207760% OK-2.496842120% KY-1.993246560% MD-1.618526320% AZ-1.428631600% WI-1.419806080% AL-1.397102520% OH-1.381828280% VA-1.220482000% AR-1.184803320% NE-1.090210560% MI-0.901080320% CO-0.842581720% KS-0.451130200% MN-0.274249320% NH-0.190027720% NM-0.188764560%</t>
        </is>
      </c>
      <c r="AG682" s="69" t="n"/>
      <c r="AH682" s="69" t="inlineStr">
        <is>
          <t>Chicago-Naperville-Elgin, IL-IN-6.405429320% Orlando-Kissimmee-Sanford, FL-6.212138440% Effingham, IL-5.687955680% St. Louis, MO-IL-5.329423800% Jacksonville, FL-5.288764520% Nashville-Davidson--Murfreesboro--Franklin, TN-4.979811600% Atlanta-Sandy Springs-Roswell, GA-4.189445960% Dallas-Fort Worth-Arlington, TX-2.991423800% Kansas City, MO-KS-2.855096960% Indianapolis-Carmel-Greenwood, IN-2.660858720% Springfield, IL-2.154991680% Tampa-St. Petersburg-Clearwater, FL-1.698997240% Port St. Lucie, FL-1.646714720% Washington-Arlington-Alexandria, DC-VA-MD-WV-1.642498600% Columbia, SC-1.631811640% Charlotte-Concord-Gastonia, NC-SC-1.546155120% Lakeland-Winter Haven, FL-1.537285320% Tulsa, OK-1.489412760% Cape Coral-Fort Myers, FL-1.428853160% Phoenix-Mesa-Chandler, AZ-1.428631600% North Port-Bradenton-Sarasota, FL-1.425185600% Greenville-Anderson-Greer, SC-1.421180040% Warner Robins, GA-1.418072040% Deltona-Daytona Beach-Ormond Beach, FL-1.362747920% Lafayette-West Lafayette, IN-1.235728560% Omaha, NE-IA-1.090210560% Myrtle Beach-Conway-North Myrtle Beach, SC-1.084304680% Granbury, TX-1.014919680% Birmingham, AL-1.013401680% Oklahoma City, OK-1.007429360% St. Joseph, MO-KS-1.002470920% Memphis, TN-MS-AR-0.975396160% Detroit-Warren-Dearborn, MI-0.901080320% Naples-Marco Island, FL-0.880476440% Fayetteville-Springdale-Rogers, AR-0.850055400% Bowling Green, KY-0.849756240% Boulder, CO-0.842581720% Charleston-North Charleston, SC-0.824459840% Peoria, IL-0.773030480% Austin-Round Rock-San Marcos, TX-0.749518000% Ocala, FL-0.710060960% Abilene, TX-0.683446000% Virginia Beach-Chesapeake-Norfolk, VA-NC-0.667734080% Bloomington, IL-0.666398880% Green Bay, WI-0.632548480% Tallahassee, FL-0.608554000% Cincinnati, OH-KY-IN-0.590947360% Lexington-Fayette, KY-0.574687000% Gainesville, GA-0.568925200% Ottawa, IL-0.556044320% Fort Wayne, IN-0.547878120% Lexington Park, MD-0.528775640% Augusta-Richmond County, GA-SC-0.497623280% Toledo, OH-0.496764560% Champaign-Urbana, IL-0.496182840% Richmond, IN-0.481983360% Houston-Pasadena-The Woodlands, TX-0.476891960% Charleston-Mattoon, IL-0.449939040% Greencastle, IN-0.433767320% Wausau, WI-0.403324080% South Bend-Mishawaka, IN-MI-0.402332400% Kokomo, IN-0.384969520% Scottsboro, AL-0.383700840% San Antonio-New Braunfels, TX-0.379241000% Spartanburg, SC-0.375002760% Arkadelphia, AR-0.334747920% Mount Sterling, KY-0.307396120% Akron, OH-0.294116360% Palm Bay-Melbourne-Titusville, FL-0.282853200% Worthington, MN-0.274249320% Columbus, GA-AL-0.267590040% LaGrange, GA-AL-0.261440440% Corbin, KY-0.261407200% Brunswick-St. Simons, GA-0.213889200% Boston-Cambridge-Newton, MA-NH-0.190027720% Albuquerque, NM-0.188764560%</t>
        </is>
      </c>
      <c r="AI682" s="69" t="inlineStr">
        <is>
          <t>South / Atlantic-40.435695200% Midwest / Central East-27.040204920% Midwest / Central West-10.551451560% South / Central West-9.977085880% South / Central East-9.345556840% West / Mountain-2.459977880% Northeast / New England-0.190027720%</t>
        </is>
      </c>
      <c r="AJ682" s="69" t="inlineStr">
        <is>
          <t>OF-82.170925200% MX-17.829074800%</t>
        </is>
      </c>
      <c r="AK682" s="69" t="n"/>
      <c r="AL682" s="68" t="n">
        <v>169</v>
      </c>
      <c r="AM682" s="68" t="n"/>
      <c r="AN682" s="68" t="n">
        <v>962501</v>
      </c>
      <c r="AO682" s="69" t="n"/>
      <c r="AP682" s="70" t="n">
        <v>2018</v>
      </c>
      <c r="AQ682" s="74" t="n">
        <v>1.59</v>
      </c>
      <c r="AR682" s="74" t="n">
        <v>1.63</v>
      </c>
      <c r="AS682" s="74" t="n">
        <v>55.2</v>
      </c>
      <c r="AT682" s="74" t="n"/>
      <c r="AU682" s="74" t="n">
        <v>46.6</v>
      </c>
      <c r="AV682" s="74" t="n">
        <v>11.081851213</v>
      </c>
      <c r="AW682" s="74" t="n"/>
      <c r="AX682" s="75" t="n">
        <v>96</v>
      </c>
      <c r="AY682" s="71" t="n">
        <v>325235000</v>
      </c>
      <c r="AZ682" s="71" t="n">
        <v>325235000</v>
      </c>
      <c r="BA682" s="71" t="n">
        <v>20002741.44</v>
      </c>
      <c r="BB682" s="71" t="n">
        <v>20449480.12</v>
      </c>
      <c r="BC682" s="69" t="inlineStr">
        <is>
          <t>Refinance</t>
        </is>
      </c>
      <c r="BD682" s="69" t="inlineStr">
        <is>
          <t>N</t>
        </is>
      </c>
      <c r="BE682" s="71" t="n">
        <v>0</v>
      </c>
      <c r="BF682" s="71" t="n"/>
      <c r="BG682" s="71" t="n"/>
      <c r="BH682" s="71" t="n">
        <v>0</v>
      </c>
      <c r="BI682" s="71" t="n">
        <v>0</v>
      </c>
      <c r="BJ682" s="69" t="inlineStr">
        <is>
          <t>N</t>
        </is>
      </c>
      <c r="BK682" s="69" t="inlineStr">
        <is>
          <t>HD home office</t>
        </is>
      </c>
      <c r="BL682" s="75" t="n">
        <v>8.75</v>
      </c>
      <c r="BM682" s="73" t="n">
        <v>46904</v>
      </c>
      <c r="BN682" s="69" t="inlineStr">
        <is>
          <t>Richard Eugene Workman</t>
        </is>
      </c>
      <c r="BO682" s="69" t="inlineStr">
        <is>
          <t>UBS</t>
        </is>
      </c>
      <c r="BP682" s="69" t="inlineStr">
        <is>
          <t>Midland Loan Services</t>
        </is>
      </c>
      <c r="BQ682" s="69" t="inlineStr">
        <is>
          <t>Rialto Capital</t>
        </is>
      </c>
      <c r="BR682" s="69" t="inlineStr">
        <is>
          <t>Payoff With Yield Maintenance</t>
        </is>
      </c>
      <c r="BS682" s="73" t="n">
        <v>44879</v>
      </c>
      <c r="BU682" s="76">
        <f>IF($C682="","",IFERROR(INDEX(dmName,MATCH($C682,dmID,0)),"Unmapped"))</f>
        <v/>
      </c>
      <c r="BV682" s="76">
        <f>IF($C682="","",IFERROR(INDEX(dmEntity,MATCH($C682,dmID,0)),"Unmapped"))</f>
        <v/>
      </c>
      <c r="BW682" s="77">
        <f>IF($C682="","",IFERROR(INDEX(dmVintage,MATCH($C682,dmID,0)),""))</f>
        <v/>
      </c>
      <c r="BX682" s="78">
        <f>IFERROR(INDEX(dmInclude,MATCH($C682,dmID,0)),0)</f>
        <v/>
      </c>
      <c r="BY682" s="78">
        <f>IF(N($I682)&gt;0,1,0)</f>
        <v/>
      </c>
      <c r="BZ682" s="76">
        <f>IF($AJ682="","Other / Leased Fee",IFERROR(INDEX(mapPTGroup,MATCH(LEFT(TRIM($AJ682),2),mapPTCode,0)),"Other / Leased Fee"))</f>
        <v/>
      </c>
      <c r="CA682" s="76">
        <f>IF(TRIM($AF682&amp;"")="","NR",LEFT(TRIM($AF682),2))</f>
        <v/>
      </c>
      <c r="CB682" s="76">
        <f>IFERROR(LOOKUP(2,1/(LEFT(TRIM($AI682&amp;""),LEN(mapRegion))=mapRegion),mapRegion),"Not Reported")</f>
        <v/>
      </c>
      <c r="CC682" s="76">
        <f>IF($BY682=0,"",IF(TRIM($W682&amp;"")="REO","REO",IF(TRIM($W682&amp;"")="FC","Foreclosure",IF(TRIM($W682&amp;"")="90+","90+ Days Delinquent",IF(TRIM($W682&amp;"")="60","60 Days Delinquent",IF(TRIM($W682&amp;"")="30","30 Days Delinquent",IF($X682="Non-Performing Matured Balloon","Non-Performing Matured Balloon",IF(OR($X682="Late Payment But Less Than 30 Days Delinquent",LEFT($X682&amp;"",20)="Payment Not Received"),"Late / In Grace (&lt;30 Days)",IF($X682="Performing Matured Balloon","Performing Matured Balloon","Current")))))))))</f>
        <v/>
      </c>
      <c r="CD682" s="78">
        <f>IF(OR($CC682="REO",$CC682="Foreclosure",$CC682="90+ Days Delinquent",$CC682="60 Days Delinquent",$CC682="30 Days Delinquent",$CC682="Non-Performing Matured Balloon"),1,0)</f>
        <v/>
      </c>
      <c r="CE682" s="76">
        <f>IF($AB682="Currently special serv","Currently Specially Serviced",IF($AB682="Returned to master serv","Previously Specially Serviced","Never Specially Serviced"))</f>
        <v/>
      </c>
      <c r="CF682" s="78">
        <f>IF($CE682="Currently Specially Serviced",1,0)</f>
        <v/>
      </c>
      <c r="CG682" s="76">
        <f>IF($AA682="Yes","Currently on Watchlist",IF($AA682="Previously","Previously on Watchlist","Never on Watchlist"))</f>
        <v/>
      </c>
      <c r="CH682" s="78">
        <f>IF($CG682="Currently on Watchlist",1,0)</f>
        <v/>
      </c>
      <c r="CI682" s="76">
        <f>IF($Z682="Full Defeasance","Fully Defeased",IF($Z682="Portion Of Loan Previously Defeased","Partially Defeased",IF($Z682="Defeasance Not Allowable","Not Defeased (Not Permitted)","Not Defeased")))</f>
        <v/>
      </c>
      <c r="CJ682" s="78">
        <f>IF($CI682="Fully Defeased",1,0)</f>
        <v/>
      </c>
      <c r="CK682" s="76">
        <f>IF($R682="IO","Full IO",IF(LEFT($R682&amp;"",7)="IO then","Partial IO","Amortizing"))</f>
        <v/>
      </c>
      <c r="CL682" s="78">
        <f>IF($CK682="Full IO",1,0)</f>
        <v/>
      </c>
      <c r="CM682" s="78">
        <f>IF($CK682="Partial IO",1,0)</f>
        <v/>
      </c>
      <c r="CN682" s="76">
        <f>IF(LEFT($F682&amp;"",10)="SPLIT_LOAN","Pari Passu Split","Standalone")</f>
        <v/>
      </c>
      <c r="CO682" s="78">
        <f>IF($CN682="Pari Passu Split",1,0)</f>
        <v/>
      </c>
      <c r="CP682" s="77">
        <f>IF(ISNUMBER($T682),YEAR($T682),"")</f>
        <v/>
      </c>
      <c r="CQ682" s="79">
        <f>IF(ISNUMBER($V682),$V682,IF(ISNUMBER($U682),$U682,""))</f>
        <v/>
      </c>
      <c r="CR682" s="77">
        <f>IF(ISNUMBER($CQ682),YEAR($CQ682),"")</f>
        <v/>
      </c>
      <c r="CS682" s="78">
        <f>IF(ISNUMBER($M682),MAX(0,$M682),IF(TRIM($M682&amp;"")="matured",0,""))</f>
        <v/>
      </c>
      <c r="CT682" s="78">
        <f>IF(AND(ISNUMBER($CS682),N($CS682)&lt;=mMatWindow),1,0)</f>
        <v/>
      </c>
      <c r="CU682" s="80">
        <f>IF(ISNUMBER($J682),$J682/100,"")</f>
        <v/>
      </c>
      <c r="CV682" s="81">
        <f>IF(ISNUMBER($AQ682),$AQ682,"")</f>
        <v/>
      </c>
      <c r="CW682" s="81">
        <f>IF(ISNUMBER($AR682),$AR682,"")</f>
        <v/>
      </c>
      <c r="CX682" s="82">
        <f>IF(ISNUMBER($AS682),$AS682/100,"")</f>
        <v/>
      </c>
      <c r="CY682" s="82">
        <f>IF(ISNUMBER($AT682),$AT682/100,"")</f>
        <v/>
      </c>
      <c r="CZ682" s="82">
        <f>IF(ISNUMBER($AU682),$AU682/100,"")</f>
        <v/>
      </c>
      <c r="DA682" s="82">
        <f>IF(ISNUMBER($AV682),$AV682/100,"")</f>
        <v/>
      </c>
      <c r="DB682" s="82">
        <f>IF(ISNUMBER($AW682),$AW682/100,"")</f>
        <v/>
      </c>
      <c r="DC682" s="82">
        <f>IF(ISNUMBER($AX682),$AX682/100,"")</f>
        <v/>
      </c>
      <c r="DD682" s="77">
        <f>IFERROR(VALUE(LEFT(TRIM($AO682&amp;""),4)),"")</f>
        <v/>
      </c>
      <c r="DE682" s="78">
        <f>IF(AND($BY682=1,$BX682=1,OR(fDeal="All Deals",$BU682=fDeal),OR(fEntity="All Entities",$BV682=fEntity),OR(fPType="All Property Types",$BZ682=fPType),OR(fDefeased="Include",$CJ682=0)),1,0)</f>
        <v/>
      </c>
      <c r="DF682" s="83">
        <f>$DE682*N($I682)</f>
        <v/>
      </c>
      <c r="DG682" s="78">
        <f>IF($DE682=1,IF(COUNTIFS($F$8:$F682,$F682,$DE$8:$DE682,1)=1,1,0),0)</f>
        <v/>
      </c>
      <c r="DH682" s="83">
        <f>IF($DG682=1,SUMIFS($DF$8:$DF$1600,$F$8:$F$1600,$F682),0)</f>
        <v/>
      </c>
      <c r="DI682" s="78">
        <f>IF($DG682=1,COUNTIFS($F$8:$F$1600,$F682,$DE$8:$DE$1600,1),0)</f>
        <v/>
      </c>
      <c r="DJ682" s="84">
        <f>IF($DG682=1,$DH682+(100000-ROW())/mTieBreak,0)</f>
        <v/>
      </c>
    </row>
    <row r="683">
      <c r="B683" s="68" t="n">
        <v>8</v>
      </c>
      <c r="C683" s="69" t="inlineStr">
        <is>
          <t>UBS19C16</t>
        </is>
      </c>
      <c r="D683" s="69" t="inlineStr">
        <is>
          <t>8.000</t>
        </is>
      </c>
      <c r="E683" s="69" t="inlineStr">
        <is>
          <t>ILPT Hawaii Portfolio</t>
        </is>
      </c>
      <c r="F683" s="69" t="inlineStr">
        <is>
          <t>SPLIT_LOAN_01485</t>
        </is>
      </c>
      <c r="G683" s="70" t="n">
        <v>1485</v>
      </c>
      <c r="H683" s="71" t="n">
        <v>23000000</v>
      </c>
      <c r="I683" s="71" t="n">
        <v>23000000</v>
      </c>
      <c r="J683" s="72" t="n">
        <v>4.31</v>
      </c>
      <c r="K683" s="69" t="inlineStr">
        <is>
          <t>Fixed rate</t>
        </is>
      </c>
      <c r="L683" s="68" t="n">
        <v>120</v>
      </c>
      <c r="M683" s="68" t="n">
        <v>29</v>
      </c>
      <c r="N683" s="68" t="n">
        <v>120</v>
      </c>
      <c r="O683" s="68" t="n">
        <v>120</v>
      </c>
      <c r="P683" s="68" t="n">
        <v>29</v>
      </c>
      <c r="Q683" s="68" t="n">
        <v>91</v>
      </c>
      <c r="R683" s="69" t="inlineStr">
        <is>
          <t>IO</t>
        </is>
      </c>
      <c r="S683" s="69" t="inlineStr">
        <is>
          <t>Yes</t>
        </is>
      </c>
      <c r="T683" s="73" t="n">
        <v>43497</v>
      </c>
      <c r="U683" s="73" t="n">
        <v>47156</v>
      </c>
      <c r="V683" s="73" t="n"/>
      <c r="W683" s="69" t="n"/>
      <c r="X683" s="69" t="inlineStr">
        <is>
          <t>Current</t>
        </is>
      </c>
      <c r="Y683" s="68" t="n"/>
      <c r="Z683" s="69" t="inlineStr">
        <is>
          <t>No Defeasance Occurred</t>
        </is>
      </c>
      <c r="AA683" s="69" t="inlineStr">
        <is>
          <t>Yes</t>
        </is>
      </c>
      <c r="AB683" s="69" t="inlineStr">
        <is>
          <t>Never special serv</t>
        </is>
      </c>
      <c r="AC683" s="73" t="n"/>
      <c r="AD683" s="69" t="n"/>
      <c r="AE683" s="69" t="n"/>
      <c r="AF683" s="69" t="inlineStr">
        <is>
          <t>HI</t>
        </is>
      </c>
      <c r="AG683" s="69" t="inlineStr">
        <is>
          <t>Honolulu</t>
        </is>
      </c>
      <c r="AH683" s="69" t="inlineStr">
        <is>
          <t>Urban Honolulu, HI</t>
        </is>
      </c>
      <c r="AI683" s="69" t="inlineStr">
        <is>
          <t>West / Pacific South</t>
        </is>
      </c>
      <c r="AJ683" s="69" t="inlineStr">
        <is>
          <t>OT-94.753727458% IN-5.246272542%</t>
        </is>
      </c>
      <c r="AK683" s="69" t="n"/>
      <c r="AL683" s="68" t="n">
        <v>186</v>
      </c>
      <c r="AM683" s="68" t="n"/>
      <c r="AN683" s="68" t="n">
        <v>9591512</v>
      </c>
      <c r="AO683" s="69" t="n"/>
      <c r="AP683" s="70" t="n">
        <v>2015</v>
      </c>
      <c r="AQ683" s="74" t="n">
        <v>2.4</v>
      </c>
      <c r="AR683" s="74" t="n">
        <v>2.85</v>
      </c>
      <c r="AS683" s="74" t="n">
        <v>45.2</v>
      </c>
      <c r="AT683" s="74" t="n">
        <v>45.17</v>
      </c>
      <c r="AU683" s="74" t="n">
        <v>45.2</v>
      </c>
      <c r="AV683" s="74" t="n">
        <v>10.493213692</v>
      </c>
      <c r="AW683" s="74" t="n">
        <v>11.215825895</v>
      </c>
      <c r="AX683" s="75" t="n">
        <v>100</v>
      </c>
      <c r="AY683" s="71" t="n">
        <v>1439117000</v>
      </c>
      <c r="AZ683" s="71" t="n">
        <v>1439117000</v>
      </c>
      <c r="BA683" s="71" t="n">
        <v>68205889</v>
      </c>
      <c r="BB683" s="71" t="n">
        <v>75906198.38</v>
      </c>
      <c r="BC683" s="69" t="inlineStr">
        <is>
          <t>Recapitalization</t>
        </is>
      </c>
      <c r="BD683" s="69" t="inlineStr">
        <is>
          <t>N</t>
        </is>
      </c>
      <c r="BE683" s="71" t="n">
        <v>627000000</v>
      </c>
      <c r="BF683" s="71" t="n"/>
      <c r="BG683" s="71" t="n"/>
      <c r="BH683" s="71" t="n">
        <v>0</v>
      </c>
      <c r="BI683" s="71" t="n">
        <v>0</v>
      </c>
      <c r="BJ683" s="69" t="inlineStr">
        <is>
          <t>N</t>
        </is>
      </c>
      <c r="BK683" s="69" t="inlineStr">
        <is>
          <t>Servco Pacific Inc.</t>
        </is>
      </c>
      <c r="BL683" s="75" t="n">
        <v>6.01</v>
      </c>
      <c r="BM683" s="73" t="n">
        <v>48638</v>
      </c>
      <c r="BN683" s="69" t="inlineStr">
        <is>
          <t>Industrial Logistics Properties Trust</t>
        </is>
      </c>
      <c r="BO683" s="69" t="inlineStr">
        <is>
          <t>UBS / Morgan Stanley / Citigroup / JPMorgan Chase</t>
        </is>
      </c>
      <c r="BP683" s="69" t="inlineStr">
        <is>
          <t>Midland Loan Services</t>
        </is>
      </c>
      <c r="BQ683" s="69" t="inlineStr">
        <is>
          <t>Rialto Capital</t>
        </is>
      </c>
      <c r="BR683" s="69" t="n"/>
      <c r="BS683" s="73" t="n">
        <v>46276</v>
      </c>
      <c r="BU683" s="76">
        <f>IF($C683="","",IFERROR(INDEX(dmName,MATCH($C683,dmID,0)),"Unmapped"))</f>
        <v/>
      </c>
      <c r="BV683" s="76">
        <f>IF($C683="","",IFERROR(INDEX(dmEntity,MATCH($C683,dmID,0)),"Unmapped"))</f>
        <v/>
      </c>
      <c r="BW683" s="77">
        <f>IF($C683="","",IFERROR(INDEX(dmVintage,MATCH($C683,dmID,0)),""))</f>
        <v/>
      </c>
      <c r="BX683" s="78">
        <f>IFERROR(INDEX(dmInclude,MATCH($C683,dmID,0)),0)</f>
        <v/>
      </c>
      <c r="BY683" s="78">
        <f>IF(N($I683)&gt;0,1,0)</f>
        <v/>
      </c>
      <c r="BZ683" s="76">
        <f>IF($AJ683="","Other / Leased Fee",IFERROR(INDEX(mapPTGroup,MATCH(LEFT(TRIM($AJ683),2),mapPTCode,0)),"Other / Leased Fee"))</f>
        <v/>
      </c>
      <c r="CA683" s="76">
        <f>IF(TRIM($AF683&amp;"")="","NR",LEFT(TRIM($AF683),2))</f>
        <v/>
      </c>
      <c r="CB683" s="76">
        <f>IFERROR(LOOKUP(2,1/(LEFT(TRIM($AI683&amp;""),LEN(mapRegion))=mapRegion),mapRegion),"Not Reported")</f>
        <v/>
      </c>
      <c r="CC683" s="76">
        <f>IF($BY683=0,"",IF(TRIM($W683&amp;"")="REO","REO",IF(TRIM($W683&amp;"")="FC","Foreclosure",IF(TRIM($W683&amp;"")="90+","90+ Days Delinquent",IF(TRIM($W683&amp;"")="60","60 Days Delinquent",IF(TRIM($W683&amp;"")="30","30 Days Delinquent",IF($X683="Non-Performing Matured Balloon","Non-Performing Matured Balloon",IF(OR($X683="Late Payment But Less Than 30 Days Delinquent",LEFT($X683&amp;"",20)="Payment Not Received"),"Late / In Grace (&lt;30 Days)",IF($X683="Performing Matured Balloon","Performing Matured Balloon","Current")))))))))</f>
        <v/>
      </c>
      <c r="CD683" s="78">
        <f>IF(OR($CC683="REO",$CC683="Foreclosure",$CC683="90+ Days Delinquent",$CC683="60 Days Delinquent",$CC683="30 Days Delinquent",$CC683="Non-Performing Matured Balloon"),1,0)</f>
        <v/>
      </c>
      <c r="CE683" s="76">
        <f>IF($AB683="Currently special serv","Currently Specially Serviced",IF($AB683="Returned to master serv","Previously Specially Serviced","Never Specially Serviced"))</f>
        <v/>
      </c>
      <c r="CF683" s="78">
        <f>IF($CE683="Currently Specially Serviced",1,0)</f>
        <v/>
      </c>
      <c r="CG683" s="76">
        <f>IF($AA683="Yes","Currently on Watchlist",IF($AA683="Previously","Previously on Watchlist","Never on Watchlist"))</f>
        <v/>
      </c>
      <c r="CH683" s="78">
        <f>IF($CG683="Currently on Watchlist",1,0)</f>
        <v/>
      </c>
      <c r="CI683" s="76">
        <f>IF($Z683="Full Defeasance","Fully Defeased",IF($Z683="Portion Of Loan Previously Defeased","Partially Defeased",IF($Z683="Defeasance Not Allowable","Not Defeased (Not Permitted)","Not Defeased")))</f>
        <v/>
      </c>
      <c r="CJ683" s="78">
        <f>IF($CI683="Fully Defeased",1,0)</f>
        <v/>
      </c>
      <c r="CK683" s="76">
        <f>IF($R683="IO","Full IO",IF(LEFT($R683&amp;"",7)="IO then","Partial IO","Amortizing"))</f>
        <v/>
      </c>
      <c r="CL683" s="78">
        <f>IF($CK683="Full IO",1,0)</f>
        <v/>
      </c>
      <c r="CM683" s="78">
        <f>IF($CK683="Partial IO",1,0)</f>
        <v/>
      </c>
      <c r="CN683" s="76">
        <f>IF(LEFT($F683&amp;"",10)="SPLIT_LOAN","Pari Passu Split","Standalone")</f>
        <v/>
      </c>
      <c r="CO683" s="78">
        <f>IF($CN683="Pari Passu Split",1,0)</f>
        <v/>
      </c>
      <c r="CP683" s="77">
        <f>IF(ISNUMBER($T683),YEAR($T683),"")</f>
        <v/>
      </c>
      <c r="CQ683" s="79">
        <f>IF(ISNUMBER($V683),$V683,IF(ISNUMBER($U683),$U683,""))</f>
        <v/>
      </c>
      <c r="CR683" s="77">
        <f>IF(ISNUMBER($CQ683),YEAR($CQ683),"")</f>
        <v/>
      </c>
      <c r="CS683" s="78">
        <f>IF(ISNUMBER($M683),MAX(0,$M683),IF(TRIM($M683&amp;"")="matured",0,""))</f>
        <v/>
      </c>
      <c r="CT683" s="78">
        <f>IF(AND(ISNUMBER($CS683),N($CS683)&lt;=mMatWindow),1,0)</f>
        <v/>
      </c>
      <c r="CU683" s="80">
        <f>IF(ISNUMBER($J683),$J683/100,"")</f>
        <v/>
      </c>
      <c r="CV683" s="81">
        <f>IF(ISNUMBER($AQ683),$AQ683,"")</f>
        <v/>
      </c>
      <c r="CW683" s="81">
        <f>IF(ISNUMBER($AR683),$AR683,"")</f>
        <v/>
      </c>
      <c r="CX683" s="82">
        <f>IF(ISNUMBER($AS683),$AS683/100,"")</f>
        <v/>
      </c>
      <c r="CY683" s="82">
        <f>IF(ISNUMBER($AT683),$AT683/100,"")</f>
        <v/>
      </c>
      <c r="CZ683" s="82">
        <f>IF(ISNUMBER($AU683),$AU683/100,"")</f>
        <v/>
      </c>
      <c r="DA683" s="82">
        <f>IF(ISNUMBER($AV683),$AV683/100,"")</f>
        <v/>
      </c>
      <c r="DB683" s="82">
        <f>IF(ISNUMBER($AW683),$AW683/100,"")</f>
        <v/>
      </c>
      <c r="DC683" s="82">
        <f>IF(ISNUMBER($AX683),$AX683/100,"")</f>
        <v/>
      </c>
      <c r="DD683" s="77">
        <f>IFERROR(VALUE(LEFT(TRIM($AO683&amp;""),4)),"")</f>
        <v/>
      </c>
      <c r="DE683" s="78">
        <f>IF(AND($BY683=1,$BX683=1,OR(fDeal="All Deals",$BU683=fDeal),OR(fEntity="All Entities",$BV683=fEntity),OR(fPType="All Property Types",$BZ683=fPType),OR(fDefeased="Include",$CJ683=0)),1,0)</f>
        <v/>
      </c>
      <c r="DF683" s="83">
        <f>$DE683*N($I683)</f>
        <v/>
      </c>
      <c r="DG683" s="78">
        <f>IF($DE683=1,IF(COUNTIFS($F$8:$F683,$F683,$DE$8:$DE683,1)=1,1,0),0)</f>
        <v/>
      </c>
      <c r="DH683" s="83">
        <f>IF($DG683=1,SUMIFS($DF$8:$DF$1600,$F$8:$F$1600,$F683),0)</f>
        <v/>
      </c>
      <c r="DI683" s="78">
        <f>IF($DG683=1,COUNTIFS($F$8:$F$1600,$F683,$DE$8:$DE$1600,1),0)</f>
        <v/>
      </c>
      <c r="DJ683" s="84">
        <f>IF($DG683=1,$DH683+(100000-ROW())/mTieBreak,0)</f>
        <v/>
      </c>
    </row>
    <row r="684">
      <c r="B684" s="68" t="n">
        <v>9</v>
      </c>
      <c r="C684" s="69" t="inlineStr">
        <is>
          <t>UBS19C16</t>
        </is>
      </c>
      <c r="D684" s="69" t="inlineStr">
        <is>
          <t>9.000</t>
        </is>
      </c>
      <c r="E684" s="69" t="inlineStr">
        <is>
          <t>The Block Northway</t>
        </is>
      </c>
      <c r="F684" s="69" t="inlineStr">
        <is>
          <t>SPLIT_LOAN_01498</t>
        </is>
      </c>
      <c r="G684" s="70" t="n">
        <v>1498</v>
      </c>
      <c r="H684" s="71" t="n">
        <v>23000000</v>
      </c>
      <c r="I684" s="71" t="n">
        <v>22107571.839996</v>
      </c>
      <c r="J684" s="72" t="n">
        <v>4.6495</v>
      </c>
      <c r="K684" s="69" t="inlineStr">
        <is>
          <t>Fixed rate</t>
        </is>
      </c>
      <c r="L684" s="68" t="n">
        <v>120</v>
      </c>
      <c r="M684" s="68" t="n">
        <v>30</v>
      </c>
      <c r="N684" s="68" t="n">
        <v>420</v>
      </c>
      <c r="O684" s="68" t="n">
        <v>60</v>
      </c>
      <c r="P684" s="68" t="n">
        <v>0</v>
      </c>
      <c r="Q684" s="68" t="n">
        <v>90</v>
      </c>
      <c r="R684" s="69" t="inlineStr">
        <is>
          <t>IO then Amort</t>
        </is>
      </c>
      <c r="S684" s="69" t="inlineStr">
        <is>
          <t>No</t>
        </is>
      </c>
      <c r="T684" s="73" t="n">
        <v>43525</v>
      </c>
      <c r="U684" s="73" t="n">
        <v>47183</v>
      </c>
      <c r="V684" s="73" t="n"/>
      <c r="W684" s="69" t="n"/>
      <c r="X684" s="69" t="inlineStr">
        <is>
          <t>Current</t>
        </is>
      </c>
      <c r="Y684" s="68" t="n"/>
      <c r="Z684" s="69" t="inlineStr">
        <is>
          <t>Defeasance Not Allowable</t>
        </is>
      </c>
      <c r="AA684" s="69" t="inlineStr">
        <is>
          <t>Yes</t>
        </is>
      </c>
      <c r="AB684" s="69" t="inlineStr">
        <is>
          <t>Never special serv</t>
        </is>
      </c>
      <c r="AC684" s="73" t="n"/>
      <c r="AD684" s="69" t="n"/>
      <c r="AE684" s="69" t="n"/>
      <c r="AF684" s="69" t="inlineStr">
        <is>
          <t>PA</t>
        </is>
      </c>
      <c r="AG684" s="69" t="inlineStr">
        <is>
          <t>Pittsburgh</t>
        </is>
      </c>
      <c r="AH684" s="69" t="inlineStr">
        <is>
          <t>Pittsburgh, PA</t>
        </is>
      </c>
      <c r="AI684" s="69" t="inlineStr">
        <is>
          <t>Northeast / Mid-Atlantic</t>
        </is>
      </c>
      <c r="AJ684" s="69" t="inlineStr">
        <is>
          <t>RT</t>
        </is>
      </c>
      <c r="AK684" s="69" t="inlineStr">
        <is>
          <t>Anchored</t>
        </is>
      </c>
      <c r="AL684" s="68" t="n">
        <v>1</v>
      </c>
      <c r="AM684" s="68" t="n"/>
      <c r="AN684" s="68" t="n">
        <v>354400</v>
      </c>
      <c r="AO684" s="69" t="inlineStr">
        <is>
          <t>1958</t>
        </is>
      </c>
      <c r="AP684" s="70" t="n">
        <v>2018</v>
      </c>
      <c r="AQ684" s="74" t="n">
        <v>1.84</v>
      </c>
      <c r="AR684" s="74" t="n">
        <v>1.34</v>
      </c>
      <c r="AS684" s="74" t="n">
        <v>68.59999999999999</v>
      </c>
      <c r="AT684" s="74" t="n">
        <v>65.91</v>
      </c>
      <c r="AU684" s="74" t="n">
        <v>62.9</v>
      </c>
      <c r="AV684" s="74" t="n">
        <v>8.678056939999999</v>
      </c>
      <c r="AW684" s="74" t="n">
        <v>8.226529203</v>
      </c>
      <c r="AX684" s="75" t="n">
        <v>83</v>
      </c>
      <c r="AY684" s="71" t="n">
        <v>122500000</v>
      </c>
      <c r="AZ684" s="71" t="n">
        <v>122500000</v>
      </c>
      <c r="BA684" s="71" t="n">
        <v>7289567.83</v>
      </c>
      <c r="BB684" s="71" t="n">
        <v>6943615.58</v>
      </c>
      <c r="BC684" s="69" t="inlineStr">
        <is>
          <t>Refinance</t>
        </is>
      </c>
      <c r="BD684" s="69" t="inlineStr">
        <is>
          <t>N</t>
        </is>
      </c>
      <c r="BE684" s="71" t="n">
        <v>58633125.31</v>
      </c>
      <c r="BF684" s="71" t="n"/>
      <c r="BG684" s="71" t="n"/>
      <c r="BH684" s="71" t="n">
        <v>0</v>
      </c>
      <c r="BI684" s="71" t="n">
        <v>0</v>
      </c>
      <c r="BJ684" s="69" t="inlineStr">
        <is>
          <t>N</t>
        </is>
      </c>
      <c r="BK684" s="69" t="inlineStr">
        <is>
          <t>Nordstrom</t>
        </is>
      </c>
      <c r="BL684" s="75" t="n">
        <v>11.38</v>
      </c>
      <c r="BM684" s="73" t="n">
        <v>46996</v>
      </c>
      <c r="BN684" s="69" t="inlineStr">
        <is>
          <t>Lawrence B. Levey; Lawrence B. Levey Trust (First Restatement)</t>
        </is>
      </c>
      <c r="BO684" s="69" t="inlineStr">
        <is>
          <t>UBS</t>
        </is>
      </c>
      <c r="BP684" s="69" t="inlineStr">
        <is>
          <t>Midland Loan Services</t>
        </is>
      </c>
      <c r="BQ684" s="69" t="inlineStr">
        <is>
          <t>K-Star Asset Management LLC</t>
        </is>
      </c>
      <c r="BR684" s="69" t="n"/>
      <c r="BS684" s="73" t="n">
        <v>46276</v>
      </c>
      <c r="BU684" s="76">
        <f>IF($C684="","",IFERROR(INDEX(dmName,MATCH($C684,dmID,0)),"Unmapped"))</f>
        <v/>
      </c>
      <c r="BV684" s="76">
        <f>IF($C684="","",IFERROR(INDEX(dmEntity,MATCH($C684,dmID,0)),"Unmapped"))</f>
        <v/>
      </c>
      <c r="BW684" s="77">
        <f>IF($C684="","",IFERROR(INDEX(dmVintage,MATCH($C684,dmID,0)),""))</f>
        <v/>
      </c>
      <c r="BX684" s="78">
        <f>IFERROR(INDEX(dmInclude,MATCH($C684,dmID,0)),0)</f>
        <v/>
      </c>
      <c r="BY684" s="78">
        <f>IF(N($I684)&gt;0,1,0)</f>
        <v/>
      </c>
      <c r="BZ684" s="76">
        <f>IF($AJ684="","Other / Leased Fee",IFERROR(INDEX(mapPTGroup,MATCH(LEFT(TRIM($AJ684),2),mapPTCode,0)),"Other / Leased Fee"))</f>
        <v/>
      </c>
      <c r="CA684" s="76">
        <f>IF(TRIM($AF684&amp;"")="","NR",LEFT(TRIM($AF684),2))</f>
        <v/>
      </c>
      <c r="CB684" s="76">
        <f>IFERROR(LOOKUP(2,1/(LEFT(TRIM($AI684&amp;""),LEN(mapRegion))=mapRegion),mapRegion),"Not Reported")</f>
        <v/>
      </c>
      <c r="CC684" s="76">
        <f>IF($BY684=0,"",IF(TRIM($W684&amp;"")="REO","REO",IF(TRIM($W684&amp;"")="FC","Foreclosure",IF(TRIM($W684&amp;"")="90+","90+ Days Delinquent",IF(TRIM($W684&amp;"")="60","60 Days Delinquent",IF(TRIM($W684&amp;"")="30","30 Days Delinquent",IF($X684="Non-Performing Matured Balloon","Non-Performing Matured Balloon",IF(OR($X684="Late Payment But Less Than 30 Days Delinquent",LEFT($X684&amp;"",20)="Payment Not Received"),"Late / In Grace (&lt;30 Days)",IF($X684="Performing Matured Balloon","Performing Matured Balloon","Current")))))))))</f>
        <v/>
      </c>
      <c r="CD684" s="78">
        <f>IF(OR($CC684="REO",$CC684="Foreclosure",$CC684="90+ Days Delinquent",$CC684="60 Days Delinquent",$CC684="30 Days Delinquent",$CC684="Non-Performing Matured Balloon"),1,0)</f>
        <v/>
      </c>
      <c r="CE684" s="76">
        <f>IF($AB684="Currently special serv","Currently Specially Serviced",IF($AB684="Returned to master serv","Previously Specially Serviced","Never Specially Serviced"))</f>
        <v/>
      </c>
      <c r="CF684" s="78">
        <f>IF($CE684="Currently Specially Serviced",1,0)</f>
        <v/>
      </c>
      <c r="CG684" s="76">
        <f>IF($AA684="Yes","Currently on Watchlist",IF($AA684="Previously","Previously on Watchlist","Never on Watchlist"))</f>
        <v/>
      </c>
      <c r="CH684" s="78">
        <f>IF($CG684="Currently on Watchlist",1,0)</f>
        <v/>
      </c>
      <c r="CI684" s="76">
        <f>IF($Z684="Full Defeasance","Fully Defeased",IF($Z684="Portion Of Loan Previously Defeased","Partially Defeased",IF($Z684="Defeasance Not Allowable","Not Defeased (Not Permitted)","Not Defeased")))</f>
        <v/>
      </c>
      <c r="CJ684" s="78">
        <f>IF($CI684="Fully Defeased",1,0)</f>
        <v/>
      </c>
      <c r="CK684" s="76">
        <f>IF($R684="IO","Full IO",IF(LEFT($R684&amp;"",7)="IO then","Partial IO","Amortizing"))</f>
        <v/>
      </c>
      <c r="CL684" s="78">
        <f>IF($CK684="Full IO",1,0)</f>
        <v/>
      </c>
      <c r="CM684" s="78">
        <f>IF($CK684="Partial IO",1,0)</f>
        <v/>
      </c>
      <c r="CN684" s="76">
        <f>IF(LEFT($F684&amp;"",10)="SPLIT_LOAN","Pari Passu Split","Standalone")</f>
        <v/>
      </c>
      <c r="CO684" s="78">
        <f>IF($CN684="Pari Passu Split",1,0)</f>
        <v/>
      </c>
      <c r="CP684" s="77">
        <f>IF(ISNUMBER($T684),YEAR($T684),"")</f>
        <v/>
      </c>
      <c r="CQ684" s="79">
        <f>IF(ISNUMBER($V684),$V684,IF(ISNUMBER($U684),$U684,""))</f>
        <v/>
      </c>
      <c r="CR684" s="77">
        <f>IF(ISNUMBER($CQ684),YEAR($CQ684),"")</f>
        <v/>
      </c>
      <c r="CS684" s="78">
        <f>IF(ISNUMBER($M684),MAX(0,$M684),IF(TRIM($M684&amp;"")="matured",0,""))</f>
        <v/>
      </c>
      <c r="CT684" s="78">
        <f>IF(AND(ISNUMBER($CS684),N($CS684)&lt;=mMatWindow),1,0)</f>
        <v/>
      </c>
      <c r="CU684" s="80">
        <f>IF(ISNUMBER($J684),$J684/100,"")</f>
        <v/>
      </c>
      <c r="CV684" s="81">
        <f>IF(ISNUMBER($AQ684),$AQ684,"")</f>
        <v/>
      </c>
      <c r="CW684" s="81">
        <f>IF(ISNUMBER($AR684),$AR684,"")</f>
        <v/>
      </c>
      <c r="CX684" s="82">
        <f>IF(ISNUMBER($AS684),$AS684/100,"")</f>
        <v/>
      </c>
      <c r="CY684" s="82">
        <f>IF(ISNUMBER($AT684),$AT684/100,"")</f>
        <v/>
      </c>
      <c r="CZ684" s="82">
        <f>IF(ISNUMBER($AU684),$AU684/100,"")</f>
        <v/>
      </c>
      <c r="DA684" s="82">
        <f>IF(ISNUMBER($AV684),$AV684/100,"")</f>
        <v/>
      </c>
      <c r="DB684" s="82">
        <f>IF(ISNUMBER($AW684),$AW684/100,"")</f>
        <v/>
      </c>
      <c r="DC684" s="82">
        <f>IF(ISNUMBER($AX684),$AX684/100,"")</f>
        <v/>
      </c>
      <c r="DD684" s="77">
        <f>IFERROR(VALUE(LEFT(TRIM($AO684&amp;""),4)),"")</f>
        <v/>
      </c>
      <c r="DE684" s="78">
        <f>IF(AND($BY684=1,$BX684=1,OR(fDeal="All Deals",$BU684=fDeal),OR(fEntity="All Entities",$BV684=fEntity),OR(fPType="All Property Types",$BZ684=fPType),OR(fDefeased="Include",$CJ684=0)),1,0)</f>
        <v/>
      </c>
      <c r="DF684" s="83">
        <f>$DE684*N($I684)</f>
        <v/>
      </c>
      <c r="DG684" s="78">
        <f>IF($DE684=1,IF(COUNTIFS($F$8:$F684,$F684,$DE$8:$DE684,1)=1,1,0),0)</f>
        <v/>
      </c>
      <c r="DH684" s="83">
        <f>IF($DG684=1,SUMIFS($DF$8:$DF$1600,$F$8:$F$1600,$F684),0)</f>
        <v/>
      </c>
      <c r="DI684" s="78">
        <f>IF($DG684=1,COUNTIFS($F$8:$F$1600,$F684,$DE$8:$DE$1600,1),0)</f>
        <v/>
      </c>
      <c r="DJ684" s="84">
        <f>IF($DG684=1,$DH684+(100000-ROW())/mTieBreak,0)</f>
        <v/>
      </c>
    </row>
    <row r="685">
      <c r="B685" s="68" t="n">
        <v>10</v>
      </c>
      <c r="C685" s="69" t="inlineStr">
        <is>
          <t>UBS19C16</t>
        </is>
      </c>
      <c r="D685" s="69" t="inlineStr">
        <is>
          <t>10.000</t>
        </is>
      </c>
      <c r="E685" s="69" t="inlineStr">
        <is>
          <t>Golden Acres Shopping Center</t>
        </is>
      </c>
      <c r="F685" s="69" t="inlineStr">
        <is>
          <t>LNUBS19C16-10.000</t>
        </is>
      </c>
      <c r="G685" s="70" t="n"/>
      <c r="H685" s="71" t="n">
        <v>22500000</v>
      </c>
      <c r="I685" s="71" t="n">
        <v>22500000</v>
      </c>
      <c r="J685" s="72" t="n">
        <v>4.8</v>
      </c>
      <c r="K685" s="69" t="inlineStr">
        <is>
          <t>Fixed rate</t>
        </is>
      </c>
      <c r="L685" s="68" t="n">
        <v>120</v>
      </c>
      <c r="M685" s="68" t="n">
        <v>30</v>
      </c>
      <c r="N685" s="68" t="n">
        <v>120</v>
      </c>
      <c r="O685" s="68" t="n">
        <v>120</v>
      </c>
      <c r="P685" s="68" t="n">
        <v>30</v>
      </c>
      <c r="Q685" s="68" t="n">
        <v>90</v>
      </c>
      <c r="R685" s="69" t="inlineStr">
        <is>
          <t>IO</t>
        </is>
      </c>
      <c r="S685" s="69" t="inlineStr">
        <is>
          <t>Yes</t>
        </is>
      </c>
      <c r="T685" s="73" t="n">
        <v>43525</v>
      </c>
      <c r="U685" s="73" t="n">
        <v>47183</v>
      </c>
      <c r="V685" s="73" t="n"/>
      <c r="W685" s="69" t="n"/>
      <c r="X685" s="69" t="inlineStr">
        <is>
          <t>Current</t>
        </is>
      </c>
      <c r="Y685" s="68" t="n"/>
      <c r="Z685" s="69" t="inlineStr">
        <is>
          <t>No Defeasance Occurred</t>
        </is>
      </c>
      <c r="AA685" s="69" t="inlineStr">
        <is>
          <t>Yes</t>
        </is>
      </c>
      <c r="AB685" s="69" t="inlineStr">
        <is>
          <t>Never special serv</t>
        </is>
      </c>
      <c r="AC685" s="73" t="n"/>
      <c r="AD685" s="69" t="n"/>
      <c r="AE685" s="69" t="n"/>
      <c r="AF685" s="69" t="inlineStr">
        <is>
          <t>NJ</t>
        </is>
      </c>
      <c r="AG685" s="69" t="inlineStr">
        <is>
          <t>South Plainfield</t>
        </is>
      </c>
      <c r="AH685" s="69" t="inlineStr">
        <is>
          <t>New York-Newark-Jersey City, NY-NJ</t>
        </is>
      </c>
      <c r="AI685" s="69" t="inlineStr">
        <is>
          <t>Northeast / Mid-Atlantic</t>
        </is>
      </c>
      <c r="AJ685" s="69" t="inlineStr">
        <is>
          <t>RT</t>
        </is>
      </c>
      <c r="AK685" s="69" t="inlineStr">
        <is>
          <t>Anchored</t>
        </is>
      </c>
      <c r="AL685" s="68" t="n">
        <v>1</v>
      </c>
      <c r="AM685" s="68" t="n"/>
      <c r="AN685" s="68" t="n">
        <v>220073</v>
      </c>
      <c r="AO685" s="69" t="inlineStr">
        <is>
          <t>1966; 1987; 2015</t>
        </is>
      </c>
      <c r="AP685" s="70" t="n">
        <v>2016</v>
      </c>
      <c r="AQ685" s="74" t="n">
        <v>1.82</v>
      </c>
      <c r="AR685" s="74" t="n">
        <v>1.47</v>
      </c>
      <c r="AS685" s="74" t="n">
        <v>58.6</v>
      </c>
      <c r="AT685" s="74" t="n">
        <v>58.59</v>
      </c>
      <c r="AU685" s="74" t="n">
        <v>58.6</v>
      </c>
      <c r="AV685" s="74" t="n">
        <v>8.859791111</v>
      </c>
      <c r="AW685" s="74" t="n">
        <v>1.124564267</v>
      </c>
      <c r="AX685" s="75" t="n">
        <v>83</v>
      </c>
      <c r="AY685" s="71" t="n">
        <v>38400000</v>
      </c>
      <c r="AZ685" s="71" t="n">
        <v>38400000</v>
      </c>
      <c r="BA685" s="71" t="n">
        <v>1993453</v>
      </c>
      <c r="BB685" s="71" t="n">
        <v>403294</v>
      </c>
      <c r="BC685" s="69" t="inlineStr">
        <is>
          <t>Refinance</t>
        </is>
      </c>
      <c r="BD685" s="69" t="inlineStr">
        <is>
          <t>N</t>
        </is>
      </c>
      <c r="BE685" s="71" t="n"/>
      <c r="BF685" s="71" t="n"/>
      <c r="BG685" s="71" t="n"/>
      <c r="BH685" s="71" t="n">
        <v>0</v>
      </c>
      <c r="BI685" s="71" t="n">
        <v>0</v>
      </c>
      <c r="BJ685" s="69" t="inlineStr">
        <is>
          <t>Y</t>
        </is>
      </c>
      <c r="BK685" s="69" t="inlineStr">
        <is>
          <t>Saker Properties of South Plainfield LLC t0000865</t>
        </is>
      </c>
      <c r="BL685" s="75" t="n">
        <v>34.72</v>
      </c>
      <c r="BM685" s="73" t="n">
        <v>49979</v>
      </c>
      <c r="BN685" s="69" t="inlineStr">
        <is>
          <t>Michael J. Polimeni; Milton B. Koenigsberg; Bennet H. Grutman</t>
        </is>
      </c>
      <c r="BO685" s="69" t="inlineStr">
        <is>
          <t>RMF</t>
        </is>
      </c>
      <c r="BP685" s="69" t="inlineStr">
        <is>
          <t>Midland Loan Services</t>
        </is>
      </c>
      <c r="BQ685" s="69" t="inlineStr">
        <is>
          <t>Midland Loan Services</t>
        </is>
      </c>
      <c r="BR685" s="69" t="n"/>
      <c r="BS685" s="73" t="n">
        <v>46276</v>
      </c>
      <c r="BU685" s="76">
        <f>IF($C685="","",IFERROR(INDEX(dmName,MATCH($C685,dmID,0)),"Unmapped"))</f>
        <v/>
      </c>
      <c r="BV685" s="76">
        <f>IF($C685="","",IFERROR(INDEX(dmEntity,MATCH($C685,dmID,0)),"Unmapped"))</f>
        <v/>
      </c>
      <c r="BW685" s="77">
        <f>IF($C685="","",IFERROR(INDEX(dmVintage,MATCH($C685,dmID,0)),""))</f>
        <v/>
      </c>
      <c r="BX685" s="78">
        <f>IFERROR(INDEX(dmInclude,MATCH($C685,dmID,0)),0)</f>
        <v/>
      </c>
      <c r="BY685" s="78">
        <f>IF(N($I685)&gt;0,1,0)</f>
        <v/>
      </c>
      <c r="BZ685" s="76">
        <f>IF($AJ685="","Other / Leased Fee",IFERROR(INDEX(mapPTGroup,MATCH(LEFT(TRIM($AJ685),2),mapPTCode,0)),"Other / Leased Fee"))</f>
        <v/>
      </c>
      <c r="CA685" s="76">
        <f>IF(TRIM($AF685&amp;"")="","NR",LEFT(TRIM($AF685),2))</f>
        <v/>
      </c>
      <c r="CB685" s="76">
        <f>IFERROR(LOOKUP(2,1/(LEFT(TRIM($AI685&amp;""),LEN(mapRegion))=mapRegion),mapRegion),"Not Reported")</f>
        <v/>
      </c>
      <c r="CC685" s="76">
        <f>IF($BY685=0,"",IF(TRIM($W685&amp;"")="REO","REO",IF(TRIM($W685&amp;"")="FC","Foreclosure",IF(TRIM($W685&amp;"")="90+","90+ Days Delinquent",IF(TRIM($W685&amp;"")="60","60 Days Delinquent",IF(TRIM($W685&amp;"")="30","30 Days Delinquent",IF($X685="Non-Performing Matured Balloon","Non-Performing Matured Balloon",IF(OR($X685="Late Payment But Less Than 30 Days Delinquent",LEFT($X685&amp;"",20)="Payment Not Received"),"Late / In Grace (&lt;30 Days)",IF($X685="Performing Matured Balloon","Performing Matured Balloon","Current")))))))))</f>
        <v/>
      </c>
      <c r="CD685" s="78">
        <f>IF(OR($CC685="REO",$CC685="Foreclosure",$CC685="90+ Days Delinquent",$CC685="60 Days Delinquent",$CC685="30 Days Delinquent",$CC685="Non-Performing Matured Balloon"),1,0)</f>
        <v/>
      </c>
      <c r="CE685" s="76">
        <f>IF($AB685="Currently special serv","Currently Specially Serviced",IF($AB685="Returned to master serv","Previously Specially Serviced","Never Specially Serviced"))</f>
        <v/>
      </c>
      <c r="CF685" s="78">
        <f>IF($CE685="Currently Specially Serviced",1,0)</f>
        <v/>
      </c>
      <c r="CG685" s="76">
        <f>IF($AA685="Yes","Currently on Watchlist",IF($AA685="Previously","Previously on Watchlist","Never on Watchlist"))</f>
        <v/>
      </c>
      <c r="CH685" s="78">
        <f>IF($CG685="Currently on Watchlist",1,0)</f>
        <v/>
      </c>
      <c r="CI685" s="76">
        <f>IF($Z685="Full Defeasance","Fully Defeased",IF($Z685="Portion Of Loan Previously Defeased","Partially Defeased",IF($Z685="Defeasance Not Allowable","Not Defeased (Not Permitted)","Not Defeased")))</f>
        <v/>
      </c>
      <c r="CJ685" s="78">
        <f>IF($CI685="Fully Defeased",1,0)</f>
        <v/>
      </c>
      <c r="CK685" s="76">
        <f>IF($R685="IO","Full IO",IF(LEFT($R685&amp;"",7)="IO then","Partial IO","Amortizing"))</f>
        <v/>
      </c>
      <c r="CL685" s="78">
        <f>IF($CK685="Full IO",1,0)</f>
        <v/>
      </c>
      <c r="CM685" s="78">
        <f>IF($CK685="Partial IO",1,0)</f>
        <v/>
      </c>
      <c r="CN685" s="76">
        <f>IF(LEFT($F685&amp;"",10)="SPLIT_LOAN","Pari Passu Split","Standalone")</f>
        <v/>
      </c>
      <c r="CO685" s="78">
        <f>IF($CN685="Pari Passu Split",1,0)</f>
        <v/>
      </c>
      <c r="CP685" s="77">
        <f>IF(ISNUMBER($T685),YEAR($T685),"")</f>
        <v/>
      </c>
      <c r="CQ685" s="79">
        <f>IF(ISNUMBER($V685),$V685,IF(ISNUMBER($U685),$U685,""))</f>
        <v/>
      </c>
      <c r="CR685" s="77">
        <f>IF(ISNUMBER($CQ685),YEAR($CQ685),"")</f>
        <v/>
      </c>
      <c r="CS685" s="78">
        <f>IF(ISNUMBER($M685),MAX(0,$M685),IF(TRIM($M685&amp;"")="matured",0,""))</f>
        <v/>
      </c>
      <c r="CT685" s="78">
        <f>IF(AND(ISNUMBER($CS685),N($CS685)&lt;=mMatWindow),1,0)</f>
        <v/>
      </c>
      <c r="CU685" s="80">
        <f>IF(ISNUMBER($J685),$J685/100,"")</f>
        <v/>
      </c>
      <c r="CV685" s="81">
        <f>IF(ISNUMBER($AQ685),$AQ685,"")</f>
        <v/>
      </c>
      <c r="CW685" s="81">
        <f>IF(ISNUMBER($AR685),$AR685,"")</f>
        <v/>
      </c>
      <c r="CX685" s="82">
        <f>IF(ISNUMBER($AS685),$AS685/100,"")</f>
        <v/>
      </c>
      <c r="CY685" s="82">
        <f>IF(ISNUMBER($AT685),$AT685/100,"")</f>
        <v/>
      </c>
      <c r="CZ685" s="82">
        <f>IF(ISNUMBER($AU685),$AU685/100,"")</f>
        <v/>
      </c>
      <c r="DA685" s="82">
        <f>IF(ISNUMBER($AV685),$AV685/100,"")</f>
        <v/>
      </c>
      <c r="DB685" s="82">
        <f>IF(ISNUMBER($AW685),$AW685/100,"")</f>
        <v/>
      </c>
      <c r="DC685" s="82">
        <f>IF(ISNUMBER($AX685),$AX685/100,"")</f>
        <v/>
      </c>
      <c r="DD685" s="77">
        <f>IFERROR(VALUE(LEFT(TRIM($AO685&amp;""),4)),"")</f>
        <v/>
      </c>
      <c r="DE685" s="78">
        <f>IF(AND($BY685=1,$BX685=1,OR(fDeal="All Deals",$BU685=fDeal),OR(fEntity="All Entities",$BV685=fEntity),OR(fPType="All Property Types",$BZ685=fPType),OR(fDefeased="Include",$CJ685=0)),1,0)</f>
        <v/>
      </c>
      <c r="DF685" s="83">
        <f>$DE685*N($I685)</f>
        <v/>
      </c>
      <c r="DG685" s="78">
        <f>IF($DE685=1,IF(COUNTIFS($F$8:$F685,$F685,$DE$8:$DE685,1)=1,1,0),0)</f>
        <v/>
      </c>
      <c r="DH685" s="83">
        <f>IF($DG685=1,SUMIFS($DF$8:$DF$1600,$F$8:$F$1600,$F685),0)</f>
        <v/>
      </c>
      <c r="DI685" s="78">
        <f>IF($DG685=1,COUNTIFS($F$8:$F$1600,$F685,$DE$8:$DE$1600,1),0)</f>
        <v/>
      </c>
      <c r="DJ685" s="84">
        <f>IF($DG685=1,$DH685+(100000-ROW())/mTieBreak,0)</f>
        <v/>
      </c>
    </row>
    <row r="686">
      <c r="B686" s="68" t="n">
        <v>11</v>
      </c>
      <c r="C686" s="69" t="inlineStr">
        <is>
          <t>UBS19C16</t>
        </is>
      </c>
      <c r="D686" s="69" t="inlineStr">
        <is>
          <t>11.000</t>
        </is>
      </c>
      <c r="E686" s="69" t="inlineStr">
        <is>
          <t>1515 N. Flagler Drive</t>
        </is>
      </c>
      <c r="F686" s="69" t="inlineStr">
        <is>
          <t>LNUBS19C16-11.000</t>
        </is>
      </c>
      <c r="G686" s="70" t="n"/>
      <c r="H686" s="71" t="n">
        <v>22165000</v>
      </c>
      <c r="I686" s="71" t="n">
        <v>22165000</v>
      </c>
      <c r="J686" s="72" t="n">
        <v>5.1155</v>
      </c>
      <c r="K686" s="69" t="inlineStr">
        <is>
          <t>Fixed rate</t>
        </is>
      </c>
      <c r="L686" s="68" t="n">
        <v>120</v>
      </c>
      <c r="M686" s="68" t="n">
        <v>29</v>
      </c>
      <c r="N686" s="68" t="n">
        <v>120</v>
      </c>
      <c r="O686" s="68" t="n">
        <v>120</v>
      </c>
      <c r="P686" s="68" t="n">
        <v>29</v>
      </c>
      <c r="Q686" s="68" t="n">
        <v>91</v>
      </c>
      <c r="R686" s="69" t="inlineStr">
        <is>
          <t>IO</t>
        </is>
      </c>
      <c r="S686" s="69" t="inlineStr">
        <is>
          <t>Yes</t>
        </is>
      </c>
      <c r="T686" s="73" t="n">
        <v>43497</v>
      </c>
      <c r="U686" s="73" t="n">
        <v>47155</v>
      </c>
      <c r="V686" s="73" t="n"/>
      <c r="W686" s="69" t="n"/>
      <c r="X686" s="69" t="inlineStr">
        <is>
          <t>Current</t>
        </is>
      </c>
      <c r="Y686" s="68" t="n"/>
      <c r="Z686" s="69" t="inlineStr">
        <is>
          <t>Defeasance Not Allowable</t>
        </is>
      </c>
      <c r="AA686" s="69" t="inlineStr">
        <is>
          <t>Yes</t>
        </is>
      </c>
      <c r="AB686" s="69" t="inlineStr">
        <is>
          <t>Never special serv</t>
        </is>
      </c>
      <c r="AC686" s="73" t="n"/>
      <c r="AD686" s="69" t="n"/>
      <c r="AE686" s="69" t="n"/>
      <c r="AF686" s="69" t="inlineStr">
        <is>
          <t>FL</t>
        </is>
      </c>
      <c r="AG686" s="69" t="inlineStr">
        <is>
          <t>West Palm Beach</t>
        </is>
      </c>
      <c r="AH686" s="69" t="inlineStr">
        <is>
          <t>Miami-Fort Lauderdale-West Palm Beach, FL</t>
        </is>
      </c>
      <c r="AI686" s="69" t="inlineStr">
        <is>
          <t>South / Atlantic</t>
        </is>
      </c>
      <c r="AJ686" s="69" t="inlineStr">
        <is>
          <t>OF</t>
        </is>
      </c>
      <c r="AK686" s="69" t="inlineStr">
        <is>
          <t>CBD</t>
        </is>
      </c>
      <c r="AL686" s="68" t="n">
        <v>1</v>
      </c>
      <c r="AM686" s="68" t="n"/>
      <c r="AN686" s="68" t="n">
        <v>165599</v>
      </c>
      <c r="AO686" s="69" t="inlineStr">
        <is>
          <t>1998</t>
        </is>
      </c>
      <c r="AP686" s="70" t="n">
        <v>2014</v>
      </c>
      <c r="AQ686" s="74" t="n">
        <v>2.16</v>
      </c>
      <c r="AR686" s="74" t="n">
        <v>3.11</v>
      </c>
      <c r="AS686" s="74" t="n">
        <v>65</v>
      </c>
      <c r="AT686" s="74" t="n">
        <v>65</v>
      </c>
      <c r="AU686" s="74" t="n">
        <v>65</v>
      </c>
      <c r="AV686" s="74" t="n">
        <v>11.221866998</v>
      </c>
      <c r="AW686" s="74" t="n">
        <v>14.949338777</v>
      </c>
      <c r="AX686" s="75" t="n">
        <v>95</v>
      </c>
      <c r="AY686" s="71" t="n">
        <v>34100000</v>
      </c>
      <c r="AZ686" s="71" t="n">
        <v>34100000</v>
      </c>
      <c r="BA686" s="71" t="n">
        <v>2487326.82</v>
      </c>
      <c r="BB686" s="71" t="n">
        <v>894161.02</v>
      </c>
      <c r="BC686" s="69" t="inlineStr">
        <is>
          <t>Refinance</t>
        </is>
      </c>
      <c r="BD686" s="69" t="inlineStr">
        <is>
          <t>N</t>
        </is>
      </c>
      <c r="BE686" s="71" t="n"/>
      <c r="BF686" s="71" t="n"/>
      <c r="BG686" s="71" t="n"/>
      <c r="BH686" s="71" t="n">
        <v>0</v>
      </c>
      <c r="BI686" s="71" t="n">
        <v>0</v>
      </c>
      <c r="BJ686" s="69" t="inlineStr">
        <is>
          <t>N</t>
        </is>
      </c>
      <c r="BK686" s="69" t="inlineStr">
        <is>
          <t>Health Care District of Palm Beach County</t>
        </is>
      </c>
      <c r="BL686" s="75" t="n">
        <v>26.07</v>
      </c>
      <c r="BM686" s="73" t="n">
        <v>48039</v>
      </c>
      <c r="BN686" s="69" t="inlineStr">
        <is>
          <t>Ivor Braka</t>
        </is>
      </c>
      <c r="BO686" s="69" t="inlineStr">
        <is>
          <t>UBS</t>
        </is>
      </c>
      <c r="BP686" s="69" t="inlineStr">
        <is>
          <t>Midland Loan Services</t>
        </is>
      </c>
      <c r="BQ686" s="69" t="inlineStr">
        <is>
          <t>Midland Loan Services</t>
        </is>
      </c>
      <c r="BR686" s="69" t="n"/>
      <c r="BS686" s="73" t="n">
        <v>46276</v>
      </c>
      <c r="BU686" s="76">
        <f>IF($C686="","",IFERROR(INDEX(dmName,MATCH($C686,dmID,0)),"Unmapped"))</f>
        <v/>
      </c>
      <c r="BV686" s="76">
        <f>IF($C686="","",IFERROR(INDEX(dmEntity,MATCH($C686,dmID,0)),"Unmapped"))</f>
        <v/>
      </c>
      <c r="BW686" s="77">
        <f>IF($C686="","",IFERROR(INDEX(dmVintage,MATCH($C686,dmID,0)),""))</f>
        <v/>
      </c>
      <c r="BX686" s="78">
        <f>IFERROR(INDEX(dmInclude,MATCH($C686,dmID,0)),0)</f>
        <v/>
      </c>
      <c r="BY686" s="78">
        <f>IF(N($I686)&gt;0,1,0)</f>
        <v/>
      </c>
      <c r="BZ686" s="76">
        <f>IF($AJ686="","Other / Leased Fee",IFERROR(INDEX(mapPTGroup,MATCH(LEFT(TRIM($AJ686),2),mapPTCode,0)),"Other / Leased Fee"))</f>
        <v/>
      </c>
      <c r="CA686" s="76">
        <f>IF(TRIM($AF686&amp;"")="","NR",LEFT(TRIM($AF686),2))</f>
        <v/>
      </c>
      <c r="CB686" s="76">
        <f>IFERROR(LOOKUP(2,1/(LEFT(TRIM($AI686&amp;""),LEN(mapRegion))=mapRegion),mapRegion),"Not Reported")</f>
        <v/>
      </c>
      <c r="CC686" s="76">
        <f>IF($BY686=0,"",IF(TRIM($W686&amp;"")="REO","REO",IF(TRIM($W686&amp;"")="FC","Foreclosure",IF(TRIM($W686&amp;"")="90+","90+ Days Delinquent",IF(TRIM($W686&amp;"")="60","60 Days Delinquent",IF(TRIM($W686&amp;"")="30","30 Days Delinquent",IF($X686="Non-Performing Matured Balloon","Non-Performing Matured Balloon",IF(OR($X686="Late Payment But Less Than 30 Days Delinquent",LEFT($X686&amp;"",20)="Payment Not Received"),"Late / In Grace (&lt;30 Days)",IF($X686="Performing Matured Balloon","Performing Matured Balloon","Current")))))))))</f>
        <v/>
      </c>
      <c r="CD686" s="78">
        <f>IF(OR($CC686="REO",$CC686="Foreclosure",$CC686="90+ Days Delinquent",$CC686="60 Days Delinquent",$CC686="30 Days Delinquent",$CC686="Non-Performing Matured Balloon"),1,0)</f>
        <v/>
      </c>
      <c r="CE686" s="76">
        <f>IF($AB686="Currently special serv","Currently Specially Serviced",IF($AB686="Returned to master serv","Previously Specially Serviced","Never Specially Serviced"))</f>
        <v/>
      </c>
      <c r="CF686" s="78">
        <f>IF($CE686="Currently Specially Serviced",1,0)</f>
        <v/>
      </c>
      <c r="CG686" s="76">
        <f>IF($AA686="Yes","Currently on Watchlist",IF($AA686="Previously","Previously on Watchlist","Never on Watchlist"))</f>
        <v/>
      </c>
      <c r="CH686" s="78">
        <f>IF($CG686="Currently on Watchlist",1,0)</f>
        <v/>
      </c>
      <c r="CI686" s="76">
        <f>IF($Z686="Full Defeasance","Fully Defeased",IF($Z686="Portion Of Loan Previously Defeased","Partially Defeased",IF($Z686="Defeasance Not Allowable","Not Defeased (Not Permitted)","Not Defeased")))</f>
        <v/>
      </c>
      <c r="CJ686" s="78">
        <f>IF($CI686="Fully Defeased",1,0)</f>
        <v/>
      </c>
      <c r="CK686" s="76">
        <f>IF($R686="IO","Full IO",IF(LEFT($R686&amp;"",7)="IO then","Partial IO","Amortizing"))</f>
        <v/>
      </c>
      <c r="CL686" s="78">
        <f>IF($CK686="Full IO",1,0)</f>
        <v/>
      </c>
      <c r="CM686" s="78">
        <f>IF($CK686="Partial IO",1,0)</f>
        <v/>
      </c>
      <c r="CN686" s="76">
        <f>IF(LEFT($F686&amp;"",10)="SPLIT_LOAN","Pari Passu Split","Standalone")</f>
        <v/>
      </c>
      <c r="CO686" s="78">
        <f>IF($CN686="Pari Passu Split",1,0)</f>
        <v/>
      </c>
      <c r="CP686" s="77">
        <f>IF(ISNUMBER($T686),YEAR($T686),"")</f>
        <v/>
      </c>
      <c r="CQ686" s="79">
        <f>IF(ISNUMBER($V686),$V686,IF(ISNUMBER($U686),$U686,""))</f>
        <v/>
      </c>
      <c r="CR686" s="77">
        <f>IF(ISNUMBER($CQ686),YEAR($CQ686),"")</f>
        <v/>
      </c>
      <c r="CS686" s="78">
        <f>IF(ISNUMBER($M686),MAX(0,$M686),IF(TRIM($M686&amp;"")="matured",0,""))</f>
        <v/>
      </c>
      <c r="CT686" s="78">
        <f>IF(AND(ISNUMBER($CS686),N($CS686)&lt;=mMatWindow),1,0)</f>
        <v/>
      </c>
      <c r="CU686" s="80">
        <f>IF(ISNUMBER($J686),$J686/100,"")</f>
        <v/>
      </c>
      <c r="CV686" s="81">
        <f>IF(ISNUMBER($AQ686),$AQ686,"")</f>
        <v/>
      </c>
      <c r="CW686" s="81">
        <f>IF(ISNUMBER($AR686),$AR686,"")</f>
        <v/>
      </c>
      <c r="CX686" s="82">
        <f>IF(ISNUMBER($AS686),$AS686/100,"")</f>
        <v/>
      </c>
      <c r="CY686" s="82">
        <f>IF(ISNUMBER($AT686),$AT686/100,"")</f>
        <v/>
      </c>
      <c r="CZ686" s="82">
        <f>IF(ISNUMBER($AU686),$AU686/100,"")</f>
        <v/>
      </c>
      <c r="DA686" s="82">
        <f>IF(ISNUMBER($AV686),$AV686/100,"")</f>
        <v/>
      </c>
      <c r="DB686" s="82">
        <f>IF(ISNUMBER($AW686),$AW686/100,"")</f>
        <v/>
      </c>
      <c r="DC686" s="82">
        <f>IF(ISNUMBER($AX686),$AX686/100,"")</f>
        <v/>
      </c>
      <c r="DD686" s="77">
        <f>IFERROR(VALUE(LEFT(TRIM($AO686&amp;""),4)),"")</f>
        <v/>
      </c>
      <c r="DE686" s="78">
        <f>IF(AND($BY686=1,$BX686=1,OR(fDeal="All Deals",$BU686=fDeal),OR(fEntity="All Entities",$BV686=fEntity),OR(fPType="All Property Types",$BZ686=fPType),OR(fDefeased="Include",$CJ686=0)),1,0)</f>
        <v/>
      </c>
      <c r="DF686" s="83">
        <f>$DE686*N($I686)</f>
        <v/>
      </c>
      <c r="DG686" s="78">
        <f>IF($DE686=1,IF(COUNTIFS($F$8:$F686,$F686,$DE$8:$DE686,1)=1,1,0),0)</f>
        <v/>
      </c>
      <c r="DH686" s="83">
        <f>IF($DG686=1,SUMIFS($DF$8:$DF$1600,$F$8:$F$1600,$F686),0)</f>
        <v/>
      </c>
      <c r="DI686" s="78">
        <f>IF($DG686=1,COUNTIFS($F$8:$F$1600,$F686,$DE$8:$DE$1600,1),0)</f>
        <v/>
      </c>
      <c r="DJ686" s="84">
        <f>IF($DG686=1,$DH686+(100000-ROW())/mTieBreak,0)</f>
        <v/>
      </c>
    </row>
    <row r="687">
      <c r="B687" s="68" t="n">
        <v>12</v>
      </c>
      <c r="C687" s="69" t="inlineStr">
        <is>
          <t>UBS19C16</t>
        </is>
      </c>
      <c r="D687" s="69" t="inlineStr">
        <is>
          <t>12.000</t>
        </is>
      </c>
      <c r="E687" s="69" t="inlineStr">
        <is>
          <t>Prime UT Self Storage Portfolio</t>
        </is>
      </c>
      <c r="F687" s="69" t="inlineStr">
        <is>
          <t>LNUBS19C16-12.000</t>
        </is>
      </c>
      <c r="G687" s="70" t="n"/>
      <c r="H687" s="71" t="n">
        <v>19200000</v>
      </c>
      <c r="I687" s="71" t="n">
        <v>17686620.7300032</v>
      </c>
      <c r="J687" s="72" t="n">
        <v>5.51</v>
      </c>
      <c r="K687" s="69" t="inlineStr">
        <is>
          <t>Fixed rate</t>
        </is>
      </c>
      <c r="L687" s="68" t="n">
        <v>120</v>
      </c>
      <c r="M687" s="68" t="n">
        <v>30</v>
      </c>
      <c r="N687" s="68" t="n">
        <v>384</v>
      </c>
      <c r="O687" s="68" t="n">
        <v>24</v>
      </c>
      <c r="P687" s="68" t="n">
        <v>0</v>
      </c>
      <c r="Q687" s="68" t="n">
        <v>90</v>
      </c>
      <c r="R687" s="69" t="inlineStr">
        <is>
          <t>IO then Amort</t>
        </is>
      </c>
      <c r="S687" s="69" t="inlineStr">
        <is>
          <t>No</t>
        </is>
      </c>
      <c r="T687" s="73" t="n">
        <v>43525</v>
      </c>
      <c r="U687" s="73" t="n">
        <v>47183</v>
      </c>
      <c r="V687" s="73" t="n"/>
      <c r="W687" s="69" t="n"/>
      <c r="X687" s="69" t="inlineStr">
        <is>
          <t>Current</t>
        </is>
      </c>
      <c r="Y687" s="68" t="n"/>
      <c r="Z687" s="69" t="inlineStr">
        <is>
          <t>Full Defeasance</t>
        </is>
      </c>
      <c r="AA687" s="69" t="inlineStr">
        <is>
          <t>Previously</t>
        </is>
      </c>
      <c r="AB687" s="69" t="inlineStr">
        <is>
          <t>Never special serv</t>
        </is>
      </c>
      <c r="AC687" s="73" t="n"/>
      <c r="AD687" s="69" t="n"/>
      <c r="AE687" s="69" t="n"/>
      <c r="AF687" s="69" t="inlineStr">
        <is>
          <t>UT</t>
        </is>
      </c>
      <c r="AG687" s="69" t="n"/>
      <c r="AH687" s="69" t="inlineStr">
        <is>
          <t>Salt Lake City-Murray, UT</t>
        </is>
      </c>
      <c r="AI687" s="69" t="inlineStr">
        <is>
          <t>West / Mountain</t>
        </is>
      </c>
      <c r="AJ687" s="69" t="inlineStr">
        <is>
          <t>SS</t>
        </is>
      </c>
      <c r="AK687" s="69" t="n"/>
      <c r="AL687" s="68" t="n">
        <v>2</v>
      </c>
      <c r="AM687" s="68" t="n"/>
      <c r="AN687" s="68" t="n">
        <v>188345</v>
      </c>
      <c r="AO687" s="69" t="n"/>
      <c r="AP687" s="70" t="n">
        <v>2002</v>
      </c>
      <c r="AQ687" s="74" t="n">
        <v>1.51</v>
      </c>
      <c r="AR687" s="74" t="n">
        <v>1.44</v>
      </c>
      <c r="AS687" s="74" t="n">
        <v>68.40000000000001</v>
      </c>
      <c r="AT687" s="74" t="n">
        <v>68.69</v>
      </c>
      <c r="AU687" s="74" t="n">
        <v>60</v>
      </c>
      <c r="AV687" s="74" t="n">
        <v>8.421604167</v>
      </c>
      <c r="AW687" s="74" t="n">
        <v>10.632750477</v>
      </c>
      <c r="AX687" s="75" t="n">
        <v>85</v>
      </c>
      <c r="AY687" s="71" t="n">
        <v>28060000</v>
      </c>
      <c r="AZ687" s="71" t="n">
        <v>25750000</v>
      </c>
      <c r="BA687" s="71" t="n">
        <v>1616948</v>
      </c>
      <c r="BB687" s="71" t="n">
        <v>1880574.25</v>
      </c>
      <c r="BC687" s="69" t="inlineStr">
        <is>
          <t>Refinance</t>
        </is>
      </c>
      <c r="BD687" s="69" t="inlineStr">
        <is>
          <t>N</t>
        </is>
      </c>
      <c r="BE687" s="71" t="n"/>
      <c r="BF687" s="71" t="n"/>
      <c r="BG687" s="71" t="n"/>
      <c r="BH687" s="71" t="n">
        <v>0</v>
      </c>
      <c r="BI687" s="71" t="n">
        <v>0</v>
      </c>
      <c r="BJ687" s="69" t="inlineStr">
        <is>
          <t>N</t>
        </is>
      </c>
      <c r="BK687" s="69" t="n"/>
      <c r="BL687" s="75" t="n"/>
      <c r="BM687" s="73" t="n"/>
      <c r="BN687" s="69" t="inlineStr">
        <is>
          <t>Robert Moser</t>
        </is>
      </c>
      <c r="BO687" s="69" t="inlineStr">
        <is>
          <t>RMF</t>
        </is>
      </c>
      <c r="BP687" s="69" t="inlineStr">
        <is>
          <t>Midland Loan Services</t>
        </is>
      </c>
      <c r="BQ687" s="69" t="inlineStr">
        <is>
          <t>Midland Loan Services</t>
        </is>
      </c>
      <c r="BR687" s="69" t="n"/>
      <c r="BS687" s="73" t="n">
        <v>46276</v>
      </c>
      <c r="BU687" s="76">
        <f>IF($C687="","",IFERROR(INDEX(dmName,MATCH($C687,dmID,0)),"Unmapped"))</f>
        <v/>
      </c>
      <c r="BV687" s="76">
        <f>IF($C687="","",IFERROR(INDEX(dmEntity,MATCH($C687,dmID,0)),"Unmapped"))</f>
        <v/>
      </c>
      <c r="BW687" s="77">
        <f>IF($C687="","",IFERROR(INDEX(dmVintage,MATCH($C687,dmID,0)),""))</f>
        <v/>
      </c>
      <c r="BX687" s="78">
        <f>IFERROR(INDEX(dmInclude,MATCH($C687,dmID,0)),0)</f>
        <v/>
      </c>
      <c r="BY687" s="78">
        <f>IF(N($I687)&gt;0,1,0)</f>
        <v/>
      </c>
      <c r="BZ687" s="76">
        <f>IF($AJ687="","Other / Leased Fee",IFERROR(INDEX(mapPTGroup,MATCH(LEFT(TRIM($AJ687),2),mapPTCode,0)),"Other / Leased Fee"))</f>
        <v/>
      </c>
      <c r="CA687" s="76">
        <f>IF(TRIM($AF687&amp;"")="","NR",LEFT(TRIM($AF687),2))</f>
        <v/>
      </c>
      <c r="CB687" s="76">
        <f>IFERROR(LOOKUP(2,1/(LEFT(TRIM($AI687&amp;""),LEN(mapRegion))=mapRegion),mapRegion),"Not Reported")</f>
        <v/>
      </c>
      <c r="CC687" s="76">
        <f>IF($BY687=0,"",IF(TRIM($W687&amp;"")="REO","REO",IF(TRIM($W687&amp;"")="FC","Foreclosure",IF(TRIM($W687&amp;"")="90+","90+ Days Delinquent",IF(TRIM($W687&amp;"")="60","60 Days Delinquent",IF(TRIM($W687&amp;"")="30","30 Days Delinquent",IF($X687="Non-Performing Matured Balloon","Non-Performing Matured Balloon",IF(OR($X687="Late Payment But Less Than 30 Days Delinquent",LEFT($X687&amp;"",20)="Payment Not Received"),"Late / In Grace (&lt;30 Days)",IF($X687="Performing Matured Balloon","Performing Matured Balloon","Current")))))))))</f>
        <v/>
      </c>
      <c r="CD687" s="78">
        <f>IF(OR($CC687="REO",$CC687="Foreclosure",$CC687="90+ Days Delinquent",$CC687="60 Days Delinquent",$CC687="30 Days Delinquent",$CC687="Non-Performing Matured Balloon"),1,0)</f>
        <v/>
      </c>
      <c r="CE687" s="76">
        <f>IF($AB687="Currently special serv","Currently Specially Serviced",IF($AB687="Returned to master serv","Previously Specially Serviced","Never Specially Serviced"))</f>
        <v/>
      </c>
      <c r="CF687" s="78">
        <f>IF($CE687="Currently Specially Serviced",1,0)</f>
        <v/>
      </c>
      <c r="CG687" s="76">
        <f>IF($AA687="Yes","Currently on Watchlist",IF($AA687="Previously","Previously on Watchlist","Never on Watchlist"))</f>
        <v/>
      </c>
      <c r="CH687" s="78">
        <f>IF($CG687="Currently on Watchlist",1,0)</f>
        <v/>
      </c>
      <c r="CI687" s="76">
        <f>IF($Z687="Full Defeasance","Fully Defeased",IF($Z687="Portion Of Loan Previously Defeased","Partially Defeased",IF($Z687="Defeasance Not Allowable","Not Defeased (Not Permitted)","Not Defeased")))</f>
        <v/>
      </c>
      <c r="CJ687" s="78">
        <f>IF($CI687="Fully Defeased",1,0)</f>
        <v/>
      </c>
      <c r="CK687" s="76">
        <f>IF($R687="IO","Full IO",IF(LEFT($R687&amp;"",7)="IO then","Partial IO","Amortizing"))</f>
        <v/>
      </c>
      <c r="CL687" s="78">
        <f>IF($CK687="Full IO",1,0)</f>
        <v/>
      </c>
      <c r="CM687" s="78">
        <f>IF($CK687="Partial IO",1,0)</f>
        <v/>
      </c>
      <c r="CN687" s="76">
        <f>IF(LEFT($F687&amp;"",10)="SPLIT_LOAN","Pari Passu Split","Standalone")</f>
        <v/>
      </c>
      <c r="CO687" s="78">
        <f>IF($CN687="Pari Passu Split",1,0)</f>
        <v/>
      </c>
      <c r="CP687" s="77">
        <f>IF(ISNUMBER($T687),YEAR($T687),"")</f>
        <v/>
      </c>
      <c r="CQ687" s="79">
        <f>IF(ISNUMBER($V687),$V687,IF(ISNUMBER($U687),$U687,""))</f>
        <v/>
      </c>
      <c r="CR687" s="77">
        <f>IF(ISNUMBER($CQ687),YEAR($CQ687),"")</f>
        <v/>
      </c>
      <c r="CS687" s="78">
        <f>IF(ISNUMBER($M687),MAX(0,$M687),IF(TRIM($M687&amp;"")="matured",0,""))</f>
        <v/>
      </c>
      <c r="CT687" s="78">
        <f>IF(AND(ISNUMBER($CS687),N($CS687)&lt;=mMatWindow),1,0)</f>
        <v/>
      </c>
      <c r="CU687" s="80">
        <f>IF(ISNUMBER($J687),$J687/100,"")</f>
        <v/>
      </c>
      <c r="CV687" s="81">
        <f>IF(ISNUMBER($AQ687),$AQ687,"")</f>
        <v/>
      </c>
      <c r="CW687" s="81">
        <f>IF(ISNUMBER($AR687),$AR687,"")</f>
        <v/>
      </c>
      <c r="CX687" s="82">
        <f>IF(ISNUMBER($AS687),$AS687/100,"")</f>
        <v/>
      </c>
      <c r="CY687" s="82">
        <f>IF(ISNUMBER($AT687),$AT687/100,"")</f>
        <v/>
      </c>
      <c r="CZ687" s="82">
        <f>IF(ISNUMBER($AU687),$AU687/100,"")</f>
        <v/>
      </c>
      <c r="DA687" s="82">
        <f>IF(ISNUMBER($AV687),$AV687/100,"")</f>
        <v/>
      </c>
      <c r="DB687" s="82">
        <f>IF(ISNUMBER($AW687),$AW687/100,"")</f>
        <v/>
      </c>
      <c r="DC687" s="82">
        <f>IF(ISNUMBER($AX687),$AX687/100,"")</f>
        <v/>
      </c>
      <c r="DD687" s="77">
        <f>IFERROR(VALUE(LEFT(TRIM($AO687&amp;""),4)),"")</f>
        <v/>
      </c>
      <c r="DE687" s="78">
        <f>IF(AND($BY687=1,$BX687=1,OR(fDeal="All Deals",$BU687=fDeal),OR(fEntity="All Entities",$BV687=fEntity),OR(fPType="All Property Types",$BZ687=fPType),OR(fDefeased="Include",$CJ687=0)),1,0)</f>
        <v/>
      </c>
      <c r="DF687" s="83">
        <f>$DE687*N($I687)</f>
        <v/>
      </c>
      <c r="DG687" s="78">
        <f>IF($DE687=1,IF(COUNTIFS($F$8:$F687,$F687,$DE$8:$DE687,1)=1,1,0),0)</f>
        <v/>
      </c>
      <c r="DH687" s="83">
        <f>IF($DG687=1,SUMIFS($DF$8:$DF$1600,$F$8:$F$1600,$F687),0)</f>
        <v/>
      </c>
      <c r="DI687" s="78">
        <f>IF($DG687=1,COUNTIFS($F$8:$F$1600,$F687,$DE$8:$DE$1600,1),0)</f>
        <v/>
      </c>
      <c r="DJ687" s="84">
        <f>IF($DG687=1,$DH687+(100000-ROW())/mTieBreak,0)</f>
        <v/>
      </c>
    </row>
    <row r="688">
      <c r="B688" s="68" t="n">
        <v>13</v>
      </c>
      <c r="C688" s="69" t="inlineStr">
        <is>
          <t>UBS19C16</t>
        </is>
      </c>
      <c r="D688" s="69" t="inlineStr">
        <is>
          <t>13.000</t>
        </is>
      </c>
      <c r="E688" s="69" t="inlineStr">
        <is>
          <t>489 Broadway</t>
        </is>
      </c>
      <c r="F688" s="69" t="inlineStr">
        <is>
          <t>LNUBS19C16-13.000</t>
        </is>
      </c>
      <c r="G688" s="70" t="n"/>
      <c r="H688" s="71" t="n">
        <v>19000000</v>
      </c>
      <c r="I688" s="71" t="n">
        <v>19000000</v>
      </c>
      <c r="J688" s="72" t="n">
        <v>4.345</v>
      </c>
      <c r="K688" s="69" t="inlineStr">
        <is>
          <t>Fixed rate</t>
        </is>
      </c>
      <c r="L688" s="68" t="n">
        <v>120</v>
      </c>
      <c r="M688" s="68" t="n">
        <v>30</v>
      </c>
      <c r="N688" s="68" t="n">
        <v>120</v>
      </c>
      <c r="O688" s="68" t="n">
        <v>120</v>
      </c>
      <c r="P688" s="68" t="n">
        <v>30</v>
      </c>
      <c r="Q688" s="68" t="n">
        <v>90</v>
      </c>
      <c r="R688" s="69" t="inlineStr">
        <is>
          <t>IO</t>
        </is>
      </c>
      <c r="S688" s="69" t="inlineStr">
        <is>
          <t>Yes</t>
        </is>
      </c>
      <c r="T688" s="73" t="n">
        <v>43525</v>
      </c>
      <c r="U688" s="73" t="n">
        <v>47182</v>
      </c>
      <c r="V688" s="73" t="n"/>
      <c r="W688" s="69" t="n"/>
      <c r="X688" s="69" t="inlineStr">
        <is>
          <t>Current</t>
        </is>
      </c>
      <c r="Y688" s="68" t="n"/>
      <c r="Z688" s="69" t="inlineStr">
        <is>
          <t>No Defeasance Occurred</t>
        </is>
      </c>
      <c r="AA688" s="69" t="inlineStr">
        <is>
          <t>Yes</t>
        </is>
      </c>
      <c r="AB688" s="69" t="inlineStr">
        <is>
          <t>Never special serv</t>
        </is>
      </c>
      <c r="AC688" s="73" t="n"/>
      <c r="AD688" s="69" t="n"/>
      <c r="AE688" s="69" t="n"/>
      <c r="AF688" s="69" t="inlineStr">
        <is>
          <t>NY</t>
        </is>
      </c>
      <c r="AG688" s="69" t="inlineStr">
        <is>
          <t>New York</t>
        </is>
      </c>
      <c r="AH688" s="69" t="inlineStr">
        <is>
          <t>New York-Newark-Jersey City, NY-NJ</t>
        </is>
      </c>
      <c r="AI688" s="69" t="inlineStr">
        <is>
          <t>Northeast / Mid-Atlantic</t>
        </is>
      </c>
      <c r="AJ688" s="69" t="inlineStr">
        <is>
          <t>MX</t>
        </is>
      </c>
      <c r="AK688" s="69" t="inlineStr">
        <is>
          <t>Multifamily/Retail</t>
        </is>
      </c>
      <c r="AL688" s="68" t="n">
        <v>1</v>
      </c>
      <c r="AM688" s="68" t="n"/>
      <c r="AN688" s="68" t="n">
        <v>10000</v>
      </c>
      <c r="AO688" s="69" t="inlineStr">
        <is>
          <t>1900</t>
        </is>
      </c>
      <c r="AP688" s="70" t="n">
        <v>2016</v>
      </c>
      <c r="AQ688" s="74" t="n">
        <v>2.07</v>
      </c>
      <c r="AR688" s="74" t="n">
        <v>1.28</v>
      </c>
      <c r="AS688" s="74" t="n">
        <v>60.7</v>
      </c>
      <c r="AT688" s="74" t="n">
        <v>60.7</v>
      </c>
      <c r="AU688" s="74" t="n">
        <v>60.7</v>
      </c>
      <c r="AV688" s="74" t="n">
        <v>9.097082736999999</v>
      </c>
      <c r="AW688" s="74" t="n">
        <v>5.316822895</v>
      </c>
      <c r="AX688" s="75" t="n">
        <v>96</v>
      </c>
      <c r="AY688" s="71" t="n">
        <v>31300000</v>
      </c>
      <c r="AZ688" s="71" t="n">
        <v>31300000</v>
      </c>
      <c r="BA688" s="71" t="n">
        <v>1728445.72</v>
      </c>
      <c r="BB688" s="71" t="n">
        <v>268073.13</v>
      </c>
      <c r="BC688" s="69" t="inlineStr">
        <is>
          <t>Acquisition</t>
        </is>
      </c>
      <c r="BD688" s="69" t="inlineStr">
        <is>
          <t>N</t>
        </is>
      </c>
      <c r="BE688" s="71" t="n"/>
      <c r="BF688" s="71" t="n"/>
      <c r="BG688" s="71" t="n"/>
      <c r="BH688" s="71" t="n">
        <v>0</v>
      </c>
      <c r="BI688" s="71" t="n">
        <v>0</v>
      </c>
      <c r="BJ688" s="69" t="inlineStr">
        <is>
          <t>N</t>
        </is>
      </c>
      <c r="BK688" s="69" t="inlineStr">
        <is>
          <t>Ballesteros Atos Hu Cruz</t>
        </is>
      </c>
      <c r="BL688" s="75" t="n">
        <v>12</v>
      </c>
      <c r="BM688" s="73" t="n">
        <v>46112</v>
      </c>
      <c r="BN688" s="69" t="inlineStr">
        <is>
          <t>Sherr Equities / Milestone Equities JV</t>
        </is>
      </c>
      <c r="BO688" s="69" t="inlineStr">
        <is>
          <t>Morgan Stanley</t>
        </is>
      </c>
      <c r="BP688" s="69" t="inlineStr">
        <is>
          <t>Midland Loan Services</t>
        </is>
      </c>
      <c r="BQ688" s="69" t="inlineStr">
        <is>
          <t>Midland Loan Services</t>
        </is>
      </c>
      <c r="BR688" s="69" t="n"/>
      <c r="BS688" s="73" t="n">
        <v>46276</v>
      </c>
      <c r="BU688" s="76">
        <f>IF($C688="","",IFERROR(INDEX(dmName,MATCH($C688,dmID,0)),"Unmapped"))</f>
        <v/>
      </c>
      <c r="BV688" s="76">
        <f>IF($C688="","",IFERROR(INDEX(dmEntity,MATCH($C688,dmID,0)),"Unmapped"))</f>
        <v/>
      </c>
      <c r="BW688" s="77">
        <f>IF($C688="","",IFERROR(INDEX(dmVintage,MATCH($C688,dmID,0)),""))</f>
        <v/>
      </c>
      <c r="BX688" s="78">
        <f>IFERROR(INDEX(dmInclude,MATCH($C688,dmID,0)),0)</f>
        <v/>
      </c>
      <c r="BY688" s="78">
        <f>IF(N($I688)&gt;0,1,0)</f>
        <v/>
      </c>
      <c r="BZ688" s="76">
        <f>IF($AJ688="","Other / Leased Fee",IFERROR(INDEX(mapPTGroup,MATCH(LEFT(TRIM($AJ688),2),mapPTCode,0)),"Other / Leased Fee"))</f>
        <v/>
      </c>
      <c r="CA688" s="76">
        <f>IF(TRIM($AF688&amp;"")="","NR",LEFT(TRIM($AF688),2))</f>
        <v/>
      </c>
      <c r="CB688" s="76">
        <f>IFERROR(LOOKUP(2,1/(LEFT(TRIM($AI688&amp;""),LEN(mapRegion))=mapRegion),mapRegion),"Not Reported")</f>
        <v/>
      </c>
      <c r="CC688" s="76">
        <f>IF($BY688=0,"",IF(TRIM($W688&amp;"")="REO","REO",IF(TRIM($W688&amp;"")="FC","Foreclosure",IF(TRIM($W688&amp;"")="90+","90+ Days Delinquent",IF(TRIM($W688&amp;"")="60","60 Days Delinquent",IF(TRIM($W688&amp;"")="30","30 Days Delinquent",IF($X688="Non-Performing Matured Balloon","Non-Performing Matured Balloon",IF(OR($X688="Late Payment But Less Than 30 Days Delinquent",LEFT($X688&amp;"",20)="Payment Not Received"),"Late / In Grace (&lt;30 Days)",IF($X688="Performing Matured Balloon","Performing Matured Balloon","Current")))))))))</f>
        <v/>
      </c>
      <c r="CD688" s="78">
        <f>IF(OR($CC688="REO",$CC688="Foreclosure",$CC688="90+ Days Delinquent",$CC688="60 Days Delinquent",$CC688="30 Days Delinquent",$CC688="Non-Performing Matured Balloon"),1,0)</f>
        <v/>
      </c>
      <c r="CE688" s="76">
        <f>IF($AB688="Currently special serv","Currently Specially Serviced",IF($AB688="Returned to master serv","Previously Specially Serviced","Never Specially Serviced"))</f>
        <v/>
      </c>
      <c r="CF688" s="78">
        <f>IF($CE688="Currently Specially Serviced",1,0)</f>
        <v/>
      </c>
      <c r="CG688" s="76">
        <f>IF($AA688="Yes","Currently on Watchlist",IF($AA688="Previously","Previously on Watchlist","Never on Watchlist"))</f>
        <v/>
      </c>
      <c r="CH688" s="78">
        <f>IF($CG688="Currently on Watchlist",1,0)</f>
        <v/>
      </c>
      <c r="CI688" s="76">
        <f>IF($Z688="Full Defeasance","Fully Defeased",IF($Z688="Portion Of Loan Previously Defeased","Partially Defeased",IF($Z688="Defeasance Not Allowable","Not Defeased (Not Permitted)","Not Defeased")))</f>
        <v/>
      </c>
      <c r="CJ688" s="78">
        <f>IF($CI688="Fully Defeased",1,0)</f>
        <v/>
      </c>
      <c r="CK688" s="76">
        <f>IF($R688="IO","Full IO",IF(LEFT($R688&amp;"",7)="IO then","Partial IO","Amortizing"))</f>
        <v/>
      </c>
      <c r="CL688" s="78">
        <f>IF($CK688="Full IO",1,0)</f>
        <v/>
      </c>
      <c r="CM688" s="78">
        <f>IF($CK688="Partial IO",1,0)</f>
        <v/>
      </c>
      <c r="CN688" s="76">
        <f>IF(LEFT($F688&amp;"",10)="SPLIT_LOAN","Pari Passu Split","Standalone")</f>
        <v/>
      </c>
      <c r="CO688" s="78">
        <f>IF($CN688="Pari Passu Split",1,0)</f>
        <v/>
      </c>
      <c r="CP688" s="77">
        <f>IF(ISNUMBER($T688),YEAR($T688),"")</f>
        <v/>
      </c>
      <c r="CQ688" s="79">
        <f>IF(ISNUMBER($V688),$V688,IF(ISNUMBER($U688),$U688,""))</f>
        <v/>
      </c>
      <c r="CR688" s="77">
        <f>IF(ISNUMBER($CQ688),YEAR($CQ688),"")</f>
        <v/>
      </c>
      <c r="CS688" s="78">
        <f>IF(ISNUMBER($M688),MAX(0,$M688),IF(TRIM($M688&amp;"")="matured",0,""))</f>
        <v/>
      </c>
      <c r="CT688" s="78">
        <f>IF(AND(ISNUMBER($CS688),N($CS688)&lt;=mMatWindow),1,0)</f>
        <v/>
      </c>
      <c r="CU688" s="80">
        <f>IF(ISNUMBER($J688),$J688/100,"")</f>
        <v/>
      </c>
      <c r="CV688" s="81">
        <f>IF(ISNUMBER($AQ688),$AQ688,"")</f>
        <v/>
      </c>
      <c r="CW688" s="81">
        <f>IF(ISNUMBER($AR688),$AR688,"")</f>
        <v/>
      </c>
      <c r="CX688" s="82">
        <f>IF(ISNUMBER($AS688),$AS688/100,"")</f>
        <v/>
      </c>
      <c r="CY688" s="82">
        <f>IF(ISNUMBER($AT688),$AT688/100,"")</f>
        <v/>
      </c>
      <c r="CZ688" s="82">
        <f>IF(ISNUMBER($AU688),$AU688/100,"")</f>
        <v/>
      </c>
      <c r="DA688" s="82">
        <f>IF(ISNUMBER($AV688),$AV688/100,"")</f>
        <v/>
      </c>
      <c r="DB688" s="82">
        <f>IF(ISNUMBER($AW688),$AW688/100,"")</f>
        <v/>
      </c>
      <c r="DC688" s="82">
        <f>IF(ISNUMBER($AX688),$AX688/100,"")</f>
        <v/>
      </c>
      <c r="DD688" s="77">
        <f>IFERROR(VALUE(LEFT(TRIM($AO688&amp;""),4)),"")</f>
        <v/>
      </c>
      <c r="DE688" s="78">
        <f>IF(AND($BY688=1,$BX688=1,OR(fDeal="All Deals",$BU688=fDeal),OR(fEntity="All Entities",$BV688=fEntity),OR(fPType="All Property Types",$BZ688=fPType),OR(fDefeased="Include",$CJ688=0)),1,0)</f>
        <v/>
      </c>
      <c r="DF688" s="83">
        <f>$DE688*N($I688)</f>
        <v/>
      </c>
      <c r="DG688" s="78">
        <f>IF($DE688=1,IF(COUNTIFS($F$8:$F688,$F688,$DE$8:$DE688,1)=1,1,0),0)</f>
        <v/>
      </c>
      <c r="DH688" s="83">
        <f>IF($DG688=1,SUMIFS($DF$8:$DF$1600,$F$8:$F$1600,$F688),0)</f>
        <v/>
      </c>
      <c r="DI688" s="78">
        <f>IF($DG688=1,COUNTIFS($F$8:$F$1600,$F688,$DE$8:$DE$1600,1),0)</f>
        <v/>
      </c>
      <c r="DJ688" s="84">
        <f>IF($DG688=1,$DH688+(100000-ROW())/mTieBreak,0)</f>
        <v/>
      </c>
    </row>
    <row r="689">
      <c r="B689" s="68" t="n">
        <v>14</v>
      </c>
      <c r="C689" s="69" t="inlineStr">
        <is>
          <t>UBS19C16</t>
        </is>
      </c>
      <c r="D689" s="69" t="inlineStr">
        <is>
          <t>14.000</t>
        </is>
      </c>
      <c r="E689" s="69" t="inlineStr">
        <is>
          <t>Cable Park</t>
        </is>
      </c>
      <c r="F689" s="69" t="inlineStr">
        <is>
          <t>LNUBS19C16-14.000</t>
        </is>
      </c>
      <c r="G689" s="70" t="n"/>
      <c r="H689" s="71" t="n">
        <v>18200000</v>
      </c>
      <c r="I689" s="71" t="n">
        <v>16984242.999997</v>
      </c>
      <c r="J689" s="72" t="n">
        <v>5.41</v>
      </c>
      <c r="K689" s="69" t="inlineStr">
        <is>
          <t>Fixed rate</t>
        </is>
      </c>
      <c r="L689" s="68" t="n">
        <v>120</v>
      </c>
      <c r="M689" s="68" t="n">
        <v>28</v>
      </c>
      <c r="N689" s="68" t="n">
        <v>396</v>
      </c>
      <c r="O689" s="68" t="n">
        <v>36</v>
      </c>
      <c r="P689" s="68" t="n">
        <v>0</v>
      </c>
      <c r="Q689" s="68" t="n">
        <v>92</v>
      </c>
      <c r="R689" s="69" t="inlineStr">
        <is>
          <t>IO then Amort</t>
        </is>
      </c>
      <c r="S689" s="69" t="inlineStr">
        <is>
          <t>No</t>
        </is>
      </c>
      <c r="T689" s="73" t="n">
        <v>43466</v>
      </c>
      <c r="U689" s="73" t="n">
        <v>47124</v>
      </c>
      <c r="V689" s="73" t="n"/>
      <c r="W689" s="69" t="n"/>
      <c r="X689" s="69" t="inlineStr">
        <is>
          <t>Current</t>
        </is>
      </c>
      <c r="Y689" s="68" t="n"/>
      <c r="Z689" s="69" t="inlineStr">
        <is>
          <t>Defeasance Not Allowable</t>
        </is>
      </c>
      <c r="AA689" s="69" t="inlineStr">
        <is>
          <t>Yes</t>
        </is>
      </c>
      <c r="AB689" s="69" t="inlineStr">
        <is>
          <t>Never special serv</t>
        </is>
      </c>
      <c r="AC689" s="73" t="n"/>
      <c r="AD689" s="69" t="n"/>
      <c r="AE689" s="69" t="n"/>
      <c r="AF689" s="69" t="inlineStr">
        <is>
          <t>CA</t>
        </is>
      </c>
      <c r="AG689" s="69" t="inlineStr">
        <is>
          <t>Orangevale</t>
        </is>
      </c>
      <c r="AH689" s="69" t="inlineStr">
        <is>
          <t>Sacramento-Roseville-Folsom, CA</t>
        </is>
      </c>
      <c r="AI689" s="69" t="inlineStr">
        <is>
          <t>West / Pacific North</t>
        </is>
      </c>
      <c r="AJ689" s="69" t="inlineStr">
        <is>
          <t>RT</t>
        </is>
      </c>
      <c r="AK689" s="69" t="inlineStr">
        <is>
          <t>Anchored</t>
        </is>
      </c>
      <c r="AL689" s="68" t="n">
        <v>1</v>
      </c>
      <c r="AM689" s="68" t="n"/>
      <c r="AN689" s="68" t="n">
        <v>161310</v>
      </c>
      <c r="AO689" s="69" t="inlineStr">
        <is>
          <t>1961</t>
        </is>
      </c>
      <c r="AP689" s="70" t="n">
        <v>2017</v>
      </c>
      <c r="AQ689" s="74" t="n">
        <v>1.63</v>
      </c>
      <c r="AR689" s="74" t="n">
        <v>1.16</v>
      </c>
      <c r="AS689" s="74" t="n">
        <v>61.5</v>
      </c>
      <c r="AT689" s="74" t="n">
        <v>57.38</v>
      </c>
      <c r="AU689" s="74" t="n">
        <v>54.9</v>
      </c>
      <c r="AV689" s="74" t="n">
        <v>8.965817912</v>
      </c>
      <c r="AW689" s="74" t="n">
        <v>9.343704750000001</v>
      </c>
      <c r="AX689" s="75" t="n">
        <v>72</v>
      </c>
      <c r="AY689" s="71" t="n">
        <v>29600000</v>
      </c>
      <c r="AZ689" s="71" t="n">
        <v>29600000</v>
      </c>
      <c r="BA689" s="71" t="n">
        <v>1631778.86</v>
      </c>
      <c r="BB689" s="71" t="n">
        <v>356977.71</v>
      </c>
      <c r="BC689" s="69" t="inlineStr">
        <is>
          <t>Refinance</t>
        </is>
      </c>
      <c r="BD689" s="69" t="inlineStr">
        <is>
          <t>N</t>
        </is>
      </c>
      <c r="BE689" s="71" t="n"/>
      <c r="BF689" s="71" t="n"/>
      <c r="BG689" s="71" t="n"/>
      <c r="BH689" s="71" t="n">
        <v>0</v>
      </c>
      <c r="BI689" s="71" t="n">
        <v>0</v>
      </c>
      <c r="BJ689" s="69" t="inlineStr">
        <is>
          <t>N</t>
        </is>
      </c>
      <c r="BK689" s="69" t="inlineStr">
        <is>
          <t>Ross Store #2071</t>
        </is>
      </c>
      <c r="BL689" s="75" t="n">
        <v>13.6</v>
      </c>
      <c r="BM689" s="73" t="n">
        <v>47149</v>
      </c>
      <c r="BN689" s="69" t="inlineStr">
        <is>
          <t>John P. Walsh; Jay Kerner</t>
        </is>
      </c>
      <c r="BO689" s="69" t="inlineStr">
        <is>
          <t>UBS</t>
        </is>
      </c>
      <c r="BP689" s="69" t="inlineStr">
        <is>
          <t>Midland Loan Services</t>
        </is>
      </c>
      <c r="BQ689" s="69" t="inlineStr">
        <is>
          <t>Midland Loan Services</t>
        </is>
      </c>
      <c r="BR689" s="69" t="n"/>
      <c r="BS689" s="73" t="n">
        <v>46276</v>
      </c>
      <c r="BU689" s="76">
        <f>IF($C689="","",IFERROR(INDEX(dmName,MATCH($C689,dmID,0)),"Unmapped"))</f>
        <v/>
      </c>
      <c r="BV689" s="76">
        <f>IF($C689="","",IFERROR(INDEX(dmEntity,MATCH($C689,dmID,0)),"Unmapped"))</f>
        <v/>
      </c>
      <c r="BW689" s="77">
        <f>IF($C689="","",IFERROR(INDEX(dmVintage,MATCH($C689,dmID,0)),""))</f>
        <v/>
      </c>
      <c r="BX689" s="78">
        <f>IFERROR(INDEX(dmInclude,MATCH($C689,dmID,0)),0)</f>
        <v/>
      </c>
      <c r="BY689" s="78">
        <f>IF(N($I689)&gt;0,1,0)</f>
        <v/>
      </c>
      <c r="BZ689" s="76">
        <f>IF($AJ689="","Other / Leased Fee",IFERROR(INDEX(mapPTGroup,MATCH(LEFT(TRIM($AJ689),2),mapPTCode,0)),"Other / Leased Fee"))</f>
        <v/>
      </c>
      <c r="CA689" s="76">
        <f>IF(TRIM($AF689&amp;"")="","NR",LEFT(TRIM($AF689),2))</f>
        <v/>
      </c>
      <c r="CB689" s="76">
        <f>IFERROR(LOOKUP(2,1/(LEFT(TRIM($AI689&amp;""),LEN(mapRegion))=mapRegion),mapRegion),"Not Reported")</f>
        <v/>
      </c>
      <c r="CC689" s="76">
        <f>IF($BY689=0,"",IF(TRIM($W689&amp;"")="REO","REO",IF(TRIM($W689&amp;"")="FC","Foreclosure",IF(TRIM($W689&amp;"")="90+","90+ Days Delinquent",IF(TRIM($W689&amp;"")="60","60 Days Delinquent",IF(TRIM($W689&amp;"")="30","30 Days Delinquent",IF($X689="Non-Performing Matured Balloon","Non-Performing Matured Balloon",IF(OR($X689="Late Payment But Less Than 30 Days Delinquent",LEFT($X689&amp;"",20)="Payment Not Received"),"Late / In Grace (&lt;30 Days)",IF($X689="Performing Matured Balloon","Performing Matured Balloon","Current")))))))))</f>
        <v/>
      </c>
      <c r="CD689" s="78">
        <f>IF(OR($CC689="REO",$CC689="Foreclosure",$CC689="90+ Days Delinquent",$CC689="60 Days Delinquent",$CC689="30 Days Delinquent",$CC689="Non-Performing Matured Balloon"),1,0)</f>
        <v/>
      </c>
      <c r="CE689" s="76">
        <f>IF($AB689="Currently special serv","Currently Specially Serviced",IF($AB689="Returned to master serv","Previously Specially Serviced","Never Specially Serviced"))</f>
        <v/>
      </c>
      <c r="CF689" s="78">
        <f>IF($CE689="Currently Specially Serviced",1,0)</f>
        <v/>
      </c>
      <c r="CG689" s="76">
        <f>IF($AA689="Yes","Currently on Watchlist",IF($AA689="Previously","Previously on Watchlist","Never on Watchlist"))</f>
        <v/>
      </c>
      <c r="CH689" s="78">
        <f>IF($CG689="Currently on Watchlist",1,0)</f>
        <v/>
      </c>
      <c r="CI689" s="76">
        <f>IF($Z689="Full Defeasance","Fully Defeased",IF($Z689="Portion Of Loan Previously Defeased","Partially Defeased",IF($Z689="Defeasance Not Allowable","Not Defeased (Not Permitted)","Not Defeased")))</f>
        <v/>
      </c>
      <c r="CJ689" s="78">
        <f>IF($CI689="Fully Defeased",1,0)</f>
        <v/>
      </c>
      <c r="CK689" s="76">
        <f>IF($R689="IO","Full IO",IF(LEFT($R689&amp;"",7)="IO then","Partial IO","Amortizing"))</f>
        <v/>
      </c>
      <c r="CL689" s="78">
        <f>IF($CK689="Full IO",1,0)</f>
        <v/>
      </c>
      <c r="CM689" s="78">
        <f>IF($CK689="Partial IO",1,0)</f>
        <v/>
      </c>
      <c r="CN689" s="76">
        <f>IF(LEFT($F689&amp;"",10)="SPLIT_LOAN","Pari Passu Split","Standalone")</f>
        <v/>
      </c>
      <c r="CO689" s="78">
        <f>IF($CN689="Pari Passu Split",1,0)</f>
        <v/>
      </c>
      <c r="CP689" s="77">
        <f>IF(ISNUMBER($T689),YEAR($T689),"")</f>
        <v/>
      </c>
      <c r="CQ689" s="79">
        <f>IF(ISNUMBER($V689),$V689,IF(ISNUMBER($U689),$U689,""))</f>
        <v/>
      </c>
      <c r="CR689" s="77">
        <f>IF(ISNUMBER($CQ689),YEAR($CQ689),"")</f>
        <v/>
      </c>
      <c r="CS689" s="78">
        <f>IF(ISNUMBER($M689),MAX(0,$M689),IF(TRIM($M689&amp;"")="matured",0,""))</f>
        <v/>
      </c>
      <c r="CT689" s="78">
        <f>IF(AND(ISNUMBER($CS689),N($CS689)&lt;=mMatWindow),1,0)</f>
        <v/>
      </c>
      <c r="CU689" s="80">
        <f>IF(ISNUMBER($J689),$J689/100,"")</f>
        <v/>
      </c>
      <c r="CV689" s="81">
        <f>IF(ISNUMBER($AQ689),$AQ689,"")</f>
        <v/>
      </c>
      <c r="CW689" s="81">
        <f>IF(ISNUMBER($AR689),$AR689,"")</f>
        <v/>
      </c>
      <c r="CX689" s="82">
        <f>IF(ISNUMBER($AS689),$AS689/100,"")</f>
        <v/>
      </c>
      <c r="CY689" s="82">
        <f>IF(ISNUMBER($AT689),$AT689/100,"")</f>
        <v/>
      </c>
      <c r="CZ689" s="82">
        <f>IF(ISNUMBER($AU689),$AU689/100,"")</f>
        <v/>
      </c>
      <c r="DA689" s="82">
        <f>IF(ISNUMBER($AV689),$AV689/100,"")</f>
        <v/>
      </c>
      <c r="DB689" s="82">
        <f>IF(ISNUMBER($AW689),$AW689/100,"")</f>
        <v/>
      </c>
      <c r="DC689" s="82">
        <f>IF(ISNUMBER($AX689),$AX689/100,"")</f>
        <v/>
      </c>
      <c r="DD689" s="77">
        <f>IFERROR(VALUE(LEFT(TRIM($AO689&amp;""),4)),"")</f>
        <v/>
      </c>
      <c r="DE689" s="78">
        <f>IF(AND($BY689=1,$BX689=1,OR(fDeal="All Deals",$BU689=fDeal),OR(fEntity="All Entities",$BV689=fEntity),OR(fPType="All Property Types",$BZ689=fPType),OR(fDefeased="Include",$CJ689=0)),1,0)</f>
        <v/>
      </c>
      <c r="DF689" s="83">
        <f>$DE689*N($I689)</f>
        <v/>
      </c>
      <c r="DG689" s="78">
        <f>IF($DE689=1,IF(COUNTIFS($F$8:$F689,$F689,$DE$8:$DE689,1)=1,1,0),0)</f>
        <v/>
      </c>
      <c r="DH689" s="83">
        <f>IF($DG689=1,SUMIFS($DF$8:$DF$1600,$F$8:$F$1600,$F689),0)</f>
        <v/>
      </c>
      <c r="DI689" s="78">
        <f>IF($DG689=1,COUNTIFS($F$8:$F$1600,$F689,$DE$8:$DE$1600,1),0)</f>
        <v/>
      </c>
      <c r="DJ689" s="84">
        <f>IF($DG689=1,$DH689+(100000-ROW())/mTieBreak,0)</f>
        <v/>
      </c>
    </row>
    <row r="690">
      <c r="B690" s="68" t="n">
        <v>15</v>
      </c>
      <c r="C690" s="69" t="inlineStr">
        <is>
          <t>UBS19C16</t>
        </is>
      </c>
      <c r="D690" s="69" t="inlineStr">
        <is>
          <t>15.000</t>
        </is>
      </c>
      <c r="E690" s="69" t="inlineStr">
        <is>
          <t>Kyle Crossing</t>
        </is>
      </c>
      <c r="F690" s="69" t="inlineStr">
        <is>
          <t>LNUBS19C16-15.000</t>
        </is>
      </c>
      <c r="G690" s="70" t="n"/>
      <c r="H690" s="71" t="n">
        <v>18100000</v>
      </c>
      <c r="I690" s="71" t="n">
        <v>18100000</v>
      </c>
      <c r="J690" s="72" t="n">
        <v>5.463</v>
      </c>
      <c r="K690" s="69" t="inlineStr">
        <is>
          <t>Fixed rate</t>
        </is>
      </c>
      <c r="L690" s="68" t="n">
        <v>120</v>
      </c>
      <c r="M690" s="68" t="n">
        <v>28</v>
      </c>
      <c r="N690" s="68" t="n">
        <v>120</v>
      </c>
      <c r="O690" s="68" t="n">
        <v>120</v>
      </c>
      <c r="P690" s="68" t="n">
        <v>28</v>
      </c>
      <c r="Q690" s="68" t="n">
        <v>92</v>
      </c>
      <c r="R690" s="69" t="inlineStr">
        <is>
          <t>IO</t>
        </is>
      </c>
      <c r="S690" s="69" t="inlineStr">
        <is>
          <t>Yes</t>
        </is>
      </c>
      <c r="T690" s="73" t="n">
        <v>43466</v>
      </c>
      <c r="U690" s="73" t="n">
        <v>47124</v>
      </c>
      <c r="V690" s="73" t="n"/>
      <c r="W690" s="69" t="n"/>
      <c r="X690" s="69" t="inlineStr">
        <is>
          <t>Current</t>
        </is>
      </c>
      <c r="Y690" s="68" t="n"/>
      <c r="Z690" s="69" t="inlineStr">
        <is>
          <t>Defeasance Not Allowable</t>
        </is>
      </c>
      <c r="AA690" s="69" t="inlineStr">
        <is>
          <t>Yes</t>
        </is>
      </c>
      <c r="AB690" s="69" t="inlineStr">
        <is>
          <t>Never special serv</t>
        </is>
      </c>
      <c r="AC690" s="73" t="n"/>
      <c r="AD690" s="69" t="n"/>
      <c r="AE690" s="69" t="n"/>
      <c r="AF690" s="69" t="inlineStr">
        <is>
          <t>TX</t>
        </is>
      </c>
      <c r="AG690" s="69" t="inlineStr">
        <is>
          <t>Kyle</t>
        </is>
      </c>
      <c r="AH690" s="69" t="inlineStr">
        <is>
          <t>Austin-Round Rock-San Marcos, TX</t>
        </is>
      </c>
      <c r="AI690" s="69" t="inlineStr">
        <is>
          <t>South / Central West</t>
        </is>
      </c>
      <c r="AJ690" s="69" t="inlineStr">
        <is>
          <t>RT</t>
        </is>
      </c>
      <c r="AK690" s="69" t="inlineStr">
        <is>
          <t>Anchored</t>
        </is>
      </c>
      <c r="AL690" s="68" t="n">
        <v>1</v>
      </c>
      <c r="AM690" s="68" t="n"/>
      <c r="AN690" s="68" t="n">
        <v>121485</v>
      </c>
      <c r="AO690" s="69" t="inlineStr">
        <is>
          <t>2009</t>
        </is>
      </c>
      <c r="AP690" s="70" t="n">
        <v>2009</v>
      </c>
      <c r="AQ690" s="74" t="n">
        <v>2</v>
      </c>
      <c r="AR690" s="74" t="n">
        <v>2.69</v>
      </c>
      <c r="AS690" s="74" t="n">
        <v>62.1</v>
      </c>
      <c r="AT690" s="74" t="n">
        <v>62.07</v>
      </c>
      <c r="AU690" s="74" t="n">
        <v>62.1</v>
      </c>
      <c r="AV690" s="74" t="n">
        <v>11.052404144</v>
      </c>
      <c r="AW690" s="74" t="n">
        <v>12.530388232</v>
      </c>
      <c r="AX690" s="75" t="n">
        <v>99</v>
      </c>
      <c r="AY690" s="71" t="n">
        <v>29160000</v>
      </c>
      <c r="AZ690" s="71" t="n">
        <v>29160000</v>
      </c>
      <c r="BA690" s="71" t="n">
        <v>2000485.15</v>
      </c>
      <c r="BB690" s="71" t="n">
        <v>675212.77</v>
      </c>
      <c r="BC690" s="69" t="inlineStr">
        <is>
          <t>Acquisition</t>
        </is>
      </c>
      <c r="BD690" s="69" t="inlineStr">
        <is>
          <t>N</t>
        </is>
      </c>
      <c r="BE690" s="71" t="n"/>
      <c r="BF690" s="71" t="n"/>
      <c r="BG690" s="71" t="n"/>
      <c r="BH690" s="71" t="n">
        <v>0</v>
      </c>
      <c r="BI690" s="71" t="n">
        <v>0</v>
      </c>
      <c r="BJ690" s="69" t="inlineStr">
        <is>
          <t>N</t>
        </is>
      </c>
      <c r="BK690" s="69" t="inlineStr">
        <is>
          <t>Ross Dress For Less</t>
        </is>
      </c>
      <c r="BL690" s="75" t="n">
        <v>20.58</v>
      </c>
      <c r="BM690" s="73" t="n">
        <v>47514</v>
      </c>
      <c r="BN690" s="69" t="inlineStr">
        <is>
          <t>Michael Montgomery</t>
        </is>
      </c>
      <c r="BO690" s="69" t="inlineStr">
        <is>
          <t>UBS</t>
        </is>
      </c>
      <c r="BP690" s="69" t="inlineStr">
        <is>
          <t>Midland Loan Services</t>
        </is>
      </c>
      <c r="BQ690" s="69" t="inlineStr">
        <is>
          <t>Midland Loan Services</t>
        </is>
      </c>
      <c r="BR690" s="69" t="n"/>
      <c r="BS690" s="73" t="n">
        <v>46276</v>
      </c>
      <c r="BU690" s="76">
        <f>IF($C690="","",IFERROR(INDEX(dmName,MATCH($C690,dmID,0)),"Unmapped"))</f>
        <v/>
      </c>
      <c r="BV690" s="76">
        <f>IF($C690="","",IFERROR(INDEX(dmEntity,MATCH($C690,dmID,0)),"Unmapped"))</f>
        <v/>
      </c>
      <c r="BW690" s="77">
        <f>IF($C690="","",IFERROR(INDEX(dmVintage,MATCH($C690,dmID,0)),""))</f>
        <v/>
      </c>
      <c r="BX690" s="78">
        <f>IFERROR(INDEX(dmInclude,MATCH($C690,dmID,0)),0)</f>
        <v/>
      </c>
      <c r="BY690" s="78">
        <f>IF(N($I690)&gt;0,1,0)</f>
        <v/>
      </c>
      <c r="BZ690" s="76">
        <f>IF($AJ690="","Other / Leased Fee",IFERROR(INDEX(mapPTGroup,MATCH(LEFT(TRIM($AJ690),2),mapPTCode,0)),"Other / Leased Fee"))</f>
        <v/>
      </c>
      <c r="CA690" s="76">
        <f>IF(TRIM($AF690&amp;"")="","NR",LEFT(TRIM($AF690),2))</f>
        <v/>
      </c>
      <c r="CB690" s="76">
        <f>IFERROR(LOOKUP(2,1/(LEFT(TRIM($AI690&amp;""),LEN(mapRegion))=mapRegion),mapRegion),"Not Reported")</f>
        <v/>
      </c>
      <c r="CC690" s="76">
        <f>IF($BY690=0,"",IF(TRIM($W690&amp;"")="REO","REO",IF(TRIM($W690&amp;"")="FC","Foreclosure",IF(TRIM($W690&amp;"")="90+","90+ Days Delinquent",IF(TRIM($W690&amp;"")="60","60 Days Delinquent",IF(TRIM($W690&amp;"")="30","30 Days Delinquent",IF($X690="Non-Performing Matured Balloon","Non-Performing Matured Balloon",IF(OR($X690="Late Payment But Less Than 30 Days Delinquent",LEFT($X690&amp;"",20)="Payment Not Received"),"Late / In Grace (&lt;30 Days)",IF($X690="Performing Matured Balloon","Performing Matured Balloon","Current")))))))))</f>
        <v/>
      </c>
      <c r="CD690" s="78">
        <f>IF(OR($CC690="REO",$CC690="Foreclosure",$CC690="90+ Days Delinquent",$CC690="60 Days Delinquent",$CC690="30 Days Delinquent",$CC690="Non-Performing Matured Balloon"),1,0)</f>
        <v/>
      </c>
      <c r="CE690" s="76">
        <f>IF($AB690="Currently special serv","Currently Specially Serviced",IF($AB690="Returned to master serv","Previously Specially Serviced","Never Specially Serviced"))</f>
        <v/>
      </c>
      <c r="CF690" s="78">
        <f>IF($CE690="Currently Specially Serviced",1,0)</f>
        <v/>
      </c>
      <c r="CG690" s="76">
        <f>IF($AA690="Yes","Currently on Watchlist",IF($AA690="Previously","Previously on Watchlist","Never on Watchlist"))</f>
        <v/>
      </c>
      <c r="CH690" s="78">
        <f>IF($CG690="Currently on Watchlist",1,0)</f>
        <v/>
      </c>
      <c r="CI690" s="76">
        <f>IF($Z690="Full Defeasance","Fully Defeased",IF($Z690="Portion Of Loan Previously Defeased","Partially Defeased",IF($Z690="Defeasance Not Allowable","Not Defeased (Not Permitted)","Not Defeased")))</f>
        <v/>
      </c>
      <c r="CJ690" s="78">
        <f>IF($CI690="Fully Defeased",1,0)</f>
        <v/>
      </c>
      <c r="CK690" s="76">
        <f>IF($R690="IO","Full IO",IF(LEFT($R690&amp;"",7)="IO then","Partial IO","Amortizing"))</f>
        <v/>
      </c>
      <c r="CL690" s="78">
        <f>IF($CK690="Full IO",1,0)</f>
        <v/>
      </c>
      <c r="CM690" s="78">
        <f>IF($CK690="Partial IO",1,0)</f>
        <v/>
      </c>
      <c r="CN690" s="76">
        <f>IF(LEFT($F690&amp;"",10)="SPLIT_LOAN","Pari Passu Split","Standalone")</f>
        <v/>
      </c>
      <c r="CO690" s="78">
        <f>IF($CN690="Pari Passu Split",1,0)</f>
        <v/>
      </c>
      <c r="CP690" s="77">
        <f>IF(ISNUMBER($T690),YEAR($T690),"")</f>
        <v/>
      </c>
      <c r="CQ690" s="79">
        <f>IF(ISNUMBER($V690),$V690,IF(ISNUMBER($U690),$U690,""))</f>
        <v/>
      </c>
      <c r="CR690" s="77">
        <f>IF(ISNUMBER($CQ690),YEAR($CQ690),"")</f>
        <v/>
      </c>
      <c r="CS690" s="78">
        <f>IF(ISNUMBER($M690),MAX(0,$M690),IF(TRIM($M690&amp;"")="matured",0,""))</f>
        <v/>
      </c>
      <c r="CT690" s="78">
        <f>IF(AND(ISNUMBER($CS690),N($CS690)&lt;=mMatWindow),1,0)</f>
        <v/>
      </c>
      <c r="CU690" s="80">
        <f>IF(ISNUMBER($J690),$J690/100,"")</f>
        <v/>
      </c>
      <c r="CV690" s="81">
        <f>IF(ISNUMBER($AQ690),$AQ690,"")</f>
        <v/>
      </c>
      <c r="CW690" s="81">
        <f>IF(ISNUMBER($AR690),$AR690,"")</f>
        <v/>
      </c>
      <c r="CX690" s="82">
        <f>IF(ISNUMBER($AS690),$AS690/100,"")</f>
        <v/>
      </c>
      <c r="CY690" s="82">
        <f>IF(ISNUMBER($AT690),$AT690/100,"")</f>
        <v/>
      </c>
      <c r="CZ690" s="82">
        <f>IF(ISNUMBER($AU690),$AU690/100,"")</f>
        <v/>
      </c>
      <c r="DA690" s="82">
        <f>IF(ISNUMBER($AV690),$AV690/100,"")</f>
        <v/>
      </c>
      <c r="DB690" s="82">
        <f>IF(ISNUMBER($AW690),$AW690/100,"")</f>
        <v/>
      </c>
      <c r="DC690" s="82">
        <f>IF(ISNUMBER($AX690),$AX690/100,"")</f>
        <v/>
      </c>
      <c r="DD690" s="77">
        <f>IFERROR(VALUE(LEFT(TRIM($AO690&amp;""),4)),"")</f>
        <v/>
      </c>
      <c r="DE690" s="78">
        <f>IF(AND($BY690=1,$BX690=1,OR(fDeal="All Deals",$BU690=fDeal),OR(fEntity="All Entities",$BV690=fEntity),OR(fPType="All Property Types",$BZ690=fPType),OR(fDefeased="Include",$CJ690=0)),1,0)</f>
        <v/>
      </c>
      <c r="DF690" s="83">
        <f>$DE690*N($I690)</f>
        <v/>
      </c>
      <c r="DG690" s="78">
        <f>IF($DE690=1,IF(COUNTIFS($F$8:$F690,$F690,$DE$8:$DE690,1)=1,1,0),0)</f>
        <v/>
      </c>
      <c r="DH690" s="83">
        <f>IF($DG690=1,SUMIFS($DF$8:$DF$1600,$F$8:$F$1600,$F690),0)</f>
        <v/>
      </c>
      <c r="DI690" s="78">
        <f>IF($DG690=1,COUNTIFS($F$8:$F$1600,$F690,$DE$8:$DE$1600,1),0)</f>
        <v/>
      </c>
      <c r="DJ690" s="84">
        <f>IF($DG690=1,$DH690+(100000-ROW())/mTieBreak,0)</f>
        <v/>
      </c>
    </row>
    <row r="691">
      <c r="B691" s="68" t="n">
        <v>16</v>
      </c>
      <c r="C691" s="69" t="inlineStr">
        <is>
          <t>UBS19C16</t>
        </is>
      </c>
      <c r="D691" s="69" t="inlineStr">
        <is>
          <t>16.000</t>
        </is>
      </c>
      <c r="E691" s="69" t="inlineStr">
        <is>
          <t>Baton Rouge Portfolio</t>
        </is>
      </c>
      <c r="F691" s="69" t="inlineStr">
        <is>
          <t>LNUBS19C16-16.000</t>
        </is>
      </c>
      <c r="G691" s="70" t="n"/>
      <c r="H691" s="71" t="n">
        <v>17800000</v>
      </c>
      <c r="I691" s="71" t="n">
        <v>16703459.3500066</v>
      </c>
      <c r="J691" s="72" t="n">
        <v>5.59</v>
      </c>
      <c r="K691" s="69" t="inlineStr">
        <is>
          <t>Fixed rate</t>
        </is>
      </c>
      <c r="L691" s="68" t="n">
        <v>120</v>
      </c>
      <c r="M691" s="68" t="n">
        <v>30</v>
      </c>
      <c r="N691" s="68" t="n">
        <v>396</v>
      </c>
      <c r="O691" s="68" t="n">
        <v>36</v>
      </c>
      <c r="P691" s="68" t="n">
        <v>0</v>
      </c>
      <c r="Q691" s="68" t="n">
        <v>90</v>
      </c>
      <c r="R691" s="69" t="inlineStr">
        <is>
          <t>IO then Amort</t>
        </is>
      </c>
      <c r="S691" s="69" t="inlineStr">
        <is>
          <t>No</t>
        </is>
      </c>
      <c r="T691" s="73" t="n">
        <v>43525</v>
      </c>
      <c r="U691" s="73" t="n">
        <v>47183</v>
      </c>
      <c r="V691" s="73" t="n"/>
      <c r="W691" s="69" t="inlineStr">
        <is>
          <t>90+</t>
        </is>
      </c>
      <c r="X691" s="69" t="inlineStr">
        <is>
          <t>121+ Days Delinquent</t>
        </is>
      </c>
      <c r="Y691" s="68" t="n">
        <v>20</v>
      </c>
      <c r="Z691" s="69" t="inlineStr">
        <is>
          <t>Defeasance Not Allowable</t>
        </is>
      </c>
      <c r="AA691" s="69" t="inlineStr">
        <is>
          <t>Previously</t>
        </is>
      </c>
      <c r="AB691" s="69" t="inlineStr">
        <is>
          <t>Currently special serv</t>
        </is>
      </c>
      <c r="AC691" s="73" t="n">
        <v>45313</v>
      </c>
      <c r="AD691" s="69" t="inlineStr">
        <is>
          <t>Payment Default (all payments excluding Balloon/Maturity Payment)</t>
        </is>
      </c>
      <c r="AE691" s="69" t="inlineStr">
        <is>
          <t>DPO</t>
        </is>
      </c>
      <c r="AF691" s="69" t="inlineStr">
        <is>
          <t>LA</t>
        </is>
      </c>
      <c r="AG691" s="69" t="inlineStr">
        <is>
          <t>Baton Rouge</t>
        </is>
      </c>
      <c r="AH691" s="69" t="inlineStr">
        <is>
          <t>Baton Rouge, LA</t>
        </is>
      </c>
      <c r="AI691" s="69" t="inlineStr">
        <is>
          <t>South / Central West</t>
        </is>
      </c>
      <c r="AJ691" s="69" t="inlineStr">
        <is>
          <t>MF</t>
        </is>
      </c>
      <c r="AK691" s="69" t="inlineStr">
        <is>
          <t>Garden</t>
        </is>
      </c>
      <c r="AL691" s="68" t="n">
        <v>5</v>
      </c>
      <c r="AM691" s="68" t="n">
        <v>415</v>
      </c>
      <c r="AN691" s="68" t="n"/>
      <c r="AO691" s="69" t="n"/>
      <c r="AP691" s="70" t="n">
        <v>1975</v>
      </c>
      <c r="AQ691" s="74" t="n">
        <v>1.68</v>
      </c>
      <c r="AR691" s="74" t="n">
        <v>0.71</v>
      </c>
      <c r="AS691" s="74" t="n">
        <v>68.3</v>
      </c>
      <c r="AT691" s="74" t="n">
        <v>99.59999999999999</v>
      </c>
      <c r="AU691" s="74" t="n">
        <v>61.2</v>
      </c>
      <c r="AV691" s="74" t="n">
        <v>9.495483146</v>
      </c>
      <c r="AW691" s="74" t="n">
        <v>5.23773987</v>
      </c>
      <c r="AX691" s="75" t="n"/>
      <c r="AY691" s="71" t="n">
        <v>26070000</v>
      </c>
      <c r="AZ691" s="71" t="n">
        <v>16770000</v>
      </c>
      <c r="BA691" s="71" t="n">
        <v>1690196</v>
      </c>
      <c r="BB691" s="71" t="n">
        <v>1418.83</v>
      </c>
      <c r="BC691" s="69" t="inlineStr">
        <is>
          <t>Refinance</t>
        </is>
      </c>
      <c r="BD691" s="69" t="inlineStr">
        <is>
          <t>N</t>
        </is>
      </c>
      <c r="BE691" s="71" t="n"/>
      <c r="BF691" s="71" t="n"/>
      <c r="BG691" s="71" t="n"/>
      <c r="BH691" s="71" t="n">
        <v>4077532.07</v>
      </c>
      <c r="BI691" s="71" t="n">
        <v>1807693.74</v>
      </c>
      <c r="BJ691" s="69" t="inlineStr">
        <is>
          <t>Y</t>
        </is>
      </c>
      <c r="BK691" s="69" t="n"/>
      <c r="BL691" s="75" t="n"/>
      <c r="BM691" s="73" t="n"/>
      <c r="BN691" s="69" t="inlineStr">
        <is>
          <t>Sidney P. Lejeune</t>
        </is>
      </c>
      <c r="BO691" s="69" t="inlineStr">
        <is>
          <t>RMF</t>
        </is>
      </c>
      <c r="BP691" s="69" t="inlineStr">
        <is>
          <t>Midland Loan Services</t>
        </is>
      </c>
      <c r="BQ691" s="69" t="inlineStr">
        <is>
          <t>Midland Loan Services</t>
        </is>
      </c>
      <c r="BR691" s="69" t="n"/>
      <c r="BS691" s="73" t="n">
        <v>46276</v>
      </c>
      <c r="BU691" s="76">
        <f>IF($C691="","",IFERROR(INDEX(dmName,MATCH($C691,dmID,0)),"Unmapped"))</f>
        <v/>
      </c>
      <c r="BV691" s="76">
        <f>IF($C691="","",IFERROR(INDEX(dmEntity,MATCH($C691,dmID,0)),"Unmapped"))</f>
        <v/>
      </c>
      <c r="BW691" s="77">
        <f>IF($C691="","",IFERROR(INDEX(dmVintage,MATCH($C691,dmID,0)),""))</f>
        <v/>
      </c>
      <c r="BX691" s="78">
        <f>IFERROR(INDEX(dmInclude,MATCH($C691,dmID,0)),0)</f>
        <v/>
      </c>
      <c r="BY691" s="78">
        <f>IF(N($I691)&gt;0,1,0)</f>
        <v/>
      </c>
      <c r="BZ691" s="76">
        <f>IF($AJ691="","Other / Leased Fee",IFERROR(INDEX(mapPTGroup,MATCH(LEFT(TRIM($AJ691),2),mapPTCode,0)),"Other / Leased Fee"))</f>
        <v/>
      </c>
      <c r="CA691" s="76">
        <f>IF(TRIM($AF691&amp;"")="","NR",LEFT(TRIM($AF691),2))</f>
        <v/>
      </c>
      <c r="CB691" s="76">
        <f>IFERROR(LOOKUP(2,1/(LEFT(TRIM($AI691&amp;""),LEN(mapRegion))=mapRegion),mapRegion),"Not Reported")</f>
        <v/>
      </c>
      <c r="CC691" s="76">
        <f>IF($BY691=0,"",IF(TRIM($W691&amp;"")="REO","REO",IF(TRIM($W691&amp;"")="FC","Foreclosure",IF(TRIM($W691&amp;"")="90+","90+ Days Delinquent",IF(TRIM($W691&amp;"")="60","60 Days Delinquent",IF(TRIM($W691&amp;"")="30","30 Days Delinquent",IF($X691="Non-Performing Matured Balloon","Non-Performing Matured Balloon",IF(OR($X691="Late Payment But Less Than 30 Days Delinquent",LEFT($X691&amp;"",20)="Payment Not Received"),"Late / In Grace (&lt;30 Days)",IF($X691="Performing Matured Balloon","Performing Matured Balloon","Current")))))))))</f>
        <v/>
      </c>
      <c r="CD691" s="78">
        <f>IF(OR($CC691="REO",$CC691="Foreclosure",$CC691="90+ Days Delinquent",$CC691="60 Days Delinquent",$CC691="30 Days Delinquent",$CC691="Non-Performing Matured Balloon"),1,0)</f>
        <v/>
      </c>
      <c r="CE691" s="76">
        <f>IF($AB691="Currently special serv","Currently Specially Serviced",IF($AB691="Returned to master serv","Previously Specially Serviced","Never Specially Serviced"))</f>
        <v/>
      </c>
      <c r="CF691" s="78">
        <f>IF($CE691="Currently Specially Serviced",1,0)</f>
        <v/>
      </c>
      <c r="CG691" s="76">
        <f>IF($AA691="Yes","Currently on Watchlist",IF($AA691="Previously","Previously on Watchlist","Never on Watchlist"))</f>
        <v/>
      </c>
      <c r="CH691" s="78">
        <f>IF($CG691="Currently on Watchlist",1,0)</f>
        <v/>
      </c>
      <c r="CI691" s="76">
        <f>IF($Z691="Full Defeasance","Fully Defeased",IF($Z691="Portion Of Loan Previously Defeased","Partially Defeased",IF($Z691="Defeasance Not Allowable","Not Defeased (Not Permitted)","Not Defeased")))</f>
        <v/>
      </c>
      <c r="CJ691" s="78">
        <f>IF($CI691="Fully Defeased",1,0)</f>
        <v/>
      </c>
      <c r="CK691" s="76">
        <f>IF($R691="IO","Full IO",IF(LEFT($R691&amp;"",7)="IO then","Partial IO","Amortizing"))</f>
        <v/>
      </c>
      <c r="CL691" s="78">
        <f>IF($CK691="Full IO",1,0)</f>
        <v/>
      </c>
      <c r="CM691" s="78">
        <f>IF($CK691="Partial IO",1,0)</f>
        <v/>
      </c>
      <c r="CN691" s="76">
        <f>IF(LEFT($F691&amp;"",10)="SPLIT_LOAN","Pari Passu Split","Standalone")</f>
        <v/>
      </c>
      <c r="CO691" s="78">
        <f>IF($CN691="Pari Passu Split",1,0)</f>
        <v/>
      </c>
      <c r="CP691" s="77">
        <f>IF(ISNUMBER($T691),YEAR($T691),"")</f>
        <v/>
      </c>
      <c r="CQ691" s="79">
        <f>IF(ISNUMBER($V691),$V691,IF(ISNUMBER($U691),$U691,""))</f>
        <v/>
      </c>
      <c r="CR691" s="77">
        <f>IF(ISNUMBER($CQ691),YEAR($CQ691),"")</f>
        <v/>
      </c>
      <c r="CS691" s="78">
        <f>IF(ISNUMBER($M691),MAX(0,$M691),IF(TRIM($M691&amp;"")="matured",0,""))</f>
        <v/>
      </c>
      <c r="CT691" s="78">
        <f>IF(AND(ISNUMBER($CS691),N($CS691)&lt;=mMatWindow),1,0)</f>
        <v/>
      </c>
      <c r="CU691" s="80">
        <f>IF(ISNUMBER($J691),$J691/100,"")</f>
        <v/>
      </c>
      <c r="CV691" s="81">
        <f>IF(ISNUMBER($AQ691),$AQ691,"")</f>
        <v/>
      </c>
      <c r="CW691" s="81">
        <f>IF(ISNUMBER($AR691),$AR691,"")</f>
        <v/>
      </c>
      <c r="CX691" s="82">
        <f>IF(ISNUMBER($AS691),$AS691/100,"")</f>
        <v/>
      </c>
      <c r="CY691" s="82">
        <f>IF(ISNUMBER($AT691),$AT691/100,"")</f>
        <v/>
      </c>
      <c r="CZ691" s="82">
        <f>IF(ISNUMBER($AU691),$AU691/100,"")</f>
        <v/>
      </c>
      <c r="DA691" s="82">
        <f>IF(ISNUMBER($AV691),$AV691/100,"")</f>
        <v/>
      </c>
      <c r="DB691" s="82">
        <f>IF(ISNUMBER($AW691),$AW691/100,"")</f>
        <v/>
      </c>
      <c r="DC691" s="82">
        <f>IF(ISNUMBER($AX691),$AX691/100,"")</f>
        <v/>
      </c>
      <c r="DD691" s="77">
        <f>IFERROR(VALUE(LEFT(TRIM($AO691&amp;""),4)),"")</f>
        <v/>
      </c>
      <c r="DE691" s="78">
        <f>IF(AND($BY691=1,$BX691=1,OR(fDeal="All Deals",$BU691=fDeal),OR(fEntity="All Entities",$BV691=fEntity),OR(fPType="All Property Types",$BZ691=fPType),OR(fDefeased="Include",$CJ691=0)),1,0)</f>
        <v/>
      </c>
      <c r="DF691" s="83">
        <f>$DE691*N($I691)</f>
        <v/>
      </c>
      <c r="DG691" s="78">
        <f>IF($DE691=1,IF(COUNTIFS($F$8:$F691,$F691,$DE$8:$DE691,1)=1,1,0),0)</f>
        <v/>
      </c>
      <c r="DH691" s="83">
        <f>IF($DG691=1,SUMIFS($DF$8:$DF$1600,$F$8:$F$1600,$F691),0)</f>
        <v/>
      </c>
      <c r="DI691" s="78">
        <f>IF($DG691=1,COUNTIFS($F$8:$F$1600,$F691,$DE$8:$DE$1600,1),0)</f>
        <v/>
      </c>
      <c r="DJ691" s="84">
        <f>IF($DG691=1,$DH691+(100000-ROW())/mTieBreak,0)</f>
        <v/>
      </c>
    </row>
    <row r="692">
      <c r="B692" s="68" t="n">
        <v>17</v>
      </c>
      <c r="C692" s="69" t="inlineStr">
        <is>
          <t>UBS19C16</t>
        </is>
      </c>
      <c r="D692" s="69" t="inlineStr">
        <is>
          <t>17.000</t>
        </is>
      </c>
      <c r="E692" s="69" t="inlineStr">
        <is>
          <t>Lakewood Center</t>
        </is>
      </c>
      <c r="F692" s="69" t="inlineStr">
        <is>
          <t>LNUBS19C16-17.000</t>
        </is>
      </c>
      <c r="G692" s="70" t="n"/>
      <c r="H692" s="71" t="n">
        <v>13675000</v>
      </c>
      <c r="I692" s="71" t="n">
        <v>12766601.15000167</v>
      </c>
      <c r="J692" s="72" t="n">
        <v>5.44</v>
      </c>
      <c r="K692" s="69" t="inlineStr">
        <is>
          <t>Fixed rate</t>
        </is>
      </c>
      <c r="L692" s="68" t="n">
        <v>120</v>
      </c>
      <c r="M692" s="68" t="n">
        <v>28</v>
      </c>
      <c r="N692" s="68" t="n">
        <v>396</v>
      </c>
      <c r="O692" s="68" t="n">
        <v>36</v>
      </c>
      <c r="P692" s="68" t="n">
        <v>0</v>
      </c>
      <c r="Q692" s="68" t="n">
        <v>92</v>
      </c>
      <c r="R692" s="69" t="inlineStr">
        <is>
          <t>IO then Amort</t>
        </is>
      </c>
      <c r="S692" s="69" t="inlineStr">
        <is>
          <t>No</t>
        </is>
      </c>
      <c r="T692" s="73" t="n">
        <v>43466</v>
      </c>
      <c r="U692" s="73" t="n">
        <v>47124</v>
      </c>
      <c r="V692" s="73" t="n"/>
      <c r="W692" s="69" t="n"/>
      <c r="X692" s="69" t="inlineStr">
        <is>
          <t>Current</t>
        </is>
      </c>
      <c r="Y692" s="68" t="n"/>
      <c r="Z692" s="69" t="inlineStr">
        <is>
          <t>Defeasance Not Allowable</t>
        </is>
      </c>
      <c r="AA692" s="69" t="inlineStr">
        <is>
          <t>Previously</t>
        </is>
      </c>
      <c r="AB692" s="69" t="inlineStr">
        <is>
          <t>Never special serv</t>
        </is>
      </c>
      <c r="AC692" s="73" t="n"/>
      <c r="AD692" s="69" t="n"/>
      <c r="AE692" s="69" t="n"/>
      <c r="AF692" s="69" t="inlineStr">
        <is>
          <t>CA</t>
        </is>
      </c>
      <c r="AG692" s="69" t="inlineStr">
        <is>
          <t>Windsor</t>
        </is>
      </c>
      <c r="AH692" s="69" t="inlineStr">
        <is>
          <t>Santa Rosa-Petaluma, CA</t>
        </is>
      </c>
      <c r="AI692" s="69" t="inlineStr">
        <is>
          <t>West / Pacific North</t>
        </is>
      </c>
      <c r="AJ692" s="69" t="inlineStr">
        <is>
          <t>RT</t>
        </is>
      </c>
      <c r="AK692" s="69" t="inlineStr">
        <is>
          <t>Anchored</t>
        </is>
      </c>
      <c r="AL692" s="68" t="n">
        <v>1</v>
      </c>
      <c r="AM692" s="68" t="n"/>
      <c r="AN692" s="68" t="n">
        <v>107837</v>
      </c>
      <c r="AO692" s="69" t="inlineStr">
        <is>
          <t>1982</t>
        </is>
      </c>
      <c r="AP692" s="70" t="n">
        <v>2019</v>
      </c>
      <c r="AQ692" s="74" t="n">
        <v>1.64</v>
      </c>
      <c r="AR692" s="74" t="n">
        <v>1.77</v>
      </c>
      <c r="AS692" s="74" t="n">
        <v>65.09999999999999</v>
      </c>
      <c r="AT692" s="74" t="n">
        <v>60.79</v>
      </c>
      <c r="AU692" s="74" t="n">
        <v>58.2</v>
      </c>
      <c r="AV692" s="74" t="n">
        <v>9.027267202999999</v>
      </c>
      <c r="AW692" s="74" t="n">
        <v>10.926201137</v>
      </c>
      <c r="AX692" s="75" t="n">
        <v>100</v>
      </c>
      <c r="AY692" s="71" t="n">
        <v>21000000</v>
      </c>
      <c r="AZ692" s="71" t="n">
        <v>21000000</v>
      </c>
      <c r="BA692" s="71" t="n">
        <v>1234478.79</v>
      </c>
      <c r="BB692" s="71" t="n">
        <v>1634851.96</v>
      </c>
      <c r="BC692" s="69" t="inlineStr">
        <is>
          <t>Refinance</t>
        </is>
      </c>
      <c r="BD692" s="69" t="inlineStr">
        <is>
          <t>N</t>
        </is>
      </c>
      <c r="BE692" s="71" t="n"/>
      <c r="BF692" s="71" t="n"/>
      <c r="BG692" s="71" t="n"/>
      <c r="BH692" s="71" t="n">
        <v>0</v>
      </c>
      <c r="BI692" s="71" t="n">
        <v>0</v>
      </c>
      <c r="BJ692" s="69" t="inlineStr">
        <is>
          <t>N</t>
        </is>
      </c>
      <c r="BK692" s="69" t="inlineStr">
        <is>
          <t>Raley's #341</t>
        </is>
      </c>
      <c r="BL692" s="75" t="n">
        <v>52.38</v>
      </c>
      <c r="BM692" s="73" t="n">
        <v>48395</v>
      </c>
      <c r="BN692" s="69" t="inlineStr">
        <is>
          <t>Jay Kerner; John P. Walsh</t>
        </is>
      </c>
      <c r="BO692" s="69" t="inlineStr">
        <is>
          <t>UBS</t>
        </is>
      </c>
      <c r="BP692" s="69" t="inlineStr">
        <is>
          <t>Midland Loan Services</t>
        </is>
      </c>
      <c r="BQ692" s="69" t="inlineStr">
        <is>
          <t>Midland Loan Services</t>
        </is>
      </c>
      <c r="BR692" s="69" t="n"/>
      <c r="BS692" s="73" t="n">
        <v>46276</v>
      </c>
      <c r="BU692" s="76">
        <f>IF($C692="","",IFERROR(INDEX(dmName,MATCH($C692,dmID,0)),"Unmapped"))</f>
        <v/>
      </c>
      <c r="BV692" s="76">
        <f>IF($C692="","",IFERROR(INDEX(dmEntity,MATCH($C692,dmID,0)),"Unmapped"))</f>
        <v/>
      </c>
      <c r="BW692" s="77">
        <f>IF($C692="","",IFERROR(INDEX(dmVintage,MATCH($C692,dmID,0)),""))</f>
        <v/>
      </c>
      <c r="BX692" s="78">
        <f>IFERROR(INDEX(dmInclude,MATCH($C692,dmID,0)),0)</f>
        <v/>
      </c>
      <c r="BY692" s="78">
        <f>IF(N($I692)&gt;0,1,0)</f>
        <v/>
      </c>
      <c r="BZ692" s="76">
        <f>IF($AJ692="","Other / Leased Fee",IFERROR(INDEX(mapPTGroup,MATCH(LEFT(TRIM($AJ692),2),mapPTCode,0)),"Other / Leased Fee"))</f>
        <v/>
      </c>
      <c r="CA692" s="76">
        <f>IF(TRIM($AF692&amp;"")="","NR",LEFT(TRIM($AF692),2))</f>
        <v/>
      </c>
      <c r="CB692" s="76">
        <f>IFERROR(LOOKUP(2,1/(LEFT(TRIM($AI692&amp;""),LEN(mapRegion))=mapRegion),mapRegion),"Not Reported")</f>
        <v/>
      </c>
      <c r="CC692" s="76">
        <f>IF($BY692=0,"",IF(TRIM($W692&amp;"")="REO","REO",IF(TRIM($W692&amp;"")="FC","Foreclosure",IF(TRIM($W692&amp;"")="90+","90+ Days Delinquent",IF(TRIM($W692&amp;"")="60","60 Days Delinquent",IF(TRIM($W692&amp;"")="30","30 Days Delinquent",IF($X692="Non-Performing Matured Balloon","Non-Performing Matured Balloon",IF(OR($X692="Late Payment But Less Than 30 Days Delinquent",LEFT($X692&amp;"",20)="Payment Not Received"),"Late / In Grace (&lt;30 Days)",IF($X692="Performing Matured Balloon","Performing Matured Balloon","Current")))))))))</f>
        <v/>
      </c>
      <c r="CD692" s="78">
        <f>IF(OR($CC692="REO",$CC692="Foreclosure",$CC692="90+ Days Delinquent",$CC692="60 Days Delinquent",$CC692="30 Days Delinquent",$CC692="Non-Performing Matured Balloon"),1,0)</f>
        <v/>
      </c>
      <c r="CE692" s="76">
        <f>IF($AB692="Currently special serv","Currently Specially Serviced",IF($AB692="Returned to master serv","Previously Specially Serviced","Never Specially Serviced"))</f>
        <v/>
      </c>
      <c r="CF692" s="78">
        <f>IF($CE692="Currently Specially Serviced",1,0)</f>
        <v/>
      </c>
      <c r="CG692" s="76">
        <f>IF($AA692="Yes","Currently on Watchlist",IF($AA692="Previously","Previously on Watchlist","Never on Watchlist"))</f>
        <v/>
      </c>
      <c r="CH692" s="78">
        <f>IF($CG692="Currently on Watchlist",1,0)</f>
        <v/>
      </c>
      <c r="CI692" s="76">
        <f>IF($Z692="Full Defeasance","Fully Defeased",IF($Z692="Portion Of Loan Previously Defeased","Partially Defeased",IF($Z692="Defeasance Not Allowable","Not Defeased (Not Permitted)","Not Defeased")))</f>
        <v/>
      </c>
      <c r="CJ692" s="78">
        <f>IF($CI692="Fully Defeased",1,0)</f>
        <v/>
      </c>
      <c r="CK692" s="76">
        <f>IF($R692="IO","Full IO",IF(LEFT($R692&amp;"",7)="IO then","Partial IO","Amortizing"))</f>
        <v/>
      </c>
      <c r="CL692" s="78">
        <f>IF($CK692="Full IO",1,0)</f>
        <v/>
      </c>
      <c r="CM692" s="78">
        <f>IF($CK692="Partial IO",1,0)</f>
        <v/>
      </c>
      <c r="CN692" s="76">
        <f>IF(LEFT($F692&amp;"",10)="SPLIT_LOAN","Pari Passu Split","Standalone")</f>
        <v/>
      </c>
      <c r="CO692" s="78">
        <f>IF($CN692="Pari Passu Split",1,0)</f>
        <v/>
      </c>
      <c r="CP692" s="77">
        <f>IF(ISNUMBER($T692),YEAR($T692),"")</f>
        <v/>
      </c>
      <c r="CQ692" s="79">
        <f>IF(ISNUMBER($V692),$V692,IF(ISNUMBER($U692),$U692,""))</f>
        <v/>
      </c>
      <c r="CR692" s="77">
        <f>IF(ISNUMBER($CQ692),YEAR($CQ692),"")</f>
        <v/>
      </c>
      <c r="CS692" s="78">
        <f>IF(ISNUMBER($M692),MAX(0,$M692),IF(TRIM($M692&amp;"")="matured",0,""))</f>
        <v/>
      </c>
      <c r="CT692" s="78">
        <f>IF(AND(ISNUMBER($CS692),N($CS692)&lt;=mMatWindow),1,0)</f>
        <v/>
      </c>
      <c r="CU692" s="80">
        <f>IF(ISNUMBER($J692),$J692/100,"")</f>
        <v/>
      </c>
      <c r="CV692" s="81">
        <f>IF(ISNUMBER($AQ692),$AQ692,"")</f>
        <v/>
      </c>
      <c r="CW692" s="81">
        <f>IF(ISNUMBER($AR692),$AR692,"")</f>
        <v/>
      </c>
      <c r="CX692" s="82">
        <f>IF(ISNUMBER($AS692),$AS692/100,"")</f>
        <v/>
      </c>
      <c r="CY692" s="82">
        <f>IF(ISNUMBER($AT692),$AT692/100,"")</f>
        <v/>
      </c>
      <c r="CZ692" s="82">
        <f>IF(ISNUMBER($AU692),$AU692/100,"")</f>
        <v/>
      </c>
      <c r="DA692" s="82">
        <f>IF(ISNUMBER($AV692),$AV692/100,"")</f>
        <v/>
      </c>
      <c r="DB692" s="82">
        <f>IF(ISNUMBER($AW692),$AW692/100,"")</f>
        <v/>
      </c>
      <c r="DC692" s="82">
        <f>IF(ISNUMBER($AX692),$AX692/100,"")</f>
        <v/>
      </c>
      <c r="DD692" s="77">
        <f>IFERROR(VALUE(LEFT(TRIM($AO692&amp;""),4)),"")</f>
        <v/>
      </c>
      <c r="DE692" s="78">
        <f>IF(AND($BY692=1,$BX692=1,OR(fDeal="All Deals",$BU692=fDeal),OR(fEntity="All Entities",$BV692=fEntity),OR(fPType="All Property Types",$BZ692=fPType),OR(fDefeased="Include",$CJ692=0)),1,0)</f>
        <v/>
      </c>
      <c r="DF692" s="83">
        <f>$DE692*N($I692)</f>
        <v/>
      </c>
      <c r="DG692" s="78">
        <f>IF($DE692=1,IF(COUNTIFS($F$8:$F692,$F692,$DE$8:$DE692,1)=1,1,0),0)</f>
        <v/>
      </c>
      <c r="DH692" s="83">
        <f>IF($DG692=1,SUMIFS($DF$8:$DF$1600,$F$8:$F$1600,$F692),0)</f>
        <v/>
      </c>
      <c r="DI692" s="78">
        <f>IF($DG692=1,COUNTIFS($F$8:$F$1600,$F692,$DE$8:$DE$1600,1),0)</f>
        <v/>
      </c>
      <c r="DJ692" s="84">
        <f>IF($DG692=1,$DH692+(100000-ROW())/mTieBreak,0)</f>
        <v/>
      </c>
    </row>
    <row r="693">
      <c r="B693" s="68" t="n">
        <v>18</v>
      </c>
      <c r="C693" s="69" t="inlineStr">
        <is>
          <t>UBS19C16</t>
        </is>
      </c>
      <c r="D693" s="69" t="inlineStr">
        <is>
          <t>18.000</t>
        </is>
      </c>
      <c r="E693" s="69" t="inlineStr">
        <is>
          <t>Trumbull and Porter Hotel - Detroit</t>
        </is>
      </c>
      <c r="F693" s="69" t="inlineStr">
        <is>
          <t>LNUBS19C16-18.000</t>
        </is>
      </c>
      <c r="G693" s="70" t="n"/>
      <c r="H693" s="71" t="n">
        <v>13100000</v>
      </c>
      <c r="I693" s="71" t="n">
        <v>11657032.6099967</v>
      </c>
      <c r="J693" s="72" t="n">
        <v>5.706</v>
      </c>
      <c r="K693" s="69" t="inlineStr">
        <is>
          <t>Fixed rate</t>
        </is>
      </c>
      <c r="L693" s="68" t="n">
        <v>120</v>
      </c>
      <c r="M693" s="68" t="n">
        <v>30</v>
      </c>
      <c r="N693" s="68" t="n">
        <v>360</v>
      </c>
      <c r="O693" s="68" t="n"/>
      <c r="P693" s="68" t="n"/>
      <c r="Q693" s="68" t="n">
        <v>90</v>
      </c>
      <c r="R693" s="69" t="n"/>
      <c r="S693" s="69" t="inlineStr">
        <is>
          <t>No</t>
        </is>
      </c>
      <c r="T693" s="73" t="n">
        <v>43525</v>
      </c>
      <c r="U693" s="73" t="n">
        <v>47183</v>
      </c>
      <c r="V693" s="73" t="n"/>
      <c r="W693" s="69" t="n"/>
      <c r="X693" s="69" t="inlineStr">
        <is>
          <t>Current</t>
        </is>
      </c>
      <c r="Y693" s="68" t="n"/>
      <c r="Z693" s="69" t="inlineStr">
        <is>
          <t>Defeasance Not Allowable</t>
        </is>
      </c>
      <c r="AA693" s="69" t="inlineStr">
        <is>
          <t>Yes</t>
        </is>
      </c>
      <c r="AB693" s="69" t="inlineStr">
        <is>
          <t>Returned to master serv</t>
        </is>
      </c>
      <c r="AC693" s="73" t="n"/>
      <c r="AD693" s="69" t="inlineStr">
        <is>
          <t>Other</t>
        </is>
      </c>
      <c r="AE693" s="69" t="inlineStr">
        <is>
          <t>Resolved</t>
        </is>
      </c>
      <c r="AF693" s="69" t="inlineStr">
        <is>
          <t>MI</t>
        </is>
      </c>
      <c r="AG693" s="69" t="inlineStr">
        <is>
          <t>Detroit</t>
        </is>
      </c>
      <c r="AH693" s="69" t="inlineStr">
        <is>
          <t>Detroit-Warren-Dearborn, MI</t>
        </is>
      </c>
      <c r="AI693" s="69" t="inlineStr">
        <is>
          <t>Midwest / Central East</t>
        </is>
      </c>
      <c r="AJ693" s="69" t="inlineStr">
        <is>
          <t>HT</t>
        </is>
      </c>
      <c r="AK693" s="69" t="inlineStr">
        <is>
          <t>Full Service</t>
        </is>
      </c>
      <c r="AL693" s="68" t="n">
        <v>1</v>
      </c>
      <c r="AM693" s="68" t="n">
        <v>144</v>
      </c>
      <c r="AN693" s="68" t="n"/>
      <c r="AO693" s="69" t="inlineStr">
        <is>
          <t>1962</t>
        </is>
      </c>
      <c r="AP693" s="70" t="n">
        <v>2017</v>
      </c>
      <c r="AQ693" s="74" t="n">
        <v>1.8</v>
      </c>
      <c r="AR693" s="74" t="n">
        <v>1.6</v>
      </c>
      <c r="AS693" s="74" t="n">
        <v>55.9</v>
      </c>
      <c r="AT693" s="74" t="n">
        <v>66.61</v>
      </c>
      <c r="AU693" s="74" t="n">
        <v>47.1</v>
      </c>
      <c r="AV693" s="74" t="n">
        <v>12.534546489</v>
      </c>
      <c r="AW693" s="74" t="n">
        <v>12.07642371</v>
      </c>
      <c r="AX693" s="75" t="n">
        <v>44</v>
      </c>
      <c r="AY693" s="71" t="n">
        <v>23400000</v>
      </c>
      <c r="AZ693" s="71" t="n">
        <v>17500000</v>
      </c>
      <c r="BA693" s="71" t="n">
        <v>1642025.59</v>
      </c>
      <c r="BB693" s="71" t="n">
        <v>1456436.48</v>
      </c>
      <c r="BC693" s="69" t="inlineStr">
        <is>
          <t>Refinance</t>
        </is>
      </c>
      <c r="BD693" s="69" t="inlineStr">
        <is>
          <t>N</t>
        </is>
      </c>
      <c r="BE693" s="71" t="n"/>
      <c r="BF693" s="71" t="n"/>
      <c r="BG693" s="71" t="n"/>
      <c r="BH693" s="71" t="n">
        <v>0</v>
      </c>
      <c r="BI693" s="71" t="n">
        <v>0</v>
      </c>
      <c r="BJ693" s="69" t="inlineStr">
        <is>
          <t>Y</t>
        </is>
      </c>
      <c r="BK693" s="69" t="n"/>
      <c r="BL693" s="75" t="n"/>
      <c r="BM693" s="73" t="n"/>
      <c r="BN693" s="69" t="inlineStr">
        <is>
          <t>Leo Y. Lee</t>
        </is>
      </c>
      <c r="BO693" s="69" t="inlineStr">
        <is>
          <t>UBS</t>
        </is>
      </c>
      <c r="BP693" s="69" t="inlineStr">
        <is>
          <t>Midland Loan Services</t>
        </is>
      </c>
      <c r="BQ693" s="69" t="inlineStr">
        <is>
          <t>Midland Loan Services</t>
        </is>
      </c>
      <c r="BR693" s="69" t="n"/>
      <c r="BS693" s="73" t="n">
        <v>46276</v>
      </c>
      <c r="BU693" s="76">
        <f>IF($C693="","",IFERROR(INDEX(dmName,MATCH($C693,dmID,0)),"Unmapped"))</f>
        <v/>
      </c>
      <c r="BV693" s="76">
        <f>IF($C693="","",IFERROR(INDEX(dmEntity,MATCH($C693,dmID,0)),"Unmapped"))</f>
        <v/>
      </c>
      <c r="BW693" s="77">
        <f>IF($C693="","",IFERROR(INDEX(dmVintage,MATCH($C693,dmID,0)),""))</f>
        <v/>
      </c>
      <c r="BX693" s="78">
        <f>IFERROR(INDEX(dmInclude,MATCH($C693,dmID,0)),0)</f>
        <v/>
      </c>
      <c r="BY693" s="78">
        <f>IF(N($I693)&gt;0,1,0)</f>
        <v/>
      </c>
      <c r="BZ693" s="76">
        <f>IF($AJ693="","Other / Leased Fee",IFERROR(INDEX(mapPTGroup,MATCH(LEFT(TRIM($AJ693),2),mapPTCode,0)),"Other / Leased Fee"))</f>
        <v/>
      </c>
      <c r="CA693" s="76">
        <f>IF(TRIM($AF693&amp;"")="","NR",LEFT(TRIM($AF693),2))</f>
        <v/>
      </c>
      <c r="CB693" s="76">
        <f>IFERROR(LOOKUP(2,1/(LEFT(TRIM($AI693&amp;""),LEN(mapRegion))=mapRegion),mapRegion),"Not Reported")</f>
        <v/>
      </c>
      <c r="CC693" s="76">
        <f>IF($BY693=0,"",IF(TRIM($W693&amp;"")="REO","REO",IF(TRIM($W693&amp;"")="FC","Foreclosure",IF(TRIM($W693&amp;"")="90+","90+ Days Delinquent",IF(TRIM($W693&amp;"")="60","60 Days Delinquent",IF(TRIM($W693&amp;"")="30","30 Days Delinquent",IF($X693="Non-Performing Matured Balloon","Non-Performing Matured Balloon",IF(OR($X693="Late Payment But Less Than 30 Days Delinquent",LEFT($X693&amp;"",20)="Payment Not Received"),"Late / In Grace (&lt;30 Days)",IF($X693="Performing Matured Balloon","Performing Matured Balloon","Current")))))))))</f>
        <v/>
      </c>
      <c r="CD693" s="78">
        <f>IF(OR($CC693="REO",$CC693="Foreclosure",$CC693="90+ Days Delinquent",$CC693="60 Days Delinquent",$CC693="30 Days Delinquent",$CC693="Non-Performing Matured Balloon"),1,0)</f>
        <v/>
      </c>
      <c r="CE693" s="76">
        <f>IF($AB693="Currently special serv","Currently Specially Serviced",IF($AB693="Returned to master serv","Previously Specially Serviced","Never Specially Serviced"))</f>
        <v/>
      </c>
      <c r="CF693" s="78">
        <f>IF($CE693="Currently Specially Serviced",1,0)</f>
        <v/>
      </c>
      <c r="CG693" s="76">
        <f>IF($AA693="Yes","Currently on Watchlist",IF($AA693="Previously","Previously on Watchlist","Never on Watchlist"))</f>
        <v/>
      </c>
      <c r="CH693" s="78">
        <f>IF($CG693="Currently on Watchlist",1,0)</f>
        <v/>
      </c>
      <c r="CI693" s="76">
        <f>IF($Z693="Full Defeasance","Fully Defeased",IF($Z693="Portion Of Loan Previously Defeased","Partially Defeased",IF($Z693="Defeasance Not Allowable","Not Defeased (Not Permitted)","Not Defeased")))</f>
        <v/>
      </c>
      <c r="CJ693" s="78">
        <f>IF($CI693="Fully Defeased",1,0)</f>
        <v/>
      </c>
      <c r="CK693" s="76">
        <f>IF($R693="IO","Full IO",IF(LEFT($R693&amp;"",7)="IO then","Partial IO","Amortizing"))</f>
        <v/>
      </c>
      <c r="CL693" s="78">
        <f>IF($CK693="Full IO",1,0)</f>
        <v/>
      </c>
      <c r="CM693" s="78">
        <f>IF($CK693="Partial IO",1,0)</f>
        <v/>
      </c>
      <c r="CN693" s="76">
        <f>IF(LEFT($F693&amp;"",10)="SPLIT_LOAN","Pari Passu Split","Standalone")</f>
        <v/>
      </c>
      <c r="CO693" s="78">
        <f>IF($CN693="Pari Passu Split",1,0)</f>
        <v/>
      </c>
      <c r="CP693" s="77">
        <f>IF(ISNUMBER($T693),YEAR($T693),"")</f>
        <v/>
      </c>
      <c r="CQ693" s="79">
        <f>IF(ISNUMBER($V693),$V693,IF(ISNUMBER($U693),$U693,""))</f>
        <v/>
      </c>
      <c r="CR693" s="77">
        <f>IF(ISNUMBER($CQ693),YEAR($CQ693),"")</f>
        <v/>
      </c>
      <c r="CS693" s="78">
        <f>IF(ISNUMBER($M693),MAX(0,$M693),IF(TRIM($M693&amp;"")="matured",0,""))</f>
        <v/>
      </c>
      <c r="CT693" s="78">
        <f>IF(AND(ISNUMBER($CS693),N($CS693)&lt;=mMatWindow),1,0)</f>
        <v/>
      </c>
      <c r="CU693" s="80">
        <f>IF(ISNUMBER($J693),$J693/100,"")</f>
        <v/>
      </c>
      <c r="CV693" s="81">
        <f>IF(ISNUMBER($AQ693),$AQ693,"")</f>
        <v/>
      </c>
      <c r="CW693" s="81">
        <f>IF(ISNUMBER($AR693),$AR693,"")</f>
        <v/>
      </c>
      <c r="CX693" s="82">
        <f>IF(ISNUMBER($AS693),$AS693/100,"")</f>
        <v/>
      </c>
      <c r="CY693" s="82">
        <f>IF(ISNUMBER($AT693),$AT693/100,"")</f>
        <v/>
      </c>
      <c r="CZ693" s="82">
        <f>IF(ISNUMBER($AU693),$AU693/100,"")</f>
        <v/>
      </c>
      <c r="DA693" s="82">
        <f>IF(ISNUMBER($AV693),$AV693/100,"")</f>
        <v/>
      </c>
      <c r="DB693" s="82">
        <f>IF(ISNUMBER($AW693),$AW693/100,"")</f>
        <v/>
      </c>
      <c r="DC693" s="82">
        <f>IF(ISNUMBER($AX693),$AX693/100,"")</f>
        <v/>
      </c>
      <c r="DD693" s="77">
        <f>IFERROR(VALUE(LEFT(TRIM($AO693&amp;""),4)),"")</f>
        <v/>
      </c>
      <c r="DE693" s="78">
        <f>IF(AND($BY693=1,$BX693=1,OR(fDeal="All Deals",$BU693=fDeal),OR(fEntity="All Entities",$BV693=fEntity),OR(fPType="All Property Types",$BZ693=fPType),OR(fDefeased="Include",$CJ693=0)),1,0)</f>
        <v/>
      </c>
      <c r="DF693" s="83">
        <f>$DE693*N($I693)</f>
        <v/>
      </c>
      <c r="DG693" s="78">
        <f>IF($DE693=1,IF(COUNTIFS($F$8:$F693,$F693,$DE$8:$DE693,1)=1,1,0),0)</f>
        <v/>
      </c>
      <c r="DH693" s="83">
        <f>IF($DG693=1,SUMIFS($DF$8:$DF$1600,$F$8:$F$1600,$F693),0)</f>
        <v/>
      </c>
      <c r="DI693" s="78">
        <f>IF($DG693=1,COUNTIFS($F$8:$F$1600,$F693,$DE$8:$DE$1600,1),0)</f>
        <v/>
      </c>
      <c r="DJ693" s="84">
        <f>IF($DG693=1,$DH693+(100000-ROW())/mTieBreak,0)</f>
        <v/>
      </c>
    </row>
    <row r="694">
      <c r="B694" s="68" t="n">
        <v>19</v>
      </c>
      <c r="C694" s="69" t="inlineStr">
        <is>
          <t>UBS19C16</t>
        </is>
      </c>
      <c r="D694" s="69" t="inlineStr">
        <is>
          <t>19.000</t>
        </is>
      </c>
      <c r="E694" s="69" t="inlineStr">
        <is>
          <t>HEB Crossing</t>
        </is>
      </c>
      <c r="F694" s="69" t="inlineStr">
        <is>
          <t>LNUBS19C16-19.000</t>
        </is>
      </c>
      <c r="G694" s="70" t="n"/>
      <c r="H694" s="71" t="n">
        <v>13000000</v>
      </c>
      <c r="I694" s="71" t="n">
        <v>13000000</v>
      </c>
      <c r="J694" s="72" t="n">
        <v>4.8</v>
      </c>
      <c r="K694" s="69" t="inlineStr">
        <is>
          <t>Fixed rate</t>
        </is>
      </c>
      <c r="L694" s="68" t="n">
        <v>120</v>
      </c>
      <c r="M694" s="68" t="n">
        <v>30</v>
      </c>
      <c r="N694" s="68" t="n">
        <v>120</v>
      </c>
      <c r="O694" s="68" t="n">
        <v>120</v>
      </c>
      <c r="P694" s="68" t="n">
        <v>30</v>
      </c>
      <c r="Q694" s="68" t="n">
        <v>90</v>
      </c>
      <c r="R694" s="69" t="inlineStr">
        <is>
          <t>IO</t>
        </is>
      </c>
      <c r="S694" s="69" t="inlineStr">
        <is>
          <t>Yes</t>
        </is>
      </c>
      <c r="T694" s="73" t="n">
        <v>43525</v>
      </c>
      <c r="U694" s="73" t="n">
        <v>47183</v>
      </c>
      <c r="V694" s="73" t="n"/>
      <c r="W694" s="69" t="n"/>
      <c r="X694" s="69" t="inlineStr">
        <is>
          <t>Current</t>
        </is>
      </c>
      <c r="Y694" s="68" t="n"/>
      <c r="Z694" s="69" t="inlineStr">
        <is>
          <t>Full Defeasance</t>
        </is>
      </c>
      <c r="AA694" s="69" t="inlineStr">
        <is>
          <t>Yes</t>
        </is>
      </c>
      <c r="AB694" s="69" t="inlineStr">
        <is>
          <t>Never special serv</t>
        </is>
      </c>
      <c r="AC694" s="73" t="n"/>
      <c r="AD694" s="69" t="n"/>
      <c r="AE694" s="69" t="n"/>
      <c r="AF694" s="69" t="inlineStr">
        <is>
          <t>TX</t>
        </is>
      </c>
      <c r="AG694" s="69" t="inlineStr">
        <is>
          <t>San Antonio</t>
        </is>
      </c>
      <c r="AH694" s="69" t="inlineStr">
        <is>
          <t>San Antonio-New Braunfels, TX</t>
        </is>
      </c>
      <c r="AI694" s="69" t="inlineStr">
        <is>
          <t>South / Central West</t>
        </is>
      </c>
      <c r="AJ694" s="69" t="inlineStr">
        <is>
          <t>RT</t>
        </is>
      </c>
      <c r="AK694" s="69" t="inlineStr">
        <is>
          <t>Anchored</t>
        </is>
      </c>
      <c r="AL694" s="68" t="n">
        <v>1</v>
      </c>
      <c r="AM694" s="68" t="n"/>
      <c r="AN694" s="68" t="n">
        <v>141081</v>
      </c>
      <c r="AO694" s="69" t="inlineStr">
        <is>
          <t>1999-2004</t>
        </is>
      </c>
      <c r="AP694" s="70" t="n">
        <v>2004</v>
      </c>
      <c r="AQ694" s="74" t="n">
        <v>2.43</v>
      </c>
      <c r="AR694" s="74" t="n">
        <v>2.84</v>
      </c>
      <c r="AS694" s="74" t="n">
        <v>60.7</v>
      </c>
      <c r="AT694" s="74" t="n">
        <v>60.66</v>
      </c>
      <c r="AU694" s="74" t="n">
        <v>60.7</v>
      </c>
      <c r="AV694" s="74" t="n">
        <v>11.828461538</v>
      </c>
      <c r="AW694" s="74" t="n">
        <v>12.950799231</v>
      </c>
      <c r="AX694" s="75" t="n">
        <v>100</v>
      </c>
      <c r="AY694" s="71" t="n">
        <v>21430000</v>
      </c>
      <c r="AZ694" s="71" t="n">
        <v>21430000</v>
      </c>
      <c r="BA694" s="71" t="n">
        <v>1537700</v>
      </c>
      <c r="BB694" s="71" t="n">
        <v>1795891.69</v>
      </c>
      <c r="BC694" s="69" t="inlineStr">
        <is>
          <t>Acquisition</t>
        </is>
      </c>
      <c r="BD694" s="69" t="inlineStr">
        <is>
          <t>N</t>
        </is>
      </c>
      <c r="BE694" s="71" t="n"/>
      <c r="BF694" s="71" t="n"/>
      <c r="BG694" s="71" t="n"/>
      <c r="BH694" s="71" t="n">
        <v>0</v>
      </c>
      <c r="BI694" s="71" t="n">
        <v>0</v>
      </c>
      <c r="BJ694" s="69" t="inlineStr">
        <is>
          <t>N</t>
        </is>
      </c>
      <c r="BK694" s="69" t="inlineStr">
        <is>
          <t>Academy Sports + Outdoors</t>
        </is>
      </c>
      <c r="BL694" s="75" t="n">
        <v>45.11</v>
      </c>
      <c r="BM694" s="73" t="n">
        <v>47879</v>
      </c>
      <c r="BN694" s="69" t="inlineStr">
        <is>
          <t>J. Kenneth Dunn</t>
        </is>
      </c>
      <c r="BO694" s="69" t="inlineStr">
        <is>
          <t>RMF</t>
        </is>
      </c>
      <c r="BP694" s="69" t="inlineStr">
        <is>
          <t>Midland Loan Services</t>
        </is>
      </c>
      <c r="BQ694" s="69" t="inlineStr">
        <is>
          <t>Midland Loan Services</t>
        </is>
      </c>
      <c r="BR694" s="69" t="n"/>
      <c r="BS694" s="73" t="n">
        <v>46276</v>
      </c>
      <c r="BU694" s="76">
        <f>IF($C694="","",IFERROR(INDEX(dmName,MATCH($C694,dmID,0)),"Unmapped"))</f>
        <v/>
      </c>
      <c r="BV694" s="76">
        <f>IF($C694="","",IFERROR(INDEX(dmEntity,MATCH($C694,dmID,0)),"Unmapped"))</f>
        <v/>
      </c>
      <c r="BW694" s="77">
        <f>IF($C694="","",IFERROR(INDEX(dmVintage,MATCH($C694,dmID,0)),""))</f>
        <v/>
      </c>
      <c r="BX694" s="78">
        <f>IFERROR(INDEX(dmInclude,MATCH($C694,dmID,0)),0)</f>
        <v/>
      </c>
      <c r="BY694" s="78">
        <f>IF(N($I694)&gt;0,1,0)</f>
        <v/>
      </c>
      <c r="BZ694" s="76">
        <f>IF($AJ694="","Other / Leased Fee",IFERROR(INDEX(mapPTGroup,MATCH(LEFT(TRIM($AJ694),2),mapPTCode,0)),"Other / Leased Fee"))</f>
        <v/>
      </c>
      <c r="CA694" s="76">
        <f>IF(TRIM($AF694&amp;"")="","NR",LEFT(TRIM($AF694),2))</f>
        <v/>
      </c>
      <c r="CB694" s="76">
        <f>IFERROR(LOOKUP(2,1/(LEFT(TRIM($AI694&amp;""),LEN(mapRegion))=mapRegion),mapRegion),"Not Reported")</f>
        <v/>
      </c>
      <c r="CC694" s="76">
        <f>IF($BY694=0,"",IF(TRIM($W694&amp;"")="REO","REO",IF(TRIM($W694&amp;"")="FC","Foreclosure",IF(TRIM($W694&amp;"")="90+","90+ Days Delinquent",IF(TRIM($W694&amp;"")="60","60 Days Delinquent",IF(TRIM($W694&amp;"")="30","30 Days Delinquent",IF($X694="Non-Performing Matured Balloon","Non-Performing Matured Balloon",IF(OR($X694="Late Payment But Less Than 30 Days Delinquent",LEFT($X694&amp;"",20)="Payment Not Received"),"Late / In Grace (&lt;30 Days)",IF($X694="Performing Matured Balloon","Performing Matured Balloon","Current")))))))))</f>
        <v/>
      </c>
      <c r="CD694" s="78">
        <f>IF(OR($CC694="REO",$CC694="Foreclosure",$CC694="90+ Days Delinquent",$CC694="60 Days Delinquent",$CC694="30 Days Delinquent",$CC694="Non-Performing Matured Balloon"),1,0)</f>
        <v/>
      </c>
      <c r="CE694" s="76">
        <f>IF($AB694="Currently special serv","Currently Specially Serviced",IF($AB694="Returned to master serv","Previously Specially Serviced","Never Specially Serviced"))</f>
        <v/>
      </c>
      <c r="CF694" s="78">
        <f>IF($CE694="Currently Specially Serviced",1,0)</f>
        <v/>
      </c>
      <c r="CG694" s="76">
        <f>IF($AA694="Yes","Currently on Watchlist",IF($AA694="Previously","Previously on Watchlist","Never on Watchlist"))</f>
        <v/>
      </c>
      <c r="CH694" s="78">
        <f>IF($CG694="Currently on Watchlist",1,0)</f>
        <v/>
      </c>
      <c r="CI694" s="76">
        <f>IF($Z694="Full Defeasance","Fully Defeased",IF($Z694="Portion Of Loan Previously Defeased","Partially Defeased",IF($Z694="Defeasance Not Allowable","Not Defeased (Not Permitted)","Not Defeased")))</f>
        <v/>
      </c>
      <c r="CJ694" s="78">
        <f>IF($CI694="Fully Defeased",1,0)</f>
        <v/>
      </c>
      <c r="CK694" s="76">
        <f>IF($R694="IO","Full IO",IF(LEFT($R694&amp;"",7)="IO then","Partial IO","Amortizing"))</f>
        <v/>
      </c>
      <c r="CL694" s="78">
        <f>IF($CK694="Full IO",1,0)</f>
        <v/>
      </c>
      <c r="CM694" s="78">
        <f>IF($CK694="Partial IO",1,0)</f>
        <v/>
      </c>
      <c r="CN694" s="76">
        <f>IF(LEFT($F694&amp;"",10)="SPLIT_LOAN","Pari Passu Split","Standalone")</f>
        <v/>
      </c>
      <c r="CO694" s="78">
        <f>IF($CN694="Pari Passu Split",1,0)</f>
        <v/>
      </c>
      <c r="CP694" s="77">
        <f>IF(ISNUMBER($T694),YEAR($T694),"")</f>
        <v/>
      </c>
      <c r="CQ694" s="79">
        <f>IF(ISNUMBER($V694),$V694,IF(ISNUMBER($U694),$U694,""))</f>
        <v/>
      </c>
      <c r="CR694" s="77">
        <f>IF(ISNUMBER($CQ694),YEAR($CQ694),"")</f>
        <v/>
      </c>
      <c r="CS694" s="78">
        <f>IF(ISNUMBER($M694),MAX(0,$M694),IF(TRIM($M694&amp;"")="matured",0,""))</f>
        <v/>
      </c>
      <c r="CT694" s="78">
        <f>IF(AND(ISNUMBER($CS694),N($CS694)&lt;=mMatWindow),1,0)</f>
        <v/>
      </c>
      <c r="CU694" s="80">
        <f>IF(ISNUMBER($J694),$J694/100,"")</f>
        <v/>
      </c>
      <c r="CV694" s="81">
        <f>IF(ISNUMBER($AQ694),$AQ694,"")</f>
        <v/>
      </c>
      <c r="CW694" s="81">
        <f>IF(ISNUMBER($AR694),$AR694,"")</f>
        <v/>
      </c>
      <c r="CX694" s="82">
        <f>IF(ISNUMBER($AS694),$AS694/100,"")</f>
        <v/>
      </c>
      <c r="CY694" s="82">
        <f>IF(ISNUMBER($AT694),$AT694/100,"")</f>
        <v/>
      </c>
      <c r="CZ694" s="82">
        <f>IF(ISNUMBER($AU694),$AU694/100,"")</f>
        <v/>
      </c>
      <c r="DA694" s="82">
        <f>IF(ISNUMBER($AV694),$AV694/100,"")</f>
        <v/>
      </c>
      <c r="DB694" s="82">
        <f>IF(ISNUMBER($AW694),$AW694/100,"")</f>
        <v/>
      </c>
      <c r="DC694" s="82">
        <f>IF(ISNUMBER($AX694),$AX694/100,"")</f>
        <v/>
      </c>
      <c r="DD694" s="77">
        <f>IFERROR(VALUE(LEFT(TRIM($AO694&amp;""),4)),"")</f>
        <v/>
      </c>
      <c r="DE694" s="78">
        <f>IF(AND($BY694=1,$BX694=1,OR(fDeal="All Deals",$BU694=fDeal),OR(fEntity="All Entities",$BV694=fEntity),OR(fPType="All Property Types",$BZ694=fPType),OR(fDefeased="Include",$CJ694=0)),1,0)</f>
        <v/>
      </c>
      <c r="DF694" s="83">
        <f>$DE694*N($I694)</f>
        <v/>
      </c>
      <c r="DG694" s="78">
        <f>IF($DE694=1,IF(COUNTIFS($F$8:$F694,$F694,$DE$8:$DE694,1)=1,1,0),0)</f>
        <v/>
      </c>
      <c r="DH694" s="83">
        <f>IF($DG694=1,SUMIFS($DF$8:$DF$1600,$F$8:$F$1600,$F694),0)</f>
        <v/>
      </c>
      <c r="DI694" s="78">
        <f>IF($DG694=1,COUNTIFS($F$8:$F$1600,$F694,$DE$8:$DE$1600,1),0)</f>
        <v/>
      </c>
      <c r="DJ694" s="84">
        <f>IF($DG694=1,$DH694+(100000-ROW())/mTieBreak,0)</f>
        <v/>
      </c>
    </row>
    <row r="695">
      <c r="B695" s="68" t="n">
        <v>20</v>
      </c>
      <c r="C695" s="69" t="inlineStr">
        <is>
          <t>UBS19C16</t>
        </is>
      </c>
      <c r="D695" s="69" t="inlineStr">
        <is>
          <t>20.000</t>
        </is>
      </c>
      <c r="E695" s="69" t="inlineStr">
        <is>
          <t>Village at the Gateway</t>
        </is>
      </c>
      <c r="F695" s="69" t="inlineStr">
        <is>
          <t>LNUBS19C16-20.000</t>
        </is>
      </c>
      <c r="G695" s="70" t="n"/>
      <c r="H695" s="71" t="n">
        <v>13000000</v>
      </c>
      <c r="I695" s="71" t="n">
        <v>12557189.859994</v>
      </c>
      <c r="J695" s="72" t="n">
        <v>5.32</v>
      </c>
      <c r="K695" s="69" t="inlineStr">
        <is>
          <t>Fixed rate</t>
        </is>
      </c>
      <c r="L695" s="68" t="n">
        <v>120</v>
      </c>
      <c r="M695" s="68" t="n">
        <v>30</v>
      </c>
      <c r="N695" s="68" t="n">
        <v>420</v>
      </c>
      <c r="O695" s="68" t="n">
        <v>60</v>
      </c>
      <c r="P695" s="68" t="n">
        <v>0</v>
      </c>
      <c r="Q695" s="68" t="n">
        <v>90</v>
      </c>
      <c r="R695" s="69" t="inlineStr">
        <is>
          <t>IO then Amort</t>
        </is>
      </c>
      <c r="S695" s="69" t="inlineStr">
        <is>
          <t>No</t>
        </is>
      </c>
      <c r="T695" s="73" t="n">
        <v>43525</v>
      </c>
      <c r="U695" s="73" t="n">
        <v>47178</v>
      </c>
      <c r="V695" s="73" t="n"/>
      <c r="W695" s="69" t="n"/>
      <c r="X695" s="69" t="inlineStr">
        <is>
          <t>Current</t>
        </is>
      </c>
      <c r="Y695" s="68" t="n"/>
      <c r="Z695" s="69" t="inlineStr">
        <is>
          <t>Full Defeasance</t>
        </is>
      </c>
      <c r="AA695" s="69" t="n"/>
      <c r="AB695" s="69" t="inlineStr">
        <is>
          <t>Never special serv</t>
        </is>
      </c>
      <c r="AC695" s="73" t="n"/>
      <c r="AD695" s="69" t="n"/>
      <c r="AE695" s="69" t="n"/>
      <c r="AF695" s="69" t="inlineStr">
        <is>
          <t>AR</t>
        </is>
      </c>
      <c r="AG695" s="69" t="inlineStr">
        <is>
          <t>Alexander</t>
        </is>
      </c>
      <c r="AH695" s="69" t="inlineStr">
        <is>
          <t>Little Rock-North Little Rock-Conway, AR</t>
        </is>
      </c>
      <c r="AI695" s="69" t="inlineStr">
        <is>
          <t>South / Central West</t>
        </is>
      </c>
      <c r="AJ695" s="69" t="inlineStr">
        <is>
          <t>MF</t>
        </is>
      </c>
      <c r="AK695" s="69" t="inlineStr">
        <is>
          <t>Garden</t>
        </is>
      </c>
      <c r="AL695" s="68" t="n">
        <v>1</v>
      </c>
      <c r="AM695" s="68" t="n">
        <v>110</v>
      </c>
      <c r="AN695" s="68" t="n"/>
      <c r="AO695" s="69" t="inlineStr">
        <is>
          <t>2017</t>
        </is>
      </c>
      <c r="AP695" s="70" t="n">
        <v>2017</v>
      </c>
      <c r="AQ695" s="74" t="n">
        <v>1.57</v>
      </c>
      <c r="AR695" s="74" t="n">
        <v>1.49</v>
      </c>
      <c r="AS695" s="74" t="n">
        <v>71.8</v>
      </c>
      <c r="AT695" s="74" t="n">
        <v>69.38</v>
      </c>
      <c r="AU695" s="74" t="n">
        <v>66.59999999999999</v>
      </c>
      <c r="AV695" s="74" t="n">
        <v>8.471075000000001</v>
      </c>
      <c r="AW695" s="74" t="n">
        <v>8.298511782</v>
      </c>
      <c r="AX695" s="75" t="n">
        <v>97</v>
      </c>
      <c r="AY695" s="71" t="n">
        <v>18100000</v>
      </c>
      <c r="AZ695" s="71" t="n">
        <v>18100000</v>
      </c>
      <c r="BA695" s="71" t="n">
        <v>1101239.75</v>
      </c>
      <c r="BB695" s="71" t="n">
        <v>1042059.88</v>
      </c>
      <c r="BC695" s="69" t="inlineStr">
        <is>
          <t>Refinance</t>
        </is>
      </c>
      <c r="BD695" s="69" t="inlineStr">
        <is>
          <t>N</t>
        </is>
      </c>
      <c r="BE695" s="71" t="n"/>
      <c r="BF695" s="71" t="n"/>
      <c r="BG695" s="71" t="n"/>
      <c r="BH695" s="71" t="n">
        <v>0</v>
      </c>
      <c r="BI695" s="71" t="n">
        <v>0</v>
      </c>
      <c r="BJ695" s="69" t="inlineStr">
        <is>
          <t>N</t>
        </is>
      </c>
      <c r="BK695" s="69" t="n"/>
      <c r="BL695" s="75" t="n"/>
      <c r="BM695" s="73" t="n"/>
      <c r="BN695" s="69" t="inlineStr">
        <is>
          <t>Russell Ray Huckaby; Robert Berry Francis</t>
        </is>
      </c>
      <c r="BO695" s="69" t="inlineStr">
        <is>
          <t>Morgan Stanley</t>
        </is>
      </c>
      <c r="BP695" s="69" t="inlineStr">
        <is>
          <t>Midland Loan Services</t>
        </is>
      </c>
      <c r="BQ695" s="69" t="inlineStr">
        <is>
          <t>Midland Loan Services</t>
        </is>
      </c>
      <c r="BR695" s="69" t="n"/>
      <c r="BS695" s="73" t="n">
        <v>46276</v>
      </c>
      <c r="BU695" s="76">
        <f>IF($C695="","",IFERROR(INDEX(dmName,MATCH($C695,dmID,0)),"Unmapped"))</f>
        <v/>
      </c>
      <c r="BV695" s="76">
        <f>IF($C695="","",IFERROR(INDEX(dmEntity,MATCH($C695,dmID,0)),"Unmapped"))</f>
        <v/>
      </c>
      <c r="BW695" s="77">
        <f>IF($C695="","",IFERROR(INDEX(dmVintage,MATCH($C695,dmID,0)),""))</f>
        <v/>
      </c>
      <c r="BX695" s="78">
        <f>IFERROR(INDEX(dmInclude,MATCH($C695,dmID,0)),0)</f>
        <v/>
      </c>
      <c r="BY695" s="78">
        <f>IF(N($I695)&gt;0,1,0)</f>
        <v/>
      </c>
      <c r="BZ695" s="76">
        <f>IF($AJ695="","Other / Leased Fee",IFERROR(INDEX(mapPTGroup,MATCH(LEFT(TRIM($AJ695),2),mapPTCode,0)),"Other / Leased Fee"))</f>
        <v/>
      </c>
      <c r="CA695" s="76">
        <f>IF(TRIM($AF695&amp;"")="","NR",LEFT(TRIM($AF695),2))</f>
        <v/>
      </c>
      <c r="CB695" s="76">
        <f>IFERROR(LOOKUP(2,1/(LEFT(TRIM($AI695&amp;""),LEN(mapRegion))=mapRegion),mapRegion),"Not Reported")</f>
        <v/>
      </c>
      <c r="CC695" s="76">
        <f>IF($BY695=0,"",IF(TRIM($W695&amp;"")="REO","REO",IF(TRIM($W695&amp;"")="FC","Foreclosure",IF(TRIM($W695&amp;"")="90+","90+ Days Delinquent",IF(TRIM($W695&amp;"")="60","60 Days Delinquent",IF(TRIM($W695&amp;"")="30","30 Days Delinquent",IF($X695="Non-Performing Matured Balloon","Non-Performing Matured Balloon",IF(OR($X695="Late Payment But Less Than 30 Days Delinquent",LEFT($X695&amp;"",20)="Payment Not Received"),"Late / In Grace (&lt;30 Days)",IF($X695="Performing Matured Balloon","Performing Matured Balloon","Current")))))))))</f>
        <v/>
      </c>
      <c r="CD695" s="78">
        <f>IF(OR($CC695="REO",$CC695="Foreclosure",$CC695="90+ Days Delinquent",$CC695="60 Days Delinquent",$CC695="30 Days Delinquent",$CC695="Non-Performing Matured Balloon"),1,0)</f>
        <v/>
      </c>
      <c r="CE695" s="76">
        <f>IF($AB695="Currently special serv","Currently Specially Serviced",IF($AB695="Returned to master serv","Previously Specially Serviced","Never Specially Serviced"))</f>
        <v/>
      </c>
      <c r="CF695" s="78">
        <f>IF($CE695="Currently Specially Serviced",1,0)</f>
        <v/>
      </c>
      <c r="CG695" s="76">
        <f>IF($AA695="Yes","Currently on Watchlist",IF($AA695="Previously","Previously on Watchlist","Never on Watchlist"))</f>
        <v/>
      </c>
      <c r="CH695" s="78">
        <f>IF($CG695="Currently on Watchlist",1,0)</f>
        <v/>
      </c>
      <c r="CI695" s="76">
        <f>IF($Z695="Full Defeasance","Fully Defeased",IF($Z695="Portion Of Loan Previously Defeased","Partially Defeased",IF($Z695="Defeasance Not Allowable","Not Defeased (Not Permitted)","Not Defeased")))</f>
        <v/>
      </c>
      <c r="CJ695" s="78">
        <f>IF($CI695="Fully Defeased",1,0)</f>
        <v/>
      </c>
      <c r="CK695" s="76">
        <f>IF($R695="IO","Full IO",IF(LEFT($R695&amp;"",7)="IO then","Partial IO","Amortizing"))</f>
        <v/>
      </c>
      <c r="CL695" s="78">
        <f>IF($CK695="Full IO",1,0)</f>
        <v/>
      </c>
      <c r="CM695" s="78">
        <f>IF($CK695="Partial IO",1,0)</f>
        <v/>
      </c>
      <c r="CN695" s="76">
        <f>IF(LEFT($F695&amp;"",10)="SPLIT_LOAN","Pari Passu Split","Standalone")</f>
        <v/>
      </c>
      <c r="CO695" s="78">
        <f>IF($CN695="Pari Passu Split",1,0)</f>
        <v/>
      </c>
      <c r="CP695" s="77">
        <f>IF(ISNUMBER($T695),YEAR($T695),"")</f>
        <v/>
      </c>
      <c r="CQ695" s="79">
        <f>IF(ISNUMBER($V695),$V695,IF(ISNUMBER($U695),$U695,""))</f>
        <v/>
      </c>
      <c r="CR695" s="77">
        <f>IF(ISNUMBER($CQ695),YEAR($CQ695),"")</f>
        <v/>
      </c>
      <c r="CS695" s="78">
        <f>IF(ISNUMBER($M695),MAX(0,$M695),IF(TRIM($M695&amp;"")="matured",0,""))</f>
        <v/>
      </c>
      <c r="CT695" s="78">
        <f>IF(AND(ISNUMBER($CS695),N($CS695)&lt;=mMatWindow),1,0)</f>
        <v/>
      </c>
      <c r="CU695" s="80">
        <f>IF(ISNUMBER($J695),$J695/100,"")</f>
        <v/>
      </c>
      <c r="CV695" s="81">
        <f>IF(ISNUMBER($AQ695),$AQ695,"")</f>
        <v/>
      </c>
      <c r="CW695" s="81">
        <f>IF(ISNUMBER($AR695),$AR695,"")</f>
        <v/>
      </c>
      <c r="CX695" s="82">
        <f>IF(ISNUMBER($AS695),$AS695/100,"")</f>
        <v/>
      </c>
      <c r="CY695" s="82">
        <f>IF(ISNUMBER($AT695),$AT695/100,"")</f>
        <v/>
      </c>
      <c r="CZ695" s="82">
        <f>IF(ISNUMBER($AU695),$AU695/100,"")</f>
        <v/>
      </c>
      <c r="DA695" s="82">
        <f>IF(ISNUMBER($AV695),$AV695/100,"")</f>
        <v/>
      </c>
      <c r="DB695" s="82">
        <f>IF(ISNUMBER($AW695),$AW695/100,"")</f>
        <v/>
      </c>
      <c r="DC695" s="82">
        <f>IF(ISNUMBER($AX695),$AX695/100,"")</f>
        <v/>
      </c>
      <c r="DD695" s="77">
        <f>IFERROR(VALUE(LEFT(TRIM($AO695&amp;""),4)),"")</f>
        <v/>
      </c>
      <c r="DE695" s="78">
        <f>IF(AND($BY695=1,$BX695=1,OR(fDeal="All Deals",$BU695=fDeal),OR(fEntity="All Entities",$BV695=fEntity),OR(fPType="All Property Types",$BZ695=fPType),OR(fDefeased="Include",$CJ695=0)),1,0)</f>
        <v/>
      </c>
      <c r="DF695" s="83">
        <f>$DE695*N($I695)</f>
        <v/>
      </c>
      <c r="DG695" s="78">
        <f>IF($DE695=1,IF(COUNTIFS($F$8:$F695,$F695,$DE$8:$DE695,1)=1,1,0),0)</f>
        <v/>
      </c>
      <c r="DH695" s="83">
        <f>IF($DG695=1,SUMIFS($DF$8:$DF$1600,$F$8:$F$1600,$F695),0)</f>
        <v/>
      </c>
      <c r="DI695" s="78">
        <f>IF($DG695=1,COUNTIFS($F$8:$F$1600,$F695,$DE$8:$DE$1600,1),0)</f>
        <v/>
      </c>
      <c r="DJ695" s="84">
        <f>IF($DG695=1,$DH695+(100000-ROW())/mTieBreak,0)</f>
        <v/>
      </c>
    </row>
    <row r="696">
      <c r="B696" s="68" t="n">
        <v>21</v>
      </c>
      <c r="C696" s="69" t="inlineStr">
        <is>
          <t>UBS19C16</t>
        </is>
      </c>
      <c r="D696" s="69" t="inlineStr">
        <is>
          <t>21.000</t>
        </is>
      </c>
      <c r="E696" s="69" t="inlineStr">
        <is>
          <t>Hampden Center</t>
        </is>
      </c>
      <c r="F696" s="69" t="inlineStr">
        <is>
          <t>LNUBS19C16-21.000</t>
        </is>
      </c>
      <c r="G696" s="70" t="n"/>
      <c r="H696" s="71" t="n">
        <v>12250000</v>
      </c>
      <c r="I696" s="71" t="n">
        <v>10610085.5700035</v>
      </c>
      <c r="J696" s="72" t="n">
        <v>4.65</v>
      </c>
      <c r="K696" s="69" t="inlineStr">
        <is>
          <t>Fixed rate</t>
        </is>
      </c>
      <c r="L696" s="68" t="n">
        <v>120</v>
      </c>
      <c r="M696" s="68" t="n">
        <v>29</v>
      </c>
      <c r="N696" s="68" t="n">
        <v>360</v>
      </c>
      <c r="O696" s="68" t="n"/>
      <c r="P696" s="68" t="n"/>
      <c r="Q696" s="68" t="n">
        <v>91</v>
      </c>
      <c r="R696" s="69" t="n"/>
      <c r="S696" s="69" t="inlineStr">
        <is>
          <t>No</t>
        </is>
      </c>
      <c r="T696" s="73" t="n">
        <v>43497</v>
      </c>
      <c r="U696" s="73" t="n">
        <v>47155</v>
      </c>
      <c r="V696" s="73" t="n"/>
      <c r="W696" s="69" t="n"/>
      <c r="X696" s="69" t="inlineStr">
        <is>
          <t>Current</t>
        </is>
      </c>
      <c r="Y696" s="68" t="n"/>
      <c r="Z696" s="69" t="inlineStr">
        <is>
          <t>Defeasance Not Allowable</t>
        </is>
      </c>
      <c r="AA696" s="69" t="inlineStr">
        <is>
          <t>Yes</t>
        </is>
      </c>
      <c r="AB696" s="69" t="inlineStr">
        <is>
          <t>Never special serv</t>
        </is>
      </c>
      <c r="AC696" s="73" t="n"/>
      <c r="AD696" s="69" t="n"/>
      <c r="AE696" s="69" t="n"/>
      <c r="AF696" s="69" t="inlineStr">
        <is>
          <t>PA</t>
        </is>
      </c>
      <c r="AG696" s="69" t="inlineStr">
        <is>
          <t>Mechanicsburg</t>
        </is>
      </c>
      <c r="AH696" s="69" t="inlineStr">
        <is>
          <t>Harrisburg-Carlisle, PA</t>
        </is>
      </c>
      <c r="AI696" s="69" t="inlineStr">
        <is>
          <t>Northeast / Mid-Atlantic</t>
        </is>
      </c>
      <c r="AJ696" s="69" t="inlineStr">
        <is>
          <t>RT</t>
        </is>
      </c>
      <c r="AK696" s="69" t="inlineStr">
        <is>
          <t>Anchored</t>
        </is>
      </c>
      <c r="AL696" s="68" t="n">
        <v>1</v>
      </c>
      <c r="AM696" s="68" t="n"/>
      <c r="AN696" s="68" t="n">
        <v>242659</v>
      </c>
      <c r="AO696" s="69" t="inlineStr">
        <is>
          <t>1989</t>
        </is>
      </c>
      <c r="AP696" s="70" t="n">
        <v>1999</v>
      </c>
      <c r="AQ696" s="74" t="n">
        <v>2.23</v>
      </c>
      <c r="AR696" s="74" t="n">
        <v>2.52</v>
      </c>
      <c r="AS696" s="74" t="n">
        <v>49.7</v>
      </c>
      <c r="AT696" s="74" t="n">
        <v>43.13</v>
      </c>
      <c r="AU696" s="74" t="n">
        <v>40.5</v>
      </c>
      <c r="AV696" s="74" t="n">
        <v>13.774625224</v>
      </c>
      <c r="AW696" s="74" t="n">
        <v>17.978112122</v>
      </c>
      <c r="AX696" s="75" t="n">
        <v>97</v>
      </c>
      <c r="AY696" s="71" t="n">
        <v>24600000</v>
      </c>
      <c r="AZ696" s="71" t="n">
        <v>24600000</v>
      </c>
      <c r="BA696" s="71" t="n">
        <v>1687391.59</v>
      </c>
      <c r="BB696" s="71" t="n">
        <v>1907493.08</v>
      </c>
      <c r="BC696" s="69" t="inlineStr">
        <is>
          <t>Refinance</t>
        </is>
      </c>
      <c r="BD696" s="69" t="inlineStr">
        <is>
          <t>N</t>
        </is>
      </c>
      <c r="BE696" s="71" t="n"/>
      <c r="BF696" s="71" t="n"/>
      <c r="BG696" s="71" t="n"/>
      <c r="BH696" s="71" t="n">
        <v>0</v>
      </c>
      <c r="BI696" s="71" t="n">
        <v>0</v>
      </c>
      <c r="BJ696" s="69" t="inlineStr">
        <is>
          <t>N</t>
        </is>
      </c>
      <c r="BK696" s="69" t="inlineStr">
        <is>
          <t>Karns Prime &amp; Fancy Food Ltd</t>
        </is>
      </c>
      <c r="BL696" s="75" t="n">
        <v>16.31</v>
      </c>
      <c r="BM696" s="73" t="n">
        <v>47573</v>
      </c>
      <c r="BN696" s="69" t="inlineStr">
        <is>
          <t>Melvin Fischman; Arnold Fischman; David F. Lavipour</t>
        </is>
      </c>
      <c r="BO696" s="69" t="inlineStr">
        <is>
          <t>UBS</t>
        </is>
      </c>
      <c r="BP696" s="69" t="inlineStr">
        <is>
          <t>Midland Loan Services</t>
        </is>
      </c>
      <c r="BQ696" s="69" t="inlineStr">
        <is>
          <t>Midland Loan Services</t>
        </is>
      </c>
      <c r="BR696" s="69" t="n"/>
      <c r="BS696" s="73" t="n">
        <v>46276</v>
      </c>
      <c r="BU696" s="76">
        <f>IF($C696="","",IFERROR(INDEX(dmName,MATCH($C696,dmID,0)),"Unmapped"))</f>
        <v/>
      </c>
      <c r="BV696" s="76">
        <f>IF($C696="","",IFERROR(INDEX(dmEntity,MATCH($C696,dmID,0)),"Unmapped"))</f>
        <v/>
      </c>
      <c r="BW696" s="77">
        <f>IF($C696="","",IFERROR(INDEX(dmVintage,MATCH($C696,dmID,0)),""))</f>
        <v/>
      </c>
      <c r="BX696" s="78">
        <f>IFERROR(INDEX(dmInclude,MATCH($C696,dmID,0)),0)</f>
        <v/>
      </c>
      <c r="BY696" s="78">
        <f>IF(N($I696)&gt;0,1,0)</f>
        <v/>
      </c>
      <c r="BZ696" s="76">
        <f>IF($AJ696="","Other / Leased Fee",IFERROR(INDEX(mapPTGroup,MATCH(LEFT(TRIM($AJ696),2),mapPTCode,0)),"Other / Leased Fee"))</f>
        <v/>
      </c>
      <c r="CA696" s="76">
        <f>IF(TRIM($AF696&amp;"")="","NR",LEFT(TRIM($AF696),2))</f>
        <v/>
      </c>
      <c r="CB696" s="76">
        <f>IFERROR(LOOKUP(2,1/(LEFT(TRIM($AI696&amp;""),LEN(mapRegion))=mapRegion),mapRegion),"Not Reported")</f>
        <v/>
      </c>
      <c r="CC696" s="76">
        <f>IF($BY696=0,"",IF(TRIM($W696&amp;"")="REO","REO",IF(TRIM($W696&amp;"")="FC","Foreclosure",IF(TRIM($W696&amp;"")="90+","90+ Days Delinquent",IF(TRIM($W696&amp;"")="60","60 Days Delinquent",IF(TRIM($W696&amp;"")="30","30 Days Delinquent",IF($X696="Non-Performing Matured Balloon","Non-Performing Matured Balloon",IF(OR($X696="Late Payment But Less Than 30 Days Delinquent",LEFT($X696&amp;"",20)="Payment Not Received"),"Late / In Grace (&lt;30 Days)",IF($X696="Performing Matured Balloon","Performing Matured Balloon","Current")))))))))</f>
        <v/>
      </c>
      <c r="CD696" s="78">
        <f>IF(OR($CC696="REO",$CC696="Foreclosure",$CC696="90+ Days Delinquent",$CC696="60 Days Delinquent",$CC696="30 Days Delinquent",$CC696="Non-Performing Matured Balloon"),1,0)</f>
        <v/>
      </c>
      <c r="CE696" s="76">
        <f>IF($AB696="Currently special serv","Currently Specially Serviced",IF($AB696="Returned to master serv","Previously Specially Serviced","Never Specially Serviced"))</f>
        <v/>
      </c>
      <c r="CF696" s="78">
        <f>IF($CE696="Currently Specially Serviced",1,0)</f>
        <v/>
      </c>
      <c r="CG696" s="76">
        <f>IF($AA696="Yes","Currently on Watchlist",IF($AA696="Previously","Previously on Watchlist","Never on Watchlist"))</f>
        <v/>
      </c>
      <c r="CH696" s="78">
        <f>IF($CG696="Currently on Watchlist",1,0)</f>
        <v/>
      </c>
      <c r="CI696" s="76">
        <f>IF($Z696="Full Defeasance","Fully Defeased",IF($Z696="Portion Of Loan Previously Defeased","Partially Defeased",IF($Z696="Defeasance Not Allowable","Not Defeased (Not Permitted)","Not Defeased")))</f>
        <v/>
      </c>
      <c r="CJ696" s="78">
        <f>IF($CI696="Fully Defeased",1,0)</f>
        <v/>
      </c>
      <c r="CK696" s="76">
        <f>IF($R696="IO","Full IO",IF(LEFT($R696&amp;"",7)="IO then","Partial IO","Amortizing"))</f>
        <v/>
      </c>
      <c r="CL696" s="78">
        <f>IF($CK696="Full IO",1,0)</f>
        <v/>
      </c>
      <c r="CM696" s="78">
        <f>IF($CK696="Partial IO",1,0)</f>
        <v/>
      </c>
      <c r="CN696" s="76">
        <f>IF(LEFT($F696&amp;"",10)="SPLIT_LOAN","Pari Passu Split","Standalone")</f>
        <v/>
      </c>
      <c r="CO696" s="78">
        <f>IF($CN696="Pari Passu Split",1,0)</f>
        <v/>
      </c>
      <c r="CP696" s="77">
        <f>IF(ISNUMBER($T696),YEAR($T696),"")</f>
        <v/>
      </c>
      <c r="CQ696" s="79">
        <f>IF(ISNUMBER($V696),$V696,IF(ISNUMBER($U696),$U696,""))</f>
        <v/>
      </c>
      <c r="CR696" s="77">
        <f>IF(ISNUMBER($CQ696),YEAR($CQ696),"")</f>
        <v/>
      </c>
      <c r="CS696" s="78">
        <f>IF(ISNUMBER($M696),MAX(0,$M696),IF(TRIM($M696&amp;"")="matured",0,""))</f>
        <v/>
      </c>
      <c r="CT696" s="78">
        <f>IF(AND(ISNUMBER($CS696),N($CS696)&lt;=mMatWindow),1,0)</f>
        <v/>
      </c>
      <c r="CU696" s="80">
        <f>IF(ISNUMBER($J696),$J696/100,"")</f>
        <v/>
      </c>
      <c r="CV696" s="81">
        <f>IF(ISNUMBER($AQ696),$AQ696,"")</f>
        <v/>
      </c>
      <c r="CW696" s="81">
        <f>IF(ISNUMBER($AR696),$AR696,"")</f>
        <v/>
      </c>
      <c r="CX696" s="82">
        <f>IF(ISNUMBER($AS696),$AS696/100,"")</f>
        <v/>
      </c>
      <c r="CY696" s="82">
        <f>IF(ISNUMBER($AT696),$AT696/100,"")</f>
        <v/>
      </c>
      <c r="CZ696" s="82">
        <f>IF(ISNUMBER($AU696),$AU696/100,"")</f>
        <v/>
      </c>
      <c r="DA696" s="82">
        <f>IF(ISNUMBER($AV696),$AV696/100,"")</f>
        <v/>
      </c>
      <c r="DB696" s="82">
        <f>IF(ISNUMBER($AW696),$AW696/100,"")</f>
        <v/>
      </c>
      <c r="DC696" s="82">
        <f>IF(ISNUMBER($AX696),$AX696/100,"")</f>
        <v/>
      </c>
      <c r="DD696" s="77">
        <f>IFERROR(VALUE(LEFT(TRIM($AO696&amp;""),4)),"")</f>
        <v/>
      </c>
      <c r="DE696" s="78">
        <f>IF(AND($BY696=1,$BX696=1,OR(fDeal="All Deals",$BU696=fDeal),OR(fEntity="All Entities",$BV696=fEntity),OR(fPType="All Property Types",$BZ696=fPType),OR(fDefeased="Include",$CJ696=0)),1,0)</f>
        <v/>
      </c>
      <c r="DF696" s="83">
        <f>$DE696*N($I696)</f>
        <v/>
      </c>
      <c r="DG696" s="78">
        <f>IF($DE696=1,IF(COUNTIFS($F$8:$F696,$F696,$DE$8:$DE696,1)=1,1,0),0)</f>
        <v/>
      </c>
      <c r="DH696" s="83">
        <f>IF($DG696=1,SUMIFS($DF$8:$DF$1600,$F$8:$F$1600,$F696),0)</f>
        <v/>
      </c>
      <c r="DI696" s="78">
        <f>IF($DG696=1,COUNTIFS($F$8:$F$1600,$F696,$DE$8:$DE$1600,1),0)</f>
        <v/>
      </c>
      <c r="DJ696" s="84">
        <f>IF($DG696=1,$DH696+(100000-ROW())/mTieBreak,0)</f>
        <v/>
      </c>
    </row>
    <row r="697">
      <c r="B697" s="68" t="n">
        <v>22</v>
      </c>
      <c r="C697" s="69" t="inlineStr">
        <is>
          <t>UBS19C16</t>
        </is>
      </c>
      <c r="D697" s="69" t="inlineStr">
        <is>
          <t>22.000</t>
        </is>
      </c>
      <c r="E697" s="69" t="inlineStr">
        <is>
          <t>Village Marketplace</t>
        </is>
      </c>
      <c r="F697" s="69" t="inlineStr">
        <is>
          <t>LNUBS19C16-22.000</t>
        </is>
      </c>
      <c r="G697" s="70" t="n"/>
      <c r="H697" s="71" t="n">
        <v>7800000</v>
      </c>
      <c r="I697" s="71" t="n">
        <v>6997448.859999</v>
      </c>
      <c r="J697" s="72" t="n">
        <v>5.3</v>
      </c>
      <c r="K697" s="69" t="inlineStr">
        <is>
          <t>Fixed rate</t>
        </is>
      </c>
      <c r="L697" s="68" t="n">
        <v>120</v>
      </c>
      <c r="M697" s="68" t="n">
        <v>28</v>
      </c>
      <c r="N697" s="68" t="n">
        <v>372</v>
      </c>
      <c r="O697" s="68" t="n">
        <v>12</v>
      </c>
      <c r="P697" s="68" t="n">
        <v>0</v>
      </c>
      <c r="Q697" s="68" t="n">
        <v>92</v>
      </c>
      <c r="R697" s="69" t="inlineStr">
        <is>
          <t>IO then Amort</t>
        </is>
      </c>
      <c r="S697" s="69" t="inlineStr">
        <is>
          <t>No</t>
        </is>
      </c>
      <c r="T697" s="73" t="n">
        <v>43466</v>
      </c>
      <c r="U697" s="73" t="n">
        <v>47124</v>
      </c>
      <c r="V697" s="73" t="n"/>
      <c r="W697" s="69" t="n"/>
      <c r="X697" s="69" t="inlineStr">
        <is>
          <t>Current</t>
        </is>
      </c>
      <c r="Y697" s="68" t="n"/>
      <c r="Z697" s="69" t="inlineStr">
        <is>
          <t>Full Defeasance</t>
        </is>
      </c>
      <c r="AA697" s="69" t="inlineStr">
        <is>
          <t>Previously</t>
        </is>
      </c>
      <c r="AB697" s="69" t="inlineStr">
        <is>
          <t>Never special serv</t>
        </is>
      </c>
      <c r="AC697" s="73" t="n"/>
      <c r="AD697" s="69" t="n"/>
      <c r="AE697" s="69" t="n"/>
      <c r="AF697" s="69" t="inlineStr">
        <is>
          <t>FL</t>
        </is>
      </c>
      <c r="AG697" s="69" t="inlineStr">
        <is>
          <t>West Palm Beach</t>
        </is>
      </c>
      <c r="AH697" s="69" t="inlineStr">
        <is>
          <t>Miami-Fort Lauderdale-West Palm Beach, FL</t>
        </is>
      </c>
      <c r="AI697" s="69" t="inlineStr">
        <is>
          <t>South / Atlantic</t>
        </is>
      </c>
      <c r="AJ697" s="69" t="inlineStr">
        <is>
          <t>RT</t>
        </is>
      </c>
      <c r="AK697" s="69" t="inlineStr">
        <is>
          <t>Anchored</t>
        </is>
      </c>
      <c r="AL697" s="68" t="n">
        <v>1</v>
      </c>
      <c r="AM697" s="68" t="n"/>
      <c r="AN697" s="68" t="n">
        <v>70050</v>
      </c>
      <c r="AO697" s="69" t="inlineStr">
        <is>
          <t>1977</t>
        </is>
      </c>
      <c r="AP697" s="70" t="n">
        <v>1977</v>
      </c>
      <c r="AQ697" s="74" t="n">
        <v>1.84</v>
      </c>
      <c r="AR697" s="74" t="n">
        <v>2.78</v>
      </c>
      <c r="AS697" s="74" t="n">
        <v>58.9</v>
      </c>
      <c r="AT697" s="74" t="n">
        <v>50.71</v>
      </c>
      <c r="AU697" s="74" t="n">
        <v>50.2</v>
      </c>
      <c r="AV697" s="74" t="n">
        <v>9.652172308000001</v>
      </c>
      <c r="AW697" s="74" t="n">
        <v>20.635073852</v>
      </c>
      <c r="AX697" s="75" t="n">
        <v>89</v>
      </c>
      <c r="AY697" s="71" t="n">
        <v>13800000</v>
      </c>
      <c r="AZ697" s="71" t="n">
        <v>13800000</v>
      </c>
      <c r="BA697" s="71" t="n">
        <v>752869.4399999999</v>
      </c>
      <c r="BB697" s="71" t="n">
        <v>1443928.74</v>
      </c>
      <c r="BC697" s="69" t="inlineStr">
        <is>
          <t>Refinance</t>
        </is>
      </c>
      <c r="BD697" s="69" t="inlineStr">
        <is>
          <t>N</t>
        </is>
      </c>
      <c r="BE697" s="71" t="n"/>
      <c r="BF697" s="71" t="n"/>
      <c r="BG697" s="71" t="n"/>
      <c r="BH697" s="71" t="n">
        <v>0</v>
      </c>
      <c r="BI697" s="71" t="n">
        <v>0</v>
      </c>
      <c r="BJ697" s="69" t="inlineStr">
        <is>
          <t>N</t>
        </is>
      </c>
      <c r="BK697" s="69" t="inlineStr">
        <is>
          <t>Guitar Center</t>
        </is>
      </c>
      <c r="BL697" s="75" t="n">
        <v>21.53</v>
      </c>
      <c r="BM697" s="73" t="n">
        <v>47664</v>
      </c>
      <c r="BN697" s="69" t="inlineStr">
        <is>
          <t>Bryan Cohen; Karen Cohen</t>
        </is>
      </c>
      <c r="BO697" s="69" t="inlineStr">
        <is>
          <t>UBS</t>
        </is>
      </c>
      <c r="BP697" s="69" t="inlineStr">
        <is>
          <t>Midland Loan Services</t>
        </is>
      </c>
      <c r="BQ697" s="69" t="inlineStr">
        <is>
          <t>Midland Loan Services</t>
        </is>
      </c>
      <c r="BR697" s="69" t="n"/>
      <c r="BS697" s="73" t="n">
        <v>46276</v>
      </c>
      <c r="BU697" s="76">
        <f>IF($C697="","",IFERROR(INDEX(dmName,MATCH($C697,dmID,0)),"Unmapped"))</f>
        <v/>
      </c>
      <c r="BV697" s="76">
        <f>IF($C697="","",IFERROR(INDEX(dmEntity,MATCH($C697,dmID,0)),"Unmapped"))</f>
        <v/>
      </c>
      <c r="BW697" s="77">
        <f>IF($C697="","",IFERROR(INDEX(dmVintage,MATCH($C697,dmID,0)),""))</f>
        <v/>
      </c>
      <c r="BX697" s="78">
        <f>IFERROR(INDEX(dmInclude,MATCH($C697,dmID,0)),0)</f>
        <v/>
      </c>
      <c r="BY697" s="78">
        <f>IF(N($I697)&gt;0,1,0)</f>
        <v/>
      </c>
      <c r="BZ697" s="76">
        <f>IF($AJ697="","Other / Leased Fee",IFERROR(INDEX(mapPTGroup,MATCH(LEFT(TRIM($AJ697),2),mapPTCode,0)),"Other / Leased Fee"))</f>
        <v/>
      </c>
      <c r="CA697" s="76">
        <f>IF(TRIM($AF697&amp;"")="","NR",LEFT(TRIM($AF697),2))</f>
        <v/>
      </c>
      <c r="CB697" s="76">
        <f>IFERROR(LOOKUP(2,1/(LEFT(TRIM($AI697&amp;""),LEN(mapRegion))=mapRegion),mapRegion),"Not Reported")</f>
        <v/>
      </c>
      <c r="CC697" s="76">
        <f>IF($BY697=0,"",IF(TRIM($W697&amp;"")="REO","REO",IF(TRIM($W697&amp;"")="FC","Foreclosure",IF(TRIM($W697&amp;"")="90+","90+ Days Delinquent",IF(TRIM($W697&amp;"")="60","60 Days Delinquent",IF(TRIM($W697&amp;"")="30","30 Days Delinquent",IF($X697="Non-Performing Matured Balloon","Non-Performing Matured Balloon",IF(OR($X697="Late Payment But Less Than 30 Days Delinquent",LEFT($X697&amp;"",20)="Payment Not Received"),"Late / In Grace (&lt;30 Days)",IF($X697="Performing Matured Balloon","Performing Matured Balloon","Current")))))))))</f>
        <v/>
      </c>
      <c r="CD697" s="78">
        <f>IF(OR($CC697="REO",$CC697="Foreclosure",$CC697="90+ Days Delinquent",$CC697="60 Days Delinquent",$CC697="30 Days Delinquent",$CC697="Non-Performing Matured Balloon"),1,0)</f>
        <v/>
      </c>
      <c r="CE697" s="76">
        <f>IF($AB697="Currently special serv","Currently Specially Serviced",IF($AB697="Returned to master serv","Previously Specially Serviced","Never Specially Serviced"))</f>
        <v/>
      </c>
      <c r="CF697" s="78">
        <f>IF($CE697="Currently Specially Serviced",1,0)</f>
        <v/>
      </c>
      <c r="CG697" s="76">
        <f>IF($AA697="Yes","Currently on Watchlist",IF($AA697="Previously","Previously on Watchlist","Never on Watchlist"))</f>
        <v/>
      </c>
      <c r="CH697" s="78">
        <f>IF($CG697="Currently on Watchlist",1,0)</f>
        <v/>
      </c>
      <c r="CI697" s="76">
        <f>IF($Z697="Full Defeasance","Fully Defeased",IF($Z697="Portion Of Loan Previously Defeased","Partially Defeased",IF($Z697="Defeasance Not Allowable","Not Defeased (Not Permitted)","Not Defeased")))</f>
        <v/>
      </c>
      <c r="CJ697" s="78">
        <f>IF($CI697="Fully Defeased",1,0)</f>
        <v/>
      </c>
      <c r="CK697" s="76">
        <f>IF($R697="IO","Full IO",IF(LEFT($R697&amp;"",7)="IO then","Partial IO","Amortizing"))</f>
        <v/>
      </c>
      <c r="CL697" s="78">
        <f>IF($CK697="Full IO",1,0)</f>
        <v/>
      </c>
      <c r="CM697" s="78">
        <f>IF($CK697="Partial IO",1,0)</f>
        <v/>
      </c>
      <c r="CN697" s="76">
        <f>IF(LEFT($F697&amp;"",10)="SPLIT_LOAN","Pari Passu Split","Standalone")</f>
        <v/>
      </c>
      <c r="CO697" s="78">
        <f>IF($CN697="Pari Passu Split",1,0)</f>
        <v/>
      </c>
      <c r="CP697" s="77">
        <f>IF(ISNUMBER($T697),YEAR($T697),"")</f>
        <v/>
      </c>
      <c r="CQ697" s="79">
        <f>IF(ISNUMBER($V697),$V697,IF(ISNUMBER($U697),$U697,""))</f>
        <v/>
      </c>
      <c r="CR697" s="77">
        <f>IF(ISNUMBER($CQ697),YEAR($CQ697),"")</f>
        <v/>
      </c>
      <c r="CS697" s="78">
        <f>IF(ISNUMBER($M697),MAX(0,$M697),IF(TRIM($M697&amp;"")="matured",0,""))</f>
        <v/>
      </c>
      <c r="CT697" s="78">
        <f>IF(AND(ISNUMBER($CS697),N($CS697)&lt;=mMatWindow),1,0)</f>
        <v/>
      </c>
      <c r="CU697" s="80">
        <f>IF(ISNUMBER($J697),$J697/100,"")</f>
        <v/>
      </c>
      <c r="CV697" s="81">
        <f>IF(ISNUMBER($AQ697),$AQ697,"")</f>
        <v/>
      </c>
      <c r="CW697" s="81">
        <f>IF(ISNUMBER($AR697),$AR697,"")</f>
        <v/>
      </c>
      <c r="CX697" s="82">
        <f>IF(ISNUMBER($AS697),$AS697/100,"")</f>
        <v/>
      </c>
      <c r="CY697" s="82">
        <f>IF(ISNUMBER($AT697),$AT697/100,"")</f>
        <v/>
      </c>
      <c r="CZ697" s="82">
        <f>IF(ISNUMBER($AU697),$AU697/100,"")</f>
        <v/>
      </c>
      <c r="DA697" s="82">
        <f>IF(ISNUMBER($AV697),$AV697/100,"")</f>
        <v/>
      </c>
      <c r="DB697" s="82">
        <f>IF(ISNUMBER($AW697),$AW697/100,"")</f>
        <v/>
      </c>
      <c r="DC697" s="82">
        <f>IF(ISNUMBER($AX697),$AX697/100,"")</f>
        <v/>
      </c>
      <c r="DD697" s="77">
        <f>IFERROR(VALUE(LEFT(TRIM($AO697&amp;""),4)),"")</f>
        <v/>
      </c>
      <c r="DE697" s="78">
        <f>IF(AND($BY697=1,$BX697=1,OR(fDeal="All Deals",$BU697=fDeal),OR(fEntity="All Entities",$BV697=fEntity),OR(fPType="All Property Types",$BZ697=fPType),OR(fDefeased="Include",$CJ697=0)),1,0)</f>
        <v/>
      </c>
      <c r="DF697" s="83">
        <f>$DE697*N($I697)</f>
        <v/>
      </c>
      <c r="DG697" s="78">
        <f>IF($DE697=1,IF(COUNTIFS($F$8:$F697,$F697,$DE$8:$DE697,1)=1,1,0),0)</f>
        <v/>
      </c>
      <c r="DH697" s="83">
        <f>IF($DG697=1,SUMIFS($DF$8:$DF$1600,$F$8:$F$1600,$F697),0)</f>
        <v/>
      </c>
      <c r="DI697" s="78">
        <f>IF($DG697=1,COUNTIFS($F$8:$F$1600,$F697,$DE$8:$DE$1600,1),0)</f>
        <v/>
      </c>
      <c r="DJ697" s="84">
        <f>IF($DG697=1,$DH697+(100000-ROW())/mTieBreak,0)</f>
        <v/>
      </c>
    </row>
    <row r="698">
      <c r="B698" s="68" t="n">
        <v>23</v>
      </c>
      <c r="C698" s="69" t="inlineStr">
        <is>
          <t>UBS19C16</t>
        </is>
      </c>
      <c r="D698" s="69" t="inlineStr">
        <is>
          <t>23.000</t>
        </is>
      </c>
      <c r="E698" s="69" t="inlineStr">
        <is>
          <t>Turnpike Plaza</t>
        </is>
      </c>
      <c r="F698" s="69" t="inlineStr">
        <is>
          <t>LNUBS19C16-23.000</t>
        </is>
      </c>
      <c r="G698" s="70" t="n"/>
      <c r="H698" s="71" t="n">
        <v>4100000</v>
      </c>
      <c r="I698" s="71" t="n">
        <v>3678146.089999901</v>
      </c>
      <c r="J698" s="72" t="n">
        <v>5.3</v>
      </c>
      <c r="K698" s="69" t="inlineStr">
        <is>
          <t>Fixed rate</t>
        </is>
      </c>
      <c r="L698" s="68" t="n">
        <v>120</v>
      </c>
      <c r="M698" s="68" t="n">
        <v>28</v>
      </c>
      <c r="N698" s="68" t="n">
        <v>372</v>
      </c>
      <c r="O698" s="68" t="n">
        <v>12</v>
      </c>
      <c r="P698" s="68" t="n">
        <v>0</v>
      </c>
      <c r="Q698" s="68" t="n">
        <v>92</v>
      </c>
      <c r="R698" s="69" t="inlineStr">
        <is>
          <t>IO then Amort</t>
        </is>
      </c>
      <c r="S698" s="69" t="inlineStr">
        <is>
          <t>No</t>
        </is>
      </c>
      <c r="T698" s="73" t="n">
        <v>43466</v>
      </c>
      <c r="U698" s="73" t="n">
        <v>47124</v>
      </c>
      <c r="V698" s="73" t="n"/>
      <c r="W698" s="69" t="n"/>
      <c r="X698" s="69" t="inlineStr">
        <is>
          <t>Current</t>
        </is>
      </c>
      <c r="Y698" s="68" t="n"/>
      <c r="Z698" s="69" t="inlineStr">
        <is>
          <t>Full Defeasance</t>
        </is>
      </c>
      <c r="AA698" s="69" t="inlineStr">
        <is>
          <t>Previously</t>
        </is>
      </c>
      <c r="AB698" s="69" t="inlineStr">
        <is>
          <t>Never special serv</t>
        </is>
      </c>
      <c r="AC698" s="73" t="n"/>
      <c r="AD698" s="69" t="n"/>
      <c r="AE698" s="69" t="n"/>
      <c r="AF698" s="69" t="inlineStr">
        <is>
          <t>FL</t>
        </is>
      </c>
      <c r="AG698" s="69" t="inlineStr">
        <is>
          <t>West Palm Beach</t>
        </is>
      </c>
      <c r="AH698" s="69" t="inlineStr">
        <is>
          <t>Miami-Fort Lauderdale-West Palm Beach, FL</t>
        </is>
      </c>
      <c r="AI698" s="69" t="inlineStr">
        <is>
          <t>South / Atlantic</t>
        </is>
      </c>
      <c r="AJ698" s="69" t="inlineStr">
        <is>
          <t>RT</t>
        </is>
      </c>
      <c r="AK698" s="69" t="inlineStr">
        <is>
          <t>Unanchored</t>
        </is>
      </c>
      <c r="AL698" s="68" t="n">
        <v>1</v>
      </c>
      <c r="AM698" s="68" t="n"/>
      <c r="AN698" s="68" t="n">
        <v>23400</v>
      </c>
      <c r="AO698" s="69" t="inlineStr">
        <is>
          <t>1975</t>
        </is>
      </c>
      <c r="AP698" s="70" t="n">
        <v>1975</v>
      </c>
      <c r="AQ698" s="74" t="n">
        <v>1.84</v>
      </c>
      <c r="AR698" s="74" t="n">
        <v>2.78</v>
      </c>
      <c r="AS698" s="74" t="n">
        <v>58.9</v>
      </c>
      <c r="AT698" s="74" t="n">
        <v>57.47</v>
      </c>
      <c r="AU698" s="74" t="n">
        <v>50.2</v>
      </c>
      <c r="AV698" s="74" t="n">
        <v>10.325194878</v>
      </c>
      <c r="AW698" s="74" t="n">
        <v>39.256970894</v>
      </c>
      <c r="AX698" s="75" t="n">
        <v>89</v>
      </c>
      <c r="AY698" s="71" t="n">
        <v>6400000</v>
      </c>
      <c r="AZ698" s="71" t="n">
        <v>6400000</v>
      </c>
      <c r="BA698" s="71" t="n">
        <v>423332.99</v>
      </c>
      <c r="BB698" s="71" t="n">
        <v>1443928.74</v>
      </c>
      <c r="BC698" s="69" t="inlineStr">
        <is>
          <t>Refinance</t>
        </is>
      </c>
      <c r="BD698" s="69" t="inlineStr">
        <is>
          <t>N</t>
        </is>
      </c>
      <c r="BE698" s="71" t="n"/>
      <c r="BF698" s="71" t="n"/>
      <c r="BG698" s="71" t="n"/>
      <c r="BH698" s="71" t="n">
        <v>0</v>
      </c>
      <c r="BI698" s="71" t="n">
        <v>0</v>
      </c>
      <c r="BJ698" s="69" t="inlineStr">
        <is>
          <t>N</t>
        </is>
      </c>
      <c r="BK698" s="69" t="inlineStr">
        <is>
          <t>Guitar Center</t>
        </is>
      </c>
      <c r="BL698" s="75" t="n">
        <v>21.53</v>
      </c>
      <c r="BM698" s="73" t="n">
        <v>47664</v>
      </c>
      <c r="BN698" s="69" t="inlineStr">
        <is>
          <t>Bryan Cohen; Karen Cohen</t>
        </is>
      </c>
      <c r="BO698" s="69" t="inlineStr">
        <is>
          <t>UBS</t>
        </is>
      </c>
      <c r="BP698" s="69" t="inlineStr">
        <is>
          <t>Midland Loan Services</t>
        </is>
      </c>
      <c r="BQ698" s="69" t="inlineStr">
        <is>
          <t>Midland Loan Services</t>
        </is>
      </c>
      <c r="BR698" s="69" t="n"/>
      <c r="BS698" s="73" t="n">
        <v>46276</v>
      </c>
      <c r="BU698" s="76">
        <f>IF($C698="","",IFERROR(INDEX(dmName,MATCH($C698,dmID,0)),"Unmapped"))</f>
        <v/>
      </c>
      <c r="BV698" s="76">
        <f>IF($C698="","",IFERROR(INDEX(dmEntity,MATCH($C698,dmID,0)),"Unmapped"))</f>
        <v/>
      </c>
      <c r="BW698" s="77">
        <f>IF($C698="","",IFERROR(INDEX(dmVintage,MATCH($C698,dmID,0)),""))</f>
        <v/>
      </c>
      <c r="BX698" s="78">
        <f>IFERROR(INDEX(dmInclude,MATCH($C698,dmID,0)),0)</f>
        <v/>
      </c>
      <c r="BY698" s="78">
        <f>IF(N($I698)&gt;0,1,0)</f>
        <v/>
      </c>
      <c r="BZ698" s="76">
        <f>IF($AJ698="","Other / Leased Fee",IFERROR(INDEX(mapPTGroup,MATCH(LEFT(TRIM($AJ698),2),mapPTCode,0)),"Other / Leased Fee"))</f>
        <v/>
      </c>
      <c r="CA698" s="76">
        <f>IF(TRIM($AF698&amp;"")="","NR",LEFT(TRIM($AF698),2))</f>
        <v/>
      </c>
      <c r="CB698" s="76">
        <f>IFERROR(LOOKUP(2,1/(LEFT(TRIM($AI698&amp;""),LEN(mapRegion))=mapRegion),mapRegion),"Not Reported")</f>
        <v/>
      </c>
      <c r="CC698" s="76">
        <f>IF($BY698=0,"",IF(TRIM($W698&amp;"")="REO","REO",IF(TRIM($W698&amp;"")="FC","Foreclosure",IF(TRIM($W698&amp;"")="90+","90+ Days Delinquent",IF(TRIM($W698&amp;"")="60","60 Days Delinquent",IF(TRIM($W698&amp;"")="30","30 Days Delinquent",IF($X698="Non-Performing Matured Balloon","Non-Performing Matured Balloon",IF(OR($X698="Late Payment But Less Than 30 Days Delinquent",LEFT($X698&amp;"",20)="Payment Not Received"),"Late / In Grace (&lt;30 Days)",IF($X698="Performing Matured Balloon","Performing Matured Balloon","Current")))))))))</f>
        <v/>
      </c>
      <c r="CD698" s="78">
        <f>IF(OR($CC698="REO",$CC698="Foreclosure",$CC698="90+ Days Delinquent",$CC698="60 Days Delinquent",$CC698="30 Days Delinquent",$CC698="Non-Performing Matured Balloon"),1,0)</f>
        <v/>
      </c>
      <c r="CE698" s="76">
        <f>IF($AB698="Currently special serv","Currently Specially Serviced",IF($AB698="Returned to master serv","Previously Specially Serviced","Never Specially Serviced"))</f>
        <v/>
      </c>
      <c r="CF698" s="78">
        <f>IF($CE698="Currently Specially Serviced",1,0)</f>
        <v/>
      </c>
      <c r="CG698" s="76">
        <f>IF($AA698="Yes","Currently on Watchlist",IF($AA698="Previously","Previously on Watchlist","Never on Watchlist"))</f>
        <v/>
      </c>
      <c r="CH698" s="78">
        <f>IF($CG698="Currently on Watchlist",1,0)</f>
        <v/>
      </c>
      <c r="CI698" s="76">
        <f>IF($Z698="Full Defeasance","Fully Defeased",IF($Z698="Portion Of Loan Previously Defeased","Partially Defeased",IF($Z698="Defeasance Not Allowable","Not Defeased (Not Permitted)","Not Defeased")))</f>
        <v/>
      </c>
      <c r="CJ698" s="78">
        <f>IF($CI698="Fully Defeased",1,0)</f>
        <v/>
      </c>
      <c r="CK698" s="76">
        <f>IF($R698="IO","Full IO",IF(LEFT($R698&amp;"",7)="IO then","Partial IO","Amortizing"))</f>
        <v/>
      </c>
      <c r="CL698" s="78">
        <f>IF($CK698="Full IO",1,0)</f>
        <v/>
      </c>
      <c r="CM698" s="78">
        <f>IF($CK698="Partial IO",1,0)</f>
        <v/>
      </c>
      <c r="CN698" s="76">
        <f>IF(LEFT($F698&amp;"",10)="SPLIT_LOAN","Pari Passu Split","Standalone")</f>
        <v/>
      </c>
      <c r="CO698" s="78">
        <f>IF($CN698="Pari Passu Split",1,0)</f>
        <v/>
      </c>
      <c r="CP698" s="77">
        <f>IF(ISNUMBER($T698),YEAR($T698),"")</f>
        <v/>
      </c>
      <c r="CQ698" s="79">
        <f>IF(ISNUMBER($V698),$V698,IF(ISNUMBER($U698),$U698,""))</f>
        <v/>
      </c>
      <c r="CR698" s="77">
        <f>IF(ISNUMBER($CQ698),YEAR($CQ698),"")</f>
        <v/>
      </c>
      <c r="CS698" s="78">
        <f>IF(ISNUMBER($M698),MAX(0,$M698),IF(TRIM($M698&amp;"")="matured",0,""))</f>
        <v/>
      </c>
      <c r="CT698" s="78">
        <f>IF(AND(ISNUMBER($CS698),N($CS698)&lt;=mMatWindow),1,0)</f>
        <v/>
      </c>
      <c r="CU698" s="80">
        <f>IF(ISNUMBER($J698),$J698/100,"")</f>
        <v/>
      </c>
      <c r="CV698" s="81">
        <f>IF(ISNUMBER($AQ698),$AQ698,"")</f>
        <v/>
      </c>
      <c r="CW698" s="81">
        <f>IF(ISNUMBER($AR698),$AR698,"")</f>
        <v/>
      </c>
      <c r="CX698" s="82">
        <f>IF(ISNUMBER($AS698),$AS698/100,"")</f>
        <v/>
      </c>
      <c r="CY698" s="82">
        <f>IF(ISNUMBER($AT698),$AT698/100,"")</f>
        <v/>
      </c>
      <c r="CZ698" s="82">
        <f>IF(ISNUMBER($AU698),$AU698/100,"")</f>
        <v/>
      </c>
      <c r="DA698" s="82">
        <f>IF(ISNUMBER($AV698),$AV698/100,"")</f>
        <v/>
      </c>
      <c r="DB698" s="82">
        <f>IF(ISNUMBER($AW698),$AW698/100,"")</f>
        <v/>
      </c>
      <c r="DC698" s="82">
        <f>IF(ISNUMBER($AX698),$AX698/100,"")</f>
        <v/>
      </c>
      <c r="DD698" s="77">
        <f>IFERROR(VALUE(LEFT(TRIM($AO698&amp;""),4)),"")</f>
        <v/>
      </c>
      <c r="DE698" s="78">
        <f>IF(AND($BY698=1,$BX698=1,OR(fDeal="All Deals",$BU698=fDeal),OR(fEntity="All Entities",$BV698=fEntity),OR(fPType="All Property Types",$BZ698=fPType),OR(fDefeased="Include",$CJ698=0)),1,0)</f>
        <v/>
      </c>
      <c r="DF698" s="83">
        <f>$DE698*N($I698)</f>
        <v/>
      </c>
      <c r="DG698" s="78">
        <f>IF($DE698=1,IF(COUNTIFS($F$8:$F698,$F698,$DE$8:$DE698,1)=1,1,0),0)</f>
        <v/>
      </c>
      <c r="DH698" s="83">
        <f>IF($DG698=1,SUMIFS($DF$8:$DF$1600,$F$8:$F$1600,$F698),0)</f>
        <v/>
      </c>
      <c r="DI698" s="78">
        <f>IF($DG698=1,COUNTIFS($F$8:$F$1600,$F698,$DE$8:$DE$1600,1),0)</f>
        <v/>
      </c>
      <c r="DJ698" s="84">
        <f>IF($DG698=1,$DH698+(100000-ROW())/mTieBreak,0)</f>
        <v/>
      </c>
    </row>
    <row r="699">
      <c r="B699" s="68" t="n">
        <v>24</v>
      </c>
      <c r="C699" s="69" t="inlineStr">
        <is>
          <t>UBS19C16</t>
        </is>
      </c>
      <c r="D699" s="69" t="inlineStr">
        <is>
          <t>24.000</t>
        </is>
      </c>
      <c r="E699" s="69" t="inlineStr">
        <is>
          <t>La Quinta Houston Portfolio</t>
        </is>
      </c>
      <c r="F699" s="69" t="inlineStr">
        <is>
          <t>LNUBS19C16-24.000</t>
        </is>
      </c>
      <c r="G699" s="70" t="n"/>
      <c r="H699" s="71" t="n">
        <v>9750000</v>
      </c>
      <c r="I699" s="71" t="n">
        <v>8577940.020000001</v>
      </c>
      <c r="J699" s="72" t="n">
        <v>5.2</v>
      </c>
      <c r="K699" s="69" t="inlineStr">
        <is>
          <t>Fixed rate</t>
        </is>
      </c>
      <c r="L699" s="68" t="n">
        <v>120</v>
      </c>
      <c r="M699" s="68" t="n">
        <v>30</v>
      </c>
      <c r="N699" s="68" t="n">
        <v>360</v>
      </c>
      <c r="O699" s="68" t="n"/>
      <c r="P699" s="68" t="n"/>
      <c r="Q699" s="68" t="n">
        <v>90</v>
      </c>
      <c r="R699" s="69" t="n"/>
      <c r="S699" s="69" t="inlineStr">
        <is>
          <t>No</t>
        </is>
      </c>
      <c r="T699" s="73" t="n">
        <v>43525</v>
      </c>
      <c r="U699" s="73" t="n">
        <v>47178</v>
      </c>
      <c r="V699" s="73" t="n"/>
      <c r="W699" s="69" t="inlineStr">
        <is>
          <t>30</t>
        </is>
      </c>
      <c r="X699" s="69" t="inlineStr">
        <is>
          <t>30-59 Days Delinquent</t>
        </is>
      </c>
      <c r="Y699" s="68" t="n">
        <v>1</v>
      </c>
      <c r="Z699" s="69" t="inlineStr">
        <is>
          <t>No Defeasance Occurred</t>
        </is>
      </c>
      <c r="AA699" s="69" t="inlineStr">
        <is>
          <t>Yes</t>
        </is>
      </c>
      <c r="AB699" s="69" t="inlineStr">
        <is>
          <t>Never special serv</t>
        </is>
      </c>
      <c r="AC699" s="73" t="n"/>
      <c r="AD699" s="69" t="n"/>
      <c r="AE699" s="69" t="n"/>
      <c r="AF699" s="69" t="inlineStr">
        <is>
          <t>TX</t>
        </is>
      </c>
      <c r="AG699" s="69" t="n"/>
      <c r="AH699" s="69" t="inlineStr">
        <is>
          <t>Houston-Pasadena-The Woodlands, TX-49.295774745%</t>
        </is>
      </c>
      <c r="AI699" s="69" t="inlineStr">
        <is>
          <t>South / Central West</t>
        </is>
      </c>
      <c r="AJ699" s="69" t="inlineStr">
        <is>
          <t>HT</t>
        </is>
      </c>
      <c r="AK699" s="69" t="inlineStr">
        <is>
          <t>Limited Service</t>
        </is>
      </c>
      <c r="AL699" s="68" t="n">
        <v>2</v>
      </c>
      <c r="AM699" s="68" t="n">
        <v>120</v>
      </c>
      <c r="AN699" s="68" t="n"/>
      <c r="AO699" s="69" t="n"/>
      <c r="AP699" s="70" t="n">
        <v>2018</v>
      </c>
      <c r="AQ699" s="74" t="n">
        <v>2.04</v>
      </c>
      <c r="AR699" s="74" t="n">
        <v>2.22</v>
      </c>
      <c r="AS699" s="74" t="n">
        <v>68.59999999999999</v>
      </c>
      <c r="AT699" s="74" t="n">
        <v>60.41</v>
      </c>
      <c r="AU699" s="74" t="n">
        <v>56.8</v>
      </c>
      <c r="AV699" s="74" t="n">
        <v>13.418010256</v>
      </c>
      <c r="AW699" s="74" t="n">
        <v>16.652614342</v>
      </c>
      <c r="AX699" s="75" t="n">
        <v>64</v>
      </c>
      <c r="AY699" s="71" t="n">
        <v>14200000</v>
      </c>
      <c r="AZ699" s="71" t="n">
        <v>14200000</v>
      </c>
      <c r="BA699" s="71" t="n">
        <v>1308256</v>
      </c>
      <c r="BB699" s="71" t="n">
        <v>1428451.27</v>
      </c>
      <c r="BC699" s="69" t="inlineStr">
        <is>
          <t>Refinance</t>
        </is>
      </c>
      <c r="BD699" s="69" t="inlineStr">
        <is>
          <t>N</t>
        </is>
      </c>
      <c r="BE699" s="71" t="n"/>
      <c r="BF699" s="71" t="n"/>
      <c r="BG699" s="71" t="n"/>
      <c r="BH699" s="71" t="n">
        <v>0</v>
      </c>
      <c r="BI699" s="71" t="n">
        <v>107039.59</v>
      </c>
      <c r="BJ699" s="69" t="inlineStr">
        <is>
          <t>Y</t>
        </is>
      </c>
      <c r="BK699" s="69" t="n"/>
      <c r="BL699" s="75" t="n"/>
      <c r="BM699" s="73" t="n"/>
      <c r="BN699" s="69" t="inlineStr">
        <is>
          <t>Fairlight Management Company</t>
        </is>
      </c>
      <c r="BO699" s="69" t="inlineStr">
        <is>
          <t>Morgan Stanley</t>
        </is>
      </c>
      <c r="BP699" s="69" t="inlineStr">
        <is>
          <t>Midland Loan Services</t>
        </is>
      </c>
      <c r="BQ699" s="69" t="inlineStr">
        <is>
          <t>Midland Loan Services</t>
        </is>
      </c>
      <c r="BR699" s="69" t="n"/>
      <c r="BS699" s="73" t="n">
        <v>46276</v>
      </c>
      <c r="BU699" s="76">
        <f>IF($C699="","",IFERROR(INDEX(dmName,MATCH($C699,dmID,0)),"Unmapped"))</f>
        <v/>
      </c>
      <c r="BV699" s="76">
        <f>IF($C699="","",IFERROR(INDEX(dmEntity,MATCH($C699,dmID,0)),"Unmapped"))</f>
        <v/>
      </c>
      <c r="BW699" s="77">
        <f>IF($C699="","",IFERROR(INDEX(dmVintage,MATCH($C699,dmID,0)),""))</f>
        <v/>
      </c>
      <c r="BX699" s="78">
        <f>IFERROR(INDEX(dmInclude,MATCH($C699,dmID,0)),0)</f>
        <v/>
      </c>
      <c r="BY699" s="78">
        <f>IF(N($I699)&gt;0,1,0)</f>
        <v/>
      </c>
      <c r="BZ699" s="76">
        <f>IF($AJ699="","Other / Leased Fee",IFERROR(INDEX(mapPTGroup,MATCH(LEFT(TRIM($AJ699),2),mapPTCode,0)),"Other / Leased Fee"))</f>
        <v/>
      </c>
      <c r="CA699" s="76">
        <f>IF(TRIM($AF699&amp;"")="","NR",LEFT(TRIM($AF699),2))</f>
        <v/>
      </c>
      <c r="CB699" s="76">
        <f>IFERROR(LOOKUP(2,1/(LEFT(TRIM($AI699&amp;""),LEN(mapRegion))=mapRegion),mapRegion),"Not Reported")</f>
        <v/>
      </c>
      <c r="CC699" s="76">
        <f>IF($BY699=0,"",IF(TRIM($W699&amp;"")="REO","REO",IF(TRIM($W699&amp;"")="FC","Foreclosure",IF(TRIM($W699&amp;"")="90+","90+ Days Delinquent",IF(TRIM($W699&amp;"")="60","60 Days Delinquent",IF(TRIM($W699&amp;"")="30","30 Days Delinquent",IF($X699="Non-Performing Matured Balloon","Non-Performing Matured Balloon",IF(OR($X699="Late Payment But Less Than 30 Days Delinquent",LEFT($X699&amp;"",20)="Payment Not Received"),"Late / In Grace (&lt;30 Days)",IF($X699="Performing Matured Balloon","Performing Matured Balloon","Current")))))))))</f>
        <v/>
      </c>
      <c r="CD699" s="78">
        <f>IF(OR($CC699="REO",$CC699="Foreclosure",$CC699="90+ Days Delinquent",$CC699="60 Days Delinquent",$CC699="30 Days Delinquent",$CC699="Non-Performing Matured Balloon"),1,0)</f>
        <v/>
      </c>
      <c r="CE699" s="76">
        <f>IF($AB699="Currently special serv","Currently Specially Serviced",IF($AB699="Returned to master serv","Previously Specially Serviced","Never Specially Serviced"))</f>
        <v/>
      </c>
      <c r="CF699" s="78">
        <f>IF($CE699="Currently Specially Serviced",1,0)</f>
        <v/>
      </c>
      <c r="CG699" s="76">
        <f>IF($AA699="Yes","Currently on Watchlist",IF($AA699="Previously","Previously on Watchlist","Never on Watchlist"))</f>
        <v/>
      </c>
      <c r="CH699" s="78">
        <f>IF($CG699="Currently on Watchlist",1,0)</f>
        <v/>
      </c>
      <c r="CI699" s="76">
        <f>IF($Z699="Full Defeasance","Fully Defeased",IF($Z699="Portion Of Loan Previously Defeased","Partially Defeased",IF($Z699="Defeasance Not Allowable","Not Defeased (Not Permitted)","Not Defeased")))</f>
        <v/>
      </c>
      <c r="CJ699" s="78">
        <f>IF($CI699="Fully Defeased",1,0)</f>
        <v/>
      </c>
      <c r="CK699" s="76">
        <f>IF($R699="IO","Full IO",IF(LEFT($R699&amp;"",7)="IO then","Partial IO","Amortizing"))</f>
        <v/>
      </c>
      <c r="CL699" s="78">
        <f>IF($CK699="Full IO",1,0)</f>
        <v/>
      </c>
      <c r="CM699" s="78">
        <f>IF($CK699="Partial IO",1,0)</f>
        <v/>
      </c>
      <c r="CN699" s="76">
        <f>IF(LEFT($F699&amp;"",10)="SPLIT_LOAN","Pari Passu Split","Standalone")</f>
        <v/>
      </c>
      <c r="CO699" s="78">
        <f>IF($CN699="Pari Passu Split",1,0)</f>
        <v/>
      </c>
      <c r="CP699" s="77">
        <f>IF(ISNUMBER($T699),YEAR($T699),"")</f>
        <v/>
      </c>
      <c r="CQ699" s="79">
        <f>IF(ISNUMBER($V699),$V699,IF(ISNUMBER($U699),$U699,""))</f>
        <v/>
      </c>
      <c r="CR699" s="77">
        <f>IF(ISNUMBER($CQ699),YEAR($CQ699),"")</f>
        <v/>
      </c>
      <c r="CS699" s="78">
        <f>IF(ISNUMBER($M699),MAX(0,$M699),IF(TRIM($M699&amp;"")="matured",0,""))</f>
        <v/>
      </c>
      <c r="CT699" s="78">
        <f>IF(AND(ISNUMBER($CS699),N($CS699)&lt;=mMatWindow),1,0)</f>
        <v/>
      </c>
      <c r="CU699" s="80">
        <f>IF(ISNUMBER($J699),$J699/100,"")</f>
        <v/>
      </c>
      <c r="CV699" s="81">
        <f>IF(ISNUMBER($AQ699),$AQ699,"")</f>
        <v/>
      </c>
      <c r="CW699" s="81">
        <f>IF(ISNUMBER($AR699),$AR699,"")</f>
        <v/>
      </c>
      <c r="CX699" s="82">
        <f>IF(ISNUMBER($AS699),$AS699/100,"")</f>
        <v/>
      </c>
      <c r="CY699" s="82">
        <f>IF(ISNUMBER($AT699),$AT699/100,"")</f>
        <v/>
      </c>
      <c r="CZ699" s="82">
        <f>IF(ISNUMBER($AU699),$AU699/100,"")</f>
        <v/>
      </c>
      <c r="DA699" s="82">
        <f>IF(ISNUMBER($AV699),$AV699/100,"")</f>
        <v/>
      </c>
      <c r="DB699" s="82">
        <f>IF(ISNUMBER($AW699),$AW699/100,"")</f>
        <v/>
      </c>
      <c r="DC699" s="82">
        <f>IF(ISNUMBER($AX699),$AX699/100,"")</f>
        <v/>
      </c>
      <c r="DD699" s="77">
        <f>IFERROR(VALUE(LEFT(TRIM($AO699&amp;""),4)),"")</f>
        <v/>
      </c>
      <c r="DE699" s="78">
        <f>IF(AND($BY699=1,$BX699=1,OR(fDeal="All Deals",$BU699=fDeal),OR(fEntity="All Entities",$BV699=fEntity),OR(fPType="All Property Types",$BZ699=fPType),OR(fDefeased="Include",$CJ699=0)),1,0)</f>
        <v/>
      </c>
      <c r="DF699" s="83">
        <f>$DE699*N($I699)</f>
        <v/>
      </c>
      <c r="DG699" s="78">
        <f>IF($DE699=1,IF(COUNTIFS($F$8:$F699,$F699,$DE$8:$DE699,1)=1,1,0),0)</f>
        <v/>
      </c>
      <c r="DH699" s="83">
        <f>IF($DG699=1,SUMIFS($DF$8:$DF$1600,$F$8:$F$1600,$F699),0)</f>
        <v/>
      </c>
      <c r="DI699" s="78">
        <f>IF($DG699=1,COUNTIFS($F$8:$F$1600,$F699,$DE$8:$DE$1600,1),0)</f>
        <v/>
      </c>
      <c r="DJ699" s="84">
        <f>IF($DG699=1,$DH699+(100000-ROW())/mTieBreak,0)</f>
        <v/>
      </c>
    </row>
    <row r="700">
      <c r="B700" s="68" t="n">
        <v>25</v>
      </c>
      <c r="C700" s="69" t="inlineStr">
        <is>
          <t>UBS19C16</t>
        </is>
      </c>
      <c r="D700" s="69" t="inlineStr">
        <is>
          <t>25.000</t>
        </is>
      </c>
      <c r="E700" s="69" t="inlineStr">
        <is>
          <t>The Crossings Shopping Center</t>
        </is>
      </c>
      <c r="F700" s="69" t="inlineStr">
        <is>
          <t>LNUBS19C16-25.000</t>
        </is>
      </c>
      <c r="G700" s="70" t="n"/>
      <c r="H700" s="71" t="n">
        <v>9240000</v>
      </c>
      <c r="I700" s="71" t="n">
        <v>8053022.630000041</v>
      </c>
      <c r="J700" s="72" t="n">
        <v>4.98</v>
      </c>
      <c r="K700" s="69" t="inlineStr">
        <is>
          <t>Fixed rate</t>
        </is>
      </c>
      <c r="L700" s="68" t="n">
        <v>120</v>
      </c>
      <c r="M700" s="68" t="n">
        <v>28</v>
      </c>
      <c r="N700" s="68" t="n">
        <v>360</v>
      </c>
      <c r="O700" s="68" t="n"/>
      <c r="P700" s="68" t="n"/>
      <c r="Q700" s="68" t="n">
        <v>92</v>
      </c>
      <c r="R700" s="69" t="n"/>
      <c r="S700" s="69" t="inlineStr">
        <is>
          <t>No</t>
        </is>
      </c>
      <c r="T700" s="73" t="n">
        <v>43466</v>
      </c>
      <c r="U700" s="73" t="n">
        <v>47124</v>
      </c>
      <c r="V700" s="73" t="n"/>
      <c r="W700" s="69" t="n"/>
      <c r="X700" s="69" t="inlineStr">
        <is>
          <t>Current</t>
        </is>
      </c>
      <c r="Y700" s="68" t="n"/>
      <c r="Z700" s="69" t="inlineStr">
        <is>
          <t>Defeasance Not Allowable</t>
        </is>
      </c>
      <c r="AA700" s="69" t="inlineStr">
        <is>
          <t>Yes</t>
        </is>
      </c>
      <c r="AB700" s="69" t="inlineStr">
        <is>
          <t>Never special serv</t>
        </is>
      </c>
      <c r="AC700" s="73" t="n"/>
      <c r="AD700" s="69" t="n"/>
      <c r="AE700" s="69" t="n"/>
      <c r="AF700" s="69" t="inlineStr">
        <is>
          <t>VA</t>
        </is>
      </c>
      <c r="AG700" s="69" t="inlineStr">
        <is>
          <t>Hopewell</t>
        </is>
      </c>
      <c r="AH700" s="69" t="inlineStr">
        <is>
          <t>Richmond, VA</t>
        </is>
      </c>
      <c r="AI700" s="69" t="inlineStr">
        <is>
          <t>South / Atlantic</t>
        </is>
      </c>
      <c r="AJ700" s="69" t="inlineStr">
        <is>
          <t>RT</t>
        </is>
      </c>
      <c r="AK700" s="69" t="inlineStr">
        <is>
          <t>Anchored</t>
        </is>
      </c>
      <c r="AL700" s="68" t="n">
        <v>1</v>
      </c>
      <c r="AM700" s="68" t="n"/>
      <c r="AN700" s="68" t="n">
        <v>220250</v>
      </c>
      <c r="AO700" s="69" t="inlineStr">
        <is>
          <t>1972</t>
        </is>
      </c>
      <c r="AP700" s="70" t="n">
        <v>2017</v>
      </c>
      <c r="AQ700" s="74" t="n">
        <v>1.87</v>
      </c>
      <c r="AR700" s="74" t="n">
        <v>2.06</v>
      </c>
      <c r="AS700" s="74" t="n">
        <v>69.2</v>
      </c>
      <c r="AT700" s="74" t="n">
        <v>60.55</v>
      </c>
      <c r="AU700" s="74" t="n">
        <v>57.1</v>
      </c>
      <c r="AV700" s="74" t="n">
        <v>12.040189827</v>
      </c>
      <c r="AW700" s="74" t="n">
        <v>16.358864001</v>
      </c>
      <c r="AX700" s="75" t="n">
        <v>93</v>
      </c>
      <c r="AY700" s="71" t="n">
        <v>13300000</v>
      </c>
      <c r="AZ700" s="71" t="n">
        <v>13300000</v>
      </c>
      <c r="BA700" s="71" t="n">
        <v>1112513.54</v>
      </c>
      <c r="BB700" s="71" t="n">
        <v>1220895.58</v>
      </c>
      <c r="BC700" s="69" t="inlineStr">
        <is>
          <t>Acquisition</t>
        </is>
      </c>
      <c r="BD700" s="69" t="inlineStr">
        <is>
          <t>N</t>
        </is>
      </c>
      <c r="BE700" s="71" t="n"/>
      <c r="BF700" s="71" t="n"/>
      <c r="BG700" s="71" t="n"/>
      <c r="BH700" s="71" t="n">
        <v>0</v>
      </c>
      <c r="BI700" s="71" t="n">
        <v>0</v>
      </c>
      <c r="BJ700" s="69" t="inlineStr">
        <is>
          <t>N</t>
        </is>
      </c>
      <c r="BK700" s="69" t="inlineStr">
        <is>
          <t>Destination Church</t>
        </is>
      </c>
      <c r="BL700" s="75" t="n">
        <v>30.51</v>
      </c>
      <c r="BM700" s="73" t="n">
        <v>46630</v>
      </c>
      <c r="BN700" s="69" t="inlineStr">
        <is>
          <t>Ardena Holdings Inc.; NIVEA Developments Florida 3, Inc.; NIVEA Developments Limited; Pavona Cape Fear LLC; Pavona Lane LTD.</t>
        </is>
      </c>
      <c r="BO700" s="69" t="inlineStr">
        <is>
          <t>UBS</t>
        </is>
      </c>
      <c r="BP700" s="69" t="inlineStr">
        <is>
          <t>Midland Loan Services</t>
        </is>
      </c>
      <c r="BQ700" s="69" t="inlineStr">
        <is>
          <t>Midland Loan Services</t>
        </is>
      </c>
      <c r="BR700" s="69" t="n"/>
      <c r="BS700" s="73" t="n">
        <v>46276</v>
      </c>
      <c r="BU700" s="76">
        <f>IF($C700="","",IFERROR(INDEX(dmName,MATCH($C700,dmID,0)),"Unmapped"))</f>
        <v/>
      </c>
      <c r="BV700" s="76">
        <f>IF($C700="","",IFERROR(INDEX(dmEntity,MATCH($C700,dmID,0)),"Unmapped"))</f>
        <v/>
      </c>
      <c r="BW700" s="77">
        <f>IF($C700="","",IFERROR(INDEX(dmVintage,MATCH($C700,dmID,0)),""))</f>
        <v/>
      </c>
      <c r="BX700" s="78">
        <f>IFERROR(INDEX(dmInclude,MATCH($C700,dmID,0)),0)</f>
        <v/>
      </c>
      <c r="BY700" s="78">
        <f>IF(N($I700)&gt;0,1,0)</f>
        <v/>
      </c>
      <c r="BZ700" s="76">
        <f>IF($AJ700="","Other / Leased Fee",IFERROR(INDEX(mapPTGroup,MATCH(LEFT(TRIM($AJ700),2),mapPTCode,0)),"Other / Leased Fee"))</f>
        <v/>
      </c>
      <c r="CA700" s="76">
        <f>IF(TRIM($AF700&amp;"")="","NR",LEFT(TRIM($AF700),2))</f>
        <v/>
      </c>
      <c r="CB700" s="76">
        <f>IFERROR(LOOKUP(2,1/(LEFT(TRIM($AI700&amp;""),LEN(mapRegion))=mapRegion),mapRegion),"Not Reported")</f>
        <v/>
      </c>
      <c r="CC700" s="76">
        <f>IF($BY700=0,"",IF(TRIM($W700&amp;"")="REO","REO",IF(TRIM($W700&amp;"")="FC","Foreclosure",IF(TRIM($W700&amp;"")="90+","90+ Days Delinquent",IF(TRIM($W700&amp;"")="60","60 Days Delinquent",IF(TRIM($W700&amp;"")="30","30 Days Delinquent",IF($X700="Non-Performing Matured Balloon","Non-Performing Matured Balloon",IF(OR($X700="Late Payment But Less Than 30 Days Delinquent",LEFT($X700&amp;"",20)="Payment Not Received"),"Late / In Grace (&lt;30 Days)",IF($X700="Performing Matured Balloon","Performing Matured Balloon","Current")))))))))</f>
        <v/>
      </c>
      <c r="CD700" s="78">
        <f>IF(OR($CC700="REO",$CC700="Foreclosure",$CC700="90+ Days Delinquent",$CC700="60 Days Delinquent",$CC700="30 Days Delinquent",$CC700="Non-Performing Matured Balloon"),1,0)</f>
        <v/>
      </c>
      <c r="CE700" s="76">
        <f>IF($AB700="Currently special serv","Currently Specially Serviced",IF($AB700="Returned to master serv","Previously Specially Serviced","Never Specially Serviced"))</f>
        <v/>
      </c>
      <c r="CF700" s="78">
        <f>IF($CE700="Currently Specially Serviced",1,0)</f>
        <v/>
      </c>
      <c r="CG700" s="76">
        <f>IF($AA700="Yes","Currently on Watchlist",IF($AA700="Previously","Previously on Watchlist","Never on Watchlist"))</f>
        <v/>
      </c>
      <c r="CH700" s="78">
        <f>IF($CG700="Currently on Watchlist",1,0)</f>
        <v/>
      </c>
      <c r="CI700" s="76">
        <f>IF($Z700="Full Defeasance","Fully Defeased",IF($Z700="Portion Of Loan Previously Defeased","Partially Defeased",IF($Z700="Defeasance Not Allowable","Not Defeased (Not Permitted)","Not Defeased")))</f>
        <v/>
      </c>
      <c r="CJ700" s="78">
        <f>IF($CI700="Fully Defeased",1,0)</f>
        <v/>
      </c>
      <c r="CK700" s="76">
        <f>IF($R700="IO","Full IO",IF(LEFT($R700&amp;"",7)="IO then","Partial IO","Amortizing"))</f>
        <v/>
      </c>
      <c r="CL700" s="78">
        <f>IF($CK700="Full IO",1,0)</f>
        <v/>
      </c>
      <c r="CM700" s="78">
        <f>IF($CK700="Partial IO",1,0)</f>
        <v/>
      </c>
      <c r="CN700" s="76">
        <f>IF(LEFT($F700&amp;"",10)="SPLIT_LOAN","Pari Passu Split","Standalone")</f>
        <v/>
      </c>
      <c r="CO700" s="78">
        <f>IF($CN700="Pari Passu Split",1,0)</f>
        <v/>
      </c>
      <c r="CP700" s="77">
        <f>IF(ISNUMBER($T700),YEAR($T700),"")</f>
        <v/>
      </c>
      <c r="CQ700" s="79">
        <f>IF(ISNUMBER($V700),$V700,IF(ISNUMBER($U700),$U700,""))</f>
        <v/>
      </c>
      <c r="CR700" s="77">
        <f>IF(ISNUMBER($CQ700),YEAR($CQ700),"")</f>
        <v/>
      </c>
      <c r="CS700" s="78">
        <f>IF(ISNUMBER($M700),MAX(0,$M700),IF(TRIM($M700&amp;"")="matured",0,""))</f>
        <v/>
      </c>
      <c r="CT700" s="78">
        <f>IF(AND(ISNUMBER($CS700),N($CS700)&lt;=mMatWindow),1,0)</f>
        <v/>
      </c>
      <c r="CU700" s="80">
        <f>IF(ISNUMBER($J700),$J700/100,"")</f>
        <v/>
      </c>
      <c r="CV700" s="81">
        <f>IF(ISNUMBER($AQ700),$AQ700,"")</f>
        <v/>
      </c>
      <c r="CW700" s="81">
        <f>IF(ISNUMBER($AR700),$AR700,"")</f>
        <v/>
      </c>
      <c r="CX700" s="82">
        <f>IF(ISNUMBER($AS700),$AS700/100,"")</f>
        <v/>
      </c>
      <c r="CY700" s="82">
        <f>IF(ISNUMBER($AT700),$AT700/100,"")</f>
        <v/>
      </c>
      <c r="CZ700" s="82">
        <f>IF(ISNUMBER($AU700),$AU700/100,"")</f>
        <v/>
      </c>
      <c r="DA700" s="82">
        <f>IF(ISNUMBER($AV700),$AV700/100,"")</f>
        <v/>
      </c>
      <c r="DB700" s="82">
        <f>IF(ISNUMBER($AW700),$AW700/100,"")</f>
        <v/>
      </c>
      <c r="DC700" s="82">
        <f>IF(ISNUMBER($AX700),$AX700/100,"")</f>
        <v/>
      </c>
      <c r="DD700" s="77">
        <f>IFERROR(VALUE(LEFT(TRIM($AO700&amp;""),4)),"")</f>
        <v/>
      </c>
      <c r="DE700" s="78">
        <f>IF(AND($BY700=1,$BX700=1,OR(fDeal="All Deals",$BU700=fDeal),OR(fEntity="All Entities",$BV700=fEntity),OR(fPType="All Property Types",$BZ700=fPType),OR(fDefeased="Include",$CJ700=0)),1,0)</f>
        <v/>
      </c>
      <c r="DF700" s="83">
        <f>$DE700*N($I700)</f>
        <v/>
      </c>
      <c r="DG700" s="78">
        <f>IF($DE700=1,IF(COUNTIFS($F$8:$F700,$F700,$DE$8:$DE700,1)=1,1,0),0)</f>
        <v/>
      </c>
      <c r="DH700" s="83">
        <f>IF($DG700=1,SUMIFS($DF$8:$DF$1600,$F$8:$F$1600,$F700),0)</f>
        <v/>
      </c>
      <c r="DI700" s="78">
        <f>IF($DG700=1,COUNTIFS($F$8:$F$1600,$F700,$DE$8:$DE$1600,1),0)</f>
        <v/>
      </c>
      <c r="DJ700" s="84">
        <f>IF($DG700=1,$DH700+(100000-ROW())/mTieBreak,0)</f>
        <v/>
      </c>
    </row>
    <row r="701">
      <c r="B701" s="68" t="n">
        <v>26</v>
      </c>
      <c r="C701" s="69" t="inlineStr">
        <is>
          <t>UBS19C16</t>
        </is>
      </c>
      <c r="D701" s="69" t="inlineStr">
        <is>
          <t>26.000</t>
        </is>
      </c>
      <c r="E701" s="69" t="inlineStr">
        <is>
          <t>Prime Cinnaminson &amp; Longtown Self-Storage Portfolio</t>
        </is>
      </c>
      <c r="F701" s="69" t="inlineStr">
        <is>
          <t>LNUBS19C16-26.000</t>
        </is>
      </c>
      <c r="G701" s="70" t="n"/>
      <c r="H701" s="71" t="n">
        <v>9000000</v>
      </c>
      <c r="I701" s="71" t="n">
        <v>8398914.329996999</v>
      </c>
      <c r="J701" s="72" t="n">
        <v>5.31</v>
      </c>
      <c r="K701" s="69" t="inlineStr">
        <is>
          <t>Fixed rate</t>
        </is>
      </c>
      <c r="L701" s="68" t="n">
        <v>120</v>
      </c>
      <c r="M701" s="68" t="n">
        <v>29</v>
      </c>
      <c r="N701" s="68" t="n">
        <v>396</v>
      </c>
      <c r="O701" s="68" t="n">
        <v>36</v>
      </c>
      <c r="P701" s="68" t="n">
        <v>0</v>
      </c>
      <c r="Q701" s="68" t="n">
        <v>91</v>
      </c>
      <c r="R701" s="69" t="inlineStr">
        <is>
          <t>IO then Amort</t>
        </is>
      </c>
      <c r="S701" s="69" t="inlineStr">
        <is>
          <t>No</t>
        </is>
      </c>
      <c r="T701" s="73" t="n">
        <v>43497</v>
      </c>
      <c r="U701" s="73" t="n">
        <v>47155</v>
      </c>
      <c r="V701" s="73" t="n"/>
      <c r="W701" s="69" t="n"/>
      <c r="X701" s="69" t="inlineStr">
        <is>
          <t>Current</t>
        </is>
      </c>
      <c r="Y701" s="68" t="n"/>
      <c r="Z701" s="69" t="inlineStr">
        <is>
          <t>Full Defeasance</t>
        </is>
      </c>
      <c r="AA701" s="69" t="n"/>
      <c r="AB701" s="69" t="inlineStr">
        <is>
          <t>Never special serv</t>
        </is>
      </c>
      <c r="AC701" s="73" t="n"/>
      <c r="AD701" s="69" t="n"/>
      <c r="AE701" s="69" t="n"/>
      <c r="AF701" s="69" t="inlineStr">
        <is>
          <t>NJ</t>
        </is>
      </c>
      <c r="AG701" s="69" t="n"/>
      <c r="AH701" s="69" t="inlineStr">
        <is>
          <t>Philadelphia-Camden-Wilmington, PA-NJ-DE-MD</t>
        </is>
      </c>
      <c r="AI701" s="69" t="inlineStr">
        <is>
          <t>Northeast / Mid-Atlantic</t>
        </is>
      </c>
      <c r="AJ701" s="69" t="inlineStr">
        <is>
          <t>SS</t>
        </is>
      </c>
      <c r="AK701" s="69" t="n"/>
      <c r="AL701" s="68" t="n">
        <v>2</v>
      </c>
      <c r="AM701" s="68" t="n"/>
      <c r="AN701" s="68" t="n">
        <v>111275</v>
      </c>
      <c r="AO701" s="69" t="n"/>
      <c r="AP701" s="70" t="n">
        <v>2013</v>
      </c>
      <c r="AQ701" s="74" t="n">
        <v>1.66</v>
      </c>
      <c r="AR701" s="74" t="n">
        <v>1.84</v>
      </c>
      <c r="AS701" s="74" t="n">
        <v>57.2</v>
      </c>
      <c r="AT701" s="74" t="n">
        <v>57.49</v>
      </c>
      <c r="AU701" s="74" t="n">
        <v>51</v>
      </c>
      <c r="AV701" s="74" t="n">
        <v>8.918788889</v>
      </c>
      <c r="AW701" s="74" t="n">
        <v>10.886172594</v>
      </c>
      <c r="AX701" s="75" t="n">
        <v>87</v>
      </c>
      <c r="AY701" s="71" t="n">
        <v>15730000</v>
      </c>
      <c r="AZ701" s="71" t="n">
        <v>14610000</v>
      </c>
      <c r="BA701" s="71" t="n">
        <v>802691</v>
      </c>
      <c r="BB701" s="71" t="n">
        <v>891141.75</v>
      </c>
      <c r="BC701" s="69" t="inlineStr">
        <is>
          <t>Refinance</t>
        </is>
      </c>
      <c r="BD701" s="69" t="inlineStr">
        <is>
          <t>N</t>
        </is>
      </c>
      <c r="BE701" s="71" t="n"/>
      <c r="BF701" s="71" t="n"/>
      <c r="BG701" s="71" t="n"/>
      <c r="BH701" s="71" t="n">
        <v>0</v>
      </c>
      <c r="BI701" s="71" t="n">
        <v>0</v>
      </c>
      <c r="BJ701" s="69" t="inlineStr">
        <is>
          <t>N</t>
        </is>
      </c>
      <c r="BK701" s="69" t="n"/>
      <c r="BL701" s="75" t="n"/>
      <c r="BM701" s="73" t="n"/>
      <c r="BN701" s="69" t="inlineStr">
        <is>
          <t>Robert Moser</t>
        </is>
      </c>
      <c r="BO701" s="69" t="inlineStr">
        <is>
          <t>RMF</t>
        </is>
      </c>
      <c r="BP701" s="69" t="inlineStr">
        <is>
          <t>Midland Loan Services</t>
        </is>
      </c>
      <c r="BQ701" s="69" t="inlineStr">
        <is>
          <t>Midland Loan Services</t>
        </is>
      </c>
      <c r="BR701" s="69" t="n"/>
      <c r="BS701" s="73" t="n">
        <v>46276</v>
      </c>
      <c r="BU701" s="76">
        <f>IF($C701="","",IFERROR(INDEX(dmName,MATCH($C701,dmID,0)),"Unmapped"))</f>
        <v/>
      </c>
      <c r="BV701" s="76">
        <f>IF($C701="","",IFERROR(INDEX(dmEntity,MATCH($C701,dmID,0)),"Unmapped"))</f>
        <v/>
      </c>
      <c r="BW701" s="77">
        <f>IF($C701="","",IFERROR(INDEX(dmVintage,MATCH($C701,dmID,0)),""))</f>
        <v/>
      </c>
      <c r="BX701" s="78">
        <f>IFERROR(INDEX(dmInclude,MATCH($C701,dmID,0)),0)</f>
        <v/>
      </c>
      <c r="BY701" s="78">
        <f>IF(N($I701)&gt;0,1,0)</f>
        <v/>
      </c>
      <c r="BZ701" s="76">
        <f>IF($AJ701="","Other / Leased Fee",IFERROR(INDEX(mapPTGroup,MATCH(LEFT(TRIM($AJ701),2),mapPTCode,0)),"Other / Leased Fee"))</f>
        <v/>
      </c>
      <c r="CA701" s="76">
        <f>IF(TRIM($AF701&amp;"")="","NR",LEFT(TRIM($AF701),2))</f>
        <v/>
      </c>
      <c r="CB701" s="76">
        <f>IFERROR(LOOKUP(2,1/(LEFT(TRIM($AI701&amp;""),LEN(mapRegion))=mapRegion),mapRegion),"Not Reported")</f>
        <v/>
      </c>
      <c r="CC701" s="76">
        <f>IF($BY701=0,"",IF(TRIM($W701&amp;"")="REO","REO",IF(TRIM($W701&amp;"")="FC","Foreclosure",IF(TRIM($W701&amp;"")="90+","90+ Days Delinquent",IF(TRIM($W701&amp;"")="60","60 Days Delinquent",IF(TRIM($W701&amp;"")="30","30 Days Delinquent",IF($X701="Non-Performing Matured Balloon","Non-Performing Matured Balloon",IF(OR($X701="Late Payment But Less Than 30 Days Delinquent",LEFT($X701&amp;"",20)="Payment Not Received"),"Late / In Grace (&lt;30 Days)",IF($X701="Performing Matured Balloon","Performing Matured Balloon","Current")))))))))</f>
        <v/>
      </c>
      <c r="CD701" s="78">
        <f>IF(OR($CC701="REO",$CC701="Foreclosure",$CC701="90+ Days Delinquent",$CC701="60 Days Delinquent",$CC701="30 Days Delinquent",$CC701="Non-Performing Matured Balloon"),1,0)</f>
        <v/>
      </c>
      <c r="CE701" s="76">
        <f>IF($AB701="Currently special serv","Currently Specially Serviced",IF($AB701="Returned to master serv","Previously Specially Serviced","Never Specially Serviced"))</f>
        <v/>
      </c>
      <c r="CF701" s="78">
        <f>IF($CE701="Currently Specially Serviced",1,0)</f>
        <v/>
      </c>
      <c r="CG701" s="76">
        <f>IF($AA701="Yes","Currently on Watchlist",IF($AA701="Previously","Previously on Watchlist","Never on Watchlist"))</f>
        <v/>
      </c>
      <c r="CH701" s="78">
        <f>IF($CG701="Currently on Watchlist",1,0)</f>
        <v/>
      </c>
      <c r="CI701" s="76">
        <f>IF($Z701="Full Defeasance","Fully Defeased",IF($Z701="Portion Of Loan Previously Defeased","Partially Defeased",IF($Z701="Defeasance Not Allowable","Not Defeased (Not Permitted)","Not Defeased")))</f>
        <v/>
      </c>
      <c r="CJ701" s="78">
        <f>IF($CI701="Fully Defeased",1,0)</f>
        <v/>
      </c>
      <c r="CK701" s="76">
        <f>IF($R701="IO","Full IO",IF(LEFT($R701&amp;"",7)="IO then","Partial IO","Amortizing"))</f>
        <v/>
      </c>
      <c r="CL701" s="78">
        <f>IF($CK701="Full IO",1,0)</f>
        <v/>
      </c>
      <c r="CM701" s="78">
        <f>IF($CK701="Partial IO",1,0)</f>
        <v/>
      </c>
      <c r="CN701" s="76">
        <f>IF(LEFT($F701&amp;"",10)="SPLIT_LOAN","Pari Passu Split","Standalone")</f>
        <v/>
      </c>
      <c r="CO701" s="78">
        <f>IF($CN701="Pari Passu Split",1,0)</f>
        <v/>
      </c>
      <c r="CP701" s="77">
        <f>IF(ISNUMBER($T701),YEAR($T701),"")</f>
        <v/>
      </c>
      <c r="CQ701" s="79">
        <f>IF(ISNUMBER($V701),$V701,IF(ISNUMBER($U701),$U701,""))</f>
        <v/>
      </c>
      <c r="CR701" s="77">
        <f>IF(ISNUMBER($CQ701),YEAR($CQ701),"")</f>
        <v/>
      </c>
      <c r="CS701" s="78">
        <f>IF(ISNUMBER($M701),MAX(0,$M701),IF(TRIM($M701&amp;"")="matured",0,""))</f>
        <v/>
      </c>
      <c r="CT701" s="78">
        <f>IF(AND(ISNUMBER($CS701),N($CS701)&lt;=mMatWindow),1,0)</f>
        <v/>
      </c>
      <c r="CU701" s="80">
        <f>IF(ISNUMBER($J701),$J701/100,"")</f>
        <v/>
      </c>
      <c r="CV701" s="81">
        <f>IF(ISNUMBER($AQ701),$AQ701,"")</f>
        <v/>
      </c>
      <c r="CW701" s="81">
        <f>IF(ISNUMBER($AR701),$AR701,"")</f>
        <v/>
      </c>
      <c r="CX701" s="82">
        <f>IF(ISNUMBER($AS701),$AS701/100,"")</f>
        <v/>
      </c>
      <c r="CY701" s="82">
        <f>IF(ISNUMBER($AT701),$AT701/100,"")</f>
        <v/>
      </c>
      <c r="CZ701" s="82">
        <f>IF(ISNUMBER($AU701),$AU701/100,"")</f>
        <v/>
      </c>
      <c r="DA701" s="82">
        <f>IF(ISNUMBER($AV701),$AV701/100,"")</f>
        <v/>
      </c>
      <c r="DB701" s="82">
        <f>IF(ISNUMBER($AW701),$AW701/100,"")</f>
        <v/>
      </c>
      <c r="DC701" s="82">
        <f>IF(ISNUMBER($AX701),$AX701/100,"")</f>
        <v/>
      </c>
      <c r="DD701" s="77">
        <f>IFERROR(VALUE(LEFT(TRIM($AO701&amp;""),4)),"")</f>
        <v/>
      </c>
      <c r="DE701" s="78">
        <f>IF(AND($BY701=1,$BX701=1,OR(fDeal="All Deals",$BU701=fDeal),OR(fEntity="All Entities",$BV701=fEntity),OR(fPType="All Property Types",$BZ701=fPType),OR(fDefeased="Include",$CJ701=0)),1,0)</f>
        <v/>
      </c>
      <c r="DF701" s="83">
        <f>$DE701*N($I701)</f>
        <v/>
      </c>
      <c r="DG701" s="78">
        <f>IF($DE701=1,IF(COUNTIFS($F$8:$F701,$F701,$DE$8:$DE701,1)=1,1,0),0)</f>
        <v/>
      </c>
      <c r="DH701" s="83">
        <f>IF($DG701=1,SUMIFS($DF$8:$DF$1600,$F$8:$F$1600,$F701),0)</f>
        <v/>
      </c>
      <c r="DI701" s="78">
        <f>IF($DG701=1,COUNTIFS($F$8:$F$1600,$F701,$DE$8:$DE$1600,1),0)</f>
        <v/>
      </c>
      <c r="DJ701" s="84">
        <f>IF($DG701=1,$DH701+(100000-ROW())/mTieBreak,0)</f>
        <v/>
      </c>
    </row>
    <row r="702">
      <c r="B702" s="68" t="n">
        <v>27</v>
      </c>
      <c r="C702" s="69" t="inlineStr">
        <is>
          <t>UBS19C16</t>
        </is>
      </c>
      <c r="D702" s="69" t="inlineStr">
        <is>
          <t>27.000</t>
        </is>
      </c>
      <c r="E702" s="69" t="inlineStr">
        <is>
          <t>Elk Park Village</t>
        </is>
      </c>
      <c r="F702" s="69" t="inlineStr">
        <is>
          <t>LNUBS19C16-27.000</t>
        </is>
      </c>
      <c r="G702" s="70" t="n"/>
      <c r="H702" s="71" t="n">
        <v>9000000</v>
      </c>
      <c r="I702" s="71" t="n">
        <v>8262784.439999999</v>
      </c>
      <c r="J702" s="72" t="n">
        <v>5.3</v>
      </c>
      <c r="K702" s="69" t="inlineStr">
        <is>
          <t>Fixed rate</t>
        </is>
      </c>
      <c r="L702" s="68" t="n">
        <v>120</v>
      </c>
      <c r="M702" s="68" t="n">
        <v>30</v>
      </c>
      <c r="N702" s="68" t="n">
        <v>384</v>
      </c>
      <c r="O702" s="68" t="n">
        <v>24</v>
      </c>
      <c r="P702" s="68" t="n">
        <v>0</v>
      </c>
      <c r="Q702" s="68" t="n">
        <v>90</v>
      </c>
      <c r="R702" s="69" t="inlineStr">
        <is>
          <t>IO then Amort</t>
        </is>
      </c>
      <c r="S702" s="69" t="inlineStr">
        <is>
          <t>No</t>
        </is>
      </c>
      <c r="T702" s="73" t="n">
        <v>43525</v>
      </c>
      <c r="U702" s="73" t="n">
        <v>47183</v>
      </c>
      <c r="V702" s="73" t="n"/>
      <c r="W702" s="69" t="n"/>
      <c r="X702" s="69" t="inlineStr">
        <is>
          <t>Current</t>
        </is>
      </c>
      <c r="Y702" s="68" t="n"/>
      <c r="Z702" s="69" t="inlineStr">
        <is>
          <t>Defeasance Not Allowable</t>
        </is>
      </c>
      <c r="AA702" s="69" t="inlineStr">
        <is>
          <t>Previously</t>
        </is>
      </c>
      <c r="AB702" s="69" t="inlineStr">
        <is>
          <t>Never special serv</t>
        </is>
      </c>
      <c r="AC702" s="73" t="n"/>
      <c r="AD702" s="69" t="n"/>
      <c r="AE702" s="69" t="n"/>
      <c r="AF702" s="69" t="inlineStr">
        <is>
          <t>CA</t>
        </is>
      </c>
      <c r="AG702" s="69" t="inlineStr">
        <is>
          <t>Elk Grove</t>
        </is>
      </c>
      <c r="AH702" s="69" t="inlineStr">
        <is>
          <t>Sacramento-Roseville-Folsom, CA</t>
        </is>
      </c>
      <c r="AI702" s="69" t="inlineStr">
        <is>
          <t>West / Pacific North</t>
        </is>
      </c>
      <c r="AJ702" s="69" t="inlineStr">
        <is>
          <t>RT</t>
        </is>
      </c>
      <c r="AK702" s="69" t="inlineStr">
        <is>
          <t>Anchored</t>
        </is>
      </c>
      <c r="AL702" s="68" t="n">
        <v>1</v>
      </c>
      <c r="AM702" s="68" t="n"/>
      <c r="AN702" s="68" t="n">
        <v>61662</v>
      </c>
      <c r="AO702" s="69" t="inlineStr">
        <is>
          <t>1986</t>
        </is>
      </c>
      <c r="AP702" s="70" t="n">
        <v>1986</v>
      </c>
      <c r="AQ702" s="74" t="n">
        <v>1.92</v>
      </c>
      <c r="AR702" s="74" t="n">
        <v>1.69</v>
      </c>
      <c r="AS702" s="74" t="n">
        <v>64.7</v>
      </c>
      <c r="AT702" s="74" t="n">
        <v>59.44</v>
      </c>
      <c r="AU702" s="74" t="n">
        <v>56.4</v>
      </c>
      <c r="AV702" s="74" t="n">
        <v>10.334377889</v>
      </c>
      <c r="AW702" s="74" t="n">
        <v>12.546376195</v>
      </c>
      <c r="AX702" s="75" t="n">
        <v>96</v>
      </c>
      <c r="AY702" s="71" t="n">
        <v>13900000</v>
      </c>
      <c r="AZ702" s="71" t="n">
        <v>13900000</v>
      </c>
      <c r="BA702" s="71" t="n">
        <v>930094.01</v>
      </c>
      <c r="BB702" s="71" t="n">
        <v>1014874</v>
      </c>
      <c r="BC702" s="69" t="inlineStr">
        <is>
          <t>Refinance</t>
        </is>
      </c>
      <c r="BD702" s="69" t="inlineStr">
        <is>
          <t>N</t>
        </is>
      </c>
      <c r="BE702" s="71" t="n"/>
      <c r="BF702" s="71" t="n"/>
      <c r="BG702" s="71" t="n"/>
      <c r="BH702" s="71" t="n">
        <v>0</v>
      </c>
      <c r="BI702" s="71" t="n">
        <v>0</v>
      </c>
      <c r="BJ702" s="69" t="inlineStr">
        <is>
          <t>N</t>
        </is>
      </c>
      <c r="BK702" s="69" t="inlineStr">
        <is>
          <t>Crunch Elk Grove LLC</t>
        </is>
      </c>
      <c r="BL702" s="75" t="n">
        <v>33.68</v>
      </c>
      <c r="BM702" s="73" t="n">
        <v>48979</v>
      </c>
      <c r="BN702" s="69" t="inlineStr">
        <is>
          <t>Christopher D. Wight</t>
        </is>
      </c>
      <c r="BO702" s="69" t="inlineStr">
        <is>
          <t>UBS</t>
        </is>
      </c>
      <c r="BP702" s="69" t="inlineStr">
        <is>
          <t>Midland Loan Services</t>
        </is>
      </c>
      <c r="BQ702" s="69" t="inlineStr">
        <is>
          <t>Midland Loan Services</t>
        </is>
      </c>
      <c r="BR702" s="69" t="n"/>
      <c r="BS702" s="73" t="n">
        <v>46276</v>
      </c>
      <c r="BU702" s="76">
        <f>IF($C702="","",IFERROR(INDEX(dmName,MATCH($C702,dmID,0)),"Unmapped"))</f>
        <v/>
      </c>
      <c r="BV702" s="76">
        <f>IF($C702="","",IFERROR(INDEX(dmEntity,MATCH($C702,dmID,0)),"Unmapped"))</f>
        <v/>
      </c>
      <c r="BW702" s="77">
        <f>IF($C702="","",IFERROR(INDEX(dmVintage,MATCH($C702,dmID,0)),""))</f>
        <v/>
      </c>
      <c r="BX702" s="78">
        <f>IFERROR(INDEX(dmInclude,MATCH($C702,dmID,0)),0)</f>
        <v/>
      </c>
      <c r="BY702" s="78">
        <f>IF(N($I702)&gt;0,1,0)</f>
        <v/>
      </c>
      <c r="BZ702" s="76">
        <f>IF($AJ702="","Other / Leased Fee",IFERROR(INDEX(mapPTGroup,MATCH(LEFT(TRIM($AJ702),2),mapPTCode,0)),"Other / Leased Fee"))</f>
        <v/>
      </c>
      <c r="CA702" s="76">
        <f>IF(TRIM($AF702&amp;"")="","NR",LEFT(TRIM($AF702),2))</f>
        <v/>
      </c>
      <c r="CB702" s="76">
        <f>IFERROR(LOOKUP(2,1/(LEFT(TRIM($AI702&amp;""),LEN(mapRegion))=mapRegion),mapRegion),"Not Reported")</f>
        <v/>
      </c>
      <c r="CC702" s="76">
        <f>IF($BY702=0,"",IF(TRIM($W702&amp;"")="REO","REO",IF(TRIM($W702&amp;"")="FC","Foreclosure",IF(TRIM($W702&amp;"")="90+","90+ Days Delinquent",IF(TRIM($W702&amp;"")="60","60 Days Delinquent",IF(TRIM($W702&amp;"")="30","30 Days Delinquent",IF($X702="Non-Performing Matured Balloon","Non-Performing Matured Balloon",IF(OR($X702="Late Payment But Less Than 30 Days Delinquent",LEFT($X702&amp;"",20)="Payment Not Received"),"Late / In Grace (&lt;30 Days)",IF($X702="Performing Matured Balloon","Performing Matured Balloon","Current")))))))))</f>
        <v/>
      </c>
      <c r="CD702" s="78">
        <f>IF(OR($CC702="REO",$CC702="Foreclosure",$CC702="90+ Days Delinquent",$CC702="60 Days Delinquent",$CC702="30 Days Delinquent",$CC702="Non-Performing Matured Balloon"),1,0)</f>
        <v/>
      </c>
      <c r="CE702" s="76">
        <f>IF($AB702="Currently special serv","Currently Specially Serviced",IF($AB702="Returned to master serv","Previously Specially Serviced","Never Specially Serviced"))</f>
        <v/>
      </c>
      <c r="CF702" s="78">
        <f>IF($CE702="Currently Specially Serviced",1,0)</f>
        <v/>
      </c>
      <c r="CG702" s="76">
        <f>IF($AA702="Yes","Currently on Watchlist",IF($AA702="Previously","Previously on Watchlist","Never on Watchlist"))</f>
        <v/>
      </c>
      <c r="CH702" s="78">
        <f>IF($CG702="Currently on Watchlist",1,0)</f>
        <v/>
      </c>
      <c r="CI702" s="76">
        <f>IF($Z702="Full Defeasance","Fully Defeased",IF($Z702="Portion Of Loan Previously Defeased","Partially Defeased",IF($Z702="Defeasance Not Allowable","Not Defeased (Not Permitted)","Not Defeased")))</f>
        <v/>
      </c>
      <c r="CJ702" s="78">
        <f>IF($CI702="Fully Defeased",1,0)</f>
        <v/>
      </c>
      <c r="CK702" s="76">
        <f>IF($R702="IO","Full IO",IF(LEFT($R702&amp;"",7)="IO then","Partial IO","Amortizing"))</f>
        <v/>
      </c>
      <c r="CL702" s="78">
        <f>IF($CK702="Full IO",1,0)</f>
        <v/>
      </c>
      <c r="CM702" s="78">
        <f>IF($CK702="Partial IO",1,0)</f>
        <v/>
      </c>
      <c r="CN702" s="76">
        <f>IF(LEFT($F702&amp;"",10)="SPLIT_LOAN","Pari Passu Split","Standalone")</f>
        <v/>
      </c>
      <c r="CO702" s="78">
        <f>IF($CN702="Pari Passu Split",1,0)</f>
        <v/>
      </c>
      <c r="CP702" s="77">
        <f>IF(ISNUMBER($T702),YEAR($T702),"")</f>
        <v/>
      </c>
      <c r="CQ702" s="79">
        <f>IF(ISNUMBER($V702),$V702,IF(ISNUMBER($U702),$U702,""))</f>
        <v/>
      </c>
      <c r="CR702" s="77">
        <f>IF(ISNUMBER($CQ702),YEAR($CQ702),"")</f>
        <v/>
      </c>
      <c r="CS702" s="78">
        <f>IF(ISNUMBER($M702),MAX(0,$M702),IF(TRIM($M702&amp;"")="matured",0,""))</f>
        <v/>
      </c>
      <c r="CT702" s="78">
        <f>IF(AND(ISNUMBER($CS702),N($CS702)&lt;=mMatWindow),1,0)</f>
        <v/>
      </c>
      <c r="CU702" s="80">
        <f>IF(ISNUMBER($J702),$J702/100,"")</f>
        <v/>
      </c>
      <c r="CV702" s="81">
        <f>IF(ISNUMBER($AQ702),$AQ702,"")</f>
        <v/>
      </c>
      <c r="CW702" s="81">
        <f>IF(ISNUMBER($AR702),$AR702,"")</f>
        <v/>
      </c>
      <c r="CX702" s="82">
        <f>IF(ISNUMBER($AS702),$AS702/100,"")</f>
        <v/>
      </c>
      <c r="CY702" s="82">
        <f>IF(ISNUMBER($AT702),$AT702/100,"")</f>
        <v/>
      </c>
      <c r="CZ702" s="82">
        <f>IF(ISNUMBER($AU702),$AU702/100,"")</f>
        <v/>
      </c>
      <c r="DA702" s="82">
        <f>IF(ISNUMBER($AV702),$AV702/100,"")</f>
        <v/>
      </c>
      <c r="DB702" s="82">
        <f>IF(ISNUMBER($AW702),$AW702/100,"")</f>
        <v/>
      </c>
      <c r="DC702" s="82">
        <f>IF(ISNUMBER($AX702),$AX702/100,"")</f>
        <v/>
      </c>
      <c r="DD702" s="77">
        <f>IFERROR(VALUE(LEFT(TRIM($AO702&amp;""),4)),"")</f>
        <v/>
      </c>
      <c r="DE702" s="78">
        <f>IF(AND($BY702=1,$BX702=1,OR(fDeal="All Deals",$BU702=fDeal),OR(fEntity="All Entities",$BV702=fEntity),OR(fPType="All Property Types",$BZ702=fPType),OR(fDefeased="Include",$CJ702=0)),1,0)</f>
        <v/>
      </c>
      <c r="DF702" s="83">
        <f>$DE702*N($I702)</f>
        <v/>
      </c>
      <c r="DG702" s="78">
        <f>IF($DE702=1,IF(COUNTIFS($F$8:$F702,$F702,$DE$8:$DE702,1)=1,1,0),0)</f>
        <v/>
      </c>
      <c r="DH702" s="83">
        <f>IF($DG702=1,SUMIFS($DF$8:$DF$1600,$F$8:$F$1600,$F702),0)</f>
        <v/>
      </c>
      <c r="DI702" s="78">
        <f>IF($DG702=1,COUNTIFS($F$8:$F$1600,$F702,$DE$8:$DE$1600,1),0)</f>
        <v/>
      </c>
      <c r="DJ702" s="84">
        <f>IF($DG702=1,$DH702+(100000-ROW())/mTieBreak,0)</f>
        <v/>
      </c>
    </row>
    <row r="703">
      <c r="B703" s="68" t="n">
        <v>28</v>
      </c>
      <c r="C703" s="69" t="inlineStr">
        <is>
          <t>UBS19C16</t>
        </is>
      </c>
      <c r="D703" s="69" t="inlineStr">
        <is>
          <t>28.000</t>
        </is>
      </c>
      <c r="E703" s="69" t="inlineStr">
        <is>
          <t>Quince Diamond Executive Center</t>
        </is>
      </c>
      <c r="F703" s="69" t="inlineStr">
        <is>
          <t>LNUBS19C16-28.000</t>
        </is>
      </c>
      <c r="G703" s="70" t="n"/>
      <c r="H703" s="71" t="n">
        <v>8925000</v>
      </c>
      <c r="I703" s="71" t="n">
        <v>0</v>
      </c>
      <c r="J703" s="72" t="n">
        <v>4.825</v>
      </c>
      <c r="K703" s="69" t="inlineStr">
        <is>
          <t>Fixed rate</t>
        </is>
      </c>
      <c r="L703" s="68" t="n">
        <v>120</v>
      </c>
      <c r="M703" s="68" t="n"/>
      <c r="N703" s="68" t="n">
        <v>360</v>
      </c>
      <c r="O703" s="68" t="n"/>
      <c r="P703" s="68" t="n"/>
      <c r="Q703" s="68" t="n"/>
      <c r="R703" s="69" t="n"/>
      <c r="S703" s="69" t="inlineStr">
        <is>
          <t>No</t>
        </is>
      </c>
      <c r="T703" s="73" t="n">
        <v>43525</v>
      </c>
      <c r="U703" s="73" t="n">
        <v>47183</v>
      </c>
      <c r="V703" s="73" t="n"/>
      <c r="W703" s="69" t="n"/>
      <c r="X703" s="69" t="inlineStr">
        <is>
          <t>Current</t>
        </is>
      </c>
      <c r="Y703" s="68" t="n"/>
      <c r="Z703" s="69" t="inlineStr">
        <is>
          <t>Defeasance Not Allowable</t>
        </is>
      </c>
      <c r="AA703" s="69" t="inlineStr">
        <is>
          <t>Previously</t>
        </is>
      </c>
      <c r="AB703" s="69" t="inlineStr">
        <is>
          <t>Currently special serv</t>
        </is>
      </c>
      <c r="AC703" s="73" t="n">
        <v>45372</v>
      </c>
      <c r="AD703" s="69" t="inlineStr">
        <is>
          <t>Imminent Monetary Default (excluding Balloon/Maturity Default &amp; Single Tenant Bankruptcy/Vacate)</t>
        </is>
      </c>
      <c r="AE703" s="69" t="inlineStr">
        <is>
          <t>Resolved</t>
        </is>
      </c>
      <c r="AF703" s="69" t="inlineStr">
        <is>
          <t>MD</t>
        </is>
      </c>
      <c r="AG703" s="69" t="inlineStr">
        <is>
          <t>Gaithersburg</t>
        </is>
      </c>
      <c r="AH703" s="69" t="inlineStr">
        <is>
          <t>Washington-Arlington-Alexandria, DC-VA-MD-WV</t>
        </is>
      </c>
      <c r="AI703" s="69" t="inlineStr">
        <is>
          <t>South / Atlantic</t>
        </is>
      </c>
      <c r="AJ703" s="69" t="inlineStr">
        <is>
          <t>OF</t>
        </is>
      </c>
      <c r="AK703" s="69" t="inlineStr">
        <is>
          <t>Suburban</t>
        </is>
      </c>
      <c r="AL703" s="68" t="n">
        <v>1</v>
      </c>
      <c r="AM703" s="68" t="n"/>
      <c r="AN703" s="68" t="n">
        <v>109227</v>
      </c>
      <c r="AO703" s="69" t="inlineStr">
        <is>
          <t>1989</t>
        </is>
      </c>
      <c r="AP703" s="70" t="n">
        <v>1989</v>
      </c>
      <c r="AQ703" s="74" t="n">
        <v>1.9</v>
      </c>
      <c r="AR703" s="74" t="n">
        <v>-0.05</v>
      </c>
      <c r="AS703" s="74" t="n">
        <v>71.3</v>
      </c>
      <c r="AT703" s="74" t="n"/>
      <c r="AU703" s="74" t="n">
        <v>58.4</v>
      </c>
      <c r="AV703" s="74" t="n">
        <v>11.975014006</v>
      </c>
      <c r="AW703" s="74" t="n"/>
      <c r="AX703" s="75" t="n">
        <v>42</v>
      </c>
      <c r="AY703" s="71" t="n">
        <v>12500000</v>
      </c>
      <c r="AZ703" s="71" t="n">
        <v>3900000</v>
      </c>
      <c r="BA703" s="71" t="n">
        <v>1068770</v>
      </c>
      <c r="BB703" s="71" t="n">
        <v>-30471.49</v>
      </c>
      <c r="BC703" s="69" t="inlineStr">
        <is>
          <t>Acquisition</t>
        </is>
      </c>
      <c r="BD703" s="69" t="inlineStr">
        <is>
          <t>N</t>
        </is>
      </c>
      <c r="BE703" s="71" t="n"/>
      <c r="BF703" s="71" t="n"/>
      <c r="BG703" s="71" t="n"/>
      <c r="BH703" s="71" t="n">
        <v>0</v>
      </c>
      <c r="BI703" s="71" t="n">
        <v>0</v>
      </c>
      <c r="BJ703" s="69" t="inlineStr">
        <is>
          <t>N</t>
        </is>
      </c>
      <c r="BK703" s="69" t="inlineStr">
        <is>
          <t>Presidential Bank FS B</t>
        </is>
      </c>
      <c r="BL703" s="75" t="n">
        <v>6.78</v>
      </c>
      <c r="BM703" s="73" t="n">
        <v>45747</v>
      </c>
      <c r="BN703" s="69" t="inlineStr">
        <is>
          <t>Kevin Glazer</t>
        </is>
      </c>
      <c r="BO703" s="69" t="inlineStr">
        <is>
          <t>RMF</t>
        </is>
      </c>
      <c r="BP703" s="69" t="inlineStr">
        <is>
          <t>Midland Loan Services</t>
        </is>
      </c>
      <c r="BQ703" s="69" t="inlineStr">
        <is>
          <t>Midland Loan Services</t>
        </is>
      </c>
      <c r="BR703" s="69" t="inlineStr">
        <is>
          <t>DPO</t>
        </is>
      </c>
      <c r="BS703" s="73" t="n">
        <v>46276</v>
      </c>
      <c r="BU703" s="76">
        <f>IF($C703="","",IFERROR(INDEX(dmName,MATCH($C703,dmID,0)),"Unmapped"))</f>
        <v/>
      </c>
      <c r="BV703" s="76">
        <f>IF($C703="","",IFERROR(INDEX(dmEntity,MATCH($C703,dmID,0)),"Unmapped"))</f>
        <v/>
      </c>
      <c r="BW703" s="77">
        <f>IF($C703="","",IFERROR(INDEX(dmVintage,MATCH($C703,dmID,0)),""))</f>
        <v/>
      </c>
      <c r="BX703" s="78">
        <f>IFERROR(INDEX(dmInclude,MATCH($C703,dmID,0)),0)</f>
        <v/>
      </c>
      <c r="BY703" s="78">
        <f>IF(N($I703)&gt;0,1,0)</f>
        <v/>
      </c>
      <c r="BZ703" s="76">
        <f>IF($AJ703="","Other / Leased Fee",IFERROR(INDEX(mapPTGroup,MATCH(LEFT(TRIM($AJ703),2),mapPTCode,0)),"Other / Leased Fee"))</f>
        <v/>
      </c>
      <c r="CA703" s="76">
        <f>IF(TRIM($AF703&amp;"")="","NR",LEFT(TRIM($AF703),2))</f>
        <v/>
      </c>
      <c r="CB703" s="76">
        <f>IFERROR(LOOKUP(2,1/(LEFT(TRIM($AI703&amp;""),LEN(mapRegion))=mapRegion),mapRegion),"Not Reported")</f>
        <v/>
      </c>
      <c r="CC703" s="76">
        <f>IF($BY703=0,"",IF(TRIM($W703&amp;"")="REO","REO",IF(TRIM($W703&amp;"")="FC","Foreclosure",IF(TRIM($W703&amp;"")="90+","90+ Days Delinquent",IF(TRIM($W703&amp;"")="60","60 Days Delinquent",IF(TRIM($W703&amp;"")="30","30 Days Delinquent",IF($X703="Non-Performing Matured Balloon","Non-Performing Matured Balloon",IF(OR($X703="Late Payment But Less Than 30 Days Delinquent",LEFT($X703&amp;"",20)="Payment Not Received"),"Late / In Grace (&lt;30 Days)",IF($X703="Performing Matured Balloon","Performing Matured Balloon","Current")))))))))</f>
        <v/>
      </c>
      <c r="CD703" s="78">
        <f>IF(OR($CC703="REO",$CC703="Foreclosure",$CC703="90+ Days Delinquent",$CC703="60 Days Delinquent",$CC703="30 Days Delinquent",$CC703="Non-Performing Matured Balloon"),1,0)</f>
        <v/>
      </c>
      <c r="CE703" s="76">
        <f>IF($AB703="Currently special serv","Currently Specially Serviced",IF($AB703="Returned to master serv","Previously Specially Serviced","Never Specially Serviced"))</f>
        <v/>
      </c>
      <c r="CF703" s="78">
        <f>IF($CE703="Currently Specially Serviced",1,0)</f>
        <v/>
      </c>
      <c r="CG703" s="76">
        <f>IF($AA703="Yes","Currently on Watchlist",IF($AA703="Previously","Previously on Watchlist","Never on Watchlist"))</f>
        <v/>
      </c>
      <c r="CH703" s="78">
        <f>IF($CG703="Currently on Watchlist",1,0)</f>
        <v/>
      </c>
      <c r="CI703" s="76">
        <f>IF($Z703="Full Defeasance","Fully Defeased",IF($Z703="Portion Of Loan Previously Defeased","Partially Defeased",IF($Z703="Defeasance Not Allowable","Not Defeased (Not Permitted)","Not Defeased")))</f>
        <v/>
      </c>
      <c r="CJ703" s="78">
        <f>IF($CI703="Fully Defeased",1,0)</f>
        <v/>
      </c>
      <c r="CK703" s="76">
        <f>IF($R703="IO","Full IO",IF(LEFT($R703&amp;"",7)="IO then","Partial IO","Amortizing"))</f>
        <v/>
      </c>
      <c r="CL703" s="78">
        <f>IF($CK703="Full IO",1,0)</f>
        <v/>
      </c>
      <c r="CM703" s="78">
        <f>IF($CK703="Partial IO",1,0)</f>
        <v/>
      </c>
      <c r="CN703" s="76">
        <f>IF(LEFT($F703&amp;"",10)="SPLIT_LOAN","Pari Passu Split","Standalone")</f>
        <v/>
      </c>
      <c r="CO703" s="78">
        <f>IF($CN703="Pari Passu Split",1,0)</f>
        <v/>
      </c>
      <c r="CP703" s="77">
        <f>IF(ISNUMBER($T703),YEAR($T703),"")</f>
        <v/>
      </c>
      <c r="CQ703" s="79">
        <f>IF(ISNUMBER($V703),$V703,IF(ISNUMBER($U703),$U703,""))</f>
        <v/>
      </c>
      <c r="CR703" s="77">
        <f>IF(ISNUMBER($CQ703),YEAR($CQ703),"")</f>
        <v/>
      </c>
      <c r="CS703" s="78">
        <f>IF(ISNUMBER($M703),MAX(0,$M703),IF(TRIM($M703&amp;"")="matured",0,""))</f>
        <v/>
      </c>
      <c r="CT703" s="78">
        <f>IF(AND(ISNUMBER($CS703),N($CS703)&lt;=mMatWindow),1,0)</f>
        <v/>
      </c>
      <c r="CU703" s="80">
        <f>IF(ISNUMBER($J703),$J703/100,"")</f>
        <v/>
      </c>
      <c r="CV703" s="81">
        <f>IF(ISNUMBER($AQ703),$AQ703,"")</f>
        <v/>
      </c>
      <c r="CW703" s="81">
        <f>IF(ISNUMBER($AR703),$AR703,"")</f>
        <v/>
      </c>
      <c r="CX703" s="82">
        <f>IF(ISNUMBER($AS703),$AS703/100,"")</f>
        <v/>
      </c>
      <c r="CY703" s="82">
        <f>IF(ISNUMBER($AT703),$AT703/100,"")</f>
        <v/>
      </c>
      <c r="CZ703" s="82">
        <f>IF(ISNUMBER($AU703),$AU703/100,"")</f>
        <v/>
      </c>
      <c r="DA703" s="82">
        <f>IF(ISNUMBER($AV703),$AV703/100,"")</f>
        <v/>
      </c>
      <c r="DB703" s="82">
        <f>IF(ISNUMBER($AW703),$AW703/100,"")</f>
        <v/>
      </c>
      <c r="DC703" s="82">
        <f>IF(ISNUMBER($AX703),$AX703/100,"")</f>
        <v/>
      </c>
      <c r="DD703" s="77">
        <f>IFERROR(VALUE(LEFT(TRIM($AO703&amp;""),4)),"")</f>
        <v/>
      </c>
      <c r="DE703" s="78">
        <f>IF(AND($BY703=1,$BX703=1,OR(fDeal="All Deals",$BU703=fDeal),OR(fEntity="All Entities",$BV703=fEntity),OR(fPType="All Property Types",$BZ703=fPType),OR(fDefeased="Include",$CJ703=0)),1,0)</f>
        <v/>
      </c>
      <c r="DF703" s="83">
        <f>$DE703*N($I703)</f>
        <v/>
      </c>
      <c r="DG703" s="78">
        <f>IF($DE703=1,IF(COUNTIFS($F$8:$F703,$F703,$DE$8:$DE703,1)=1,1,0),0)</f>
        <v/>
      </c>
      <c r="DH703" s="83">
        <f>IF($DG703=1,SUMIFS($DF$8:$DF$1600,$F$8:$F$1600,$F703),0)</f>
        <v/>
      </c>
      <c r="DI703" s="78">
        <f>IF($DG703=1,COUNTIFS($F$8:$F$1600,$F703,$DE$8:$DE$1600,1),0)</f>
        <v/>
      </c>
      <c r="DJ703" s="84">
        <f>IF($DG703=1,$DH703+(100000-ROW())/mTieBreak,0)</f>
        <v/>
      </c>
    </row>
    <row r="704">
      <c r="B704" s="68" t="n">
        <v>29</v>
      </c>
      <c r="C704" s="69" t="inlineStr">
        <is>
          <t>UBS19C16</t>
        </is>
      </c>
      <c r="D704" s="69" t="inlineStr">
        <is>
          <t>29.000</t>
        </is>
      </c>
      <c r="E704" s="69" t="inlineStr">
        <is>
          <t>75-79 8th Avenue</t>
        </is>
      </c>
      <c r="F704" s="69" t="inlineStr">
        <is>
          <t>LNUBS19C16-29.000</t>
        </is>
      </c>
      <c r="G704" s="70" t="n"/>
      <c r="H704" s="71" t="n">
        <v>8325000</v>
      </c>
      <c r="I704" s="71" t="n">
        <v>8325000</v>
      </c>
      <c r="J704" s="72" t="n">
        <v>5.45</v>
      </c>
      <c r="K704" s="69" t="inlineStr">
        <is>
          <t>Fixed rate</t>
        </is>
      </c>
      <c r="L704" s="68" t="n">
        <v>120</v>
      </c>
      <c r="M704" s="68" t="n">
        <v>30</v>
      </c>
      <c r="N704" s="68" t="n">
        <v>120</v>
      </c>
      <c r="O704" s="68" t="n">
        <v>120</v>
      </c>
      <c r="P704" s="68" t="n">
        <v>30</v>
      </c>
      <c r="Q704" s="68" t="n">
        <v>90</v>
      </c>
      <c r="R704" s="69" t="inlineStr">
        <is>
          <t>IO</t>
        </is>
      </c>
      <c r="S704" s="69" t="inlineStr">
        <is>
          <t>Yes</t>
        </is>
      </c>
      <c r="T704" s="73" t="n">
        <v>43525</v>
      </c>
      <c r="U704" s="73" t="n">
        <v>47183</v>
      </c>
      <c r="V704" s="73" t="n"/>
      <c r="W704" s="69" t="n"/>
      <c r="X704" s="69" t="inlineStr">
        <is>
          <t>Current</t>
        </is>
      </c>
      <c r="Y704" s="68" t="n"/>
      <c r="Z704" s="69" t="inlineStr">
        <is>
          <t>No Defeasance Occurred</t>
        </is>
      </c>
      <c r="AA704" s="69" t="inlineStr">
        <is>
          <t>Previously</t>
        </is>
      </c>
      <c r="AB704" s="69" t="inlineStr">
        <is>
          <t>Never special serv</t>
        </is>
      </c>
      <c r="AC704" s="73" t="n"/>
      <c r="AD704" s="69" t="n"/>
      <c r="AE704" s="69" t="n"/>
      <c r="AF704" s="69" t="inlineStr">
        <is>
          <t>NY</t>
        </is>
      </c>
      <c r="AG704" s="69" t="inlineStr">
        <is>
          <t>New York</t>
        </is>
      </c>
      <c r="AH704" s="69" t="inlineStr">
        <is>
          <t>New York-Newark-Jersey City, NY-NJ</t>
        </is>
      </c>
      <c r="AI704" s="69" t="inlineStr">
        <is>
          <t>Northeast / Mid-Atlantic</t>
        </is>
      </c>
      <c r="AJ704" s="69" t="inlineStr">
        <is>
          <t>RT</t>
        </is>
      </c>
      <c r="AK704" s="69" t="inlineStr">
        <is>
          <t>Unanchored</t>
        </is>
      </c>
      <c r="AL704" s="68" t="n">
        <v>1</v>
      </c>
      <c r="AM704" s="68" t="n"/>
      <c r="AN704" s="68" t="n">
        <v>10540</v>
      </c>
      <c r="AO704" s="69" t="inlineStr">
        <is>
          <t>1907</t>
        </is>
      </c>
      <c r="AP704" s="70" t="n">
        <v>1998</v>
      </c>
      <c r="AQ704" s="74" t="n">
        <v>1.35</v>
      </c>
      <c r="AR704" s="74" t="n">
        <v>2.03</v>
      </c>
      <c r="AS704" s="74" t="n">
        <v>58.2</v>
      </c>
      <c r="AT704" s="74" t="n">
        <v>58.22</v>
      </c>
      <c r="AU704" s="74" t="n">
        <v>58.2</v>
      </c>
      <c r="AV704" s="74" t="n">
        <v>7.442155195</v>
      </c>
      <c r="AW704" s="74" t="n">
        <v>10.852334054</v>
      </c>
      <c r="AX704" s="75" t="n">
        <v>100</v>
      </c>
      <c r="AY704" s="71" t="n">
        <v>14300000</v>
      </c>
      <c r="AZ704" s="71" t="n">
        <v>14300000</v>
      </c>
      <c r="BA704" s="71" t="n">
        <v>619559.42</v>
      </c>
      <c r="BB704" s="71" t="n">
        <v>933226.85</v>
      </c>
      <c r="BC704" s="69" t="inlineStr">
        <is>
          <t>Refinance</t>
        </is>
      </c>
      <c r="BD704" s="69" t="inlineStr">
        <is>
          <t>N</t>
        </is>
      </c>
      <c r="BE704" s="71" t="n"/>
      <c r="BF704" s="71" t="n"/>
      <c r="BG704" s="71" t="n"/>
      <c r="BH704" s="71" t="n">
        <v>0</v>
      </c>
      <c r="BI704" s="71" t="n">
        <v>0</v>
      </c>
      <c r="BJ704" s="69" t="inlineStr">
        <is>
          <t>N</t>
        </is>
      </c>
      <c r="BK704" s="69" t="inlineStr">
        <is>
          <t>National Veterinary Assoc. Inc. Vet Hospital</t>
        </is>
      </c>
      <c r="BL704" s="75" t="n">
        <v>59.01</v>
      </c>
      <c r="BM704" s="73" t="n">
        <v>46752</v>
      </c>
      <c r="BN704" s="69" t="inlineStr">
        <is>
          <t>Richard C. Fiore; Christopher J. Kinder; Jonathan Chodosh</t>
        </is>
      </c>
      <c r="BO704" s="69" t="inlineStr">
        <is>
          <t>Ladder Capital Finance</t>
        </is>
      </c>
      <c r="BP704" s="69" t="inlineStr">
        <is>
          <t>Midland Loan Services</t>
        </is>
      </c>
      <c r="BQ704" s="69" t="inlineStr">
        <is>
          <t>Midland Loan Services</t>
        </is>
      </c>
      <c r="BR704" s="69" t="n"/>
      <c r="BS704" s="73" t="n">
        <v>46276</v>
      </c>
      <c r="BU704" s="76">
        <f>IF($C704="","",IFERROR(INDEX(dmName,MATCH($C704,dmID,0)),"Unmapped"))</f>
        <v/>
      </c>
      <c r="BV704" s="76">
        <f>IF($C704="","",IFERROR(INDEX(dmEntity,MATCH($C704,dmID,0)),"Unmapped"))</f>
        <v/>
      </c>
      <c r="BW704" s="77">
        <f>IF($C704="","",IFERROR(INDEX(dmVintage,MATCH($C704,dmID,0)),""))</f>
        <v/>
      </c>
      <c r="BX704" s="78">
        <f>IFERROR(INDEX(dmInclude,MATCH($C704,dmID,0)),0)</f>
        <v/>
      </c>
      <c r="BY704" s="78">
        <f>IF(N($I704)&gt;0,1,0)</f>
        <v/>
      </c>
      <c r="BZ704" s="76">
        <f>IF($AJ704="","Other / Leased Fee",IFERROR(INDEX(mapPTGroup,MATCH(LEFT(TRIM($AJ704),2),mapPTCode,0)),"Other / Leased Fee"))</f>
        <v/>
      </c>
      <c r="CA704" s="76">
        <f>IF(TRIM($AF704&amp;"")="","NR",LEFT(TRIM($AF704),2))</f>
        <v/>
      </c>
      <c r="CB704" s="76">
        <f>IFERROR(LOOKUP(2,1/(LEFT(TRIM($AI704&amp;""),LEN(mapRegion))=mapRegion),mapRegion),"Not Reported")</f>
        <v/>
      </c>
      <c r="CC704" s="76">
        <f>IF($BY704=0,"",IF(TRIM($W704&amp;"")="REO","REO",IF(TRIM($W704&amp;"")="FC","Foreclosure",IF(TRIM($W704&amp;"")="90+","90+ Days Delinquent",IF(TRIM($W704&amp;"")="60","60 Days Delinquent",IF(TRIM($W704&amp;"")="30","30 Days Delinquent",IF($X704="Non-Performing Matured Balloon","Non-Performing Matured Balloon",IF(OR($X704="Late Payment But Less Than 30 Days Delinquent",LEFT($X704&amp;"",20)="Payment Not Received"),"Late / In Grace (&lt;30 Days)",IF($X704="Performing Matured Balloon","Performing Matured Balloon","Current")))))))))</f>
        <v/>
      </c>
      <c r="CD704" s="78">
        <f>IF(OR($CC704="REO",$CC704="Foreclosure",$CC704="90+ Days Delinquent",$CC704="60 Days Delinquent",$CC704="30 Days Delinquent",$CC704="Non-Performing Matured Balloon"),1,0)</f>
        <v/>
      </c>
      <c r="CE704" s="76">
        <f>IF($AB704="Currently special serv","Currently Specially Serviced",IF($AB704="Returned to master serv","Previously Specially Serviced","Never Specially Serviced"))</f>
        <v/>
      </c>
      <c r="CF704" s="78">
        <f>IF($CE704="Currently Specially Serviced",1,0)</f>
        <v/>
      </c>
      <c r="CG704" s="76">
        <f>IF($AA704="Yes","Currently on Watchlist",IF($AA704="Previously","Previously on Watchlist","Never on Watchlist"))</f>
        <v/>
      </c>
      <c r="CH704" s="78">
        <f>IF($CG704="Currently on Watchlist",1,0)</f>
        <v/>
      </c>
      <c r="CI704" s="76">
        <f>IF($Z704="Full Defeasance","Fully Defeased",IF($Z704="Portion Of Loan Previously Defeased","Partially Defeased",IF($Z704="Defeasance Not Allowable","Not Defeased (Not Permitted)","Not Defeased")))</f>
        <v/>
      </c>
      <c r="CJ704" s="78">
        <f>IF($CI704="Fully Defeased",1,0)</f>
        <v/>
      </c>
      <c r="CK704" s="76">
        <f>IF($R704="IO","Full IO",IF(LEFT($R704&amp;"",7)="IO then","Partial IO","Amortizing"))</f>
        <v/>
      </c>
      <c r="CL704" s="78">
        <f>IF($CK704="Full IO",1,0)</f>
        <v/>
      </c>
      <c r="CM704" s="78">
        <f>IF($CK704="Partial IO",1,0)</f>
        <v/>
      </c>
      <c r="CN704" s="76">
        <f>IF(LEFT($F704&amp;"",10)="SPLIT_LOAN","Pari Passu Split","Standalone")</f>
        <v/>
      </c>
      <c r="CO704" s="78">
        <f>IF($CN704="Pari Passu Split",1,0)</f>
        <v/>
      </c>
      <c r="CP704" s="77">
        <f>IF(ISNUMBER($T704),YEAR($T704),"")</f>
        <v/>
      </c>
      <c r="CQ704" s="79">
        <f>IF(ISNUMBER($V704),$V704,IF(ISNUMBER($U704),$U704,""))</f>
        <v/>
      </c>
      <c r="CR704" s="77">
        <f>IF(ISNUMBER($CQ704),YEAR($CQ704),"")</f>
        <v/>
      </c>
      <c r="CS704" s="78">
        <f>IF(ISNUMBER($M704),MAX(0,$M704),IF(TRIM($M704&amp;"")="matured",0,""))</f>
        <v/>
      </c>
      <c r="CT704" s="78">
        <f>IF(AND(ISNUMBER($CS704),N($CS704)&lt;=mMatWindow),1,0)</f>
        <v/>
      </c>
      <c r="CU704" s="80">
        <f>IF(ISNUMBER($J704),$J704/100,"")</f>
        <v/>
      </c>
      <c r="CV704" s="81">
        <f>IF(ISNUMBER($AQ704),$AQ704,"")</f>
        <v/>
      </c>
      <c r="CW704" s="81">
        <f>IF(ISNUMBER($AR704),$AR704,"")</f>
        <v/>
      </c>
      <c r="CX704" s="82">
        <f>IF(ISNUMBER($AS704),$AS704/100,"")</f>
        <v/>
      </c>
      <c r="CY704" s="82">
        <f>IF(ISNUMBER($AT704),$AT704/100,"")</f>
        <v/>
      </c>
      <c r="CZ704" s="82">
        <f>IF(ISNUMBER($AU704),$AU704/100,"")</f>
        <v/>
      </c>
      <c r="DA704" s="82">
        <f>IF(ISNUMBER($AV704),$AV704/100,"")</f>
        <v/>
      </c>
      <c r="DB704" s="82">
        <f>IF(ISNUMBER($AW704),$AW704/100,"")</f>
        <v/>
      </c>
      <c r="DC704" s="82">
        <f>IF(ISNUMBER($AX704),$AX704/100,"")</f>
        <v/>
      </c>
      <c r="DD704" s="77">
        <f>IFERROR(VALUE(LEFT(TRIM($AO704&amp;""),4)),"")</f>
        <v/>
      </c>
      <c r="DE704" s="78">
        <f>IF(AND($BY704=1,$BX704=1,OR(fDeal="All Deals",$BU704=fDeal),OR(fEntity="All Entities",$BV704=fEntity),OR(fPType="All Property Types",$BZ704=fPType),OR(fDefeased="Include",$CJ704=0)),1,0)</f>
        <v/>
      </c>
      <c r="DF704" s="83">
        <f>$DE704*N($I704)</f>
        <v/>
      </c>
      <c r="DG704" s="78">
        <f>IF($DE704=1,IF(COUNTIFS($F$8:$F704,$F704,$DE$8:$DE704,1)=1,1,0),0)</f>
        <v/>
      </c>
      <c r="DH704" s="83">
        <f>IF($DG704=1,SUMIFS($DF$8:$DF$1600,$F$8:$F$1600,$F704),0)</f>
        <v/>
      </c>
      <c r="DI704" s="78">
        <f>IF($DG704=1,COUNTIFS($F$8:$F$1600,$F704,$DE$8:$DE$1600,1),0)</f>
        <v/>
      </c>
      <c r="DJ704" s="84">
        <f>IF($DG704=1,$DH704+(100000-ROW())/mTieBreak,0)</f>
        <v/>
      </c>
    </row>
    <row r="705">
      <c r="B705" s="68" t="n">
        <v>30</v>
      </c>
      <c r="C705" s="69" t="inlineStr">
        <is>
          <t>UBS19C16</t>
        </is>
      </c>
      <c r="D705" s="69" t="inlineStr">
        <is>
          <t>30.000</t>
        </is>
      </c>
      <c r="E705" s="69" t="inlineStr">
        <is>
          <t>16300 Roscoe Blvd</t>
        </is>
      </c>
      <c r="F705" s="69" t="inlineStr">
        <is>
          <t>SPLIT_LOAN_01465</t>
        </is>
      </c>
      <c r="G705" s="70" t="n">
        <v>1465</v>
      </c>
      <c r="H705" s="71" t="n">
        <v>8250000</v>
      </c>
      <c r="I705" s="71" t="n">
        <v>7210121.499999</v>
      </c>
      <c r="J705" s="72" t="n">
        <v>5.1685</v>
      </c>
      <c r="K705" s="69" t="inlineStr">
        <is>
          <t>Fixed rate</t>
        </is>
      </c>
      <c r="L705" s="68" t="n">
        <v>120</v>
      </c>
      <c r="M705" s="68" t="n">
        <v>27</v>
      </c>
      <c r="N705" s="68" t="n">
        <v>360</v>
      </c>
      <c r="O705" s="68" t="n"/>
      <c r="P705" s="68" t="n"/>
      <c r="Q705" s="68" t="n">
        <v>93</v>
      </c>
      <c r="R705" s="69" t="n"/>
      <c r="S705" s="69" t="inlineStr">
        <is>
          <t>No</t>
        </is>
      </c>
      <c r="T705" s="73" t="n">
        <v>43435</v>
      </c>
      <c r="U705" s="73" t="n">
        <v>47093</v>
      </c>
      <c r="V705" s="73" t="n"/>
      <c r="W705" s="69" t="n"/>
      <c r="X705" s="69" t="inlineStr">
        <is>
          <t>Current</t>
        </is>
      </c>
      <c r="Y705" s="68" t="n"/>
      <c r="Z705" s="69" t="inlineStr">
        <is>
          <t>Defeasance Not Allowable</t>
        </is>
      </c>
      <c r="AA705" s="69" t="inlineStr">
        <is>
          <t>Previously</t>
        </is>
      </c>
      <c r="AB705" s="69" t="inlineStr">
        <is>
          <t>Never special serv</t>
        </is>
      </c>
      <c r="AC705" s="73" t="n"/>
      <c r="AD705" s="69" t="n"/>
      <c r="AE705" s="69" t="n"/>
      <c r="AF705" s="69" t="inlineStr">
        <is>
          <t>CA</t>
        </is>
      </c>
      <c r="AG705" s="69" t="inlineStr">
        <is>
          <t>Van Nuys</t>
        </is>
      </c>
      <c r="AH705" s="69" t="inlineStr">
        <is>
          <t>Los Angeles-Long Beach-Anaheim, CA</t>
        </is>
      </c>
      <c r="AI705" s="69" t="inlineStr">
        <is>
          <t>West / Pacific South</t>
        </is>
      </c>
      <c r="AJ705" s="69" t="inlineStr">
        <is>
          <t>OF</t>
        </is>
      </c>
      <c r="AK705" s="69" t="inlineStr">
        <is>
          <t>Suburban</t>
        </is>
      </c>
      <c r="AL705" s="68" t="n">
        <v>1</v>
      </c>
      <c r="AM705" s="68" t="n"/>
      <c r="AN705" s="68" t="n">
        <v>154033</v>
      </c>
      <c r="AO705" s="69" t="inlineStr">
        <is>
          <t>1956 &amp; 1985</t>
        </is>
      </c>
      <c r="AP705" s="70" t="n">
        <v>1985</v>
      </c>
      <c r="AQ705" s="74" t="n">
        <v>1.55</v>
      </c>
      <c r="AR705" s="74" t="n">
        <v>1.43</v>
      </c>
      <c r="AS705" s="74" t="n">
        <v>74.7</v>
      </c>
      <c r="AT705" s="74" t="n">
        <v>65.55</v>
      </c>
      <c r="AU705" s="74" t="n">
        <v>62</v>
      </c>
      <c r="AV705" s="74" t="n">
        <v>10.161344</v>
      </c>
      <c r="AW705" s="74" t="n">
        <v>9.938463903000001</v>
      </c>
      <c r="AX705" s="75" t="n">
        <v>94</v>
      </c>
      <c r="AY705" s="71" t="n">
        <v>35000000</v>
      </c>
      <c r="AZ705" s="71" t="n">
        <v>35000000</v>
      </c>
      <c r="BA705" s="71" t="n">
        <v>2667352.8</v>
      </c>
      <c r="BB705" s="71" t="n">
        <v>2462468.84</v>
      </c>
      <c r="BC705" s="69" t="inlineStr">
        <is>
          <t>Recapitalization</t>
        </is>
      </c>
      <c r="BD705" s="69" t="inlineStr">
        <is>
          <t>N</t>
        </is>
      </c>
      <c r="BE705" s="71" t="n">
        <v>15731174.18</v>
      </c>
      <c r="BF705" s="71" t="n"/>
      <c r="BG705" s="71" t="n"/>
      <c r="BH705" s="71" t="n">
        <v>0</v>
      </c>
      <c r="BI705" s="71" t="n">
        <v>0</v>
      </c>
      <c r="BJ705" s="69" t="inlineStr">
        <is>
          <t>N</t>
        </is>
      </c>
      <c r="BK705" s="69" t="inlineStr">
        <is>
          <t>150 - MGA Entertainment Inc. a California corporation</t>
        </is>
      </c>
      <c r="BL705" s="75" t="n">
        <v>14.69</v>
      </c>
      <c r="BM705" s="73" t="n">
        <v>48944</v>
      </c>
      <c r="BN705" s="69" t="inlineStr">
        <is>
          <t>Isaac E. Larian</t>
        </is>
      </c>
      <c r="BO705" s="69" t="inlineStr">
        <is>
          <t>UBS</t>
        </is>
      </c>
      <c r="BP705" s="69" t="inlineStr">
        <is>
          <t>Midland Loan Services</t>
        </is>
      </c>
      <c r="BQ705" s="69" t="inlineStr">
        <is>
          <t>K-Star Asset Management LLC</t>
        </is>
      </c>
      <c r="BR705" s="69" t="n"/>
      <c r="BS705" s="73" t="n">
        <v>46276</v>
      </c>
      <c r="BU705" s="76">
        <f>IF($C705="","",IFERROR(INDEX(dmName,MATCH($C705,dmID,0)),"Unmapped"))</f>
        <v/>
      </c>
      <c r="BV705" s="76">
        <f>IF($C705="","",IFERROR(INDEX(dmEntity,MATCH($C705,dmID,0)),"Unmapped"))</f>
        <v/>
      </c>
      <c r="BW705" s="77">
        <f>IF($C705="","",IFERROR(INDEX(dmVintage,MATCH($C705,dmID,0)),""))</f>
        <v/>
      </c>
      <c r="BX705" s="78">
        <f>IFERROR(INDEX(dmInclude,MATCH($C705,dmID,0)),0)</f>
        <v/>
      </c>
      <c r="BY705" s="78">
        <f>IF(N($I705)&gt;0,1,0)</f>
        <v/>
      </c>
      <c r="BZ705" s="76">
        <f>IF($AJ705="","Other / Leased Fee",IFERROR(INDEX(mapPTGroup,MATCH(LEFT(TRIM($AJ705),2),mapPTCode,0)),"Other / Leased Fee"))</f>
        <v/>
      </c>
      <c r="CA705" s="76">
        <f>IF(TRIM($AF705&amp;"")="","NR",LEFT(TRIM($AF705),2))</f>
        <v/>
      </c>
      <c r="CB705" s="76">
        <f>IFERROR(LOOKUP(2,1/(LEFT(TRIM($AI705&amp;""),LEN(mapRegion))=mapRegion),mapRegion),"Not Reported")</f>
        <v/>
      </c>
      <c r="CC705" s="76">
        <f>IF($BY705=0,"",IF(TRIM($W705&amp;"")="REO","REO",IF(TRIM($W705&amp;"")="FC","Foreclosure",IF(TRIM($W705&amp;"")="90+","90+ Days Delinquent",IF(TRIM($W705&amp;"")="60","60 Days Delinquent",IF(TRIM($W705&amp;"")="30","30 Days Delinquent",IF($X705="Non-Performing Matured Balloon","Non-Performing Matured Balloon",IF(OR($X705="Late Payment But Less Than 30 Days Delinquent",LEFT($X705&amp;"",20)="Payment Not Received"),"Late / In Grace (&lt;30 Days)",IF($X705="Performing Matured Balloon","Performing Matured Balloon","Current")))))))))</f>
        <v/>
      </c>
      <c r="CD705" s="78">
        <f>IF(OR($CC705="REO",$CC705="Foreclosure",$CC705="90+ Days Delinquent",$CC705="60 Days Delinquent",$CC705="30 Days Delinquent",$CC705="Non-Performing Matured Balloon"),1,0)</f>
        <v/>
      </c>
      <c r="CE705" s="76">
        <f>IF($AB705="Currently special serv","Currently Specially Serviced",IF($AB705="Returned to master serv","Previously Specially Serviced","Never Specially Serviced"))</f>
        <v/>
      </c>
      <c r="CF705" s="78">
        <f>IF($CE705="Currently Specially Serviced",1,0)</f>
        <v/>
      </c>
      <c r="CG705" s="76">
        <f>IF($AA705="Yes","Currently on Watchlist",IF($AA705="Previously","Previously on Watchlist","Never on Watchlist"))</f>
        <v/>
      </c>
      <c r="CH705" s="78">
        <f>IF($CG705="Currently on Watchlist",1,0)</f>
        <v/>
      </c>
      <c r="CI705" s="76">
        <f>IF($Z705="Full Defeasance","Fully Defeased",IF($Z705="Portion Of Loan Previously Defeased","Partially Defeased",IF($Z705="Defeasance Not Allowable","Not Defeased (Not Permitted)","Not Defeased")))</f>
        <v/>
      </c>
      <c r="CJ705" s="78">
        <f>IF($CI705="Fully Defeased",1,0)</f>
        <v/>
      </c>
      <c r="CK705" s="76">
        <f>IF($R705="IO","Full IO",IF(LEFT($R705&amp;"",7)="IO then","Partial IO","Amortizing"))</f>
        <v/>
      </c>
      <c r="CL705" s="78">
        <f>IF($CK705="Full IO",1,0)</f>
        <v/>
      </c>
      <c r="CM705" s="78">
        <f>IF($CK705="Partial IO",1,0)</f>
        <v/>
      </c>
      <c r="CN705" s="76">
        <f>IF(LEFT($F705&amp;"",10)="SPLIT_LOAN","Pari Passu Split","Standalone")</f>
        <v/>
      </c>
      <c r="CO705" s="78">
        <f>IF($CN705="Pari Passu Split",1,0)</f>
        <v/>
      </c>
      <c r="CP705" s="77">
        <f>IF(ISNUMBER($T705),YEAR($T705),"")</f>
        <v/>
      </c>
      <c r="CQ705" s="79">
        <f>IF(ISNUMBER($V705),$V705,IF(ISNUMBER($U705),$U705,""))</f>
        <v/>
      </c>
      <c r="CR705" s="77">
        <f>IF(ISNUMBER($CQ705),YEAR($CQ705),"")</f>
        <v/>
      </c>
      <c r="CS705" s="78">
        <f>IF(ISNUMBER($M705),MAX(0,$M705),IF(TRIM($M705&amp;"")="matured",0,""))</f>
        <v/>
      </c>
      <c r="CT705" s="78">
        <f>IF(AND(ISNUMBER($CS705),N($CS705)&lt;=mMatWindow),1,0)</f>
        <v/>
      </c>
      <c r="CU705" s="80">
        <f>IF(ISNUMBER($J705),$J705/100,"")</f>
        <v/>
      </c>
      <c r="CV705" s="81">
        <f>IF(ISNUMBER($AQ705),$AQ705,"")</f>
        <v/>
      </c>
      <c r="CW705" s="81">
        <f>IF(ISNUMBER($AR705),$AR705,"")</f>
        <v/>
      </c>
      <c r="CX705" s="82">
        <f>IF(ISNUMBER($AS705),$AS705/100,"")</f>
        <v/>
      </c>
      <c r="CY705" s="82">
        <f>IF(ISNUMBER($AT705),$AT705/100,"")</f>
        <v/>
      </c>
      <c r="CZ705" s="82">
        <f>IF(ISNUMBER($AU705),$AU705/100,"")</f>
        <v/>
      </c>
      <c r="DA705" s="82">
        <f>IF(ISNUMBER($AV705),$AV705/100,"")</f>
        <v/>
      </c>
      <c r="DB705" s="82">
        <f>IF(ISNUMBER($AW705),$AW705/100,"")</f>
        <v/>
      </c>
      <c r="DC705" s="82">
        <f>IF(ISNUMBER($AX705),$AX705/100,"")</f>
        <v/>
      </c>
      <c r="DD705" s="77">
        <f>IFERROR(VALUE(LEFT(TRIM($AO705&amp;""),4)),"")</f>
        <v/>
      </c>
      <c r="DE705" s="78">
        <f>IF(AND($BY705=1,$BX705=1,OR(fDeal="All Deals",$BU705=fDeal),OR(fEntity="All Entities",$BV705=fEntity),OR(fPType="All Property Types",$BZ705=fPType),OR(fDefeased="Include",$CJ705=0)),1,0)</f>
        <v/>
      </c>
      <c r="DF705" s="83">
        <f>$DE705*N($I705)</f>
        <v/>
      </c>
      <c r="DG705" s="78">
        <f>IF($DE705=1,IF(COUNTIFS($F$8:$F705,$F705,$DE$8:$DE705,1)=1,1,0),0)</f>
        <v/>
      </c>
      <c r="DH705" s="83">
        <f>IF($DG705=1,SUMIFS($DF$8:$DF$1600,$F$8:$F$1600,$F705),0)</f>
        <v/>
      </c>
      <c r="DI705" s="78">
        <f>IF($DG705=1,COUNTIFS($F$8:$F$1600,$F705,$DE$8:$DE$1600,1),0)</f>
        <v/>
      </c>
      <c r="DJ705" s="84">
        <f>IF($DG705=1,$DH705+(100000-ROW())/mTieBreak,0)</f>
        <v/>
      </c>
    </row>
    <row r="706">
      <c r="B706" s="68" t="n">
        <v>31</v>
      </c>
      <c r="C706" s="69" t="inlineStr">
        <is>
          <t>UBS19C16</t>
        </is>
      </c>
      <c r="D706" s="69" t="inlineStr">
        <is>
          <t>31.000</t>
        </is>
      </c>
      <c r="E706" s="69" t="inlineStr">
        <is>
          <t>Holiday Inn - Battle Creek</t>
        </is>
      </c>
      <c r="F706" s="69" t="inlineStr">
        <is>
          <t>LNUBS19C16-31.000</t>
        </is>
      </c>
      <c r="G706" s="70" t="n"/>
      <c r="H706" s="71" t="n">
        <v>7750000</v>
      </c>
      <c r="I706" s="71" t="n">
        <v>0</v>
      </c>
      <c r="J706" s="72" t="n">
        <v>5.85</v>
      </c>
      <c r="K706" s="69" t="inlineStr">
        <is>
          <t>Fixed rate</t>
        </is>
      </c>
      <c r="L706" s="68" t="n">
        <v>120</v>
      </c>
      <c r="M706" s="68" t="n"/>
      <c r="N706" s="68" t="n">
        <v>360</v>
      </c>
      <c r="O706" s="68" t="n"/>
      <c r="P706" s="68" t="n"/>
      <c r="Q706" s="68" t="n"/>
      <c r="R706" s="69" t="n"/>
      <c r="S706" s="69" t="inlineStr">
        <is>
          <t>No</t>
        </is>
      </c>
      <c r="T706" s="73" t="n">
        <v>43525</v>
      </c>
      <c r="U706" s="73" t="n">
        <v>47183</v>
      </c>
      <c r="V706" s="73" t="n"/>
      <c r="W706" s="69" t="n"/>
      <c r="X706" s="69" t="inlineStr">
        <is>
          <t>Current</t>
        </is>
      </c>
      <c r="Y706" s="68" t="n"/>
      <c r="Z706" s="69" t="inlineStr">
        <is>
          <t>Defeasance Not Allowable</t>
        </is>
      </c>
      <c r="AA706" s="69" t="inlineStr">
        <is>
          <t>Previously</t>
        </is>
      </c>
      <c r="AB706" s="69" t="inlineStr">
        <is>
          <t>Currently special serv</t>
        </is>
      </c>
      <c r="AC706" s="73" t="n">
        <v>43990</v>
      </c>
      <c r="AD706" s="69" t="inlineStr">
        <is>
          <t>Other</t>
        </is>
      </c>
      <c r="AE706" s="69" t="inlineStr">
        <is>
          <t>Resolved</t>
        </is>
      </c>
      <c r="AF706" s="69" t="inlineStr">
        <is>
          <t>MI</t>
        </is>
      </c>
      <c r="AG706" s="69" t="inlineStr">
        <is>
          <t>Battle Creek</t>
        </is>
      </c>
      <c r="AH706" s="69" t="inlineStr">
        <is>
          <t>Battle Creek, MI</t>
        </is>
      </c>
      <c r="AI706" s="69" t="inlineStr">
        <is>
          <t>Midwest / Central East</t>
        </is>
      </c>
      <c r="AJ706" s="69" t="inlineStr">
        <is>
          <t>HT</t>
        </is>
      </c>
      <c r="AK706" s="69" t="inlineStr">
        <is>
          <t>Full Service</t>
        </is>
      </c>
      <c r="AL706" s="68" t="n">
        <v>1</v>
      </c>
      <c r="AM706" s="68" t="n">
        <v>120</v>
      </c>
      <c r="AN706" s="68" t="n"/>
      <c r="AO706" s="69" t="inlineStr">
        <is>
          <t>2007</t>
        </is>
      </c>
      <c r="AP706" s="70" t="n">
        <v>2007</v>
      </c>
      <c r="AQ706" s="74" t="n">
        <v>1.77</v>
      </c>
      <c r="AR706" s="74" t="n">
        <v>-0.35</v>
      </c>
      <c r="AS706" s="74" t="n">
        <v>66.59999999999999</v>
      </c>
      <c r="AT706" s="74" t="n"/>
      <c r="AU706" s="74" t="n">
        <v>56.3</v>
      </c>
      <c r="AV706" s="74" t="n">
        <v>12.503433419</v>
      </c>
      <c r="AW706" s="74" t="n"/>
      <c r="AX706" s="75" t="n">
        <v>59</v>
      </c>
      <c r="AY706" s="71" t="n">
        <v>11630000</v>
      </c>
      <c r="AZ706" s="71" t="n">
        <v>10900000</v>
      </c>
      <c r="BA706" s="71" t="n">
        <v>969016.09</v>
      </c>
      <c r="BB706" s="71" t="n">
        <v>-80043.52</v>
      </c>
      <c r="BC706" s="69" t="inlineStr">
        <is>
          <t>Refinance</t>
        </is>
      </c>
      <c r="BD706" s="69" t="inlineStr">
        <is>
          <t>N</t>
        </is>
      </c>
      <c r="BE706" s="71" t="n"/>
      <c r="BF706" s="71" t="n"/>
      <c r="BG706" s="71" t="n"/>
      <c r="BH706" s="71" t="n">
        <v>0</v>
      </c>
      <c r="BI706" s="71" t="n">
        <v>0</v>
      </c>
      <c r="BJ706" s="69" t="inlineStr">
        <is>
          <t>N</t>
        </is>
      </c>
      <c r="BK706" s="69" t="n"/>
      <c r="BL706" s="75" t="n"/>
      <c r="BM706" s="73" t="n"/>
      <c r="BN706" s="69" t="inlineStr">
        <is>
          <t>Jerald J. Good</t>
        </is>
      </c>
      <c r="BO706" s="69" t="inlineStr">
        <is>
          <t>UBS</t>
        </is>
      </c>
      <c r="BP706" s="69" t="inlineStr">
        <is>
          <t>Midland Loan Services</t>
        </is>
      </c>
      <c r="BQ706" s="69" t="inlineStr">
        <is>
          <t>Midland Loan Services</t>
        </is>
      </c>
      <c r="BR706" s="69" t="inlineStr">
        <is>
          <t>Payoff Prior To Maturity</t>
        </is>
      </c>
      <c r="BS706" s="73" t="n">
        <v>44879</v>
      </c>
      <c r="BU706" s="76">
        <f>IF($C706="","",IFERROR(INDEX(dmName,MATCH($C706,dmID,0)),"Unmapped"))</f>
        <v/>
      </c>
      <c r="BV706" s="76">
        <f>IF($C706="","",IFERROR(INDEX(dmEntity,MATCH($C706,dmID,0)),"Unmapped"))</f>
        <v/>
      </c>
      <c r="BW706" s="77">
        <f>IF($C706="","",IFERROR(INDEX(dmVintage,MATCH($C706,dmID,0)),""))</f>
        <v/>
      </c>
      <c r="BX706" s="78">
        <f>IFERROR(INDEX(dmInclude,MATCH($C706,dmID,0)),0)</f>
        <v/>
      </c>
      <c r="BY706" s="78">
        <f>IF(N($I706)&gt;0,1,0)</f>
        <v/>
      </c>
      <c r="BZ706" s="76">
        <f>IF($AJ706="","Other / Leased Fee",IFERROR(INDEX(mapPTGroup,MATCH(LEFT(TRIM($AJ706),2),mapPTCode,0)),"Other / Leased Fee"))</f>
        <v/>
      </c>
      <c r="CA706" s="76">
        <f>IF(TRIM($AF706&amp;"")="","NR",LEFT(TRIM($AF706),2))</f>
        <v/>
      </c>
      <c r="CB706" s="76">
        <f>IFERROR(LOOKUP(2,1/(LEFT(TRIM($AI706&amp;""),LEN(mapRegion))=mapRegion),mapRegion),"Not Reported")</f>
        <v/>
      </c>
      <c r="CC706" s="76">
        <f>IF($BY706=0,"",IF(TRIM($W706&amp;"")="REO","REO",IF(TRIM($W706&amp;"")="FC","Foreclosure",IF(TRIM($W706&amp;"")="90+","90+ Days Delinquent",IF(TRIM($W706&amp;"")="60","60 Days Delinquent",IF(TRIM($W706&amp;"")="30","30 Days Delinquent",IF($X706="Non-Performing Matured Balloon","Non-Performing Matured Balloon",IF(OR($X706="Late Payment But Less Than 30 Days Delinquent",LEFT($X706&amp;"",20)="Payment Not Received"),"Late / In Grace (&lt;30 Days)",IF($X706="Performing Matured Balloon","Performing Matured Balloon","Current")))))))))</f>
        <v/>
      </c>
      <c r="CD706" s="78">
        <f>IF(OR($CC706="REO",$CC706="Foreclosure",$CC706="90+ Days Delinquent",$CC706="60 Days Delinquent",$CC706="30 Days Delinquent",$CC706="Non-Performing Matured Balloon"),1,0)</f>
        <v/>
      </c>
      <c r="CE706" s="76">
        <f>IF($AB706="Currently special serv","Currently Specially Serviced",IF($AB706="Returned to master serv","Previously Specially Serviced","Never Specially Serviced"))</f>
        <v/>
      </c>
      <c r="CF706" s="78">
        <f>IF($CE706="Currently Specially Serviced",1,0)</f>
        <v/>
      </c>
      <c r="CG706" s="76">
        <f>IF($AA706="Yes","Currently on Watchlist",IF($AA706="Previously","Previously on Watchlist","Never on Watchlist"))</f>
        <v/>
      </c>
      <c r="CH706" s="78">
        <f>IF($CG706="Currently on Watchlist",1,0)</f>
        <v/>
      </c>
      <c r="CI706" s="76">
        <f>IF($Z706="Full Defeasance","Fully Defeased",IF($Z706="Portion Of Loan Previously Defeased","Partially Defeased",IF($Z706="Defeasance Not Allowable","Not Defeased (Not Permitted)","Not Defeased")))</f>
        <v/>
      </c>
      <c r="CJ706" s="78">
        <f>IF($CI706="Fully Defeased",1,0)</f>
        <v/>
      </c>
      <c r="CK706" s="76">
        <f>IF($R706="IO","Full IO",IF(LEFT($R706&amp;"",7)="IO then","Partial IO","Amortizing"))</f>
        <v/>
      </c>
      <c r="CL706" s="78">
        <f>IF($CK706="Full IO",1,0)</f>
        <v/>
      </c>
      <c r="CM706" s="78">
        <f>IF($CK706="Partial IO",1,0)</f>
        <v/>
      </c>
      <c r="CN706" s="76">
        <f>IF(LEFT($F706&amp;"",10)="SPLIT_LOAN","Pari Passu Split","Standalone")</f>
        <v/>
      </c>
      <c r="CO706" s="78">
        <f>IF($CN706="Pari Passu Split",1,0)</f>
        <v/>
      </c>
      <c r="CP706" s="77">
        <f>IF(ISNUMBER($T706),YEAR($T706),"")</f>
        <v/>
      </c>
      <c r="CQ706" s="79">
        <f>IF(ISNUMBER($V706),$V706,IF(ISNUMBER($U706),$U706,""))</f>
        <v/>
      </c>
      <c r="CR706" s="77">
        <f>IF(ISNUMBER($CQ706),YEAR($CQ706),"")</f>
        <v/>
      </c>
      <c r="CS706" s="78">
        <f>IF(ISNUMBER($M706),MAX(0,$M706),IF(TRIM($M706&amp;"")="matured",0,""))</f>
        <v/>
      </c>
      <c r="CT706" s="78">
        <f>IF(AND(ISNUMBER($CS706),N($CS706)&lt;=mMatWindow),1,0)</f>
        <v/>
      </c>
      <c r="CU706" s="80">
        <f>IF(ISNUMBER($J706),$J706/100,"")</f>
        <v/>
      </c>
      <c r="CV706" s="81">
        <f>IF(ISNUMBER($AQ706),$AQ706,"")</f>
        <v/>
      </c>
      <c r="CW706" s="81">
        <f>IF(ISNUMBER($AR706),$AR706,"")</f>
        <v/>
      </c>
      <c r="CX706" s="82">
        <f>IF(ISNUMBER($AS706),$AS706/100,"")</f>
        <v/>
      </c>
      <c r="CY706" s="82">
        <f>IF(ISNUMBER($AT706),$AT706/100,"")</f>
        <v/>
      </c>
      <c r="CZ706" s="82">
        <f>IF(ISNUMBER($AU706),$AU706/100,"")</f>
        <v/>
      </c>
      <c r="DA706" s="82">
        <f>IF(ISNUMBER($AV706),$AV706/100,"")</f>
        <v/>
      </c>
      <c r="DB706" s="82">
        <f>IF(ISNUMBER($AW706),$AW706/100,"")</f>
        <v/>
      </c>
      <c r="DC706" s="82">
        <f>IF(ISNUMBER($AX706),$AX706/100,"")</f>
        <v/>
      </c>
      <c r="DD706" s="77">
        <f>IFERROR(VALUE(LEFT(TRIM($AO706&amp;""),4)),"")</f>
        <v/>
      </c>
      <c r="DE706" s="78">
        <f>IF(AND($BY706=1,$BX706=1,OR(fDeal="All Deals",$BU706=fDeal),OR(fEntity="All Entities",$BV706=fEntity),OR(fPType="All Property Types",$BZ706=fPType),OR(fDefeased="Include",$CJ706=0)),1,0)</f>
        <v/>
      </c>
      <c r="DF706" s="83">
        <f>$DE706*N($I706)</f>
        <v/>
      </c>
      <c r="DG706" s="78">
        <f>IF($DE706=1,IF(COUNTIFS($F$8:$F706,$F706,$DE$8:$DE706,1)=1,1,0),0)</f>
        <v/>
      </c>
      <c r="DH706" s="83">
        <f>IF($DG706=1,SUMIFS($DF$8:$DF$1600,$F$8:$F$1600,$F706),0)</f>
        <v/>
      </c>
      <c r="DI706" s="78">
        <f>IF($DG706=1,COUNTIFS($F$8:$F$1600,$F706,$DE$8:$DE$1600,1),0)</f>
        <v/>
      </c>
      <c r="DJ706" s="84">
        <f>IF($DG706=1,$DH706+(100000-ROW())/mTieBreak,0)</f>
        <v/>
      </c>
    </row>
    <row r="707">
      <c r="B707" s="68" t="n">
        <v>32</v>
      </c>
      <c r="C707" s="69" t="inlineStr">
        <is>
          <t>UBS19C16</t>
        </is>
      </c>
      <c r="D707" s="69" t="inlineStr">
        <is>
          <t>32.000</t>
        </is>
      </c>
      <c r="E707" s="69" t="inlineStr">
        <is>
          <t>Village Shoppes at Creekside</t>
        </is>
      </c>
      <c r="F707" s="69" t="inlineStr">
        <is>
          <t>LNUBS19C16-32.000</t>
        </is>
      </c>
      <c r="G707" s="70" t="n"/>
      <c r="H707" s="71" t="n">
        <v>7700000</v>
      </c>
      <c r="I707" s="71" t="n">
        <v>7023760.2300019</v>
      </c>
      <c r="J707" s="72" t="n">
        <v>5.1274</v>
      </c>
      <c r="K707" s="69" t="inlineStr">
        <is>
          <t>Fixed rate</t>
        </is>
      </c>
      <c r="L707" s="68" t="n">
        <v>120</v>
      </c>
      <c r="M707" s="68" t="n">
        <v>28</v>
      </c>
      <c r="N707" s="68" t="n">
        <v>384</v>
      </c>
      <c r="O707" s="68" t="n">
        <v>24</v>
      </c>
      <c r="P707" s="68" t="n">
        <v>0</v>
      </c>
      <c r="Q707" s="68" t="n">
        <v>92</v>
      </c>
      <c r="R707" s="69" t="inlineStr">
        <is>
          <t>IO then Amort</t>
        </is>
      </c>
      <c r="S707" s="69" t="inlineStr">
        <is>
          <t>No</t>
        </is>
      </c>
      <c r="T707" s="73" t="n">
        <v>43466</v>
      </c>
      <c r="U707" s="73" t="n">
        <v>47124</v>
      </c>
      <c r="V707" s="73" t="n"/>
      <c r="W707" s="69" t="n"/>
      <c r="X707" s="69" t="inlineStr">
        <is>
          <t>Current</t>
        </is>
      </c>
      <c r="Y707" s="68" t="n"/>
      <c r="Z707" s="69" t="inlineStr">
        <is>
          <t>No Defeasance Occurred</t>
        </is>
      </c>
      <c r="AA707" s="69" t="inlineStr">
        <is>
          <t>Previously</t>
        </is>
      </c>
      <c r="AB707" s="69" t="inlineStr">
        <is>
          <t>Never special serv</t>
        </is>
      </c>
      <c r="AC707" s="73" t="n"/>
      <c r="AD707" s="69" t="n"/>
      <c r="AE707" s="69" t="n"/>
      <c r="AF707" s="69" t="inlineStr">
        <is>
          <t>GA</t>
        </is>
      </c>
      <c r="AG707" s="69" t="inlineStr">
        <is>
          <t>Lawrenceville</t>
        </is>
      </c>
      <c r="AH707" s="69" t="inlineStr">
        <is>
          <t>Atlanta-Sandy Springs-Roswell, GA</t>
        </is>
      </c>
      <c r="AI707" s="69" t="inlineStr">
        <is>
          <t>South / Atlantic</t>
        </is>
      </c>
      <c r="AJ707" s="69" t="inlineStr">
        <is>
          <t>RT</t>
        </is>
      </c>
      <c r="AK707" s="69" t="inlineStr">
        <is>
          <t>Anchored</t>
        </is>
      </c>
      <c r="AL707" s="68" t="n">
        <v>1</v>
      </c>
      <c r="AM707" s="68" t="n"/>
      <c r="AN707" s="68" t="n">
        <v>82814</v>
      </c>
      <c r="AO707" s="69" t="inlineStr">
        <is>
          <t>2006</t>
        </is>
      </c>
      <c r="AP707" s="70" t="n">
        <v>2006</v>
      </c>
      <c r="AQ707" s="74" t="n">
        <v>2.31</v>
      </c>
      <c r="AR707" s="74" t="n">
        <v>2.22</v>
      </c>
      <c r="AS707" s="74" t="n">
        <v>67</v>
      </c>
      <c r="AT707" s="74" t="n">
        <v>61.08</v>
      </c>
      <c r="AU707" s="74" t="n">
        <v>58.1</v>
      </c>
      <c r="AV707" s="74" t="n">
        <v>12.024174156</v>
      </c>
      <c r="AW707" s="74" t="n">
        <v>15.913448116</v>
      </c>
      <c r="AX707" s="75" t="n">
        <v>99</v>
      </c>
      <c r="AY707" s="71" t="n">
        <v>11500000</v>
      </c>
      <c r="AZ707" s="71" t="n">
        <v>11500000</v>
      </c>
      <c r="BA707" s="71" t="n">
        <v>925861.41</v>
      </c>
      <c r="BB707" s="71" t="n">
        <v>1117722.44</v>
      </c>
      <c r="BC707" s="69" t="inlineStr">
        <is>
          <t>Acquisition</t>
        </is>
      </c>
      <c r="BD707" s="69" t="inlineStr">
        <is>
          <t>N</t>
        </is>
      </c>
      <c r="BE707" s="71" t="n"/>
      <c r="BF707" s="71" t="n"/>
      <c r="BG707" s="71" t="n"/>
      <c r="BH707" s="71" t="n">
        <v>0</v>
      </c>
      <c r="BI707" s="71" t="n">
        <v>0</v>
      </c>
      <c r="BJ707" s="69" t="inlineStr">
        <is>
          <t>N</t>
        </is>
      </c>
      <c r="BK707" s="69" t="inlineStr">
        <is>
          <t>OneLife Fitness / U.S Fitness Holdings LLC</t>
        </is>
      </c>
      <c r="BL707" s="75" t="n">
        <v>36.23</v>
      </c>
      <c r="BM707" s="73" t="n">
        <v>48365</v>
      </c>
      <c r="BN707" s="69" t="inlineStr">
        <is>
          <t>Azad Commercial Realty Services, LLC</t>
        </is>
      </c>
      <c r="BO707" s="69" t="inlineStr">
        <is>
          <t>UBS</t>
        </is>
      </c>
      <c r="BP707" s="69" t="inlineStr">
        <is>
          <t>Midland Loan Services</t>
        </is>
      </c>
      <c r="BQ707" s="69" t="inlineStr">
        <is>
          <t>Midland Loan Services</t>
        </is>
      </c>
      <c r="BR707" s="69" t="n"/>
      <c r="BS707" s="73" t="n">
        <v>46276</v>
      </c>
      <c r="BU707" s="76">
        <f>IF($C707="","",IFERROR(INDEX(dmName,MATCH($C707,dmID,0)),"Unmapped"))</f>
        <v/>
      </c>
      <c r="BV707" s="76">
        <f>IF($C707="","",IFERROR(INDEX(dmEntity,MATCH($C707,dmID,0)),"Unmapped"))</f>
        <v/>
      </c>
      <c r="BW707" s="77">
        <f>IF($C707="","",IFERROR(INDEX(dmVintage,MATCH($C707,dmID,0)),""))</f>
        <v/>
      </c>
      <c r="BX707" s="78">
        <f>IFERROR(INDEX(dmInclude,MATCH($C707,dmID,0)),0)</f>
        <v/>
      </c>
      <c r="BY707" s="78">
        <f>IF(N($I707)&gt;0,1,0)</f>
        <v/>
      </c>
      <c r="BZ707" s="76">
        <f>IF($AJ707="","Other / Leased Fee",IFERROR(INDEX(mapPTGroup,MATCH(LEFT(TRIM($AJ707),2),mapPTCode,0)),"Other / Leased Fee"))</f>
        <v/>
      </c>
      <c r="CA707" s="76">
        <f>IF(TRIM($AF707&amp;"")="","NR",LEFT(TRIM($AF707),2))</f>
        <v/>
      </c>
      <c r="CB707" s="76">
        <f>IFERROR(LOOKUP(2,1/(LEFT(TRIM($AI707&amp;""),LEN(mapRegion))=mapRegion),mapRegion),"Not Reported")</f>
        <v/>
      </c>
      <c r="CC707" s="76">
        <f>IF($BY707=0,"",IF(TRIM($W707&amp;"")="REO","REO",IF(TRIM($W707&amp;"")="FC","Foreclosure",IF(TRIM($W707&amp;"")="90+","90+ Days Delinquent",IF(TRIM($W707&amp;"")="60","60 Days Delinquent",IF(TRIM($W707&amp;"")="30","30 Days Delinquent",IF($X707="Non-Performing Matured Balloon","Non-Performing Matured Balloon",IF(OR($X707="Late Payment But Less Than 30 Days Delinquent",LEFT($X707&amp;"",20)="Payment Not Received"),"Late / In Grace (&lt;30 Days)",IF($X707="Performing Matured Balloon","Performing Matured Balloon","Current")))))))))</f>
        <v/>
      </c>
      <c r="CD707" s="78">
        <f>IF(OR($CC707="REO",$CC707="Foreclosure",$CC707="90+ Days Delinquent",$CC707="60 Days Delinquent",$CC707="30 Days Delinquent",$CC707="Non-Performing Matured Balloon"),1,0)</f>
        <v/>
      </c>
      <c r="CE707" s="76">
        <f>IF($AB707="Currently special serv","Currently Specially Serviced",IF($AB707="Returned to master serv","Previously Specially Serviced","Never Specially Serviced"))</f>
        <v/>
      </c>
      <c r="CF707" s="78">
        <f>IF($CE707="Currently Specially Serviced",1,0)</f>
        <v/>
      </c>
      <c r="CG707" s="76">
        <f>IF($AA707="Yes","Currently on Watchlist",IF($AA707="Previously","Previously on Watchlist","Never on Watchlist"))</f>
        <v/>
      </c>
      <c r="CH707" s="78">
        <f>IF($CG707="Currently on Watchlist",1,0)</f>
        <v/>
      </c>
      <c r="CI707" s="76">
        <f>IF($Z707="Full Defeasance","Fully Defeased",IF($Z707="Portion Of Loan Previously Defeased","Partially Defeased",IF($Z707="Defeasance Not Allowable","Not Defeased (Not Permitted)","Not Defeased")))</f>
        <v/>
      </c>
      <c r="CJ707" s="78">
        <f>IF($CI707="Fully Defeased",1,0)</f>
        <v/>
      </c>
      <c r="CK707" s="76">
        <f>IF($R707="IO","Full IO",IF(LEFT($R707&amp;"",7)="IO then","Partial IO","Amortizing"))</f>
        <v/>
      </c>
      <c r="CL707" s="78">
        <f>IF($CK707="Full IO",1,0)</f>
        <v/>
      </c>
      <c r="CM707" s="78">
        <f>IF($CK707="Partial IO",1,0)</f>
        <v/>
      </c>
      <c r="CN707" s="76">
        <f>IF(LEFT($F707&amp;"",10)="SPLIT_LOAN","Pari Passu Split","Standalone")</f>
        <v/>
      </c>
      <c r="CO707" s="78">
        <f>IF($CN707="Pari Passu Split",1,0)</f>
        <v/>
      </c>
      <c r="CP707" s="77">
        <f>IF(ISNUMBER($T707),YEAR($T707),"")</f>
        <v/>
      </c>
      <c r="CQ707" s="79">
        <f>IF(ISNUMBER($V707),$V707,IF(ISNUMBER($U707),$U707,""))</f>
        <v/>
      </c>
      <c r="CR707" s="77">
        <f>IF(ISNUMBER($CQ707),YEAR($CQ707),"")</f>
        <v/>
      </c>
      <c r="CS707" s="78">
        <f>IF(ISNUMBER($M707),MAX(0,$M707),IF(TRIM($M707&amp;"")="matured",0,""))</f>
        <v/>
      </c>
      <c r="CT707" s="78">
        <f>IF(AND(ISNUMBER($CS707),N($CS707)&lt;=mMatWindow),1,0)</f>
        <v/>
      </c>
      <c r="CU707" s="80">
        <f>IF(ISNUMBER($J707),$J707/100,"")</f>
        <v/>
      </c>
      <c r="CV707" s="81">
        <f>IF(ISNUMBER($AQ707),$AQ707,"")</f>
        <v/>
      </c>
      <c r="CW707" s="81">
        <f>IF(ISNUMBER($AR707),$AR707,"")</f>
        <v/>
      </c>
      <c r="CX707" s="82">
        <f>IF(ISNUMBER($AS707),$AS707/100,"")</f>
        <v/>
      </c>
      <c r="CY707" s="82">
        <f>IF(ISNUMBER($AT707),$AT707/100,"")</f>
        <v/>
      </c>
      <c r="CZ707" s="82">
        <f>IF(ISNUMBER($AU707),$AU707/100,"")</f>
        <v/>
      </c>
      <c r="DA707" s="82">
        <f>IF(ISNUMBER($AV707),$AV707/100,"")</f>
        <v/>
      </c>
      <c r="DB707" s="82">
        <f>IF(ISNUMBER($AW707),$AW707/100,"")</f>
        <v/>
      </c>
      <c r="DC707" s="82">
        <f>IF(ISNUMBER($AX707),$AX707/100,"")</f>
        <v/>
      </c>
      <c r="DD707" s="77">
        <f>IFERROR(VALUE(LEFT(TRIM($AO707&amp;""),4)),"")</f>
        <v/>
      </c>
      <c r="DE707" s="78">
        <f>IF(AND($BY707=1,$BX707=1,OR(fDeal="All Deals",$BU707=fDeal),OR(fEntity="All Entities",$BV707=fEntity),OR(fPType="All Property Types",$BZ707=fPType),OR(fDefeased="Include",$CJ707=0)),1,0)</f>
        <v/>
      </c>
      <c r="DF707" s="83">
        <f>$DE707*N($I707)</f>
        <v/>
      </c>
      <c r="DG707" s="78">
        <f>IF($DE707=1,IF(COUNTIFS($F$8:$F707,$F707,$DE$8:$DE707,1)=1,1,0),0)</f>
        <v/>
      </c>
      <c r="DH707" s="83">
        <f>IF($DG707=1,SUMIFS($DF$8:$DF$1600,$F$8:$F$1600,$F707),0)</f>
        <v/>
      </c>
      <c r="DI707" s="78">
        <f>IF($DG707=1,COUNTIFS($F$8:$F$1600,$F707,$DE$8:$DE$1600,1),0)</f>
        <v/>
      </c>
      <c r="DJ707" s="84">
        <f>IF($DG707=1,$DH707+(100000-ROW())/mTieBreak,0)</f>
        <v/>
      </c>
    </row>
    <row r="708">
      <c r="B708" s="68" t="n">
        <v>33</v>
      </c>
      <c r="C708" s="69" t="inlineStr">
        <is>
          <t>UBS19C16</t>
        </is>
      </c>
      <c r="D708" s="69" t="inlineStr">
        <is>
          <t>33.000</t>
        </is>
      </c>
      <c r="E708" s="69" t="inlineStr">
        <is>
          <t>Bella Vista Village Apartments</t>
        </is>
      </c>
      <c r="F708" s="69" t="inlineStr">
        <is>
          <t>LNUBS19C16-33.000</t>
        </is>
      </c>
      <c r="G708" s="70" t="n"/>
      <c r="H708" s="71" t="n">
        <v>7500000</v>
      </c>
      <c r="I708" s="71" t="n">
        <v>6636133.9599975</v>
      </c>
      <c r="J708" s="72" t="n">
        <v>5.45</v>
      </c>
      <c r="K708" s="69" t="inlineStr">
        <is>
          <t>Fixed rate</t>
        </is>
      </c>
      <c r="L708" s="68" t="n">
        <v>120</v>
      </c>
      <c r="M708" s="68" t="n">
        <v>30</v>
      </c>
      <c r="N708" s="68" t="n">
        <v>360</v>
      </c>
      <c r="O708" s="68" t="n"/>
      <c r="P708" s="68" t="n"/>
      <c r="Q708" s="68" t="n">
        <v>90</v>
      </c>
      <c r="R708" s="69" t="n"/>
      <c r="S708" s="69" t="inlineStr">
        <is>
          <t>No</t>
        </is>
      </c>
      <c r="T708" s="73" t="n">
        <v>43525</v>
      </c>
      <c r="U708" s="73" t="n">
        <v>47183</v>
      </c>
      <c r="V708" s="73" t="n"/>
      <c r="W708" s="69" t="n"/>
      <c r="X708" s="69" t="inlineStr">
        <is>
          <t>Current</t>
        </is>
      </c>
      <c r="Y708" s="68" t="n"/>
      <c r="Z708" s="69" t="inlineStr">
        <is>
          <t>Defeasance Not Allowable</t>
        </is>
      </c>
      <c r="AA708" s="69" t="inlineStr">
        <is>
          <t>Previously</t>
        </is>
      </c>
      <c r="AB708" s="69" t="inlineStr">
        <is>
          <t>Never special serv</t>
        </is>
      </c>
      <c r="AC708" s="73" t="n"/>
      <c r="AD708" s="69" t="n"/>
      <c r="AE708" s="69" t="n"/>
      <c r="AF708" s="69" t="inlineStr">
        <is>
          <t>FL</t>
        </is>
      </c>
      <c r="AG708" s="69" t="inlineStr">
        <is>
          <t>Gainesville</t>
        </is>
      </c>
      <c r="AH708" s="69" t="inlineStr">
        <is>
          <t>Gainesville, FL</t>
        </is>
      </c>
      <c r="AI708" s="69" t="inlineStr">
        <is>
          <t>South / Atlantic</t>
        </is>
      </c>
      <c r="AJ708" s="69" t="inlineStr">
        <is>
          <t>MF</t>
        </is>
      </c>
      <c r="AK708" s="69" t="inlineStr">
        <is>
          <t>Garden</t>
        </is>
      </c>
      <c r="AL708" s="68" t="n">
        <v>1</v>
      </c>
      <c r="AM708" s="68" t="n">
        <v>284</v>
      </c>
      <c r="AN708" s="68" t="n"/>
      <c r="AO708" s="69" t="inlineStr">
        <is>
          <t>1977</t>
        </is>
      </c>
      <c r="AP708" s="70" t="n">
        <v>1977</v>
      </c>
      <c r="AQ708" s="74" t="n">
        <v>1.93</v>
      </c>
      <c r="AR708" s="74" t="n">
        <v>1.71</v>
      </c>
      <c r="AS708" s="74" t="n">
        <v>57.5</v>
      </c>
      <c r="AT708" s="74" t="n">
        <v>50.97</v>
      </c>
      <c r="AU708" s="74" t="n">
        <v>48.1</v>
      </c>
      <c r="AV708" s="74" t="n">
        <v>13.063132</v>
      </c>
      <c r="AW708" s="74" t="n">
        <v>13.089262894</v>
      </c>
      <c r="AX708" s="75" t="n">
        <v>93</v>
      </c>
      <c r="AY708" s="71" t="n">
        <v>13020000</v>
      </c>
      <c r="AZ708" s="71" t="n">
        <v>13020000</v>
      </c>
      <c r="BA708" s="71" t="n">
        <v>979734.9</v>
      </c>
      <c r="BB708" s="71" t="n">
        <v>868621.02</v>
      </c>
      <c r="BC708" s="69" t="inlineStr">
        <is>
          <t>Refinance</t>
        </is>
      </c>
      <c r="BD708" s="69" t="inlineStr">
        <is>
          <t>N</t>
        </is>
      </c>
      <c r="BE708" s="71" t="n"/>
      <c r="BF708" s="71" t="n"/>
      <c r="BG708" s="71" t="n"/>
      <c r="BH708" s="71" t="n">
        <v>0</v>
      </c>
      <c r="BI708" s="71" t="n">
        <v>0</v>
      </c>
      <c r="BJ708" s="69" t="inlineStr">
        <is>
          <t>N</t>
        </is>
      </c>
      <c r="BK708" s="69" t="inlineStr">
        <is>
          <t>Unknown</t>
        </is>
      </c>
      <c r="BL708" s="75" t="n">
        <v>100</v>
      </c>
      <c r="BM708" s="73" t="n"/>
      <c r="BN708" s="69" t="inlineStr">
        <is>
          <t>Englantina Gega</t>
        </is>
      </c>
      <c r="BO708" s="69" t="inlineStr">
        <is>
          <t>UBS</t>
        </is>
      </c>
      <c r="BP708" s="69" t="inlineStr">
        <is>
          <t>Midland Loan Services</t>
        </is>
      </c>
      <c r="BQ708" s="69" t="inlineStr">
        <is>
          <t>Midland Loan Services</t>
        </is>
      </c>
      <c r="BR708" s="69" t="n"/>
      <c r="BS708" s="73" t="n">
        <v>46276</v>
      </c>
      <c r="BU708" s="76">
        <f>IF($C708="","",IFERROR(INDEX(dmName,MATCH($C708,dmID,0)),"Unmapped"))</f>
        <v/>
      </c>
      <c r="BV708" s="76">
        <f>IF($C708="","",IFERROR(INDEX(dmEntity,MATCH($C708,dmID,0)),"Unmapped"))</f>
        <v/>
      </c>
      <c r="BW708" s="77">
        <f>IF($C708="","",IFERROR(INDEX(dmVintage,MATCH($C708,dmID,0)),""))</f>
        <v/>
      </c>
      <c r="BX708" s="78">
        <f>IFERROR(INDEX(dmInclude,MATCH($C708,dmID,0)),0)</f>
        <v/>
      </c>
      <c r="BY708" s="78">
        <f>IF(N($I708)&gt;0,1,0)</f>
        <v/>
      </c>
      <c r="BZ708" s="76">
        <f>IF($AJ708="","Other / Leased Fee",IFERROR(INDEX(mapPTGroup,MATCH(LEFT(TRIM($AJ708),2),mapPTCode,0)),"Other / Leased Fee"))</f>
        <v/>
      </c>
      <c r="CA708" s="76">
        <f>IF(TRIM($AF708&amp;"")="","NR",LEFT(TRIM($AF708),2))</f>
        <v/>
      </c>
      <c r="CB708" s="76">
        <f>IFERROR(LOOKUP(2,1/(LEFT(TRIM($AI708&amp;""),LEN(mapRegion))=mapRegion),mapRegion),"Not Reported")</f>
        <v/>
      </c>
      <c r="CC708" s="76">
        <f>IF($BY708=0,"",IF(TRIM($W708&amp;"")="REO","REO",IF(TRIM($W708&amp;"")="FC","Foreclosure",IF(TRIM($W708&amp;"")="90+","90+ Days Delinquent",IF(TRIM($W708&amp;"")="60","60 Days Delinquent",IF(TRIM($W708&amp;"")="30","30 Days Delinquent",IF($X708="Non-Performing Matured Balloon","Non-Performing Matured Balloon",IF(OR($X708="Late Payment But Less Than 30 Days Delinquent",LEFT($X708&amp;"",20)="Payment Not Received"),"Late / In Grace (&lt;30 Days)",IF($X708="Performing Matured Balloon","Performing Matured Balloon","Current")))))))))</f>
        <v/>
      </c>
      <c r="CD708" s="78">
        <f>IF(OR($CC708="REO",$CC708="Foreclosure",$CC708="90+ Days Delinquent",$CC708="60 Days Delinquent",$CC708="30 Days Delinquent",$CC708="Non-Performing Matured Balloon"),1,0)</f>
        <v/>
      </c>
      <c r="CE708" s="76">
        <f>IF($AB708="Currently special serv","Currently Specially Serviced",IF($AB708="Returned to master serv","Previously Specially Serviced","Never Specially Serviced"))</f>
        <v/>
      </c>
      <c r="CF708" s="78">
        <f>IF($CE708="Currently Specially Serviced",1,0)</f>
        <v/>
      </c>
      <c r="CG708" s="76">
        <f>IF($AA708="Yes","Currently on Watchlist",IF($AA708="Previously","Previously on Watchlist","Never on Watchlist"))</f>
        <v/>
      </c>
      <c r="CH708" s="78">
        <f>IF($CG708="Currently on Watchlist",1,0)</f>
        <v/>
      </c>
      <c r="CI708" s="76">
        <f>IF($Z708="Full Defeasance","Fully Defeased",IF($Z708="Portion Of Loan Previously Defeased","Partially Defeased",IF($Z708="Defeasance Not Allowable","Not Defeased (Not Permitted)","Not Defeased")))</f>
        <v/>
      </c>
      <c r="CJ708" s="78">
        <f>IF($CI708="Fully Defeased",1,0)</f>
        <v/>
      </c>
      <c r="CK708" s="76">
        <f>IF($R708="IO","Full IO",IF(LEFT($R708&amp;"",7)="IO then","Partial IO","Amortizing"))</f>
        <v/>
      </c>
      <c r="CL708" s="78">
        <f>IF($CK708="Full IO",1,0)</f>
        <v/>
      </c>
      <c r="CM708" s="78">
        <f>IF($CK708="Partial IO",1,0)</f>
        <v/>
      </c>
      <c r="CN708" s="76">
        <f>IF(LEFT($F708&amp;"",10)="SPLIT_LOAN","Pari Passu Split","Standalone")</f>
        <v/>
      </c>
      <c r="CO708" s="78">
        <f>IF($CN708="Pari Passu Split",1,0)</f>
        <v/>
      </c>
      <c r="CP708" s="77">
        <f>IF(ISNUMBER($T708),YEAR($T708),"")</f>
        <v/>
      </c>
      <c r="CQ708" s="79">
        <f>IF(ISNUMBER($V708),$V708,IF(ISNUMBER($U708),$U708,""))</f>
        <v/>
      </c>
      <c r="CR708" s="77">
        <f>IF(ISNUMBER($CQ708),YEAR($CQ708),"")</f>
        <v/>
      </c>
      <c r="CS708" s="78">
        <f>IF(ISNUMBER($M708),MAX(0,$M708),IF(TRIM($M708&amp;"")="matured",0,""))</f>
        <v/>
      </c>
      <c r="CT708" s="78">
        <f>IF(AND(ISNUMBER($CS708),N($CS708)&lt;=mMatWindow),1,0)</f>
        <v/>
      </c>
      <c r="CU708" s="80">
        <f>IF(ISNUMBER($J708),$J708/100,"")</f>
        <v/>
      </c>
      <c r="CV708" s="81">
        <f>IF(ISNUMBER($AQ708),$AQ708,"")</f>
        <v/>
      </c>
      <c r="CW708" s="81">
        <f>IF(ISNUMBER($AR708),$AR708,"")</f>
        <v/>
      </c>
      <c r="CX708" s="82">
        <f>IF(ISNUMBER($AS708),$AS708/100,"")</f>
        <v/>
      </c>
      <c r="CY708" s="82">
        <f>IF(ISNUMBER($AT708),$AT708/100,"")</f>
        <v/>
      </c>
      <c r="CZ708" s="82">
        <f>IF(ISNUMBER($AU708),$AU708/100,"")</f>
        <v/>
      </c>
      <c r="DA708" s="82">
        <f>IF(ISNUMBER($AV708),$AV708/100,"")</f>
        <v/>
      </c>
      <c r="DB708" s="82">
        <f>IF(ISNUMBER($AW708),$AW708/100,"")</f>
        <v/>
      </c>
      <c r="DC708" s="82">
        <f>IF(ISNUMBER($AX708),$AX708/100,"")</f>
        <v/>
      </c>
      <c r="DD708" s="77">
        <f>IFERROR(VALUE(LEFT(TRIM($AO708&amp;""),4)),"")</f>
        <v/>
      </c>
      <c r="DE708" s="78">
        <f>IF(AND($BY708=1,$BX708=1,OR(fDeal="All Deals",$BU708=fDeal),OR(fEntity="All Entities",$BV708=fEntity),OR(fPType="All Property Types",$BZ708=fPType),OR(fDefeased="Include",$CJ708=0)),1,0)</f>
        <v/>
      </c>
      <c r="DF708" s="83">
        <f>$DE708*N($I708)</f>
        <v/>
      </c>
      <c r="DG708" s="78">
        <f>IF($DE708=1,IF(COUNTIFS($F$8:$F708,$F708,$DE$8:$DE708,1)=1,1,0),0)</f>
        <v/>
      </c>
      <c r="DH708" s="83">
        <f>IF($DG708=1,SUMIFS($DF$8:$DF$1600,$F$8:$F$1600,$F708),0)</f>
        <v/>
      </c>
      <c r="DI708" s="78">
        <f>IF($DG708=1,COUNTIFS($F$8:$F$1600,$F708,$DE$8:$DE$1600,1),0)</f>
        <v/>
      </c>
      <c r="DJ708" s="84">
        <f>IF($DG708=1,$DH708+(100000-ROW())/mTieBreak,0)</f>
        <v/>
      </c>
    </row>
    <row r="709">
      <c r="B709" s="68" t="n">
        <v>34</v>
      </c>
      <c r="C709" s="69" t="inlineStr">
        <is>
          <t>UBS19C16</t>
        </is>
      </c>
      <c r="D709" s="69" t="inlineStr">
        <is>
          <t>34.000</t>
        </is>
      </c>
      <c r="E709" s="69" t="inlineStr">
        <is>
          <t>Radisson Fort Worth North</t>
        </is>
      </c>
      <c r="F709" s="69" t="inlineStr">
        <is>
          <t>LNUBS19C16-34.000</t>
        </is>
      </c>
      <c r="G709" s="70" t="n"/>
      <c r="H709" s="71" t="n">
        <v>7300000</v>
      </c>
      <c r="I709" s="71" t="n">
        <v>6148385.989997202</v>
      </c>
      <c r="J709" s="72" t="n">
        <v>6.022</v>
      </c>
      <c r="K709" s="69" t="inlineStr">
        <is>
          <t>Fixed rate</t>
        </is>
      </c>
      <c r="L709" s="68" t="n">
        <v>120</v>
      </c>
      <c r="M709" s="68" t="n">
        <v>29</v>
      </c>
      <c r="N709" s="68" t="n">
        <v>300</v>
      </c>
      <c r="O709" s="68" t="n"/>
      <c r="P709" s="68" t="n"/>
      <c r="Q709" s="68" t="n">
        <v>91</v>
      </c>
      <c r="R709" s="69" t="n"/>
      <c r="S709" s="69" t="inlineStr">
        <is>
          <t>No</t>
        </is>
      </c>
      <c r="T709" s="73" t="n">
        <v>43497</v>
      </c>
      <c r="U709" s="73" t="n">
        <v>47155</v>
      </c>
      <c r="V709" s="73" t="n"/>
      <c r="W709" s="69" t="n"/>
      <c r="X709" s="69" t="inlineStr">
        <is>
          <t>Current</t>
        </is>
      </c>
      <c r="Y709" s="68" t="n"/>
      <c r="Z709" s="69" t="inlineStr">
        <is>
          <t>No Defeasance Occurred</t>
        </is>
      </c>
      <c r="AA709" s="69" t="inlineStr">
        <is>
          <t>Previously</t>
        </is>
      </c>
      <c r="AB709" s="69" t="inlineStr">
        <is>
          <t>Currently special serv</t>
        </is>
      </c>
      <c r="AC709" s="73" t="n">
        <v>46254</v>
      </c>
      <c r="AD709" s="69" t="inlineStr">
        <is>
          <t>Imminent Monetary Default (excluding Balloon/Maturity Default &amp; Single Tenant Bankruptcy/Vacate)</t>
        </is>
      </c>
      <c r="AE709" s="69" t="inlineStr">
        <is>
          <t>TBD</t>
        </is>
      </c>
      <c r="AF709" s="69" t="inlineStr">
        <is>
          <t>TX</t>
        </is>
      </c>
      <c r="AG709" s="69" t="inlineStr">
        <is>
          <t>Fort Worth</t>
        </is>
      </c>
      <c r="AH709" s="69" t="inlineStr">
        <is>
          <t>Dallas-Fort Worth-Arlington, TX</t>
        </is>
      </c>
      <c r="AI709" s="69" t="inlineStr">
        <is>
          <t>South / Central West</t>
        </is>
      </c>
      <c r="AJ709" s="69" t="inlineStr">
        <is>
          <t>HT</t>
        </is>
      </c>
      <c r="AK709" s="69" t="inlineStr">
        <is>
          <t>Full Service</t>
        </is>
      </c>
      <c r="AL709" s="68" t="n">
        <v>1</v>
      </c>
      <c r="AM709" s="68" t="n">
        <v>247</v>
      </c>
      <c r="AN709" s="68" t="n"/>
      <c r="AO709" s="69" t="inlineStr">
        <is>
          <t>1985</t>
        </is>
      </c>
      <c r="AP709" s="70" t="n">
        <v>2018</v>
      </c>
      <c r="AQ709" s="74" t="n">
        <v>1.98</v>
      </c>
      <c r="AR709" s="74" t="n">
        <v>-0.17</v>
      </c>
      <c r="AS709" s="74" t="n">
        <v>42.6</v>
      </c>
      <c r="AT709" s="74" t="n">
        <v>35.96</v>
      </c>
      <c r="AU709" s="74" t="n">
        <v>33.1</v>
      </c>
      <c r="AV709" s="74" t="n">
        <v>15.311675616</v>
      </c>
      <c r="AW709" s="74" t="n">
        <v>-1.547481732</v>
      </c>
      <c r="AX709" s="75" t="n">
        <v>40</v>
      </c>
      <c r="AY709" s="71" t="n">
        <v>17100000</v>
      </c>
      <c r="AZ709" s="71" t="n">
        <v>17100000</v>
      </c>
      <c r="BA709" s="71" t="n">
        <v>1117752.32</v>
      </c>
      <c r="BB709" s="71" t="n">
        <v>-95145.14999999999</v>
      </c>
      <c r="BC709" s="69" t="inlineStr">
        <is>
          <t>Refinance</t>
        </is>
      </c>
      <c r="BD709" s="69" t="inlineStr">
        <is>
          <t>N</t>
        </is>
      </c>
      <c r="BE709" s="71" t="n"/>
      <c r="BF709" s="71" t="n"/>
      <c r="BG709" s="71" t="n"/>
      <c r="BH709" s="71" t="n">
        <v>0</v>
      </c>
      <c r="BI709" s="71" t="n">
        <v>0</v>
      </c>
      <c r="BJ709" s="69" t="inlineStr">
        <is>
          <t>N</t>
        </is>
      </c>
      <c r="BK709" s="69" t="n"/>
      <c r="BL709" s="75" t="n"/>
      <c r="BM709" s="73" t="n"/>
      <c r="BN709" s="69" t="inlineStr">
        <is>
          <t>Terry Tognazzini; Patricia Tognazzini</t>
        </is>
      </c>
      <c r="BO709" s="69" t="inlineStr">
        <is>
          <t>Ladder Capital Finance</t>
        </is>
      </c>
      <c r="BP709" s="69" t="inlineStr">
        <is>
          <t>Midland Loan Services</t>
        </is>
      </c>
      <c r="BQ709" s="69" t="inlineStr">
        <is>
          <t>Midland Loan Services</t>
        </is>
      </c>
      <c r="BR709" s="69" t="n"/>
      <c r="BS709" s="73" t="n">
        <v>46276</v>
      </c>
      <c r="BU709" s="76">
        <f>IF($C709="","",IFERROR(INDEX(dmName,MATCH($C709,dmID,0)),"Unmapped"))</f>
        <v/>
      </c>
      <c r="BV709" s="76">
        <f>IF($C709="","",IFERROR(INDEX(dmEntity,MATCH($C709,dmID,0)),"Unmapped"))</f>
        <v/>
      </c>
      <c r="BW709" s="77">
        <f>IF($C709="","",IFERROR(INDEX(dmVintage,MATCH($C709,dmID,0)),""))</f>
        <v/>
      </c>
      <c r="BX709" s="78">
        <f>IFERROR(INDEX(dmInclude,MATCH($C709,dmID,0)),0)</f>
        <v/>
      </c>
      <c r="BY709" s="78">
        <f>IF(N($I709)&gt;0,1,0)</f>
        <v/>
      </c>
      <c r="BZ709" s="76">
        <f>IF($AJ709="","Other / Leased Fee",IFERROR(INDEX(mapPTGroup,MATCH(LEFT(TRIM($AJ709),2),mapPTCode,0)),"Other / Leased Fee"))</f>
        <v/>
      </c>
      <c r="CA709" s="76">
        <f>IF(TRIM($AF709&amp;"")="","NR",LEFT(TRIM($AF709),2))</f>
        <v/>
      </c>
      <c r="CB709" s="76">
        <f>IFERROR(LOOKUP(2,1/(LEFT(TRIM($AI709&amp;""),LEN(mapRegion))=mapRegion),mapRegion),"Not Reported")</f>
        <v/>
      </c>
      <c r="CC709" s="76">
        <f>IF($BY709=0,"",IF(TRIM($W709&amp;"")="REO","REO",IF(TRIM($W709&amp;"")="FC","Foreclosure",IF(TRIM($W709&amp;"")="90+","90+ Days Delinquent",IF(TRIM($W709&amp;"")="60","60 Days Delinquent",IF(TRIM($W709&amp;"")="30","30 Days Delinquent",IF($X709="Non-Performing Matured Balloon","Non-Performing Matured Balloon",IF(OR($X709="Late Payment But Less Than 30 Days Delinquent",LEFT($X709&amp;"",20)="Payment Not Received"),"Late / In Grace (&lt;30 Days)",IF($X709="Performing Matured Balloon","Performing Matured Balloon","Current")))))))))</f>
        <v/>
      </c>
      <c r="CD709" s="78">
        <f>IF(OR($CC709="REO",$CC709="Foreclosure",$CC709="90+ Days Delinquent",$CC709="60 Days Delinquent",$CC709="30 Days Delinquent",$CC709="Non-Performing Matured Balloon"),1,0)</f>
        <v/>
      </c>
      <c r="CE709" s="76">
        <f>IF($AB709="Currently special serv","Currently Specially Serviced",IF($AB709="Returned to master serv","Previously Specially Serviced","Never Specially Serviced"))</f>
        <v/>
      </c>
      <c r="CF709" s="78">
        <f>IF($CE709="Currently Specially Serviced",1,0)</f>
        <v/>
      </c>
      <c r="CG709" s="76">
        <f>IF($AA709="Yes","Currently on Watchlist",IF($AA709="Previously","Previously on Watchlist","Never on Watchlist"))</f>
        <v/>
      </c>
      <c r="CH709" s="78">
        <f>IF($CG709="Currently on Watchlist",1,0)</f>
        <v/>
      </c>
      <c r="CI709" s="76">
        <f>IF($Z709="Full Defeasance","Fully Defeased",IF($Z709="Portion Of Loan Previously Defeased","Partially Defeased",IF($Z709="Defeasance Not Allowable","Not Defeased (Not Permitted)","Not Defeased")))</f>
        <v/>
      </c>
      <c r="CJ709" s="78">
        <f>IF($CI709="Fully Defeased",1,0)</f>
        <v/>
      </c>
      <c r="CK709" s="76">
        <f>IF($R709="IO","Full IO",IF(LEFT($R709&amp;"",7)="IO then","Partial IO","Amortizing"))</f>
        <v/>
      </c>
      <c r="CL709" s="78">
        <f>IF($CK709="Full IO",1,0)</f>
        <v/>
      </c>
      <c r="CM709" s="78">
        <f>IF($CK709="Partial IO",1,0)</f>
        <v/>
      </c>
      <c r="CN709" s="76">
        <f>IF(LEFT($F709&amp;"",10)="SPLIT_LOAN","Pari Passu Split","Standalone")</f>
        <v/>
      </c>
      <c r="CO709" s="78">
        <f>IF($CN709="Pari Passu Split",1,0)</f>
        <v/>
      </c>
      <c r="CP709" s="77">
        <f>IF(ISNUMBER($T709),YEAR($T709),"")</f>
        <v/>
      </c>
      <c r="CQ709" s="79">
        <f>IF(ISNUMBER($V709),$V709,IF(ISNUMBER($U709),$U709,""))</f>
        <v/>
      </c>
      <c r="CR709" s="77">
        <f>IF(ISNUMBER($CQ709),YEAR($CQ709),"")</f>
        <v/>
      </c>
      <c r="CS709" s="78">
        <f>IF(ISNUMBER($M709),MAX(0,$M709),IF(TRIM($M709&amp;"")="matured",0,""))</f>
        <v/>
      </c>
      <c r="CT709" s="78">
        <f>IF(AND(ISNUMBER($CS709),N($CS709)&lt;=mMatWindow),1,0)</f>
        <v/>
      </c>
      <c r="CU709" s="80">
        <f>IF(ISNUMBER($J709),$J709/100,"")</f>
        <v/>
      </c>
      <c r="CV709" s="81">
        <f>IF(ISNUMBER($AQ709),$AQ709,"")</f>
        <v/>
      </c>
      <c r="CW709" s="81">
        <f>IF(ISNUMBER($AR709),$AR709,"")</f>
        <v/>
      </c>
      <c r="CX709" s="82">
        <f>IF(ISNUMBER($AS709),$AS709/100,"")</f>
        <v/>
      </c>
      <c r="CY709" s="82">
        <f>IF(ISNUMBER($AT709),$AT709/100,"")</f>
        <v/>
      </c>
      <c r="CZ709" s="82">
        <f>IF(ISNUMBER($AU709),$AU709/100,"")</f>
        <v/>
      </c>
      <c r="DA709" s="82">
        <f>IF(ISNUMBER($AV709),$AV709/100,"")</f>
        <v/>
      </c>
      <c r="DB709" s="82">
        <f>IF(ISNUMBER($AW709),$AW709/100,"")</f>
        <v/>
      </c>
      <c r="DC709" s="82">
        <f>IF(ISNUMBER($AX709),$AX709/100,"")</f>
        <v/>
      </c>
      <c r="DD709" s="77">
        <f>IFERROR(VALUE(LEFT(TRIM($AO709&amp;""),4)),"")</f>
        <v/>
      </c>
      <c r="DE709" s="78">
        <f>IF(AND($BY709=1,$BX709=1,OR(fDeal="All Deals",$BU709=fDeal),OR(fEntity="All Entities",$BV709=fEntity),OR(fPType="All Property Types",$BZ709=fPType),OR(fDefeased="Include",$CJ709=0)),1,0)</f>
        <v/>
      </c>
      <c r="DF709" s="83">
        <f>$DE709*N($I709)</f>
        <v/>
      </c>
      <c r="DG709" s="78">
        <f>IF($DE709=1,IF(COUNTIFS($F$8:$F709,$F709,$DE$8:$DE709,1)=1,1,0),0)</f>
        <v/>
      </c>
      <c r="DH709" s="83">
        <f>IF($DG709=1,SUMIFS($DF$8:$DF$1600,$F$8:$F$1600,$F709),0)</f>
        <v/>
      </c>
      <c r="DI709" s="78">
        <f>IF($DG709=1,COUNTIFS($F$8:$F$1600,$F709,$DE$8:$DE$1600,1),0)</f>
        <v/>
      </c>
      <c r="DJ709" s="84">
        <f>IF($DG709=1,$DH709+(100000-ROW())/mTieBreak,0)</f>
        <v/>
      </c>
    </row>
    <row r="710">
      <c r="B710" s="68" t="n">
        <v>35</v>
      </c>
      <c r="C710" s="69" t="inlineStr">
        <is>
          <t>UBS19C16</t>
        </is>
      </c>
      <c r="D710" s="69" t="inlineStr">
        <is>
          <t>35.000</t>
        </is>
      </c>
      <c r="E710" s="69" t="inlineStr">
        <is>
          <t>Crile Crossing</t>
        </is>
      </c>
      <c r="F710" s="69" t="inlineStr">
        <is>
          <t>LNUBS19C16-35.000</t>
        </is>
      </c>
      <c r="G710" s="70" t="n"/>
      <c r="H710" s="71" t="n">
        <v>7000000</v>
      </c>
      <c r="I710" s="71" t="n">
        <v>6431805.66</v>
      </c>
      <c r="J710" s="72" t="n">
        <v>5.35</v>
      </c>
      <c r="K710" s="69" t="inlineStr">
        <is>
          <t>Fixed rate</t>
        </is>
      </c>
      <c r="L710" s="68" t="n">
        <v>120</v>
      </c>
      <c r="M710" s="68" t="n">
        <v>30</v>
      </c>
      <c r="N710" s="68" t="n">
        <v>384</v>
      </c>
      <c r="O710" s="68" t="n">
        <v>24</v>
      </c>
      <c r="P710" s="68" t="n">
        <v>0</v>
      </c>
      <c r="Q710" s="68" t="n">
        <v>90</v>
      </c>
      <c r="R710" s="69" t="inlineStr">
        <is>
          <t>IO then Amort</t>
        </is>
      </c>
      <c r="S710" s="69" t="inlineStr">
        <is>
          <t>No</t>
        </is>
      </c>
      <c r="T710" s="73" t="n">
        <v>43525</v>
      </c>
      <c r="U710" s="73" t="n">
        <v>47183</v>
      </c>
      <c r="V710" s="73" t="n"/>
      <c r="W710" s="69" t="n"/>
      <c r="X710" s="69" t="inlineStr">
        <is>
          <t>Current</t>
        </is>
      </c>
      <c r="Y710" s="68" t="n"/>
      <c r="Z710" s="69" t="inlineStr">
        <is>
          <t>No Defeasance Occurred</t>
        </is>
      </c>
      <c r="AA710" s="69" t="inlineStr">
        <is>
          <t>Previously</t>
        </is>
      </c>
      <c r="AB710" s="69" t="inlineStr">
        <is>
          <t>Never special serv</t>
        </is>
      </c>
      <c r="AC710" s="73" t="n"/>
      <c r="AD710" s="69" t="n"/>
      <c r="AE710" s="69" t="n"/>
      <c r="AF710" s="69" t="inlineStr">
        <is>
          <t>OH</t>
        </is>
      </c>
      <c r="AG710" s="69" t="inlineStr">
        <is>
          <t>Concord Township</t>
        </is>
      </c>
      <c r="AH710" s="69" t="inlineStr">
        <is>
          <t>Cleveland, OH</t>
        </is>
      </c>
      <c r="AI710" s="69" t="inlineStr">
        <is>
          <t>Midwest / Central East</t>
        </is>
      </c>
      <c r="AJ710" s="69" t="inlineStr">
        <is>
          <t>RT</t>
        </is>
      </c>
      <c r="AK710" s="69" t="inlineStr">
        <is>
          <t>Unanchored</t>
        </is>
      </c>
      <c r="AL710" s="68" t="n">
        <v>1</v>
      </c>
      <c r="AM710" s="68" t="n"/>
      <c r="AN710" s="68" t="n">
        <v>28416</v>
      </c>
      <c r="AO710" s="69" t="inlineStr">
        <is>
          <t>2017</t>
        </is>
      </c>
      <c r="AP710" s="70" t="n">
        <v>2017</v>
      </c>
      <c r="AQ710" s="74" t="n">
        <v>1.6</v>
      </c>
      <c r="AR710" s="74" t="n">
        <v>1.31</v>
      </c>
      <c r="AS710" s="74" t="n">
        <v>68.59999999999999</v>
      </c>
      <c r="AT710" s="74" t="n">
        <v>63.06</v>
      </c>
      <c r="AU710" s="74" t="n">
        <v>59.9</v>
      </c>
      <c r="AV710" s="74" t="n">
        <v>8.691736000000001</v>
      </c>
      <c r="AW710" s="74" t="n">
        <v>10.749164489</v>
      </c>
      <c r="AX710" s="75" t="n">
        <v>89</v>
      </c>
      <c r="AY710" s="71" t="n">
        <v>10200000</v>
      </c>
      <c r="AZ710" s="71" t="n">
        <v>10200000</v>
      </c>
      <c r="BA710" s="71" t="n">
        <v>608421.52</v>
      </c>
      <c r="BB710" s="71" t="n">
        <v>612607.77</v>
      </c>
      <c r="BC710" s="69" t="inlineStr">
        <is>
          <t>Refinance</t>
        </is>
      </c>
      <c r="BD710" s="69" t="inlineStr">
        <is>
          <t>Y</t>
        </is>
      </c>
      <c r="BE710" s="71" t="n"/>
      <c r="BF710" s="71" t="n"/>
      <c r="BG710" s="71" t="n"/>
      <c r="BH710" s="71" t="n">
        <v>0</v>
      </c>
      <c r="BI710" s="71" t="n">
        <v>0</v>
      </c>
      <c r="BJ710" s="69" t="inlineStr">
        <is>
          <t>N</t>
        </is>
      </c>
      <c r="BK710" s="69" t="inlineStr">
        <is>
          <t>B2B CONCORD LLC</t>
        </is>
      </c>
      <c r="BL710" s="75" t="n">
        <v>14.08</v>
      </c>
      <c r="BM710" s="73" t="n">
        <v>50374</v>
      </c>
      <c r="BN710" s="69" t="inlineStr">
        <is>
          <t>Lance F. Osborne; Robert A. Ranallo</t>
        </is>
      </c>
      <c r="BO710" s="69" t="inlineStr">
        <is>
          <t>Ladder Capital Finance</t>
        </is>
      </c>
      <c r="BP710" s="69" t="inlineStr">
        <is>
          <t>Midland Loan Services</t>
        </is>
      </c>
      <c r="BQ710" s="69" t="inlineStr">
        <is>
          <t>Midland Loan Services</t>
        </is>
      </c>
      <c r="BR710" s="69" t="n"/>
      <c r="BS710" s="73" t="n">
        <v>46276</v>
      </c>
      <c r="BU710" s="76">
        <f>IF($C710="","",IFERROR(INDEX(dmName,MATCH($C710,dmID,0)),"Unmapped"))</f>
        <v/>
      </c>
      <c r="BV710" s="76">
        <f>IF($C710="","",IFERROR(INDEX(dmEntity,MATCH($C710,dmID,0)),"Unmapped"))</f>
        <v/>
      </c>
      <c r="BW710" s="77">
        <f>IF($C710="","",IFERROR(INDEX(dmVintage,MATCH($C710,dmID,0)),""))</f>
        <v/>
      </c>
      <c r="BX710" s="78">
        <f>IFERROR(INDEX(dmInclude,MATCH($C710,dmID,0)),0)</f>
        <v/>
      </c>
      <c r="BY710" s="78">
        <f>IF(N($I710)&gt;0,1,0)</f>
        <v/>
      </c>
      <c r="BZ710" s="76">
        <f>IF($AJ710="","Other / Leased Fee",IFERROR(INDEX(mapPTGroup,MATCH(LEFT(TRIM($AJ710),2),mapPTCode,0)),"Other / Leased Fee"))</f>
        <v/>
      </c>
      <c r="CA710" s="76">
        <f>IF(TRIM($AF710&amp;"")="","NR",LEFT(TRIM($AF710),2))</f>
        <v/>
      </c>
      <c r="CB710" s="76">
        <f>IFERROR(LOOKUP(2,1/(LEFT(TRIM($AI710&amp;""),LEN(mapRegion))=mapRegion),mapRegion),"Not Reported")</f>
        <v/>
      </c>
      <c r="CC710" s="76">
        <f>IF($BY710=0,"",IF(TRIM($W710&amp;"")="REO","REO",IF(TRIM($W710&amp;"")="FC","Foreclosure",IF(TRIM($W710&amp;"")="90+","90+ Days Delinquent",IF(TRIM($W710&amp;"")="60","60 Days Delinquent",IF(TRIM($W710&amp;"")="30","30 Days Delinquent",IF($X710="Non-Performing Matured Balloon","Non-Performing Matured Balloon",IF(OR($X710="Late Payment But Less Than 30 Days Delinquent",LEFT($X710&amp;"",20)="Payment Not Received"),"Late / In Grace (&lt;30 Days)",IF($X710="Performing Matured Balloon","Performing Matured Balloon","Current")))))))))</f>
        <v/>
      </c>
      <c r="CD710" s="78">
        <f>IF(OR($CC710="REO",$CC710="Foreclosure",$CC710="90+ Days Delinquent",$CC710="60 Days Delinquent",$CC710="30 Days Delinquent",$CC710="Non-Performing Matured Balloon"),1,0)</f>
        <v/>
      </c>
      <c r="CE710" s="76">
        <f>IF($AB710="Currently special serv","Currently Specially Serviced",IF($AB710="Returned to master serv","Previously Specially Serviced","Never Specially Serviced"))</f>
        <v/>
      </c>
      <c r="CF710" s="78">
        <f>IF($CE710="Currently Specially Serviced",1,0)</f>
        <v/>
      </c>
      <c r="CG710" s="76">
        <f>IF($AA710="Yes","Currently on Watchlist",IF($AA710="Previously","Previously on Watchlist","Never on Watchlist"))</f>
        <v/>
      </c>
      <c r="CH710" s="78">
        <f>IF($CG710="Currently on Watchlist",1,0)</f>
        <v/>
      </c>
      <c r="CI710" s="76">
        <f>IF($Z710="Full Defeasance","Fully Defeased",IF($Z710="Portion Of Loan Previously Defeased","Partially Defeased",IF($Z710="Defeasance Not Allowable","Not Defeased (Not Permitted)","Not Defeased")))</f>
        <v/>
      </c>
      <c r="CJ710" s="78">
        <f>IF($CI710="Fully Defeased",1,0)</f>
        <v/>
      </c>
      <c r="CK710" s="76">
        <f>IF($R710="IO","Full IO",IF(LEFT($R710&amp;"",7)="IO then","Partial IO","Amortizing"))</f>
        <v/>
      </c>
      <c r="CL710" s="78">
        <f>IF($CK710="Full IO",1,0)</f>
        <v/>
      </c>
      <c r="CM710" s="78">
        <f>IF($CK710="Partial IO",1,0)</f>
        <v/>
      </c>
      <c r="CN710" s="76">
        <f>IF(LEFT($F710&amp;"",10)="SPLIT_LOAN","Pari Passu Split","Standalone")</f>
        <v/>
      </c>
      <c r="CO710" s="78">
        <f>IF($CN710="Pari Passu Split",1,0)</f>
        <v/>
      </c>
      <c r="CP710" s="77">
        <f>IF(ISNUMBER($T710),YEAR($T710),"")</f>
        <v/>
      </c>
      <c r="CQ710" s="79">
        <f>IF(ISNUMBER($V710),$V710,IF(ISNUMBER($U710),$U710,""))</f>
        <v/>
      </c>
      <c r="CR710" s="77">
        <f>IF(ISNUMBER($CQ710),YEAR($CQ710),"")</f>
        <v/>
      </c>
      <c r="CS710" s="78">
        <f>IF(ISNUMBER($M710),MAX(0,$M710),IF(TRIM($M710&amp;"")="matured",0,""))</f>
        <v/>
      </c>
      <c r="CT710" s="78">
        <f>IF(AND(ISNUMBER($CS710),N($CS710)&lt;=mMatWindow),1,0)</f>
        <v/>
      </c>
      <c r="CU710" s="80">
        <f>IF(ISNUMBER($J710),$J710/100,"")</f>
        <v/>
      </c>
      <c r="CV710" s="81">
        <f>IF(ISNUMBER($AQ710),$AQ710,"")</f>
        <v/>
      </c>
      <c r="CW710" s="81">
        <f>IF(ISNUMBER($AR710),$AR710,"")</f>
        <v/>
      </c>
      <c r="CX710" s="82">
        <f>IF(ISNUMBER($AS710),$AS710/100,"")</f>
        <v/>
      </c>
      <c r="CY710" s="82">
        <f>IF(ISNUMBER($AT710),$AT710/100,"")</f>
        <v/>
      </c>
      <c r="CZ710" s="82">
        <f>IF(ISNUMBER($AU710),$AU710/100,"")</f>
        <v/>
      </c>
      <c r="DA710" s="82">
        <f>IF(ISNUMBER($AV710),$AV710/100,"")</f>
        <v/>
      </c>
      <c r="DB710" s="82">
        <f>IF(ISNUMBER($AW710),$AW710/100,"")</f>
        <v/>
      </c>
      <c r="DC710" s="82">
        <f>IF(ISNUMBER($AX710),$AX710/100,"")</f>
        <v/>
      </c>
      <c r="DD710" s="77">
        <f>IFERROR(VALUE(LEFT(TRIM($AO710&amp;""),4)),"")</f>
        <v/>
      </c>
      <c r="DE710" s="78">
        <f>IF(AND($BY710=1,$BX710=1,OR(fDeal="All Deals",$BU710=fDeal),OR(fEntity="All Entities",$BV710=fEntity),OR(fPType="All Property Types",$BZ710=fPType),OR(fDefeased="Include",$CJ710=0)),1,0)</f>
        <v/>
      </c>
      <c r="DF710" s="83">
        <f>$DE710*N($I710)</f>
        <v/>
      </c>
      <c r="DG710" s="78">
        <f>IF($DE710=1,IF(COUNTIFS($F$8:$F710,$F710,$DE$8:$DE710,1)=1,1,0),0)</f>
        <v/>
      </c>
      <c r="DH710" s="83">
        <f>IF($DG710=1,SUMIFS($DF$8:$DF$1600,$F$8:$F$1600,$F710),0)</f>
        <v/>
      </c>
      <c r="DI710" s="78">
        <f>IF($DG710=1,COUNTIFS($F$8:$F$1600,$F710,$DE$8:$DE$1600,1),0)</f>
        <v/>
      </c>
      <c r="DJ710" s="84">
        <f>IF($DG710=1,$DH710+(100000-ROW())/mTieBreak,0)</f>
        <v/>
      </c>
    </row>
    <row r="711">
      <c r="B711" s="68" t="n">
        <v>36</v>
      </c>
      <c r="C711" s="69" t="inlineStr">
        <is>
          <t>UBS19C16</t>
        </is>
      </c>
      <c r="D711" s="69" t="inlineStr">
        <is>
          <t>36.000</t>
        </is>
      </c>
      <c r="E711" s="69" t="inlineStr">
        <is>
          <t>Park Entrance Apartments</t>
        </is>
      </c>
      <c r="F711" s="69" t="inlineStr">
        <is>
          <t>LNUBS19C16-36.000</t>
        </is>
      </c>
      <c r="G711" s="70" t="n"/>
      <c r="H711" s="71" t="n">
        <v>7000000</v>
      </c>
      <c r="I711" s="71" t="n">
        <v>6391947.299997</v>
      </c>
      <c r="J711" s="72" t="n">
        <v>5.1</v>
      </c>
      <c r="K711" s="69" t="inlineStr">
        <is>
          <t>Fixed rate</t>
        </is>
      </c>
      <c r="L711" s="68" t="n">
        <v>120</v>
      </c>
      <c r="M711" s="68" t="n">
        <v>29</v>
      </c>
      <c r="N711" s="68" t="n">
        <v>384</v>
      </c>
      <c r="O711" s="68" t="n">
        <v>24</v>
      </c>
      <c r="P711" s="68" t="n">
        <v>0</v>
      </c>
      <c r="Q711" s="68" t="n">
        <v>91</v>
      </c>
      <c r="R711" s="69" t="inlineStr">
        <is>
          <t>IO then Amort</t>
        </is>
      </c>
      <c r="S711" s="69" t="inlineStr">
        <is>
          <t>No</t>
        </is>
      </c>
      <c r="T711" s="73" t="n">
        <v>43497</v>
      </c>
      <c r="U711" s="73" t="n">
        <v>47155</v>
      </c>
      <c r="V711" s="73" t="n"/>
      <c r="W711" s="69" t="n"/>
      <c r="X711" s="69" t="inlineStr">
        <is>
          <t>Current</t>
        </is>
      </c>
      <c r="Y711" s="68" t="n"/>
      <c r="Z711" s="69" t="inlineStr">
        <is>
          <t>Defeasance Not Allowable</t>
        </is>
      </c>
      <c r="AA711" s="69" t="inlineStr">
        <is>
          <t>Previously</t>
        </is>
      </c>
      <c r="AB711" s="69" t="inlineStr">
        <is>
          <t>Never special serv</t>
        </is>
      </c>
      <c r="AC711" s="73" t="n"/>
      <c r="AD711" s="69" t="n"/>
      <c r="AE711" s="69" t="n"/>
      <c r="AF711" s="69" t="inlineStr">
        <is>
          <t>IL</t>
        </is>
      </c>
      <c r="AG711" s="69" t="inlineStr">
        <is>
          <t>O'Fallon</t>
        </is>
      </c>
      <c r="AH711" s="69" t="inlineStr">
        <is>
          <t>St. Louis, MO-IL</t>
        </is>
      </c>
      <c r="AI711" s="69" t="inlineStr">
        <is>
          <t>Midwest / Central West</t>
        </is>
      </c>
      <c r="AJ711" s="69" t="inlineStr">
        <is>
          <t>MF</t>
        </is>
      </c>
      <c r="AK711" s="69" t="inlineStr">
        <is>
          <t>Garden</t>
        </is>
      </c>
      <c r="AL711" s="68" t="n">
        <v>1</v>
      </c>
      <c r="AM711" s="68" t="n">
        <v>78</v>
      </c>
      <c r="AN711" s="68" t="n"/>
      <c r="AO711" s="69" t="inlineStr">
        <is>
          <t>1990-1991</t>
        </is>
      </c>
      <c r="AP711" s="70" t="n">
        <v>2017</v>
      </c>
      <c r="AQ711" s="74" t="n">
        <v>1.7</v>
      </c>
      <c r="AR711" s="74" t="n">
        <v>1.32</v>
      </c>
      <c r="AS711" s="74" t="n">
        <v>73.5</v>
      </c>
      <c r="AT711" s="74" t="n">
        <v>67.06999999999999</v>
      </c>
      <c r="AU711" s="74" t="n">
        <v>63.7</v>
      </c>
      <c r="AV711" s="74" t="n">
        <v>8.774838000000001</v>
      </c>
      <c r="AW711" s="74" t="n">
        <v>10.589514091</v>
      </c>
      <c r="AX711" s="75" t="n">
        <v>99</v>
      </c>
      <c r="AY711" s="71" t="n">
        <v>9530000</v>
      </c>
      <c r="AZ711" s="71" t="n">
        <v>9530000</v>
      </c>
      <c r="BA711" s="71" t="n">
        <v>614238.66</v>
      </c>
      <c r="BB711" s="71" t="n">
        <v>601278.92</v>
      </c>
      <c r="BC711" s="69" t="inlineStr">
        <is>
          <t>Refinance</t>
        </is>
      </c>
      <c r="BD711" s="69" t="inlineStr">
        <is>
          <t>N</t>
        </is>
      </c>
      <c r="BE711" s="71" t="n"/>
      <c r="BF711" s="71" t="n"/>
      <c r="BG711" s="71" t="n"/>
      <c r="BH711" s="71" t="n">
        <v>0</v>
      </c>
      <c r="BI711" s="71" t="n">
        <v>0</v>
      </c>
      <c r="BJ711" s="69" t="inlineStr">
        <is>
          <t>N</t>
        </is>
      </c>
      <c r="BK711" s="69" t="n"/>
      <c r="BL711" s="75" t="n"/>
      <c r="BM711" s="73" t="n"/>
      <c r="BN711" s="69" t="inlineStr">
        <is>
          <t>Rajpreet Tut</t>
        </is>
      </c>
      <c r="BO711" s="69" t="inlineStr">
        <is>
          <t>UBS</t>
        </is>
      </c>
      <c r="BP711" s="69" t="inlineStr">
        <is>
          <t>Midland Loan Services</t>
        </is>
      </c>
      <c r="BQ711" s="69" t="inlineStr">
        <is>
          <t>Midland Loan Services</t>
        </is>
      </c>
      <c r="BR711" s="69" t="n"/>
      <c r="BS711" s="73" t="n">
        <v>46276</v>
      </c>
      <c r="BU711" s="76">
        <f>IF($C711="","",IFERROR(INDEX(dmName,MATCH($C711,dmID,0)),"Unmapped"))</f>
        <v/>
      </c>
      <c r="BV711" s="76">
        <f>IF($C711="","",IFERROR(INDEX(dmEntity,MATCH($C711,dmID,0)),"Unmapped"))</f>
        <v/>
      </c>
      <c r="BW711" s="77">
        <f>IF($C711="","",IFERROR(INDEX(dmVintage,MATCH($C711,dmID,0)),""))</f>
        <v/>
      </c>
      <c r="BX711" s="78">
        <f>IFERROR(INDEX(dmInclude,MATCH($C711,dmID,0)),0)</f>
        <v/>
      </c>
      <c r="BY711" s="78">
        <f>IF(N($I711)&gt;0,1,0)</f>
        <v/>
      </c>
      <c r="BZ711" s="76">
        <f>IF($AJ711="","Other / Leased Fee",IFERROR(INDEX(mapPTGroup,MATCH(LEFT(TRIM($AJ711),2),mapPTCode,0)),"Other / Leased Fee"))</f>
        <v/>
      </c>
      <c r="CA711" s="76">
        <f>IF(TRIM($AF711&amp;"")="","NR",LEFT(TRIM($AF711),2))</f>
        <v/>
      </c>
      <c r="CB711" s="76">
        <f>IFERROR(LOOKUP(2,1/(LEFT(TRIM($AI711&amp;""),LEN(mapRegion))=mapRegion),mapRegion),"Not Reported")</f>
        <v/>
      </c>
      <c r="CC711" s="76">
        <f>IF($BY711=0,"",IF(TRIM($W711&amp;"")="REO","REO",IF(TRIM($W711&amp;"")="FC","Foreclosure",IF(TRIM($W711&amp;"")="90+","90+ Days Delinquent",IF(TRIM($W711&amp;"")="60","60 Days Delinquent",IF(TRIM($W711&amp;"")="30","30 Days Delinquent",IF($X711="Non-Performing Matured Balloon","Non-Performing Matured Balloon",IF(OR($X711="Late Payment But Less Than 30 Days Delinquent",LEFT($X711&amp;"",20)="Payment Not Received"),"Late / In Grace (&lt;30 Days)",IF($X711="Performing Matured Balloon","Performing Matured Balloon","Current")))))))))</f>
        <v/>
      </c>
      <c r="CD711" s="78">
        <f>IF(OR($CC711="REO",$CC711="Foreclosure",$CC711="90+ Days Delinquent",$CC711="60 Days Delinquent",$CC711="30 Days Delinquent",$CC711="Non-Performing Matured Balloon"),1,0)</f>
        <v/>
      </c>
      <c r="CE711" s="76">
        <f>IF($AB711="Currently special serv","Currently Specially Serviced",IF($AB711="Returned to master serv","Previously Specially Serviced","Never Specially Serviced"))</f>
        <v/>
      </c>
      <c r="CF711" s="78">
        <f>IF($CE711="Currently Specially Serviced",1,0)</f>
        <v/>
      </c>
      <c r="CG711" s="76">
        <f>IF($AA711="Yes","Currently on Watchlist",IF($AA711="Previously","Previously on Watchlist","Never on Watchlist"))</f>
        <v/>
      </c>
      <c r="CH711" s="78">
        <f>IF($CG711="Currently on Watchlist",1,0)</f>
        <v/>
      </c>
      <c r="CI711" s="76">
        <f>IF($Z711="Full Defeasance","Fully Defeased",IF($Z711="Portion Of Loan Previously Defeased","Partially Defeased",IF($Z711="Defeasance Not Allowable","Not Defeased (Not Permitted)","Not Defeased")))</f>
        <v/>
      </c>
      <c r="CJ711" s="78">
        <f>IF($CI711="Fully Defeased",1,0)</f>
        <v/>
      </c>
      <c r="CK711" s="76">
        <f>IF($R711="IO","Full IO",IF(LEFT($R711&amp;"",7)="IO then","Partial IO","Amortizing"))</f>
        <v/>
      </c>
      <c r="CL711" s="78">
        <f>IF($CK711="Full IO",1,0)</f>
        <v/>
      </c>
      <c r="CM711" s="78">
        <f>IF($CK711="Partial IO",1,0)</f>
        <v/>
      </c>
      <c r="CN711" s="76">
        <f>IF(LEFT($F711&amp;"",10)="SPLIT_LOAN","Pari Passu Split","Standalone")</f>
        <v/>
      </c>
      <c r="CO711" s="78">
        <f>IF($CN711="Pari Passu Split",1,0)</f>
        <v/>
      </c>
      <c r="CP711" s="77">
        <f>IF(ISNUMBER($T711),YEAR($T711),"")</f>
        <v/>
      </c>
      <c r="CQ711" s="79">
        <f>IF(ISNUMBER($V711),$V711,IF(ISNUMBER($U711),$U711,""))</f>
        <v/>
      </c>
      <c r="CR711" s="77">
        <f>IF(ISNUMBER($CQ711),YEAR($CQ711),"")</f>
        <v/>
      </c>
      <c r="CS711" s="78">
        <f>IF(ISNUMBER($M711),MAX(0,$M711),IF(TRIM($M711&amp;"")="matured",0,""))</f>
        <v/>
      </c>
      <c r="CT711" s="78">
        <f>IF(AND(ISNUMBER($CS711),N($CS711)&lt;=mMatWindow),1,0)</f>
        <v/>
      </c>
      <c r="CU711" s="80">
        <f>IF(ISNUMBER($J711),$J711/100,"")</f>
        <v/>
      </c>
      <c r="CV711" s="81">
        <f>IF(ISNUMBER($AQ711),$AQ711,"")</f>
        <v/>
      </c>
      <c r="CW711" s="81">
        <f>IF(ISNUMBER($AR711),$AR711,"")</f>
        <v/>
      </c>
      <c r="CX711" s="82">
        <f>IF(ISNUMBER($AS711),$AS711/100,"")</f>
        <v/>
      </c>
      <c r="CY711" s="82">
        <f>IF(ISNUMBER($AT711),$AT711/100,"")</f>
        <v/>
      </c>
      <c r="CZ711" s="82">
        <f>IF(ISNUMBER($AU711),$AU711/100,"")</f>
        <v/>
      </c>
      <c r="DA711" s="82">
        <f>IF(ISNUMBER($AV711),$AV711/100,"")</f>
        <v/>
      </c>
      <c r="DB711" s="82">
        <f>IF(ISNUMBER($AW711),$AW711/100,"")</f>
        <v/>
      </c>
      <c r="DC711" s="82">
        <f>IF(ISNUMBER($AX711),$AX711/100,"")</f>
        <v/>
      </c>
      <c r="DD711" s="77">
        <f>IFERROR(VALUE(LEFT(TRIM($AO711&amp;""),4)),"")</f>
        <v/>
      </c>
      <c r="DE711" s="78">
        <f>IF(AND($BY711=1,$BX711=1,OR(fDeal="All Deals",$BU711=fDeal),OR(fEntity="All Entities",$BV711=fEntity),OR(fPType="All Property Types",$BZ711=fPType),OR(fDefeased="Include",$CJ711=0)),1,0)</f>
        <v/>
      </c>
      <c r="DF711" s="83">
        <f>$DE711*N($I711)</f>
        <v/>
      </c>
      <c r="DG711" s="78">
        <f>IF($DE711=1,IF(COUNTIFS($F$8:$F711,$F711,$DE$8:$DE711,1)=1,1,0),0)</f>
        <v/>
      </c>
      <c r="DH711" s="83">
        <f>IF($DG711=1,SUMIFS($DF$8:$DF$1600,$F$8:$F$1600,$F711),0)</f>
        <v/>
      </c>
      <c r="DI711" s="78">
        <f>IF($DG711=1,COUNTIFS($F$8:$F$1600,$F711,$DE$8:$DE$1600,1),0)</f>
        <v/>
      </c>
      <c r="DJ711" s="84">
        <f>IF($DG711=1,$DH711+(100000-ROW())/mTieBreak,0)</f>
        <v/>
      </c>
    </row>
    <row r="712">
      <c r="B712" s="68" t="n">
        <v>37</v>
      </c>
      <c r="C712" s="69" t="inlineStr">
        <is>
          <t>UBS19C16</t>
        </is>
      </c>
      <c r="D712" s="69" t="inlineStr">
        <is>
          <t>37.000</t>
        </is>
      </c>
      <c r="E712" s="69" t="inlineStr">
        <is>
          <t>Equinox Woodbury</t>
        </is>
      </c>
      <c r="F712" s="69" t="inlineStr">
        <is>
          <t>LNUBS19C16-37.000</t>
        </is>
      </c>
      <c r="G712" s="70" t="n"/>
      <c r="H712" s="71" t="n">
        <v>6425000</v>
      </c>
      <c r="I712" s="71" t="n">
        <v>6425000</v>
      </c>
      <c r="J712" s="72" t="n">
        <v>5.4</v>
      </c>
      <c r="K712" s="69" t="inlineStr">
        <is>
          <t>Fixed rate</t>
        </is>
      </c>
      <c r="L712" s="68" t="n">
        <v>120</v>
      </c>
      <c r="M712" s="68" t="n">
        <v>28</v>
      </c>
      <c r="N712" s="68" t="n">
        <v>120</v>
      </c>
      <c r="O712" s="68" t="n">
        <v>120</v>
      </c>
      <c r="P712" s="68" t="n">
        <v>28</v>
      </c>
      <c r="Q712" s="68" t="n">
        <v>92</v>
      </c>
      <c r="R712" s="69" t="inlineStr">
        <is>
          <t>IO</t>
        </is>
      </c>
      <c r="S712" s="69" t="inlineStr">
        <is>
          <t>Yes</t>
        </is>
      </c>
      <c r="T712" s="73" t="n">
        <v>43466</v>
      </c>
      <c r="U712" s="73" t="n">
        <v>47124</v>
      </c>
      <c r="V712" s="73" t="n"/>
      <c r="W712" s="69" t="n"/>
      <c r="X712" s="69" t="inlineStr">
        <is>
          <t>Current</t>
        </is>
      </c>
      <c r="Y712" s="68" t="n"/>
      <c r="Z712" s="69" t="inlineStr">
        <is>
          <t>No Defeasance Occurred</t>
        </is>
      </c>
      <c r="AA712" s="69" t="inlineStr">
        <is>
          <t>Previously</t>
        </is>
      </c>
      <c r="AB712" s="69" t="inlineStr">
        <is>
          <t>Never special serv</t>
        </is>
      </c>
      <c r="AC712" s="73" t="n"/>
      <c r="AD712" s="69" t="n"/>
      <c r="AE712" s="69" t="n"/>
      <c r="AF712" s="69" t="inlineStr">
        <is>
          <t>NY</t>
        </is>
      </c>
      <c r="AG712" s="69" t="inlineStr">
        <is>
          <t>Woodbury</t>
        </is>
      </c>
      <c r="AH712" s="69" t="inlineStr">
        <is>
          <t>New York-Newark-Jersey City, NY-NJ</t>
        </is>
      </c>
      <c r="AI712" s="69" t="inlineStr">
        <is>
          <t>Northeast / Mid-Atlantic</t>
        </is>
      </c>
      <c r="AJ712" s="69" t="inlineStr">
        <is>
          <t>RT</t>
        </is>
      </c>
      <c r="AK712" s="69" t="inlineStr">
        <is>
          <t>Single Tenant</t>
        </is>
      </c>
      <c r="AL712" s="68" t="n">
        <v>1</v>
      </c>
      <c r="AM712" s="68" t="n"/>
      <c r="AN712" s="68" t="n">
        <v>22601</v>
      </c>
      <c r="AO712" s="69" t="inlineStr">
        <is>
          <t>2003</t>
        </is>
      </c>
      <c r="AP712" s="70" t="n">
        <v>2003</v>
      </c>
      <c r="AQ712" s="74" t="n">
        <v>1.99</v>
      </c>
      <c r="AR712" s="74" t="n">
        <v>1.4</v>
      </c>
      <c r="AS712" s="74" t="n">
        <v>54.4</v>
      </c>
      <c r="AT712" s="74" t="n">
        <v>54.45</v>
      </c>
      <c r="AU712" s="74" t="n">
        <v>54.4</v>
      </c>
      <c r="AV712" s="74" t="n">
        <v>10.874509883</v>
      </c>
      <c r="AW712" s="74" t="n">
        <v>7.95154428</v>
      </c>
      <c r="AX712" s="75" t="n">
        <v>100</v>
      </c>
      <c r="AY712" s="71" t="n">
        <v>11800000</v>
      </c>
      <c r="AZ712" s="71" t="n">
        <v>11800000</v>
      </c>
      <c r="BA712" s="71" t="n">
        <v>698687.26</v>
      </c>
      <c r="BB712" s="71" t="n">
        <v>494218.29</v>
      </c>
      <c r="BC712" s="69" t="inlineStr">
        <is>
          <t>Acquisition</t>
        </is>
      </c>
      <c r="BD712" s="69" t="inlineStr">
        <is>
          <t>N</t>
        </is>
      </c>
      <c r="BE712" s="71" t="n"/>
      <c r="BF712" s="71" t="n"/>
      <c r="BG712" s="71" t="n"/>
      <c r="BH712" s="71" t="n">
        <v>0</v>
      </c>
      <c r="BI712" s="71" t="n">
        <v>0</v>
      </c>
      <c r="BJ712" s="69" t="inlineStr">
        <is>
          <t>N</t>
        </is>
      </c>
      <c r="BK712" s="69" t="inlineStr">
        <is>
          <t>Equinox</t>
        </is>
      </c>
      <c r="BL712" s="75" t="n">
        <v>100</v>
      </c>
      <c r="BM712" s="73" t="n">
        <v>50770</v>
      </c>
      <c r="BN712" s="69" t="inlineStr">
        <is>
          <t>Yukon Holdings LLC</t>
        </is>
      </c>
      <c r="BO712" s="69" t="inlineStr">
        <is>
          <t>Ladder Capital Finance</t>
        </is>
      </c>
      <c r="BP712" s="69" t="inlineStr">
        <is>
          <t>Midland Loan Services</t>
        </is>
      </c>
      <c r="BQ712" s="69" t="inlineStr">
        <is>
          <t>Midland Loan Services</t>
        </is>
      </c>
      <c r="BR712" s="69" t="n"/>
      <c r="BS712" s="73" t="n">
        <v>46276</v>
      </c>
      <c r="BU712" s="76">
        <f>IF($C712="","",IFERROR(INDEX(dmName,MATCH($C712,dmID,0)),"Unmapped"))</f>
        <v/>
      </c>
      <c r="BV712" s="76">
        <f>IF($C712="","",IFERROR(INDEX(dmEntity,MATCH($C712,dmID,0)),"Unmapped"))</f>
        <v/>
      </c>
      <c r="BW712" s="77">
        <f>IF($C712="","",IFERROR(INDEX(dmVintage,MATCH($C712,dmID,0)),""))</f>
        <v/>
      </c>
      <c r="BX712" s="78">
        <f>IFERROR(INDEX(dmInclude,MATCH($C712,dmID,0)),0)</f>
        <v/>
      </c>
      <c r="BY712" s="78">
        <f>IF(N($I712)&gt;0,1,0)</f>
        <v/>
      </c>
      <c r="BZ712" s="76">
        <f>IF($AJ712="","Other / Leased Fee",IFERROR(INDEX(mapPTGroup,MATCH(LEFT(TRIM($AJ712),2),mapPTCode,0)),"Other / Leased Fee"))</f>
        <v/>
      </c>
      <c r="CA712" s="76">
        <f>IF(TRIM($AF712&amp;"")="","NR",LEFT(TRIM($AF712),2))</f>
        <v/>
      </c>
      <c r="CB712" s="76">
        <f>IFERROR(LOOKUP(2,1/(LEFT(TRIM($AI712&amp;""),LEN(mapRegion))=mapRegion),mapRegion),"Not Reported")</f>
        <v/>
      </c>
      <c r="CC712" s="76">
        <f>IF($BY712=0,"",IF(TRIM($W712&amp;"")="REO","REO",IF(TRIM($W712&amp;"")="FC","Foreclosure",IF(TRIM($W712&amp;"")="90+","90+ Days Delinquent",IF(TRIM($W712&amp;"")="60","60 Days Delinquent",IF(TRIM($W712&amp;"")="30","30 Days Delinquent",IF($X712="Non-Performing Matured Balloon","Non-Performing Matured Balloon",IF(OR($X712="Late Payment But Less Than 30 Days Delinquent",LEFT($X712&amp;"",20)="Payment Not Received"),"Late / In Grace (&lt;30 Days)",IF($X712="Performing Matured Balloon","Performing Matured Balloon","Current")))))))))</f>
        <v/>
      </c>
      <c r="CD712" s="78">
        <f>IF(OR($CC712="REO",$CC712="Foreclosure",$CC712="90+ Days Delinquent",$CC712="60 Days Delinquent",$CC712="30 Days Delinquent",$CC712="Non-Performing Matured Balloon"),1,0)</f>
        <v/>
      </c>
      <c r="CE712" s="76">
        <f>IF($AB712="Currently special serv","Currently Specially Serviced",IF($AB712="Returned to master serv","Previously Specially Serviced","Never Specially Serviced"))</f>
        <v/>
      </c>
      <c r="CF712" s="78">
        <f>IF($CE712="Currently Specially Serviced",1,0)</f>
        <v/>
      </c>
      <c r="CG712" s="76">
        <f>IF($AA712="Yes","Currently on Watchlist",IF($AA712="Previously","Previously on Watchlist","Never on Watchlist"))</f>
        <v/>
      </c>
      <c r="CH712" s="78">
        <f>IF($CG712="Currently on Watchlist",1,0)</f>
        <v/>
      </c>
      <c r="CI712" s="76">
        <f>IF($Z712="Full Defeasance","Fully Defeased",IF($Z712="Portion Of Loan Previously Defeased","Partially Defeased",IF($Z712="Defeasance Not Allowable","Not Defeased (Not Permitted)","Not Defeased")))</f>
        <v/>
      </c>
      <c r="CJ712" s="78">
        <f>IF($CI712="Fully Defeased",1,0)</f>
        <v/>
      </c>
      <c r="CK712" s="76">
        <f>IF($R712="IO","Full IO",IF(LEFT($R712&amp;"",7)="IO then","Partial IO","Amortizing"))</f>
        <v/>
      </c>
      <c r="CL712" s="78">
        <f>IF($CK712="Full IO",1,0)</f>
        <v/>
      </c>
      <c r="CM712" s="78">
        <f>IF($CK712="Partial IO",1,0)</f>
        <v/>
      </c>
      <c r="CN712" s="76">
        <f>IF(LEFT($F712&amp;"",10)="SPLIT_LOAN","Pari Passu Split","Standalone")</f>
        <v/>
      </c>
      <c r="CO712" s="78">
        <f>IF($CN712="Pari Passu Split",1,0)</f>
        <v/>
      </c>
      <c r="CP712" s="77">
        <f>IF(ISNUMBER($T712),YEAR($T712),"")</f>
        <v/>
      </c>
      <c r="CQ712" s="79">
        <f>IF(ISNUMBER($V712),$V712,IF(ISNUMBER($U712),$U712,""))</f>
        <v/>
      </c>
      <c r="CR712" s="77">
        <f>IF(ISNUMBER($CQ712),YEAR($CQ712),"")</f>
        <v/>
      </c>
      <c r="CS712" s="78">
        <f>IF(ISNUMBER($M712),MAX(0,$M712),IF(TRIM($M712&amp;"")="matured",0,""))</f>
        <v/>
      </c>
      <c r="CT712" s="78">
        <f>IF(AND(ISNUMBER($CS712),N($CS712)&lt;=mMatWindow),1,0)</f>
        <v/>
      </c>
      <c r="CU712" s="80">
        <f>IF(ISNUMBER($J712),$J712/100,"")</f>
        <v/>
      </c>
      <c r="CV712" s="81">
        <f>IF(ISNUMBER($AQ712),$AQ712,"")</f>
        <v/>
      </c>
      <c r="CW712" s="81">
        <f>IF(ISNUMBER($AR712),$AR712,"")</f>
        <v/>
      </c>
      <c r="CX712" s="82">
        <f>IF(ISNUMBER($AS712),$AS712/100,"")</f>
        <v/>
      </c>
      <c r="CY712" s="82">
        <f>IF(ISNUMBER($AT712),$AT712/100,"")</f>
        <v/>
      </c>
      <c r="CZ712" s="82">
        <f>IF(ISNUMBER($AU712),$AU712/100,"")</f>
        <v/>
      </c>
      <c r="DA712" s="82">
        <f>IF(ISNUMBER($AV712),$AV712/100,"")</f>
        <v/>
      </c>
      <c r="DB712" s="82">
        <f>IF(ISNUMBER($AW712),$AW712/100,"")</f>
        <v/>
      </c>
      <c r="DC712" s="82">
        <f>IF(ISNUMBER($AX712),$AX712/100,"")</f>
        <v/>
      </c>
      <c r="DD712" s="77">
        <f>IFERROR(VALUE(LEFT(TRIM($AO712&amp;""),4)),"")</f>
        <v/>
      </c>
      <c r="DE712" s="78">
        <f>IF(AND($BY712=1,$BX712=1,OR(fDeal="All Deals",$BU712=fDeal),OR(fEntity="All Entities",$BV712=fEntity),OR(fPType="All Property Types",$BZ712=fPType),OR(fDefeased="Include",$CJ712=0)),1,0)</f>
        <v/>
      </c>
      <c r="DF712" s="83">
        <f>$DE712*N($I712)</f>
        <v/>
      </c>
      <c r="DG712" s="78">
        <f>IF($DE712=1,IF(COUNTIFS($F$8:$F712,$F712,$DE$8:$DE712,1)=1,1,0),0)</f>
        <v/>
      </c>
      <c r="DH712" s="83">
        <f>IF($DG712=1,SUMIFS($DF$8:$DF$1600,$F$8:$F$1600,$F712),0)</f>
        <v/>
      </c>
      <c r="DI712" s="78">
        <f>IF($DG712=1,COUNTIFS($F$8:$F$1600,$F712,$DE$8:$DE$1600,1),0)</f>
        <v/>
      </c>
      <c r="DJ712" s="84">
        <f>IF($DG712=1,$DH712+(100000-ROW())/mTieBreak,0)</f>
        <v/>
      </c>
    </row>
    <row r="713">
      <c r="B713" s="68" t="n">
        <v>38</v>
      </c>
      <c r="C713" s="69" t="inlineStr">
        <is>
          <t>UBS19C16</t>
        </is>
      </c>
      <c r="D713" s="69" t="inlineStr">
        <is>
          <t>38.000</t>
        </is>
      </c>
      <c r="E713" s="69" t="inlineStr">
        <is>
          <t>Sidney Baker Apartments</t>
        </is>
      </c>
      <c r="F713" s="69" t="inlineStr">
        <is>
          <t>LNUBS19C16-38.000</t>
        </is>
      </c>
      <c r="G713" s="70" t="n"/>
      <c r="H713" s="71" t="n">
        <v>5700000</v>
      </c>
      <c r="I713" s="71" t="n">
        <v>5228843.809998601</v>
      </c>
      <c r="J713" s="72" t="n">
        <v>5.25</v>
      </c>
      <c r="K713" s="69" t="inlineStr">
        <is>
          <t>Fixed rate</t>
        </is>
      </c>
      <c r="L713" s="68" t="n">
        <v>120</v>
      </c>
      <c r="M713" s="68" t="n">
        <v>30</v>
      </c>
      <c r="N713" s="68" t="n">
        <v>384</v>
      </c>
      <c r="O713" s="68" t="n">
        <v>24</v>
      </c>
      <c r="P713" s="68" t="n">
        <v>0</v>
      </c>
      <c r="Q713" s="68" t="n">
        <v>90</v>
      </c>
      <c r="R713" s="69" t="inlineStr">
        <is>
          <t>IO then Amort</t>
        </is>
      </c>
      <c r="S713" s="69" t="inlineStr">
        <is>
          <t>No</t>
        </is>
      </c>
      <c r="T713" s="73" t="n">
        <v>43525</v>
      </c>
      <c r="U713" s="73" t="n">
        <v>47183</v>
      </c>
      <c r="V713" s="73" t="n"/>
      <c r="W713" s="69" t="n"/>
      <c r="X713" s="69" t="inlineStr">
        <is>
          <t>Current</t>
        </is>
      </c>
      <c r="Y713" s="68" t="n"/>
      <c r="Z713" s="69" t="inlineStr">
        <is>
          <t>Full Defeasance</t>
        </is>
      </c>
      <c r="AA713" s="69" t="inlineStr">
        <is>
          <t>Previously</t>
        </is>
      </c>
      <c r="AB713" s="69" t="inlineStr">
        <is>
          <t>Never special serv</t>
        </is>
      </c>
      <c r="AC713" s="73" t="n"/>
      <c r="AD713" s="69" t="n"/>
      <c r="AE713" s="69" t="n"/>
      <c r="AF713" s="69" t="inlineStr">
        <is>
          <t>TX</t>
        </is>
      </c>
      <c r="AG713" s="69" t="inlineStr">
        <is>
          <t>Kerrville</t>
        </is>
      </c>
      <c r="AH713" s="69" t="inlineStr">
        <is>
          <t>Kerrville, TX</t>
        </is>
      </c>
      <c r="AI713" s="69" t="inlineStr">
        <is>
          <t>South / Central West</t>
        </is>
      </c>
      <c r="AJ713" s="69" t="inlineStr">
        <is>
          <t>MF</t>
        </is>
      </c>
      <c r="AK713" s="69" t="inlineStr">
        <is>
          <t>Garden</t>
        </is>
      </c>
      <c r="AL713" s="68" t="n">
        <v>1</v>
      </c>
      <c r="AM713" s="68" t="n">
        <v>60</v>
      </c>
      <c r="AN713" s="68" t="n"/>
      <c r="AO713" s="69" t="inlineStr">
        <is>
          <t>2018</t>
        </is>
      </c>
      <c r="AP713" s="70" t="n">
        <v>2018</v>
      </c>
      <c r="AQ713" s="74" t="n">
        <v>1.64</v>
      </c>
      <c r="AR713" s="74" t="n">
        <v>1.71</v>
      </c>
      <c r="AS713" s="74" t="n">
        <v>73.2</v>
      </c>
      <c r="AT713" s="74" t="n">
        <v>67.12</v>
      </c>
      <c r="AU713" s="74" t="n">
        <v>63.7</v>
      </c>
      <c r="AV713" s="74" t="n">
        <v>8.740653684</v>
      </c>
      <c r="AW713" s="74" t="n">
        <v>12.374060567</v>
      </c>
      <c r="AX713" s="75" t="n">
        <v>92</v>
      </c>
      <c r="AY713" s="71" t="n">
        <v>7790000</v>
      </c>
      <c r="AZ713" s="71" t="n">
        <v>7790000</v>
      </c>
      <c r="BA713" s="71" t="n">
        <v>498217.26</v>
      </c>
      <c r="BB713" s="71" t="n">
        <v>647020.3</v>
      </c>
      <c r="BC713" s="69" t="inlineStr">
        <is>
          <t>Refinance</t>
        </is>
      </c>
      <c r="BD713" s="69" t="inlineStr">
        <is>
          <t>N</t>
        </is>
      </c>
      <c r="BE713" s="71" t="n"/>
      <c r="BF713" s="71" t="n"/>
      <c r="BG713" s="71" t="n"/>
      <c r="BH713" s="71" t="n">
        <v>0</v>
      </c>
      <c r="BI713" s="71" t="n">
        <v>0</v>
      </c>
      <c r="BJ713" s="69" t="inlineStr">
        <is>
          <t>N</t>
        </is>
      </c>
      <c r="BK713" s="69" t="n"/>
      <c r="BL713" s="75" t="n"/>
      <c r="BM713" s="73" t="n"/>
      <c r="BN713" s="69" t="inlineStr">
        <is>
          <t>Daniel R. Morgan; Michael Walkup, Samuel Bates IV</t>
        </is>
      </c>
      <c r="BO713" s="69" t="inlineStr">
        <is>
          <t>UBS</t>
        </is>
      </c>
      <c r="BP713" s="69" t="inlineStr">
        <is>
          <t>Midland Loan Services</t>
        </is>
      </c>
      <c r="BQ713" s="69" t="inlineStr">
        <is>
          <t>Midland Loan Services</t>
        </is>
      </c>
      <c r="BR713" s="69" t="n"/>
      <c r="BS713" s="73" t="n">
        <v>46276</v>
      </c>
      <c r="BU713" s="76">
        <f>IF($C713="","",IFERROR(INDEX(dmName,MATCH($C713,dmID,0)),"Unmapped"))</f>
        <v/>
      </c>
      <c r="BV713" s="76">
        <f>IF($C713="","",IFERROR(INDEX(dmEntity,MATCH($C713,dmID,0)),"Unmapped"))</f>
        <v/>
      </c>
      <c r="BW713" s="77">
        <f>IF($C713="","",IFERROR(INDEX(dmVintage,MATCH($C713,dmID,0)),""))</f>
        <v/>
      </c>
      <c r="BX713" s="78">
        <f>IFERROR(INDEX(dmInclude,MATCH($C713,dmID,0)),0)</f>
        <v/>
      </c>
      <c r="BY713" s="78">
        <f>IF(N($I713)&gt;0,1,0)</f>
        <v/>
      </c>
      <c r="BZ713" s="76">
        <f>IF($AJ713="","Other / Leased Fee",IFERROR(INDEX(mapPTGroup,MATCH(LEFT(TRIM($AJ713),2),mapPTCode,0)),"Other / Leased Fee"))</f>
        <v/>
      </c>
      <c r="CA713" s="76">
        <f>IF(TRIM($AF713&amp;"")="","NR",LEFT(TRIM($AF713),2))</f>
        <v/>
      </c>
      <c r="CB713" s="76">
        <f>IFERROR(LOOKUP(2,1/(LEFT(TRIM($AI713&amp;""),LEN(mapRegion))=mapRegion),mapRegion),"Not Reported")</f>
        <v/>
      </c>
      <c r="CC713" s="76">
        <f>IF($BY713=0,"",IF(TRIM($W713&amp;"")="REO","REO",IF(TRIM($W713&amp;"")="FC","Foreclosure",IF(TRIM($W713&amp;"")="90+","90+ Days Delinquent",IF(TRIM($W713&amp;"")="60","60 Days Delinquent",IF(TRIM($W713&amp;"")="30","30 Days Delinquent",IF($X713="Non-Performing Matured Balloon","Non-Performing Matured Balloon",IF(OR($X713="Late Payment But Less Than 30 Days Delinquent",LEFT($X713&amp;"",20)="Payment Not Received"),"Late / In Grace (&lt;30 Days)",IF($X713="Performing Matured Balloon","Performing Matured Balloon","Current")))))))))</f>
        <v/>
      </c>
      <c r="CD713" s="78">
        <f>IF(OR($CC713="REO",$CC713="Foreclosure",$CC713="90+ Days Delinquent",$CC713="60 Days Delinquent",$CC713="30 Days Delinquent",$CC713="Non-Performing Matured Balloon"),1,0)</f>
        <v/>
      </c>
      <c r="CE713" s="76">
        <f>IF($AB713="Currently special serv","Currently Specially Serviced",IF($AB713="Returned to master serv","Previously Specially Serviced","Never Specially Serviced"))</f>
        <v/>
      </c>
      <c r="CF713" s="78">
        <f>IF($CE713="Currently Specially Serviced",1,0)</f>
        <v/>
      </c>
      <c r="CG713" s="76">
        <f>IF($AA713="Yes","Currently on Watchlist",IF($AA713="Previously","Previously on Watchlist","Never on Watchlist"))</f>
        <v/>
      </c>
      <c r="CH713" s="78">
        <f>IF($CG713="Currently on Watchlist",1,0)</f>
        <v/>
      </c>
      <c r="CI713" s="76">
        <f>IF($Z713="Full Defeasance","Fully Defeased",IF($Z713="Portion Of Loan Previously Defeased","Partially Defeased",IF($Z713="Defeasance Not Allowable","Not Defeased (Not Permitted)","Not Defeased")))</f>
        <v/>
      </c>
      <c r="CJ713" s="78">
        <f>IF($CI713="Fully Defeased",1,0)</f>
        <v/>
      </c>
      <c r="CK713" s="76">
        <f>IF($R713="IO","Full IO",IF(LEFT($R713&amp;"",7)="IO then","Partial IO","Amortizing"))</f>
        <v/>
      </c>
      <c r="CL713" s="78">
        <f>IF($CK713="Full IO",1,0)</f>
        <v/>
      </c>
      <c r="CM713" s="78">
        <f>IF($CK713="Partial IO",1,0)</f>
        <v/>
      </c>
      <c r="CN713" s="76">
        <f>IF(LEFT($F713&amp;"",10)="SPLIT_LOAN","Pari Passu Split","Standalone")</f>
        <v/>
      </c>
      <c r="CO713" s="78">
        <f>IF($CN713="Pari Passu Split",1,0)</f>
        <v/>
      </c>
      <c r="CP713" s="77">
        <f>IF(ISNUMBER($T713),YEAR($T713),"")</f>
        <v/>
      </c>
      <c r="CQ713" s="79">
        <f>IF(ISNUMBER($V713),$V713,IF(ISNUMBER($U713),$U713,""))</f>
        <v/>
      </c>
      <c r="CR713" s="77">
        <f>IF(ISNUMBER($CQ713),YEAR($CQ713),"")</f>
        <v/>
      </c>
      <c r="CS713" s="78">
        <f>IF(ISNUMBER($M713),MAX(0,$M713),IF(TRIM($M713&amp;"")="matured",0,""))</f>
        <v/>
      </c>
      <c r="CT713" s="78">
        <f>IF(AND(ISNUMBER($CS713),N($CS713)&lt;=mMatWindow),1,0)</f>
        <v/>
      </c>
      <c r="CU713" s="80">
        <f>IF(ISNUMBER($J713),$J713/100,"")</f>
        <v/>
      </c>
      <c r="CV713" s="81">
        <f>IF(ISNUMBER($AQ713),$AQ713,"")</f>
        <v/>
      </c>
      <c r="CW713" s="81">
        <f>IF(ISNUMBER($AR713),$AR713,"")</f>
        <v/>
      </c>
      <c r="CX713" s="82">
        <f>IF(ISNUMBER($AS713),$AS713/100,"")</f>
        <v/>
      </c>
      <c r="CY713" s="82">
        <f>IF(ISNUMBER($AT713),$AT713/100,"")</f>
        <v/>
      </c>
      <c r="CZ713" s="82">
        <f>IF(ISNUMBER($AU713),$AU713/100,"")</f>
        <v/>
      </c>
      <c r="DA713" s="82">
        <f>IF(ISNUMBER($AV713),$AV713/100,"")</f>
        <v/>
      </c>
      <c r="DB713" s="82">
        <f>IF(ISNUMBER($AW713),$AW713/100,"")</f>
        <v/>
      </c>
      <c r="DC713" s="82">
        <f>IF(ISNUMBER($AX713),$AX713/100,"")</f>
        <v/>
      </c>
      <c r="DD713" s="77">
        <f>IFERROR(VALUE(LEFT(TRIM($AO713&amp;""),4)),"")</f>
        <v/>
      </c>
      <c r="DE713" s="78">
        <f>IF(AND($BY713=1,$BX713=1,OR(fDeal="All Deals",$BU713=fDeal),OR(fEntity="All Entities",$BV713=fEntity),OR(fPType="All Property Types",$BZ713=fPType),OR(fDefeased="Include",$CJ713=0)),1,0)</f>
        <v/>
      </c>
      <c r="DF713" s="83">
        <f>$DE713*N($I713)</f>
        <v/>
      </c>
      <c r="DG713" s="78">
        <f>IF($DE713=1,IF(COUNTIFS($F$8:$F713,$F713,$DE$8:$DE713,1)=1,1,0),0)</f>
        <v/>
      </c>
      <c r="DH713" s="83">
        <f>IF($DG713=1,SUMIFS($DF$8:$DF$1600,$F$8:$F$1600,$F713),0)</f>
        <v/>
      </c>
      <c r="DI713" s="78">
        <f>IF($DG713=1,COUNTIFS($F$8:$F$1600,$F713,$DE$8:$DE$1600,1),0)</f>
        <v/>
      </c>
      <c r="DJ713" s="84">
        <f>IF($DG713=1,$DH713+(100000-ROW())/mTieBreak,0)</f>
        <v/>
      </c>
    </row>
    <row r="714">
      <c r="B714" s="68" t="n">
        <v>39</v>
      </c>
      <c r="C714" s="69" t="inlineStr">
        <is>
          <t>UBS19C16</t>
        </is>
      </c>
      <c r="D714" s="69" t="inlineStr">
        <is>
          <t>39.000</t>
        </is>
      </c>
      <c r="E714" s="69" t="inlineStr">
        <is>
          <t>Regency Place</t>
        </is>
      </c>
      <c r="F714" s="69" t="inlineStr">
        <is>
          <t>LNUBS19C16-39.000</t>
        </is>
      </c>
      <c r="G714" s="70" t="n"/>
      <c r="H714" s="71" t="n">
        <v>5700000</v>
      </c>
      <c r="I714" s="71" t="n">
        <v>4966372.0499985</v>
      </c>
      <c r="J714" s="72" t="n">
        <v>4.79</v>
      </c>
      <c r="K714" s="69" t="inlineStr">
        <is>
          <t>Fixed rate</t>
        </is>
      </c>
      <c r="L714" s="68" t="n">
        <v>120</v>
      </c>
      <c r="M714" s="68" t="n">
        <v>30</v>
      </c>
      <c r="N714" s="68" t="n">
        <v>360</v>
      </c>
      <c r="O714" s="68" t="n"/>
      <c r="P714" s="68" t="n"/>
      <c r="Q714" s="68" t="n">
        <v>90</v>
      </c>
      <c r="R714" s="69" t="n"/>
      <c r="S714" s="69" t="inlineStr">
        <is>
          <t>No</t>
        </is>
      </c>
      <c r="T714" s="73" t="n">
        <v>43525</v>
      </c>
      <c r="U714" s="73" t="n">
        <v>47183</v>
      </c>
      <c r="V714" s="73" t="n"/>
      <c r="W714" s="69" t="n"/>
      <c r="X714" s="69" t="inlineStr">
        <is>
          <t>Current</t>
        </is>
      </c>
      <c r="Y714" s="68" t="n"/>
      <c r="Z714" s="69" t="inlineStr">
        <is>
          <t>No Defeasance Occurred</t>
        </is>
      </c>
      <c r="AA714" s="69" t="n"/>
      <c r="AB714" s="69" t="inlineStr">
        <is>
          <t>Never special serv</t>
        </is>
      </c>
      <c r="AC714" s="73" t="n"/>
      <c r="AD714" s="69" t="n"/>
      <c r="AE714" s="69" t="n"/>
      <c r="AF714" s="69" t="inlineStr">
        <is>
          <t>MI</t>
        </is>
      </c>
      <c r="AG714" s="69" t="inlineStr">
        <is>
          <t>Detroit</t>
        </is>
      </c>
      <c r="AH714" s="69" t="inlineStr">
        <is>
          <t>Detroit-Warren-Dearborn, MI</t>
        </is>
      </c>
      <c r="AI714" s="69" t="inlineStr">
        <is>
          <t>Midwest / Central East</t>
        </is>
      </c>
      <c r="AJ714" s="69" t="inlineStr">
        <is>
          <t>MF</t>
        </is>
      </c>
      <c r="AK714" s="69" t="inlineStr">
        <is>
          <t>Garden</t>
        </is>
      </c>
      <c r="AL714" s="68" t="n">
        <v>1</v>
      </c>
      <c r="AM714" s="68" t="n">
        <v>144</v>
      </c>
      <c r="AN714" s="68" t="n"/>
      <c r="AO714" s="69" t="inlineStr">
        <is>
          <t>1982</t>
        </is>
      </c>
      <c r="AP714" s="70" t="n">
        <v>2017</v>
      </c>
      <c r="AQ714" s="74" t="n">
        <v>1.49</v>
      </c>
      <c r="AR714" s="74" t="n">
        <v>1.65</v>
      </c>
      <c r="AS714" s="74" t="n">
        <v>60.3</v>
      </c>
      <c r="AT714" s="74" t="n">
        <v>52.55</v>
      </c>
      <c r="AU714" s="74" t="n">
        <v>49.3</v>
      </c>
      <c r="AV714" s="74" t="n">
        <v>9.387658070000001</v>
      </c>
      <c r="AW714" s="74" t="n">
        <v>11.921433071</v>
      </c>
      <c r="AX714" s="75" t="n">
        <v>94</v>
      </c>
      <c r="AY714" s="71" t="n">
        <v>9450000</v>
      </c>
      <c r="AZ714" s="71" t="n">
        <v>9450000</v>
      </c>
      <c r="BA714" s="71" t="n">
        <v>535096.51</v>
      </c>
      <c r="BB714" s="71" t="n">
        <v>592062.72</v>
      </c>
      <c r="BC714" s="69" t="inlineStr">
        <is>
          <t>Refinance</t>
        </is>
      </c>
      <c r="BD714" s="69" t="inlineStr">
        <is>
          <t>N</t>
        </is>
      </c>
      <c r="BE714" s="71" t="n"/>
      <c r="BF714" s="71" t="n"/>
      <c r="BG714" s="71" t="n"/>
      <c r="BH714" s="71" t="n">
        <v>0</v>
      </c>
      <c r="BI714" s="71" t="n">
        <v>0</v>
      </c>
      <c r="BJ714" s="69" t="inlineStr">
        <is>
          <t>N</t>
        </is>
      </c>
      <c r="BK714" s="69" t="n"/>
      <c r="BL714" s="75" t="n"/>
      <c r="BM714" s="73" t="n"/>
      <c r="BN714" s="69" t="inlineStr">
        <is>
          <t>Matthew B. Lester</t>
        </is>
      </c>
      <c r="BO714" s="69" t="inlineStr">
        <is>
          <t>UBS</t>
        </is>
      </c>
      <c r="BP714" s="69" t="inlineStr">
        <is>
          <t>Midland Loan Services</t>
        </is>
      </c>
      <c r="BQ714" s="69" t="inlineStr">
        <is>
          <t>Midland Loan Services</t>
        </is>
      </c>
      <c r="BR714" s="69" t="n"/>
      <c r="BS714" s="73" t="n">
        <v>46276</v>
      </c>
      <c r="BU714" s="76">
        <f>IF($C714="","",IFERROR(INDEX(dmName,MATCH($C714,dmID,0)),"Unmapped"))</f>
        <v/>
      </c>
      <c r="BV714" s="76">
        <f>IF($C714="","",IFERROR(INDEX(dmEntity,MATCH($C714,dmID,0)),"Unmapped"))</f>
        <v/>
      </c>
      <c r="BW714" s="77">
        <f>IF($C714="","",IFERROR(INDEX(dmVintage,MATCH($C714,dmID,0)),""))</f>
        <v/>
      </c>
      <c r="BX714" s="78">
        <f>IFERROR(INDEX(dmInclude,MATCH($C714,dmID,0)),0)</f>
        <v/>
      </c>
      <c r="BY714" s="78">
        <f>IF(N($I714)&gt;0,1,0)</f>
        <v/>
      </c>
      <c r="BZ714" s="76">
        <f>IF($AJ714="","Other / Leased Fee",IFERROR(INDEX(mapPTGroup,MATCH(LEFT(TRIM($AJ714),2),mapPTCode,0)),"Other / Leased Fee"))</f>
        <v/>
      </c>
      <c r="CA714" s="76">
        <f>IF(TRIM($AF714&amp;"")="","NR",LEFT(TRIM($AF714),2))</f>
        <v/>
      </c>
      <c r="CB714" s="76">
        <f>IFERROR(LOOKUP(2,1/(LEFT(TRIM($AI714&amp;""),LEN(mapRegion))=mapRegion),mapRegion),"Not Reported")</f>
        <v/>
      </c>
      <c r="CC714" s="76">
        <f>IF($BY714=0,"",IF(TRIM($W714&amp;"")="REO","REO",IF(TRIM($W714&amp;"")="FC","Foreclosure",IF(TRIM($W714&amp;"")="90+","90+ Days Delinquent",IF(TRIM($W714&amp;"")="60","60 Days Delinquent",IF(TRIM($W714&amp;"")="30","30 Days Delinquent",IF($X714="Non-Performing Matured Balloon","Non-Performing Matured Balloon",IF(OR($X714="Late Payment But Less Than 30 Days Delinquent",LEFT($X714&amp;"",20)="Payment Not Received"),"Late / In Grace (&lt;30 Days)",IF($X714="Performing Matured Balloon","Performing Matured Balloon","Current")))))))))</f>
        <v/>
      </c>
      <c r="CD714" s="78">
        <f>IF(OR($CC714="REO",$CC714="Foreclosure",$CC714="90+ Days Delinquent",$CC714="60 Days Delinquent",$CC714="30 Days Delinquent",$CC714="Non-Performing Matured Balloon"),1,0)</f>
        <v/>
      </c>
      <c r="CE714" s="76">
        <f>IF($AB714="Currently special serv","Currently Specially Serviced",IF($AB714="Returned to master serv","Previously Specially Serviced","Never Specially Serviced"))</f>
        <v/>
      </c>
      <c r="CF714" s="78">
        <f>IF($CE714="Currently Specially Serviced",1,0)</f>
        <v/>
      </c>
      <c r="CG714" s="76">
        <f>IF($AA714="Yes","Currently on Watchlist",IF($AA714="Previously","Previously on Watchlist","Never on Watchlist"))</f>
        <v/>
      </c>
      <c r="CH714" s="78">
        <f>IF($CG714="Currently on Watchlist",1,0)</f>
        <v/>
      </c>
      <c r="CI714" s="76">
        <f>IF($Z714="Full Defeasance","Fully Defeased",IF($Z714="Portion Of Loan Previously Defeased","Partially Defeased",IF($Z714="Defeasance Not Allowable","Not Defeased (Not Permitted)","Not Defeased")))</f>
        <v/>
      </c>
      <c r="CJ714" s="78">
        <f>IF($CI714="Fully Defeased",1,0)</f>
        <v/>
      </c>
      <c r="CK714" s="76">
        <f>IF($R714="IO","Full IO",IF(LEFT($R714&amp;"",7)="IO then","Partial IO","Amortizing"))</f>
        <v/>
      </c>
      <c r="CL714" s="78">
        <f>IF($CK714="Full IO",1,0)</f>
        <v/>
      </c>
      <c r="CM714" s="78">
        <f>IF($CK714="Partial IO",1,0)</f>
        <v/>
      </c>
      <c r="CN714" s="76">
        <f>IF(LEFT($F714&amp;"",10)="SPLIT_LOAN","Pari Passu Split","Standalone")</f>
        <v/>
      </c>
      <c r="CO714" s="78">
        <f>IF($CN714="Pari Passu Split",1,0)</f>
        <v/>
      </c>
      <c r="CP714" s="77">
        <f>IF(ISNUMBER($T714),YEAR($T714),"")</f>
        <v/>
      </c>
      <c r="CQ714" s="79">
        <f>IF(ISNUMBER($V714),$V714,IF(ISNUMBER($U714),$U714,""))</f>
        <v/>
      </c>
      <c r="CR714" s="77">
        <f>IF(ISNUMBER($CQ714),YEAR($CQ714),"")</f>
        <v/>
      </c>
      <c r="CS714" s="78">
        <f>IF(ISNUMBER($M714),MAX(0,$M714),IF(TRIM($M714&amp;"")="matured",0,""))</f>
        <v/>
      </c>
      <c r="CT714" s="78">
        <f>IF(AND(ISNUMBER($CS714),N($CS714)&lt;=mMatWindow),1,0)</f>
        <v/>
      </c>
      <c r="CU714" s="80">
        <f>IF(ISNUMBER($J714),$J714/100,"")</f>
        <v/>
      </c>
      <c r="CV714" s="81">
        <f>IF(ISNUMBER($AQ714),$AQ714,"")</f>
        <v/>
      </c>
      <c r="CW714" s="81">
        <f>IF(ISNUMBER($AR714),$AR714,"")</f>
        <v/>
      </c>
      <c r="CX714" s="82">
        <f>IF(ISNUMBER($AS714),$AS714/100,"")</f>
        <v/>
      </c>
      <c r="CY714" s="82">
        <f>IF(ISNUMBER($AT714),$AT714/100,"")</f>
        <v/>
      </c>
      <c r="CZ714" s="82">
        <f>IF(ISNUMBER($AU714),$AU714/100,"")</f>
        <v/>
      </c>
      <c r="DA714" s="82">
        <f>IF(ISNUMBER($AV714),$AV714/100,"")</f>
        <v/>
      </c>
      <c r="DB714" s="82">
        <f>IF(ISNUMBER($AW714),$AW714/100,"")</f>
        <v/>
      </c>
      <c r="DC714" s="82">
        <f>IF(ISNUMBER($AX714),$AX714/100,"")</f>
        <v/>
      </c>
      <c r="DD714" s="77">
        <f>IFERROR(VALUE(LEFT(TRIM($AO714&amp;""),4)),"")</f>
        <v/>
      </c>
      <c r="DE714" s="78">
        <f>IF(AND($BY714=1,$BX714=1,OR(fDeal="All Deals",$BU714=fDeal),OR(fEntity="All Entities",$BV714=fEntity),OR(fPType="All Property Types",$BZ714=fPType),OR(fDefeased="Include",$CJ714=0)),1,0)</f>
        <v/>
      </c>
      <c r="DF714" s="83">
        <f>$DE714*N($I714)</f>
        <v/>
      </c>
      <c r="DG714" s="78">
        <f>IF($DE714=1,IF(COUNTIFS($F$8:$F714,$F714,$DE$8:$DE714,1)=1,1,0),0)</f>
        <v/>
      </c>
      <c r="DH714" s="83">
        <f>IF($DG714=1,SUMIFS($DF$8:$DF$1600,$F$8:$F$1600,$F714),0)</f>
        <v/>
      </c>
      <c r="DI714" s="78">
        <f>IF($DG714=1,COUNTIFS($F$8:$F$1600,$F714,$DE$8:$DE$1600,1),0)</f>
        <v/>
      </c>
      <c r="DJ714" s="84">
        <f>IF($DG714=1,$DH714+(100000-ROW())/mTieBreak,0)</f>
        <v/>
      </c>
    </row>
    <row r="715">
      <c r="B715" s="68" t="n">
        <v>40</v>
      </c>
      <c r="C715" s="69" t="inlineStr">
        <is>
          <t>UBS19C16</t>
        </is>
      </c>
      <c r="D715" s="69" t="inlineStr">
        <is>
          <t>40.000</t>
        </is>
      </c>
      <c r="E715" s="69" t="inlineStr">
        <is>
          <t>Country Inn - Smithfield</t>
        </is>
      </c>
      <c r="F715" s="69" t="inlineStr">
        <is>
          <t>LNUBS19C16-40.000</t>
        </is>
      </c>
      <c r="G715" s="70" t="n"/>
      <c r="H715" s="71" t="n">
        <v>5675000</v>
      </c>
      <c r="I715" s="71" t="n">
        <v>4751310.319997651</v>
      </c>
      <c r="J715" s="72" t="n">
        <v>5.644</v>
      </c>
      <c r="K715" s="69" t="inlineStr">
        <is>
          <t>Fixed rate</t>
        </is>
      </c>
      <c r="L715" s="68" t="n">
        <v>120</v>
      </c>
      <c r="M715" s="68" t="n">
        <v>30</v>
      </c>
      <c r="N715" s="68" t="n">
        <v>300</v>
      </c>
      <c r="O715" s="68" t="n"/>
      <c r="P715" s="68" t="n"/>
      <c r="Q715" s="68" t="n">
        <v>90</v>
      </c>
      <c r="R715" s="69" t="n"/>
      <c r="S715" s="69" t="inlineStr">
        <is>
          <t>No</t>
        </is>
      </c>
      <c r="T715" s="73" t="n">
        <v>43525</v>
      </c>
      <c r="U715" s="73" t="n">
        <v>47183</v>
      </c>
      <c r="V715" s="73" t="n"/>
      <c r="W715" s="69" t="n"/>
      <c r="X715" s="69" t="inlineStr">
        <is>
          <t>Current</t>
        </is>
      </c>
      <c r="Y715" s="68" t="n"/>
      <c r="Z715" s="69" t="inlineStr">
        <is>
          <t>Defeasance Not Allowable</t>
        </is>
      </c>
      <c r="AA715" s="69" t="inlineStr">
        <is>
          <t>Yes</t>
        </is>
      </c>
      <c r="AB715" s="69" t="inlineStr">
        <is>
          <t>Never special serv</t>
        </is>
      </c>
      <c r="AC715" s="73" t="n"/>
      <c r="AD715" s="69" t="n"/>
      <c r="AE715" s="69" t="n"/>
      <c r="AF715" s="69" t="inlineStr">
        <is>
          <t>NC</t>
        </is>
      </c>
      <c r="AG715" s="69" t="inlineStr">
        <is>
          <t>Smithfield</t>
        </is>
      </c>
      <c r="AH715" s="69" t="inlineStr">
        <is>
          <t>Raleigh-Cary, NC</t>
        </is>
      </c>
      <c r="AI715" s="69" t="inlineStr">
        <is>
          <t>South / Atlantic</t>
        </is>
      </c>
      <c r="AJ715" s="69" t="inlineStr">
        <is>
          <t>HT</t>
        </is>
      </c>
      <c r="AK715" s="69" t="inlineStr">
        <is>
          <t>Limited Service</t>
        </is>
      </c>
      <c r="AL715" s="68" t="n">
        <v>1</v>
      </c>
      <c r="AM715" s="68" t="n">
        <v>77</v>
      </c>
      <c r="AN715" s="68" t="n"/>
      <c r="AO715" s="69" t="inlineStr">
        <is>
          <t>2016</t>
        </is>
      </c>
      <c r="AP715" s="70" t="n">
        <v>2016</v>
      </c>
      <c r="AQ715" s="74" t="n">
        <v>1.75</v>
      </c>
      <c r="AR715" s="74" t="n">
        <v>1.05</v>
      </c>
      <c r="AS715" s="74" t="n">
        <v>62.3</v>
      </c>
      <c r="AT715" s="74" t="n">
        <v>52.21</v>
      </c>
      <c r="AU715" s="74" t="n">
        <v>47.7</v>
      </c>
      <c r="AV715" s="74" t="n">
        <v>13.055262555</v>
      </c>
      <c r="AW715" s="74" t="n">
        <v>8.828538692</v>
      </c>
      <c r="AX715" s="75" t="n">
        <v>59</v>
      </c>
      <c r="AY715" s="71" t="n">
        <v>9100000</v>
      </c>
      <c r="AZ715" s="71" t="n">
        <v>9100000</v>
      </c>
      <c r="BA715" s="71" t="n">
        <v>740886.15</v>
      </c>
      <c r="BB715" s="71" t="n">
        <v>111843.05</v>
      </c>
      <c r="BC715" s="69" t="inlineStr">
        <is>
          <t>Refinance</t>
        </is>
      </c>
      <c r="BD715" s="69" t="inlineStr">
        <is>
          <t>N</t>
        </is>
      </c>
      <c r="BE715" s="71" t="n"/>
      <c r="BF715" s="71" t="n"/>
      <c r="BG715" s="71" t="n"/>
      <c r="BH715" s="71" t="n">
        <v>0</v>
      </c>
      <c r="BI715" s="71" t="n">
        <v>0</v>
      </c>
      <c r="BJ715" s="69" t="inlineStr">
        <is>
          <t>N</t>
        </is>
      </c>
      <c r="BK715" s="69" t="n"/>
      <c r="BL715" s="75" t="n"/>
      <c r="BM715" s="73" t="n"/>
      <c r="BN715" s="69" t="inlineStr">
        <is>
          <t>Baljeet Kaur Dhillon</t>
        </is>
      </c>
      <c r="BO715" s="69" t="inlineStr">
        <is>
          <t>UBS</t>
        </is>
      </c>
      <c r="BP715" s="69" t="inlineStr">
        <is>
          <t>Midland Loan Services</t>
        </is>
      </c>
      <c r="BQ715" s="69" t="inlineStr">
        <is>
          <t>Midland Loan Services</t>
        </is>
      </c>
      <c r="BR715" s="69" t="n"/>
      <c r="BS715" s="73" t="n">
        <v>46276</v>
      </c>
      <c r="BU715" s="76">
        <f>IF($C715="","",IFERROR(INDEX(dmName,MATCH($C715,dmID,0)),"Unmapped"))</f>
        <v/>
      </c>
      <c r="BV715" s="76">
        <f>IF($C715="","",IFERROR(INDEX(dmEntity,MATCH($C715,dmID,0)),"Unmapped"))</f>
        <v/>
      </c>
      <c r="BW715" s="77">
        <f>IF($C715="","",IFERROR(INDEX(dmVintage,MATCH($C715,dmID,0)),""))</f>
        <v/>
      </c>
      <c r="BX715" s="78">
        <f>IFERROR(INDEX(dmInclude,MATCH($C715,dmID,0)),0)</f>
        <v/>
      </c>
      <c r="BY715" s="78">
        <f>IF(N($I715)&gt;0,1,0)</f>
        <v/>
      </c>
      <c r="BZ715" s="76">
        <f>IF($AJ715="","Other / Leased Fee",IFERROR(INDEX(mapPTGroup,MATCH(LEFT(TRIM($AJ715),2),mapPTCode,0)),"Other / Leased Fee"))</f>
        <v/>
      </c>
      <c r="CA715" s="76">
        <f>IF(TRIM($AF715&amp;"")="","NR",LEFT(TRIM($AF715),2))</f>
        <v/>
      </c>
      <c r="CB715" s="76">
        <f>IFERROR(LOOKUP(2,1/(LEFT(TRIM($AI715&amp;""),LEN(mapRegion))=mapRegion),mapRegion),"Not Reported")</f>
        <v/>
      </c>
      <c r="CC715" s="76">
        <f>IF($BY715=0,"",IF(TRIM($W715&amp;"")="REO","REO",IF(TRIM($W715&amp;"")="FC","Foreclosure",IF(TRIM($W715&amp;"")="90+","90+ Days Delinquent",IF(TRIM($W715&amp;"")="60","60 Days Delinquent",IF(TRIM($W715&amp;"")="30","30 Days Delinquent",IF($X715="Non-Performing Matured Balloon","Non-Performing Matured Balloon",IF(OR($X715="Late Payment But Less Than 30 Days Delinquent",LEFT($X715&amp;"",20)="Payment Not Received"),"Late / In Grace (&lt;30 Days)",IF($X715="Performing Matured Balloon","Performing Matured Balloon","Current")))))))))</f>
        <v/>
      </c>
      <c r="CD715" s="78">
        <f>IF(OR($CC715="REO",$CC715="Foreclosure",$CC715="90+ Days Delinquent",$CC715="60 Days Delinquent",$CC715="30 Days Delinquent",$CC715="Non-Performing Matured Balloon"),1,0)</f>
        <v/>
      </c>
      <c r="CE715" s="76">
        <f>IF($AB715="Currently special serv","Currently Specially Serviced",IF($AB715="Returned to master serv","Previously Specially Serviced","Never Specially Serviced"))</f>
        <v/>
      </c>
      <c r="CF715" s="78">
        <f>IF($CE715="Currently Specially Serviced",1,0)</f>
        <v/>
      </c>
      <c r="CG715" s="76">
        <f>IF($AA715="Yes","Currently on Watchlist",IF($AA715="Previously","Previously on Watchlist","Never on Watchlist"))</f>
        <v/>
      </c>
      <c r="CH715" s="78">
        <f>IF($CG715="Currently on Watchlist",1,0)</f>
        <v/>
      </c>
      <c r="CI715" s="76">
        <f>IF($Z715="Full Defeasance","Fully Defeased",IF($Z715="Portion Of Loan Previously Defeased","Partially Defeased",IF($Z715="Defeasance Not Allowable","Not Defeased (Not Permitted)","Not Defeased")))</f>
        <v/>
      </c>
      <c r="CJ715" s="78">
        <f>IF($CI715="Fully Defeased",1,0)</f>
        <v/>
      </c>
      <c r="CK715" s="76">
        <f>IF($R715="IO","Full IO",IF(LEFT($R715&amp;"",7)="IO then","Partial IO","Amortizing"))</f>
        <v/>
      </c>
      <c r="CL715" s="78">
        <f>IF($CK715="Full IO",1,0)</f>
        <v/>
      </c>
      <c r="CM715" s="78">
        <f>IF($CK715="Partial IO",1,0)</f>
        <v/>
      </c>
      <c r="CN715" s="76">
        <f>IF(LEFT($F715&amp;"",10)="SPLIT_LOAN","Pari Passu Split","Standalone")</f>
        <v/>
      </c>
      <c r="CO715" s="78">
        <f>IF($CN715="Pari Passu Split",1,0)</f>
        <v/>
      </c>
      <c r="CP715" s="77">
        <f>IF(ISNUMBER($T715),YEAR($T715),"")</f>
        <v/>
      </c>
      <c r="CQ715" s="79">
        <f>IF(ISNUMBER($V715),$V715,IF(ISNUMBER($U715),$U715,""))</f>
        <v/>
      </c>
      <c r="CR715" s="77">
        <f>IF(ISNUMBER($CQ715),YEAR($CQ715),"")</f>
        <v/>
      </c>
      <c r="CS715" s="78">
        <f>IF(ISNUMBER($M715),MAX(0,$M715),IF(TRIM($M715&amp;"")="matured",0,""))</f>
        <v/>
      </c>
      <c r="CT715" s="78">
        <f>IF(AND(ISNUMBER($CS715),N($CS715)&lt;=mMatWindow),1,0)</f>
        <v/>
      </c>
      <c r="CU715" s="80">
        <f>IF(ISNUMBER($J715),$J715/100,"")</f>
        <v/>
      </c>
      <c r="CV715" s="81">
        <f>IF(ISNUMBER($AQ715),$AQ715,"")</f>
        <v/>
      </c>
      <c r="CW715" s="81">
        <f>IF(ISNUMBER($AR715),$AR715,"")</f>
        <v/>
      </c>
      <c r="CX715" s="82">
        <f>IF(ISNUMBER($AS715),$AS715/100,"")</f>
        <v/>
      </c>
      <c r="CY715" s="82">
        <f>IF(ISNUMBER($AT715),$AT715/100,"")</f>
        <v/>
      </c>
      <c r="CZ715" s="82">
        <f>IF(ISNUMBER($AU715),$AU715/100,"")</f>
        <v/>
      </c>
      <c r="DA715" s="82">
        <f>IF(ISNUMBER($AV715),$AV715/100,"")</f>
        <v/>
      </c>
      <c r="DB715" s="82">
        <f>IF(ISNUMBER($AW715),$AW715/100,"")</f>
        <v/>
      </c>
      <c r="DC715" s="82">
        <f>IF(ISNUMBER($AX715),$AX715/100,"")</f>
        <v/>
      </c>
      <c r="DD715" s="77">
        <f>IFERROR(VALUE(LEFT(TRIM($AO715&amp;""),4)),"")</f>
        <v/>
      </c>
      <c r="DE715" s="78">
        <f>IF(AND($BY715=1,$BX715=1,OR(fDeal="All Deals",$BU715=fDeal),OR(fEntity="All Entities",$BV715=fEntity),OR(fPType="All Property Types",$BZ715=fPType),OR(fDefeased="Include",$CJ715=0)),1,0)</f>
        <v/>
      </c>
      <c r="DF715" s="83">
        <f>$DE715*N($I715)</f>
        <v/>
      </c>
      <c r="DG715" s="78">
        <f>IF($DE715=1,IF(COUNTIFS($F$8:$F715,$F715,$DE$8:$DE715,1)=1,1,0),0)</f>
        <v/>
      </c>
      <c r="DH715" s="83">
        <f>IF($DG715=1,SUMIFS($DF$8:$DF$1600,$F$8:$F$1600,$F715),0)</f>
        <v/>
      </c>
      <c r="DI715" s="78">
        <f>IF($DG715=1,COUNTIFS($F$8:$F$1600,$F715,$DE$8:$DE$1600,1),0)</f>
        <v/>
      </c>
      <c r="DJ715" s="84">
        <f>IF($DG715=1,$DH715+(100000-ROW())/mTieBreak,0)</f>
        <v/>
      </c>
    </row>
    <row r="716">
      <c r="B716" s="68" t="n">
        <v>41</v>
      </c>
      <c r="C716" s="69" t="inlineStr">
        <is>
          <t>UBS19C16</t>
        </is>
      </c>
      <c r="D716" s="69" t="inlineStr">
        <is>
          <t>41.000</t>
        </is>
      </c>
      <c r="E716" s="69" t="inlineStr">
        <is>
          <t>South Towne Center</t>
        </is>
      </c>
      <c r="F716" s="69" t="inlineStr">
        <is>
          <t>LNUBS19C16-41.000</t>
        </is>
      </c>
      <c r="G716" s="70" t="n"/>
      <c r="H716" s="71" t="n">
        <v>5650000</v>
      </c>
      <c r="I716" s="71" t="n">
        <v>4960391.379999151</v>
      </c>
      <c r="J716" s="72" t="n">
        <v>5.035</v>
      </c>
      <c r="K716" s="69" t="inlineStr">
        <is>
          <t>Fixed rate</t>
        </is>
      </c>
      <c r="L716" s="68" t="n">
        <v>120</v>
      </c>
      <c r="M716" s="68" t="n">
        <v>31</v>
      </c>
      <c r="N716" s="68" t="n">
        <v>360</v>
      </c>
      <c r="O716" s="68" t="n"/>
      <c r="P716" s="68" t="n"/>
      <c r="Q716" s="68" t="n">
        <v>89</v>
      </c>
      <c r="R716" s="69" t="n"/>
      <c r="S716" s="69" t="inlineStr">
        <is>
          <t>No</t>
        </is>
      </c>
      <c r="T716" s="73" t="n">
        <v>43556</v>
      </c>
      <c r="U716" s="73" t="n">
        <v>47209</v>
      </c>
      <c r="V716" s="73" t="n"/>
      <c r="W716" s="69" t="n"/>
      <c r="X716" s="69" t="inlineStr">
        <is>
          <t>Current</t>
        </is>
      </c>
      <c r="Y716" s="68" t="n"/>
      <c r="Z716" s="69" t="inlineStr">
        <is>
          <t>No Defeasance Occurred</t>
        </is>
      </c>
      <c r="AA716" s="69" t="inlineStr">
        <is>
          <t>Previously</t>
        </is>
      </c>
      <c r="AB716" s="69" t="inlineStr">
        <is>
          <t>Never special serv</t>
        </is>
      </c>
      <c r="AC716" s="73" t="n"/>
      <c r="AD716" s="69" t="n"/>
      <c r="AE716" s="69" t="n"/>
      <c r="AF716" s="69" t="inlineStr">
        <is>
          <t>WI</t>
        </is>
      </c>
      <c r="AG716" s="69" t="inlineStr">
        <is>
          <t>Milwaukee</t>
        </is>
      </c>
      <c r="AH716" s="69" t="inlineStr">
        <is>
          <t>Milwaukee-Waukesha, WI</t>
        </is>
      </c>
      <c r="AI716" s="69" t="inlineStr">
        <is>
          <t>Midwest / Central East</t>
        </is>
      </c>
      <c r="AJ716" s="69" t="inlineStr">
        <is>
          <t>RT</t>
        </is>
      </c>
      <c r="AK716" s="69" t="inlineStr">
        <is>
          <t>Unanchored</t>
        </is>
      </c>
      <c r="AL716" s="68" t="n">
        <v>1</v>
      </c>
      <c r="AM716" s="68" t="n"/>
      <c r="AN716" s="68" t="n">
        <v>67834</v>
      </c>
      <c r="AO716" s="69" t="inlineStr">
        <is>
          <t>1958</t>
        </is>
      </c>
      <c r="AP716" s="70" t="n">
        <v>1979</v>
      </c>
      <c r="AQ716" s="74" t="n">
        <v>1.41</v>
      </c>
      <c r="AR716" s="74" t="n">
        <v>1.28</v>
      </c>
      <c r="AS716" s="74" t="n">
        <v>73.5</v>
      </c>
      <c r="AT716" s="74" t="n">
        <v>64.5</v>
      </c>
      <c r="AU716" s="74" t="n">
        <v>60.5</v>
      </c>
      <c r="AV716" s="74" t="n">
        <v>9.149017699</v>
      </c>
      <c r="AW716" s="74" t="n">
        <v>9.458924388</v>
      </c>
      <c r="AX716" s="75" t="n">
        <v>59</v>
      </c>
      <c r="AY716" s="71" t="n">
        <v>7690000</v>
      </c>
      <c r="AZ716" s="71" t="n">
        <v>7690000</v>
      </c>
      <c r="BA716" s="71" t="n">
        <v>516919.5</v>
      </c>
      <c r="BB716" s="71" t="n">
        <v>469199.67</v>
      </c>
      <c r="BC716" s="69" t="inlineStr">
        <is>
          <t>Refinance</t>
        </is>
      </c>
      <c r="BD716" s="69" t="inlineStr">
        <is>
          <t>N</t>
        </is>
      </c>
      <c r="BE716" s="71" t="n"/>
      <c r="BF716" s="71" t="n"/>
      <c r="BG716" s="71" t="n"/>
      <c r="BH716" s="71" t="n">
        <v>0</v>
      </c>
      <c r="BI716" s="71" t="n">
        <v>0</v>
      </c>
      <c r="BJ716" s="69" t="inlineStr">
        <is>
          <t>N</t>
        </is>
      </c>
      <c r="BK716" s="69" t="inlineStr">
        <is>
          <t>Millbrew Holdings LLC</t>
        </is>
      </c>
      <c r="BL716" s="75" t="n">
        <v>23.74</v>
      </c>
      <c r="BM716" s="73" t="n">
        <v>51652</v>
      </c>
      <c r="BN716" s="69" t="inlineStr">
        <is>
          <t>Next Realty Fund VIII, LP</t>
        </is>
      </c>
      <c r="BO716" s="69" t="inlineStr">
        <is>
          <t>Morgan Stanley</t>
        </is>
      </c>
      <c r="BP716" s="69" t="inlineStr">
        <is>
          <t>Midland Loan Services</t>
        </is>
      </c>
      <c r="BQ716" s="69" t="inlineStr">
        <is>
          <t>Midland Loan Services</t>
        </is>
      </c>
      <c r="BR716" s="69" t="n"/>
      <c r="BS716" s="73" t="n">
        <v>46276</v>
      </c>
      <c r="BU716" s="76">
        <f>IF($C716="","",IFERROR(INDEX(dmName,MATCH($C716,dmID,0)),"Unmapped"))</f>
        <v/>
      </c>
      <c r="BV716" s="76">
        <f>IF($C716="","",IFERROR(INDEX(dmEntity,MATCH($C716,dmID,0)),"Unmapped"))</f>
        <v/>
      </c>
      <c r="BW716" s="77">
        <f>IF($C716="","",IFERROR(INDEX(dmVintage,MATCH($C716,dmID,0)),""))</f>
        <v/>
      </c>
      <c r="BX716" s="78">
        <f>IFERROR(INDEX(dmInclude,MATCH($C716,dmID,0)),0)</f>
        <v/>
      </c>
      <c r="BY716" s="78">
        <f>IF(N($I716)&gt;0,1,0)</f>
        <v/>
      </c>
      <c r="BZ716" s="76">
        <f>IF($AJ716="","Other / Leased Fee",IFERROR(INDEX(mapPTGroup,MATCH(LEFT(TRIM($AJ716),2),mapPTCode,0)),"Other / Leased Fee"))</f>
        <v/>
      </c>
      <c r="CA716" s="76">
        <f>IF(TRIM($AF716&amp;"")="","NR",LEFT(TRIM($AF716),2))</f>
        <v/>
      </c>
      <c r="CB716" s="76">
        <f>IFERROR(LOOKUP(2,1/(LEFT(TRIM($AI716&amp;""),LEN(mapRegion))=mapRegion),mapRegion),"Not Reported")</f>
        <v/>
      </c>
      <c r="CC716" s="76">
        <f>IF($BY716=0,"",IF(TRIM($W716&amp;"")="REO","REO",IF(TRIM($W716&amp;"")="FC","Foreclosure",IF(TRIM($W716&amp;"")="90+","90+ Days Delinquent",IF(TRIM($W716&amp;"")="60","60 Days Delinquent",IF(TRIM($W716&amp;"")="30","30 Days Delinquent",IF($X716="Non-Performing Matured Balloon","Non-Performing Matured Balloon",IF(OR($X716="Late Payment But Less Than 30 Days Delinquent",LEFT($X716&amp;"",20)="Payment Not Received"),"Late / In Grace (&lt;30 Days)",IF($X716="Performing Matured Balloon","Performing Matured Balloon","Current")))))))))</f>
        <v/>
      </c>
      <c r="CD716" s="78">
        <f>IF(OR($CC716="REO",$CC716="Foreclosure",$CC716="90+ Days Delinquent",$CC716="60 Days Delinquent",$CC716="30 Days Delinquent",$CC716="Non-Performing Matured Balloon"),1,0)</f>
        <v/>
      </c>
      <c r="CE716" s="76">
        <f>IF($AB716="Currently special serv","Currently Specially Serviced",IF($AB716="Returned to master serv","Previously Specially Serviced","Never Specially Serviced"))</f>
        <v/>
      </c>
      <c r="CF716" s="78">
        <f>IF($CE716="Currently Specially Serviced",1,0)</f>
        <v/>
      </c>
      <c r="CG716" s="76">
        <f>IF($AA716="Yes","Currently on Watchlist",IF($AA716="Previously","Previously on Watchlist","Never on Watchlist"))</f>
        <v/>
      </c>
      <c r="CH716" s="78">
        <f>IF($CG716="Currently on Watchlist",1,0)</f>
        <v/>
      </c>
      <c r="CI716" s="76">
        <f>IF($Z716="Full Defeasance","Fully Defeased",IF($Z716="Portion Of Loan Previously Defeased","Partially Defeased",IF($Z716="Defeasance Not Allowable","Not Defeased (Not Permitted)","Not Defeased")))</f>
        <v/>
      </c>
      <c r="CJ716" s="78">
        <f>IF($CI716="Fully Defeased",1,0)</f>
        <v/>
      </c>
      <c r="CK716" s="76">
        <f>IF($R716="IO","Full IO",IF(LEFT($R716&amp;"",7)="IO then","Partial IO","Amortizing"))</f>
        <v/>
      </c>
      <c r="CL716" s="78">
        <f>IF($CK716="Full IO",1,0)</f>
        <v/>
      </c>
      <c r="CM716" s="78">
        <f>IF($CK716="Partial IO",1,0)</f>
        <v/>
      </c>
      <c r="CN716" s="76">
        <f>IF(LEFT($F716&amp;"",10)="SPLIT_LOAN","Pari Passu Split","Standalone")</f>
        <v/>
      </c>
      <c r="CO716" s="78">
        <f>IF($CN716="Pari Passu Split",1,0)</f>
        <v/>
      </c>
      <c r="CP716" s="77">
        <f>IF(ISNUMBER($T716),YEAR($T716),"")</f>
        <v/>
      </c>
      <c r="CQ716" s="79">
        <f>IF(ISNUMBER($V716),$V716,IF(ISNUMBER($U716),$U716,""))</f>
        <v/>
      </c>
      <c r="CR716" s="77">
        <f>IF(ISNUMBER($CQ716),YEAR($CQ716),"")</f>
        <v/>
      </c>
      <c r="CS716" s="78">
        <f>IF(ISNUMBER($M716),MAX(0,$M716),IF(TRIM($M716&amp;"")="matured",0,""))</f>
        <v/>
      </c>
      <c r="CT716" s="78">
        <f>IF(AND(ISNUMBER($CS716),N($CS716)&lt;=mMatWindow),1,0)</f>
        <v/>
      </c>
      <c r="CU716" s="80">
        <f>IF(ISNUMBER($J716),$J716/100,"")</f>
        <v/>
      </c>
      <c r="CV716" s="81">
        <f>IF(ISNUMBER($AQ716),$AQ716,"")</f>
        <v/>
      </c>
      <c r="CW716" s="81">
        <f>IF(ISNUMBER($AR716),$AR716,"")</f>
        <v/>
      </c>
      <c r="CX716" s="82">
        <f>IF(ISNUMBER($AS716),$AS716/100,"")</f>
        <v/>
      </c>
      <c r="CY716" s="82">
        <f>IF(ISNUMBER($AT716),$AT716/100,"")</f>
        <v/>
      </c>
      <c r="CZ716" s="82">
        <f>IF(ISNUMBER($AU716),$AU716/100,"")</f>
        <v/>
      </c>
      <c r="DA716" s="82">
        <f>IF(ISNUMBER($AV716),$AV716/100,"")</f>
        <v/>
      </c>
      <c r="DB716" s="82">
        <f>IF(ISNUMBER($AW716),$AW716/100,"")</f>
        <v/>
      </c>
      <c r="DC716" s="82">
        <f>IF(ISNUMBER($AX716),$AX716/100,"")</f>
        <v/>
      </c>
      <c r="DD716" s="77">
        <f>IFERROR(VALUE(LEFT(TRIM($AO716&amp;""),4)),"")</f>
        <v/>
      </c>
      <c r="DE716" s="78">
        <f>IF(AND($BY716=1,$BX716=1,OR(fDeal="All Deals",$BU716=fDeal),OR(fEntity="All Entities",$BV716=fEntity),OR(fPType="All Property Types",$BZ716=fPType),OR(fDefeased="Include",$CJ716=0)),1,0)</f>
        <v/>
      </c>
      <c r="DF716" s="83">
        <f>$DE716*N($I716)</f>
        <v/>
      </c>
      <c r="DG716" s="78">
        <f>IF($DE716=1,IF(COUNTIFS($F$8:$F716,$F716,$DE$8:$DE716,1)=1,1,0),0)</f>
        <v/>
      </c>
      <c r="DH716" s="83">
        <f>IF($DG716=1,SUMIFS($DF$8:$DF$1600,$F$8:$F$1600,$F716),0)</f>
        <v/>
      </c>
      <c r="DI716" s="78">
        <f>IF($DG716=1,COUNTIFS($F$8:$F$1600,$F716,$DE$8:$DE$1600,1),0)</f>
        <v/>
      </c>
      <c r="DJ716" s="84">
        <f>IF($DG716=1,$DH716+(100000-ROW())/mTieBreak,0)</f>
        <v/>
      </c>
    </row>
    <row r="717">
      <c r="B717" s="68" t="n">
        <v>42</v>
      </c>
      <c r="C717" s="69" t="inlineStr">
        <is>
          <t>UBS19C16</t>
        </is>
      </c>
      <c r="D717" s="69" t="inlineStr">
        <is>
          <t>42.000</t>
        </is>
      </c>
      <c r="E717" s="69" t="inlineStr">
        <is>
          <t>Arrowhead Ranch Business Park</t>
        </is>
      </c>
      <c r="F717" s="69" t="inlineStr">
        <is>
          <t>LNUBS19C16-42.000</t>
        </is>
      </c>
      <c r="G717" s="70" t="n"/>
      <c r="H717" s="71" t="n">
        <v>5270000</v>
      </c>
      <c r="I717" s="71" t="n">
        <v>5086898.66999997</v>
      </c>
      <c r="J717" s="72" t="n">
        <v>5.22</v>
      </c>
      <c r="K717" s="69" t="inlineStr">
        <is>
          <t>Fixed rate</t>
        </is>
      </c>
      <c r="L717" s="68" t="n">
        <v>120</v>
      </c>
      <c r="M717" s="68" t="n">
        <v>30</v>
      </c>
      <c r="N717" s="68" t="n">
        <v>420</v>
      </c>
      <c r="O717" s="68" t="n">
        <v>60</v>
      </c>
      <c r="P717" s="68" t="n">
        <v>0</v>
      </c>
      <c r="Q717" s="68" t="n">
        <v>90</v>
      </c>
      <c r="R717" s="69" t="inlineStr">
        <is>
          <t>IO then Amort</t>
        </is>
      </c>
      <c r="S717" s="69" t="inlineStr">
        <is>
          <t>No</t>
        </is>
      </c>
      <c r="T717" s="73" t="n">
        <v>43525</v>
      </c>
      <c r="U717" s="73" t="n">
        <v>47183</v>
      </c>
      <c r="V717" s="73" t="n"/>
      <c r="W717" s="69" t="n"/>
      <c r="X717" s="69" t="inlineStr">
        <is>
          <t>Current</t>
        </is>
      </c>
      <c r="Y717" s="68" t="n"/>
      <c r="Z717" s="69" t="inlineStr">
        <is>
          <t>Full Defeasance</t>
        </is>
      </c>
      <c r="AA717" s="69" t="n"/>
      <c r="AB717" s="69" t="inlineStr">
        <is>
          <t>Never special serv</t>
        </is>
      </c>
      <c r="AC717" s="73" t="n"/>
      <c r="AD717" s="69" t="n"/>
      <c r="AE717" s="69" t="n"/>
      <c r="AF717" s="69" t="inlineStr">
        <is>
          <t>AZ</t>
        </is>
      </c>
      <c r="AG717" s="69" t="inlineStr">
        <is>
          <t>Peoria</t>
        </is>
      </c>
      <c r="AH717" s="69" t="inlineStr">
        <is>
          <t>Phoenix-Mesa-Chandler, AZ</t>
        </is>
      </c>
      <c r="AI717" s="69" t="inlineStr">
        <is>
          <t>West / Mountain</t>
        </is>
      </c>
      <c r="AJ717" s="69" t="inlineStr">
        <is>
          <t>IN</t>
        </is>
      </c>
      <c r="AK717" s="69" t="inlineStr">
        <is>
          <t>Flex</t>
        </is>
      </c>
      <c r="AL717" s="68" t="n">
        <v>1</v>
      </c>
      <c r="AM717" s="68" t="n"/>
      <c r="AN717" s="68" t="n">
        <v>49980</v>
      </c>
      <c r="AO717" s="69" t="inlineStr">
        <is>
          <t>2007</t>
        </is>
      </c>
      <c r="AP717" s="70" t="n">
        <v>2007</v>
      </c>
      <c r="AQ717" s="74" t="n">
        <v>1.91</v>
      </c>
      <c r="AR717" s="74" t="n">
        <v>1.72</v>
      </c>
      <c r="AS717" s="74" t="n">
        <v>61.6</v>
      </c>
      <c r="AT717" s="74" t="n">
        <v>59.5</v>
      </c>
      <c r="AU717" s="74" t="n">
        <v>57</v>
      </c>
      <c r="AV717" s="74" t="n">
        <v>10.104440228</v>
      </c>
      <c r="AW717" s="74" t="n">
        <v>10.867034825</v>
      </c>
      <c r="AX717" s="75" t="n">
        <v>75</v>
      </c>
      <c r="AY717" s="71" t="n">
        <v>8550000</v>
      </c>
      <c r="AZ717" s="71" t="n">
        <v>8550000</v>
      </c>
      <c r="BA717" s="71" t="n">
        <v>532504</v>
      </c>
      <c r="BB717" s="71" t="n">
        <v>480932.77</v>
      </c>
      <c r="BC717" s="69" t="inlineStr">
        <is>
          <t>Acquisition</t>
        </is>
      </c>
      <c r="BD717" s="69" t="inlineStr">
        <is>
          <t>N</t>
        </is>
      </c>
      <c r="BE717" s="71" t="n"/>
      <c r="BF717" s="71" t="n"/>
      <c r="BG717" s="71" t="n"/>
      <c r="BH717" s="71" t="n">
        <v>0</v>
      </c>
      <c r="BI717" s="71" t="n">
        <v>0</v>
      </c>
      <c r="BJ717" s="69" t="inlineStr">
        <is>
          <t>N</t>
        </is>
      </c>
      <c r="BK717" s="69" t="inlineStr">
        <is>
          <t>DESERT TUMBLING</t>
        </is>
      </c>
      <c r="BL717" s="75" t="n">
        <v>10.14</v>
      </c>
      <c r="BM717" s="73" t="n">
        <v>46203</v>
      </c>
      <c r="BN717" s="69" t="inlineStr">
        <is>
          <t>Derek A. Westen; Derek A. Westen and Elizabeth M. Westen, Trustees of the Westen Trust U/A/7/2/1999; Peter K. Westen; Peter K. Westen and Marianne S. Westen, Trustees of the Peter K. and Marianne S. Westen Revocable Trust, established on June 7, 2007</t>
        </is>
      </c>
      <c r="BO717" s="69" t="inlineStr">
        <is>
          <t>RMF</t>
        </is>
      </c>
      <c r="BP717" s="69" t="inlineStr">
        <is>
          <t>Midland Loan Services</t>
        </is>
      </c>
      <c r="BQ717" s="69" t="inlineStr">
        <is>
          <t>Midland Loan Services</t>
        </is>
      </c>
      <c r="BR717" s="69" t="n"/>
      <c r="BS717" s="73" t="n">
        <v>46276</v>
      </c>
      <c r="BU717" s="76">
        <f>IF($C717="","",IFERROR(INDEX(dmName,MATCH($C717,dmID,0)),"Unmapped"))</f>
        <v/>
      </c>
      <c r="BV717" s="76">
        <f>IF($C717="","",IFERROR(INDEX(dmEntity,MATCH($C717,dmID,0)),"Unmapped"))</f>
        <v/>
      </c>
      <c r="BW717" s="77">
        <f>IF($C717="","",IFERROR(INDEX(dmVintage,MATCH($C717,dmID,0)),""))</f>
        <v/>
      </c>
      <c r="BX717" s="78">
        <f>IFERROR(INDEX(dmInclude,MATCH($C717,dmID,0)),0)</f>
        <v/>
      </c>
      <c r="BY717" s="78">
        <f>IF(N($I717)&gt;0,1,0)</f>
        <v/>
      </c>
      <c r="BZ717" s="76">
        <f>IF($AJ717="","Other / Leased Fee",IFERROR(INDEX(mapPTGroup,MATCH(LEFT(TRIM($AJ717),2),mapPTCode,0)),"Other / Leased Fee"))</f>
        <v/>
      </c>
      <c r="CA717" s="76">
        <f>IF(TRIM($AF717&amp;"")="","NR",LEFT(TRIM($AF717),2))</f>
        <v/>
      </c>
      <c r="CB717" s="76">
        <f>IFERROR(LOOKUP(2,1/(LEFT(TRIM($AI717&amp;""),LEN(mapRegion))=mapRegion),mapRegion),"Not Reported")</f>
        <v/>
      </c>
      <c r="CC717" s="76">
        <f>IF($BY717=0,"",IF(TRIM($W717&amp;"")="REO","REO",IF(TRIM($W717&amp;"")="FC","Foreclosure",IF(TRIM($W717&amp;"")="90+","90+ Days Delinquent",IF(TRIM($W717&amp;"")="60","60 Days Delinquent",IF(TRIM($W717&amp;"")="30","30 Days Delinquent",IF($X717="Non-Performing Matured Balloon","Non-Performing Matured Balloon",IF(OR($X717="Late Payment But Less Than 30 Days Delinquent",LEFT($X717&amp;"",20)="Payment Not Received"),"Late / In Grace (&lt;30 Days)",IF($X717="Performing Matured Balloon","Performing Matured Balloon","Current")))))))))</f>
        <v/>
      </c>
      <c r="CD717" s="78">
        <f>IF(OR($CC717="REO",$CC717="Foreclosure",$CC717="90+ Days Delinquent",$CC717="60 Days Delinquent",$CC717="30 Days Delinquent",$CC717="Non-Performing Matured Balloon"),1,0)</f>
        <v/>
      </c>
      <c r="CE717" s="76">
        <f>IF($AB717="Currently special serv","Currently Specially Serviced",IF($AB717="Returned to master serv","Previously Specially Serviced","Never Specially Serviced"))</f>
        <v/>
      </c>
      <c r="CF717" s="78">
        <f>IF($CE717="Currently Specially Serviced",1,0)</f>
        <v/>
      </c>
      <c r="CG717" s="76">
        <f>IF($AA717="Yes","Currently on Watchlist",IF($AA717="Previously","Previously on Watchlist","Never on Watchlist"))</f>
        <v/>
      </c>
      <c r="CH717" s="78">
        <f>IF($CG717="Currently on Watchlist",1,0)</f>
        <v/>
      </c>
      <c r="CI717" s="76">
        <f>IF($Z717="Full Defeasance","Fully Defeased",IF($Z717="Portion Of Loan Previously Defeased","Partially Defeased",IF($Z717="Defeasance Not Allowable","Not Defeased (Not Permitted)","Not Defeased")))</f>
        <v/>
      </c>
      <c r="CJ717" s="78">
        <f>IF($CI717="Fully Defeased",1,0)</f>
        <v/>
      </c>
      <c r="CK717" s="76">
        <f>IF($R717="IO","Full IO",IF(LEFT($R717&amp;"",7)="IO then","Partial IO","Amortizing"))</f>
        <v/>
      </c>
      <c r="CL717" s="78">
        <f>IF($CK717="Full IO",1,0)</f>
        <v/>
      </c>
      <c r="CM717" s="78">
        <f>IF($CK717="Partial IO",1,0)</f>
        <v/>
      </c>
      <c r="CN717" s="76">
        <f>IF(LEFT($F717&amp;"",10)="SPLIT_LOAN","Pari Passu Split","Standalone")</f>
        <v/>
      </c>
      <c r="CO717" s="78">
        <f>IF($CN717="Pari Passu Split",1,0)</f>
        <v/>
      </c>
      <c r="CP717" s="77">
        <f>IF(ISNUMBER($T717),YEAR($T717),"")</f>
        <v/>
      </c>
      <c r="CQ717" s="79">
        <f>IF(ISNUMBER($V717),$V717,IF(ISNUMBER($U717),$U717,""))</f>
        <v/>
      </c>
      <c r="CR717" s="77">
        <f>IF(ISNUMBER($CQ717),YEAR($CQ717),"")</f>
        <v/>
      </c>
      <c r="CS717" s="78">
        <f>IF(ISNUMBER($M717),MAX(0,$M717),IF(TRIM($M717&amp;"")="matured",0,""))</f>
        <v/>
      </c>
      <c r="CT717" s="78">
        <f>IF(AND(ISNUMBER($CS717),N($CS717)&lt;=mMatWindow),1,0)</f>
        <v/>
      </c>
      <c r="CU717" s="80">
        <f>IF(ISNUMBER($J717),$J717/100,"")</f>
        <v/>
      </c>
      <c r="CV717" s="81">
        <f>IF(ISNUMBER($AQ717),$AQ717,"")</f>
        <v/>
      </c>
      <c r="CW717" s="81">
        <f>IF(ISNUMBER($AR717),$AR717,"")</f>
        <v/>
      </c>
      <c r="CX717" s="82">
        <f>IF(ISNUMBER($AS717),$AS717/100,"")</f>
        <v/>
      </c>
      <c r="CY717" s="82">
        <f>IF(ISNUMBER($AT717),$AT717/100,"")</f>
        <v/>
      </c>
      <c r="CZ717" s="82">
        <f>IF(ISNUMBER($AU717),$AU717/100,"")</f>
        <v/>
      </c>
      <c r="DA717" s="82">
        <f>IF(ISNUMBER($AV717),$AV717/100,"")</f>
        <v/>
      </c>
      <c r="DB717" s="82">
        <f>IF(ISNUMBER($AW717),$AW717/100,"")</f>
        <v/>
      </c>
      <c r="DC717" s="82">
        <f>IF(ISNUMBER($AX717),$AX717/100,"")</f>
        <v/>
      </c>
      <c r="DD717" s="77">
        <f>IFERROR(VALUE(LEFT(TRIM($AO717&amp;""),4)),"")</f>
        <v/>
      </c>
      <c r="DE717" s="78">
        <f>IF(AND($BY717=1,$BX717=1,OR(fDeal="All Deals",$BU717=fDeal),OR(fEntity="All Entities",$BV717=fEntity),OR(fPType="All Property Types",$BZ717=fPType),OR(fDefeased="Include",$CJ717=0)),1,0)</f>
        <v/>
      </c>
      <c r="DF717" s="83">
        <f>$DE717*N($I717)</f>
        <v/>
      </c>
      <c r="DG717" s="78">
        <f>IF($DE717=1,IF(COUNTIFS($F$8:$F717,$F717,$DE$8:$DE717,1)=1,1,0),0)</f>
        <v/>
      </c>
      <c r="DH717" s="83">
        <f>IF($DG717=1,SUMIFS($DF$8:$DF$1600,$F$8:$F$1600,$F717),0)</f>
        <v/>
      </c>
      <c r="DI717" s="78">
        <f>IF($DG717=1,COUNTIFS($F$8:$F$1600,$F717,$DE$8:$DE$1600,1),0)</f>
        <v/>
      </c>
      <c r="DJ717" s="84">
        <f>IF($DG717=1,$DH717+(100000-ROW())/mTieBreak,0)</f>
        <v/>
      </c>
    </row>
    <row r="718">
      <c r="B718" s="68" t="n">
        <v>43</v>
      </c>
      <c r="C718" s="69" t="inlineStr">
        <is>
          <t>UBS19C16</t>
        </is>
      </c>
      <c r="D718" s="69" t="inlineStr">
        <is>
          <t>43.000</t>
        </is>
      </c>
      <c r="E718" s="69" t="inlineStr">
        <is>
          <t>BNSF Logistics</t>
        </is>
      </c>
      <c r="F718" s="69" t="inlineStr">
        <is>
          <t>LNUBS19C16-43.000</t>
        </is>
      </c>
      <c r="G718" s="70" t="n"/>
      <c r="H718" s="71" t="n">
        <v>5100000</v>
      </c>
      <c r="I718" s="71" t="n">
        <v>4901652.9199986</v>
      </c>
      <c r="J718" s="72" t="n">
        <v>4.85</v>
      </c>
      <c r="K718" s="69" t="inlineStr">
        <is>
          <t>Fixed rate</t>
        </is>
      </c>
      <c r="L718" s="68" t="n">
        <v>120</v>
      </c>
      <c r="M718" s="68" t="n">
        <v>29</v>
      </c>
      <c r="N718" s="68" t="n">
        <v>420</v>
      </c>
      <c r="O718" s="68" t="n">
        <v>60</v>
      </c>
      <c r="P718" s="68" t="n">
        <v>0</v>
      </c>
      <c r="Q718" s="68" t="n">
        <v>91</v>
      </c>
      <c r="R718" s="69" t="inlineStr">
        <is>
          <t>IO then Amort</t>
        </is>
      </c>
      <c r="S718" s="69" t="inlineStr">
        <is>
          <t>No</t>
        </is>
      </c>
      <c r="T718" s="73" t="n">
        <v>43497</v>
      </c>
      <c r="U718" s="73" t="n">
        <v>47155</v>
      </c>
      <c r="V718" s="73" t="n"/>
      <c r="W718" s="69" t="n"/>
      <c r="X718" s="69" t="inlineStr">
        <is>
          <t>Current</t>
        </is>
      </c>
      <c r="Y718" s="68" t="n"/>
      <c r="Z718" s="69" t="inlineStr">
        <is>
          <t>Full Defeasance</t>
        </is>
      </c>
      <c r="AA718" s="69" t="inlineStr">
        <is>
          <t>Yes</t>
        </is>
      </c>
      <c r="AB718" s="69" t="inlineStr">
        <is>
          <t>Never special serv</t>
        </is>
      </c>
      <c r="AC718" s="73" t="n"/>
      <c r="AD718" s="69" t="n"/>
      <c r="AE718" s="69" t="n"/>
      <c r="AF718" s="69" t="inlineStr">
        <is>
          <t>AR</t>
        </is>
      </c>
      <c r="AG718" s="69" t="inlineStr">
        <is>
          <t>Springdale</t>
        </is>
      </c>
      <c r="AH718" s="69" t="inlineStr">
        <is>
          <t>Fayetteville-Springdale-Rogers, AR</t>
        </is>
      </c>
      <c r="AI718" s="69" t="inlineStr">
        <is>
          <t>South / Central West</t>
        </is>
      </c>
      <c r="AJ718" s="69" t="inlineStr">
        <is>
          <t>OF</t>
        </is>
      </c>
      <c r="AK718" s="69" t="inlineStr">
        <is>
          <t>Suburban</t>
        </is>
      </c>
      <c r="AL718" s="68" t="n">
        <v>1</v>
      </c>
      <c r="AM718" s="68" t="n"/>
      <c r="AN718" s="68" t="n">
        <v>30339</v>
      </c>
      <c r="AO718" s="69" t="inlineStr">
        <is>
          <t>2015</t>
        </is>
      </c>
      <c r="AP718" s="70" t="n">
        <v>2015</v>
      </c>
      <c r="AQ718" s="74" t="n">
        <v>1.9</v>
      </c>
      <c r="AR718" s="74" t="n">
        <v>2.11</v>
      </c>
      <c r="AS718" s="74" t="n">
        <v>62.2</v>
      </c>
      <c r="AT718" s="74" t="n">
        <v>59.78</v>
      </c>
      <c r="AU718" s="74" t="n">
        <v>57.2</v>
      </c>
      <c r="AV718" s="74" t="n">
        <v>9.360462157000001</v>
      </c>
      <c r="AW718" s="74" t="n">
        <v>10.807365569</v>
      </c>
      <c r="AX718" s="75" t="n">
        <v>100</v>
      </c>
      <c r="AY718" s="71" t="n">
        <v>8200000</v>
      </c>
      <c r="AZ718" s="71" t="n">
        <v>8200000</v>
      </c>
      <c r="BA718" s="71" t="n">
        <v>477383.57</v>
      </c>
      <c r="BB718" s="71" t="n">
        <v>529739.55</v>
      </c>
      <c r="BC718" s="69" t="inlineStr">
        <is>
          <t>Acquisition</t>
        </is>
      </c>
      <c r="BD718" s="69" t="inlineStr">
        <is>
          <t>N</t>
        </is>
      </c>
      <c r="BE718" s="71" t="n"/>
      <c r="BF718" s="71" t="n"/>
      <c r="BG718" s="71" t="n"/>
      <c r="BH718" s="71" t="n">
        <v>0</v>
      </c>
      <c r="BI718" s="71" t="n">
        <v>0</v>
      </c>
      <c r="BJ718" s="69" t="inlineStr">
        <is>
          <t>N</t>
        </is>
      </c>
      <c r="BK718" s="69" t="inlineStr">
        <is>
          <t>BNSF Logistics LLC</t>
        </is>
      </c>
      <c r="BL718" s="75" t="n">
        <v>100</v>
      </c>
      <c r="BM718" s="73" t="n">
        <v>47422</v>
      </c>
      <c r="BN718" s="69" t="inlineStr">
        <is>
          <t>2710 Springdale Master Lessee, LLC; Karen E. Kennedy</t>
        </is>
      </c>
      <c r="BO718" s="69" t="inlineStr">
        <is>
          <t>Ladder Capital Finance</t>
        </is>
      </c>
      <c r="BP718" s="69" t="inlineStr">
        <is>
          <t>Midland Loan Services</t>
        </is>
      </c>
      <c r="BQ718" s="69" t="inlineStr">
        <is>
          <t>Midland Loan Services</t>
        </is>
      </c>
      <c r="BR718" s="69" t="n"/>
      <c r="BS718" s="73" t="n">
        <v>46276</v>
      </c>
      <c r="BU718" s="76">
        <f>IF($C718="","",IFERROR(INDEX(dmName,MATCH($C718,dmID,0)),"Unmapped"))</f>
        <v/>
      </c>
      <c r="BV718" s="76">
        <f>IF($C718="","",IFERROR(INDEX(dmEntity,MATCH($C718,dmID,0)),"Unmapped"))</f>
        <v/>
      </c>
      <c r="BW718" s="77">
        <f>IF($C718="","",IFERROR(INDEX(dmVintage,MATCH($C718,dmID,0)),""))</f>
        <v/>
      </c>
      <c r="BX718" s="78">
        <f>IFERROR(INDEX(dmInclude,MATCH($C718,dmID,0)),0)</f>
        <v/>
      </c>
      <c r="BY718" s="78">
        <f>IF(N($I718)&gt;0,1,0)</f>
        <v/>
      </c>
      <c r="BZ718" s="76">
        <f>IF($AJ718="","Other / Leased Fee",IFERROR(INDEX(mapPTGroup,MATCH(LEFT(TRIM($AJ718),2),mapPTCode,0)),"Other / Leased Fee"))</f>
        <v/>
      </c>
      <c r="CA718" s="76">
        <f>IF(TRIM($AF718&amp;"")="","NR",LEFT(TRIM($AF718),2))</f>
        <v/>
      </c>
      <c r="CB718" s="76">
        <f>IFERROR(LOOKUP(2,1/(LEFT(TRIM($AI718&amp;""),LEN(mapRegion))=mapRegion),mapRegion),"Not Reported")</f>
        <v/>
      </c>
      <c r="CC718" s="76">
        <f>IF($BY718=0,"",IF(TRIM($W718&amp;"")="REO","REO",IF(TRIM($W718&amp;"")="FC","Foreclosure",IF(TRIM($W718&amp;"")="90+","90+ Days Delinquent",IF(TRIM($W718&amp;"")="60","60 Days Delinquent",IF(TRIM($W718&amp;"")="30","30 Days Delinquent",IF($X718="Non-Performing Matured Balloon","Non-Performing Matured Balloon",IF(OR($X718="Late Payment But Less Than 30 Days Delinquent",LEFT($X718&amp;"",20)="Payment Not Received"),"Late / In Grace (&lt;30 Days)",IF($X718="Performing Matured Balloon","Performing Matured Balloon","Current")))))))))</f>
        <v/>
      </c>
      <c r="CD718" s="78">
        <f>IF(OR($CC718="REO",$CC718="Foreclosure",$CC718="90+ Days Delinquent",$CC718="60 Days Delinquent",$CC718="30 Days Delinquent",$CC718="Non-Performing Matured Balloon"),1,0)</f>
        <v/>
      </c>
      <c r="CE718" s="76">
        <f>IF($AB718="Currently special serv","Currently Specially Serviced",IF($AB718="Returned to master serv","Previously Specially Serviced","Never Specially Serviced"))</f>
        <v/>
      </c>
      <c r="CF718" s="78">
        <f>IF($CE718="Currently Specially Serviced",1,0)</f>
        <v/>
      </c>
      <c r="CG718" s="76">
        <f>IF($AA718="Yes","Currently on Watchlist",IF($AA718="Previously","Previously on Watchlist","Never on Watchlist"))</f>
        <v/>
      </c>
      <c r="CH718" s="78">
        <f>IF($CG718="Currently on Watchlist",1,0)</f>
        <v/>
      </c>
      <c r="CI718" s="76">
        <f>IF($Z718="Full Defeasance","Fully Defeased",IF($Z718="Portion Of Loan Previously Defeased","Partially Defeased",IF($Z718="Defeasance Not Allowable","Not Defeased (Not Permitted)","Not Defeased")))</f>
        <v/>
      </c>
      <c r="CJ718" s="78">
        <f>IF($CI718="Fully Defeased",1,0)</f>
        <v/>
      </c>
      <c r="CK718" s="76">
        <f>IF($R718="IO","Full IO",IF(LEFT($R718&amp;"",7)="IO then","Partial IO","Amortizing"))</f>
        <v/>
      </c>
      <c r="CL718" s="78">
        <f>IF($CK718="Full IO",1,0)</f>
        <v/>
      </c>
      <c r="CM718" s="78">
        <f>IF($CK718="Partial IO",1,0)</f>
        <v/>
      </c>
      <c r="CN718" s="76">
        <f>IF(LEFT($F718&amp;"",10)="SPLIT_LOAN","Pari Passu Split","Standalone")</f>
        <v/>
      </c>
      <c r="CO718" s="78">
        <f>IF($CN718="Pari Passu Split",1,0)</f>
        <v/>
      </c>
      <c r="CP718" s="77">
        <f>IF(ISNUMBER($T718),YEAR($T718),"")</f>
        <v/>
      </c>
      <c r="CQ718" s="79">
        <f>IF(ISNUMBER($V718),$V718,IF(ISNUMBER($U718),$U718,""))</f>
        <v/>
      </c>
      <c r="CR718" s="77">
        <f>IF(ISNUMBER($CQ718),YEAR($CQ718),"")</f>
        <v/>
      </c>
      <c r="CS718" s="78">
        <f>IF(ISNUMBER($M718),MAX(0,$M718),IF(TRIM($M718&amp;"")="matured",0,""))</f>
        <v/>
      </c>
      <c r="CT718" s="78">
        <f>IF(AND(ISNUMBER($CS718),N($CS718)&lt;=mMatWindow),1,0)</f>
        <v/>
      </c>
      <c r="CU718" s="80">
        <f>IF(ISNUMBER($J718),$J718/100,"")</f>
        <v/>
      </c>
      <c r="CV718" s="81">
        <f>IF(ISNUMBER($AQ718),$AQ718,"")</f>
        <v/>
      </c>
      <c r="CW718" s="81">
        <f>IF(ISNUMBER($AR718),$AR718,"")</f>
        <v/>
      </c>
      <c r="CX718" s="82">
        <f>IF(ISNUMBER($AS718),$AS718/100,"")</f>
        <v/>
      </c>
      <c r="CY718" s="82">
        <f>IF(ISNUMBER($AT718),$AT718/100,"")</f>
        <v/>
      </c>
      <c r="CZ718" s="82">
        <f>IF(ISNUMBER($AU718),$AU718/100,"")</f>
        <v/>
      </c>
      <c r="DA718" s="82">
        <f>IF(ISNUMBER($AV718),$AV718/100,"")</f>
        <v/>
      </c>
      <c r="DB718" s="82">
        <f>IF(ISNUMBER($AW718),$AW718/100,"")</f>
        <v/>
      </c>
      <c r="DC718" s="82">
        <f>IF(ISNUMBER($AX718),$AX718/100,"")</f>
        <v/>
      </c>
      <c r="DD718" s="77">
        <f>IFERROR(VALUE(LEFT(TRIM($AO718&amp;""),4)),"")</f>
        <v/>
      </c>
      <c r="DE718" s="78">
        <f>IF(AND($BY718=1,$BX718=1,OR(fDeal="All Deals",$BU718=fDeal),OR(fEntity="All Entities",$BV718=fEntity),OR(fPType="All Property Types",$BZ718=fPType),OR(fDefeased="Include",$CJ718=0)),1,0)</f>
        <v/>
      </c>
      <c r="DF718" s="83">
        <f>$DE718*N($I718)</f>
        <v/>
      </c>
      <c r="DG718" s="78">
        <f>IF($DE718=1,IF(COUNTIFS($F$8:$F718,$F718,$DE$8:$DE718,1)=1,1,0),0)</f>
        <v/>
      </c>
      <c r="DH718" s="83">
        <f>IF($DG718=1,SUMIFS($DF$8:$DF$1600,$F$8:$F$1600,$F718),0)</f>
        <v/>
      </c>
      <c r="DI718" s="78">
        <f>IF($DG718=1,COUNTIFS($F$8:$F$1600,$F718,$DE$8:$DE$1600,1),0)</f>
        <v/>
      </c>
      <c r="DJ718" s="84">
        <f>IF($DG718=1,$DH718+(100000-ROW())/mTieBreak,0)</f>
        <v/>
      </c>
    </row>
    <row r="719">
      <c r="B719" s="68" t="n">
        <v>44</v>
      </c>
      <c r="C719" s="69" t="inlineStr">
        <is>
          <t>UBS19C16</t>
        </is>
      </c>
      <c r="D719" s="69" t="inlineStr">
        <is>
          <t>44.000</t>
        </is>
      </c>
      <c r="E719" s="69" t="inlineStr">
        <is>
          <t>Wisteria Court Apartments</t>
        </is>
      </c>
      <c r="F719" s="69" t="inlineStr">
        <is>
          <t>LNUBS19C16-44.000</t>
        </is>
      </c>
      <c r="G719" s="70" t="n"/>
      <c r="H719" s="71" t="n">
        <v>4500000</v>
      </c>
      <c r="I719" s="71" t="n">
        <v>4027274.159998501</v>
      </c>
      <c r="J719" s="72" t="n">
        <v>5.1</v>
      </c>
      <c r="K719" s="69" t="inlineStr">
        <is>
          <t>Fixed rate</t>
        </is>
      </c>
      <c r="L719" s="68" t="n">
        <v>120</v>
      </c>
      <c r="M719" s="68" t="n">
        <v>29</v>
      </c>
      <c r="N719" s="68" t="n">
        <v>372</v>
      </c>
      <c r="O719" s="68" t="n">
        <v>12</v>
      </c>
      <c r="P719" s="68" t="n">
        <v>0</v>
      </c>
      <c r="Q719" s="68" t="n">
        <v>91</v>
      </c>
      <c r="R719" s="69" t="inlineStr">
        <is>
          <t>IO then Amort</t>
        </is>
      </c>
      <c r="S719" s="69" t="inlineStr">
        <is>
          <t>No</t>
        </is>
      </c>
      <c r="T719" s="73" t="n">
        <v>43497</v>
      </c>
      <c r="U719" s="73" t="n">
        <v>47155</v>
      </c>
      <c r="V719" s="73" t="n"/>
      <c r="W719" s="69" t="n"/>
      <c r="X719" s="69" t="inlineStr">
        <is>
          <t>Current</t>
        </is>
      </c>
      <c r="Y719" s="68" t="n"/>
      <c r="Z719" s="69" t="inlineStr">
        <is>
          <t>Defeasance Not Allowable</t>
        </is>
      </c>
      <c r="AA719" s="69" t="inlineStr">
        <is>
          <t>Yes</t>
        </is>
      </c>
      <c r="AB719" s="69" t="inlineStr">
        <is>
          <t>Never special serv</t>
        </is>
      </c>
      <c r="AC719" s="73" t="n"/>
      <c r="AD719" s="69" t="n"/>
      <c r="AE719" s="69" t="n"/>
      <c r="AF719" s="69" t="inlineStr">
        <is>
          <t>IL</t>
        </is>
      </c>
      <c r="AG719" s="69" t="inlineStr">
        <is>
          <t>Swansea</t>
        </is>
      </c>
      <c r="AH719" s="69" t="inlineStr">
        <is>
          <t>St. Louis, MO-IL</t>
        </is>
      </c>
      <c r="AI719" s="69" t="inlineStr">
        <is>
          <t>Midwest / Central West</t>
        </is>
      </c>
      <c r="AJ719" s="69" t="inlineStr">
        <is>
          <t>MF</t>
        </is>
      </c>
      <c r="AK719" s="69" t="inlineStr">
        <is>
          <t>Garden</t>
        </is>
      </c>
      <c r="AL719" s="68" t="n">
        <v>1</v>
      </c>
      <c r="AM719" s="68" t="n">
        <v>54</v>
      </c>
      <c r="AN719" s="68" t="n"/>
      <c r="AO719" s="69" t="inlineStr">
        <is>
          <t>1969</t>
        </is>
      </c>
      <c r="AP719" s="70" t="n">
        <v>2005</v>
      </c>
      <c r="AQ719" s="74" t="n">
        <v>1.72</v>
      </c>
      <c r="AR719" s="74" t="n">
        <v>1.21</v>
      </c>
      <c r="AS719" s="74" t="n">
        <v>74.8</v>
      </c>
      <c r="AT719" s="74" t="n">
        <v>66.90000000000001</v>
      </c>
      <c r="AU719" s="74" t="n">
        <v>63.3</v>
      </c>
      <c r="AV719" s="74" t="n">
        <v>8.919402443999999</v>
      </c>
      <c r="AW719" s="74" t="n">
        <v>10.030368283</v>
      </c>
      <c r="AX719" s="75" t="n">
        <v>96</v>
      </c>
      <c r="AY719" s="71" t="n">
        <v>6020000</v>
      </c>
      <c r="AZ719" s="71" t="n">
        <v>6020000</v>
      </c>
      <c r="BA719" s="71" t="n">
        <v>401373.11</v>
      </c>
      <c r="BB719" s="71" t="n">
        <v>354579.15</v>
      </c>
      <c r="BC719" s="69" t="inlineStr">
        <is>
          <t>Refinance</t>
        </is>
      </c>
      <c r="BD719" s="69" t="inlineStr">
        <is>
          <t>N</t>
        </is>
      </c>
      <c r="BE719" s="71" t="n"/>
      <c r="BF719" s="71" t="n"/>
      <c r="BG719" s="71" t="n"/>
      <c r="BH719" s="71" t="n">
        <v>0</v>
      </c>
      <c r="BI719" s="71" t="n">
        <v>0</v>
      </c>
      <c r="BJ719" s="69" t="inlineStr">
        <is>
          <t>N</t>
        </is>
      </c>
      <c r="BK719" s="69" t="n"/>
      <c r="BL719" s="75" t="n"/>
      <c r="BM719" s="73" t="n"/>
      <c r="BN719" s="69" t="inlineStr">
        <is>
          <t>Rajpreet Tut</t>
        </is>
      </c>
      <c r="BO719" s="69" t="inlineStr">
        <is>
          <t>UBS</t>
        </is>
      </c>
      <c r="BP719" s="69" t="inlineStr">
        <is>
          <t>Midland Loan Services</t>
        </is>
      </c>
      <c r="BQ719" s="69" t="inlineStr">
        <is>
          <t>Midland Loan Services</t>
        </is>
      </c>
      <c r="BR719" s="69" t="n"/>
      <c r="BS719" s="73" t="n">
        <v>46276</v>
      </c>
      <c r="BU719" s="76">
        <f>IF($C719="","",IFERROR(INDEX(dmName,MATCH($C719,dmID,0)),"Unmapped"))</f>
        <v/>
      </c>
      <c r="BV719" s="76">
        <f>IF($C719="","",IFERROR(INDEX(dmEntity,MATCH($C719,dmID,0)),"Unmapped"))</f>
        <v/>
      </c>
      <c r="BW719" s="77">
        <f>IF($C719="","",IFERROR(INDEX(dmVintage,MATCH($C719,dmID,0)),""))</f>
        <v/>
      </c>
      <c r="BX719" s="78">
        <f>IFERROR(INDEX(dmInclude,MATCH($C719,dmID,0)),0)</f>
        <v/>
      </c>
      <c r="BY719" s="78">
        <f>IF(N($I719)&gt;0,1,0)</f>
        <v/>
      </c>
      <c r="BZ719" s="76">
        <f>IF($AJ719="","Other / Leased Fee",IFERROR(INDEX(mapPTGroup,MATCH(LEFT(TRIM($AJ719),2),mapPTCode,0)),"Other / Leased Fee"))</f>
        <v/>
      </c>
      <c r="CA719" s="76">
        <f>IF(TRIM($AF719&amp;"")="","NR",LEFT(TRIM($AF719),2))</f>
        <v/>
      </c>
      <c r="CB719" s="76">
        <f>IFERROR(LOOKUP(2,1/(LEFT(TRIM($AI719&amp;""),LEN(mapRegion))=mapRegion),mapRegion),"Not Reported")</f>
        <v/>
      </c>
      <c r="CC719" s="76">
        <f>IF($BY719=0,"",IF(TRIM($W719&amp;"")="REO","REO",IF(TRIM($W719&amp;"")="FC","Foreclosure",IF(TRIM($W719&amp;"")="90+","90+ Days Delinquent",IF(TRIM($W719&amp;"")="60","60 Days Delinquent",IF(TRIM($W719&amp;"")="30","30 Days Delinquent",IF($X719="Non-Performing Matured Balloon","Non-Performing Matured Balloon",IF(OR($X719="Late Payment But Less Than 30 Days Delinquent",LEFT($X719&amp;"",20)="Payment Not Received"),"Late / In Grace (&lt;30 Days)",IF($X719="Performing Matured Balloon","Performing Matured Balloon","Current")))))))))</f>
        <v/>
      </c>
      <c r="CD719" s="78">
        <f>IF(OR($CC719="REO",$CC719="Foreclosure",$CC719="90+ Days Delinquent",$CC719="60 Days Delinquent",$CC719="30 Days Delinquent",$CC719="Non-Performing Matured Balloon"),1,0)</f>
        <v/>
      </c>
      <c r="CE719" s="76">
        <f>IF($AB719="Currently special serv","Currently Specially Serviced",IF($AB719="Returned to master serv","Previously Specially Serviced","Never Specially Serviced"))</f>
        <v/>
      </c>
      <c r="CF719" s="78">
        <f>IF($CE719="Currently Specially Serviced",1,0)</f>
        <v/>
      </c>
      <c r="CG719" s="76">
        <f>IF($AA719="Yes","Currently on Watchlist",IF($AA719="Previously","Previously on Watchlist","Never on Watchlist"))</f>
        <v/>
      </c>
      <c r="CH719" s="78">
        <f>IF($CG719="Currently on Watchlist",1,0)</f>
        <v/>
      </c>
      <c r="CI719" s="76">
        <f>IF($Z719="Full Defeasance","Fully Defeased",IF($Z719="Portion Of Loan Previously Defeased","Partially Defeased",IF($Z719="Defeasance Not Allowable","Not Defeased (Not Permitted)","Not Defeased")))</f>
        <v/>
      </c>
      <c r="CJ719" s="78">
        <f>IF($CI719="Fully Defeased",1,0)</f>
        <v/>
      </c>
      <c r="CK719" s="76">
        <f>IF($R719="IO","Full IO",IF(LEFT($R719&amp;"",7)="IO then","Partial IO","Amortizing"))</f>
        <v/>
      </c>
      <c r="CL719" s="78">
        <f>IF($CK719="Full IO",1,0)</f>
        <v/>
      </c>
      <c r="CM719" s="78">
        <f>IF($CK719="Partial IO",1,0)</f>
        <v/>
      </c>
      <c r="CN719" s="76">
        <f>IF(LEFT($F719&amp;"",10)="SPLIT_LOAN","Pari Passu Split","Standalone")</f>
        <v/>
      </c>
      <c r="CO719" s="78">
        <f>IF($CN719="Pari Passu Split",1,0)</f>
        <v/>
      </c>
      <c r="CP719" s="77">
        <f>IF(ISNUMBER($T719),YEAR($T719),"")</f>
        <v/>
      </c>
      <c r="CQ719" s="79">
        <f>IF(ISNUMBER($V719),$V719,IF(ISNUMBER($U719),$U719,""))</f>
        <v/>
      </c>
      <c r="CR719" s="77">
        <f>IF(ISNUMBER($CQ719),YEAR($CQ719),"")</f>
        <v/>
      </c>
      <c r="CS719" s="78">
        <f>IF(ISNUMBER($M719),MAX(0,$M719),IF(TRIM($M719&amp;"")="matured",0,""))</f>
        <v/>
      </c>
      <c r="CT719" s="78">
        <f>IF(AND(ISNUMBER($CS719),N($CS719)&lt;=mMatWindow),1,0)</f>
        <v/>
      </c>
      <c r="CU719" s="80">
        <f>IF(ISNUMBER($J719),$J719/100,"")</f>
        <v/>
      </c>
      <c r="CV719" s="81">
        <f>IF(ISNUMBER($AQ719),$AQ719,"")</f>
        <v/>
      </c>
      <c r="CW719" s="81">
        <f>IF(ISNUMBER($AR719),$AR719,"")</f>
        <v/>
      </c>
      <c r="CX719" s="82">
        <f>IF(ISNUMBER($AS719),$AS719/100,"")</f>
        <v/>
      </c>
      <c r="CY719" s="82">
        <f>IF(ISNUMBER($AT719),$AT719/100,"")</f>
        <v/>
      </c>
      <c r="CZ719" s="82">
        <f>IF(ISNUMBER($AU719),$AU719/100,"")</f>
        <v/>
      </c>
      <c r="DA719" s="82">
        <f>IF(ISNUMBER($AV719),$AV719/100,"")</f>
        <v/>
      </c>
      <c r="DB719" s="82">
        <f>IF(ISNUMBER($AW719),$AW719/100,"")</f>
        <v/>
      </c>
      <c r="DC719" s="82">
        <f>IF(ISNUMBER($AX719),$AX719/100,"")</f>
        <v/>
      </c>
      <c r="DD719" s="77">
        <f>IFERROR(VALUE(LEFT(TRIM($AO719&amp;""),4)),"")</f>
        <v/>
      </c>
      <c r="DE719" s="78">
        <f>IF(AND($BY719=1,$BX719=1,OR(fDeal="All Deals",$BU719=fDeal),OR(fEntity="All Entities",$BV719=fEntity),OR(fPType="All Property Types",$BZ719=fPType),OR(fDefeased="Include",$CJ719=0)),1,0)</f>
        <v/>
      </c>
      <c r="DF719" s="83">
        <f>$DE719*N($I719)</f>
        <v/>
      </c>
      <c r="DG719" s="78">
        <f>IF($DE719=1,IF(COUNTIFS($F$8:$F719,$F719,$DE$8:$DE719,1)=1,1,0),0)</f>
        <v/>
      </c>
      <c r="DH719" s="83">
        <f>IF($DG719=1,SUMIFS($DF$8:$DF$1600,$F$8:$F$1600,$F719),0)</f>
        <v/>
      </c>
      <c r="DI719" s="78">
        <f>IF($DG719=1,COUNTIFS($F$8:$F$1600,$F719,$DE$8:$DE$1600,1),0)</f>
        <v/>
      </c>
      <c r="DJ719" s="84">
        <f>IF($DG719=1,$DH719+(100000-ROW())/mTieBreak,0)</f>
        <v/>
      </c>
    </row>
    <row r="720">
      <c r="B720" s="68" t="n">
        <v>45</v>
      </c>
      <c r="C720" s="69" t="inlineStr">
        <is>
          <t>UBS19C16</t>
        </is>
      </c>
      <c r="D720" s="69" t="inlineStr">
        <is>
          <t>45.000</t>
        </is>
      </c>
      <c r="E720" s="69" t="inlineStr">
        <is>
          <t>Westchester Towers</t>
        </is>
      </c>
      <c r="F720" s="69" t="inlineStr">
        <is>
          <t>LNUBS19C16-45.000</t>
        </is>
      </c>
      <c r="G720" s="70" t="n"/>
      <c r="H720" s="71" t="n">
        <v>4200000</v>
      </c>
      <c r="I720" s="71" t="n">
        <v>3642457.459998001</v>
      </c>
      <c r="J720" s="72" t="n">
        <v>4.6</v>
      </c>
      <c r="K720" s="69" t="inlineStr">
        <is>
          <t>Fixed rate</t>
        </is>
      </c>
      <c r="L720" s="68" t="n">
        <v>120</v>
      </c>
      <c r="M720" s="68" t="n">
        <v>30</v>
      </c>
      <c r="N720" s="68" t="n">
        <v>360</v>
      </c>
      <c r="O720" s="68" t="n"/>
      <c r="P720" s="68" t="n"/>
      <c r="Q720" s="68" t="n">
        <v>90</v>
      </c>
      <c r="R720" s="69" t="n"/>
      <c r="S720" s="69" t="inlineStr">
        <is>
          <t>No</t>
        </is>
      </c>
      <c r="T720" s="73" t="n">
        <v>43525</v>
      </c>
      <c r="U720" s="73" t="n">
        <v>47183</v>
      </c>
      <c r="V720" s="73" t="n"/>
      <c r="W720" s="69" t="n"/>
      <c r="X720" s="69" t="inlineStr">
        <is>
          <t>Current</t>
        </is>
      </c>
      <c r="Y720" s="68" t="n"/>
      <c r="Z720" s="69" t="inlineStr">
        <is>
          <t>No Defeasance Occurred</t>
        </is>
      </c>
      <c r="AA720" s="69" t="inlineStr">
        <is>
          <t>Previously</t>
        </is>
      </c>
      <c r="AB720" s="69" t="inlineStr">
        <is>
          <t>Never special serv</t>
        </is>
      </c>
      <c r="AC720" s="73" t="n"/>
      <c r="AD720" s="69" t="n"/>
      <c r="AE720" s="69" t="n"/>
      <c r="AF720" s="69" t="inlineStr">
        <is>
          <t>MI</t>
        </is>
      </c>
      <c r="AG720" s="69" t="inlineStr">
        <is>
          <t>Wayne</t>
        </is>
      </c>
      <c r="AH720" s="69" t="inlineStr">
        <is>
          <t>Detroit-Warren-Dearborn, MI</t>
        </is>
      </c>
      <c r="AI720" s="69" t="inlineStr">
        <is>
          <t>Midwest / Central East</t>
        </is>
      </c>
      <c r="AJ720" s="69" t="inlineStr">
        <is>
          <t>MF</t>
        </is>
      </c>
      <c r="AK720" s="69" t="inlineStr">
        <is>
          <t>Mid Rise</t>
        </is>
      </c>
      <c r="AL720" s="68" t="n">
        <v>1</v>
      </c>
      <c r="AM720" s="68" t="n">
        <v>223</v>
      </c>
      <c r="AN720" s="68" t="n"/>
      <c r="AO720" s="69" t="inlineStr">
        <is>
          <t>1972</t>
        </is>
      </c>
      <c r="AP720" s="70" t="n">
        <v>2003</v>
      </c>
      <c r="AQ720" s="74" t="n">
        <v>1.88</v>
      </c>
      <c r="AR720" s="74" t="n">
        <v>1.36</v>
      </c>
      <c r="AS720" s="74" t="n">
        <v>67.7</v>
      </c>
      <c r="AT720" s="74" t="n">
        <v>58.75</v>
      </c>
      <c r="AU720" s="74" t="n">
        <v>55</v>
      </c>
      <c r="AV720" s="74" t="n">
        <v>11.58481619</v>
      </c>
      <c r="AW720" s="74" t="n">
        <v>11.692278487</v>
      </c>
      <c r="AX720" s="75" t="n">
        <v>81</v>
      </c>
      <c r="AY720" s="71" t="n">
        <v>6200000</v>
      </c>
      <c r="AZ720" s="71" t="n">
        <v>6200000</v>
      </c>
      <c r="BA720" s="71" t="n">
        <v>486562.28</v>
      </c>
      <c r="BB720" s="71" t="n">
        <v>351032.2</v>
      </c>
      <c r="BC720" s="69" t="inlineStr">
        <is>
          <t>Refinance</t>
        </is>
      </c>
      <c r="BD720" s="69" t="inlineStr">
        <is>
          <t>N</t>
        </is>
      </c>
      <c r="BE720" s="71" t="n"/>
      <c r="BF720" s="71" t="n"/>
      <c r="BG720" s="71" t="n"/>
      <c r="BH720" s="71" t="n">
        <v>0</v>
      </c>
      <c r="BI720" s="71" t="n">
        <v>0</v>
      </c>
      <c r="BJ720" s="69" t="inlineStr">
        <is>
          <t>N</t>
        </is>
      </c>
      <c r="BK720" s="69" t="n"/>
      <c r="BL720" s="75" t="n"/>
      <c r="BM720" s="73" t="n"/>
      <c r="BN720" s="69" t="inlineStr">
        <is>
          <t>Matthew B. Lester</t>
        </is>
      </c>
      <c r="BO720" s="69" t="inlineStr">
        <is>
          <t>UBS</t>
        </is>
      </c>
      <c r="BP720" s="69" t="inlineStr">
        <is>
          <t>Midland Loan Services</t>
        </is>
      </c>
      <c r="BQ720" s="69" t="inlineStr">
        <is>
          <t>Midland Loan Services</t>
        </is>
      </c>
      <c r="BR720" s="69" t="n"/>
      <c r="BS720" s="73" t="n">
        <v>46276</v>
      </c>
      <c r="BU720" s="76">
        <f>IF($C720="","",IFERROR(INDEX(dmName,MATCH($C720,dmID,0)),"Unmapped"))</f>
        <v/>
      </c>
      <c r="BV720" s="76">
        <f>IF($C720="","",IFERROR(INDEX(dmEntity,MATCH($C720,dmID,0)),"Unmapped"))</f>
        <v/>
      </c>
      <c r="BW720" s="77">
        <f>IF($C720="","",IFERROR(INDEX(dmVintage,MATCH($C720,dmID,0)),""))</f>
        <v/>
      </c>
      <c r="BX720" s="78">
        <f>IFERROR(INDEX(dmInclude,MATCH($C720,dmID,0)),0)</f>
        <v/>
      </c>
      <c r="BY720" s="78">
        <f>IF(N($I720)&gt;0,1,0)</f>
        <v/>
      </c>
      <c r="BZ720" s="76">
        <f>IF($AJ720="","Other / Leased Fee",IFERROR(INDEX(mapPTGroup,MATCH(LEFT(TRIM($AJ720),2),mapPTCode,0)),"Other / Leased Fee"))</f>
        <v/>
      </c>
      <c r="CA720" s="76">
        <f>IF(TRIM($AF720&amp;"")="","NR",LEFT(TRIM($AF720),2))</f>
        <v/>
      </c>
      <c r="CB720" s="76">
        <f>IFERROR(LOOKUP(2,1/(LEFT(TRIM($AI720&amp;""),LEN(mapRegion))=mapRegion),mapRegion),"Not Reported")</f>
        <v/>
      </c>
      <c r="CC720" s="76">
        <f>IF($BY720=0,"",IF(TRIM($W720&amp;"")="REO","REO",IF(TRIM($W720&amp;"")="FC","Foreclosure",IF(TRIM($W720&amp;"")="90+","90+ Days Delinquent",IF(TRIM($W720&amp;"")="60","60 Days Delinquent",IF(TRIM($W720&amp;"")="30","30 Days Delinquent",IF($X720="Non-Performing Matured Balloon","Non-Performing Matured Balloon",IF(OR($X720="Late Payment But Less Than 30 Days Delinquent",LEFT($X720&amp;"",20)="Payment Not Received"),"Late / In Grace (&lt;30 Days)",IF($X720="Performing Matured Balloon","Performing Matured Balloon","Current")))))))))</f>
        <v/>
      </c>
      <c r="CD720" s="78">
        <f>IF(OR($CC720="REO",$CC720="Foreclosure",$CC720="90+ Days Delinquent",$CC720="60 Days Delinquent",$CC720="30 Days Delinquent",$CC720="Non-Performing Matured Balloon"),1,0)</f>
        <v/>
      </c>
      <c r="CE720" s="76">
        <f>IF($AB720="Currently special serv","Currently Specially Serviced",IF($AB720="Returned to master serv","Previously Specially Serviced","Never Specially Serviced"))</f>
        <v/>
      </c>
      <c r="CF720" s="78">
        <f>IF($CE720="Currently Specially Serviced",1,0)</f>
        <v/>
      </c>
      <c r="CG720" s="76">
        <f>IF($AA720="Yes","Currently on Watchlist",IF($AA720="Previously","Previously on Watchlist","Never on Watchlist"))</f>
        <v/>
      </c>
      <c r="CH720" s="78">
        <f>IF($CG720="Currently on Watchlist",1,0)</f>
        <v/>
      </c>
      <c r="CI720" s="76">
        <f>IF($Z720="Full Defeasance","Fully Defeased",IF($Z720="Portion Of Loan Previously Defeased","Partially Defeased",IF($Z720="Defeasance Not Allowable","Not Defeased (Not Permitted)","Not Defeased")))</f>
        <v/>
      </c>
      <c r="CJ720" s="78">
        <f>IF($CI720="Fully Defeased",1,0)</f>
        <v/>
      </c>
      <c r="CK720" s="76">
        <f>IF($R720="IO","Full IO",IF(LEFT($R720&amp;"",7)="IO then","Partial IO","Amortizing"))</f>
        <v/>
      </c>
      <c r="CL720" s="78">
        <f>IF($CK720="Full IO",1,0)</f>
        <v/>
      </c>
      <c r="CM720" s="78">
        <f>IF($CK720="Partial IO",1,0)</f>
        <v/>
      </c>
      <c r="CN720" s="76">
        <f>IF(LEFT($F720&amp;"",10)="SPLIT_LOAN","Pari Passu Split","Standalone")</f>
        <v/>
      </c>
      <c r="CO720" s="78">
        <f>IF($CN720="Pari Passu Split",1,0)</f>
        <v/>
      </c>
      <c r="CP720" s="77">
        <f>IF(ISNUMBER($T720),YEAR($T720),"")</f>
        <v/>
      </c>
      <c r="CQ720" s="79">
        <f>IF(ISNUMBER($V720),$V720,IF(ISNUMBER($U720),$U720,""))</f>
        <v/>
      </c>
      <c r="CR720" s="77">
        <f>IF(ISNUMBER($CQ720),YEAR($CQ720),"")</f>
        <v/>
      </c>
      <c r="CS720" s="78">
        <f>IF(ISNUMBER($M720),MAX(0,$M720),IF(TRIM($M720&amp;"")="matured",0,""))</f>
        <v/>
      </c>
      <c r="CT720" s="78">
        <f>IF(AND(ISNUMBER($CS720),N($CS720)&lt;=mMatWindow),1,0)</f>
        <v/>
      </c>
      <c r="CU720" s="80">
        <f>IF(ISNUMBER($J720),$J720/100,"")</f>
        <v/>
      </c>
      <c r="CV720" s="81">
        <f>IF(ISNUMBER($AQ720),$AQ720,"")</f>
        <v/>
      </c>
      <c r="CW720" s="81">
        <f>IF(ISNUMBER($AR720),$AR720,"")</f>
        <v/>
      </c>
      <c r="CX720" s="82">
        <f>IF(ISNUMBER($AS720),$AS720/100,"")</f>
        <v/>
      </c>
      <c r="CY720" s="82">
        <f>IF(ISNUMBER($AT720),$AT720/100,"")</f>
        <v/>
      </c>
      <c r="CZ720" s="82">
        <f>IF(ISNUMBER($AU720),$AU720/100,"")</f>
        <v/>
      </c>
      <c r="DA720" s="82">
        <f>IF(ISNUMBER($AV720),$AV720/100,"")</f>
        <v/>
      </c>
      <c r="DB720" s="82">
        <f>IF(ISNUMBER($AW720),$AW720/100,"")</f>
        <v/>
      </c>
      <c r="DC720" s="82">
        <f>IF(ISNUMBER($AX720),$AX720/100,"")</f>
        <v/>
      </c>
      <c r="DD720" s="77">
        <f>IFERROR(VALUE(LEFT(TRIM($AO720&amp;""),4)),"")</f>
        <v/>
      </c>
      <c r="DE720" s="78">
        <f>IF(AND($BY720=1,$BX720=1,OR(fDeal="All Deals",$BU720=fDeal),OR(fEntity="All Entities",$BV720=fEntity),OR(fPType="All Property Types",$BZ720=fPType),OR(fDefeased="Include",$CJ720=0)),1,0)</f>
        <v/>
      </c>
      <c r="DF720" s="83">
        <f>$DE720*N($I720)</f>
        <v/>
      </c>
      <c r="DG720" s="78">
        <f>IF($DE720=1,IF(COUNTIFS($F$8:$F720,$F720,$DE$8:$DE720,1)=1,1,0),0)</f>
        <v/>
      </c>
      <c r="DH720" s="83">
        <f>IF($DG720=1,SUMIFS($DF$8:$DF$1600,$F$8:$F$1600,$F720),0)</f>
        <v/>
      </c>
      <c r="DI720" s="78">
        <f>IF($DG720=1,COUNTIFS($F$8:$F$1600,$F720,$DE$8:$DE$1600,1),0)</f>
        <v/>
      </c>
      <c r="DJ720" s="84">
        <f>IF($DG720=1,$DH720+(100000-ROW())/mTieBreak,0)</f>
        <v/>
      </c>
    </row>
    <row r="721">
      <c r="B721" s="68" t="n">
        <v>46</v>
      </c>
      <c r="C721" s="69" t="inlineStr">
        <is>
          <t>UBS19C16</t>
        </is>
      </c>
      <c r="D721" s="69" t="inlineStr">
        <is>
          <t>46.000</t>
        </is>
      </c>
      <c r="E721" s="69" t="inlineStr">
        <is>
          <t>Best Western Plus Greensboro</t>
        </is>
      </c>
      <c r="F721" s="69" t="inlineStr">
        <is>
          <t>LNUBS19C16-46.000</t>
        </is>
      </c>
      <c r="G721" s="70" t="n"/>
      <c r="H721" s="71" t="n">
        <v>4000000</v>
      </c>
      <c r="I721" s="71" t="n">
        <v>0</v>
      </c>
      <c r="J721" s="72" t="n">
        <v>6.35</v>
      </c>
      <c r="K721" s="69" t="inlineStr">
        <is>
          <t>Fixed rate</t>
        </is>
      </c>
      <c r="L721" s="68" t="n">
        <v>120</v>
      </c>
      <c r="M721" s="68" t="n"/>
      <c r="N721" s="68" t="n">
        <v>300</v>
      </c>
      <c r="O721" s="68" t="n"/>
      <c r="P721" s="68" t="n"/>
      <c r="Q721" s="68" t="n"/>
      <c r="R721" s="69" t="n"/>
      <c r="S721" s="69" t="inlineStr">
        <is>
          <t>No</t>
        </is>
      </c>
      <c r="T721" s="73" t="n">
        <v>43525</v>
      </c>
      <c r="U721" s="73" t="n">
        <v>47183</v>
      </c>
      <c r="V721" s="73" t="n"/>
      <c r="W721" s="69" t="n"/>
      <c r="X721" s="69" t="inlineStr">
        <is>
          <t>Current</t>
        </is>
      </c>
      <c r="Y721" s="68" t="n"/>
      <c r="Z721" s="69" t="inlineStr">
        <is>
          <t>No Defeasance Occurred</t>
        </is>
      </c>
      <c r="AA721" s="69" t="inlineStr">
        <is>
          <t>Previously</t>
        </is>
      </c>
      <c r="AB721" s="69" t="inlineStr">
        <is>
          <t>Currently special serv</t>
        </is>
      </c>
      <c r="AC721" s="73" t="n">
        <v>44998</v>
      </c>
      <c r="AD721" s="69" t="inlineStr">
        <is>
          <t>Other</t>
        </is>
      </c>
      <c r="AE721" s="69" t="inlineStr">
        <is>
          <t>Resolved</t>
        </is>
      </c>
      <c r="AF721" s="69" t="inlineStr">
        <is>
          <t>NC</t>
        </is>
      </c>
      <c r="AG721" s="69" t="inlineStr">
        <is>
          <t>Greensboro</t>
        </is>
      </c>
      <c r="AH721" s="69" t="inlineStr">
        <is>
          <t>Greensboro-High Point, NC</t>
        </is>
      </c>
      <c r="AI721" s="69" t="inlineStr">
        <is>
          <t>South / Atlantic</t>
        </is>
      </c>
      <c r="AJ721" s="69" t="inlineStr">
        <is>
          <t>HT</t>
        </is>
      </c>
      <c r="AK721" s="69" t="inlineStr">
        <is>
          <t>Limited Service</t>
        </is>
      </c>
      <c r="AL721" s="68" t="n">
        <v>1</v>
      </c>
      <c r="AM721" s="68" t="n">
        <v>76</v>
      </c>
      <c r="AN721" s="68" t="n"/>
      <c r="AO721" s="69" t="inlineStr">
        <is>
          <t>1995</t>
        </is>
      </c>
      <c r="AP721" s="70" t="n">
        <v>1995</v>
      </c>
      <c r="AQ721" s="74" t="n">
        <v>1.52</v>
      </c>
      <c r="AR721" s="74" t="n">
        <v>1.22</v>
      </c>
      <c r="AS721" s="74" t="n">
        <v>63.4</v>
      </c>
      <c r="AT721" s="74" t="n"/>
      <c r="AU721" s="74" t="n">
        <v>49.8</v>
      </c>
      <c r="AV721" s="74" t="n">
        <v>12.136695</v>
      </c>
      <c r="AW721" s="74" t="n"/>
      <c r="AX721" s="75" t="n">
        <v>47</v>
      </c>
      <c r="AY721" s="71" t="n">
        <v>6300000</v>
      </c>
      <c r="AZ721" s="71" t="n">
        <v>8300000</v>
      </c>
      <c r="BA721" s="71" t="n">
        <v>485467.8</v>
      </c>
      <c r="BB721" s="71" t="n">
        <v>389813.43</v>
      </c>
      <c r="BC721" s="69" t="inlineStr">
        <is>
          <t>Acquisition</t>
        </is>
      </c>
      <c r="BD721" s="69" t="inlineStr">
        <is>
          <t>N</t>
        </is>
      </c>
      <c r="BE721" s="71" t="n"/>
      <c r="BF721" s="71" t="n"/>
      <c r="BG721" s="71" t="n"/>
      <c r="BH721" s="71" t="n">
        <v>0</v>
      </c>
      <c r="BI721" s="71" t="n">
        <v>0</v>
      </c>
      <c r="BJ721" s="69" t="inlineStr">
        <is>
          <t>N</t>
        </is>
      </c>
      <c r="BK721" s="69" t="n"/>
      <c r="BL721" s="75" t="n"/>
      <c r="BM721" s="73" t="n"/>
      <c r="BN721" s="69" t="inlineStr">
        <is>
          <t>Janak M. Patel; Nimish A. Shah; Arvind Shah; Bina J. Patel</t>
        </is>
      </c>
      <c r="BO721" s="69" t="inlineStr">
        <is>
          <t>Ladder Capital Finance</t>
        </is>
      </c>
      <c r="BP721" s="69" t="inlineStr">
        <is>
          <t>Midland Loan Services</t>
        </is>
      </c>
      <c r="BQ721" s="69" t="inlineStr">
        <is>
          <t>Midland Loan Services</t>
        </is>
      </c>
      <c r="BR721" s="69" t="inlineStr">
        <is>
          <t>Payoff With Yield Maintenance</t>
        </is>
      </c>
      <c r="BS721" s="73" t="n">
        <v>45118</v>
      </c>
      <c r="BU721" s="76">
        <f>IF($C721="","",IFERROR(INDEX(dmName,MATCH($C721,dmID,0)),"Unmapped"))</f>
        <v/>
      </c>
      <c r="BV721" s="76">
        <f>IF($C721="","",IFERROR(INDEX(dmEntity,MATCH($C721,dmID,0)),"Unmapped"))</f>
        <v/>
      </c>
      <c r="BW721" s="77">
        <f>IF($C721="","",IFERROR(INDEX(dmVintage,MATCH($C721,dmID,0)),""))</f>
        <v/>
      </c>
      <c r="BX721" s="78">
        <f>IFERROR(INDEX(dmInclude,MATCH($C721,dmID,0)),0)</f>
        <v/>
      </c>
      <c r="BY721" s="78">
        <f>IF(N($I721)&gt;0,1,0)</f>
        <v/>
      </c>
      <c r="BZ721" s="76">
        <f>IF($AJ721="","Other / Leased Fee",IFERROR(INDEX(mapPTGroup,MATCH(LEFT(TRIM($AJ721),2),mapPTCode,0)),"Other / Leased Fee"))</f>
        <v/>
      </c>
      <c r="CA721" s="76">
        <f>IF(TRIM($AF721&amp;"")="","NR",LEFT(TRIM($AF721),2))</f>
        <v/>
      </c>
      <c r="CB721" s="76">
        <f>IFERROR(LOOKUP(2,1/(LEFT(TRIM($AI721&amp;""),LEN(mapRegion))=mapRegion),mapRegion),"Not Reported")</f>
        <v/>
      </c>
      <c r="CC721" s="76">
        <f>IF($BY721=0,"",IF(TRIM($W721&amp;"")="REO","REO",IF(TRIM($W721&amp;"")="FC","Foreclosure",IF(TRIM($W721&amp;"")="90+","90+ Days Delinquent",IF(TRIM($W721&amp;"")="60","60 Days Delinquent",IF(TRIM($W721&amp;"")="30","30 Days Delinquent",IF($X721="Non-Performing Matured Balloon","Non-Performing Matured Balloon",IF(OR($X721="Late Payment But Less Than 30 Days Delinquent",LEFT($X721&amp;"",20)="Payment Not Received"),"Late / In Grace (&lt;30 Days)",IF($X721="Performing Matured Balloon","Performing Matured Balloon","Current")))))))))</f>
        <v/>
      </c>
      <c r="CD721" s="78">
        <f>IF(OR($CC721="REO",$CC721="Foreclosure",$CC721="90+ Days Delinquent",$CC721="60 Days Delinquent",$CC721="30 Days Delinquent",$CC721="Non-Performing Matured Balloon"),1,0)</f>
        <v/>
      </c>
      <c r="CE721" s="76">
        <f>IF($AB721="Currently special serv","Currently Specially Serviced",IF($AB721="Returned to master serv","Previously Specially Serviced","Never Specially Serviced"))</f>
        <v/>
      </c>
      <c r="CF721" s="78">
        <f>IF($CE721="Currently Specially Serviced",1,0)</f>
        <v/>
      </c>
      <c r="CG721" s="76">
        <f>IF($AA721="Yes","Currently on Watchlist",IF($AA721="Previously","Previously on Watchlist","Never on Watchlist"))</f>
        <v/>
      </c>
      <c r="CH721" s="78">
        <f>IF($CG721="Currently on Watchlist",1,0)</f>
        <v/>
      </c>
      <c r="CI721" s="76">
        <f>IF($Z721="Full Defeasance","Fully Defeased",IF($Z721="Portion Of Loan Previously Defeased","Partially Defeased",IF($Z721="Defeasance Not Allowable","Not Defeased (Not Permitted)","Not Defeased")))</f>
        <v/>
      </c>
      <c r="CJ721" s="78">
        <f>IF($CI721="Fully Defeased",1,0)</f>
        <v/>
      </c>
      <c r="CK721" s="76">
        <f>IF($R721="IO","Full IO",IF(LEFT($R721&amp;"",7)="IO then","Partial IO","Amortizing"))</f>
        <v/>
      </c>
      <c r="CL721" s="78">
        <f>IF($CK721="Full IO",1,0)</f>
        <v/>
      </c>
      <c r="CM721" s="78">
        <f>IF($CK721="Partial IO",1,0)</f>
        <v/>
      </c>
      <c r="CN721" s="76">
        <f>IF(LEFT($F721&amp;"",10)="SPLIT_LOAN","Pari Passu Split","Standalone")</f>
        <v/>
      </c>
      <c r="CO721" s="78">
        <f>IF($CN721="Pari Passu Split",1,0)</f>
        <v/>
      </c>
      <c r="CP721" s="77">
        <f>IF(ISNUMBER($T721),YEAR($T721),"")</f>
        <v/>
      </c>
      <c r="CQ721" s="79">
        <f>IF(ISNUMBER($V721),$V721,IF(ISNUMBER($U721),$U721,""))</f>
        <v/>
      </c>
      <c r="CR721" s="77">
        <f>IF(ISNUMBER($CQ721),YEAR($CQ721),"")</f>
        <v/>
      </c>
      <c r="CS721" s="78">
        <f>IF(ISNUMBER($M721),MAX(0,$M721),IF(TRIM($M721&amp;"")="matured",0,""))</f>
        <v/>
      </c>
      <c r="CT721" s="78">
        <f>IF(AND(ISNUMBER($CS721),N($CS721)&lt;=mMatWindow),1,0)</f>
        <v/>
      </c>
      <c r="CU721" s="80">
        <f>IF(ISNUMBER($J721),$J721/100,"")</f>
        <v/>
      </c>
      <c r="CV721" s="81">
        <f>IF(ISNUMBER($AQ721),$AQ721,"")</f>
        <v/>
      </c>
      <c r="CW721" s="81">
        <f>IF(ISNUMBER($AR721),$AR721,"")</f>
        <v/>
      </c>
      <c r="CX721" s="82">
        <f>IF(ISNUMBER($AS721),$AS721/100,"")</f>
        <v/>
      </c>
      <c r="CY721" s="82">
        <f>IF(ISNUMBER($AT721),$AT721/100,"")</f>
        <v/>
      </c>
      <c r="CZ721" s="82">
        <f>IF(ISNUMBER($AU721),$AU721/100,"")</f>
        <v/>
      </c>
      <c r="DA721" s="82">
        <f>IF(ISNUMBER($AV721),$AV721/100,"")</f>
        <v/>
      </c>
      <c r="DB721" s="82">
        <f>IF(ISNUMBER($AW721),$AW721/100,"")</f>
        <v/>
      </c>
      <c r="DC721" s="82">
        <f>IF(ISNUMBER($AX721),$AX721/100,"")</f>
        <v/>
      </c>
      <c r="DD721" s="77">
        <f>IFERROR(VALUE(LEFT(TRIM($AO721&amp;""),4)),"")</f>
        <v/>
      </c>
      <c r="DE721" s="78">
        <f>IF(AND($BY721=1,$BX721=1,OR(fDeal="All Deals",$BU721=fDeal),OR(fEntity="All Entities",$BV721=fEntity),OR(fPType="All Property Types",$BZ721=fPType),OR(fDefeased="Include",$CJ721=0)),1,0)</f>
        <v/>
      </c>
      <c r="DF721" s="83">
        <f>$DE721*N($I721)</f>
        <v/>
      </c>
      <c r="DG721" s="78">
        <f>IF($DE721=1,IF(COUNTIFS($F$8:$F721,$F721,$DE$8:$DE721,1)=1,1,0),0)</f>
        <v/>
      </c>
      <c r="DH721" s="83">
        <f>IF($DG721=1,SUMIFS($DF$8:$DF$1600,$F$8:$F$1600,$F721),0)</f>
        <v/>
      </c>
      <c r="DI721" s="78">
        <f>IF($DG721=1,COUNTIFS($F$8:$F$1600,$F721,$DE$8:$DE$1600,1),0)</f>
        <v/>
      </c>
      <c r="DJ721" s="84">
        <f>IF($DG721=1,$DH721+(100000-ROW())/mTieBreak,0)</f>
        <v/>
      </c>
    </row>
    <row r="722">
      <c r="B722" s="68" t="n">
        <v>47</v>
      </c>
      <c r="C722" s="69" t="inlineStr">
        <is>
          <t>UBS19C16</t>
        </is>
      </c>
      <c r="D722" s="69" t="inlineStr">
        <is>
          <t>47.000</t>
        </is>
      </c>
      <c r="E722" s="69" t="inlineStr">
        <is>
          <t>Shoppes at Gloucester</t>
        </is>
      </c>
      <c r="F722" s="69" t="inlineStr">
        <is>
          <t>LNUBS19C16-47.000</t>
        </is>
      </c>
      <c r="G722" s="70" t="n"/>
      <c r="H722" s="71" t="n">
        <v>3900000</v>
      </c>
      <c r="I722" s="71" t="n">
        <v>3456307.780001699</v>
      </c>
      <c r="J722" s="72" t="n">
        <v>5.7</v>
      </c>
      <c r="K722" s="69" t="inlineStr">
        <is>
          <t>Fixed rate</t>
        </is>
      </c>
      <c r="L722" s="68" t="n">
        <v>120</v>
      </c>
      <c r="M722" s="68" t="n">
        <v>28</v>
      </c>
      <c r="N722" s="68" t="n">
        <v>360</v>
      </c>
      <c r="O722" s="68" t="n"/>
      <c r="P722" s="68" t="n"/>
      <c r="Q722" s="68" t="n">
        <v>92</v>
      </c>
      <c r="R722" s="69" t="n"/>
      <c r="S722" s="69" t="inlineStr">
        <is>
          <t>No</t>
        </is>
      </c>
      <c r="T722" s="73" t="n">
        <v>43466</v>
      </c>
      <c r="U722" s="73" t="n">
        <v>47124</v>
      </c>
      <c r="V722" s="73" t="n"/>
      <c r="W722" s="69" t="n"/>
      <c r="X722" s="69" t="inlineStr">
        <is>
          <t>Current</t>
        </is>
      </c>
      <c r="Y722" s="68" t="n"/>
      <c r="Z722" s="69" t="inlineStr">
        <is>
          <t>Defeasance Not Allowable</t>
        </is>
      </c>
      <c r="AA722" s="69" t="inlineStr">
        <is>
          <t>Yes</t>
        </is>
      </c>
      <c r="AB722" s="69" t="inlineStr">
        <is>
          <t>Never special serv</t>
        </is>
      </c>
      <c r="AC722" s="73" t="n"/>
      <c r="AD722" s="69" t="n"/>
      <c r="AE722" s="69" t="n"/>
      <c r="AF722" s="69" t="inlineStr">
        <is>
          <t>VA</t>
        </is>
      </c>
      <c r="AG722" s="69" t="inlineStr">
        <is>
          <t>Gloucester</t>
        </is>
      </c>
      <c r="AH722" s="69" t="inlineStr">
        <is>
          <t>Virginia Beach-Chesapeake-Norfolk, VA-NC</t>
        </is>
      </c>
      <c r="AI722" s="69" t="inlineStr">
        <is>
          <t>South / Atlantic</t>
        </is>
      </c>
      <c r="AJ722" s="69" t="inlineStr">
        <is>
          <t>RT</t>
        </is>
      </c>
      <c r="AK722" s="69" t="inlineStr">
        <is>
          <t>Anchored</t>
        </is>
      </c>
      <c r="AL722" s="68" t="n">
        <v>1</v>
      </c>
      <c r="AM722" s="68" t="n"/>
      <c r="AN722" s="68" t="n">
        <v>74863</v>
      </c>
      <c r="AO722" s="69" t="inlineStr">
        <is>
          <t>1994</t>
        </is>
      </c>
      <c r="AP722" s="70" t="n">
        <v>1994</v>
      </c>
      <c r="AQ722" s="74" t="n">
        <v>1.61</v>
      </c>
      <c r="AR722" s="74" t="n">
        <v>0.27</v>
      </c>
      <c r="AS722" s="74" t="n">
        <v>62.7</v>
      </c>
      <c r="AT722" s="74" t="n">
        <v>55.75</v>
      </c>
      <c r="AU722" s="74" t="n">
        <v>52.9</v>
      </c>
      <c r="AV722" s="74" t="n">
        <v>11.228203846</v>
      </c>
      <c r="AW722" s="74" t="n">
        <v>9.063074238</v>
      </c>
      <c r="AX722" s="75" t="n">
        <v>55</v>
      </c>
      <c r="AY722" s="71" t="n">
        <v>6200000</v>
      </c>
      <c r="AZ722" s="71" t="n">
        <v>6200000</v>
      </c>
      <c r="BA722" s="71" t="n">
        <v>437899.95</v>
      </c>
      <c r="BB722" s="71" t="n">
        <v>74240.53</v>
      </c>
      <c r="BC722" s="69" t="inlineStr">
        <is>
          <t>Refinance</t>
        </is>
      </c>
      <c r="BD722" s="69" t="inlineStr">
        <is>
          <t>N</t>
        </is>
      </c>
      <c r="BE722" s="71" t="n"/>
      <c r="BF722" s="71" t="n"/>
      <c r="BG722" s="71" t="n"/>
      <c r="BH722" s="71" t="n">
        <v>0</v>
      </c>
      <c r="BI722" s="71" t="n">
        <v>0</v>
      </c>
      <c r="BJ722" s="69" t="inlineStr">
        <is>
          <t>N</t>
        </is>
      </c>
      <c r="BK722" s="69" t="inlineStr">
        <is>
          <t>Harbor Freight</t>
        </is>
      </c>
      <c r="BL722" s="75" t="n">
        <v>24.25</v>
      </c>
      <c r="BM722" s="73" t="n">
        <v>49918</v>
      </c>
      <c r="BN722" s="69" t="inlineStr">
        <is>
          <t>Robert Erlich; Josh Weinberg</t>
        </is>
      </c>
      <c r="BO722" s="69" t="inlineStr">
        <is>
          <t>UBS</t>
        </is>
      </c>
      <c r="BP722" s="69" t="inlineStr">
        <is>
          <t>Midland Loan Services</t>
        </is>
      </c>
      <c r="BQ722" s="69" t="inlineStr">
        <is>
          <t>Midland Loan Services</t>
        </is>
      </c>
      <c r="BR722" s="69" t="n"/>
      <c r="BS722" s="73" t="n">
        <v>46276</v>
      </c>
      <c r="BU722" s="76">
        <f>IF($C722="","",IFERROR(INDEX(dmName,MATCH($C722,dmID,0)),"Unmapped"))</f>
        <v/>
      </c>
      <c r="BV722" s="76">
        <f>IF($C722="","",IFERROR(INDEX(dmEntity,MATCH($C722,dmID,0)),"Unmapped"))</f>
        <v/>
      </c>
      <c r="BW722" s="77">
        <f>IF($C722="","",IFERROR(INDEX(dmVintage,MATCH($C722,dmID,0)),""))</f>
        <v/>
      </c>
      <c r="BX722" s="78">
        <f>IFERROR(INDEX(dmInclude,MATCH($C722,dmID,0)),0)</f>
        <v/>
      </c>
      <c r="BY722" s="78">
        <f>IF(N($I722)&gt;0,1,0)</f>
        <v/>
      </c>
      <c r="BZ722" s="76">
        <f>IF($AJ722="","Other / Leased Fee",IFERROR(INDEX(mapPTGroup,MATCH(LEFT(TRIM($AJ722),2),mapPTCode,0)),"Other / Leased Fee"))</f>
        <v/>
      </c>
      <c r="CA722" s="76">
        <f>IF(TRIM($AF722&amp;"")="","NR",LEFT(TRIM($AF722),2))</f>
        <v/>
      </c>
      <c r="CB722" s="76">
        <f>IFERROR(LOOKUP(2,1/(LEFT(TRIM($AI722&amp;""),LEN(mapRegion))=mapRegion),mapRegion),"Not Reported")</f>
        <v/>
      </c>
      <c r="CC722" s="76">
        <f>IF($BY722=0,"",IF(TRIM($W722&amp;"")="REO","REO",IF(TRIM($W722&amp;"")="FC","Foreclosure",IF(TRIM($W722&amp;"")="90+","90+ Days Delinquent",IF(TRIM($W722&amp;"")="60","60 Days Delinquent",IF(TRIM($W722&amp;"")="30","30 Days Delinquent",IF($X722="Non-Performing Matured Balloon","Non-Performing Matured Balloon",IF(OR($X722="Late Payment But Less Than 30 Days Delinquent",LEFT($X722&amp;"",20)="Payment Not Received"),"Late / In Grace (&lt;30 Days)",IF($X722="Performing Matured Balloon","Performing Matured Balloon","Current")))))))))</f>
        <v/>
      </c>
      <c r="CD722" s="78">
        <f>IF(OR($CC722="REO",$CC722="Foreclosure",$CC722="90+ Days Delinquent",$CC722="60 Days Delinquent",$CC722="30 Days Delinquent",$CC722="Non-Performing Matured Balloon"),1,0)</f>
        <v/>
      </c>
      <c r="CE722" s="76">
        <f>IF($AB722="Currently special serv","Currently Specially Serviced",IF($AB722="Returned to master serv","Previously Specially Serviced","Never Specially Serviced"))</f>
        <v/>
      </c>
      <c r="CF722" s="78">
        <f>IF($CE722="Currently Specially Serviced",1,0)</f>
        <v/>
      </c>
      <c r="CG722" s="76">
        <f>IF($AA722="Yes","Currently on Watchlist",IF($AA722="Previously","Previously on Watchlist","Never on Watchlist"))</f>
        <v/>
      </c>
      <c r="CH722" s="78">
        <f>IF($CG722="Currently on Watchlist",1,0)</f>
        <v/>
      </c>
      <c r="CI722" s="76">
        <f>IF($Z722="Full Defeasance","Fully Defeased",IF($Z722="Portion Of Loan Previously Defeased","Partially Defeased",IF($Z722="Defeasance Not Allowable","Not Defeased (Not Permitted)","Not Defeased")))</f>
        <v/>
      </c>
      <c r="CJ722" s="78">
        <f>IF($CI722="Fully Defeased",1,0)</f>
        <v/>
      </c>
      <c r="CK722" s="76">
        <f>IF($R722="IO","Full IO",IF(LEFT($R722&amp;"",7)="IO then","Partial IO","Amortizing"))</f>
        <v/>
      </c>
      <c r="CL722" s="78">
        <f>IF($CK722="Full IO",1,0)</f>
        <v/>
      </c>
      <c r="CM722" s="78">
        <f>IF($CK722="Partial IO",1,0)</f>
        <v/>
      </c>
      <c r="CN722" s="76">
        <f>IF(LEFT($F722&amp;"",10)="SPLIT_LOAN","Pari Passu Split","Standalone")</f>
        <v/>
      </c>
      <c r="CO722" s="78">
        <f>IF($CN722="Pari Passu Split",1,0)</f>
        <v/>
      </c>
      <c r="CP722" s="77">
        <f>IF(ISNUMBER($T722),YEAR($T722),"")</f>
        <v/>
      </c>
      <c r="CQ722" s="79">
        <f>IF(ISNUMBER($V722),$V722,IF(ISNUMBER($U722),$U722,""))</f>
        <v/>
      </c>
      <c r="CR722" s="77">
        <f>IF(ISNUMBER($CQ722),YEAR($CQ722),"")</f>
        <v/>
      </c>
      <c r="CS722" s="78">
        <f>IF(ISNUMBER($M722),MAX(0,$M722),IF(TRIM($M722&amp;"")="matured",0,""))</f>
        <v/>
      </c>
      <c r="CT722" s="78">
        <f>IF(AND(ISNUMBER($CS722),N($CS722)&lt;=mMatWindow),1,0)</f>
        <v/>
      </c>
      <c r="CU722" s="80">
        <f>IF(ISNUMBER($J722),$J722/100,"")</f>
        <v/>
      </c>
      <c r="CV722" s="81">
        <f>IF(ISNUMBER($AQ722),$AQ722,"")</f>
        <v/>
      </c>
      <c r="CW722" s="81">
        <f>IF(ISNUMBER($AR722),$AR722,"")</f>
        <v/>
      </c>
      <c r="CX722" s="82">
        <f>IF(ISNUMBER($AS722),$AS722/100,"")</f>
        <v/>
      </c>
      <c r="CY722" s="82">
        <f>IF(ISNUMBER($AT722),$AT722/100,"")</f>
        <v/>
      </c>
      <c r="CZ722" s="82">
        <f>IF(ISNUMBER($AU722),$AU722/100,"")</f>
        <v/>
      </c>
      <c r="DA722" s="82">
        <f>IF(ISNUMBER($AV722),$AV722/100,"")</f>
        <v/>
      </c>
      <c r="DB722" s="82">
        <f>IF(ISNUMBER($AW722),$AW722/100,"")</f>
        <v/>
      </c>
      <c r="DC722" s="82">
        <f>IF(ISNUMBER($AX722),$AX722/100,"")</f>
        <v/>
      </c>
      <c r="DD722" s="77">
        <f>IFERROR(VALUE(LEFT(TRIM($AO722&amp;""),4)),"")</f>
        <v/>
      </c>
      <c r="DE722" s="78">
        <f>IF(AND($BY722=1,$BX722=1,OR(fDeal="All Deals",$BU722=fDeal),OR(fEntity="All Entities",$BV722=fEntity),OR(fPType="All Property Types",$BZ722=fPType),OR(fDefeased="Include",$CJ722=0)),1,0)</f>
        <v/>
      </c>
      <c r="DF722" s="83">
        <f>$DE722*N($I722)</f>
        <v/>
      </c>
      <c r="DG722" s="78">
        <f>IF($DE722=1,IF(COUNTIFS($F$8:$F722,$F722,$DE$8:$DE722,1)=1,1,0),0)</f>
        <v/>
      </c>
      <c r="DH722" s="83">
        <f>IF($DG722=1,SUMIFS($DF$8:$DF$1600,$F$8:$F$1600,$F722),0)</f>
        <v/>
      </c>
      <c r="DI722" s="78">
        <f>IF($DG722=1,COUNTIFS($F$8:$F$1600,$F722,$DE$8:$DE$1600,1),0)</f>
        <v/>
      </c>
      <c r="DJ722" s="84">
        <f>IF($DG722=1,$DH722+(100000-ROW())/mTieBreak,0)</f>
        <v/>
      </c>
    </row>
    <row r="723">
      <c r="B723" s="68" t="n">
        <v>48</v>
      </c>
      <c r="C723" s="69" t="inlineStr">
        <is>
          <t>UBS19C16</t>
        </is>
      </c>
      <c r="D723" s="69" t="inlineStr">
        <is>
          <t>48.000</t>
        </is>
      </c>
      <c r="E723" s="69" t="inlineStr">
        <is>
          <t>5150 North State Road 7</t>
        </is>
      </c>
      <c r="F723" s="69" t="inlineStr">
        <is>
          <t>LNUBS19C16-48.000</t>
        </is>
      </c>
      <c r="G723" s="70" t="n"/>
      <c r="H723" s="71" t="n">
        <v>3800000</v>
      </c>
      <c r="I723" s="71" t="n">
        <v>3361093.7400016</v>
      </c>
      <c r="J723" s="72" t="n">
        <v>5.361</v>
      </c>
      <c r="K723" s="69" t="inlineStr">
        <is>
          <t>Fixed rate</t>
        </is>
      </c>
      <c r="L723" s="68" t="n">
        <v>120</v>
      </c>
      <c r="M723" s="68" t="n">
        <v>31</v>
      </c>
      <c r="N723" s="68" t="n">
        <v>360</v>
      </c>
      <c r="O723" s="68" t="n"/>
      <c r="P723" s="68" t="n"/>
      <c r="Q723" s="68" t="n">
        <v>89</v>
      </c>
      <c r="R723" s="69" t="n"/>
      <c r="S723" s="69" t="inlineStr">
        <is>
          <t>No</t>
        </is>
      </c>
      <c r="T723" s="73" t="n">
        <v>43556</v>
      </c>
      <c r="U723" s="73" t="n">
        <v>47214</v>
      </c>
      <c r="V723" s="73" t="n"/>
      <c r="W723" s="69" t="n"/>
      <c r="X723" s="69" t="inlineStr">
        <is>
          <t>Current</t>
        </is>
      </c>
      <c r="Y723" s="68" t="n"/>
      <c r="Z723" s="69" t="inlineStr">
        <is>
          <t>No Defeasance Occurred</t>
        </is>
      </c>
      <c r="AA723" s="69" t="inlineStr">
        <is>
          <t>Yes</t>
        </is>
      </c>
      <c r="AB723" s="69" t="inlineStr">
        <is>
          <t>Never special serv</t>
        </is>
      </c>
      <c r="AC723" s="73" t="n"/>
      <c r="AD723" s="69" t="n"/>
      <c r="AE723" s="69" t="n"/>
      <c r="AF723" s="69" t="inlineStr">
        <is>
          <t>FL</t>
        </is>
      </c>
      <c r="AG723" s="69" t="inlineStr">
        <is>
          <t>Fort Lauderdale</t>
        </is>
      </c>
      <c r="AH723" s="69" t="inlineStr">
        <is>
          <t>Miami-Fort Lauderdale-West Palm Beach, FL</t>
        </is>
      </c>
      <c r="AI723" s="69" t="inlineStr">
        <is>
          <t>South / Atlantic</t>
        </is>
      </c>
      <c r="AJ723" s="69" t="inlineStr">
        <is>
          <t>IN</t>
        </is>
      </c>
      <c r="AK723" s="69" t="inlineStr">
        <is>
          <t>Warehouse</t>
        </is>
      </c>
      <c r="AL723" s="68" t="n">
        <v>1</v>
      </c>
      <c r="AM723" s="68" t="n"/>
      <c r="AN723" s="68" t="n">
        <v>32098</v>
      </c>
      <c r="AO723" s="69" t="inlineStr">
        <is>
          <t>1991</t>
        </is>
      </c>
      <c r="AP723" s="70" t="n">
        <v>2017</v>
      </c>
      <c r="AQ723" s="74" t="n">
        <v>1.34</v>
      </c>
      <c r="AR723" s="74" t="n">
        <v>1.92</v>
      </c>
      <c r="AS723" s="74" t="n">
        <v>63.3</v>
      </c>
      <c r="AT723" s="74" t="n">
        <v>56.02</v>
      </c>
      <c r="AU723" s="74" t="n">
        <v>52.7</v>
      </c>
      <c r="AV723" s="74" t="n">
        <v>8.970312894999999</v>
      </c>
      <c r="AW723" s="74" t="n">
        <v>14.575423297</v>
      </c>
      <c r="AX723" s="75" t="n">
        <v>100</v>
      </c>
      <c r="AY723" s="71" t="n">
        <v>6000000</v>
      </c>
      <c r="AZ723" s="71" t="n">
        <v>6000000</v>
      </c>
      <c r="BA723" s="71" t="n">
        <v>340871.89</v>
      </c>
      <c r="BB723" s="71" t="n">
        <v>489893.64</v>
      </c>
      <c r="BC723" s="69" t="inlineStr">
        <is>
          <t>Refinance</t>
        </is>
      </c>
      <c r="BD723" s="69" t="inlineStr">
        <is>
          <t>N</t>
        </is>
      </c>
      <c r="BE723" s="71" t="n"/>
      <c r="BF723" s="71" t="n"/>
      <c r="BG723" s="71" t="n"/>
      <c r="BH723" s="71" t="n">
        <v>0</v>
      </c>
      <c r="BI723" s="71" t="n">
        <v>0</v>
      </c>
      <c r="BJ723" s="69" t="inlineStr">
        <is>
          <t>N</t>
        </is>
      </c>
      <c r="BK723" s="69" t="inlineStr">
        <is>
          <t>Cheney</t>
        </is>
      </c>
      <c r="BL723" s="75" t="n">
        <v>54.89</v>
      </c>
      <c r="BM723" s="73" t="n">
        <v>46708</v>
      </c>
      <c r="BN723" s="69" t="inlineStr">
        <is>
          <t>Joshua Pardue; Mark Gerenger</t>
        </is>
      </c>
      <c r="BO723" s="69" t="inlineStr">
        <is>
          <t>UBS</t>
        </is>
      </c>
      <c r="BP723" s="69" t="inlineStr">
        <is>
          <t>Midland Loan Services</t>
        </is>
      </c>
      <c r="BQ723" s="69" t="inlineStr">
        <is>
          <t>Midland Loan Services</t>
        </is>
      </c>
      <c r="BR723" s="69" t="n"/>
      <c r="BS723" s="73" t="n">
        <v>46276</v>
      </c>
      <c r="BU723" s="76">
        <f>IF($C723="","",IFERROR(INDEX(dmName,MATCH($C723,dmID,0)),"Unmapped"))</f>
        <v/>
      </c>
      <c r="BV723" s="76">
        <f>IF($C723="","",IFERROR(INDEX(dmEntity,MATCH($C723,dmID,0)),"Unmapped"))</f>
        <v/>
      </c>
      <c r="BW723" s="77">
        <f>IF($C723="","",IFERROR(INDEX(dmVintage,MATCH($C723,dmID,0)),""))</f>
        <v/>
      </c>
      <c r="BX723" s="78">
        <f>IFERROR(INDEX(dmInclude,MATCH($C723,dmID,0)),0)</f>
        <v/>
      </c>
      <c r="BY723" s="78">
        <f>IF(N($I723)&gt;0,1,0)</f>
        <v/>
      </c>
      <c r="BZ723" s="76">
        <f>IF($AJ723="","Other / Leased Fee",IFERROR(INDEX(mapPTGroup,MATCH(LEFT(TRIM($AJ723),2),mapPTCode,0)),"Other / Leased Fee"))</f>
        <v/>
      </c>
      <c r="CA723" s="76">
        <f>IF(TRIM($AF723&amp;"")="","NR",LEFT(TRIM($AF723),2))</f>
        <v/>
      </c>
      <c r="CB723" s="76">
        <f>IFERROR(LOOKUP(2,1/(LEFT(TRIM($AI723&amp;""),LEN(mapRegion))=mapRegion),mapRegion),"Not Reported")</f>
        <v/>
      </c>
      <c r="CC723" s="76">
        <f>IF($BY723=0,"",IF(TRIM($W723&amp;"")="REO","REO",IF(TRIM($W723&amp;"")="FC","Foreclosure",IF(TRIM($W723&amp;"")="90+","90+ Days Delinquent",IF(TRIM($W723&amp;"")="60","60 Days Delinquent",IF(TRIM($W723&amp;"")="30","30 Days Delinquent",IF($X723="Non-Performing Matured Balloon","Non-Performing Matured Balloon",IF(OR($X723="Late Payment But Less Than 30 Days Delinquent",LEFT($X723&amp;"",20)="Payment Not Received"),"Late / In Grace (&lt;30 Days)",IF($X723="Performing Matured Balloon","Performing Matured Balloon","Current")))))))))</f>
        <v/>
      </c>
      <c r="CD723" s="78">
        <f>IF(OR($CC723="REO",$CC723="Foreclosure",$CC723="90+ Days Delinquent",$CC723="60 Days Delinquent",$CC723="30 Days Delinquent",$CC723="Non-Performing Matured Balloon"),1,0)</f>
        <v/>
      </c>
      <c r="CE723" s="76">
        <f>IF($AB723="Currently special serv","Currently Specially Serviced",IF($AB723="Returned to master serv","Previously Specially Serviced","Never Specially Serviced"))</f>
        <v/>
      </c>
      <c r="CF723" s="78">
        <f>IF($CE723="Currently Specially Serviced",1,0)</f>
        <v/>
      </c>
      <c r="CG723" s="76">
        <f>IF($AA723="Yes","Currently on Watchlist",IF($AA723="Previously","Previously on Watchlist","Never on Watchlist"))</f>
        <v/>
      </c>
      <c r="CH723" s="78">
        <f>IF($CG723="Currently on Watchlist",1,0)</f>
        <v/>
      </c>
      <c r="CI723" s="76">
        <f>IF($Z723="Full Defeasance","Fully Defeased",IF($Z723="Portion Of Loan Previously Defeased","Partially Defeased",IF($Z723="Defeasance Not Allowable","Not Defeased (Not Permitted)","Not Defeased")))</f>
        <v/>
      </c>
      <c r="CJ723" s="78">
        <f>IF($CI723="Fully Defeased",1,0)</f>
        <v/>
      </c>
      <c r="CK723" s="76">
        <f>IF($R723="IO","Full IO",IF(LEFT($R723&amp;"",7)="IO then","Partial IO","Amortizing"))</f>
        <v/>
      </c>
      <c r="CL723" s="78">
        <f>IF($CK723="Full IO",1,0)</f>
        <v/>
      </c>
      <c r="CM723" s="78">
        <f>IF($CK723="Partial IO",1,0)</f>
        <v/>
      </c>
      <c r="CN723" s="76">
        <f>IF(LEFT($F723&amp;"",10)="SPLIT_LOAN","Pari Passu Split","Standalone")</f>
        <v/>
      </c>
      <c r="CO723" s="78">
        <f>IF($CN723="Pari Passu Split",1,0)</f>
        <v/>
      </c>
      <c r="CP723" s="77">
        <f>IF(ISNUMBER($T723),YEAR($T723),"")</f>
        <v/>
      </c>
      <c r="CQ723" s="79">
        <f>IF(ISNUMBER($V723),$V723,IF(ISNUMBER($U723),$U723,""))</f>
        <v/>
      </c>
      <c r="CR723" s="77">
        <f>IF(ISNUMBER($CQ723),YEAR($CQ723),"")</f>
        <v/>
      </c>
      <c r="CS723" s="78">
        <f>IF(ISNUMBER($M723),MAX(0,$M723),IF(TRIM($M723&amp;"")="matured",0,""))</f>
        <v/>
      </c>
      <c r="CT723" s="78">
        <f>IF(AND(ISNUMBER($CS723),N($CS723)&lt;=mMatWindow),1,0)</f>
        <v/>
      </c>
      <c r="CU723" s="80">
        <f>IF(ISNUMBER($J723),$J723/100,"")</f>
        <v/>
      </c>
      <c r="CV723" s="81">
        <f>IF(ISNUMBER($AQ723),$AQ723,"")</f>
        <v/>
      </c>
      <c r="CW723" s="81">
        <f>IF(ISNUMBER($AR723),$AR723,"")</f>
        <v/>
      </c>
      <c r="CX723" s="82">
        <f>IF(ISNUMBER($AS723),$AS723/100,"")</f>
        <v/>
      </c>
      <c r="CY723" s="82">
        <f>IF(ISNUMBER($AT723),$AT723/100,"")</f>
        <v/>
      </c>
      <c r="CZ723" s="82">
        <f>IF(ISNUMBER($AU723),$AU723/100,"")</f>
        <v/>
      </c>
      <c r="DA723" s="82">
        <f>IF(ISNUMBER($AV723),$AV723/100,"")</f>
        <v/>
      </c>
      <c r="DB723" s="82">
        <f>IF(ISNUMBER($AW723),$AW723/100,"")</f>
        <v/>
      </c>
      <c r="DC723" s="82">
        <f>IF(ISNUMBER($AX723),$AX723/100,"")</f>
        <v/>
      </c>
      <c r="DD723" s="77">
        <f>IFERROR(VALUE(LEFT(TRIM($AO723&amp;""),4)),"")</f>
        <v/>
      </c>
      <c r="DE723" s="78">
        <f>IF(AND($BY723=1,$BX723=1,OR(fDeal="All Deals",$BU723=fDeal),OR(fEntity="All Entities",$BV723=fEntity),OR(fPType="All Property Types",$BZ723=fPType),OR(fDefeased="Include",$CJ723=0)),1,0)</f>
        <v/>
      </c>
      <c r="DF723" s="83">
        <f>$DE723*N($I723)</f>
        <v/>
      </c>
      <c r="DG723" s="78">
        <f>IF($DE723=1,IF(COUNTIFS($F$8:$F723,$F723,$DE$8:$DE723,1)=1,1,0),0)</f>
        <v/>
      </c>
      <c r="DH723" s="83">
        <f>IF($DG723=1,SUMIFS($DF$8:$DF$1600,$F$8:$F$1600,$F723),0)</f>
        <v/>
      </c>
      <c r="DI723" s="78">
        <f>IF($DG723=1,COUNTIFS($F$8:$F$1600,$F723,$DE$8:$DE$1600,1),0)</f>
        <v/>
      </c>
      <c r="DJ723" s="84">
        <f>IF($DG723=1,$DH723+(100000-ROW())/mTieBreak,0)</f>
        <v/>
      </c>
    </row>
    <row r="724">
      <c r="B724" s="68" t="n">
        <v>49</v>
      </c>
      <c r="C724" s="69" t="inlineStr">
        <is>
          <t>UBS19C16</t>
        </is>
      </c>
      <c r="D724" s="69" t="inlineStr">
        <is>
          <t>49.000</t>
        </is>
      </c>
      <c r="E724" s="69" t="inlineStr">
        <is>
          <t>Smoky Hill Shopping Center</t>
        </is>
      </c>
      <c r="F724" s="69" t="inlineStr">
        <is>
          <t>LNUBS19C16-49.000</t>
        </is>
      </c>
      <c r="G724" s="70" t="n"/>
      <c r="H724" s="71" t="n">
        <v>3370000</v>
      </c>
      <c r="I724" s="71" t="n">
        <v>2973410.01999961</v>
      </c>
      <c r="J724" s="72" t="n">
        <v>5.325</v>
      </c>
      <c r="K724" s="69" t="inlineStr">
        <is>
          <t>Fixed rate</t>
        </is>
      </c>
      <c r="L724" s="68" t="n">
        <v>120</v>
      </c>
      <c r="M724" s="68" t="n">
        <v>30</v>
      </c>
      <c r="N724" s="68" t="n">
        <v>360</v>
      </c>
      <c r="O724" s="68" t="n"/>
      <c r="P724" s="68" t="n"/>
      <c r="Q724" s="68" t="n">
        <v>90</v>
      </c>
      <c r="R724" s="69" t="n"/>
      <c r="S724" s="69" t="inlineStr">
        <is>
          <t>No</t>
        </is>
      </c>
      <c r="T724" s="73" t="n">
        <v>43525</v>
      </c>
      <c r="U724" s="73" t="n">
        <v>47183</v>
      </c>
      <c r="V724" s="73" t="n"/>
      <c r="W724" s="69" t="n"/>
      <c r="X724" s="69" t="inlineStr">
        <is>
          <t>Current</t>
        </is>
      </c>
      <c r="Y724" s="68" t="n"/>
      <c r="Z724" s="69" t="inlineStr">
        <is>
          <t>Defeasance Not Allowable</t>
        </is>
      </c>
      <c r="AA724" s="69" t="inlineStr">
        <is>
          <t>Previously</t>
        </is>
      </c>
      <c r="AB724" s="69" t="inlineStr">
        <is>
          <t>Never special serv</t>
        </is>
      </c>
      <c r="AC724" s="73" t="n"/>
      <c r="AD724" s="69" t="n"/>
      <c r="AE724" s="69" t="n"/>
      <c r="AF724" s="69" t="inlineStr">
        <is>
          <t>CO</t>
        </is>
      </c>
      <c r="AG724" s="69" t="inlineStr">
        <is>
          <t>Centennial</t>
        </is>
      </c>
      <c r="AH724" s="69" t="inlineStr">
        <is>
          <t>Denver-Aurora-Centennial, CO</t>
        </is>
      </c>
      <c r="AI724" s="69" t="inlineStr">
        <is>
          <t>West / Mountain</t>
        </is>
      </c>
      <c r="AJ724" s="69" t="inlineStr">
        <is>
          <t>RT</t>
        </is>
      </c>
      <c r="AK724" s="69" t="inlineStr">
        <is>
          <t>Unanchored</t>
        </is>
      </c>
      <c r="AL724" s="68" t="n">
        <v>1</v>
      </c>
      <c r="AM724" s="68" t="n"/>
      <c r="AN724" s="68" t="n">
        <v>20047</v>
      </c>
      <c r="AO724" s="69" t="inlineStr">
        <is>
          <t>1997</t>
        </is>
      </c>
      <c r="AP724" s="70" t="n">
        <v>1997</v>
      </c>
      <c r="AQ724" s="74" t="n">
        <v>1.46</v>
      </c>
      <c r="AR724" s="74" t="n">
        <v>2.73</v>
      </c>
      <c r="AS724" s="74" t="n">
        <v>56.1</v>
      </c>
      <c r="AT724" s="74" t="n">
        <v>49.56</v>
      </c>
      <c r="AU724" s="74" t="n">
        <v>46.7</v>
      </c>
      <c r="AV724" s="74" t="n">
        <v>9.788545994</v>
      </c>
      <c r="AW724" s="74" t="n">
        <v>18.505268237</v>
      </c>
      <c r="AX724" s="75" t="n">
        <v>100</v>
      </c>
      <c r="AY724" s="71" t="n">
        <v>6000000</v>
      </c>
      <c r="AZ724" s="71" t="n">
        <v>6000000</v>
      </c>
      <c r="BA724" s="71" t="n">
        <v>329874</v>
      </c>
      <c r="BB724" s="71" t="n">
        <v>614710.96</v>
      </c>
      <c r="BC724" s="69" t="inlineStr">
        <is>
          <t>Refinance</t>
        </is>
      </c>
      <c r="BD724" s="69" t="inlineStr">
        <is>
          <t>N</t>
        </is>
      </c>
      <c r="BE724" s="71" t="n"/>
      <c r="BF724" s="71" t="n"/>
      <c r="BG724" s="71" t="n"/>
      <c r="BH724" s="71" t="n">
        <v>0</v>
      </c>
      <c r="BI724" s="71" t="n">
        <v>0</v>
      </c>
      <c r="BJ724" s="69" t="inlineStr">
        <is>
          <t>N</t>
        </is>
      </c>
      <c r="BK724" s="69" t="inlineStr">
        <is>
          <t>Camelot Liquor</t>
        </is>
      </c>
      <c r="BL724" s="75" t="n">
        <v>21.37</v>
      </c>
      <c r="BM724" s="73" t="n">
        <v>48638</v>
      </c>
      <c r="BN724" s="69" t="inlineStr">
        <is>
          <t>Kevin Glazer</t>
        </is>
      </c>
      <c r="BO724" s="69" t="inlineStr">
        <is>
          <t>RMF</t>
        </is>
      </c>
      <c r="BP724" s="69" t="inlineStr">
        <is>
          <t>Midland Loan Services</t>
        </is>
      </c>
      <c r="BQ724" s="69" t="inlineStr">
        <is>
          <t>Midland Loan Services</t>
        </is>
      </c>
      <c r="BR724" s="69" t="n"/>
      <c r="BS724" s="73" t="n">
        <v>46276</v>
      </c>
      <c r="BU724" s="76">
        <f>IF($C724="","",IFERROR(INDEX(dmName,MATCH($C724,dmID,0)),"Unmapped"))</f>
        <v/>
      </c>
      <c r="BV724" s="76">
        <f>IF($C724="","",IFERROR(INDEX(dmEntity,MATCH($C724,dmID,0)),"Unmapped"))</f>
        <v/>
      </c>
      <c r="BW724" s="77">
        <f>IF($C724="","",IFERROR(INDEX(dmVintage,MATCH($C724,dmID,0)),""))</f>
        <v/>
      </c>
      <c r="BX724" s="78">
        <f>IFERROR(INDEX(dmInclude,MATCH($C724,dmID,0)),0)</f>
        <v/>
      </c>
      <c r="BY724" s="78">
        <f>IF(N($I724)&gt;0,1,0)</f>
        <v/>
      </c>
      <c r="BZ724" s="76">
        <f>IF($AJ724="","Other / Leased Fee",IFERROR(INDEX(mapPTGroup,MATCH(LEFT(TRIM($AJ724),2),mapPTCode,0)),"Other / Leased Fee"))</f>
        <v/>
      </c>
      <c r="CA724" s="76">
        <f>IF(TRIM($AF724&amp;"")="","NR",LEFT(TRIM($AF724),2))</f>
        <v/>
      </c>
      <c r="CB724" s="76">
        <f>IFERROR(LOOKUP(2,1/(LEFT(TRIM($AI724&amp;""),LEN(mapRegion))=mapRegion),mapRegion),"Not Reported")</f>
        <v/>
      </c>
      <c r="CC724" s="76">
        <f>IF($BY724=0,"",IF(TRIM($W724&amp;"")="REO","REO",IF(TRIM($W724&amp;"")="FC","Foreclosure",IF(TRIM($W724&amp;"")="90+","90+ Days Delinquent",IF(TRIM($W724&amp;"")="60","60 Days Delinquent",IF(TRIM($W724&amp;"")="30","30 Days Delinquent",IF($X724="Non-Performing Matured Balloon","Non-Performing Matured Balloon",IF(OR($X724="Late Payment But Less Than 30 Days Delinquent",LEFT($X724&amp;"",20)="Payment Not Received"),"Late / In Grace (&lt;30 Days)",IF($X724="Performing Matured Balloon","Performing Matured Balloon","Current")))))))))</f>
        <v/>
      </c>
      <c r="CD724" s="78">
        <f>IF(OR($CC724="REO",$CC724="Foreclosure",$CC724="90+ Days Delinquent",$CC724="60 Days Delinquent",$CC724="30 Days Delinquent",$CC724="Non-Performing Matured Balloon"),1,0)</f>
        <v/>
      </c>
      <c r="CE724" s="76">
        <f>IF($AB724="Currently special serv","Currently Specially Serviced",IF($AB724="Returned to master serv","Previously Specially Serviced","Never Specially Serviced"))</f>
        <v/>
      </c>
      <c r="CF724" s="78">
        <f>IF($CE724="Currently Specially Serviced",1,0)</f>
        <v/>
      </c>
      <c r="CG724" s="76">
        <f>IF($AA724="Yes","Currently on Watchlist",IF($AA724="Previously","Previously on Watchlist","Never on Watchlist"))</f>
        <v/>
      </c>
      <c r="CH724" s="78">
        <f>IF($CG724="Currently on Watchlist",1,0)</f>
        <v/>
      </c>
      <c r="CI724" s="76">
        <f>IF($Z724="Full Defeasance","Fully Defeased",IF($Z724="Portion Of Loan Previously Defeased","Partially Defeased",IF($Z724="Defeasance Not Allowable","Not Defeased (Not Permitted)","Not Defeased")))</f>
        <v/>
      </c>
      <c r="CJ724" s="78">
        <f>IF($CI724="Fully Defeased",1,0)</f>
        <v/>
      </c>
      <c r="CK724" s="76">
        <f>IF($R724="IO","Full IO",IF(LEFT($R724&amp;"",7)="IO then","Partial IO","Amortizing"))</f>
        <v/>
      </c>
      <c r="CL724" s="78">
        <f>IF($CK724="Full IO",1,0)</f>
        <v/>
      </c>
      <c r="CM724" s="78">
        <f>IF($CK724="Partial IO",1,0)</f>
        <v/>
      </c>
      <c r="CN724" s="76">
        <f>IF(LEFT($F724&amp;"",10)="SPLIT_LOAN","Pari Passu Split","Standalone")</f>
        <v/>
      </c>
      <c r="CO724" s="78">
        <f>IF($CN724="Pari Passu Split",1,0)</f>
        <v/>
      </c>
      <c r="CP724" s="77">
        <f>IF(ISNUMBER($T724),YEAR($T724),"")</f>
        <v/>
      </c>
      <c r="CQ724" s="79">
        <f>IF(ISNUMBER($V724),$V724,IF(ISNUMBER($U724),$U724,""))</f>
        <v/>
      </c>
      <c r="CR724" s="77">
        <f>IF(ISNUMBER($CQ724),YEAR($CQ724),"")</f>
        <v/>
      </c>
      <c r="CS724" s="78">
        <f>IF(ISNUMBER($M724),MAX(0,$M724),IF(TRIM($M724&amp;"")="matured",0,""))</f>
        <v/>
      </c>
      <c r="CT724" s="78">
        <f>IF(AND(ISNUMBER($CS724),N($CS724)&lt;=mMatWindow),1,0)</f>
        <v/>
      </c>
      <c r="CU724" s="80">
        <f>IF(ISNUMBER($J724),$J724/100,"")</f>
        <v/>
      </c>
      <c r="CV724" s="81">
        <f>IF(ISNUMBER($AQ724),$AQ724,"")</f>
        <v/>
      </c>
      <c r="CW724" s="81">
        <f>IF(ISNUMBER($AR724),$AR724,"")</f>
        <v/>
      </c>
      <c r="CX724" s="82">
        <f>IF(ISNUMBER($AS724),$AS724/100,"")</f>
        <v/>
      </c>
      <c r="CY724" s="82">
        <f>IF(ISNUMBER($AT724),$AT724/100,"")</f>
        <v/>
      </c>
      <c r="CZ724" s="82">
        <f>IF(ISNUMBER($AU724),$AU724/100,"")</f>
        <v/>
      </c>
      <c r="DA724" s="82">
        <f>IF(ISNUMBER($AV724),$AV724/100,"")</f>
        <v/>
      </c>
      <c r="DB724" s="82">
        <f>IF(ISNUMBER($AW724),$AW724/100,"")</f>
        <v/>
      </c>
      <c r="DC724" s="82">
        <f>IF(ISNUMBER($AX724),$AX724/100,"")</f>
        <v/>
      </c>
      <c r="DD724" s="77">
        <f>IFERROR(VALUE(LEFT(TRIM($AO724&amp;""),4)),"")</f>
        <v/>
      </c>
      <c r="DE724" s="78">
        <f>IF(AND($BY724=1,$BX724=1,OR(fDeal="All Deals",$BU724=fDeal),OR(fEntity="All Entities",$BV724=fEntity),OR(fPType="All Property Types",$BZ724=fPType),OR(fDefeased="Include",$CJ724=0)),1,0)</f>
        <v/>
      </c>
      <c r="DF724" s="83">
        <f>$DE724*N($I724)</f>
        <v/>
      </c>
      <c r="DG724" s="78">
        <f>IF($DE724=1,IF(COUNTIFS($F$8:$F724,$F724,$DE$8:$DE724,1)=1,1,0),0)</f>
        <v/>
      </c>
      <c r="DH724" s="83">
        <f>IF($DG724=1,SUMIFS($DF$8:$DF$1600,$F$8:$F$1600,$F724),0)</f>
        <v/>
      </c>
      <c r="DI724" s="78">
        <f>IF($DG724=1,COUNTIFS($F$8:$F$1600,$F724,$DE$8:$DE$1600,1),0)</f>
        <v/>
      </c>
      <c r="DJ724" s="84">
        <f>IF($DG724=1,$DH724+(100000-ROW())/mTieBreak,0)</f>
        <v/>
      </c>
    </row>
    <row r="725">
      <c r="B725" s="68" t="n">
        <v>50</v>
      </c>
      <c r="C725" s="69" t="inlineStr">
        <is>
          <t>UBS19C16</t>
        </is>
      </c>
      <c r="D725" s="69" t="inlineStr">
        <is>
          <t>50.000</t>
        </is>
      </c>
      <c r="E725" s="69" t="inlineStr">
        <is>
          <t>Louetta Shopping Center</t>
        </is>
      </c>
      <c r="F725" s="69" t="inlineStr">
        <is>
          <t>LNUBS19C16-50.000</t>
        </is>
      </c>
      <c r="G725" s="70" t="n"/>
      <c r="H725" s="71" t="n">
        <v>3320000</v>
      </c>
      <c r="I725" s="71" t="n">
        <v>2893743.260001161</v>
      </c>
      <c r="J725" s="72" t="n">
        <v>4.805</v>
      </c>
      <c r="K725" s="69" t="inlineStr">
        <is>
          <t>Fixed rate</t>
        </is>
      </c>
      <c r="L725" s="68" t="n">
        <v>120</v>
      </c>
      <c r="M725" s="68" t="n">
        <v>30</v>
      </c>
      <c r="N725" s="68" t="n">
        <v>360</v>
      </c>
      <c r="O725" s="68" t="n"/>
      <c r="P725" s="68" t="n"/>
      <c r="Q725" s="68" t="n">
        <v>90</v>
      </c>
      <c r="R725" s="69" t="n"/>
      <c r="S725" s="69" t="inlineStr">
        <is>
          <t>No</t>
        </is>
      </c>
      <c r="T725" s="73" t="n">
        <v>43525</v>
      </c>
      <c r="U725" s="73" t="n">
        <v>47183</v>
      </c>
      <c r="V725" s="73" t="n"/>
      <c r="W725" s="69" t="n"/>
      <c r="X725" s="69" t="inlineStr">
        <is>
          <t>Current</t>
        </is>
      </c>
      <c r="Y725" s="68" t="n"/>
      <c r="Z725" s="69" t="inlineStr">
        <is>
          <t>Defeasance Not Allowable</t>
        </is>
      </c>
      <c r="AA725" s="69" t="n"/>
      <c r="AB725" s="69" t="inlineStr">
        <is>
          <t>Never special serv</t>
        </is>
      </c>
      <c r="AC725" s="73" t="n"/>
      <c r="AD725" s="69" t="n"/>
      <c r="AE725" s="69" t="n"/>
      <c r="AF725" s="69" t="inlineStr">
        <is>
          <t>TX</t>
        </is>
      </c>
      <c r="AG725" s="69" t="inlineStr">
        <is>
          <t>Cypress</t>
        </is>
      </c>
      <c r="AH725" s="69" t="inlineStr">
        <is>
          <t>Houston-Pasadena-The Woodlands, TX</t>
        </is>
      </c>
      <c r="AI725" s="69" t="inlineStr">
        <is>
          <t>South / Central West</t>
        </is>
      </c>
      <c r="AJ725" s="69" t="inlineStr">
        <is>
          <t>RT</t>
        </is>
      </c>
      <c r="AK725" s="69" t="inlineStr">
        <is>
          <t>Unanchored</t>
        </is>
      </c>
      <c r="AL725" s="68" t="n">
        <v>1</v>
      </c>
      <c r="AM725" s="68" t="n"/>
      <c r="AN725" s="68" t="n">
        <v>26400</v>
      </c>
      <c r="AO725" s="69" t="inlineStr">
        <is>
          <t>1998; 2001</t>
        </is>
      </c>
      <c r="AP725" s="70" t="n">
        <v>2001</v>
      </c>
      <c r="AQ725" s="74" t="n">
        <v>2.21</v>
      </c>
      <c r="AR725" s="74" t="n">
        <v>2.01</v>
      </c>
      <c r="AS725" s="74" t="n">
        <v>47.1</v>
      </c>
      <c r="AT725" s="74" t="n">
        <v>41.1</v>
      </c>
      <c r="AU725" s="74" t="n">
        <v>38.5</v>
      </c>
      <c r="AV725" s="74" t="n">
        <v>13.899246988</v>
      </c>
      <c r="AW725" s="74" t="n">
        <v>14.533299682</v>
      </c>
      <c r="AX725" s="75" t="n">
        <v>75</v>
      </c>
      <c r="AY725" s="71" t="n">
        <v>7040000</v>
      </c>
      <c r="AZ725" s="71" t="n">
        <v>7040000</v>
      </c>
      <c r="BA725" s="71" t="n">
        <v>461455</v>
      </c>
      <c r="BB725" s="71" t="n">
        <v>420556.38</v>
      </c>
      <c r="BC725" s="69" t="inlineStr">
        <is>
          <t>Refinance</t>
        </is>
      </c>
      <c r="BD725" s="69" t="inlineStr">
        <is>
          <t>N</t>
        </is>
      </c>
      <c r="BE725" s="71" t="n"/>
      <c r="BF725" s="71" t="n"/>
      <c r="BG725" s="71" t="n"/>
      <c r="BH725" s="71" t="n">
        <v>0</v>
      </c>
      <c r="BI725" s="71" t="n">
        <v>0</v>
      </c>
      <c r="BJ725" s="69" t="inlineStr">
        <is>
          <t>N</t>
        </is>
      </c>
      <c r="BK725" s="69" t="inlineStr">
        <is>
          <t>Pinch A Penny</t>
        </is>
      </c>
      <c r="BL725" s="75" t="n">
        <v>12.18</v>
      </c>
      <c r="BM725" s="73" t="n">
        <v>46783</v>
      </c>
      <c r="BN725" s="69" t="inlineStr">
        <is>
          <t>Kevin Glazer</t>
        </is>
      </c>
      <c r="BO725" s="69" t="inlineStr">
        <is>
          <t>RMF</t>
        </is>
      </c>
      <c r="BP725" s="69" t="inlineStr">
        <is>
          <t>Midland Loan Services</t>
        </is>
      </c>
      <c r="BQ725" s="69" t="inlineStr">
        <is>
          <t>Midland Loan Services</t>
        </is>
      </c>
      <c r="BR725" s="69" t="n"/>
      <c r="BS725" s="73" t="n">
        <v>46276</v>
      </c>
      <c r="BU725" s="76">
        <f>IF($C725="","",IFERROR(INDEX(dmName,MATCH($C725,dmID,0)),"Unmapped"))</f>
        <v/>
      </c>
      <c r="BV725" s="76">
        <f>IF($C725="","",IFERROR(INDEX(dmEntity,MATCH($C725,dmID,0)),"Unmapped"))</f>
        <v/>
      </c>
      <c r="BW725" s="77">
        <f>IF($C725="","",IFERROR(INDEX(dmVintage,MATCH($C725,dmID,0)),""))</f>
        <v/>
      </c>
      <c r="BX725" s="78">
        <f>IFERROR(INDEX(dmInclude,MATCH($C725,dmID,0)),0)</f>
        <v/>
      </c>
      <c r="BY725" s="78">
        <f>IF(N($I725)&gt;0,1,0)</f>
        <v/>
      </c>
      <c r="BZ725" s="76">
        <f>IF($AJ725="","Other / Leased Fee",IFERROR(INDEX(mapPTGroup,MATCH(LEFT(TRIM($AJ725),2),mapPTCode,0)),"Other / Leased Fee"))</f>
        <v/>
      </c>
      <c r="CA725" s="76">
        <f>IF(TRIM($AF725&amp;"")="","NR",LEFT(TRIM($AF725),2))</f>
        <v/>
      </c>
      <c r="CB725" s="76">
        <f>IFERROR(LOOKUP(2,1/(LEFT(TRIM($AI725&amp;""),LEN(mapRegion))=mapRegion),mapRegion),"Not Reported")</f>
        <v/>
      </c>
      <c r="CC725" s="76">
        <f>IF($BY725=0,"",IF(TRIM($W725&amp;"")="REO","REO",IF(TRIM($W725&amp;"")="FC","Foreclosure",IF(TRIM($W725&amp;"")="90+","90+ Days Delinquent",IF(TRIM($W725&amp;"")="60","60 Days Delinquent",IF(TRIM($W725&amp;"")="30","30 Days Delinquent",IF($X725="Non-Performing Matured Balloon","Non-Performing Matured Balloon",IF(OR($X725="Late Payment But Less Than 30 Days Delinquent",LEFT($X725&amp;"",20)="Payment Not Received"),"Late / In Grace (&lt;30 Days)",IF($X725="Performing Matured Balloon","Performing Matured Balloon","Current")))))))))</f>
        <v/>
      </c>
      <c r="CD725" s="78">
        <f>IF(OR($CC725="REO",$CC725="Foreclosure",$CC725="90+ Days Delinquent",$CC725="60 Days Delinquent",$CC725="30 Days Delinquent",$CC725="Non-Performing Matured Balloon"),1,0)</f>
        <v/>
      </c>
      <c r="CE725" s="76">
        <f>IF($AB725="Currently special serv","Currently Specially Serviced",IF($AB725="Returned to master serv","Previously Specially Serviced","Never Specially Serviced"))</f>
        <v/>
      </c>
      <c r="CF725" s="78">
        <f>IF($CE725="Currently Specially Serviced",1,0)</f>
        <v/>
      </c>
      <c r="CG725" s="76">
        <f>IF($AA725="Yes","Currently on Watchlist",IF($AA725="Previously","Previously on Watchlist","Never on Watchlist"))</f>
        <v/>
      </c>
      <c r="CH725" s="78">
        <f>IF($CG725="Currently on Watchlist",1,0)</f>
        <v/>
      </c>
      <c r="CI725" s="76">
        <f>IF($Z725="Full Defeasance","Fully Defeased",IF($Z725="Portion Of Loan Previously Defeased","Partially Defeased",IF($Z725="Defeasance Not Allowable","Not Defeased (Not Permitted)","Not Defeased")))</f>
        <v/>
      </c>
      <c r="CJ725" s="78">
        <f>IF($CI725="Fully Defeased",1,0)</f>
        <v/>
      </c>
      <c r="CK725" s="76">
        <f>IF($R725="IO","Full IO",IF(LEFT($R725&amp;"",7)="IO then","Partial IO","Amortizing"))</f>
        <v/>
      </c>
      <c r="CL725" s="78">
        <f>IF($CK725="Full IO",1,0)</f>
        <v/>
      </c>
      <c r="CM725" s="78">
        <f>IF($CK725="Partial IO",1,0)</f>
        <v/>
      </c>
      <c r="CN725" s="76">
        <f>IF(LEFT($F725&amp;"",10)="SPLIT_LOAN","Pari Passu Split","Standalone")</f>
        <v/>
      </c>
      <c r="CO725" s="78">
        <f>IF($CN725="Pari Passu Split",1,0)</f>
        <v/>
      </c>
      <c r="CP725" s="77">
        <f>IF(ISNUMBER($T725),YEAR($T725),"")</f>
        <v/>
      </c>
      <c r="CQ725" s="79">
        <f>IF(ISNUMBER($V725),$V725,IF(ISNUMBER($U725),$U725,""))</f>
        <v/>
      </c>
      <c r="CR725" s="77">
        <f>IF(ISNUMBER($CQ725),YEAR($CQ725),"")</f>
        <v/>
      </c>
      <c r="CS725" s="78">
        <f>IF(ISNUMBER($M725),MAX(0,$M725),IF(TRIM($M725&amp;"")="matured",0,""))</f>
        <v/>
      </c>
      <c r="CT725" s="78">
        <f>IF(AND(ISNUMBER($CS725),N($CS725)&lt;=mMatWindow),1,0)</f>
        <v/>
      </c>
      <c r="CU725" s="80">
        <f>IF(ISNUMBER($J725),$J725/100,"")</f>
        <v/>
      </c>
      <c r="CV725" s="81">
        <f>IF(ISNUMBER($AQ725),$AQ725,"")</f>
        <v/>
      </c>
      <c r="CW725" s="81">
        <f>IF(ISNUMBER($AR725),$AR725,"")</f>
        <v/>
      </c>
      <c r="CX725" s="82">
        <f>IF(ISNUMBER($AS725),$AS725/100,"")</f>
        <v/>
      </c>
      <c r="CY725" s="82">
        <f>IF(ISNUMBER($AT725),$AT725/100,"")</f>
        <v/>
      </c>
      <c r="CZ725" s="82">
        <f>IF(ISNUMBER($AU725),$AU725/100,"")</f>
        <v/>
      </c>
      <c r="DA725" s="82">
        <f>IF(ISNUMBER($AV725),$AV725/100,"")</f>
        <v/>
      </c>
      <c r="DB725" s="82">
        <f>IF(ISNUMBER($AW725),$AW725/100,"")</f>
        <v/>
      </c>
      <c r="DC725" s="82">
        <f>IF(ISNUMBER($AX725),$AX725/100,"")</f>
        <v/>
      </c>
      <c r="DD725" s="77">
        <f>IFERROR(VALUE(LEFT(TRIM($AO725&amp;""),4)),"")</f>
        <v/>
      </c>
      <c r="DE725" s="78">
        <f>IF(AND($BY725=1,$BX725=1,OR(fDeal="All Deals",$BU725=fDeal),OR(fEntity="All Entities",$BV725=fEntity),OR(fPType="All Property Types",$BZ725=fPType),OR(fDefeased="Include",$CJ725=0)),1,0)</f>
        <v/>
      </c>
      <c r="DF725" s="83">
        <f>$DE725*N($I725)</f>
        <v/>
      </c>
      <c r="DG725" s="78">
        <f>IF($DE725=1,IF(COUNTIFS($F$8:$F725,$F725,$DE$8:$DE725,1)=1,1,0),0)</f>
        <v/>
      </c>
      <c r="DH725" s="83">
        <f>IF($DG725=1,SUMIFS($DF$8:$DF$1600,$F$8:$F$1600,$F725),0)</f>
        <v/>
      </c>
      <c r="DI725" s="78">
        <f>IF($DG725=1,COUNTIFS($F$8:$F$1600,$F725,$DE$8:$DE$1600,1),0)</f>
        <v/>
      </c>
      <c r="DJ725" s="84">
        <f>IF($DG725=1,$DH725+(100000-ROW())/mTieBreak,0)</f>
        <v/>
      </c>
    </row>
    <row r="726">
      <c r="B726" s="68" t="n">
        <v>51</v>
      </c>
      <c r="C726" s="69" t="inlineStr">
        <is>
          <t>UBS19C16</t>
        </is>
      </c>
      <c r="D726" s="69" t="inlineStr">
        <is>
          <t>51.000</t>
        </is>
      </c>
      <c r="E726" s="69" t="inlineStr">
        <is>
          <t>Garrison Ridge Crossing</t>
        </is>
      </c>
      <c r="F726" s="69" t="inlineStr">
        <is>
          <t>LNUBS19C16-51.000</t>
        </is>
      </c>
      <c r="G726" s="70" t="n"/>
      <c r="H726" s="71" t="n">
        <v>3300000</v>
      </c>
      <c r="I726" s="71" t="n">
        <v>2883234.3299991</v>
      </c>
      <c r="J726" s="72" t="n">
        <v>4.905</v>
      </c>
      <c r="K726" s="69" t="inlineStr">
        <is>
          <t>Fixed rate</t>
        </is>
      </c>
      <c r="L726" s="68" t="n">
        <v>120</v>
      </c>
      <c r="M726" s="68" t="n">
        <v>30</v>
      </c>
      <c r="N726" s="68" t="n">
        <v>360</v>
      </c>
      <c r="O726" s="68" t="n"/>
      <c r="P726" s="68" t="n"/>
      <c r="Q726" s="68" t="n">
        <v>90</v>
      </c>
      <c r="R726" s="69" t="n"/>
      <c r="S726" s="69" t="inlineStr">
        <is>
          <t>No</t>
        </is>
      </c>
      <c r="T726" s="73" t="n">
        <v>43525</v>
      </c>
      <c r="U726" s="73" t="n">
        <v>47183</v>
      </c>
      <c r="V726" s="73" t="n"/>
      <c r="W726" s="69" t="n"/>
      <c r="X726" s="69" t="inlineStr">
        <is>
          <t>Current</t>
        </is>
      </c>
      <c r="Y726" s="68" t="n"/>
      <c r="Z726" s="69" t="inlineStr">
        <is>
          <t>Defeasance Not Allowable</t>
        </is>
      </c>
      <c r="AA726" s="69" t="n"/>
      <c r="AB726" s="69" t="inlineStr">
        <is>
          <t>Never special serv</t>
        </is>
      </c>
      <c r="AC726" s="73" t="n"/>
      <c r="AD726" s="69" t="n"/>
      <c r="AE726" s="69" t="n"/>
      <c r="AF726" s="69" t="inlineStr">
        <is>
          <t>GA</t>
        </is>
      </c>
      <c r="AG726" s="69" t="inlineStr">
        <is>
          <t>Marietta</t>
        </is>
      </c>
      <c r="AH726" s="69" t="inlineStr">
        <is>
          <t>Atlanta-Sandy Springs-Roswell, GA</t>
        </is>
      </c>
      <c r="AI726" s="69" t="inlineStr">
        <is>
          <t>South / Atlantic</t>
        </is>
      </c>
      <c r="AJ726" s="69" t="inlineStr">
        <is>
          <t>RT</t>
        </is>
      </c>
      <c r="AK726" s="69" t="inlineStr">
        <is>
          <t>Shadow Anchored</t>
        </is>
      </c>
      <c r="AL726" s="68" t="n">
        <v>1</v>
      </c>
      <c r="AM726" s="68" t="n"/>
      <c r="AN726" s="68" t="n">
        <v>18561</v>
      </c>
      <c r="AO726" s="69" t="inlineStr">
        <is>
          <t>1997</t>
        </is>
      </c>
      <c r="AP726" s="70" t="n">
        <v>1997</v>
      </c>
      <c r="AQ726" s="74" t="n">
        <v>1.78</v>
      </c>
      <c r="AR726" s="74" t="n">
        <v>2.68</v>
      </c>
      <c r="AS726" s="74" t="n">
        <v>62.8</v>
      </c>
      <c r="AT726" s="74" t="n">
        <v>54.92</v>
      </c>
      <c r="AU726" s="74" t="n">
        <v>51.5</v>
      </c>
      <c r="AV726" s="74" t="n">
        <v>11.338030303</v>
      </c>
      <c r="AW726" s="74" t="n">
        <v>18.571801273</v>
      </c>
      <c r="AX726" s="75" t="n">
        <v>100</v>
      </c>
      <c r="AY726" s="71" t="n">
        <v>5250000</v>
      </c>
      <c r="AZ726" s="71" t="n">
        <v>5250000</v>
      </c>
      <c r="BA726" s="71" t="n">
        <v>374155</v>
      </c>
      <c r="BB726" s="71" t="n">
        <v>562988.4399999999</v>
      </c>
      <c r="BC726" s="69" t="inlineStr">
        <is>
          <t>Refinance</t>
        </is>
      </c>
      <c r="BD726" s="69" t="inlineStr">
        <is>
          <t>N</t>
        </is>
      </c>
      <c r="BE726" s="71" t="n"/>
      <c r="BF726" s="71" t="n"/>
      <c r="BG726" s="71" t="n"/>
      <c r="BH726" s="71" t="n">
        <v>0</v>
      </c>
      <c r="BI726" s="71" t="n">
        <v>0</v>
      </c>
      <c r="BJ726" s="69" t="inlineStr">
        <is>
          <t>N</t>
        </is>
      </c>
      <c r="BK726" s="69" t="inlineStr">
        <is>
          <t>Morgan Sports Grill</t>
        </is>
      </c>
      <c r="BL726" s="75" t="n">
        <v>39.66</v>
      </c>
      <c r="BM726" s="73" t="n">
        <v>46904</v>
      </c>
      <c r="BN726" s="69" t="inlineStr">
        <is>
          <t>Kevin Glazer</t>
        </is>
      </c>
      <c r="BO726" s="69" t="inlineStr">
        <is>
          <t>RMF</t>
        </is>
      </c>
      <c r="BP726" s="69" t="inlineStr">
        <is>
          <t>Midland Loan Services</t>
        </is>
      </c>
      <c r="BQ726" s="69" t="inlineStr">
        <is>
          <t>Midland Loan Services</t>
        </is>
      </c>
      <c r="BR726" s="69" t="n"/>
      <c r="BS726" s="73" t="n">
        <v>46276</v>
      </c>
      <c r="BU726" s="76">
        <f>IF($C726="","",IFERROR(INDEX(dmName,MATCH($C726,dmID,0)),"Unmapped"))</f>
        <v/>
      </c>
      <c r="BV726" s="76">
        <f>IF($C726="","",IFERROR(INDEX(dmEntity,MATCH($C726,dmID,0)),"Unmapped"))</f>
        <v/>
      </c>
      <c r="BW726" s="77">
        <f>IF($C726="","",IFERROR(INDEX(dmVintage,MATCH($C726,dmID,0)),""))</f>
        <v/>
      </c>
      <c r="BX726" s="78">
        <f>IFERROR(INDEX(dmInclude,MATCH($C726,dmID,0)),0)</f>
        <v/>
      </c>
      <c r="BY726" s="78">
        <f>IF(N($I726)&gt;0,1,0)</f>
        <v/>
      </c>
      <c r="BZ726" s="76">
        <f>IF($AJ726="","Other / Leased Fee",IFERROR(INDEX(mapPTGroup,MATCH(LEFT(TRIM($AJ726),2),mapPTCode,0)),"Other / Leased Fee"))</f>
        <v/>
      </c>
      <c r="CA726" s="76">
        <f>IF(TRIM($AF726&amp;"")="","NR",LEFT(TRIM($AF726),2))</f>
        <v/>
      </c>
      <c r="CB726" s="76">
        <f>IFERROR(LOOKUP(2,1/(LEFT(TRIM($AI726&amp;""),LEN(mapRegion))=mapRegion),mapRegion),"Not Reported")</f>
        <v/>
      </c>
      <c r="CC726" s="76">
        <f>IF($BY726=0,"",IF(TRIM($W726&amp;"")="REO","REO",IF(TRIM($W726&amp;"")="FC","Foreclosure",IF(TRIM($W726&amp;"")="90+","90+ Days Delinquent",IF(TRIM($W726&amp;"")="60","60 Days Delinquent",IF(TRIM($W726&amp;"")="30","30 Days Delinquent",IF($X726="Non-Performing Matured Balloon","Non-Performing Matured Balloon",IF(OR($X726="Late Payment But Less Than 30 Days Delinquent",LEFT($X726&amp;"",20)="Payment Not Received"),"Late / In Grace (&lt;30 Days)",IF($X726="Performing Matured Balloon","Performing Matured Balloon","Current")))))))))</f>
        <v/>
      </c>
      <c r="CD726" s="78">
        <f>IF(OR($CC726="REO",$CC726="Foreclosure",$CC726="90+ Days Delinquent",$CC726="60 Days Delinquent",$CC726="30 Days Delinquent",$CC726="Non-Performing Matured Balloon"),1,0)</f>
        <v/>
      </c>
      <c r="CE726" s="76">
        <f>IF($AB726="Currently special serv","Currently Specially Serviced",IF($AB726="Returned to master serv","Previously Specially Serviced","Never Specially Serviced"))</f>
        <v/>
      </c>
      <c r="CF726" s="78">
        <f>IF($CE726="Currently Specially Serviced",1,0)</f>
        <v/>
      </c>
      <c r="CG726" s="76">
        <f>IF($AA726="Yes","Currently on Watchlist",IF($AA726="Previously","Previously on Watchlist","Never on Watchlist"))</f>
        <v/>
      </c>
      <c r="CH726" s="78">
        <f>IF($CG726="Currently on Watchlist",1,0)</f>
        <v/>
      </c>
      <c r="CI726" s="76">
        <f>IF($Z726="Full Defeasance","Fully Defeased",IF($Z726="Portion Of Loan Previously Defeased","Partially Defeased",IF($Z726="Defeasance Not Allowable","Not Defeased (Not Permitted)","Not Defeased")))</f>
        <v/>
      </c>
      <c r="CJ726" s="78">
        <f>IF($CI726="Fully Defeased",1,0)</f>
        <v/>
      </c>
      <c r="CK726" s="76">
        <f>IF($R726="IO","Full IO",IF(LEFT($R726&amp;"",7)="IO then","Partial IO","Amortizing"))</f>
        <v/>
      </c>
      <c r="CL726" s="78">
        <f>IF($CK726="Full IO",1,0)</f>
        <v/>
      </c>
      <c r="CM726" s="78">
        <f>IF($CK726="Partial IO",1,0)</f>
        <v/>
      </c>
      <c r="CN726" s="76">
        <f>IF(LEFT($F726&amp;"",10)="SPLIT_LOAN","Pari Passu Split","Standalone")</f>
        <v/>
      </c>
      <c r="CO726" s="78">
        <f>IF($CN726="Pari Passu Split",1,0)</f>
        <v/>
      </c>
      <c r="CP726" s="77">
        <f>IF(ISNUMBER($T726),YEAR($T726),"")</f>
        <v/>
      </c>
      <c r="CQ726" s="79">
        <f>IF(ISNUMBER($V726),$V726,IF(ISNUMBER($U726),$U726,""))</f>
        <v/>
      </c>
      <c r="CR726" s="77">
        <f>IF(ISNUMBER($CQ726),YEAR($CQ726),"")</f>
        <v/>
      </c>
      <c r="CS726" s="78">
        <f>IF(ISNUMBER($M726),MAX(0,$M726),IF(TRIM($M726&amp;"")="matured",0,""))</f>
        <v/>
      </c>
      <c r="CT726" s="78">
        <f>IF(AND(ISNUMBER($CS726),N($CS726)&lt;=mMatWindow),1,0)</f>
        <v/>
      </c>
      <c r="CU726" s="80">
        <f>IF(ISNUMBER($J726),$J726/100,"")</f>
        <v/>
      </c>
      <c r="CV726" s="81">
        <f>IF(ISNUMBER($AQ726),$AQ726,"")</f>
        <v/>
      </c>
      <c r="CW726" s="81">
        <f>IF(ISNUMBER($AR726),$AR726,"")</f>
        <v/>
      </c>
      <c r="CX726" s="82">
        <f>IF(ISNUMBER($AS726),$AS726/100,"")</f>
        <v/>
      </c>
      <c r="CY726" s="82">
        <f>IF(ISNUMBER($AT726),$AT726/100,"")</f>
        <v/>
      </c>
      <c r="CZ726" s="82">
        <f>IF(ISNUMBER($AU726),$AU726/100,"")</f>
        <v/>
      </c>
      <c r="DA726" s="82">
        <f>IF(ISNUMBER($AV726),$AV726/100,"")</f>
        <v/>
      </c>
      <c r="DB726" s="82">
        <f>IF(ISNUMBER($AW726),$AW726/100,"")</f>
        <v/>
      </c>
      <c r="DC726" s="82">
        <f>IF(ISNUMBER($AX726),$AX726/100,"")</f>
        <v/>
      </c>
      <c r="DD726" s="77">
        <f>IFERROR(VALUE(LEFT(TRIM($AO726&amp;""),4)),"")</f>
        <v/>
      </c>
      <c r="DE726" s="78">
        <f>IF(AND($BY726=1,$BX726=1,OR(fDeal="All Deals",$BU726=fDeal),OR(fEntity="All Entities",$BV726=fEntity),OR(fPType="All Property Types",$BZ726=fPType),OR(fDefeased="Include",$CJ726=0)),1,0)</f>
        <v/>
      </c>
      <c r="DF726" s="83">
        <f>$DE726*N($I726)</f>
        <v/>
      </c>
      <c r="DG726" s="78">
        <f>IF($DE726=1,IF(COUNTIFS($F$8:$F726,$F726,$DE$8:$DE726,1)=1,1,0),0)</f>
        <v/>
      </c>
      <c r="DH726" s="83">
        <f>IF($DG726=1,SUMIFS($DF$8:$DF$1600,$F$8:$F$1600,$F726),0)</f>
        <v/>
      </c>
      <c r="DI726" s="78">
        <f>IF($DG726=1,COUNTIFS($F$8:$F$1600,$F726,$DE$8:$DE$1600,1),0)</f>
        <v/>
      </c>
      <c r="DJ726" s="84">
        <f>IF($DG726=1,$DH726+(100000-ROW())/mTieBreak,0)</f>
        <v/>
      </c>
    </row>
    <row r="727">
      <c r="B727" s="68" t="n">
        <v>52</v>
      </c>
      <c r="C727" s="69" t="inlineStr">
        <is>
          <t>UBS19C16</t>
        </is>
      </c>
      <c r="D727" s="69" t="inlineStr">
        <is>
          <t>52.000</t>
        </is>
      </c>
      <c r="E727" s="69" t="inlineStr">
        <is>
          <t>Dollar General Pelican Rapids</t>
        </is>
      </c>
      <c r="F727" s="69" t="inlineStr">
        <is>
          <t>LNUBS19C16-52.000</t>
        </is>
      </c>
      <c r="G727" s="70" t="n"/>
      <c r="H727" s="71" t="n">
        <v>896000</v>
      </c>
      <c r="I727" s="71" t="n">
        <v>896000</v>
      </c>
      <c r="J727" s="72" t="n">
        <v>6.16</v>
      </c>
      <c r="K727" s="69" t="inlineStr">
        <is>
          <t>Fixed rate</t>
        </is>
      </c>
      <c r="L727" s="68" t="n">
        <v>120</v>
      </c>
      <c r="M727" s="68" t="n">
        <v>30</v>
      </c>
      <c r="N727" s="68" t="n">
        <v>120</v>
      </c>
      <c r="O727" s="68" t="n">
        <v>120</v>
      </c>
      <c r="P727" s="68" t="n">
        <v>30</v>
      </c>
      <c r="Q727" s="68" t="n">
        <v>90</v>
      </c>
      <c r="R727" s="69" t="inlineStr">
        <is>
          <t>IO</t>
        </is>
      </c>
      <c r="S727" s="69" t="inlineStr">
        <is>
          <t>Yes</t>
        </is>
      </c>
      <c r="T727" s="73" t="n">
        <v>43525</v>
      </c>
      <c r="U727" s="73" t="n">
        <v>49009</v>
      </c>
      <c r="V727" s="73" t="n">
        <v>47183</v>
      </c>
      <c r="W727" s="69" t="n"/>
      <c r="X727" s="69" t="inlineStr">
        <is>
          <t>Current</t>
        </is>
      </c>
      <c r="Y727" s="68" t="n"/>
      <c r="Z727" s="69" t="inlineStr">
        <is>
          <t>No Defeasance Occurred</t>
        </is>
      </c>
      <c r="AA727" s="69" t="inlineStr">
        <is>
          <t>Previously</t>
        </is>
      </c>
      <c r="AB727" s="69" t="inlineStr">
        <is>
          <t>Never special serv</t>
        </is>
      </c>
      <c r="AC727" s="73" t="n"/>
      <c r="AD727" s="69" t="n"/>
      <c r="AE727" s="69" t="n"/>
      <c r="AF727" s="69" t="inlineStr">
        <is>
          <t>MN</t>
        </is>
      </c>
      <c r="AG727" s="69" t="inlineStr">
        <is>
          <t>Pelican Rapids</t>
        </is>
      </c>
      <c r="AH727" s="69" t="inlineStr">
        <is>
          <t>Fergus Falls, MN</t>
        </is>
      </c>
      <c r="AI727" s="69" t="inlineStr">
        <is>
          <t>Midwest / Central West</t>
        </is>
      </c>
      <c r="AJ727" s="69" t="inlineStr">
        <is>
          <t>RT</t>
        </is>
      </c>
      <c r="AK727" s="69" t="inlineStr">
        <is>
          <t>Single Tenant</t>
        </is>
      </c>
      <c r="AL727" s="68" t="n">
        <v>1</v>
      </c>
      <c r="AM727" s="68" t="n"/>
      <c r="AN727" s="68" t="n">
        <v>9100</v>
      </c>
      <c r="AO727" s="69" t="inlineStr">
        <is>
          <t>2018</t>
        </is>
      </c>
      <c r="AP727" s="70" t="n">
        <v>2018</v>
      </c>
      <c r="AQ727" s="74" t="n">
        <v>1.42</v>
      </c>
      <c r="AR727" s="74" t="n">
        <v>1.23</v>
      </c>
      <c r="AS727" s="74" t="n">
        <v>70</v>
      </c>
      <c r="AT727" s="74" t="n">
        <v>70</v>
      </c>
      <c r="AU727" s="74" t="n">
        <v>70</v>
      </c>
      <c r="AV727" s="74" t="n">
        <v>8.896914063000001</v>
      </c>
      <c r="AW727" s="74" t="n">
        <v>7.6593125</v>
      </c>
      <c r="AX727" s="75" t="n">
        <v>100</v>
      </c>
      <c r="AY727" s="71" t="n">
        <v>1280000</v>
      </c>
      <c r="AZ727" s="71" t="n">
        <v>1280000</v>
      </c>
      <c r="BA727" s="71" t="n">
        <v>79716.35000000001</v>
      </c>
      <c r="BB727" s="71" t="n">
        <v>68627.44</v>
      </c>
      <c r="BC727" s="69" t="inlineStr">
        <is>
          <t>Acquisition</t>
        </is>
      </c>
      <c r="BD727" s="69" t="inlineStr">
        <is>
          <t>N</t>
        </is>
      </c>
      <c r="BE727" s="71" t="n"/>
      <c r="BF727" s="71" t="n"/>
      <c r="BG727" s="71" t="n"/>
      <c r="BH727" s="71" t="n">
        <v>0</v>
      </c>
      <c r="BI727" s="71" t="n">
        <v>0</v>
      </c>
      <c r="BJ727" s="69" t="inlineStr">
        <is>
          <t>N</t>
        </is>
      </c>
      <c r="BK727" s="69" t="inlineStr">
        <is>
          <t>Dollar General</t>
        </is>
      </c>
      <c r="BL727" s="75" t="n">
        <v>100</v>
      </c>
      <c r="BM727" s="73" t="n">
        <v>48883</v>
      </c>
      <c r="BN727" s="69" t="inlineStr">
        <is>
          <t>Ladder Capital CRE Equity LLC</t>
        </is>
      </c>
      <c r="BO727" s="69" t="inlineStr">
        <is>
          <t>Ladder Capital Finance</t>
        </is>
      </c>
      <c r="BP727" s="69" t="inlineStr">
        <is>
          <t>Midland Loan Services</t>
        </is>
      </c>
      <c r="BQ727" s="69" t="inlineStr">
        <is>
          <t>Midland Loan Services</t>
        </is>
      </c>
      <c r="BR727" s="69" t="n"/>
      <c r="BS727" s="73" t="n">
        <v>46276</v>
      </c>
      <c r="BU727" s="76">
        <f>IF($C727="","",IFERROR(INDEX(dmName,MATCH($C727,dmID,0)),"Unmapped"))</f>
        <v/>
      </c>
      <c r="BV727" s="76">
        <f>IF($C727="","",IFERROR(INDEX(dmEntity,MATCH($C727,dmID,0)),"Unmapped"))</f>
        <v/>
      </c>
      <c r="BW727" s="77">
        <f>IF($C727="","",IFERROR(INDEX(dmVintage,MATCH($C727,dmID,0)),""))</f>
        <v/>
      </c>
      <c r="BX727" s="78">
        <f>IFERROR(INDEX(dmInclude,MATCH($C727,dmID,0)),0)</f>
        <v/>
      </c>
      <c r="BY727" s="78">
        <f>IF(N($I727)&gt;0,1,0)</f>
        <v/>
      </c>
      <c r="BZ727" s="76">
        <f>IF($AJ727="","Other / Leased Fee",IFERROR(INDEX(mapPTGroup,MATCH(LEFT(TRIM($AJ727),2),mapPTCode,0)),"Other / Leased Fee"))</f>
        <v/>
      </c>
      <c r="CA727" s="76">
        <f>IF(TRIM($AF727&amp;"")="","NR",LEFT(TRIM($AF727),2))</f>
        <v/>
      </c>
      <c r="CB727" s="76">
        <f>IFERROR(LOOKUP(2,1/(LEFT(TRIM($AI727&amp;""),LEN(mapRegion))=mapRegion),mapRegion),"Not Reported")</f>
        <v/>
      </c>
      <c r="CC727" s="76">
        <f>IF($BY727=0,"",IF(TRIM($W727&amp;"")="REO","REO",IF(TRIM($W727&amp;"")="FC","Foreclosure",IF(TRIM($W727&amp;"")="90+","90+ Days Delinquent",IF(TRIM($W727&amp;"")="60","60 Days Delinquent",IF(TRIM($W727&amp;"")="30","30 Days Delinquent",IF($X727="Non-Performing Matured Balloon","Non-Performing Matured Balloon",IF(OR($X727="Late Payment But Less Than 30 Days Delinquent",LEFT($X727&amp;"",20)="Payment Not Received"),"Late / In Grace (&lt;30 Days)",IF($X727="Performing Matured Balloon","Performing Matured Balloon","Current")))))))))</f>
        <v/>
      </c>
      <c r="CD727" s="78">
        <f>IF(OR($CC727="REO",$CC727="Foreclosure",$CC727="90+ Days Delinquent",$CC727="60 Days Delinquent",$CC727="30 Days Delinquent",$CC727="Non-Performing Matured Balloon"),1,0)</f>
        <v/>
      </c>
      <c r="CE727" s="76">
        <f>IF($AB727="Currently special serv","Currently Specially Serviced",IF($AB727="Returned to master serv","Previously Specially Serviced","Never Specially Serviced"))</f>
        <v/>
      </c>
      <c r="CF727" s="78">
        <f>IF($CE727="Currently Specially Serviced",1,0)</f>
        <v/>
      </c>
      <c r="CG727" s="76">
        <f>IF($AA727="Yes","Currently on Watchlist",IF($AA727="Previously","Previously on Watchlist","Never on Watchlist"))</f>
        <v/>
      </c>
      <c r="CH727" s="78">
        <f>IF($CG727="Currently on Watchlist",1,0)</f>
        <v/>
      </c>
      <c r="CI727" s="76">
        <f>IF($Z727="Full Defeasance","Fully Defeased",IF($Z727="Portion Of Loan Previously Defeased","Partially Defeased",IF($Z727="Defeasance Not Allowable","Not Defeased (Not Permitted)","Not Defeased")))</f>
        <v/>
      </c>
      <c r="CJ727" s="78">
        <f>IF($CI727="Fully Defeased",1,0)</f>
        <v/>
      </c>
      <c r="CK727" s="76">
        <f>IF($R727="IO","Full IO",IF(LEFT($R727&amp;"",7)="IO then","Partial IO","Amortizing"))</f>
        <v/>
      </c>
      <c r="CL727" s="78">
        <f>IF($CK727="Full IO",1,0)</f>
        <v/>
      </c>
      <c r="CM727" s="78">
        <f>IF($CK727="Partial IO",1,0)</f>
        <v/>
      </c>
      <c r="CN727" s="76">
        <f>IF(LEFT($F727&amp;"",10)="SPLIT_LOAN","Pari Passu Split","Standalone")</f>
        <v/>
      </c>
      <c r="CO727" s="78">
        <f>IF($CN727="Pari Passu Split",1,0)</f>
        <v/>
      </c>
      <c r="CP727" s="77">
        <f>IF(ISNUMBER($T727),YEAR($T727),"")</f>
        <v/>
      </c>
      <c r="CQ727" s="79">
        <f>IF(ISNUMBER($V727),$V727,IF(ISNUMBER($U727),$U727,""))</f>
        <v/>
      </c>
      <c r="CR727" s="77">
        <f>IF(ISNUMBER($CQ727),YEAR($CQ727),"")</f>
        <v/>
      </c>
      <c r="CS727" s="78">
        <f>IF(ISNUMBER($M727),MAX(0,$M727),IF(TRIM($M727&amp;"")="matured",0,""))</f>
        <v/>
      </c>
      <c r="CT727" s="78">
        <f>IF(AND(ISNUMBER($CS727),N($CS727)&lt;=mMatWindow),1,0)</f>
        <v/>
      </c>
      <c r="CU727" s="80">
        <f>IF(ISNUMBER($J727),$J727/100,"")</f>
        <v/>
      </c>
      <c r="CV727" s="81">
        <f>IF(ISNUMBER($AQ727),$AQ727,"")</f>
        <v/>
      </c>
      <c r="CW727" s="81">
        <f>IF(ISNUMBER($AR727),$AR727,"")</f>
        <v/>
      </c>
      <c r="CX727" s="82">
        <f>IF(ISNUMBER($AS727),$AS727/100,"")</f>
        <v/>
      </c>
      <c r="CY727" s="82">
        <f>IF(ISNUMBER($AT727),$AT727/100,"")</f>
        <v/>
      </c>
      <c r="CZ727" s="82">
        <f>IF(ISNUMBER($AU727),$AU727/100,"")</f>
        <v/>
      </c>
      <c r="DA727" s="82">
        <f>IF(ISNUMBER($AV727),$AV727/100,"")</f>
        <v/>
      </c>
      <c r="DB727" s="82">
        <f>IF(ISNUMBER($AW727),$AW727/100,"")</f>
        <v/>
      </c>
      <c r="DC727" s="82">
        <f>IF(ISNUMBER($AX727),$AX727/100,"")</f>
        <v/>
      </c>
      <c r="DD727" s="77">
        <f>IFERROR(VALUE(LEFT(TRIM($AO727&amp;""),4)),"")</f>
        <v/>
      </c>
      <c r="DE727" s="78">
        <f>IF(AND($BY727=1,$BX727=1,OR(fDeal="All Deals",$BU727=fDeal),OR(fEntity="All Entities",$BV727=fEntity),OR(fPType="All Property Types",$BZ727=fPType),OR(fDefeased="Include",$CJ727=0)),1,0)</f>
        <v/>
      </c>
      <c r="DF727" s="83">
        <f>$DE727*N($I727)</f>
        <v/>
      </c>
      <c r="DG727" s="78">
        <f>IF($DE727=1,IF(COUNTIFS($F$8:$F727,$F727,$DE$8:$DE727,1)=1,1,0),0)</f>
        <v/>
      </c>
      <c r="DH727" s="83">
        <f>IF($DG727=1,SUMIFS($DF$8:$DF$1600,$F$8:$F$1600,$F727),0)</f>
        <v/>
      </c>
      <c r="DI727" s="78">
        <f>IF($DG727=1,COUNTIFS($F$8:$F$1600,$F727,$DE$8:$DE$1600,1),0)</f>
        <v/>
      </c>
      <c r="DJ727" s="84">
        <f>IF($DG727=1,$DH727+(100000-ROW())/mTieBreak,0)</f>
        <v/>
      </c>
    </row>
    <row r="728">
      <c r="B728" s="68" t="n">
        <v>53</v>
      </c>
      <c r="C728" s="69" t="inlineStr">
        <is>
          <t>UBS19C16</t>
        </is>
      </c>
      <c r="D728" s="69" t="inlineStr">
        <is>
          <t>53.000</t>
        </is>
      </c>
      <c r="E728" s="69" t="inlineStr">
        <is>
          <t>Dollar General Bolivar</t>
        </is>
      </c>
      <c r="F728" s="69" t="inlineStr">
        <is>
          <t>LNUBS19C16-53.000</t>
        </is>
      </c>
      <c r="G728" s="70" t="n"/>
      <c r="H728" s="71" t="n">
        <v>871000</v>
      </c>
      <c r="I728" s="71" t="n">
        <v>871000</v>
      </c>
      <c r="J728" s="72" t="n">
        <v>6.1</v>
      </c>
      <c r="K728" s="69" t="inlineStr">
        <is>
          <t>Fixed rate</t>
        </is>
      </c>
      <c r="L728" s="68" t="n">
        <v>120</v>
      </c>
      <c r="M728" s="68" t="n">
        <v>30</v>
      </c>
      <c r="N728" s="68" t="n">
        <v>120</v>
      </c>
      <c r="O728" s="68" t="n">
        <v>120</v>
      </c>
      <c r="P728" s="68" t="n">
        <v>30</v>
      </c>
      <c r="Q728" s="68" t="n">
        <v>90</v>
      </c>
      <c r="R728" s="69" t="inlineStr">
        <is>
          <t>IO</t>
        </is>
      </c>
      <c r="S728" s="69" t="inlineStr">
        <is>
          <t>Yes</t>
        </is>
      </c>
      <c r="T728" s="73" t="n">
        <v>43525</v>
      </c>
      <c r="U728" s="73" t="n">
        <v>49009</v>
      </c>
      <c r="V728" s="73" t="n">
        <v>47183</v>
      </c>
      <c r="W728" s="69" t="n"/>
      <c r="X728" s="69" t="inlineStr">
        <is>
          <t>Current</t>
        </is>
      </c>
      <c r="Y728" s="68" t="n"/>
      <c r="Z728" s="69" t="inlineStr">
        <is>
          <t>No Defeasance Occurred</t>
        </is>
      </c>
      <c r="AA728" s="69" t="inlineStr">
        <is>
          <t>Previously</t>
        </is>
      </c>
      <c r="AB728" s="69" t="inlineStr">
        <is>
          <t>Never special serv</t>
        </is>
      </c>
      <c r="AC728" s="73" t="n"/>
      <c r="AD728" s="69" t="n"/>
      <c r="AE728" s="69" t="n"/>
      <c r="AF728" s="69" t="inlineStr">
        <is>
          <t>MO</t>
        </is>
      </c>
      <c r="AG728" s="69" t="inlineStr">
        <is>
          <t>Bolivar</t>
        </is>
      </c>
      <c r="AH728" s="69" t="inlineStr">
        <is>
          <t>Springfield, MO</t>
        </is>
      </c>
      <c r="AI728" s="69" t="inlineStr">
        <is>
          <t>Midwest / Central West</t>
        </is>
      </c>
      <c r="AJ728" s="69" t="inlineStr">
        <is>
          <t>RT</t>
        </is>
      </c>
      <c r="AK728" s="69" t="inlineStr">
        <is>
          <t>Single Tenant</t>
        </is>
      </c>
      <c r="AL728" s="68" t="n">
        <v>1</v>
      </c>
      <c r="AM728" s="68" t="n"/>
      <c r="AN728" s="68" t="n">
        <v>9026</v>
      </c>
      <c r="AO728" s="69" t="inlineStr">
        <is>
          <t>2018</t>
        </is>
      </c>
      <c r="AP728" s="70" t="n">
        <v>2018</v>
      </c>
      <c r="AQ728" s="74" t="n">
        <v>1.45</v>
      </c>
      <c r="AR728" s="74" t="n">
        <v>1.14</v>
      </c>
      <c r="AS728" s="74" t="n">
        <v>67</v>
      </c>
      <c r="AT728" s="74" t="n">
        <v>67</v>
      </c>
      <c r="AU728" s="74" t="n">
        <v>67</v>
      </c>
      <c r="AV728" s="74" t="n">
        <v>8.992894374</v>
      </c>
      <c r="AW728" s="74" t="n">
        <v>7.066184845</v>
      </c>
      <c r="AX728" s="75" t="n">
        <v>100</v>
      </c>
      <c r="AY728" s="71" t="n">
        <v>1300000</v>
      </c>
      <c r="AZ728" s="71" t="n">
        <v>1300000</v>
      </c>
      <c r="BA728" s="71" t="n">
        <v>78328.11</v>
      </c>
      <c r="BB728" s="71" t="n">
        <v>61546.47</v>
      </c>
      <c r="BC728" s="69" t="inlineStr">
        <is>
          <t>Acquisition</t>
        </is>
      </c>
      <c r="BD728" s="69" t="inlineStr">
        <is>
          <t>N</t>
        </is>
      </c>
      <c r="BE728" s="71" t="n"/>
      <c r="BF728" s="71" t="n"/>
      <c r="BG728" s="71" t="n"/>
      <c r="BH728" s="71" t="n">
        <v>0</v>
      </c>
      <c r="BI728" s="71" t="n">
        <v>0</v>
      </c>
      <c r="BJ728" s="69" t="inlineStr">
        <is>
          <t>N</t>
        </is>
      </c>
      <c r="BK728" s="69" t="inlineStr">
        <is>
          <t>Dollar General</t>
        </is>
      </c>
      <c r="BL728" s="75" t="n">
        <v>100</v>
      </c>
      <c r="BM728" s="73" t="n">
        <v>48883</v>
      </c>
      <c r="BN728" s="69" t="inlineStr">
        <is>
          <t>Ladder Capital CRE Equity LLC</t>
        </is>
      </c>
      <c r="BO728" s="69" t="inlineStr">
        <is>
          <t>Ladder Capital Finance</t>
        </is>
      </c>
      <c r="BP728" s="69" t="inlineStr">
        <is>
          <t>Midland Loan Services</t>
        </is>
      </c>
      <c r="BQ728" s="69" t="inlineStr">
        <is>
          <t>Midland Loan Services</t>
        </is>
      </c>
      <c r="BR728" s="69" t="n"/>
      <c r="BS728" s="73" t="n">
        <v>46276</v>
      </c>
      <c r="BU728" s="76">
        <f>IF($C728="","",IFERROR(INDEX(dmName,MATCH($C728,dmID,0)),"Unmapped"))</f>
        <v/>
      </c>
      <c r="BV728" s="76">
        <f>IF($C728="","",IFERROR(INDEX(dmEntity,MATCH($C728,dmID,0)),"Unmapped"))</f>
        <v/>
      </c>
      <c r="BW728" s="77">
        <f>IF($C728="","",IFERROR(INDEX(dmVintage,MATCH($C728,dmID,0)),""))</f>
        <v/>
      </c>
      <c r="BX728" s="78">
        <f>IFERROR(INDEX(dmInclude,MATCH($C728,dmID,0)),0)</f>
        <v/>
      </c>
      <c r="BY728" s="78">
        <f>IF(N($I728)&gt;0,1,0)</f>
        <v/>
      </c>
      <c r="BZ728" s="76">
        <f>IF($AJ728="","Other / Leased Fee",IFERROR(INDEX(mapPTGroup,MATCH(LEFT(TRIM($AJ728),2),mapPTCode,0)),"Other / Leased Fee"))</f>
        <v/>
      </c>
      <c r="CA728" s="76">
        <f>IF(TRIM($AF728&amp;"")="","NR",LEFT(TRIM($AF728),2))</f>
        <v/>
      </c>
      <c r="CB728" s="76">
        <f>IFERROR(LOOKUP(2,1/(LEFT(TRIM($AI728&amp;""),LEN(mapRegion))=mapRegion),mapRegion),"Not Reported")</f>
        <v/>
      </c>
      <c r="CC728" s="76">
        <f>IF($BY728=0,"",IF(TRIM($W728&amp;"")="REO","REO",IF(TRIM($W728&amp;"")="FC","Foreclosure",IF(TRIM($W728&amp;"")="90+","90+ Days Delinquent",IF(TRIM($W728&amp;"")="60","60 Days Delinquent",IF(TRIM($W728&amp;"")="30","30 Days Delinquent",IF($X728="Non-Performing Matured Balloon","Non-Performing Matured Balloon",IF(OR($X728="Late Payment But Less Than 30 Days Delinquent",LEFT($X728&amp;"",20)="Payment Not Received"),"Late / In Grace (&lt;30 Days)",IF($X728="Performing Matured Balloon","Performing Matured Balloon","Current")))))))))</f>
        <v/>
      </c>
      <c r="CD728" s="78">
        <f>IF(OR($CC728="REO",$CC728="Foreclosure",$CC728="90+ Days Delinquent",$CC728="60 Days Delinquent",$CC728="30 Days Delinquent",$CC728="Non-Performing Matured Balloon"),1,0)</f>
        <v/>
      </c>
      <c r="CE728" s="76">
        <f>IF($AB728="Currently special serv","Currently Specially Serviced",IF($AB728="Returned to master serv","Previously Specially Serviced","Never Specially Serviced"))</f>
        <v/>
      </c>
      <c r="CF728" s="78">
        <f>IF($CE728="Currently Specially Serviced",1,0)</f>
        <v/>
      </c>
      <c r="CG728" s="76">
        <f>IF($AA728="Yes","Currently on Watchlist",IF($AA728="Previously","Previously on Watchlist","Never on Watchlist"))</f>
        <v/>
      </c>
      <c r="CH728" s="78">
        <f>IF($CG728="Currently on Watchlist",1,0)</f>
        <v/>
      </c>
      <c r="CI728" s="76">
        <f>IF($Z728="Full Defeasance","Fully Defeased",IF($Z728="Portion Of Loan Previously Defeased","Partially Defeased",IF($Z728="Defeasance Not Allowable","Not Defeased (Not Permitted)","Not Defeased")))</f>
        <v/>
      </c>
      <c r="CJ728" s="78">
        <f>IF($CI728="Fully Defeased",1,0)</f>
        <v/>
      </c>
      <c r="CK728" s="76">
        <f>IF($R728="IO","Full IO",IF(LEFT($R728&amp;"",7)="IO then","Partial IO","Amortizing"))</f>
        <v/>
      </c>
      <c r="CL728" s="78">
        <f>IF($CK728="Full IO",1,0)</f>
        <v/>
      </c>
      <c r="CM728" s="78">
        <f>IF($CK728="Partial IO",1,0)</f>
        <v/>
      </c>
      <c r="CN728" s="76">
        <f>IF(LEFT($F728&amp;"",10)="SPLIT_LOAN","Pari Passu Split","Standalone")</f>
        <v/>
      </c>
      <c r="CO728" s="78">
        <f>IF($CN728="Pari Passu Split",1,0)</f>
        <v/>
      </c>
      <c r="CP728" s="77">
        <f>IF(ISNUMBER($T728),YEAR($T728),"")</f>
        <v/>
      </c>
      <c r="CQ728" s="79">
        <f>IF(ISNUMBER($V728),$V728,IF(ISNUMBER($U728),$U728,""))</f>
        <v/>
      </c>
      <c r="CR728" s="77">
        <f>IF(ISNUMBER($CQ728),YEAR($CQ728),"")</f>
        <v/>
      </c>
      <c r="CS728" s="78">
        <f>IF(ISNUMBER($M728),MAX(0,$M728),IF(TRIM($M728&amp;"")="matured",0,""))</f>
        <v/>
      </c>
      <c r="CT728" s="78">
        <f>IF(AND(ISNUMBER($CS728),N($CS728)&lt;=mMatWindow),1,0)</f>
        <v/>
      </c>
      <c r="CU728" s="80">
        <f>IF(ISNUMBER($J728),$J728/100,"")</f>
        <v/>
      </c>
      <c r="CV728" s="81">
        <f>IF(ISNUMBER($AQ728),$AQ728,"")</f>
        <v/>
      </c>
      <c r="CW728" s="81">
        <f>IF(ISNUMBER($AR728),$AR728,"")</f>
        <v/>
      </c>
      <c r="CX728" s="82">
        <f>IF(ISNUMBER($AS728),$AS728/100,"")</f>
        <v/>
      </c>
      <c r="CY728" s="82">
        <f>IF(ISNUMBER($AT728),$AT728/100,"")</f>
        <v/>
      </c>
      <c r="CZ728" s="82">
        <f>IF(ISNUMBER($AU728),$AU728/100,"")</f>
        <v/>
      </c>
      <c r="DA728" s="82">
        <f>IF(ISNUMBER($AV728),$AV728/100,"")</f>
        <v/>
      </c>
      <c r="DB728" s="82">
        <f>IF(ISNUMBER($AW728),$AW728/100,"")</f>
        <v/>
      </c>
      <c r="DC728" s="82">
        <f>IF(ISNUMBER($AX728),$AX728/100,"")</f>
        <v/>
      </c>
      <c r="DD728" s="77">
        <f>IFERROR(VALUE(LEFT(TRIM($AO728&amp;""),4)),"")</f>
        <v/>
      </c>
      <c r="DE728" s="78">
        <f>IF(AND($BY728=1,$BX728=1,OR(fDeal="All Deals",$BU728=fDeal),OR(fEntity="All Entities",$BV728=fEntity),OR(fPType="All Property Types",$BZ728=fPType),OR(fDefeased="Include",$CJ728=0)),1,0)</f>
        <v/>
      </c>
      <c r="DF728" s="83">
        <f>$DE728*N($I728)</f>
        <v/>
      </c>
      <c r="DG728" s="78">
        <f>IF($DE728=1,IF(COUNTIFS($F$8:$F728,$F728,$DE$8:$DE728,1)=1,1,0),0)</f>
        <v/>
      </c>
      <c r="DH728" s="83">
        <f>IF($DG728=1,SUMIFS($DF$8:$DF$1600,$F$8:$F$1600,$F728),0)</f>
        <v/>
      </c>
      <c r="DI728" s="78">
        <f>IF($DG728=1,COUNTIFS($F$8:$F$1600,$F728,$DE$8:$DE$1600,1),0)</f>
        <v/>
      </c>
      <c r="DJ728" s="84">
        <f>IF($DG728=1,$DH728+(100000-ROW())/mTieBreak,0)</f>
        <v/>
      </c>
    </row>
    <row r="729">
      <c r="B729" s="68" t="n">
        <v>54</v>
      </c>
      <c r="C729" s="69" t="inlineStr">
        <is>
          <t>UBS19C16</t>
        </is>
      </c>
      <c r="D729" s="69" t="inlineStr">
        <is>
          <t>54.000</t>
        </is>
      </c>
      <c r="E729" s="69" t="inlineStr">
        <is>
          <t>Dollar General Carthage</t>
        </is>
      </c>
      <c r="F729" s="69" t="inlineStr">
        <is>
          <t>LNUBS19C16-54.000</t>
        </is>
      </c>
      <c r="G729" s="70" t="n"/>
      <c r="H729" s="71" t="n">
        <v>822500</v>
      </c>
      <c r="I729" s="71" t="n">
        <v>822500</v>
      </c>
      <c r="J729" s="72" t="n">
        <v>6.13</v>
      </c>
      <c r="K729" s="69" t="inlineStr">
        <is>
          <t>Fixed rate</t>
        </is>
      </c>
      <c r="L729" s="68" t="n">
        <v>120</v>
      </c>
      <c r="M729" s="68" t="n">
        <v>30</v>
      </c>
      <c r="N729" s="68" t="n">
        <v>120</v>
      </c>
      <c r="O729" s="68" t="n">
        <v>120</v>
      </c>
      <c r="P729" s="68" t="n">
        <v>30</v>
      </c>
      <c r="Q729" s="68" t="n">
        <v>90</v>
      </c>
      <c r="R729" s="69" t="inlineStr">
        <is>
          <t>IO</t>
        </is>
      </c>
      <c r="S729" s="69" t="inlineStr">
        <is>
          <t>Yes</t>
        </is>
      </c>
      <c r="T729" s="73" t="n">
        <v>43525</v>
      </c>
      <c r="U729" s="73" t="n">
        <v>49009</v>
      </c>
      <c r="V729" s="73" t="n">
        <v>47183</v>
      </c>
      <c r="W729" s="69" t="n"/>
      <c r="X729" s="69" t="inlineStr">
        <is>
          <t>Current</t>
        </is>
      </c>
      <c r="Y729" s="68" t="n"/>
      <c r="Z729" s="69" t="inlineStr">
        <is>
          <t>No Defeasance Occurred</t>
        </is>
      </c>
      <c r="AA729" s="69" t="inlineStr">
        <is>
          <t>Previously</t>
        </is>
      </c>
      <c r="AB729" s="69" t="inlineStr">
        <is>
          <t>Never special serv</t>
        </is>
      </c>
      <c r="AC729" s="73" t="n"/>
      <c r="AD729" s="69" t="n"/>
      <c r="AE729" s="69" t="n"/>
      <c r="AF729" s="69" t="inlineStr">
        <is>
          <t>MO</t>
        </is>
      </c>
      <c r="AG729" s="69" t="inlineStr">
        <is>
          <t>Carthage</t>
        </is>
      </c>
      <c r="AH729" s="69" t="inlineStr">
        <is>
          <t>Joplin, MO-KS</t>
        </is>
      </c>
      <c r="AI729" s="69" t="inlineStr">
        <is>
          <t>Midwest / Central West</t>
        </is>
      </c>
      <c r="AJ729" s="69" t="inlineStr">
        <is>
          <t>RT</t>
        </is>
      </c>
      <c r="AK729" s="69" t="inlineStr">
        <is>
          <t>Single Tenant</t>
        </is>
      </c>
      <c r="AL729" s="68" t="n">
        <v>1</v>
      </c>
      <c r="AM729" s="68" t="n"/>
      <c r="AN729" s="68" t="n">
        <v>7500</v>
      </c>
      <c r="AO729" s="69" t="inlineStr">
        <is>
          <t>2018</t>
        </is>
      </c>
      <c r="AP729" s="70" t="n">
        <v>2018</v>
      </c>
      <c r="AQ729" s="74" t="n">
        <v>1.43</v>
      </c>
      <c r="AR729" s="74" t="n">
        <v>1.34</v>
      </c>
      <c r="AS729" s="74" t="n">
        <v>70</v>
      </c>
      <c r="AT729" s="74" t="n">
        <v>70</v>
      </c>
      <c r="AU729" s="74" t="n">
        <v>70</v>
      </c>
      <c r="AV729" s="74" t="n">
        <v>8.908262614</v>
      </c>
      <c r="AW729" s="74" t="n">
        <v>8.298539818</v>
      </c>
      <c r="AX729" s="75" t="n">
        <v>100</v>
      </c>
      <c r="AY729" s="71" t="n">
        <v>1175000</v>
      </c>
      <c r="AZ729" s="71" t="n">
        <v>1175000</v>
      </c>
      <c r="BA729" s="71" t="n">
        <v>73270.46000000001</v>
      </c>
      <c r="BB729" s="71" t="n">
        <v>68255.49000000001</v>
      </c>
      <c r="BC729" s="69" t="inlineStr">
        <is>
          <t>Acquisition</t>
        </is>
      </c>
      <c r="BD729" s="69" t="inlineStr">
        <is>
          <t>N</t>
        </is>
      </c>
      <c r="BE729" s="71" t="n"/>
      <c r="BF729" s="71" t="n"/>
      <c r="BG729" s="71" t="n"/>
      <c r="BH729" s="71" t="n">
        <v>0</v>
      </c>
      <c r="BI729" s="71" t="n">
        <v>0</v>
      </c>
      <c r="BJ729" s="69" t="inlineStr">
        <is>
          <t>N</t>
        </is>
      </c>
      <c r="BK729" s="69" t="inlineStr">
        <is>
          <t>Dollar General</t>
        </is>
      </c>
      <c r="BL729" s="75" t="n">
        <v>100</v>
      </c>
      <c r="BM729" s="73" t="n">
        <v>48883</v>
      </c>
      <c r="BN729" s="69" t="inlineStr">
        <is>
          <t>Ladder Capital CRE Equity LLC</t>
        </is>
      </c>
      <c r="BO729" s="69" t="inlineStr">
        <is>
          <t>Ladder Capital Finance</t>
        </is>
      </c>
      <c r="BP729" s="69" t="inlineStr">
        <is>
          <t>Midland Loan Services</t>
        </is>
      </c>
      <c r="BQ729" s="69" t="inlineStr">
        <is>
          <t>Midland Loan Services</t>
        </is>
      </c>
      <c r="BR729" s="69" t="n"/>
      <c r="BS729" s="73" t="n">
        <v>46276</v>
      </c>
      <c r="BU729" s="76">
        <f>IF($C729="","",IFERROR(INDEX(dmName,MATCH($C729,dmID,0)),"Unmapped"))</f>
        <v/>
      </c>
      <c r="BV729" s="76">
        <f>IF($C729="","",IFERROR(INDEX(dmEntity,MATCH($C729,dmID,0)),"Unmapped"))</f>
        <v/>
      </c>
      <c r="BW729" s="77">
        <f>IF($C729="","",IFERROR(INDEX(dmVintage,MATCH($C729,dmID,0)),""))</f>
        <v/>
      </c>
      <c r="BX729" s="78">
        <f>IFERROR(INDEX(dmInclude,MATCH($C729,dmID,0)),0)</f>
        <v/>
      </c>
      <c r="BY729" s="78">
        <f>IF(N($I729)&gt;0,1,0)</f>
        <v/>
      </c>
      <c r="BZ729" s="76">
        <f>IF($AJ729="","Other / Leased Fee",IFERROR(INDEX(mapPTGroup,MATCH(LEFT(TRIM($AJ729),2),mapPTCode,0)),"Other / Leased Fee"))</f>
        <v/>
      </c>
      <c r="CA729" s="76">
        <f>IF(TRIM($AF729&amp;"")="","NR",LEFT(TRIM($AF729),2))</f>
        <v/>
      </c>
      <c r="CB729" s="76">
        <f>IFERROR(LOOKUP(2,1/(LEFT(TRIM($AI729&amp;""),LEN(mapRegion))=mapRegion),mapRegion),"Not Reported")</f>
        <v/>
      </c>
      <c r="CC729" s="76">
        <f>IF($BY729=0,"",IF(TRIM($W729&amp;"")="REO","REO",IF(TRIM($W729&amp;"")="FC","Foreclosure",IF(TRIM($W729&amp;"")="90+","90+ Days Delinquent",IF(TRIM($W729&amp;"")="60","60 Days Delinquent",IF(TRIM($W729&amp;"")="30","30 Days Delinquent",IF($X729="Non-Performing Matured Balloon","Non-Performing Matured Balloon",IF(OR($X729="Late Payment But Less Than 30 Days Delinquent",LEFT($X729&amp;"",20)="Payment Not Received"),"Late / In Grace (&lt;30 Days)",IF($X729="Performing Matured Balloon","Performing Matured Balloon","Current")))))))))</f>
        <v/>
      </c>
      <c r="CD729" s="78">
        <f>IF(OR($CC729="REO",$CC729="Foreclosure",$CC729="90+ Days Delinquent",$CC729="60 Days Delinquent",$CC729="30 Days Delinquent",$CC729="Non-Performing Matured Balloon"),1,0)</f>
        <v/>
      </c>
      <c r="CE729" s="76">
        <f>IF($AB729="Currently special serv","Currently Specially Serviced",IF($AB729="Returned to master serv","Previously Specially Serviced","Never Specially Serviced"))</f>
        <v/>
      </c>
      <c r="CF729" s="78">
        <f>IF($CE729="Currently Specially Serviced",1,0)</f>
        <v/>
      </c>
      <c r="CG729" s="76">
        <f>IF($AA729="Yes","Currently on Watchlist",IF($AA729="Previously","Previously on Watchlist","Never on Watchlist"))</f>
        <v/>
      </c>
      <c r="CH729" s="78">
        <f>IF($CG729="Currently on Watchlist",1,0)</f>
        <v/>
      </c>
      <c r="CI729" s="76">
        <f>IF($Z729="Full Defeasance","Fully Defeased",IF($Z729="Portion Of Loan Previously Defeased","Partially Defeased",IF($Z729="Defeasance Not Allowable","Not Defeased (Not Permitted)","Not Defeased")))</f>
        <v/>
      </c>
      <c r="CJ729" s="78">
        <f>IF($CI729="Fully Defeased",1,0)</f>
        <v/>
      </c>
      <c r="CK729" s="76">
        <f>IF($R729="IO","Full IO",IF(LEFT($R729&amp;"",7)="IO then","Partial IO","Amortizing"))</f>
        <v/>
      </c>
      <c r="CL729" s="78">
        <f>IF($CK729="Full IO",1,0)</f>
        <v/>
      </c>
      <c r="CM729" s="78">
        <f>IF($CK729="Partial IO",1,0)</f>
        <v/>
      </c>
      <c r="CN729" s="76">
        <f>IF(LEFT($F729&amp;"",10)="SPLIT_LOAN","Pari Passu Split","Standalone")</f>
        <v/>
      </c>
      <c r="CO729" s="78">
        <f>IF($CN729="Pari Passu Split",1,0)</f>
        <v/>
      </c>
      <c r="CP729" s="77">
        <f>IF(ISNUMBER($T729),YEAR($T729),"")</f>
        <v/>
      </c>
      <c r="CQ729" s="79">
        <f>IF(ISNUMBER($V729),$V729,IF(ISNUMBER($U729),$U729,""))</f>
        <v/>
      </c>
      <c r="CR729" s="77">
        <f>IF(ISNUMBER($CQ729),YEAR($CQ729),"")</f>
        <v/>
      </c>
      <c r="CS729" s="78">
        <f>IF(ISNUMBER($M729),MAX(0,$M729),IF(TRIM($M729&amp;"")="matured",0,""))</f>
        <v/>
      </c>
      <c r="CT729" s="78">
        <f>IF(AND(ISNUMBER($CS729),N($CS729)&lt;=mMatWindow),1,0)</f>
        <v/>
      </c>
      <c r="CU729" s="80">
        <f>IF(ISNUMBER($J729),$J729/100,"")</f>
        <v/>
      </c>
      <c r="CV729" s="81">
        <f>IF(ISNUMBER($AQ729),$AQ729,"")</f>
        <v/>
      </c>
      <c r="CW729" s="81">
        <f>IF(ISNUMBER($AR729),$AR729,"")</f>
        <v/>
      </c>
      <c r="CX729" s="82">
        <f>IF(ISNUMBER($AS729),$AS729/100,"")</f>
        <v/>
      </c>
      <c r="CY729" s="82">
        <f>IF(ISNUMBER($AT729),$AT729/100,"")</f>
        <v/>
      </c>
      <c r="CZ729" s="82">
        <f>IF(ISNUMBER($AU729),$AU729/100,"")</f>
        <v/>
      </c>
      <c r="DA729" s="82">
        <f>IF(ISNUMBER($AV729),$AV729/100,"")</f>
        <v/>
      </c>
      <c r="DB729" s="82">
        <f>IF(ISNUMBER($AW729),$AW729/100,"")</f>
        <v/>
      </c>
      <c r="DC729" s="82">
        <f>IF(ISNUMBER($AX729),$AX729/100,"")</f>
        <v/>
      </c>
      <c r="DD729" s="77">
        <f>IFERROR(VALUE(LEFT(TRIM($AO729&amp;""),4)),"")</f>
        <v/>
      </c>
      <c r="DE729" s="78">
        <f>IF(AND($BY729=1,$BX729=1,OR(fDeal="All Deals",$BU729=fDeal),OR(fEntity="All Entities",$BV729=fEntity),OR(fPType="All Property Types",$BZ729=fPType),OR(fDefeased="Include",$CJ729=0)),1,0)</f>
        <v/>
      </c>
      <c r="DF729" s="83">
        <f>$DE729*N($I729)</f>
        <v/>
      </c>
      <c r="DG729" s="78">
        <f>IF($DE729=1,IF(COUNTIFS($F$8:$F729,$F729,$DE$8:$DE729,1)=1,1,0),0)</f>
        <v/>
      </c>
      <c r="DH729" s="83">
        <f>IF($DG729=1,SUMIFS($DF$8:$DF$1600,$F$8:$F$1600,$F729),0)</f>
        <v/>
      </c>
      <c r="DI729" s="78">
        <f>IF($DG729=1,COUNTIFS($F$8:$F$1600,$F729,$DE$8:$DE$1600,1),0)</f>
        <v/>
      </c>
      <c r="DJ729" s="84">
        <f>IF($DG729=1,$DH729+(100000-ROW())/mTieBreak,0)</f>
        <v/>
      </c>
    </row>
    <row r="730">
      <c r="B730" s="68" t="n">
        <v>1</v>
      </c>
      <c r="C730" s="69" t="inlineStr">
        <is>
          <t>UBS18C15</t>
        </is>
      </c>
      <c r="D730" s="69" t="inlineStr">
        <is>
          <t>1.000</t>
        </is>
      </c>
      <c r="E730" s="69" t="inlineStr">
        <is>
          <t>Great Value Storage Portfolio</t>
        </is>
      </c>
      <c r="F730" s="69" t="inlineStr">
        <is>
          <t>SPLIT_LOAN_01462</t>
        </is>
      </c>
      <c r="G730" s="70" t="n">
        <v>1462</v>
      </c>
      <c r="H730" s="71" t="n">
        <v>55000000</v>
      </c>
      <c r="I730" s="71" t="n">
        <v>0</v>
      </c>
      <c r="J730" s="72" t="n">
        <v>4.13977</v>
      </c>
      <c r="K730" s="69" t="inlineStr">
        <is>
          <t>Fixed rate</t>
        </is>
      </c>
      <c r="L730" s="68" t="n">
        <v>60</v>
      </c>
      <c r="M730" s="68" t="n"/>
      <c r="N730" s="68" t="n">
        <v>60</v>
      </c>
      <c r="O730" s="68" t="n">
        <v>60</v>
      </c>
      <c r="P730" s="68" t="n"/>
      <c r="Q730" s="68" t="n"/>
      <c r="R730" s="69" t="inlineStr">
        <is>
          <t>IO</t>
        </is>
      </c>
      <c r="S730" s="69" t="inlineStr">
        <is>
          <t>Yes</t>
        </is>
      </c>
      <c r="T730" s="73" t="n">
        <v>43466</v>
      </c>
      <c r="U730" s="73" t="n">
        <v>45266</v>
      </c>
      <c r="V730" s="73" t="n"/>
      <c r="W730" s="69" t="n"/>
      <c r="X730" s="69" t="inlineStr">
        <is>
          <t>Current</t>
        </is>
      </c>
      <c r="Y730" s="68" t="n"/>
      <c r="Z730" s="69" t="inlineStr">
        <is>
          <t>Defeasance Not Allowable</t>
        </is>
      </c>
      <c r="AA730" s="69" t="inlineStr">
        <is>
          <t>Previously</t>
        </is>
      </c>
      <c r="AB730" s="69" t="inlineStr">
        <is>
          <t>Currently special serv</t>
        </is>
      </c>
      <c r="AC730" s="73" t="n">
        <v>44365</v>
      </c>
      <c r="AD730" s="69" t="inlineStr">
        <is>
          <t>Borrower Bankruptcy</t>
        </is>
      </c>
      <c r="AE730" s="69" t="inlineStr">
        <is>
          <t>Other</t>
        </is>
      </c>
      <c r="AF730" s="69" t="inlineStr">
        <is>
          <t>TX-51.485509091% OH-23.913036364% MS-5.326090909% IL-4.130427273% CO-3.659418182% NV-3.115954545% NY-3.079709091% MO-1.884054545% TN-1.847827273% IN-1.557972727%</t>
        </is>
      </c>
      <c r="AG730" s="69" t="n"/>
      <c r="AH730" s="69" t="inlineStr">
        <is>
          <t>Houston-Pasadena-The Woodlands, TX-32.210145455% Dallas-Fort Worth-Arlington, TX-13.224636364% Columbus, OH-12.282609091% Dayton-Kettering-Beavercreek, OH-6.304345455% Champaign-Urbana, IL-4.130427273% Denver-Aurora-Centennial, CO-3.659418182% Jackson, MS-3.550727273% Youngstown-Warren, OH-3.188400000% Las Vegas-Henderson-North Las Vegas, NV-3.115954545% Kiryas Joel-Poughkeepsie-Newburgh, NY-3.079709091% Austin-Round Rock-San Marcos, TX-2.898554545% Kansas City, MO-KS-1.884054545% Memphis, TN-MS-AR-1.847827273% Hattiesburg, MS-1.775363636% San Antonio-New Braunfels, TX-1.666663636% Indianapolis-Carmel-Greenwood, IN-1.557972727% Cincinnati, OH-KY-IN-1.123190909% Mansfield, OH-1.014490909% Brownsville-Harlingen, TX-0.543481818%</t>
        </is>
      </c>
      <c r="AI730" s="69" t="inlineStr">
        <is>
          <t>South / Central West-51.485509091% Midwest / Central East-29.601436364% South / Central East-7.173918182% West / Mountain-6.775372727% Northeast / Mid-Atlantic-3.079709091% Midwest / Central West-1.884054545%</t>
        </is>
      </c>
      <c r="AJ730" s="69" t="inlineStr">
        <is>
          <t>SS</t>
        </is>
      </c>
      <c r="AK730" s="69" t="n"/>
      <c r="AL730" s="68" t="n">
        <v>64</v>
      </c>
      <c r="AM730" s="68" t="n"/>
      <c r="AN730" s="68" t="n">
        <v>4103764</v>
      </c>
      <c r="AO730" s="69" t="n"/>
      <c r="AP730" s="70" t="n">
        <v>2017</v>
      </c>
      <c r="AQ730" s="74" t="n">
        <v>4.69</v>
      </c>
      <c r="AR730" s="74" t="n">
        <v>3.4</v>
      </c>
      <c r="AS730" s="74" t="n">
        <v>29.3</v>
      </c>
      <c r="AT730" s="74" t="n"/>
      <c r="AU730" s="74" t="n">
        <v>29.3</v>
      </c>
      <c r="AV730" s="74" t="n">
        <v>19.700909064</v>
      </c>
      <c r="AW730" s="74" t="n"/>
      <c r="AX730" s="75" t="n">
        <v>76</v>
      </c>
      <c r="AY730" s="71" t="n">
        <v>376000000</v>
      </c>
      <c r="AZ730" s="71" t="n">
        <v>326000000</v>
      </c>
      <c r="BA730" s="71" t="n">
        <v>21670999.97</v>
      </c>
      <c r="BB730" s="71" t="n">
        <v>14982290.18</v>
      </c>
      <c r="BC730" s="69" t="inlineStr">
        <is>
          <t>Refinance</t>
        </is>
      </c>
      <c r="BD730" s="69" t="inlineStr">
        <is>
          <t>N</t>
        </is>
      </c>
      <c r="BE730" s="71" t="n">
        <v>0</v>
      </c>
      <c r="BF730" s="71" t="n"/>
      <c r="BG730" s="71" t="n">
        <v>166000000</v>
      </c>
      <c r="BH730" s="71" t="n">
        <v>0</v>
      </c>
      <c r="BI730" s="71" t="n">
        <v>0</v>
      </c>
      <c r="BJ730" s="69" t="inlineStr">
        <is>
          <t>N</t>
        </is>
      </c>
      <c r="BK730" s="69" t="n"/>
      <c r="BL730" s="75" t="n"/>
      <c r="BM730" s="73" t="n"/>
      <c r="BN730" s="69" t="inlineStr">
        <is>
          <t>Natin Paul</t>
        </is>
      </c>
      <c r="BO730" s="69" t="inlineStr">
        <is>
          <t>UBS</t>
        </is>
      </c>
      <c r="BP730" s="69" t="inlineStr">
        <is>
          <t>Midland Loan Services</t>
        </is>
      </c>
      <c r="BQ730" s="69" t="inlineStr">
        <is>
          <t>Midland Loan Services</t>
        </is>
      </c>
      <c r="BR730" s="69" t="inlineStr">
        <is>
          <t>Payoff Prior To Maturity</t>
        </is>
      </c>
      <c r="BS730" s="73" t="n">
        <v>45758</v>
      </c>
      <c r="BU730" s="76">
        <f>IF($C730="","",IFERROR(INDEX(dmName,MATCH($C730,dmID,0)),"Unmapped"))</f>
        <v/>
      </c>
      <c r="BV730" s="76">
        <f>IF($C730="","",IFERROR(INDEX(dmEntity,MATCH($C730,dmID,0)),"Unmapped"))</f>
        <v/>
      </c>
      <c r="BW730" s="77">
        <f>IF($C730="","",IFERROR(INDEX(dmVintage,MATCH($C730,dmID,0)),""))</f>
        <v/>
      </c>
      <c r="BX730" s="78">
        <f>IFERROR(INDEX(dmInclude,MATCH($C730,dmID,0)),0)</f>
        <v/>
      </c>
      <c r="BY730" s="78">
        <f>IF(N($I730)&gt;0,1,0)</f>
        <v/>
      </c>
      <c r="BZ730" s="76">
        <f>IF($AJ730="","Other / Leased Fee",IFERROR(INDEX(mapPTGroup,MATCH(LEFT(TRIM($AJ730),2),mapPTCode,0)),"Other / Leased Fee"))</f>
        <v/>
      </c>
      <c r="CA730" s="76">
        <f>IF(TRIM($AF730&amp;"")="","NR",LEFT(TRIM($AF730),2))</f>
        <v/>
      </c>
      <c r="CB730" s="76">
        <f>IFERROR(LOOKUP(2,1/(LEFT(TRIM($AI730&amp;""),LEN(mapRegion))=mapRegion),mapRegion),"Not Reported")</f>
        <v/>
      </c>
      <c r="CC730" s="76">
        <f>IF($BY730=0,"",IF(TRIM($W730&amp;"")="REO","REO",IF(TRIM($W730&amp;"")="FC","Foreclosure",IF(TRIM($W730&amp;"")="90+","90+ Days Delinquent",IF(TRIM($W730&amp;"")="60","60 Days Delinquent",IF(TRIM($W730&amp;"")="30","30 Days Delinquent",IF($X730="Non-Performing Matured Balloon","Non-Performing Matured Balloon",IF(OR($X730="Late Payment But Less Than 30 Days Delinquent",LEFT($X730&amp;"",20)="Payment Not Received"),"Late / In Grace (&lt;30 Days)",IF($X730="Performing Matured Balloon","Performing Matured Balloon","Current")))))))))</f>
        <v/>
      </c>
      <c r="CD730" s="78">
        <f>IF(OR($CC730="REO",$CC730="Foreclosure",$CC730="90+ Days Delinquent",$CC730="60 Days Delinquent",$CC730="30 Days Delinquent",$CC730="Non-Performing Matured Balloon"),1,0)</f>
        <v/>
      </c>
      <c r="CE730" s="76">
        <f>IF($AB730="Currently special serv","Currently Specially Serviced",IF($AB730="Returned to master serv","Previously Specially Serviced","Never Specially Serviced"))</f>
        <v/>
      </c>
      <c r="CF730" s="78">
        <f>IF($CE730="Currently Specially Serviced",1,0)</f>
        <v/>
      </c>
      <c r="CG730" s="76">
        <f>IF($AA730="Yes","Currently on Watchlist",IF($AA730="Previously","Previously on Watchlist","Never on Watchlist"))</f>
        <v/>
      </c>
      <c r="CH730" s="78">
        <f>IF($CG730="Currently on Watchlist",1,0)</f>
        <v/>
      </c>
      <c r="CI730" s="76">
        <f>IF($Z730="Full Defeasance","Fully Defeased",IF($Z730="Portion Of Loan Previously Defeased","Partially Defeased",IF($Z730="Defeasance Not Allowable","Not Defeased (Not Permitted)","Not Defeased")))</f>
        <v/>
      </c>
      <c r="CJ730" s="78">
        <f>IF($CI730="Fully Defeased",1,0)</f>
        <v/>
      </c>
      <c r="CK730" s="76">
        <f>IF($R730="IO","Full IO",IF(LEFT($R730&amp;"",7)="IO then","Partial IO","Amortizing"))</f>
        <v/>
      </c>
      <c r="CL730" s="78">
        <f>IF($CK730="Full IO",1,0)</f>
        <v/>
      </c>
      <c r="CM730" s="78">
        <f>IF($CK730="Partial IO",1,0)</f>
        <v/>
      </c>
      <c r="CN730" s="76">
        <f>IF(LEFT($F730&amp;"",10)="SPLIT_LOAN","Pari Passu Split","Standalone")</f>
        <v/>
      </c>
      <c r="CO730" s="78">
        <f>IF($CN730="Pari Passu Split",1,0)</f>
        <v/>
      </c>
      <c r="CP730" s="77">
        <f>IF(ISNUMBER($T730),YEAR($T730),"")</f>
        <v/>
      </c>
      <c r="CQ730" s="79">
        <f>IF(ISNUMBER($V730),$V730,IF(ISNUMBER($U730),$U730,""))</f>
        <v/>
      </c>
      <c r="CR730" s="77">
        <f>IF(ISNUMBER($CQ730),YEAR($CQ730),"")</f>
        <v/>
      </c>
      <c r="CS730" s="78">
        <f>IF(ISNUMBER($M730),MAX(0,$M730),IF(TRIM($M730&amp;"")="matured",0,""))</f>
        <v/>
      </c>
      <c r="CT730" s="78">
        <f>IF(AND(ISNUMBER($CS730),N($CS730)&lt;=mMatWindow),1,0)</f>
        <v/>
      </c>
      <c r="CU730" s="80">
        <f>IF(ISNUMBER($J730),$J730/100,"")</f>
        <v/>
      </c>
      <c r="CV730" s="81">
        <f>IF(ISNUMBER($AQ730),$AQ730,"")</f>
        <v/>
      </c>
      <c r="CW730" s="81">
        <f>IF(ISNUMBER($AR730),$AR730,"")</f>
        <v/>
      </c>
      <c r="CX730" s="82">
        <f>IF(ISNUMBER($AS730),$AS730/100,"")</f>
        <v/>
      </c>
      <c r="CY730" s="82">
        <f>IF(ISNUMBER($AT730),$AT730/100,"")</f>
        <v/>
      </c>
      <c r="CZ730" s="82">
        <f>IF(ISNUMBER($AU730),$AU730/100,"")</f>
        <v/>
      </c>
      <c r="DA730" s="82">
        <f>IF(ISNUMBER($AV730),$AV730/100,"")</f>
        <v/>
      </c>
      <c r="DB730" s="82">
        <f>IF(ISNUMBER($AW730),$AW730/100,"")</f>
        <v/>
      </c>
      <c r="DC730" s="82">
        <f>IF(ISNUMBER($AX730),$AX730/100,"")</f>
        <v/>
      </c>
      <c r="DD730" s="77">
        <f>IFERROR(VALUE(LEFT(TRIM($AO730&amp;""),4)),"")</f>
        <v/>
      </c>
      <c r="DE730" s="78">
        <f>IF(AND($BY730=1,$BX730=1,OR(fDeal="All Deals",$BU730=fDeal),OR(fEntity="All Entities",$BV730=fEntity),OR(fPType="All Property Types",$BZ730=fPType),OR(fDefeased="Include",$CJ730=0)),1,0)</f>
        <v/>
      </c>
      <c r="DF730" s="83">
        <f>$DE730*N($I730)</f>
        <v/>
      </c>
      <c r="DG730" s="78">
        <f>IF($DE730=1,IF(COUNTIFS($F$8:$F730,$F730,$DE$8:$DE730,1)=1,1,0),0)</f>
        <v/>
      </c>
      <c r="DH730" s="83">
        <f>IF($DG730=1,SUMIFS($DF$8:$DF$1600,$F$8:$F$1600,$F730),0)</f>
        <v/>
      </c>
      <c r="DI730" s="78">
        <f>IF($DG730=1,COUNTIFS($F$8:$F$1600,$F730,$DE$8:$DE$1600,1),0)</f>
        <v/>
      </c>
      <c r="DJ730" s="84">
        <f>IF($DG730=1,$DH730+(100000-ROW())/mTieBreak,0)</f>
        <v/>
      </c>
    </row>
    <row r="731">
      <c r="B731" s="68" t="n">
        <v>2</v>
      </c>
      <c r="C731" s="69" t="inlineStr">
        <is>
          <t>UBS18C15</t>
        </is>
      </c>
      <c r="D731" s="69" t="inlineStr">
        <is>
          <t>2.000</t>
        </is>
      </c>
      <c r="E731" s="69" t="inlineStr">
        <is>
          <t>Heartland Dental Medical Office Portfolio</t>
        </is>
      </c>
      <c r="F731" s="69" t="inlineStr">
        <is>
          <t>SPLIT_LOAN_01441</t>
        </is>
      </c>
      <c r="G731" s="70" t="n">
        <v>1441</v>
      </c>
      <c r="H731" s="71" t="n">
        <v>55000000</v>
      </c>
      <c r="I731" s="71" t="n">
        <v>0</v>
      </c>
      <c r="J731" s="72" t="n">
        <v>5.7</v>
      </c>
      <c r="K731" s="69" t="inlineStr">
        <is>
          <t>Fixed rate</t>
        </is>
      </c>
      <c r="L731" s="68" t="n">
        <v>120</v>
      </c>
      <c r="M731" s="68" t="n"/>
      <c r="N731" s="68" t="n">
        <v>360</v>
      </c>
      <c r="O731" s="68" t="n"/>
      <c r="P731" s="68" t="n"/>
      <c r="Q731" s="68" t="n"/>
      <c r="R731" s="69" t="n"/>
      <c r="S731" s="69" t="inlineStr">
        <is>
          <t>No</t>
        </is>
      </c>
      <c r="T731" s="73" t="n">
        <v>43405</v>
      </c>
      <c r="U731" s="73" t="n">
        <v>47063</v>
      </c>
      <c r="V731" s="73" t="n"/>
      <c r="W731" s="69" t="n"/>
      <c r="X731" s="69" t="inlineStr">
        <is>
          <t>Current</t>
        </is>
      </c>
      <c r="Y731" s="68" t="n"/>
      <c r="Z731" s="69" t="inlineStr">
        <is>
          <t>Defeasance Not Allowable</t>
        </is>
      </c>
      <c r="AA731" s="69" t="n"/>
      <c r="AB731" s="69" t="inlineStr">
        <is>
          <t>Never special serv</t>
        </is>
      </c>
      <c r="AC731" s="73" t="n"/>
      <c r="AD731" s="69" t="n"/>
      <c r="AE731" s="69" t="n"/>
      <c r="AF731" s="69" t="inlineStr">
        <is>
          <t>FL-23.082631628% IL-18.127512484% SC-7.594692525% MO-7.357656488% GA-6.919362870% IN-6.588182816% TX-6.295440434% TN-5.955207743% OK-2.496842090% KY-1.993246545% MD-1.618526309% AZ-1.428631581% WI-1.419806072% AL-1.397102509% OH-1.381828254% VA-1.220482000% AR-1.184803327% NE-1.090210527% MI-0.901080327% CO-0.842581709% KS-0.451130200% MN-0.274249309% NH-0.190027709% NM-0.188764545%</t>
        </is>
      </c>
      <c r="AG731" s="69" t="n"/>
      <c r="AH731" s="69" t="inlineStr">
        <is>
          <t>Chicago-Naperville-Elgin, IL-IN-6.405429361% Orlando-Kissimmee-Sanford, FL-6.212138507% Effingham, IL-5.687955689% St. Louis, MO-IL-5.329423834% Jacksonville, FL-5.288764544% Nashville-Davidson--Murfreesboro--Franklin, TN-4.979811616% Atlanta-Sandy Springs-Roswell, GA-4.189445980% Dallas-Fort Worth-Arlington, TX-2.991423817% Kansas City, MO-KS-2.855096944% Indianapolis-Carmel-Greenwood, IN-2.660858726% Springfield, IL-2.154991690% Tampa-St. Petersburg-Clearwater, FL-1.698997236% Port St. Lucie, FL-1.646714690% Washington-Arlington-Alexandria, DC-VA-MD-WV-1.642498618% Columbia, SC-1.631811636% Charlotte-Concord-Gastonia, NC-SC-1.546155127% Lakeland-Winter Haven, FL-1.537285327% Tulsa, OK-1.489412727% Cape Coral-Fort Myers, FL-1.428853199% Phoenix-Mesa-Chandler, AZ-1.428631581% North Port-Bradenton-Sarasota, FL-1.425185599% Greenville-Anderson-Greer, SC-1.421180054% Warner Robins, GA-1.418072018% Deltona-Daytona Beach-Ormond Beach, FL-1.362747927% Lafayette-West Lafayette, IN-1.235728527% Omaha, NE-IA-1.090210527% Myrtle Beach-Conway-North Myrtle Beach, SC-1.084304709% Granbury, TX-1.014919672% Birmingham, AL-1.013401672% Oklahoma City, OK-1.007429363% St. Joseph, MO-KS-1.002470909% Memphis, TN-MS-AR-0.975396127% Detroit-Warren-Dearborn, MI-0.901080327% Naples-Marco Island, FL-0.880476454% Fayetteville-Springdale-Rogers, AR-0.850055400% Bowling Green, KY-0.849756236% Boulder, CO-0.842581709% Charleston-North Charleston, SC-0.824459836% Peoria, IL-0.773030472% Austin-Round Rock-San Marcos, TX-0.749518000% Ocala, FL-0.710060945% Abilene, TX-0.683445982% Virginia Beach-Chesapeake-Norfolk, VA-NC-0.667734072% Bloomington, IL-0.666398891% Green Bay, WI-0.632548472% Tallahassee, FL-0.608554018% Cincinnati, OH-KY-IN-0.590947363% Lexington-Fayette, KY-0.574686982% Gainesville, GA-0.568925200% Ottawa, IL-0.556044327% Fort Wayne, IN-0.547878109% Lexington Park, MD-0.528775618% Augusta-Richmond County, GA-SC-0.497623273% Toledo, OH-0.496764545% Champaign-Urbana, IL-0.496182818% Richmond, IN-0.481983382% Houston-Pasadena-The Woodlands, TX-0.476891963% Charleston-Mattoon, IL-0.449939054% Greencastle, IN-0.433767309% Wausau, WI-0.403324091% South Bend-Mishawaka, IN-MI-0.402332418% Kokomo, IN-0.384969527% Scottsboro, AL-0.383700836% San Antonio-New Braunfels, TX-0.379241000% Spartanburg, SC-0.375002763% Arkadelphia, AR-0.334747927% Mount Sterling, KY-0.307396127% Akron, OH-0.294116345% Palm Bay-Melbourne-Titusville, FL-0.282853182% Worthington, MN-0.274249309% Columbus, GA-AL-0.267590036% LaGrange, GA-AL-0.261440436% Corbin, KY-0.261407200% Brunswick-St. Simons, GA-0.213889200% Boston-Cambridge-Newton, MA-NH-0.190027709% Albuquerque, NM-0.188764545%</t>
        </is>
      </c>
      <c r="AI731" s="69" t="inlineStr">
        <is>
          <t>South / Atlantic-40.435695331% Midwest / Central East-27.040204954% Midwest / Central West-10.551451523% South / Central West-9.977085851% South / Central East-9.345556797% West / Mountain-2.459977835% Northeast / New England-0.190027709%</t>
        </is>
      </c>
      <c r="AJ731" s="69" t="inlineStr">
        <is>
          <t>OF-82.170925225% MX-17.829074775%</t>
        </is>
      </c>
      <c r="AK731" s="69" t="n"/>
      <c r="AL731" s="68" t="n">
        <v>169</v>
      </c>
      <c r="AM731" s="68" t="n"/>
      <c r="AN731" s="68" t="n">
        <v>962501</v>
      </c>
      <c r="AO731" s="69" t="n"/>
      <c r="AP731" s="70" t="n">
        <v>2018</v>
      </c>
      <c r="AQ731" s="74" t="n">
        <v>1.59</v>
      </c>
      <c r="AR731" s="74" t="n">
        <v>1.63</v>
      </c>
      <c r="AS731" s="74" t="n">
        <v>55.4</v>
      </c>
      <c r="AT731" s="74" t="n"/>
      <c r="AU731" s="74" t="n">
        <v>46.6</v>
      </c>
      <c r="AV731" s="74" t="n">
        <v>11.081851213</v>
      </c>
      <c r="AW731" s="74" t="n"/>
      <c r="AX731" s="75" t="n">
        <v>96</v>
      </c>
      <c r="AY731" s="71" t="n">
        <v>325235000</v>
      </c>
      <c r="AZ731" s="71" t="n">
        <v>325235000</v>
      </c>
      <c r="BA731" s="71" t="n">
        <v>20002741.44</v>
      </c>
      <c r="BB731" s="71" t="n">
        <v>20449480.12</v>
      </c>
      <c r="BC731" s="69" t="inlineStr">
        <is>
          <t>Refinance</t>
        </is>
      </c>
      <c r="BD731" s="69" t="inlineStr">
        <is>
          <t>N</t>
        </is>
      </c>
      <c r="BE731" s="71" t="n">
        <v>0</v>
      </c>
      <c r="BF731" s="71" t="n"/>
      <c r="BG731" s="71" t="n"/>
      <c r="BH731" s="71" t="n">
        <v>0</v>
      </c>
      <c r="BI731" s="71" t="n">
        <v>0</v>
      </c>
      <c r="BJ731" s="69" t="inlineStr">
        <is>
          <t>N</t>
        </is>
      </c>
      <c r="BK731" s="69" t="inlineStr">
        <is>
          <t>HD home office</t>
        </is>
      </c>
      <c r="BL731" s="75" t="n">
        <v>8.75</v>
      </c>
      <c r="BM731" s="73" t="n">
        <v>46904</v>
      </c>
      <c r="BN731" s="69" t="inlineStr">
        <is>
          <t>Richard Eugene Workman</t>
        </is>
      </c>
      <c r="BO731" s="69" t="inlineStr">
        <is>
          <t>UBS</t>
        </is>
      </c>
      <c r="BP731" s="69" t="inlineStr">
        <is>
          <t>Midland Loan Services</t>
        </is>
      </c>
      <c r="BQ731" s="69" t="inlineStr">
        <is>
          <t>Rialto Capital</t>
        </is>
      </c>
      <c r="BR731" s="69" t="inlineStr">
        <is>
          <t>Payoff With Yield Maintenance</t>
        </is>
      </c>
      <c r="BS731" s="73" t="n">
        <v>44879</v>
      </c>
      <c r="BU731" s="76">
        <f>IF($C731="","",IFERROR(INDEX(dmName,MATCH($C731,dmID,0)),"Unmapped"))</f>
        <v/>
      </c>
      <c r="BV731" s="76">
        <f>IF($C731="","",IFERROR(INDEX(dmEntity,MATCH($C731,dmID,0)),"Unmapped"))</f>
        <v/>
      </c>
      <c r="BW731" s="77">
        <f>IF($C731="","",IFERROR(INDEX(dmVintage,MATCH($C731,dmID,0)),""))</f>
        <v/>
      </c>
      <c r="BX731" s="78">
        <f>IFERROR(INDEX(dmInclude,MATCH($C731,dmID,0)),0)</f>
        <v/>
      </c>
      <c r="BY731" s="78">
        <f>IF(N($I731)&gt;0,1,0)</f>
        <v/>
      </c>
      <c r="BZ731" s="76">
        <f>IF($AJ731="","Other / Leased Fee",IFERROR(INDEX(mapPTGroup,MATCH(LEFT(TRIM($AJ731),2),mapPTCode,0)),"Other / Leased Fee"))</f>
        <v/>
      </c>
      <c r="CA731" s="76">
        <f>IF(TRIM($AF731&amp;"")="","NR",LEFT(TRIM($AF731),2))</f>
        <v/>
      </c>
      <c r="CB731" s="76">
        <f>IFERROR(LOOKUP(2,1/(LEFT(TRIM($AI731&amp;""),LEN(mapRegion))=mapRegion),mapRegion),"Not Reported")</f>
        <v/>
      </c>
      <c r="CC731" s="76">
        <f>IF($BY731=0,"",IF(TRIM($W731&amp;"")="REO","REO",IF(TRIM($W731&amp;"")="FC","Foreclosure",IF(TRIM($W731&amp;"")="90+","90+ Days Delinquent",IF(TRIM($W731&amp;"")="60","60 Days Delinquent",IF(TRIM($W731&amp;"")="30","30 Days Delinquent",IF($X731="Non-Performing Matured Balloon","Non-Performing Matured Balloon",IF(OR($X731="Late Payment But Less Than 30 Days Delinquent",LEFT($X731&amp;"",20)="Payment Not Received"),"Late / In Grace (&lt;30 Days)",IF($X731="Performing Matured Balloon","Performing Matured Balloon","Current")))))))))</f>
        <v/>
      </c>
      <c r="CD731" s="78">
        <f>IF(OR($CC731="REO",$CC731="Foreclosure",$CC731="90+ Days Delinquent",$CC731="60 Days Delinquent",$CC731="30 Days Delinquent",$CC731="Non-Performing Matured Balloon"),1,0)</f>
        <v/>
      </c>
      <c r="CE731" s="76">
        <f>IF($AB731="Currently special serv","Currently Specially Serviced",IF($AB731="Returned to master serv","Previously Specially Serviced","Never Specially Serviced"))</f>
        <v/>
      </c>
      <c r="CF731" s="78">
        <f>IF($CE731="Currently Specially Serviced",1,0)</f>
        <v/>
      </c>
      <c r="CG731" s="76">
        <f>IF($AA731="Yes","Currently on Watchlist",IF($AA731="Previously","Previously on Watchlist","Never on Watchlist"))</f>
        <v/>
      </c>
      <c r="CH731" s="78">
        <f>IF($CG731="Currently on Watchlist",1,0)</f>
        <v/>
      </c>
      <c r="CI731" s="76">
        <f>IF($Z731="Full Defeasance","Fully Defeased",IF($Z731="Portion Of Loan Previously Defeased","Partially Defeased",IF($Z731="Defeasance Not Allowable","Not Defeased (Not Permitted)","Not Defeased")))</f>
        <v/>
      </c>
      <c r="CJ731" s="78">
        <f>IF($CI731="Fully Defeased",1,0)</f>
        <v/>
      </c>
      <c r="CK731" s="76">
        <f>IF($R731="IO","Full IO",IF(LEFT($R731&amp;"",7)="IO then","Partial IO","Amortizing"))</f>
        <v/>
      </c>
      <c r="CL731" s="78">
        <f>IF($CK731="Full IO",1,0)</f>
        <v/>
      </c>
      <c r="CM731" s="78">
        <f>IF($CK731="Partial IO",1,0)</f>
        <v/>
      </c>
      <c r="CN731" s="76">
        <f>IF(LEFT($F731&amp;"",10)="SPLIT_LOAN","Pari Passu Split","Standalone")</f>
        <v/>
      </c>
      <c r="CO731" s="78">
        <f>IF($CN731="Pari Passu Split",1,0)</f>
        <v/>
      </c>
      <c r="CP731" s="77">
        <f>IF(ISNUMBER($T731),YEAR($T731),"")</f>
        <v/>
      </c>
      <c r="CQ731" s="79">
        <f>IF(ISNUMBER($V731),$V731,IF(ISNUMBER($U731),$U731,""))</f>
        <v/>
      </c>
      <c r="CR731" s="77">
        <f>IF(ISNUMBER($CQ731),YEAR($CQ731),"")</f>
        <v/>
      </c>
      <c r="CS731" s="78">
        <f>IF(ISNUMBER($M731),MAX(0,$M731),IF(TRIM($M731&amp;"")="matured",0,""))</f>
        <v/>
      </c>
      <c r="CT731" s="78">
        <f>IF(AND(ISNUMBER($CS731),N($CS731)&lt;=mMatWindow),1,0)</f>
        <v/>
      </c>
      <c r="CU731" s="80">
        <f>IF(ISNUMBER($J731),$J731/100,"")</f>
        <v/>
      </c>
      <c r="CV731" s="81">
        <f>IF(ISNUMBER($AQ731),$AQ731,"")</f>
        <v/>
      </c>
      <c r="CW731" s="81">
        <f>IF(ISNUMBER($AR731),$AR731,"")</f>
        <v/>
      </c>
      <c r="CX731" s="82">
        <f>IF(ISNUMBER($AS731),$AS731/100,"")</f>
        <v/>
      </c>
      <c r="CY731" s="82">
        <f>IF(ISNUMBER($AT731),$AT731/100,"")</f>
        <v/>
      </c>
      <c r="CZ731" s="82">
        <f>IF(ISNUMBER($AU731),$AU731/100,"")</f>
        <v/>
      </c>
      <c r="DA731" s="82">
        <f>IF(ISNUMBER($AV731),$AV731/100,"")</f>
        <v/>
      </c>
      <c r="DB731" s="82">
        <f>IF(ISNUMBER($AW731),$AW731/100,"")</f>
        <v/>
      </c>
      <c r="DC731" s="82">
        <f>IF(ISNUMBER($AX731),$AX731/100,"")</f>
        <v/>
      </c>
      <c r="DD731" s="77">
        <f>IFERROR(VALUE(LEFT(TRIM($AO731&amp;""),4)),"")</f>
        <v/>
      </c>
      <c r="DE731" s="78">
        <f>IF(AND($BY731=1,$BX731=1,OR(fDeal="All Deals",$BU731=fDeal),OR(fEntity="All Entities",$BV731=fEntity),OR(fPType="All Property Types",$BZ731=fPType),OR(fDefeased="Include",$CJ731=0)),1,0)</f>
        <v/>
      </c>
      <c r="DF731" s="83">
        <f>$DE731*N($I731)</f>
        <v/>
      </c>
      <c r="DG731" s="78">
        <f>IF($DE731=1,IF(COUNTIFS($F$8:$F731,$F731,$DE$8:$DE731,1)=1,1,0),0)</f>
        <v/>
      </c>
      <c r="DH731" s="83">
        <f>IF($DG731=1,SUMIFS($DF$8:$DF$1600,$F$8:$F$1600,$F731),0)</f>
        <v/>
      </c>
      <c r="DI731" s="78">
        <f>IF($DG731=1,COUNTIFS($F$8:$F$1600,$F731,$DE$8:$DE$1600,1),0)</f>
        <v/>
      </c>
      <c r="DJ731" s="84">
        <f>IF($DG731=1,$DH731+(100000-ROW())/mTieBreak,0)</f>
        <v/>
      </c>
    </row>
    <row r="732">
      <c r="B732" s="68" t="n">
        <v>3</v>
      </c>
      <c r="C732" s="69" t="inlineStr">
        <is>
          <t>UBS18C15</t>
        </is>
      </c>
      <c r="D732" s="69" t="inlineStr">
        <is>
          <t>3.000</t>
        </is>
      </c>
      <c r="E732" s="69" t="inlineStr">
        <is>
          <t>Saint Louis Galleria</t>
        </is>
      </c>
      <c r="F732" s="69" t="inlineStr">
        <is>
          <t>SPLIT_LOAN_01453</t>
        </is>
      </c>
      <c r="G732" s="70" t="n">
        <v>1453</v>
      </c>
      <c r="H732" s="71" t="n">
        <v>45000000</v>
      </c>
      <c r="I732" s="71" t="n">
        <v>42890622.06001501</v>
      </c>
      <c r="J732" s="72" t="n">
        <v>4.996771</v>
      </c>
      <c r="K732" s="69" t="inlineStr">
        <is>
          <t>Fixed rate</t>
        </is>
      </c>
      <c r="L732" s="68" t="n">
        <v>120</v>
      </c>
      <c r="M732" s="68" t="n">
        <v>26</v>
      </c>
      <c r="N732" s="68" t="n">
        <v>419</v>
      </c>
      <c r="O732" s="68" t="n"/>
      <c r="P732" s="68" t="n"/>
      <c r="Q732" s="68" t="n">
        <v>94</v>
      </c>
      <c r="R732" s="69" t="inlineStr">
        <is>
          <t>Sched</t>
        </is>
      </c>
      <c r="S732" s="69" t="inlineStr">
        <is>
          <t>No</t>
        </is>
      </c>
      <c r="T732" s="73" t="n">
        <v>43405</v>
      </c>
      <c r="U732" s="73" t="n">
        <v>47058</v>
      </c>
      <c r="V732" s="73" t="n"/>
      <c r="W732" s="69" t="n"/>
      <c r="X732" s="69" t="inlineStr">
        <is>
          <t>Late Payment But Less Than 30 Days Delinquent</t>
        </is>
      </c>
      <c r="Y732" s="68" t="n"/>
      <c r="Z732" s="69" t="inlineStr">
        <is>
          <t>No Defeasance Occurred</t>
        </is>
      </c>
      <c r="AA732" s="69" t="inlineStr">
        <is>
          <t>Previously</t>
        </is>
      </c>
      <c r="AB732" s="69" t="inlineStr">
        <is>
          <t>Currently special serv</t>
        </is>
      </c>
      <c r="AC732" s="73" t="n">
        <v>46120</v>
      </c>
      <c r="AD732" s="69" t="inlineStr">
        <is>
          <t>Payment Default (all payments excluding Balloon/Maturity Payment)</t>
        </is>
      </c>
      <c r="AE732" s="69" t="inlineStr">
        <is>
          <t>Other</t>
        </is>
      </c>
      <c r="AF732" s="69" t="inlineStr">
        <is>
          <t>MO</t>
        </is>
      </c>
      <c r="AG732" s="69" t="inlineStr">
        <is>
          <t>St. Louis</t>
        </is>
      </c>
      <c r="AH732" s="69" t="inlineStr">
        <is>
          <t>St. Louis, MO-IL</t>
        </is>
      </c>
      <c r="AI732" s="69" t="inlineStr">
        <is>
          <t>Midwest / Central West</t>
        </is>
      </c>
      <c r="AJ732" s="69" t="inlineStr">
        <is>
          <t>RT</t>
        </is>
      </c>
      <c r="AK732" s="69" t="inlineStr">
        <is>
          <t>Super Regional Mall</t>
        </is>
      </c>
      <c r="AL732" s="68" t="n">
        <v>1</v>
      </c>
      <c r="AM732" s="68" t="n"/>
      <c r="AN732" s="68" t="n">
        <v>465695</v>
      </c>
      <c r="AO732" s="69" t="inlineStr">
        <is>
          <t>1986</t>
        </is>
      </c>
      <c r="AP732" s="70" t="n">
        <v>2011</v>
      </c>
      <c r="AQ732" s="74" t="n">
        <v>2.18</v>
      </c>
      <c r="AR732" s="74" t="n">
        <v>1.03</v>
      </c>
      <c r="AS732" s="74" t="n">
        <v>51.5</v>
      </c>
      <c r="AT732" s="74" t="n">
        <v>49.13</v>
      </c>
      <c r="AU732" s="74" t="n">
        <v>47</v>
      </c>
      <c r="AV732" s="74" t="n">
        <v>11.035123829</v>
      </c>
      <c r="AW732" s="74" t="n">
        <v>7.12549178</v>
      </c>
      <c r="AX732" s="75" t="n">
        <v>85</v>
      </c>
      <c r="AY732" s="71" t="n">
        <v>465600000</v>
      </c>
      <c r="AZ732" s="71" t="n">
        <v>465600000</v>
      </c>
      <c r="BA732" s="71" t="n">
        <v>26484297.19</v>
      </c>
      <c r="BB732" s="71" t="n">
        <v>16299561.33</v>
      </c>
      <c r="BC732" s="69" t="inlineStr">
        <is>
          <t>Refinance</t>
        </is>
      </c>
      <c r="BD732" s="69" t="inlineStr">
        <is>
          <t>N</t>
        </is>
      </c>
      <c r="BE732" s="71" t="n">
        <v>185859362.26</v>
      </c>
      <c r="BF732" s="71" t="n"/>
      <c r="BG732" s="71" t="n">
        <v>24688302.11</v>
      </c>
      <c r="BH732" s="71" t="n">
        <v>0</v>
      </c>
      <c r="BI732" s="71" t="n">
        <v>248906.95</v>
      </c>
      <c r="BJ732" s="69" t="inlineStr">
        <is>
          <t>N</t>
        </is>
      </c>
      <c r="BK732" s="69" t="inlineStr">
        <is>
          <t>GALLERIA 6 CINEMAS</t>
        </is>
      </c>
      <c r="BL732" s="75" t="n">
        <v>2.75</v>
      </c>
      <c r="BM732" s="73" t="n">
        <v>47452</v>
      </c>
      <c r="BN732" s="69" t="inlineStr">
        <is>
          <t>BPR OP, LP (f/k/a GGP Operating Partnership, LP)</t>
        </is>
      </c>
      <c r="BO732" s="69" t="inlineStr">
        <is>
          <t>Societe Generale</t>
        </is>
      </c>
      <c r="BP732" s="69" t="inlineStr">
        <is>
          <t>Midland Loan Services</t>
        </is>
      </c>
      <c r="BQ732" s="69" t="inlineStr">
        <is>
          <t>Argentic Services Company LP</t>
        </is>
      </c>
      <c r="BR732" s="69" t="n"/>
      <c r="BS732" s="73" t="n">
        <v>46276</v>
      </c>
      <c r="BU732" s="76">
        <f>IF($C732="","",IFERROR(INDEX(dmName,MATCH($C732,dmID,0)),"Unmapped"))</f>
        <v/>
      </c>
      <c r="BV732" s="76">
        <f>IF($C732="","",IFERROR(INDEX(dmEntity,MATCH($C732,dmID,0)),"Unmapped"))</f>
        <v/>
      </c>
      <c r="BW732" s="77">
        <f>IF($C732="","",IFERROR(INDEX(dmVintage,MATCH($C732,dmID,0)),""))</f>
        <v/>
      </c>
      <c r="BX732" s="78">
        <f>IFERROR(INDEX(dmInclude,MATCH($C732,dmID,0)),0)</f>
        <v/>
      </c>
      <c r="BY732" s="78">
        <f>IF(N($I732)&gt;0,1,0)</f>
        <v/>
      </c>
      <c r="BZ732" s="76">
        <f>IF($AJ732="","Other / Leased Fee",IFERROR(INDEX(mapPTGroup,MATCH(LEFT(TRIM($AJ732),2),mapPTCode,0)),"Other / Leased Fee"))</f>
        <v/>
      </c>
      <c r="CA732" s="76">
        <f>IF(TRIM($AF732&amp;"")="","NR",LEFT(TRIM($AF732),2))</f>
        <v/>
      </c>
      <c r="CB732" s="76">
        <f>IFERROR(LOOKUP(2,1/(LEFT(TRIM($AI732&amp;""),LEN(mapRegion))=mapRegion),mapRegion),"Not Reported")</f>
        <v/>
      </c>
      <c r="CC732" s="76">
        <f>IF($BY732=0,"",IF(TRIM($W732&amp;"")="REO","REO",IF(TRIM($W732&amp;"")="FC","Foreclosure",IF(TRIM($W732&amp;"")="90+","90+ Days Delinquent",IF(TRIM($W732&amp;"")="60","60 Days Delinquent",IF(TRIM($W732&amp;"")="30","30 Days Delinquent",IF($X732="Non-Performing Matured Balloon","Non-Performing Matured Balloon",IF(OR($X732="Late Payment But Less Than 30 Days Delinquent",LEFT($X732&amp;"",20)="Payment Not Received"),"Late / In Grace (&lt;30 Days)",IF($X732="Performing Matured Balloon","Performing Matured Balloon","Current")))))))))</f>
        <v/>
      </c>
      <c r="CD732" s="78">
        <f>IF(OR($CC732="REO",$CC732="Foreclosure",$CC732="90+ Days Delinquent",$CC732="60 Days Delinquent",$CC732="30 Days Delinquent",$CC732="Non-Performing Matured Balloon"),1,0)</f>
        <v/>
      </c>
      <c r="CE732" s="76">
        <f>IF($AB732="Currently special serv","Currently Specially Serviced",IF($AB732="Returned to master serv","Previously Specially Serviced","Never Specially Serviced"))</f>
        <v/>
      </c>
      <c r="CF732" s="78">
        <f>IF($CE732="Currently Specially Serviced",1,0)</f>
        <v/>
      </c>
      <c r="CG732" s="76">
        <f>IF($AA732="Yes","Currently on Watchlist",IF($AA732="Previously","Previously on Watchlist","Never on Watchlist"))</f>
        <v/>
      </c>
      <c r="CH732" s="78">
        <f>IF($CG732="Currently on Watchlist",1,0)</f>
        <v/>
      </c>
      <c r="CI732" s="76">
        <f>IF($Z732="Full Defeasance","Fully Defeased",IF($Z732="Portion Of Loan Previously Defeased","Partially Defeased",IF($Z732="Defeasance Not Allowable","Not Defeased (Not Permitted)","Not Defeased")))</f>
        <v/>
      </c>
      <c r="CJ732" s="78">
        <f>IF($CI732="Fully Defeased",1,0)</f>
        <v/>
      </c>
      <c r="CK732" s="76">
        <f>IF($R732="IO","Full IO",IF(LEFT($R732&amp;"",7)="IO then","Partial IO","Amortizing"))</f>
        <v/>
      </c>
      <c r="CL732" s="78">
        <f>IF($CK732="Full IO",1,0)</f>
        <v/>
      </c>
      <c r="CM732" s="78">
        <f>IF($CK732="Partial IO",1,0)</f>
        <v/>
      </c>
      <c r="CN732" s="76">
        <f>IF(LEFT($F732&amp;"",10)="SPLIT_LOAN","Pari Passu Split","Standalone")</f>
        <v/>
      </c>
      <c r="CO732" s="78">
        <f>IF($CN732="Pari Passu Split",1,0)</f>
        <v/>
      </c>
      <c r="CP732" s="77">
        <f>IF(ISNUMBER($T732),YEAR($T732),"")</f>
        <v/>
      </c>
      <c r="CQ732" s="79">
        <f>IF(ISNUMBER($V732),$V732,IF(ISNUMBER($U732),$U732,""))</f>
        <v/>
      </c>
      <c r="CR732" s="77">
        <f>IF(ISNUMBER($CQ732),YEAR($CQ732),"")</f>
        <v/>
      </c>
      <c r="CS732" s="78">
        <f>IF(ISNUMBER($M732),MAX(0,$M732),IF(TRIM($M732&amp;"")="matured",0,""))</f>
        <v/>
      </c>
      <c r="CT732" s="78">
        <f>IF(AND(ISNUMBER($CS732),N($CS732)&lt;=mMatWindow),1,0)</f>
        <v/>
      </c>
      <c r="CU732" s="80">
        <f>IF(ISNUMBER($J732),$J732/100,"")</f>
        <v/>
      </c>
      <c r="CV732" s="81">
        <f>IF(ISNUMBER($AQ732),$AQ732,"")</f>
        <v/>
      </c>
      <c r="CW732" s="81">
        <f>IF(ISNUMBER($AR732),$AR732,"")</f>
        <v/>
      </c>
      <c r="CX732" s="82">
        <f>IF(ISNUMBER($AS732),$AS732/100,"")</f>
        <v/>
      </c>
      <c r="CY732" s="82">
        <f>IF(ISNUMBER($AT732),$AT732/100,"")</f>
        <v/>
      </c>
      <c r="CZ732" s="82">
        <f>IF(ISNUMBER($AU732),$AU732/100,"")</f>
        <v/>
      </c>
      <c r="DA732" s="82">
        <f>IF(ISNUMBER($AV732),$AV732/100,"")</f>
        <v/>
      </c>
      <c r="DB732" s="82">
        <f>IF(ISNUMBER($AW732),$AW732/100,"")</f>
        <v/>
      </c>
      <c r="DC732" s="82">
        <f>IF(ISNUMBER($AX732),$AX732/100,"")</f>
        <v/>
      </c>
      <c r="DD732" s="77">
        <f>IFERROR(VALUE(LEFT(TRIM($AO732&amp;""),4)),"")</f>
        <v/>
      </c>
      <c r="DE732" s="78">
        <f>IF(AND($BY732=1,$BX732=1,OR(fDeal="All Deals",$BU732=fDeal),OR(fEntity="All Entities",$BV732=fEntity),OR(fPType="All Property Types",$BZ732=fPType),OR(fDefeased="Include",$CJ732=0)),1,0)</f>
        <v/>
      </c>
      <c r="DF732" s="83">
        <f>$DE732*N($I732)</f>
        <v/>
      </c>
      <c r="DG732" s="78">
        <f>IF($DE732=1,IF(COUNTIFS($F$8:$F732,$F732,$DE$8:$DE732,1)=1,1,0),0)</f>
        <v/>
      </c>
      <c r="DH732" s="83">
        <f>IF($DG732=1,SUMIFS($DF$8:$DF$1600,$F$8:$F$1600,$F732),0)</f>
        <v/>
      </c>
      <c r="DI732" s="78">
        <f>IF($DG732=1,COUNTIFS($F$8:$F$1600,$F732,$DE$8:$DE$1600,1),0)</f>
        <v/>
      </c>
      <c r="DJ732" s="84">
        <f>IF($DG732=1,$DH732+(100000-ROW())/mTieBreak,0)</f>
        <v/>
      </c>
    </row>
    <row r="733">
      <c r="B733" s="68" t="n">
        <v>4</v>
      </c>
      <c r="C733" s="69" t="inlineStr">
        <is>
          <t>UBS18C15</t>
        </is>
      </c>
      <c r="D733" s="69" t="inlineStr">
        <is>
          <t>4.000</t>
        </is>
      </c>
      <c r="E733" s="69" t="inlineStr">
        <is>
          <t>Staples Strategic Industrial</t>
        </is>
      </c>
      <c r="F733" s="69" t="inlineStr">
        <is>
          <t>SPLIT_LOAN_01452</t>
        </is>
      </c>
      <c r="G733" s="70" t="n">
        <v>1452</v>
      </c>
      <c r="H733" s="71" t="n">
        <v>35000000</v>
      </c>
      <c r="I733" s="71" t="n">
        <v>35000000</v>
      </c>
      <c r="J733" s="72" t="n">
        <v>4.918</v>
      </c>
      <c r="K733" s="69" t="inlineStr">
        <is>
          <t>Fixed rate</t>
        </is>
      </c>
      <c r="L733" s="68" t="n">
        <v>120</v>
      </c>
      <c r="M733" s="68" t="n">
        <v>25</v>
      </c>
      <c r="N733" s="68" t="n">
        <v>120</v>
      </c>
      <c r="O733" s="68" t="n">
        <v>120</v>
      </c>
      <c r="P733" s="68" t="n">
        <v>25</v>
      </c>
      <c r="Q733" s="68" t="n">
        <v>95</v>
      </c>
      <c r="R733" s="69" t="inlineStr">
        <is>
          <t>IO</t>
        </is>
      </c>
      <c r="S733" s="69" t="inlineStr">
        <is>
          <t>Yes</t>
        </is>
      </c>
      <c r="T733" s="73" t="n">
        <v>43374</v>
      </c>
      <c r="U733" s="73" t="n">
        <v>48858</v>
      </c>
      <c r="V733" s="73" t="n">
        <v>47032</v>
      </c>
      <c r="W733" s="69" t="n"/>
      <c r="X733" s="69" t="inlineStr">
        <is>
          <t>Current</t>
        </is>
      </c>
      <c r="Y733" s="68" t="n"/>
      <c r="Z733" s="69" t="inlineStr">
        <is>
          <t>No Defeasance Occurred</t>
        </is>
      </c>
      <c r="AA733" s="69" t="inlineStr">
        <is>
          <t>Yes</t>
        </is>
      </c>
      <c r="AB733" s="69" t="inlineStr">
        <is>
          <t>Never special serv</t>
        </is>
      </c>
      <c r="AC733" s="73" t="n"/>
      <c r="AD733" s="69" t="n"/>
      <c r="AE733" s="69" t="n"/>
      <c r="AF733" s="69" t="inlineStr">
        <is>
          <t>MD-27.755749400% NY-21.411578114% IN-16.693100714% OH-12.291831857% CT-10.111023000% WI-8.961141971% MN-2.775574943%</t>
        </is>
      </c>
      <c r="AG733" s="69" t="n"/>
      <c r="AH733" s="69" t="inlineStr">
        <is>
          <t>Hagerstown-Martinsburg, MD-WV-27.755749400% Kiryas Joel-Poughkeepsie-Newburgh, NY-21.411578114% Terre Haute, IN-16.693100714% Columbus, OH-12.291831857% Putnam, CT-10.111023000% Janesville-Beloit, WI-8.961141971% Minneapolis-St. Paul-Bloomington, MN-WI-2.775574943%</t>
        </is>
      </c>
      <c r="AI733" s="69" t="inlineStr">
        <is>
          <t>Midwest / Central East-37.946074543% South / Atlantic-27.755749400% Northeast / Mid-Atlantic-21.411578114% Northeast / New England-10.111023000% Midwest / Central West-2.775574943%</t>
        </is>
      </c>
      <c r="AJ733" s="69" t="inlineStr">
        <is>
          <t>IN</t>
        </is>
      </c>
      <c r="AK733" s="69" t="inlineStr">
        <is>
          <t>Warehouse/Distribution</t>
        </is>
      </c>
      <c r="AL733" s="68" t="n">
        <v>8</v>
      </c>
      <c r="AM733" s="68" t="n"/>
      <c r="AN733" s="68" t="n">
        <v>4031127</v>
      </c>
      <c r="AO733" s="69" t="n"/>
      <c r="AP733" s="70" t="n">
        <v>2006</v>
      </c>
      <c r="AQ733" s="74" t="n">
        <v>1.72</v>
      </c>
      <c r="AR733" s="74" t="n">
        <v>1.98</v>
      </c>
      <c r="AS733" s="74" t="n">
        <v>62.6</v>
      </c>
      <c r="AT733" s="74" t="n">
        <v>62.6</v>
      </c>
      <c r="AU733" s="74" t="n">
        <v>62.6</v>
      </c>
      <c r="AV733" s="74" t="n">
        <v>8.586176844000001</v>
      </c>
      <c r="AW733" s="74" t="n">
        <v>9.733128287</v>
      </c>
      <c r="AX733" s="75" t="n">
        <v>100</v>
      </c>
      <c r="AY733" s="71" t="n">
        <v>201450000</v>
      </c>
      <c r="AZ733" s="71" t="n">
        <v>201450000</v>
      </c>
      <c r="BA733" s="71" t="n">
        <v>10827169</v>
      </c>
      <c r="BB733" s="71" t="n">
        <v>3116284.79</v>
      </c>
      <c r="BC733" s="69" t="inlineStr">
        <is>
          <t>Acquisition</t>
        </is>
      </c>
      <c r="BD733" s="69" t="inlineStr">
        <is>
          <t>N</t>
        </is>
      </c>
      <c r="BE733" s="71" t="n">
        <v>91100000</v>
      </c>
      <c r="BF733" s="71" t="n"/>
      <c r="BG733" s="71" t="n"/>
      <c r="BH733" s="71" t="n">
        <v>0</v>
      </c>
      <c r="BI733" s="71" t="n">
        <v>0</v>
      </c>
      <c r="BJ733" s="69" t="inlineStr">
        <is>
          <t>N</t>
        </is>
      </c>
      <c r="BK733" s="69" t="inlineStr">
        <is>
          <t>US Retail Inc</t>
        </is>
      </c>
      <c r="BL733" s="75" t="n">
        <v>53.13</v>
      </c>
      <c r="BM733" s="73" t="n">
        <v>50678</v>
      </c>
      <c r="BN733" s="69" t="inlineStr">
        <is>
          <t>LCN North American Fund II REIT</t>
        </is>
      </c>
      <c r="BO733" s="69" t="inlineStr">
        <is>
          <t>GACC</t>
        </is>
      </c>
      <c r="BP733" s="69" t="inlineStr">
        <is>
          <t>Midland Loan Services</t>
        </is>
      </c>
      <c r="BQ733" s="69" t="inlineStr">
        <is>
          <t>CWCapital</t>
        </is>
      </c>
      <c r="BR733" s="69" t="n"/>
      <c r="BS733" s="73" t="n">
        <v>46276</v>
      </c>
      <c r="BU733" s="76">
        <f>IF($C733="","",IFERROR(INDEX(dmName,MATCH($C733,dmID,0)),"Unmapped"))</f>
        <v/>
      </c>
      <c r="BV733" s="76">
        <f>IF($C733="","",IFERROR(INDEX(dmEntity,MATCH($C733,dmID,0)),"Unmapped"))</f>
        <v/>
      </c>
      <c r="BW733" s="77">
        <f>IF($C733="","",IFERROR(INDEX(dmVintage,MATCH($C733,dmID,0)),""))</f>
        <v/>
      </c>
      <c r="BX733" s="78">
        <f>IFERROR(INDEX(dmInclude,MATCH($C733,dmID,0)),0)</f>
        <v/>
      </c>
      <c r="BY733" s="78">
        <f>IF(N($I733)&gt;0,1,0)</f>
        <v/>
      </c>
      <c r="BZ733" s="76">
        <f>IF($AJ733="","Other / Leased Fee",IFERROR(INDEX(mapPTGroup,MATCH(LEFT(TRIM($AJ733),2),mapPTCode,0)),"Other / Leased Fee"))</f>
        <v/>
      </c>
      <c r="CA733" s="76">
        <f>IF(TRIM($AF733&amp;"")="","NR",LEFT(TRIM($AF733),2))</f>
        <v/>
      </c>
      <c r="CB733" s="76">
        <f>IFERROR(LOOKUP(2,1/(LEFT(TRIM($AI733&amp;""),LEN(mapRegion))=mapRegion),mapRegion),"Not Reported")</f>
        <v/>
      </c>
      <c r="CC733" s="76">
        <f>IF($BY733=0,"",IF(TRIM($W733&amp;"")="REO","REO",IF(TRIM($W733&amp;"")="FC","Foreclosure",IF(TRIM($W733&amp;"")="90+","90+ Days Delinquent",IF(TRIM($W733&amp;"")="60","60 Days Delinquent",IF(TRIM($W733&amp;"")="30","30 Days Delinquent",IF($X733="Non-Performing Matured Balloon","Non-Performing Matured Balloon",IF(OR($X733="Late Payment But Less Than 30 Days Delinquent",LEFT($X733&amp;"",20)="Payment Not Received"),"Late / In Grace (&lt;30 Days)",IF($X733="Performing Matured Balloon","Performing Matured Balloon","Current")))))))))</f>
        <v/>
      </c>
      <c r="CD733" s="78">
        <f>IF(OR($CC733="REO",$CC733="Foreclosure",$CC733="90+ Days Delinquent",$CC733="60 Days Delinquent",$CC733="30 Days Delinquent",$CC733="Non-Performing Matured Balloon"),1,0)</f>
        <v/>
      </c>
      <c r="CE733" s="76">
        <f>IF($AB733="Currently special serv","Currently Specially Serviced",IF($AB733="Returned to master serv","Previously Specially Serviced","Never Specially Serviced"))</f>
        <v/>
      </c>
      <c r="CF733" s="78">
        <f>IF($CE733="Currently Specially Serviced",1,0)</f>
        <v/>
      </c>
      <c r="CG733" s="76">
        <f>IF($AA733="Yes","Currently on Watchlist",IF($AA733="Previously","Previously on Watchlist","Never on Watchlist"))</f>
        <v/>
      </c>
      <c r="CH733" s="78">
        <f>IF($CG733="Currently on Watchlist",1,0)</f>
        <v/>
      </c>
      <c r="CI733" s="76">
        <f>IF($Z733="Full Defeasance","Fully Defeased",IF($Z733="Portion Of Loan Previously Defeased","Partially Defeased",IF($Z733="Defeasance Not Allowable","Not Defeased (Not Permitted)","Not Defeased")))</f>
        <v/>
      </c>
      <c r="CJ733" s="78">
        <f>IF($CI733="Fully Defeased",1,0)</f>
        <v/>
      </c>
      <c r="CK733" s="76">
        <f>IF($R733="IO","Full IO",IF(LEFT($R733&amp;"",7)="IO then","Partial IO","Amortizing"))</f>
        <v/>
      </c>
      <c r="CL733" s="78">
        <f>IF($CK733="Full IO",1,0)</f>
        <v/>
      </c>
      <c r="CM733" s="78">
        <f>IF($CK733="Partial IO",1,0)</f>
        <v/>
      </c>
      <c r="CN733" s="76">
        <f>IF(LEFT($F733&amp;"",10)="SPLIT_LOAN","Pari Passu Split","Standalone")</f>
        <v/>
      </c>
      <c r="CO733" s="78">
        <f>IF($CN733="Pari Passu Split",1,0)</f>
        <v/>
      </c>
      <c r="CP733" s="77">
        <f>IF(ISNUMBER($T733),YEAR($T733),"")</f>
        <v/>
      </c>
      <c r="CQ733" s="79">
        <f>IF(ISNUMBER($V733),$V733,IF(ISNUMBER($U733),$U733,""))</f>
        <v/>
      </c>
      <c r="CR733" s="77">
        <f>IF(ISNUMBER($CQ733),YEAR($CQ733),"")</f>
        <v/>
      </c>
      <c r="CS733" s="78">
        <f>IF(ISNUMBER($M733),MAX(0,$M733),IF(TRIM($M733&amp;"")="matured",0,""))</f>
        <v/>
      </c>
      <c r="CT733" s="78">
        <f>IF(AND(ISNUMBER($CS733),N($CS733)&lt;=mMatWindow),1,0)</f>
        <v/>
      </c>
      <c r="CU733" s="80">
        <f>IF(ISNUMBER($J733),$J733/100,"")</f>
        <v/>
      </c>
      <c r="CV733" s="81">
        <f>IF(ISNUMBER($AQ733),$AQ733,"")</f>
        <v/>
      </c>
      <c r="CW733" s="81">
        <f>IF(ISNUMBER($AR733),$AR733,"")</f>
        <v/>
      </c>
      <c r="CX733" s="82">
        <f>IF(ISNUMBER($AS733),$AS733/100,"")</f>
        <v/>
      </c>
      <c r="CY733" s="82">
        <f>IF(ISNUMBER($AT733),$AT733/100,"")</f>
        <v/>
      </c>
      <c r="CZ733" s="82">
        <f>IF(ISNUMBER($AU733),$AU733/100,"")</f>
        <v/>
      </c>
      <c r="DA733" s="82">
        <f>IF(ISNUMBER($AV733),$AV733/100,"")</f>
        <v/>
      </c>
      <c r="DB733" s="82">
        <f>IF(ISNUMBER($AW733),$AW733/100,"")</f>
        <v/>
      </c>
      <c r="DC733" s="82">
        <f>IF(ISNUMBER($AX733),$AX733/100,"")</f>
        <v/>
      </c>
      <c r="DD733" s="77">
        <f>IFERROR(VALUE(LEFT(TRIM($AO733&amp;""),4)),"")</f>
        <v/>
      </c>
      <c r="DE733" s="78">
        <f>IF(AND($BY733=1,$BX733=1,OR(fDeal="All Deals",$BU733=fDeal),OR(fEntity="All Entities",$BV733=fEntity),OR(fPType="All Property Types",$BZ733=fPType),OR(fDefeased="Include",$CJ733=0)),1,0)</f>
        <v/>
      </c>
      <c r="DF733" s="83">
        <f>$DE733*N($I733)</f>
        <v/>
      </c>
      <c r="DG733" s="78">
        <f>IF($DE733=1,IF(COUNTIFS($F$8:$F733,$F733,$DE$8:$DE733,1)=1,1,0),0)</f>
        <v/>
      </c>
      <c r="DH733" s="83">
        <f>IF($DG733=1,SUMIFS($DF$8:$DF$1600,$F$8:$F$1600,$F733),0)</f>
        <v/>
      </c>
      <c r="DI733" s="78">
        <f>IF($DG733=1,COUNTIFS($F$8:$F$1600,$F733,$DE$8:$DE$1600,1),0)</f>
        <v/>
      </c>
      <c r="DJ733" s="84">
        <f>IF($DG733=1,$DH733+(100000-ROW())/mTieBreak,0)</f>
        <v/>
      </c>
    </row>
    <row r="734">
      <c r="B734" s="68" t="n">
        <v>5</v>
      </c>
      <c r="C734" s="69" t="inlineStr">
        <is>
          <t>UBS18C15</t>
        </is>
      </c>
      <c r="D734" s="69" t="inlineStr">
        <is>
          <t>5.000</t>
        </is>
      </c>
      <c r="E734" s="69" t="inlineStr">
        <is>
          <t>CBBC Industrial Portfolio</t>
        </is>
      </c>
      <c r="F734" s="69" t="inlineStr">
        <is>
          <t>SPLIT_LOAN_01464</t>
        </is>
      </c>
      <c r="G734" s="70" t="n">
        <v>1464</v>
      </c>
      <c r="H734" s="71" t="n">
        <v>33030000</v>
      </c>
      <c r="I734" s="71" t="n">
        <v>33030000</v>
      </c>
      <c r="J734" s="72" t="n">
        <v>5.08</v>
      </c>
      <c r="K734" s="69" t="inlineStr">
        <is>
          <t>Fixed rate</t>
        </is>
      </c>
      <c r="L734" s="68" t="n">
        <v>120</v>
      </c>
      <c r="M734" s="68" t="n">
        <v>26</v>
      </c>
      <c r="N734" s="68" t="n">
        <v>120</v>
      </c>
      <c r="O734" s="68" t="n">
        <v>120</v>
      </c>
      <c r="P734" s="68" t="n">
        <v>26</v>
      </c>
      <c r="Q734" s="68" t="n">
        <v>94</v>
      </c>
      <c r="R734" s="69" t="inlineStr">
        <is>
          <t>IO</t>
        </is>
      </c>
      <c r="S734" s="69" t="inlineStr">
        <is>
          <t>Yes</t>
        </is>
      </c>
      <c r="T734" s="73" t="n">
        <v>43405</v>
      </c>
      <c r="U734" s="73" t="n">
        <v>47063</v>
      </c>
      <c r="V734" s="73" t="n"/>
      <c r="W734" s="69" t="n"/>
      <c r="X734" s="69" t="inlineStr">
        <is>
          <t>Current</t>
        </is>
      </c>
      <c r="Y734" s="68" t="n"/>
      <c r="Z734" s="69" t="inlineStr">
        <is>
          <t>No Defeasance Occurred</t>
        </is>
      </c>
      <c r="AA734" s="69" t="inlineStr">
        <is>
          <t>Previously</t>
        </is>
      </c>
      <c r="AB734" s="69" t="inlineStr">
        <is>
          <t>Never special serv</t>
        </is>
      </c>
      <c r="AC734" s="73" t="n"/>
      <c r="AD734" s="69" t="n"/>
      <c r="AE734" s="69" t="n"/>
      <c r="AF734" s="69" t="inlineStr">
        <is>
          <t>TX-53.573448986% FL-46.426551014%</t>
        </is>
      </c>
      <c r="AG734" s="69" t="n"/>
      <c r="AH734" s="69" t="inlineStr">
        <is>
          <t>Lakeland-Winter Haven, FL-46.426551014% Dallas-Fort Worth-Arlington, TX-40.373373569% Houston-Pasadena-The Woodlands, TX-13.200075416%</t>
        </is>
      </c>
      <c r="AI734" s="69" t="inlineStr">
        <is>
          <t>South / Central West-53.573448986% South / Atlantic-46.426551014%</t>
        </is>
      </c>
      <c r="AJ734" s="69" t="inlineStr">
        <is>
          <t>IN</t>
        </is>
      </c>
      <c r="AK734" s="69" t="inlineStr">
        <is>
          <t>Warehouse/Distribution</t>
        </is>
      </c>
      <c r="AL734" s="68" t="n">
        <v>4</v>
      </c>
      <c r="AM734" s="68" t="n"/>
      <c r="AN734" s="68" t="n">
        <v>951651</v>
      </c>
      <c r="AO734" s="69" t="n"/>
      <c r="AP734" s="70" t="n">
        <v>2017</v>
      </c>
      <c r="AQ734" s="74" t="n">
        <v>1.77</v>
      </c>
      <c r="AR734" s="74" t="n">
        <v>2.09</v>
      </c>
      <c r="AS734" s="74" t="n">
        <v>61.7</v>
      </c>
      <c r="AT734" s="74" t="n">
        <v>61.75</v>
      </c>
      <c r="AU734" s="74" t="n">
        <v>61.7</v>
      </c>
      <c r="AV734" s="74" t="n">
        <v>9.099820855999999</v>
      </c>
      <c r="AW734" s="74" t="n">
        <v>10.51967343</v>
      </c>
      <c r="AX734" s="75" t="n">
        <v>100</v>
      </c>
      <c r="AY734" s="71" t="n">
        <v>85880000</v>
      </c>
      <c r="AZ734" s="71" t="n">
        <v>85880000</v>
      </c>
      <c r="BA734" s="71" t="n">
        <v>4825635</v>
      </c>
      <c r="BB734" s="71" t="n">
        <v>1424079.5</v>
      </c>
      <c r="BC734" s="69" t="inlineStr">
        <is>
          <t>Acquisition</t>
        </is>
      </c>
      <c r="BD734" s="69" t="inlineStr">
        <is>
          <t>N</t>
        </is>
      </c>
      <c r="BE734" s="71" t="n">
        <v>20000000</v>
      </c>
      <c r="BF734" s="71" t="n"/>
      <c r="BG734" s="71" t="n"/>
      <c r="BH734" s="71" t="n">
        <v>0</v>
      </c>
      <c r="BI734" s="71" t="n">
        <v>0</v>
      </c>
      <c r="BJ734" s="69" t="inlineStr">
        <is>
          <t>N</t>
        </is>
      </c>
      <c r="BK734" s="69" t="inlineStr">
        <is>
          <t>CBBCOPCO</t>
        </is>
      </c>
      <c r="BL734" s="75" t="n">
        <v>100</v>
      </c>
      <c r="BM734" s="73" t="n">
        <v>50709</v>
      </c>
      <c r="BN734" s="69" t="inlineStr">
        <is>
          <t>New Mountain Net Lease Corporation; New Mountain Net Lease Partners Corporation</t>
        </is>
      </c>
      <c r="BO734" s="69" t="inlineStr">
        <is>
          <t>GACC</t>
        </is>
      </c>
      <c r="BP734" s="69" t="inlineStr">
        <is>
          <t>Midland Loan Services</t>
        </is>
      </c>
      <c r="BQ734" s="69" t="inlineStr">
        <is>
          <t>K-Star Asset Management LLC</t>
        </is>
      </c>
      <c r="BR734" s="69" t="n"/>
      <c r="BS734" s="73" t="n">
        <v>46276</v>
      </c>
      <c r="BU734" s="76">
        <f>IF($C734="","",IFERROR(INDEX(dmName,MATCH($C734,dmID,0)),"Unmapped"))</f>
        <v/>
      </c>
      <c r="BV734" s="76">
        <f>IF($C734="","",IFERROR(INDEX(dmEntity,MATCH($C734,dmID,0)),"Unmapped"))</f>
        <v/>
      </c>
      <c r="BW734" s="77">
        <f>IF($C734="","",IFERROR(INDEX(dmVintage,MATCH($C734,dmID,0)),""))</f>
        <v/>
      </c>
      <c r="BX734" s="78">
        <f>IFERROR(INDEX(dmInclude,MATCH($C734,dmID,0)),0)</f>
        <v/>
      </c>
      <c r="BY734" s="78">
        <f>IF(N($I734)&gt;0,1,0)</f>
        <v/>
      </c>
      <c r="BZ734" s="76">
        <f>IF($AJ734="","Other / Leased Fee",IFERROR(INDEX(mapPTGroup,MATCH(LEFT(TRIM($AJ734),2),mapPTCode,0)),"Other / Leased Fee"))</f>
        <v/>
      </c>
      <c r="CA734" s="76">
        <f>IF(TRIM($AF734&amp;"")="","NR",LEFT(TRIM($AF734),2))</f>
        <v/>
      </c>
      <c r="CB734" s="76">
        <f>IFERROR(LOOKUP(2,1/(LEFT(TRIM($AI734&amp;""),LEN(mapRegion))=mapRegion),mapRegion),"Not Reported")</f>
        <v/>
      </c>
      <c r="CC734" s="76">
        <f>IF($BY734=0,"",IF(TRIM($W734&amp;"")="REO","REO",IF(TRIM($W734&amp;"")="FC","Foreclosure",IF(TRIM($W734&amp;"")="90+","90+ Days Delinquent",IF(TRIM($W734&amp;"")="60","60 Days Delinquent",IF(TRIM($W734&amp;"")="30","30 Days Delinquent",IF($X734="Non-Performing Matured Balloon","Non-Performing Matured Balloon",IF(OR($X734="Late Payment But Less Than 30 Days Delinquent",LEFT($X734&amp;"",20)="Payment Not Received"),"Late / In Grace (&lt;30 Days)",IF($X734="Performing Matured Balloon","Performing Matured Balloon","Current")))))))))</f>
        <v/>
      </c>
      <c r="CD734" s="78">
        <f>IF(OR($CC734="REO",$CC734="Foreclosure",$CC734="90+ Days Delinquent",$CC734="60 Days Delinquent",$CC734="30 Days Delinquent",$CC734="Non-Performing Matured Balloon"),1,0)</f>
        <v/>
      </c>
      <c r="CE734" s="76">
        <f>IF($AB734="Currently special serv","Currently Specially Serviced",IF($AB734="Returned to master serv","Previously Specially Serviced","Never Specially Serviced"))</f>
        <v/>
      </c>
      <c r="CF734" s="78">
        <f>IF($CE734="Currently Specially Serviced",1,0)</f>
        <v/>
      </c>
      <c r="CG734" s="76">
        <f>IF($AA734="Yes","Currently on Watchlist",IF($AA734="Previously","Previously on Watchlist","Never on Watchlist"))</f>
        <v/>
      </c>
      <c r="CH734" s="78">
        <f>IF($CG734="Currently on Watchlist",1,0)</f>
        <v/>
      </c>
      <c r="CI734" s="76">
        <f>IF($Z734="Full Defeasance","Fully Defeased",IF($Z734="Portion Of Loan Previously Defeased","Partially Defeased",IF($Z734="Defeasance Not Allowable","Not Defeased (Not Permitted)","Not Defeased")))</f>
        <v/>
      </c>
      <c r="CJ734" s="78">
        <f>IF($CI734="Fully Defeased",1,0)</f>
        <v/>
      </c>
      <c r="CK734" s="76">
        <f>IF($R734="IO","Full IO",IF(LEFT($R734&amp;"",7)="IO then","Partial IO","Amortizing"))</f>
        <v/>
      </c>
      <c r="CL734" s="78">
        <f>IF($CK734="Full IO",1,0)</f>
        <v/>
      </c>
      <c r="CM734" s="78">
        <f>IF($CK734="Partial IO",1,0)</f>
        <v/>
      </c>
      <c r="CN734" s="76">
        <f>IF(LEFT($F734&amp;"",10)="SPLIT_LOAN","Pari Passu Split","Standalone")</f>
        <v/>
      </c>
      <c r="CO734" s="78">
        <f>IF($CN734="Pari Passu Split",1,0)</f>
        <v/>
      </c>
      <c r="CP734" s="77">
        <f>IF(ISNUMBER($T734),YEAR($T734),"")</f>
        <v/>
      </c>
      <c r="CQ734" s="79">
        <f>IF(ISNUMBER($V734),$V734,IF(ISNUMBER($U734),$U734,""))</f>
        <v/>
      </c>
      <c r="CR734" s="77">
        <f>IF(ISNUMBER($CQ734),YEAR($CQ734),"")</f>
        <v/>
      </c>
      <c r="CS734" s="78">
        <f>IF(ISNUMBER($M734),MAX(0,$M734),IF(TRIM($M734&amp;"")="matured",0,""))</f>
        <v/>
      </c>
      <c r="CT734" s="78">
        <f>IF(AND(ISNUMBER($CS734),N($CS734)&lt;=mMatWindow),1,0)</f>
        <v/>
      </c>
      <c r="CU734" s="80">
        <f>IF(ISNUMBER($J734),$J734/100,"")</f>
        <v/>
      </c>
      <c r="CV734" s="81">
        <f>IF(ISNUMBER($AQ734),$AQ734,"")</f>
        <v/>
      </c>
      <c r="CW734" s="81">
        <f>IF(ISNUMBER($AR734),$AR734,"")</f>
        <v/>
      </c>
      <c r="CX734" s="82">
        <f>IF(ISNUMBER($AS734),$AS734/100,"")</f>
        <v/>
      </c>
      <c r="CY734" s="82">
        <f>IF(ISNUMBER($AT734),$AT734/100,"")</f>
        <v/>
      </c>
      <c r="CZ734" s="82">
        <f>IF(ISNUMBER($AU734),$AU734/100,"")</f>
        <v/>
      </c>
      <c r="DA734" s="82">
        <f>IF(ISNUMBER($AV734),$AV734/100,"")</f>
        <v/>
      </c>
      <c r="DB734" s="82">
        <f>IF(ISNUMBER($AW734),$AW734/100,"")</f>
        <v/>
      </c>
      <c r="DC734" s="82">
        <f>IF(ISNUMBER($AX734),$AX734/100,"")</f>
        <v/>
      </c>
      <c r="DD734" s="77">
        <f>IFERROR(VALUE(LEFT(TRIM($AO734&amp;""),4)),"")</f>
        <v/>
      </c>
      <c r="DE734" s="78">
        <f>IF(AND($BY734=1,$BX734=1,OR(fDeal="All Deals",$BU734=fDeal),OR(fEntity="All Entities",$BV734=fEntity),OR(fPType="All Property Types",$BZ734=fPType),OR(fDefeased="Include",$CJ734=0)),1,0)</f>
        <v/>
      </c>
      <c r="DF734" s="83">
        <f>$DE734*N($I734)</f>
        <v/>
      </c>
      <c r="DG734" s="78">
        <f>IF($DE734=1,IF(COUNTIFS($F$8:$F734,$F734,$DE$8:$DE734,1)=1,1,0),0)</f>
        <v/>
      </c>
      <c r="DH734" s="83">
        <f>IF($DG734=1,SUMIFS($DF$8:$DF$1600,$F$8:$F$1600,$F734),0)</f>
        <v/>
      </c>
      <c r="DI734" s="78">
        <f>IF($DG734=1,COUNTIFS($F$8:$F$1600,$F734,$DE$8:$DE$1600,1),0)</f>
        <v/>
      </c>
      <c r="DJ734" s="84">
        <f>IF($DG734=1,$DH734+(100000-ROW())/mTieBreak,0)</f>
        <v/>
      </c>
    </row>
    <row r="735">
      <c r="B735" s="68" t="n">
        <v>6</v>
      </c>
      <c r="C735" s="69" t="inlineStr">
        <is>
          <t>UBS18C15</t>
        </is>
      </c>
      <c r="D735" s="69" t="inlineStr">
        <is>
          <t>6.000</t>
        </is>
      </c>
      <c r="E735" s="69" t="inlineStr">
        <is>
          <t>435 Tasso Street</t>
        </is>
      </c>
      <c r="F735" s="69" t="inlineStr">
        <is>
          <t>LNUBS18C15-6.000</t>
        </is>
      </c>
      <c r="G735" s="70" t="n"/>
      <c r="H735" s="71" t="n">
        <v>30000000</v>
      </c>
      <c r="I735" s="71" t="n">
        <v>30000000</v>
      </c>
      <c r="J735" s="72" t="n">
        <v>4.4025</v>
      </c>
      <c r="K735" s="69" t="inlineStr">
        <is>
          <t>Fixed rate</t>
        </is>
      </c>
      <c r="L735" s="68" t="n">
        <v>120</v>
      </c>
      <c r="M735" s="68" t="n">
        <v>27</v>
      </c>
      <c r="N735" s="68" t="n">
        <v>120</v>
      </c>
      <c r="O735" s="68" t="n">
        <v>120</v>
      </c>
      <c r="P735" s="68" t="n">
        <v>27</v>
      </c>
      <c r="Q735" s="68" t="n">
        <v>93</v>
      </c>
      <c r="R735" s="69" t="inlineStr">
        <is>
          <t>IO</t>
        </is>
      </c>
      <c r="S735" s="69" t="inlineStr">
        <is>
          <t>Yes</t>
        </is>
      </c>
      <c r="T735" s="73" t="n">
        <v>43435</v>
      </c>
      <c r="U735" s="73" t="n">
        <v>47093</v>
      </c>
      <c r="V735" s="73" t="n"/>
      <c r="W735" s="69" t="n"/>
      <c r="X735" s="69" t="inlineStr">
        <is>
          <t>Current</t>
        </is>
      </c>
      <c r="Y735" s="68" t="n"/>
      <c r="Z735" s="69" t="inlineStr">
        <is>
          <t>Defeasance Not Allowable</t>
        </is>
      </c>
      <c r="AA735" s="69" t="inlineStr">
        <is>
          <t>Yes</t>
        </is>
      </c>
      <c r="AB735" s="69" t="inlineStr">
        <is>
          <t>Never special serv</t>
        </is>
      </c>
      <c r="AC735" s="73" t="n"/>
      <c r="AD735" s="69" t="n"/>
      <c r="AE735" s="69" t="n"/>
      <c r="AF735" s="69" t="inlineStr">
        <is>
          <t>CA</t>
        </is>
      </c>
      <c r="AG735" s="69" t="inlineStr">
        <is>
          <t>Palo Alto</t>
        </is>
      </c>
      <c r="AH735" s="69" t="inlineStr">
        <is>
          <t>San Jose-Sunnyvale-Santa Clara, CA</t>
        </is>
      </c>
      <c r="AI735" s="69" t="inlineStr">
        <is>
          <t>West / Pacific North</t>
        </is>
      </c>
      <c r="AJ735" s="69" t="inlineStr">
        <is>
          <t>OF</t>
        </is>
      </c>
      <c r="AK735" s="69" t="inlineStr">
        <is>
          <t>CBD</t>
        </is>
      </c>
      <c r="AL735" s="68" t="n">
        <v>1</v>
      </c>
      <c r="AM735" s="68" t="n"/>
      <c r="AN735" s="68" t="n">
        <v>32128</v>
      </c>
      <c r="AO735" s="69" t="inlineStr">
        <is>
          <t>1984</t>
        </is>
      </c>
      <c r="AP735" s="70" t="n">
        <v>1984</v>
      </c>
      <c r="AQ735" s="74" t="n">
        <v>2.57</v>
      </c>
      <c r="AR735" s="74" t="n">
        <v>1</v>
      </c>
      <c r="AS735" s="74" t="n">
        <v>44.2</v>
      </c>
      <c r="AT735" s="74" t="n">
        <v>44.18</v>
      </c>
      <c r="AU735" s="74" t="n">
        <v>44.2</v>
      </c>
      <c r="AV735" s="74" t="n">
        <v>11.459658367</v>
      </c>
      <c r="AW735" s="74" t="n">
        <v>4.702619433</v>
      </c>
      <c r="AX735" s="75" t="n">
        <v>73</v>
      </c>
      <c r="AY735" s="71" t="n">
        <v>67900000</v>
      </c>
      <c r="AZ735" s="71" t="n">
        <v>67900000</v>
      </c>
      <c r="BA735" s="71" t="n">
        <v>3437897.51</v>
      </c>
      <c r="BB735" s="71" t="n">
        <v>333171.8</v>
      </c>
      <c r="BC735" s="69" t="inlineStr">
        <is>
          <t>Refinance</t>
        </is>
      </c>
      <c r="BD735" s="69" t="inlineStr">
        <is>
          <t>N</t>
        </is>
      </c>
      <c r="BE735" s="71" t="n"/>
      <c r="BF735" s="71" t="n"/>
      <c r="BG735" s="71" t="n"/>
      <c r="BH735" s="71" t="n">
        <v>0</v>
      </c>
      <c r="BI735" s="71" t="n">
        <v>0</v>
      </c>
      <c r="BJ735" s="69" t="inlineStr">
        <is>
          <t>N</t>
        </is>
      </c>
      <c r="BK735" s="69" t="inlineStr">
        <is>
          <t>East West Bank</t>
        </is>
      </c>
      <c r="BL735" s="75" t="n">
        <v>29.5</v>
      </c>
      <c r="BM735" s="73" t="n">
        <v>46812</v>
      </c>
      <c r="BN735" s="69" t="n"/>
      <c r="BO735" s="69" t="inlineStr">
        <is>
          <t>UBS</t>
        </is>
      </c>
      <c r="BP735" s="69" t="inlineStr">
        <is>
          <t>Midland Loan Services</t>
        </is>
      </c>
      <c r="BQ735" s="69" t="inlineStr">
        <is>
          <t>K-Star Asset Management LLC</t>
        </is>
      </c>
      <c r="BR735" s="69" t="n"/>
      <c r="BS735" s="73" t="n">
        <v>46276</v>
      </c>
      <c r="BU735" s="76">
        <f>IF($C735="","",IFERROR(INDEX(dmName,MATCH($C735,dmID,0)),"Unmapped"))</f>
        <v/>
      </c>
      <c r="BV735" s="76">
        <f>IF($C735="","",IFERROR(INDEX(dmEntity,MATCH($C735,dmID,0)),"Unmapped"))</f>
        <v/>
      </c>
      <c r="BW735" s="77">
        <f>IF($C735="","",IFERROR(INDEX(dmVintage,MATCH($C735,dmID,0)),""))</f>
        <v/>
      </c>
      <c r="BX735" s="78">
        <f>IFERROR(INDEX(dmInclude,MATCH($C735,dmID,0)),0)</f>
        <v/>
      </c>
      <c r="BY735" s="78">
        <f>IF(N($I735)&gt;0,1,0)</f>
        <v/>
      </c>
      <c r="BZ735" s="76">
        <f>IF($AJ735="","Other / Leased Fee",IFERROR(INDEX(mapPTGroup,MATCH(LEFT(TRIM($AJ735),2),mapPTCode,0)),"Other / Leased Fee"))</f>
        <v/>
      </c>
      <c r="CA735" s="76">
        <f>IF(TRIM($AF735&amp;"")="","NR",LEFT(TRIM($AF735),2))</f>
        <v/>
      </c>
      <c r="CB735" s="76">
        <f>IFERROR(LOOKUP(2,1/(LEFT(TRIM($AI735&amp;""),LEN(mapRegion))=mapRegion),mapRegion),"Not Reported")</f>
        <v/>
      </c>
      <c r="CC735" s="76">
        <f>IF($BY735=0,"",IF(TRIM($W735&amp;"")="REO","REO",IF(TRIM($W735&amp;"")="FC","Foreclosure",IF(TRIM($W735&amp;"")="90+","90+ Days Delinquent",IF(TRIM($W735&amp;"")="60","60 Days Delinquent",IF(TRIM($W735&amp;"")="30","30 Days Delinquent",IF($X735="Non-Performing Matured Balloon","Non-Performing Matured Balloon",IF(OR($X735="Late Payment But Less Than 30 Days Delinquent",LEFT($X735&amp;"",20)="Payment Not Received"),"Late / In Grace (&lt;30 Days)",IF($X735="Performing Matured Balloon","Performing Matured Balloon","Current")))))))))</f>
        <v/>
      </c>
      <c r="CD735" s="78">
        <f>IF(OR($CC735="REO",$CC735="Foreclosure",$CC735="90+ Days Delinquent",$CC735="60 Days Delinquent",$CC735="30 Days Delinquent",$CC735="Non-Performing Matured Balloon"),1,0)</f>
        <v/>
      </c>
      <c r="CE735" s="76">
        <f>IF($AB735="Currently special serv","Currently Specially Serviced",IF($AB735="Returned to master serv","Previously Specially Serviced","Never Specially Serviced"))</f>
        <v/>
      </c>
      <c r="CF735" s="78">
        <f>IF($CE735="Currently Specially Serviced",1,0)</f>
        <v/>
      </c>
      <c r="CG735" s="76">
        <f>IF($AA735="Yes","Currently on Watchlist",IF($AA735="Previously","Previously on Watchlist","Never on Watchlist"))</f>
        <v/>
      </c>
      <c r="CH735" s="78">
        <f>IF($CG735="Currently on Watchlist",1,0)</f>
        <v/>
      </c>
      <c r="CI735" s="76">
        <f>IF($Z735="Full Defeasance","Fully Defeased",IF($Z735="Portion Of Loan Previously Defeased","Partially Defeased",IF($Z735="Defeasance Not Allowable","Not Defeased (Not Permitted)","Not Defeased")))</f>
        <v/>
      </c>
      <c r="CJ735" s="78">
        <f>IF($CI735="Fully Defeased",1,0)</f>
        <v/>
      </c>
      <c r="CK735" s="76">
        <f>IF($R735="IO","Full IO",IF(LEFT($R735&amp;"",7)="IO then","Partial IO","Amortizing"))</f>
        <v/>
      </c>
      <c r="CL735" s="78">
        <f>IF($CK735="Full IO",1,0)</f>
        <v/>
      </c>
      <c r="CM735" s="78">
        <f>IF($CK735="Partial IO",1,0)</f>
        <v/>
      </c>
      <c r="CN735" s="76">
        <f>IF(LEFT($F735&amp;"",10)="SPLIT_LOAN","Pari Passu Split","Standalone")</f>
        <v/>
      </c>
      <c r="CO735" s="78">
        <f>IF($CN735="Pari Passu Split",1,0)</f>
        <v/>
      </c>
      <c r="CP735" s="77">
        <f>IF(ISNUMBER($T735),YEAR($T735),"")</f>
        <v/>
      </c>
      <c r="CQ735" s="79">
        <f>IF(ISNUMBER($V735),$V735,IF(ISNUMBER($U735),$U735,""))</f>
        <v/>
      </c>
      <c r="CR735" s="77">
        <f>IF(ISNUMBER($CQ735),YEAR($CQ735),"")</f>
        <v/>
      </c>
      <c r="CS735" s="78">
        <f>IF(ISNUMBER($M735),MAX(0,$M735),IF(TRIM($M735&amp;"")="matured",0,""))</f>
        <v/>
      </c>
      <c r="CT735" s="78">
        <f>IF(AND(ISNUMBER($CS735),N($CS735)&lt;=mMatWindow),1,0)</f>
        <v/>
      </c>
      <c r="CU735" s="80">
        <f>IF(ISNUMBER($J735),$J735/100,"")</f>
        <v/>
      </c>
      <c r="CV735" s="81">
        <f>IF(ISNUMBER($AQ735),$AQ735,"")</f>
        <v/>
      </c>
      <c r="CW735" s="81">
        <f>IF(ISNUMBER($AR735),$AR735,"")</f>
        <v/>
      </c>
      <c r="CX735" s="82">
        <f>IF(ISNUMBER($AS735),$AS735/100,"")</f>
        <v/>
      </c>
      <c r="CY735" s="82">
        <f>IF(ISNUMBER($AT735),$AT735/100,"")</f>
        <v/>
      </c>
      <c r="CZ735" s="82">
        <f>IF(ISNUMBER($AU735),$AU735/100,"")</f>
        <v/>
      </c>
      <c r="DA735" s="82">
        <f>IF(ISNUMBER($AV735),$AV735/100,"")</f>
        <v/>
      </c>
      <c r="DB735" s="82">
        <f>IF(ISNUMBER($AW735),$AW735/100,"")</f>
        <v/>
      </c>
      <c r="DC735" s="82">
        <f>IF(ISNUMBER($AX735),$AX735/100,"")</f>
        <v/>
      </c>
      <c r="DD735" s="77">
        <f>IFERROR(VALUE(LEFT(TRIM($AO735&amp;""),4)),"")</f>
        <v/>
      </c>
      <c r="DE735" s="78">
        <f>IF(AND($BY735=1,$BX735=1,OR(fDeal="All Deals",$BU735=fDeal),OR(fEntity="All Entities",$BV735=fEntity),OR(fPType="All Property Types",$BZ735=fPType),OR(fDefeased="Include",$CJ735=0)),1,0)</f>
        <v/>
      </c>
      <c r="DF735" s="83">
        <f>$DE735*N($I735)</f>
        <v/>
      </c>
      <c r="DG735" s="78">
        <f>IF($DE735=1,IF(COUNTIFS($F$8:$F735,$F735,$DE$8:$DE735,1)=1,1,0),0)</f>
        <v/>
      </c>
      <c r="DH735" s="83">
        <f>IF($DG735=1,SUMIFS($DF$8:$DF$1600,$F$8:$F$1600,$F735),0)</f>
        <v/>
      </c>
      <c r="DI735" s="78">
        <f>IF($DG735=1,COUNTIFS($F$8:$F$1600,$F735,$DE$8:$DE$1600,1),0)</f>
        <v/>
      </c>
      <c r="DJ735" s="84">
        <f>IF($DG735=1,$DH735+(100000-ROW())/mTieBreak,0)</f>
        <v/>
      </c>
    </row>
    <row r="736">
      <c r="B736" s="68" t="n">
        <v>7</v>
      </c>
      <c r="C736" s="69" t="inlineStr">
        <is>
          <t>UBS18C15</t>
        </is>
      </c>
      <c r="D736" s="69" t="inlineStr">
        <is>
          <t>7.000</t>
        </is>
      </c>
      <c r="E736" s="69" t="inlineStr">
        <is>
          <t>Pier 1 Imports Headquarters</t>
        </is>
      </c>
      <c r="F736" s="69" t="inlineStr">
        <is>
          <t>SPLIT_LOAN_01359</t>
        </is>
      </c>
      <c r="G736" s="70" t="n">
        <v>1359</v>
      </c>
      <c r="H736" s="71" t="n">
        <v>27000000</v>
      </c>
      <c r="I736" s="71" t="n">
        <v>0</v>
      </c>
      <c r="J736" s="72" t="n">
        <v>4.862</v>
      </c>
      <c r="K736" s="69" t="inlineStr">
        <is>
          <t>Fixed rate</t>
        </is>
      </c>
      <c r="L736" s="68" t="n">
        <v>120</v>
      </c>
      <c r="M736" s="68" t="n"/>
      <c r="N736" s="68" t="n">
        <v>420</v>
      </c>
      <c r="O736" s="68" t="n">
        <v>60</v>
      </c>
      <c r="P736" s="68" t="n"/>
      <c r="Q736" s="68" t="n"/>
      <c r="R736" s="69" t="inlineStr">
        <is>
          <t>IO then Amort</t>
        </is>
      </c>
      <c r="S736" s="69" t="inlineStr">
        <is>
          <t>No</t>
        </is>
      </c>
      <c r="T736" s="73" t="n">
        <v>43344</v>
      </c>
      <c r="U736" s="73" t="n">
        <v>47001</v>
      </c>
      <c r="V736" s="73" t="n"/>
      <c r="W736" s="69" t="n"/>
      <c r="X736" s="69" t="inlineStr">
        <is>
          <t>Current</t>
        </is>
      </c>
      <c r="Y736" s="68" t="n"/>
      <c r="Z736" s="69" t="inlineStr">
        <is>
          <t>No Defeasance Occurred</t>
        </is>
      </c>
      <c r="AA736" s="69" t="n"/>
      <c r="AB736" s="69" t="inlineStr">
        <is>
          <t>Currently special serv</t>
        </is>
      </c>
      <c r="AC736" s="73" t="n">
        <v>43893</v>
      </c>
      <c r="AD736" s="69" t="inlineStr">
        <is>
          <t>Imminent Monetary Default (Single Tenant Bankruptcy/Vacate)</t>
        </is>
      </c>
      <c r="AE736" s="69" t="inlineStr">
        <is>
          <t>Foreclosure</t>
        </is>
      </c>
      <c r="AF736" s="69" t="inlineStr">
        <is>
          <t>TX</t>
        </is>
      </c>
      <c r="AG736" s="69" t="inlineStr">
        <is>
          <t>Fort Worth</t>
        </is>
      </c>
      <c r="AH736" s="69" t="inlineStr">
        <is>
          <t>Dallas-Fort Worth-Arlington, TX</t>
        </is>
      </c>
      <c r="AI736" s="69" t="inlineStr">
        <is>
          <t>South / Central West</t>
        </is>
      </c>
      <c r="AJ736" s="69" t="inlineStr">
        <is>
          <t>OF</t>
        </is>
      </c>
      <c r="AK736" s="69" t="inlineStr">
        <is>
          <t>CBD</t>
        </is>
      </c>
      <c r="AL736" s="68" t="n">
        <v>1</v>
      </c>
      <c r="AM736" s="68" t="n"/>
      <c r="AN736" s="68" t="n">
        <v>409977</v>
      </c>
      <c r="AO736" s="69" t="inlineStr">
        <is>
          <t>2004</t>
        </is>
      </c>
      <c r="AP736" s="70" t="n">
        <v>2004</v>
      </c>
      <c r="AQ736" s="74" t="n">
        <v>1.77</v>
      </c>
      <c r="AR736" s="74" t="n">
        <v>2.57</v>
      </c>
      <c r="AS736" s="74" t="n">
        <v>64</v>
      </c>
      <c r="AT736" s="74" t="n"/>
      <c r="AU736" s="74" t="n">
        <v>58.9</v>
      </c>
      <c r="AV736" s="74" t="n">
        <v>8.742800690999999</v>
      </c>
      <c r="AW736" s="74" t="n"/>
      <c r="AX736" s="75" t="n">
        <v>27</v>
      </c>
      <c r="AY736" s="71" t="n">
        <v>86000000</v>
      </c>
      <c r="AZ736" s="71" t="n">
        <v>44000000</v>
      </c>
      <c r="BA736" s="71" t="n">
        <v>4808540.38</v>
      </c>
      <c r="BB736" s="71" t="n">
        <v>6954581.9</v>
      </c>
      <c r="BC736" s="69" t="inlineStr">
        <is>
          <t>Acquisition</t>
        </is>
      </c>
      <c r="BD736" s="69" t="inlineStr">
        <is>
          <t>N</t>
        </is>
      </c>
      <c r="BE736" s="71" t="n">
        <v>0</v>
      </c>
      <c r="BF736" s="71" t="n"/>
      <c r="BG736" s="71" t="n"/>
      <c r="BH736" s="71" t="n">
        <v>0</v>
      </c>
      <c r="BI736" s="71" t="n">
        <v>0</v>
      </c>
      <c r="BJ736" s="69" t="inlineStr">
        <is>
          <t>N</t>
        </is>
      </c>
      <c r="BK736" s="69" t="inlineStr">
        <is>
          <t>Pier 1 Imports</t>
        </is>
      </c>
      <c r="BL736" s="75" t="n">
        <v>87.73</v>
      </c>
      <c r="BM736" s="73" t="n">
        <v>46568</v>
      </c>
      <c r="BN736" s="69" t="inlineStr">
        <is>
          <t>Sarah Rachel Gordon; Isaac Hertz; William Z. Hertz</t>
        </is>
      </c>
      <c r="BO736" s="69" t="inlineStr">
        <is>
          <t>Natixis</t>
        </is>
      </c>
      <c r="BP736" s="69" t="inlineStr">
        <is>
          <t>Midland Loan Services</t>
        </is>
      </c>
      <c r="BQ736" s="69" t="inlineStr">
        <is>
          <t>Midland Loan Services</t>
        </is>
      </c>
      <c r="BR736" s="69" t="inlineStr">
        <is>
          <t>Payoff With Yield Maintenance</t>
        </is>
      </c>
      <c r="BS736" s="73" t="n">
        <v>44845</v>
      </c>
      <c r="BU736" s="76">
        <f>IF($C736="","",IFERROR(INDEX(dmName,MATCH($C736,dmID,0)),"Unmapped"))</f>
        <v/>
      </c>
      <c r="BV736" s="76">
        <f>IF($C736="","",IFERROR(INDEX(dmEntity,MATCH($C736,dmID,0)),"Unmapped"))</f>
        <v/>
      </c>
      <c r="BW736" s="77">
        <f>IF($C736="","",IFERROR(INDEX(dmVintage,MATCH($C736,dmID,0)),""))</f>
        <v/>
      </c>
      <c r="BX736" s="78">
        <f>IFERROR(INDEX(dmInclude,MATCH($C736,dmID,0)),0)</f>
        <v/>
      </c>
      <c r="BY736" s="78">
        <f>IF(N($I736)&gt;0,1,0)</f>
        <v/>
      </c>
      <c r="BZ736" s="76">
        <f>IF($AJ736="","Other / Leased Fee",IFERROR(INDEX(mapPTGroup,MATCH(LEFT(TRIM($AJ736),2),mapPTCode,0)),"Other / Leased Fee"))</f>
        <v/>
      </c>
      <c r="CA736" s="76">
        <f>IF(TRIM($AF736&amp;"")="","NR",LEFT(TRIM($AF736),2))</f>
        <v/>
      </c>
      <c r="CB736" s="76">
        <f>IFERROR(LOOKUP(2,1/(LEFT(TRIM($AI736&amp;""),LEN(mapRegion))=mapRegion),mapRegion),"Not Reported")</f>
        <v/>
      </c>
      <c r="CC736" s="76">
        <f>IF($BY736=0,"",IF(TRIM($W736&amp;"")="REO","REO",IF(TRIM($W736&amp;"")="FC","Foreclosure",IF(TRIM($W736&amp;"")="90+","90+ Days Delinquent",IF(TRIM($W736&amp;"")="60","60 Days Delinquent",IF(TRIM($W736&amp;"")="30","30 Days Delinquent",IF($X736="Non-Performing Matured Balloon","Non-Performing Matured Balloon",IF(OR($X736="Late Payment But Less Than 30 Days Delinquent",LEFT($X736&amp;"",20)="Payment Not Received"),"Late / In Grace (&lt;30 Days)",IF($X736="Performing Matured Balloon","Performing Matured Balloon","Current")))))))))</f>
        <v/>
      </c>
      <c r="CD736" s="78">
        <f>IF(OR($CC736="REO",$CC736="Foreclosure",$CC736="90+ Days Delinquent",$CC736="60 Days Delinquent",$CC736="30 Days Delinquent",$CC736="Non-Performing Matured Balloon"),1,0)</f>
        <v/>
      </c>
      <c r="CE736" s="76">
        <f>IF($AB736="Currently special serv","Currently Specially Serviced",IF($AB736="Returned to master serv","Previously Specially Serviced","Never Specially Serviced"))</f>
        <v/>
      </c>
      <c r="CF736" s="78">
        <f>IF($CE736="Currently Specially Serviced",1,0)</f>
        <v/>
      </c>
      <c r="CG736" s="76">
        <f>IF($AA736="Yes","Currently on Watchlist",IF($AA736="Previously","Previously on Watchlist","Never on Watchlist"))</f>
        <v/>
      </c>
      <c r="CH736" s="78">
        <f>IF($CG736="Currently on Watchlist",1,0)</f>
        <v/>
      </c>
      <c r="CI736" s="76">
        <f>IF($Z736="Full Defeasance","Fully Defeased",IF($Z736="Portion Of Loan Previously Defeased","Partially Defeased",IF($Z736="Defeasance Not Allowable","Not Defeased (Not Permitted)","Not Defeased")))</f>
        <v/>
      </c>
      <c r="CJ736" s="78">
        <f>IF($CI736="Fully Defeased",1,0)</f>
        <v/>
      </c>
      <c r="CK736" s="76">
        <f>IF($R736="IO","Full IO",IF(LEFT($R736&amp;"",7)="IO then","Partial IO","Amortizing"))</f>
        <v/>
      </c>
      <c r="CL736" s="78">
        <f>IF($CK736="Full IO",1,0)</f>
        <v/>
      </c>
      <c r="CM736" s="78">
        <f>IF($CK736="Partial IO",1,0)</f>
        <v/>
      </c>
      <c r="CN736" s="76">
        <f>IF(LEFT($F736&amp;"",10)="SPLIT_LOAN","Pari Passu Split","Standalone")</f>
        <v/>
      </c>
      <c r="CO736" s="78">
        <f>IF($CN736="Pari Passu Split",1,0)</f>
        <v/>
      </c>
      <c r="CP736" s="77">
        <f>IF(ISNUMBER($T736),YEAR($T736),"")</f>
        <v/>
      </c>
      <c r="CQ736" s="79">
        <f>IF(ISNUMBER($V736),$V736,IF(ISNUMBER($U736),$U736,""))</f>
        <v/>
      </c>
      <c r="CR736" s="77">
        <f>IF(ISNUMBER($CQ736),YEAR($CQ736),"")</f>
        <v/>
      </c>
      <c r="CS736" s="78">
        <f>IF(ISNUMBER($M736),MAX(0,$M736),IF(TRIM($M736&amp;"")="matured",0,""))</f>
        <v/>
      </c>
      <c r="CT736" s="78">
        <f>IF(AND(ISNUMBER($CS736),N($CS736)&lt;=mMatWindow),1,0)</f>
        <v/>
      </c>
      <c r="CU736" s="80">
        <f>IF(ISNUMBER($J736),$J736/100,"")</f>
        <v/>
      </c>
      <c r="CV736" s="81">
        <f>IF(ISNUMBER($AQ736),$AQ736,"")</f>
        <v/>
      </c>
      <c r="CW736" s="81">
        <f>IF(ISNUMBER($AR736),$AR736,"")</f>
        <v/>
      </c>
      <c r="CX736" s="82">
        <f>IF(ISNUMBER($AS736),$AS736/100,"")</f>
        <v/>
      </c>
      <c r="CY736" s="82">
        <f>IF(ISNUMBER($AT736),$AT736/100,"")</f>
        <v/>
      </c>
      <c r="CZ736" s="82">
        <f>IF(ISNUMBER($AU736),$AU736/100,"")</f>
        <v/>
      </c>
      <c r="DA736" s="82">
        <f>IF(ISNUMBER($AV736),$AV736/100,"")</f>
        <v/>
      </c>
      <c r="DB736" s="82">
        <f>IF(ISNUMBER($AW736),$AW736/100,"")</f>
        <v/>
      </c>
      <c r="DC736" s="82">
        <f>IF(ISNUMBER($AX736),$AX736/100,"")</f>
        <v/>
      </c>
      <c r="DD736" s="77">
        <f>IFERROR(VALUE(LEFT(TRIM($AO736&amp;""),4)),"")</f>
        <v/>
      </c>
      <c r="DE736" s="78">
        <f>IF(AND($BY736=1,$BX736=1,OR(fDeal="All Deals",$BU736=fDeal),OR(fEntity="All Entities",$BV736=fEntity),OR(fPType="All Property Types",$BZ736=fPType),OR(fDefeased="Include",$CJ736=0)),1,0)</f>
        <v/>
      </c>
      <c r="DF736" s="83">
        <f>$DE736*N($I736)</f>
        <v/>
      </c>
      <c r="DG736" s="78">
        <f>IF($DE736=1,IF(COUNTIFS($F$8:$F736,$F736,$DE$8:$DE736,1)=1,1,0),0)</f>
        <v/>
      </c>
      <c r="DH736" s="83">
        <f>IF($DG736=1,SUMIFS($DF$8:$DF$1600,$F$8:$F$1600,$F736),0)</f>
        <v/>
      </c>
      <c r="DI736" s="78">
        <f>IF($DG736=1,COUNTIFS($F$8:$F$1600,$F736,$DE$8:$DE$1600,1),0)</f>
        <v/>
      </c>
      <c r="DJ736" s="84">
        <f>IF($DG736=1,$DH736+(100000-ROW())/mTieBreak,0)</f>
        <v/>
      </c>
    </row>
    <row r="737">
      <c r="B737" s="68" t="n">
        <v>8</v>
      </c>
      <c r="C737" s="69" t="inlineStr">
        <is>
          <t>UBS18C15</t>
        </is>
      </c>
      <c r="D737" s="69" t="inlineStr">
        <is>
          <t>8.000</t>
        </is>
      </c>
      <c r="E737" s="69" t="inlineStr">
        <is>
          <t>Princeton Marriott at Forrestal</t>
        </is>
      </c>
      <c r="F737" s="69" t="inlineStr">
        <is>
          <t>LNUBS18C15-8.000</t>
        </is>
      </c>
      <c r="G737" s="70" t="n"/>
      <c r="H737" s="71" t="n">
        <v>24000000</v>
      </c>
      <c r="I737" s="71" t="n">
        <v>24000000</v>
      </c>
      <c r="J737" s="72" t="n">
        <v>5.4815</v>
      </c>
      <c r="K737" s="69" t="inlineStr">
        <is>
          <t>Fixed rate</t>
        </is>
      </c>
      <c r="L737" s="68" t="n">
        <v>120</v>
      </c>
      <c r="M737" s="68" t="n">
        <v>27</v>
      </c>
      <c r="N737" s="68" t="n">
        <v>120</v>
      </c>
      <c r="O737" s="68" t="n">
        <v>120</v>
      </c>
      <c r="P737" s="68" t="n">
        <v>27</v>
      </c>
      <c r="Q737" s="68" t="n">
        <v>93</v>
      </c>
      <c r="R737" s="69" t="inlineStr">
        <is>
          <t>IO</t>
        </is>
      </c>
      <c r="S737" s="69" t="inlineStr">
        <is>
          <t>Yes</t>
        </is>
      </c>
      <c r="T737" s="73" t="n">
        <v>43435</v>
      </c>
      <c r="U737" s="73" t="n">
        <v>47093</v>
      </c>
      <c r="V737" s="73" t="n"/>
      <c r="W737" s="69" t="n"/>
      <c r="X737" s="69" t="inlineStr">
        <is>
          <t>Current</t>
        </is>
      </c>
      <c r="Y737" s="68" t="n"/>
      <c r="Z737" s="69" t="inlineStr">
        <is>
          <t>Defeasance Not Allowable</t>
        </is>
      </c>
      <c r="AA737" s="69" t="inlineStr">
        <is>
          <t>Previously</t>
        </is>
      </c>
      <c r="AB737" s="69" t="inlineStr">
        <is>
          <t>Returned to master serv</t>
        </is>
      </c>
      <c r="AC737" s="73" t="n"/>
      <c r="AD737" s="69" t="inlineStr">
        <is>
          <t>Other</t>
        </is>
      </c>
      <c r="AE737" s="69" t="inlineStr">
        <is>
          <t>Resolved</t>
        </is>
      </c>
      <c r="AF737" s="69" t="inlineStr">
        <is>
          <t>NJ</t>
        </is>
      </c>
      <c r="AG737" s="69" t="inlineStr">
        <is>
          <t>Princeton</t>
        </is>
      </c>
      <c r="AH737" s="69" t="inlineStr">
        <is>
          <t>Trenton-Princeton, NJ</t>
        </is>
      </c>
      <c r="AI737" s="69" t="inlineStr">
        <is>
          <t>Northeast / Mid-Atlantic</t>
        </is>
      </c>
      <c r="AJ737" s="69" t="inlineStr">
        <is>
          <t>HT</t>
        </is>
      </c>
      <c r="AK737" s="69" t="inlineStr">
        <is>
          <t>Full Service</t>
        </is>
      </c>
      <c r="AL737" s="68" t="n">
        <v>1</v>
      </c>
      <c r="AM737" s="68" t="n">
        <v>302</v>
      </c>
      <c r="AN737" s="68" t="n"/>
      <c r="AO737" s="69" t="inlineStr">
        <is>
          <t>1982</t>
        </is>
      </c>
      <c r="AP737" s="70" t="n">
        <v>2018</v>
      </c>
      <c r="AQ737" s="74" t="n">
        <v>2.3</v>
      </c>
      <c r="AR737" s="74" t="n">
        <v>1.79</v>
      </c>
      <c r="AS737" s="74" t="n">
        <v>63.3</v>
      </c>
      <c r="AT737" s="74" t="n">
        <v>87.91</v>
      </c>
      <c r="AU737" s="74" t="n">
        <v>63.3</v>
      </c>
      <c r="AV737" s="74" t="n">
        <v>12.78306225</v>
      </c>
      <c r="AW737" s="74" t="n">
        <v>9.937367583</v>
      </c>
      <c r="AX737" s="75" t="n">
        <v>62</v>
      </c>
      <c r="AY737" s="71" t="n">
        <v>37900000</v>
      </c>
      <c r="AZ737" s="71" t="n">
        <v>27300000</v>
      </c>
      <c r="BA737" s="71" t="n">
        <v>3067934.94</v>
      </c>
      <c r="BB737" s="71" t="n">
        <v>2384968.22</v>
      </c>
      <c r="BC737" s="69" t="inlineStr">
        <is>
          <t>Acquisition</t>
        </is>
      </c>
      <c r="BD737" s="69" t="inlineStr">
        <is>
          <t>N</t>
        </is>
      </c>
      <c r="BE737" s="71" t="n"/>
      <c r="BF737" s="71" t="n"/>
      <c r="BG737" s="71" t="n"/>
      <c r="BH737" s="71" t="n">
        <v>0</v>
      </c>
      <c r="BI737" s="71" t="n">
        <v>0</v>
      </c>
      <c r="BJ737" s="69" t="inlineStr">
        <is>
          <t>Y</t>
        </is>
      </c>
      <c r="BK737" s="69" t="n"/>
      <c r="BL737" s="75" t="n"/>
      <c r="BM737" s="73" t="n"/>
      <c r="BN737" s="69" t="inlineStr">
        <is>
          <t>Seryl Kushner</t>
        </is>
      </c>
      <c r="BO737" s="69" t="inlineStr">
        <is>
          <t>UBS</t>
        </is>
      </c>
      <c r="BP737" s="69" t="inlineStr">
        <is>
          <t>Midland Loan Services</t>
        </is>
      </c>
      <c r="BQ737" s="69" t="inlineStr">
        <is>
          <t>K-Star Asset Management LLC</t>
        </is>
      </c>
      <c r="BR737" s="69" t="n"/>
      <c r="BS737" s="73" t="n">
        <v>46276</v>
      </c>
      <c r="BU737" s="76">
        <f>IF($C737="","",IFERROR(INDEX(dmName,MATCH($C737,dmID,0)),"Unmapped"))</f>
        <v/>
      </c>
      <c r="BV737" s="76">
        <f>IF($C737="","",IFERROR(INDEX(dmEntity,MATCH($C737,dmID,0)),"Unmapped"))</f>
        <v/>
      </c>
      <c r="BW737" s="77">
        <f>IF($C737="","",IFERROR(INDEX(dmVintage,MATCH($C737,dmID,0)),""))</f>
        <v/>
      </c>
      <c r="BX737" s="78">
        <f>IFERROR(INDEX(dmInclude,MATCH($C737,dmID,0)),0)</f>
        <v/>
      </c>
      <c r="BY737" s="78">
        <f>IF(N($I737)&gt;0,1,0)</f>
        <v/>
      </c>
      <c r="BZ737" s="76">
        <f>IF($AJ737="","Other / Leased Fee",IFERROR(INDEX(mapPTGroup,MATCH(LEFT(TRIM($AJ737),2),mapPTCode,0)),"Other / Leased Fee"))</f>
        <v/>
      </c>
      <c r="CA737" s="76">
        <f>IF(TRIM($AF737&amp;"")="","NR",LEFT(TRIM($AF737),2))</f>
        <v/>
      </c>
      <c r="CB737" s="76">
        <f>IFERROR(LOOKUP(2,1/(LEFT(TRIM($AI737&amp;""),LEN(mapRegion))=mapRegion),mapRegion),"Not Reported")</f>
        <v/>
      </c>
      <c r="CC737" s="76">
        <f>IF($BY737=0,"",IF(TRIM($W737&amp;"")="REO","REO",IF(TRIM($W737&amp;"")="FC","Foreclosure",IF(TRIM($W737&amp;"")="90+","90+ Days Delinquent",IF(TRIM($W737&amp;"")="60","60 Days Delinquent",IF(TRIM($W737&amp;"")="30","30 Days Delinquent",IF($X737="Non-Performing Matured Balloon","Non-Performing Matured Balloon",IF(OR($X737="Late Payment But Less Than 30 Days Delinquent",LEFT($X737&amp;"",20)="Payment Not Received"),"Late / In Grace (&lt;30 Days)",IF($X737="Performing Matured Balloon","Performing Matured Balloon","Current")))))))))</f>
        <v/>
      </c>
      <c r="CD737" s="78">
        <f>IF(OR($CC737="REO",$CC737="Foreclosure",$CC737="90+ Days Delinquent",$CC737="60 Days Delinquent",$CC737="30 Days Delinquent",$CC737="Non-Performing Matured Balloon"),1,0)</f>
        <v/>
      </c>
      <c r="CE737" s="76">
        <f>IF($AB737="Currently special serv","Currently Specially Serviced",IF($AB737="Returned to master serv","Previously Specially Serviced","Never Specially Serviced"))</f>
        <v/>
      </c>
      <c r="CF737" s="78">
        <f>IF($CE737="Currently Specially Serviced",1,0)</f>
        <v/>
      </c>
      <c r="CG737" s="76">
        <f>IF($AA737="Yes","Currently on Watchlist",IF($AA737="Previously","Previously on Watchlist","Never on Watchlist"))</f>
        <v/>
      </c>
      <c r="CH737" s="78">
        <f>IF($CG737="Currently on Watchlist",1,0)</f>
        <v/>
      </c>
      <c r="CI737" s="76">
        <f>IF($Z737="Full Defeasance","Fully Defeased",IF($Z737="Portion Of Loan Previously Defeased","Partially Defeased",IF($Z737="Defeasance Not Allowable","Not Defeased (Not Permitted)","Not Defeased")))</f>
        <v/>
      </c>
      <c r="CJ737" s="78">
        <f>IF($CI737="Fully Defeased",1,0)</f>
        <v/>
      </c>
      <c r="CK737" s="76">
        <f>IF($R737="IO","Full IO",IF(LEFT($R737&amp;"",7)="IO then","Partial IO","Amortizing"))</f>
        <v/>
      </c>
      <c r="CL737" s="78">
        <f>IF($CK737="Full IO",1,0)</f>
        <v/>
      </c>
      <c r="CM737" s="78">
        <f>IF($CK737="Partial IO",1,0)</f>
        <v/>
      </c>
      <c r="CN737" s="76">
        <f>IF(LEFT($F737&amp;"",10)="SPLIT_LOAN","Pari Passu Split","Standalone")</f>
        <v/>
      </c>
      <c r="CO737" s="78">
        <f>IF($CN737="Pari Passu Split",1,0)</f>
        <v/>
      </c>
      <c r="CP737" s="77">
        <f>IF(ISNUMBER($T737),YEAR($T737),"")</f>
        <v/>
      </c>
      <c r="CQ737" s="79">
        <f>IF(ISNUMBER($V737),$V737,IF(ISNUMBER($U737),$U737,""))</f>
        <v/>
      </c>
      <c r="CR737" s="77">
        <f>IF(ISNUMBER($CQ737),YEAR($CQ737),"")</f>
        <v/>
      </c>
      <c r="CS737" s="78">
        <f>IF(ISNUMBER($M737),MAX(0,$M737),IF(TRIM($M737&amp;"")="matured",0,""))</f>
        <v/>
      </c>
      <c r="CT737" s="78">
        <f>IF(AND(ISNUMBER($CS737),N($CS737)&lt;=mMatWindow),1,0)</f>
        <v/>
      </c>
      <c r="CU737" s="80">
        <f>IF(ISNUMBER($J737),$J737/100,"")</f>
        <v/>
      </c>
      <c r="CV737" s="81">
        <f>IF(ISNUMBER($AQ737),$AQ737,"")</f>
        <v/>
      </c>
      <c r="CW737" s="81">
        <f>IF(ISNUMBER($AR737),$AR737,"")</f>
        <v/>
      </c>
      <c r="CX737" s="82">
        <f>IF(ISNUMBER($AS737),$AS737/100,"")</f>
        <v/>
      </c>
      <c r="CY737" s="82">
        <f>IF(ISNUMBER($AT737),$AT737/100,"")</f>
        <v/>
      </c>
      <c r="CZ737" s="82">
        <f>IF(ISNUMBER($AU737),$AU737/100,"")</f>
        <v/>
      </c>
      <c r="DA737" s="82">
        <f>IF(ISNUMBER($AV737),$AV737/100,"")</f>
        <v/>
      </c>
      <c r="DB737" s="82">
        <f>IF(ISNUMBER($AW737),$AW737/100,"")</f>
        <v/>
      </c>
      <c r="DC737" s="82">
        <f>IF(ISNUMBER($AX737),$AX737/100,"")</f>
        <v/>
      </c>
      <c r="DD737" s="77">
        <f>IFERROR(VALUE(LEFT(TRIM($AO737&amp;""),4)),"")</f>
        <v/>
      </c>
      <c r="DE737" s="78">
        <f>IF(AND($BY737=1,$BX737=1,OR(fDeal="All Deals",$BU737=fDeal),OR(fEntity="All Entities",$BV737=fEntity),OR(fPType="All Property Types",$BZ737=fPType),OR(fDefeased="Include",$CJ737=0)),1,0)</f>
        <v/>
      </c>
      <c r="DF737" s="83">
        <f>$DE737*N($I737)</f>
        <v/>
      </c>
      <c r="DG737" s="78">
        <f>IF($DE737=1,IF(COUNTIFS($F$8:$F737,$F737,$DE$8:$DE737,1)=1,1,0),0)</f>
        <v/>
      </c>
      <c r="DH737" s="83">
        <f>IF($DG737=1,SUMIFS($DF$8:$DF$1600,$F$8:$F$1600,$F737),0)</f>
        <v/>
      </c>
      <c r="DI737" s="78">
        <f>IF($DG737=1,COUNTIFS($F$8:$F$1600,$F737,$DE$8:$DE$1600,1),0)</f>
        <v/>
      </c>
      <c r="DJ737" s="84">
        <f>IF($DG737=1,$DH737+(100000-ROW())/mTieBreak,0)</f>
        <v/>
      </c>
    </row>
    <row r="738">
      <c r="B738" s="68" t="n">
        <v>9</v>
      </c>
      <c r="C738" s="69" t="inlineStr">
        <is>
          <t>UBS18C15</t>
        </is>
      </c>
      <c r="D738" s="69" t="inlineStr">
        <is>
          <t>9.000</t>
        </is>
      </c>
      <c r="E738" s="69" t="inlineStr">
        <is>
          <t>McCreless Market</t>
        </is>
      </c>
      <c r="F738" s="69" t="inlineStr">
        <is>
          <t>LNUBS18C15-9.000</t>
        </is>
      </c>
      <c r="G738" s="70" t="n"/>
      <c r="H738" s="71" t="n">
        <v>20475000</v>
      </c>
      <c r="I738" s="71" t="n">
        <v>20475000</v>
      </c>
      <c r="J738" s="72" t="n">
        <v>4.7</v>
      </c>
      <c r="K738" s="69" t="inlineStr">
        <is>
          <t>Fixed rate</t>
        </is>
      </c>
      <c r="L738" s="68" t="n">
        <v>120</v>
      </c>
      <c r="M738" s="68" t="n">
        <v>27</v>
      </c>
      <c r="N738" s="68" t="n">
        <v>120</v>
      </c>
      <c r="O738" s="68" t="n">
        <v>120</v>
      </c>
      <c r="P738" s="68" t="n">
        <v>27</v>
      </c>
      <c r="Q738" s="68" t="n">
        <v>93</v>
      </c>
      <c r="R738" s="69" t="inlineStr">
        <is>
          <t>IO</t>
        </is>
      </c>
      <c r="S738" s="69" t="inlineStr">
        <is>
          <t>Yes</t>
        </is>
      </c>
      <c r="T738" s="73" t="n">
        <v>43435</v>
      </c>
      <c r="U738" s="73" t="n">
        <v>47088</v>
      </c>
      <c r="V738" s="73" t="n"/>
      <c r="W738" s="69" t="n"/>
      <c r="X738" s="69" t="inlineStr">
        <is>
          <t>Current</t>
        </is>
      </c>
      <c r="Y738" s="68" t="n"/>
      <c r="Z738" s="69" t="inlineStr">
        <is>
          <t>Defeasance Not Allowable</t>
        </is>
      </c>
      <c r="AA738" s="69" t="inlineStr">
        <is>
          <t>Previously</t>
        </is>
      </c>
      <c r="AB738" s="69" t="inlineStr">
        <is>
          <t>Never special serv</t>
        </is>
      </c>
      <c r="AC738" s="73" t="n"/>
      <c r="AD738" s="69" t="n"/>
      <c r="AE738" s="69" t="n"/>
      <c r="AF738" s="69" t="inlineStr">
        <is>
          <t>TX</t>
        </is>
      </c>
      <c r="AG738" s="69" t="inlineStr">
        <is>
          <t>San Antonio</t>
        </is>
      </c>
      <c r="AH738" s="69" t="inlineStr">
        <is>
          <t>San Antonio-New Braunfels, TX</t>
        </is>
      </c>
      <c r="AI738" s="69" t="inlineStr">
        <is>
          <t>South / Central West</t>
        </is>
      </c>
      <c r="AJ738" s="69" t="inlineStr">
        <is>
          <t>RT</t>
        </is>
      </c>
      <c r="AK738" s="69" t="inlineStr">
        <is>
          <t>Anchored</t>
        </is>
      </c>
      <c r="AL738" s="68" t="n">
        <v>1</v>
      </c>
      <c r="AM738" s="68" t="n"/>
      <c r="AN738" s="68" t="n">
        <v>171477</v>
      </c>
      <c r="AO738" s="69" t="inlineStr">
        <is>
          <t>1994, 2008, 2017, 2018</t>
        </is>
      </c>
      <c r="AP738" s="70" t="n">
        <v>2018</v>
      </c>
      <c r="AQ738" s="74" t="n">
        <v>2.56</v>
      </c>
      <c r="AR738" s="74" t="n">
        <v>2.49</v>
      </c>
      <c r="AS738" s="74" t="n">
        <v>56.9</v>
      </c>
      <c r="AT738" s="74" t="n">
        <v>56.88</v>
      </c>
      <c r="AU738" s="74" t="n">
        <v>56.9</v>
      </c>
      <c r="AV738" s="74" t="n">
        <v>12.180747741</v>
      </c>
      <c r="AW738" s="74" t="n">
        <v>12.271105055</v>
      </c>
      <c r="AX738" s="75" t="n">
        <v>94</v>
      </c>
      <c r="AY738" s="71" t="n">
        <v>36000000</v>
      </c>
      <c r="AZ738" s="71" t="n">
        <v>36000000</v>
      </c>
      <c r="BA738" s="71" t="n">
        <v>2494008.1</v>
      </c>
      <c r="BB738" s="71" t="n">
        <v>2434106.06</v>
      </c>
      <c r="BC738" s="69" t="inlineStr">
        <is>
          <t>Acquisition</t>
        </is>
      </c>
      <c r="BD738" s="69" t="inlineStr">
        <is>
          <t>N</t>
        </is>
      </c>
      <c r="BE738" s="71" t="n"/>
      <c r="BF738" s="71" t="n"/>
      <c r="BG738" s="71" t="n"/>
      <c r="BH738" s="71" t="n">
        <v>0</v>
      </c>
      <c r="BI738" s="71" t="n">
        <v>0</v>
      </c>
      <c r="BJ738" s="69" t="inlineStr">
        <is>
          <t>N</t>
        </is>
      </c>
      <c r="BK738" s="69" t="inlineStr">
        <is>
          <t>CNMK Texas Properties LLC</t>
        </is>
      </c>
      <c r="BL738" s="75" t="n">
        <v>17.67</v>
      </c>
      <c r="BM738" s="73" t="n">
        <v>47787</v>
      </c>
      <c r="BN738" s="69" t="inlineStr">
        <is>
          <t>Jeffrey Lindenberger; Todd Mason; J. Fred Baca; David Kayle; Zachary Kayle</t>
        </is>
      </c>
      <c r="BO738" s="69" t="inlineStr">
        <is>
          <t>CIBC</t>
        </is>
      </c>
      <c r="BP738" s="69" t="inlineStr">
        <is>
          <t>Midland Loan Services</t>
        </is>
      </c>
      <c r="BQ738" s="69" t="inlineStr">
        <is>
          <t>K-Star Asset Management LLC</t>
        </is>
      </c>
      <c r="BR738" s="69" t="n"/>
      <c r="BS738" s="73" t="n">
        <v>46276</v>
      </c>
      <c r="BU738" s="76">
        <f>IF($C738="","",IFERROR(INDEX(dmName,MATCH($C738,dmID,0)),"Unmapped"))</f>
        <v/>
      </c>
      <c r="BV738" s="76">
        <f>IF($C738="","",IFERROR(INDEX(dmEntity,MATCH($C738,dmID,0)),"Unmapped"))</f>
        <v/>
      </c>
      <c r="BW738" s="77">
        <f>IF($C738="","",IFERROR(INDEX(dmVintage,MATCH($C738,dmID,0)),""))</f>
        <v/>
      </c>
      <c r="BX738" s="78">
        <f>IFERROR(INDEX(dmInclude,MATCH($C738,dmID,0)),0)</f>
        <v/>
      </c>
      <c r="BY738" s="78">
        <f>IF(N($I738)&gt;0,1,0)</f>
        <v/>
      </c>
      <c r="BZ738" s="76">
        <f>IF($AJ738="","Other / Leased Fee",IFERROR(INDEX(mapPTGroup,MATCH(LEFT(TRIM($AJ738),2),mapPTCode,0)),"Other / Leased Fee"))</f>
        <v/>
      </c>
      <c r="CA738" s="76">
        <f>IF(TRIM($AF738&amp;"")="","NR",LEFT(TRIM($AF738),2))</f>
        <v/>
      </c>
      <c r="CB738" s="76">
        <f>IFERROR(LOOKUP(2,1/(LEFT(TRIM($AI738&amp;""),LEN(mapRegion))=mapRegion),mapRegion),"Not Reported")</f>
        <v/>
      </c>
      <c r="CC738" s="76">
        <f>IF($BY738=0,"",IF(TRIM($W738&amp;"")="REO","REO",IF(TRIM($W738&amp;"")="FC","Foreclosure",IF(TRIM($W738&amp;"")="90+","90+ Days Delinquent",IF(TRIM($W738&amp;"")="60","60 Days Delinquent",IF(TRIM($W738&amp;"")="30","30 Days Delinquent",IF($X738="Non-Performing Matured Balloon","Non-Performing Matured Balloon",IF(OR($X738="Late Payment But Less Than 30 Days Delinquent",LEFT($X738&amp;"",20)="Payment Not Received"),"Late / In Grace (&lt;30 Days)",IF($X738="Performing Matured Balloon","Performing Matured Balloon","Current")))))))))</f>
        <v/>
      </c>
      <c r="CD738" s="78">
        <f>IF(OR($CC738="REO",$CC738="Foreclosure",$CC738="90+ Days Delinquent",$CC738="60 Days Delinquent",$CC738="30 Days Delinquent",$CC738="Non-Performing Matured Balloon"),1,0)</f>
        <v/>
      </c>
      <c r="CE738" s="76">
        <f>IF($AB738="Currently special serv","Currently Specially Serviced",IF($AB738="Returned to master serv","Previously Specially Serviced","Never Specially Serviced"))</f>
        <v/>
      </c>
      <c r="CF738" s="78">
        <f>IF($CE738="Currently Specially Serviced",1,0)</f>
        <v/>
      </c>
      <c r="CG738" s="76">
        <f>IF($AA738="Yes","Currently on Watchlist",IF($AA738="Previously","Previously on Watchlist","Never on Watchlist"))</f>
        <v/>
      </c>
      <c r="CH738" s="78">
        <f>IF($CG738="Currently on Watchlist",1,0)</f>
        <v/>
      </c>
      <c r="CI738" s="76">
        <f>IF($Z738="Full Defeasance","Fully Defeased",IF($Z738="Portion Of Loan Previously Defeased","Partially Defeased",IF($Z738="Defeasance Not Allowable","Not Defeased (Not Permitted)","Not Defeased")))</f>
        <v/>
      </c>
      <c r="CJ738" s="78">
        <f>IF($CI738="Fully Defeased",1,0)</f>
        <v/>
      </c>
      <c r="CK738" s="76">
        <f>IF($R738="IO","Full IO",IF(LEFT($R738&amp;"",7)="IO then","Partial IO","Amortizing"))</f>
        <v/>
      </c>
      <c r="CL738" s="78">
        <f>IF($CK738="Full IO",1,0)</f>
        <v/>
      </c>
      <c r="CM738" s="78">
        <f>IF($CK738="Partial IO",1,0)</f>
        <v/>
      </c>
      <c r="CN738" s="76">
        <f>IF(LEFT($F738&amp;"",10)="SPLIT_LOAN","Pari Passu Split","Standalone")</f>
        <v/>
      </c>
      <c r="CO738" s="78">
        <f>IF($CN738="Pari Passu Split",1,0)</f>
        <v/>
      </c>
      <c r="CP738" s="77">
        <f>IF(ISNUMBER($T738),YEAR($T738),"")</f>
        <v/>
      </c>
      <c r="CQ738" s="79">
        <f>IF(ISNUMBER($V738),$V738,IF(ISNUMBER($U738),$U738,""))</f>
        <v/>
      </c>
      <c r="CR738" s="77">
        <f>IF(ISNUMBER($CQ738),YEAR($CQ738),"")</f>
        <v/>
      </c>
      <c r="CS738" s="78">
        <f>IF(ISNUMBER($M738),MAX(0,$M738),IF(TRIM($M738&amp;"")="matured",0,""))</f>
        <v/>
      </c>
      <c r="CT738" s="78">
        <f>IF(AND(ISNUMBER($CS738),N($CS738)&lt;=mMatWindow),1,0)</f>
        <v/>
      </c>
      <c r="CU738" s="80">
        <f>IF(ISNUMBER($J738),$J738/100,"")</f>
        <v/>
      </c>
      <c r="CV738" s="81">
        <f>IF(ISNUMBER($AQ738),$AQ738,"")</f>
        <v/>
      </c>
      <c r="CW738" s="81">
        <f>IF(ISNUMBER($AR738),$AR738,"")</f>
        <v/>
      </c>
      <c r="CX738" s="82">
        <f>IF(ISNUMBER($AS738),$AS738/100,"")</f>
        <v/>
      </c>
      <c r="CY738" s="82">
        <f>IF(ISNUMBER($AT738),$AT738/100,"")</f>
        <v/>
      </c>
      <c r="CZ738" s="82">
        <f>IF(ISNUMBER($AU738),$AU738/100,"")</f>
        <v/>
      </c>
      <c r="DA738" s="82">
        <f>IF(ISNUMBER($AV738),$AV738/100,"")</f>
        <v/>
      </c>
      <c r="DB738" s="82">
        <f>IF(ISNUMBER($AW738),$AW738/100,"")</f>
        <v/>
      </c>
      <c r="DC738" s="82">
        <f>IF(ISNUMBER($AX738),$AX738/100,"")</f>
        <v/>
      </c>
      <c r="DD738" s="77">
        <f>IFERROR(VALUE(LEFT(TRIM($AO738&amp;""),4)),"")</f>
        <v/>
      </c>
      <c r="DE738" s="78">
        <f>IF(AND($BY738=1,$BX738=1,OR(fDeal="All Deals",$BU738=fDeal),OR(fEntity="All Entities",$BV738=fEntity),OR(fPType="All Property Types",$BZ738=fPType),OR(fDefeased="Include",$CJ738=0)),1,0)</f>
        <v/>
      </c>
      <c r="DF738" s="83">
        <f>$DE738*N($I738)</f>
        <v/>
      </c>
      <c r="DG738" s="78">
        <f>IF($DE738=1,IF(COUNTIFS($F$8:$F738,$F738,$DE$8:$DE738,1)=1,1,0),0)</f>
        <v/>
      </c>
      <c r="DH738" s="83">
        <f>IF($DG738=1,SUMIFS($DF$8:$DF$1600,$F$8:$F$1600,$F738),0)</f>
        <v/>
      </c>
      <c r="DI738" s="78">
        <f>IF($DG738=1,COUNTIFS($F$8:$F$1600,$F738,$DE$8:$DE$1600,1),0)</f>
        <v/>
      </c>
      <c r="DJ738" s="84">
        <f>IF($DG738=1,$DH738+(100000-ROW())/mTieBreak,0)</f>
        <v/>
      </c>
    </row>
    <row r="739">
      <c r="B739" s="68" t="n">
        <v>10</v>
      </c>
      <c r="C739" s="69" t="inlineStr">
        <is>
          <t>UBS18C15</t>
        </is>
      </c>
      <c r="D739" s="69" t="inlineStr">
        <is>
          <t>10.000</t>
        </is>
      </c>
      <c r="E739" s="69" t="inlineStr">
        <is>
          <t>Woodbury &amp; Cyrene</t>
        </is>
      </c>
      <c r="F739" s="69" t="inlineStr">
        <is>
          <t>LNUBS18C15-10.000</t>
        </is>
      </c>
      <c r="G739" s="70" t="n"/>
      <c r="H739" s="71" t="n">
        <v>19000000</v>
      </c>
      <c r="I739" s="71" t="n">
        <v>19000000</v>
      </c>
      <c r="J739" s="72" t="n">
        <v>5.218</v>
      </c>
      <c r="K739" s="69" t="inlineStr">
        <is>
          <t>Fixed rate</t>
        </is>
      </c>
      <c r="L739" s="68" t="n">
        <v>120</v>
      </c>
      <c r="M739" s="68" t="n">
        <v>26</v>
      </c>
      <c r="N739" s="68" t="n">
        <v>120</v>
      </c>
      <c r="O739" s="68" t="n">
        <v>120</v>
      </c>
      <c r="P739" s="68" t="n">
        <v>26</v>
      </c>
      <c r="Q739" s="68" t="n">
        <v>94</v>
      </c>
      <c r="R739" s="69" t="inlineStr">
        <is>
          <t>IO</t>
        </is>
      </c>
      <c r="S739" s="69" t="inlineStr">
        <is>
          <t>Yes</t>
        </is>
      </c>
      <c r="T739" s="73" t="n">
        <v>43405</v>
      </c>
      <c r="U739" s="73" t="n">
        <v>47063</v>
      </c>
      <c r="V739" s="73" t="n"/>
      <c r="W739" s="69" t="n"/>
      <c r="X739" s="69" t="inlineStr">
        <is>
          <t>Current</t>
        </is>
      </c>
      <c r="Y739" s="68" t="n"/>
      <c r="Z739" s="69" t="inlineStr">
        <is>
          <t>No Defeasance Occurred</t>
        </is>
      </c>
      <c r="AA739" s="69" t="inlineStr">
        <is>
          <t>Previously</t>
        </is>
      </c>
      <c r="AB739" s="69" t="inlineStr">
        <is>
          <t>Never special serv</t>
        </is>
      </c>
      <c r="AC739" s="73" t="n"/>
      <c r="AD739" s="69" t="n"/>
      <c r="AE739" s="69" t="n"/>
      <c r="AF739" s="69" t="inlineStr">
        <is>
          <t>WA</t>
        </is>
      </c>
      <c r="AG739" s="69" t="inlineStr">
        <is>
          <t>Olympia</t>
        </is>
      </c>
      <c r="AH739" s="69" t="inlineStr">
        <is>
          <t>Olympia-Lacey-Tumwater, WA</t>
        </is>
      </c>
      <c r="AI739" s="69" t="inlineStr">
        <is>
          <t>West / Pacific North</t>
        </is>
      </c>
      <c r="AJ739" s="69" t="inlineStr">
        <is>
          <t>MF</t>
        </is>
      </c>
      <c r="AK739" s="69" t="inlineStr">
        <is>
          <t>Garden</t>
        </is>
      </c>
      <c r="AL739" s="68" t="n">
        <v>2</v>
      </c>
      <c r="AM739" s="68" t="n">
        <v>82</v>
      </c>
      <c r="AN739" s="68" t="n"/>
      <c r="AO739" s="69" t="n"/>
      <c r="AP739" s="70" t="n">
        <v>2018</v>
      </c>
      <c r="AQ739" s="74" t="n">
        <v>1.45</v>
      </c>
      <c r="AR739" s="74" t="n">
        <v>1.72</v>
      </c>
      <c r="AS739" s="74" t="n">
        <v>64.2</v>
      </c>
      <c r="AT739" s="74" t="n">
        <v>64.23</v>
      </c>
      <c r="AU739" s="74" t="n">
        <v>64.2</v>
      </c>
      <c r="AV739" s="74" t="n">
        <v>7.662710632</v>
      </c>
      <c r="AW739" s="74" t="n">
        <v>9.124954895</v>
      </c>
      <c r="AX739" s="75" t="n"/>
      <c r="AY739" s="71" t="n">
        <v>29580000</v>
      </c>
      <c r="AZ739" s="71" t="n">
        <v>29580000</v>
      </c>
      <c r="BA739" s="71" t="n">
        <v>1455915.02</v>
      </c>
      <c r="BB739" s="71" t="n">
        <v>1733741.43</v>
      </c>
      <c r="BC739" s="69" t="inlineStr">
        <is>
          <t>Refinance</t>
        </is>
      </c>
      <c r="BD739" s="69" t="inlineStr">
        <is>
          <t>N</t>
        </is>
      </c>
      <c r="BE739" s="71" t="n"/>
      <c r="BF739" s="71" t="n"/>
      <c r="BG739" s="71" t="n"/>
      <c r="BH739" s="71" t="n">
        <v>0</v>
      </c>
      <c r="BI739" s="71" t="n">
        <v>0</v>
      </c>
      <c r="BJ739" s="69" t="inlineStr">
        <is>
          <t>N</t>
        </is>
      </c>
      <c r="BK739" s="69" t="n"/>
      <c r="BL739" s="75" t="n"/>
      <c r="BM739" s="73" t="n"/>
      <c r="BN739" s="69" t="inlineStr">
        <is>
          <t>Ronald D. Newman; L. Brandon Smith</t>
        </is>
      </c>
      <c r="BO739" s="69" t="inlineStr">
        <is>
          <t>GACC</t>
        </is>
      </c>
      <c r="BP739" s="69" t="inlineStr">
        <is>
          <t>Midland Loan Services</t>
        </is>
      </c>
      <c r="BQ739" s="69" t="inlineStr">
        <is>
          <t>K-Star Asset Management LLC</t>
        </is>
      </c>
      <c r="BR739" s="69" t="n"/>
      <c r="BS739" s="73" t="n">
        <v>46276</v>
      </c>
      <c r="BU739" s="76">
        <f>IF($C739="","",IFERROR(INDEX(dmName,MATCH($C739,dmID,0)),"Unmapped"))</f>
        <v/>
      </c>
      <c r="BV739" s="76">
        <f>IF($C739="","",IFERROR(INDEX(dmEntity,MATCH($C739,dmID,0)),"Unmapped"))</f>
        <v/>
      </c>
      <c r="BW739" s="77">
        <f>IF($C739="","",IFERROR(INDEX(dmVintage,MATCH($C739,dmID,0)),""))</f>
        <v/>
      </c>
      <c r="BX739" s="78">
        <f>IFERROR(INDEX(dmInclude,MATCH($C739,dmID,0)),0)</f>
        <v/>
      </c>
      <c r="BY739" s="78">
        <f>IF(N($I739)&gt;0,1,0)</f>
        <v/>
      </c>
      <c r="BZ739" s="76">
        <f>IF($AJ739="","Other / Leased Fee",IFERROR(INDEX(mapPTGroup,MATCH(LEFT(TRIM($AJ739),2),mapPTCode,0)),"Other / Leased Fee"))</f>
        <v/>
      </c>
      <c r="CA739" s="76">
        <f>IF(TRIM($AF739&amp;"")="","NR",LEFT(TRIM($AF739),2))</f>
        <v/>
      </c>
      <c r="CB739" s="76">
        <f>IFERROR(LOOKUP(2,1/(LEFT(TRIM($AI739&amp;""),LEN(mapRegion))=mapRegion),mapRegion),"Not Reported")</f>
        <v/>
      </c>
      <c r="CC739" s="76">
        <f>IF($BY739=0,"",IF(TRIM($W739&amp;"")="REO","REO",IF(TRIM($W739&amp;"")="FC","Foreclosure",IF(TRIM($W739&amp;"")="90+","90+ Days Delinquent",IF(TRIM($W739&amp;"")="60","60 Days Delinquent",IF(TRIM($W739&amp;"")="30","30 Days Delinquent",IF($X739="Non-Performing Matured Balloon","Non-Performing Matured Balloon",IF(OR($X739="Late Payment But Less Than 30 Days Delinquent",LEFT($X739&amp;"",20)="Payment Not Received"),"Late / In Grace (&lt;30 Days)",IF($X739="Performing Matured Balloon","Performing Matured Balloon","Current")))))))))</f>
        <v/>
      </c>
      <c r="CD739" s="78">
        <f>IF(OR($CC739="REO",$CC739="Foreclosure",$CC739="90+ Days Delinquent",$CC739="60 Days Delinquent",$CC739="30 Days Delinquent",$CC739="Non-Performing Matured Balloon"),1,0)</f>
        <v/>
      </c>
      <c r="CE739" s="76">
        <f>IF($AB739="Currently special serv","Currently Specially Serviced",IF($AB739="Returned to master serv","Previously Specially Serviced","Never Specially Serviced"))</f>
        <v/>
      </c>
      <c r="CF739" s="78">
        <f>IF($CE739="Currently Specially Serviced",1,0)</f>
        <v/>
      </c>
      <c r="CG739" s="76">
        <f>IF($AA739="Yes","Currently on Watchlist",IF($AA739="Previously","Previously on Watchlist","Never on Watchlist"))</f>
        <v/>
      </c>
      <c r="CH739" s="78">
        <f>IF($CG739="Currently on Watchlist",1,0)</f>
        <v/>
      </c>
      <c r="CI739" s="76">
        <f>IF($Z739="Full Defeasance","Fully Defeased",IF($Z739="Portion Of Loan Previously Defeased","Partially Defeased",IF($Z739="Defeasance Not Allowable","Not Defeased (Not Permitted)","Not Defeased")))</f>
        <v/>
      </c>
      <c r="CJ739" s="78">
        <f>IF($CI739="Fully Defeased",1,0)</f>
        <v/>
      </c>
      <c r="CK739" s="76">
        <f>IF($R739="IO","Full IO",IF(LEFT($R739&amp;"",7)="IO then","Partial IO","Amortizing"))</f>
        <v/>
      </c>
      <c r="CL739" s="78">
        <f>IF($CK739="Full IO",1,0)</f>
        <v/>
      </c>
      <c r="CM739" s="78">
        <f>IF($CK739="Partial IO",1,0)</f>
        <v/>
      </c>
      <c r="CN739" s="76">
        <f>IF(LEFT($F739&amp;"",10)="SPLIT_LOAN","Pari Passu Split","Standalone")</f>
        <v/>
      </c>
      <c r="CO739" s="78">
        <f>IF($CN739="Pari Passu Split",1,0)</f>
        <v/>
      </c>
      <c r="CP739" s="77">
        <f>IF(ISNUMBER($T739),YEAR($T739),"")</f>
        <v/>
      </c>
      <c r="CQ739" s="79">
        <f>IF(ISNUMBER($V739),$V739,IF(ISNUMBER($U739),$U739,""))</f>
        <v/>
      </c>
      <c r="CR739" s="77">
        <f>IF(ISNUMBER($CQ739),YEAR($CQ739),"")</f>
        <v/>
      </c>
      <c r="CS739" s="78">
        <f>IF(ISNUMBER($M739),MAX(0,$M739),IF(TRIM($M739&amp;"")="matured",0,""))</f>
        <v/>
      </c>
      <c r="CT739" s="78">
        <f>IF(AND(ISNUMBER($CS739),N($CS739)&lt;=mMatWindow),1,0)</f>
        <v/>
      </c>
      <c r="CU739" s="80">
        <f>IF(ISNUMBER($J739),$J739/100,"")</f>
        <v/>
      </c>
      <c r="CV739" s="81">
        <f>IF(ISNUMBER($AQ739),$AQ739,"")</f>
        <v/>
      </c>
      <c r="CW739" s="81">
        <f>IF(ISNUMBER($AR739),$AR739,"")</f>
        <v/>
      </c>
      <c r="CX739" s="82">
        <f>IF(ISNUMBER($AS739),$AS739/100,"")</f>
        <v/>
      </c>
      <c r="CY739" s="82">
        <f>IF(ISNUMBER($AT739),$AT739/100,"")</f>
        <v/>
      </c>
      <c r="CZ739" s="82">
        <f>IF(ISNUMBER($AU739),$AU739/100,"")</f>
        <v/>
      </c>
      <c r="DA739" s="82">
        <f>IF(ISNUMBER($AV739),$AV739/100,"")</f>
        <v/>
      </c>
      <c r="DB739" s="82">
        <f>IF(ISNUMBER($AW739),$AW739/100,"")</f>
        <v/>
      </c>
      <c r="DC739" s="82">
        <f>IF(ISNUMBER($AX739),$AX739/100,"")</f>
        <v/>
      </c>
      <c r="DD739" s="77">
        <f>IFERROR(VALUE(LEFT(TRIM($AO739&amp;""),4)),"")</f>
        <v/>
      </c>
      <c r="DE739" s="78">
        <f>IF(AND($BY739=1,$BX739=1,OR(fDeal="All Deals",$BU739=fDeal),OR(fEntity="All Entities",$BV739=fEntity),OR(fPType="All Property Types",$BZ739=fPType),OR(fDefeased="Include",$CJ739=0)),1,0)</f>
        <v/>
      </c>
      <c r="DF739" s="83">
        <f>$DE739*N($I739)</f>
        <v/>
      </c>
      <c r="DG739" s="78">
        <f>IF($DE739=1,IF(COUNTIFS($F$8:$F739,$F739,$DE$8:$DE739,1)=1,1,0),0)</f>
        <v/>
      </c>
      <c r="DH739" s="83">
        <f>IF($DG739=1,SUMIFS($DF$8:$DF$1600,$F$8:$F$1600,$F739),0)</f>
        <v/>
      </c>
      <c r="DI739" s="78">
        <f>IF($DG739=1,COUNTIFS($F$8:$F$1600,$F739,$DE$8:$DE$1600,1),0)</f>
        <v/>
      </c>
      <c r="DJ739" s="84">
        <f>IF($DG739=1,$DH739+(100000-ROW())/mTieBreak,0)</f>
        <v/>
      </c>
    </row>
    <row r="740">
      <c r="B740" s="68" t="n">
        <v>11</v>
      </c>
      <c r="C740" s="69" t="inlineStr">
        <is>
          <t>UBS18C15</t>
        </is>
      </c>
      <c r="D740" s="69" t="inlineStr">
        <is>
          <t>11.000</t>
        </is>
      </c>
      <c r="E740" s="69" t="inlineStr">
        <is>
          <t>16300 Roscoe Blvd</t>
        </is>
      </c>
      <c r="F740" s="69" t="inlineStr">
        <is>
          <t>SPLIT_LOAN_01465</t>
        </is>
      </c>
      <c r="G740" s="70" t="n">
        <v>1465</v>
      </c>
      <c r="H740" s="71" t="n">
        <v>18000000</v>
      </c>
      <c r="I740" s="71" t="n">
        <v>15731172.799992</v>
      </c>
      <c r="J740" s="72" t="n">
        <v>5.1685</v>
      </c>
      <c r="K740" s="69" t="inlineStr">
        <is>
          <t>Fixed rate</t>
        </is>
      </c>
      <c r="L740" s="68" t="n">
        <v>120</v>
      </c>
      <c r="M740" s="68" t="n">
        <v>27</v>
      </c>
      <c r="N740" s="68" t="n">
        <v>360</v>
      </c>
      <c r="O740" s="68" t="n"/>
      <c r="P740" s="68" t="n"/>
      <c r="Q740" s="68" t="n">
        <v>93</v>
      </c>
      <c r="R740" s="69" t="n"/>
      <c r="S740" s="69" t="inlineStr">
        <is>
          <t>No</t>
        </is>
      </c>
      <c r="T740" s="73" t="n">
        <v>43435</v>
      </c>
      <c r="U740" s="73" t="n">
        <v>47093</v>
      </c>
      <c r="V740" s="73" t="n"/>
      <c r="W740" s="69" t="n"/>
      <c r="X740" s="69" t="inlineStr">
        <is>
          <t>Current</t>
        </is>
      </c>
      <c r="Y740" s="68" t="n"/>
      <c r="Z740" s="69" t="inlineStr">
        <is>
          <t>Defeasance Not Allowable</t>
        </is>
      </c>
      <c r="AA740" s="69" t="inlineStr">
        <is>
          <t>Previously</t>
        </is>
      </c>
      <c r="AB740" s="69" t="inlineStr">
        <is>
          <t>Never special serv</t>
        </is>
      </c>
      <c r="AC740" s="73" t="n"/>
      <c r="AD740" s="69" t="n"/>
      <c r="AE740" s="69" t="n"/>
      <c r="AF740" s="69" t="inlineStr">
        <is>
          <t>CA</t>
        </is>
      </c>
      <c r="AG740" s="69" t="inlineStr">
        <is>
          <t>Van Nuys</t>
        </is>
      </c>
      <c r="AH740" s="69" t="inlineStr">
        <is>
          <t>Los Angeles-Long Beach-Anaheim, CA</t>
        </is>
      </c>
      <c r="AI740" s="69" t="inlineStr">
        <is>
          <t>West / Pacific South</t>
        </is>
      </c>
      <c r="AJ740" s="69" t="inlineStr">
        <is>
          <t>OF</t>
        </is>
      </c>
      <c r="AK740" s="69" t="inlineStr">
        <is>
          <t>Suburban</t>
        </is>
      </c>
      <c r="AL740" s="68" t="n">
        <v>1</v>
      </c>
      <c r="AM740" s="68" t="n"/>
      <c r="AN740" s="68" t="n">
        <v>154033</v>
      </c>
      <c r="AO740" s="69" t="inlineStr">
        <is>
          <t>1956 &amp; 1985</t>
        </is>
      </c>
      <c r="AP740" s="70" t="n">
        <v>1985</v>
      </c>
      <c r="AQ740" s="74" t="n">
        <v>1.55</v>
      </c>
      <c r="AR740" s="74" t="n">
        <v>1.43</v>
      </c>
      <c r="AS740" s="74" t="n">
        <v>75</v>
      </c>
      <c r="AT740" s="74" t="n">
        <v>65.55</v>
      </c>
      <c r="AU740" s="74" t="n">
        <v>62</v>
      </c>
      <c r="AV740" s="74" t="n">
        <v>10.161344</v>
      </c>
      <c r="AW740" s="74" t="n">
        <v>9.938464774</v>
      </c>
      <c r="AX740" s="75" t="n">
        <v>94</v>
      </c>
      <c r="AY740" s="71" t="n">
        <v>35000000</v>
      </c>
      <c r="AZ740" s="71" t="n">
        <v>35000000</v>
      </c>
      <c r="BA740" s="71" t="n">
        <v>2667352.8</v>
      </c>
      <c r="BB740" s="71" t="n">
        <v>2462468.84</v>
      </c>
      <c r="BC740" s="69" t="inlineStr">
        <is>
          <t>Recapitalization</t>
        </is>
      </c>
      <c r="BD740" s="69" t="inlineStr">
        <is>
          <t>N</t>
        </is>
      </c>
      <c r="BE740" s="71" t="n">
        <v>7210120.87</v>
      </c>
      <c r="BF740" s="71" t="n"/>
      <c r="BG740" s="71" t="n"/>
      <c r="BH740" s="71" t="n">
        <v>0</v>
      </c>
      <c r="BI740" s="71" t="n">
        <v>0</v>
      </c>
      <c r="BJ740" s="69" t="inlineStr">
        <is>
          <t>N</t>
        </is>
      </c>
      <c r="BK740" s="69" t="inlineStr">
        <is>
          <t>150 - MGA Entertainment Inc. a California corporation</t>
        </is>
      </c>
      <c r="BL740" s="75" t="n">
        <v>14.69</v>
      </c>
      <c r="BM740" s="73" t="n">
        <v>48944</v>
      </c>
      <c r="BN740" s="69" t="inlineStr">
        <is>
          <t>Isaac E. Larian</t>
        </is>
      </c>
      <c r="BO740" s="69" t="inlineStr">
        <is>
          <t>UBS</t>
        </is>
      </c>
      <c r="BP740" s="69" t="inlineStr">
        <is>
          <t>Midland Loan Services</t>
        </is>
      </c>
      <c r="BQ740" s="69" t="inlineStr">
        <is>
          <t>K-Star Asset Management LLC</t>
        </is>
      </c>
      <c r="BR740" s="69" t="n"/>
      <c r="BS740" s="73" t="n">
        <v>46276</v>
      </c>
      <c r="BU740" s="76">
        <f>IF($C740="","",IFERROR(INDEX(dmName,MATCH($C740,dmID,0)),"Unmapped"))</f>
        <v/>
      </c>
      <c r="BV740" s="76">
        <f>IF($C740="","",IFERROR(INDEX(dmEntity,MATCH($C740,dmID,0)),"Unmapped"))</f>
        <v/>
      </c>
      <c r="BW740" s="77">
        <f>IF($C740="","",IFERROR(INDEX(dmVintage,MATCH($C740,dmID,0)),""))</f>
        <v/>
      </c>
      <c r="BX740" s="78">
        <f>IFERROR(INDEX(dmInclude,MATCH($C740,dmID,0)),0)</f>
        <v/>
      </c>
      <c r="BY740" s="78">
        <f>IF(N($I740)&gt;0,1,0)</f>
        <v/>
      </c>
      <c r="BZ740" s="76">
        <f>IF($AJ740="","Other / Leased Fee",IFERROR(INDEX(mapPTGroup,MATCH(LEFT(TRIM($AJ740),2),mapPTCode,0)),"Other / Leased Fee"))</f>
        <v/>
      </c>
      <c r="CA740" s="76">
        <f>IF(TRIM($AF740&amp;"")="","NR",LEFT(TRIM($AF740),2))</f>
        <v/>
      </c>
      <c r="CB740" s="76">
        <f>IFERROR(LOOKUP(2,1/(LEFT(TRIM($AI740&amp;""),LEN(mapRegion))=mapRegion),mapRegion),"Not Reported")</f>
        <v/>
      </c>
      <c r="CC740" s="76">
        <f>IF($BY740=0,"",IF(TRIM($W740&amp;"")="REO","REO",IF(TRIM($W740&amp;"")="FC","Foreclosure",IF(TRIM($W740&amp;"")="90+","90+ Days Delinquent",IF(TRIM($W740&amp;"")="60","60 Days Delinquent",IF(TRIM($W740&amp;"")="30","30 Days Delinquent",IF($X740="Non-Performing Matured Balloon","Non-Performing Matured Balloon",IF(OR($X740="Late Payment But Less Than 30 Days Delinquent",LEFT($X740&amp;"",20)="Payment Not Received"),"Late / In Grace (&lt;30 Days)",IF($X740="Performing Matured Balloon","Performing Matured Balloon","Current")))))))))</f>
        <v/>
      </c>
      <c r="CD740" s="78">
        <f>IF(OR($CC740="REO",$CC740="Foreclosure",$CC740="90+ Days Delinquent",$CC740="60 Days Delinquent",$CC740="30 Days Delinquent",$CC740="Non-Performing Matured Balloon"),1,0)</f>
        <v/>
      </c>
      <c r="CE740" s="76">
        <f>IF($AB740="Currently special serv","Currently Specially Serviced",IF($AB740="Returned to master serv","Previously Specially Serviced","Never Specially Serviced"))</f>
        <v/>
      </c>
      <c r="CF740" s="78">
        <f>IF($CE740="Currently Specially Serviced",1,0)</f>
        <v/>
      </c>
      <c r="CG740" s="76">
        <f>IF($AA740="Yes","Currently on Watchlist",IF($AA740="Previously","Previously on Watchlist","Never on Watchlist"))</f>
        <v/>
      </c>
      <c r="CH740" s="78">
        <f>IF($CG740="Currently on Watchlist",1,0)</f>
        <v/>
      </c>
      <c r="CI740" s="76">
        <f>IF($Z740="Full Defeasance","Fully Defeased",IF($Z740="Portion Of Loan Previously Defeased","Partially Defeased",IF($Z740="Defeasance Not Allowable","Not Defeased (Not Permitted)","Not Defeased")))</f>
        <v/>
      </c>
      <c r="CJ740" s="78">
        <f>IF($CI740="Fully Defeased",1,0)</f>
        <v/>
      </c>
      <c r="CK740" s="76">
        <f>IF($R740="IO","Full IO",IF(LEFT($R740&amp;"",7)="IO then","Partial IO","Amortizing"))</f>
        <v/>
      </c>
      <c r="CL740" s="78">
        <f>IF($CK740="Full IO",1,0)</f>
        <v/>
      </c>
      <c r="CM740" s="78">
        <f>IF($CK740="Partial IO",1,0)</f>
        <v/>
      </c>
      <c r="CN740" s="76">
        <f>IF(LEFT($F740&amp;"",10)="SPLIT_LOAN","Pari Passu Split","Standalone")</f>
        <v/>
      </c>
      <c r="CO740" s="78">
        <f>IF($CN740="Pari Passu Split",1,0)</f>
        <v/>
      </c>
      <c r="CP740" s="77">
        <f>IF(ISNUMBER($T740),YEAR($T740),"")</f>
        <v/>
      </c>
      <c r="CQ740" s="79">
        <f>IF(ISNUMBER($V740),$V740,IF(ISNUMBER($U740),$U740,""))</f>
        <v/>
      </c>
      <c r="CR740" s="77">
        <f>IF(ISNUMBER($CQ740),YEAR($CQ740),"")</f>
        <v/>
      </c>
      <c r="CS740" s="78">
        <f>IF(ISNUMBER($M740),MAX(0,$M740),IF(TRIM($M740&amp;"")="matured",0,""))</f>
        <v/>
      </c>
      <c r="CT740" s="78">
        <f>IF(AND(ISNUMBER($CS740),N($CS740)&lt;=mMatWindow),1,0)</f>
        <v/>
      </c>
      <c r="CU740" s="80">
        <f>IF(ISNUMBER($J740),$J740/100,"")</f>
        <v/>
      </c>
      <c r="CV740" s="81">
        <f>IF(ISNUMBER($AQ740),$AQ740,"")</f>
        <v/>
      </c>
      <c r="CW740" s="81">
        <f>IF(ISNUMBER($AR740),$AR740,"")</f>
        <v/>
      </c>
      <c r="CX740" s="82">
        <f>IF(ISNUMBER($AS740),$AS740/100,"")</f>
        <v/>
      </c>
      <c r="CY740" s="82">
        <f>IF(ISNUMBER($AT740),$AT740/100,"")</f>
        <v/>
      </c>
      <c r="CZ740" s="82">
        <f>IF(ISNUMBER($AU740),$AU740/100,"")</f>
        <v/>
      </c>
      <c r="DA740" s="82">
        <f>IF(ISNUMBER($AV740),$AV740/100,"")</f>
        <v/>
      </c>
      <c r="DB740" s="82">
        <f>IF(ISNUMBER($AW740),$AW740/100,"")</f>
        <v/>
      </c>
      <c r="DC740" s="82">
        <f>IF(ISNUMBER($AX740),$AX740/100,"")</f>
        <v/>
      </c>
      <c r="DD740" s="77">
        <f>IFERROR(VALUE(LEFT(TRIM($AO740&amp;""),4)),"")</f>
        <v/>
      </c>
      <c r="DE740" s="78">
        <f>IF(AND($BY740=1,$BX740=1,OR(fDeal="All Deals",$BU740=fDeal),OR(fEntity="All Entities",$BV740=fEntity),OR(fPType="All Property Types",$BZ740=fPType),OR(fDefeased="Include",$CJ740=0)),1,0)</f>
        <v/>
      </c>
      <c r="DF740" s="83">
        <f>$DE740*N($I740)</f>
        <v/>
      </c>
      <c r="DG740" s="78">
        <f>IF($DE740=1,IF(COUNTIFS($F$8:$F740,$F740,$DE$8:$DE740,1)=1,1,0),0)</f>
        <v/>
      </c>
      <c r="DH740" s="83">
        <f>IF($DG740=1,SUMIFS($DF$8:$DF$1600,$F$8:$F$1600,$F740),0)</f>
        <v/>
      </c>
      <c r="DI740" s="78">
        <f>IF($DG740=1,COUNTIFS($F$8:$F$1600,$F740,$DE$8:$DE$1600,1),0)</f>
        <v/>
      </c>
      <c r="DJ740" s="84">
        <f>IF($DG740=1,$DH740+(100000-ROW())/mTieBreak,0)</f>
        <v/>
      </c>
    </row>
    <row r="741">
      <c r="B741" s="68" t="n">
        <v>12</v>
      </c>
      <c r="C741" s="69" t="inlineStr">
        <is>
          <t>UBS18C15</t>
        </is>
      </c>
      <c r="D741" s="69" t="inlineStr">
        <is>
          <t>12.000</t>
        </is>
      </c>
      <c r="E741" s="69" t="inlineStr">
        <is>
          <t>Warren Hospitality Portfolio</t>
        </is>
      </c>
      <c r="F741" s="69" t="inlineStr">
        <is>
          <t>LNUBS18C15-12.000</t>
        </is>
      </c>
      <c r="G741" s="70" t="n"/>
      <c r="H741" s="71" t="n">
        <v>17300000</v>
      </c>
      <c r="I741" s="71" t="n">
        <v>14362995.4699979</v>
      </c>
      <c r="J741" s="72" t="n">
        <v>5.646</v>
      </c>
      <c r="K741" s="69" t="inlineStr">
        <is>
          <t>Fixed rate</t>
        </is>
      </c>
      <c r="L741" s="68" t="n">
        <v>120</v>
      </c>
      <c r="M741" s="68" t="n">
        <v>27</v>
      </c>
      <c r="N741" s="68" t="n">
        <v>300</v>
      </c>
      <c r="O741" s="68" t="n"/>
      <c r="P741" s="68" t="n"/>
      <c r="Q741" s="68" t="n">
        <v>93</v>
      </c>
      <c r="R741" s="69" t="n"/>
      <c r="S741" s="69" t="inlineStr">
        <is>
          <t>No</t>
        </is>
      </c>
      <c r="T741" s="73" t="n">
        <v>43435</v>
      </c>
      <c r="U741" s="73" t="n">
        <v>47093</v>
      </c>
      <c r="V741" s="73" t="n"/>
      <c r="W741" s="69" t="n"/>
      <c r="X741" s="69" t="inlineStr">
        <is>
          <t>Current</t>
        </is>
      </c>
      <c r="Y741" s="68" t="n"/>
      <c r="Z741" s="69" t="inlineStr">
        <is>
          <t>Defeasance Not Allowable</t>
        </is>
      </c>
      <c r="AA741" s="69" t="inlineStr">
        <is>
          <t>Yes</t>
        </is>
      </c>
      <c r="AB741" s="69" t="inlineStr">
        <is>
          <t>Never special serv</t>
        </is>
      </c>
      <c r="AC741" s="73" t="n"/>
      <c r="AD741" s="69" t="n"/>
      <c r="AE741" s="69" t="n"/>
      <c r="AF741" s="69" t="inlineStr">
        <is>
          <t>MI</t>
        </is>
      </c>
      <c r="AG741" s="69" t="inlineStr">
        <is>
          <t>Warren</t>
        </is>
      </c>
      <c r="AH741" s="69" t="inlineStr">
        <is>
          <t>Detroit-Warren-Dearborn, MI</t>
        </is>
      </c>
      <c r="AI741" s="69" t="inlineStr">
        <is>
          <t>Midwest / Central East</t>
        </is>
      </c>
      <c r="AJ741" s="69" t="inlineStr">
        <is>
          <t>HT</t>
        </is>
      </c>
      <c r="AK741" s="69" t="n"/>
      <c r="AL741" s="68" t="n">
        <v>2</v>
      </c>
      <c r="AM741" s="68" t="n">
        <v>250</v>
      </c>
      <c r="AN741" s="68" t="n"/>
      <c r="AO741" s="69" t="n"/>
      <c r="AP741" s="70" t="n">
        <v>2016</v>
      </c>
      <c r="AQ741" s="74" t="n">
        <v>1.84</v>
      </c>
      <c r="AR741" s="74" t="n">
        <v>0.52</v>
      </c>
      <c r="AS741" s="74" t="n">
        <v>60.3</v>
      </c>
      <c r="AT741" s="74" t="n">
        <v>50.05</v>
      </c>
      <c r="AU741" s="74" t="n">
        <v>46.1</v>
      </c>
      <c r="AV741" s="74" t="n">
        <v>13.722971098</v>
      </c>
      <c r="AW741" s="74" t="n">
        <v>4.690911665</v>
      </c>
      <c r="AX741" s="75" t="n">
        <v>51</v>
      </c>
      <c r="AY741" s="71" t="n">
        <v>28700000</v>
      </c>
      <c r="AZ741" s="71" t="n">
        <v>28700000</v>
      </c>
      <c r="BA741" s="71" t="n">
        <v>2374074</v>
      </c>
      <c r="BB741" s="71" t="n">
        <v>673755.4300000001</v>
      </c>
      <c r="BC741" s="69" t="inlineStr">
        <is>
          <t>Refinance</t>
        </is>
      </c>
      <c r="BD741" s="69" t="inlineStr">
        <is>
          <t>N</t>
        </is>
      </c>
      <c r="BE741" s="71" t="n"/>
      <c r="BF741" s="71" t="n"/>
      <c r="BG741" s="71" t="n"/>
      <c r="BH741" s="71" t="n">
        <v>0</v>
      </c>
      <c r="BI741" s="71" t="n">
        <v>0</v>
      </c>
      <c r="BJ741" s="69" t="inlineStr">
        <is>
          <t>N</t>
        </is>
      </c>
      <c r="BK741" s="69" t="n"/>
      <c r="BL741" s="75" t="n"/>
      <c r="BM741" s="73" t="n"/>
      <c r="BN741" s="69" t="inlineStr">
        <is>
          <t>Ronnie Boji; Nabhan Mekani; Hani Mio</t>
        </is>
      </c>
      <c r="BO741" s="69" t="inlineStr">
        <is>
          <t>UBS</t>
        </is>
      </c>
      <c r="BP741" s="69" t="inlineStr">
        <is>
          <t>Midland Loan Services</t>
        </is>
      </c>
      <c r="BQ741" s="69" t="inlineStr">
        <is>
          <t>K-Star Asset Management LLC</t>
        </is>
      </c>
      <c r="BR741" s="69" t="n"/>
      <c r="BS741" s="73" t="n">
        <v>46276</v>
      </c>
      <c r="BU741" s="76">
        <f>IF($C741="","",IFERROR(INDEX(dmName,MATCH($C741,dmID,0)),"Unmapped"))</f>
        <v/>
      </c>
      <c r="BV741" s="76">
        <f>IF($C741="","",IFERROR(INDEX(dmEntity,MATCH($C741,dmID,0)),"Unmapped"))</f>
        <v/>
      </c>
      <c r="BW741" s="77">
        <f>IF($C741="","",IFERROR(INDEX(dmVintage,MATCH($C741,dmID,0)),""))</f>
        <v/>
      </c>
      <c r="BX741" s="78">
        <f>IFERROR(INDEX(dmInclude,MATCH($C741,dmID,0)),0)</f>
        <v/>
      </c>
      <c r="BY741" s="78">
        <f>IF(N($I741)&gt;0,1,0)</f>
        <v/>
      </c>
      <c r="BZ741" s="76">
        <f>IF($AJ741="","Other / Leased Fee",IFERROR(INDEX(mapPTGroup,MATCH(LEFT(TRIM($AJ741),2),mapPTCode,0)),"Other / Leased Fee"))</f>
        <v/>
      </c>
      <c r="CA741" s="76">
        <f>IF(TRIM($AF741&amp;"")="","NR",LEFT(TRIM($AF741),2))</f>
        <v/>
      </c>
      <c r="CB741" s="76">
        <f>IFERROR(LOOKUP(2,1/(LEFT(TRIM($AI741&amp;""),LEN(mapRegion))=mapRegion),mapRegion),"Not Reported")</f>
        <v/>
      </c>
      <c r="CC741" s="76">
        <f>IF($BY741=0,"",IF(TRIM($W741&amp;"")="REO","REO",IF(TRIM($W741&amp;"")="FC","Foreclosure",IF(TRIM($W741&amp;"")="90+","90+ Days Delinquent",IF(TRIM($W741&amp;"")="60","60 Days Delinquent",IF(TRIM($W741&amp;"")="30","30 Days Delinquent",IF($X741="Non-Performing Matured Balloon","Non-Performing Matured Balloon",IF(OR($X741="Late Payment But Less Than 30 Days Delinquent",LEFT($X741&amp;"",20)="Payment Not Received"),"Late / In Grace (&lt;30 Days)",IF($X741="Performing Matured Balloon","Performing Matured Balloon","Current")))))))))</f>
        <v/>
      </c>
      <c r="CD741" s="78">
        <f>IF(OR($CC741="REO",$CC741="Foreclosure",$CC741="90+ Days Delinquent",$CC741="60 Days Delinquent",$CC741="30 Days Delinquent",$CC741="Non-Performing Matured Balloon"),1,0)</f>
        <v/>
      </c>
      <c r="CE741" s="76">
        <f>IF($AB741="Currently special serv","Currently Specially Serviced",IF($AB741="Returned to master serv","Previously Specially Serviced","Never Specially Serviced"))</f>
        <v/>
      </c>
      <c r="CF741" s="78">
        <f>IF($CE741="Currently Specially Serviced",1,0)</f>
        <v/>
      </c>
      <c r="CG741" s="76">
        <f>IF($AA741="Yes","Currently on Watchlist",IF($AA741="Previously","Previously on Watchlist","Never on Watchlist"))</f>
        <v/>
      </c>
      <c r="CH741" s="78">
        <f>IF($CG741="Currently on Watchlist",1,0)</f>
        <v/>
      </c>
      <c r="CI741" s="76">
        <f>IF($Z741="Full Defeasance","Fully Defeased",IF($Z741="Portion Of Loan Previously Defeased","Partially Defeased",IF($Z741="Defeasance Not Allowable","Not Defeased (Not Permitted)","Not Defeased")))</f>
        <v/>
      </c>
      <c r="CJ741" s="78">
        <f>IF($CI741="Fully Defeased",1,0)</f>
        <v/>
      </c>
      <c r="CK741" s="76">
        <f>IF($R741="IO","Full IO",IF(LEFT($R741&amp;"",7)="IO then","Partial IO","Amortizing"))</f>
        <v/>
      </c>
      <c r="CL741" s="78">
        <f>IF($CK741="Full IO",1,0)</f>
        <v/>
      </c>
      <c r="CM741" s="78">
        <f>IF($CK741="Partial IO",1,0)</f>
        <v/>
      </c>
      <c r="CN741" s="76">
        <f>IF(LEFT($F741&amp;"",10)="SPLIT_LOAN","Pari Passu Split","Standalone")</f>
        <v/>
      </c>
      <c r="CO741" s="78">
        <f>IF($CN741="Pari Passu Split",1,0)</f>
        <v/>
      </c>
      <c r="CP741" s="77">
        <f>IF(ISNUMBER($T741),YEAR($T741),"")</f>
        <v/>
      </c>
      <c r="CQ741" s="79">
        <f>IF(ISNUMBER($V741),$V741,IF(ISNUMBER($U741),$U741,""))</f>
        <v/>
      </c>
      <c r="CR741" s="77">
        <f>IF(ISNUMBER($CQ741),YEAR($CQ741),"")</f>
        <v/>
      </c>
      <c r="CS741" s="78">
        <f>IF(ISNUMBER($M741),MAX(0,$M741),IF(TRIM($M741&amp;"")="matured",0,""))</f>
        <v/>
      </c>
      <c r="CT741" s="78">
        <f>IF(AND(ISNUMBER($CS741),N($CS741)&lt;=mMatWindow),1,0)</f>
        <v/>
      </c>
      <c r="CU741" s="80">
        <f>IF(ISNUMBER($J741),$J741/100,"")</f>
        <v/>
      </c>
      <c r="CV741" s="81">
        <f>IF(ISNUMBER($AQ741),$AQ741,"")</f>
        <v/>
      </c>
      <c r="CW741" s="81">
        <f>IF(ISNUMBER($AR741),$AR741,"")</f>
        <v/>
      </c>
      <c r="CX741" s="82">
        <f>IF(ISNUMBER($AS741),$AS741/100,"")</f>
        <v/>
      </c>
      <c r="CY741" s="82">
        <f>IF(ISNUMBER($AT741),$AT741/100,"")</f>
        <v/>
      </c>
      <c r="CZ741" s="82">
        <f>IF(ISNUMBER($AU741),$AU741/100,"")</f>
        <v/>
      </c>
      <c r="DA741" s="82">
        <f>IF(ISNUMBER($AV741),$AV741/100,"")</f>
        <v/>
      </c>
      <c r="DB741" s="82">
        <f>IF(ISNUMBER($AW741),$AW741/100,"")</f>
        <v/>
      </c>
      <c r="DC741" s="82">
        <f>IF(ISNUMBER($AX741),$AX741/100,"")</f>
        <v/>
      </c>
      <c r="DD741" s="77">
        <f>IFERROR(VALUE(LEFT(TRIM($AO741&amp;""),4)),"")</f>
        <v/>
      </c>
      <c r="DE741" s="78">
        <f>IF(AND($BY741=1,$BX741=1,OR(fDeal="All Deals",$BU741=fDeal),OR(fEntity="All Entities",$BV741=fEntity),OR(fPType="All Property Types",$BZ741=fPType),OR(fDefeased="Include",$CJ741=0)),1,0)</f>
        <v/>
      </c>
      <c r="DF741" s="83">
        <f>$DE741*N($I741)</f>
        <v/>
      </c>
      <c r="DG741" s="78">
        <f>IF($DE741=1,IF(COUNTIFS($F$8:$F741,$F741,$DE$8:$DE741,1)=1,1,0),0)</f>
        <v/>
      </c>
      <c r="DH741" s="83">
        <f>IF($DG741=1,SUMIFS($DF$8:$DF$1600,$F$8:$F$1600,$F741),0)</f>
        <v/>
      </c>
      <c r="DI741" s="78">
        <f>IF($DG741=1,COUNTIFS($F$8:$F$1600,$F741,$DE$8:$DE$1600,1),0)</f>
        <v/>
      </c>
      <c r="DJ741" s="84">
        <f>IF($DG741=1,$DH741+(100000-ROW())/mTieBreak,0)</f>
        <v/>
      </c>
    </row>
    <row r="742">
      <c r="B742" s="68" t="n">
        <v>13</v>
      </c>
      <c r="C742" s="69" t="inlineStr">
        <is>
          <t>UBS18C15</t>
        </is>
      </c>
      <c r="D742" s="69" t="inlineStr">
        <is>
          <t>13.000</t>
        </is>
      </c>
      <c r="E742" s="69" t="inlineStr">
        <is>
          <t>Best Western Premier Tides Hotel - Orange Beach</t>
        </is>
      </c>
      <c r="F742" s="69" t="inlineStr">
        <is>
          <t>LNUBS18C15-13.000</t>
        </is>
      </c>
      <c r="G742" s="70" t="n"/>
      <c r="H742" s="71" t="n">
        <v>17000000</v>
      </c>
      <c r="I742" s="71" t="n">
        <v>15013555.040007</v>
      </c>
      <c r="J742" s="72" t="n">
        <v>5.698</v>
      </c>
      <c r="K742" s="69" t="inlineStr">
        <is>
          <t>Fixed rate</t>
        </is>
      </c>
      <c r="L742" s="68" t="n">
        <v>120</v>
      </c>
      <c r="M742" s="68" t="n">
        <v>26</v>
      </c>
      <c r="N742" s="68" t="n">
        <v>360</v>
      </c>
      <c r="O742" s="68" t="n"/>
      <c r="P742" s="68" t="n"/>
      <c r="Q742" s="68" t="n">
        <v>94</v>
      </c>
      <c r="R742" s="69" t="n"/>
      <c r="S742" s="69" t="inlineStr">
        <is>
          <t>No</t>
        </is>
      </c>
      <c r="T742" s="73" t="n">
        <v>43405</v>
      </c>
      <c r="U742" s="73" t="n">
        <v>47063</v>
      </c>
      <c r="V742" s="73" t="n"/>
      <c r="W742" s="69" t="n"/>
      <c r="X742" s="69" t="inlineStr">
        <is>
          <t>Current</t>
        </is>
      </c>
      <c r="Y742" s="68" t="n"/>
      <c r="Z742" s="69" t="inlineStr">
        <is>
          <t>Defeasance Not Allowable</t>
        </is>
      </c>
      <c r="AA742" s="69" t="inlineStr">
        <is>
          <t>Previously</t>
        </is>
      </c>
      <c r="AB742" s="69" t="inlineStr">
        <is>
          <t>Never special serv</t>
        </is>
      </c>
      <c r="AC742" s="73" t="n"/>
      <c r="AD742" s="69" t="n"/>
      <c r="AE742" s="69" t="n"/>
      <c r="AF742" s="69" t="inlineStr">
        <is>
          <t>AL</t>
        </is>
      </c>
      <c r="AG742" s="69" t="inlineStr">
        <is>
          <t>Orange Beach</t>
        </is>
      </c>
      <c r="AH742" s="69" t="inlineStr">
        <is>
          <t>Daphne-Fairhope-Foley, AL</t>
        </is>
      </c>
      <c r="AI742" s="69" t="inlineStr">
        <is>
          <t>South / Central East</t>
        </is>
      </c>
      <c r="AJ742" s="69" t="inlineStr">
        <is>
          <t>HT</t>
        </is>
      </c>
      <c r="AK742" s="69" t="inlineStr">
        <is>
          <t>Limited Service</t>
        </is>
      </c>
      <c r="AL742" s="68" t="n">
        <v>1</v>
      </c>
      <c r="AM742" s="68" t="n">
        <v>86</v>
      </c>
      <c r="AN742" s="68" t="n"/>
      <c r="AO742" s="69" t="inlineStr">
        <is>
          <t>2016</t>
        </is>
      </c>
      <c r="AP742" s="70" t="n">
        <v>2016</v>
      </c>
      <c r="AQ742" s="74" t="n">
        <v>1.66</v>
      </c>
      <c r="AR742" s="74" t="n">
        <v>1.65</v>
      </c>
      <c r="AS742" s="74" t="n">
        <v>66.3</v>
      </c>
      <c r="AT742" s="74" t="n">
        <v>58.65</v>
      </c>
      <c r="AU742" s="74" t="n">
        <v>55.8</v>
      </c>
      <c r="AV742" s="74" t="n">
        <v>11.542870059</v>
      </c>
      <c r="AW742" s="74" t="n">
        <v>11.761162132</v>
      </c>
      <c r="AX742" s="75" t="n">
        <v>76</v>
      </c>
      <c r="AY742" s="71" t="n">
        <v>25600000</v>
      </c>
      <c r="AZ742" s="71" t="n">
        <v>25600000</v>
      </c>
      <c r="BA742" s="71" t="n">
        <v>1962287.91</v>
      </c>
      <c r="BB742" s="71" t="n">
        <v>1950119.82</v>
      </c>
      <c r="BC742" s="69" t="inlineStr">
        <is>
          <t>Refinance</t>
        </is>
      </c>
      <c r="BD742" s="69" t="inlineStr">
        <is>
          <t>N</t>
        </is>
      </c>
      <c r="BE742" s="71" t="n"/>
      <c r="BF742" s="71" t="n"/>
      <c r="BG742" s="71" t="n"/>
      <c r="BH742" s="71" t="n">
        <v>0</v>
      </c>
      <c r="BI742" s="71" t="n">
        <v>0</v>
      </c>
      <c r="BJ742" s="69" t="inlineStr">
        <is>
          <t>Y</t>
        </is>
      </c>
      <c r="BK742" s="69" t="n"/>
      <c r="BL742" s="75" t="n"/>
      <c r="BM742" s="73" t="n"/>
      <c r="BN742" s="69" t="inlineStr">
        <is>
          <t>Wesley Spruill; Donna Spruill</t>
        </is>
      </c>
      <c r="BO742" s="69" t="inlineStr">
        <is>
          <t>UBS</t>
        </is>
      </c>
      <c r="BP742" s="69" t="inlineStr">
        <is>
          <t>Midland Loan Services</t>
        </is>
      </c>
      <c r="BQ742" s="69" t="inlineStr">
        <is>
          <t>K-Star Asset Management LLC</t>
        </is>
      </c>
      <c r="BR742" s="69" t="n"/>
      <c r="BS742" s="73" t="n">
        <v>46276</v>
      </c>
      <c r="BU742" s="76">
        <f>IF($C742="","",IFERROR(INDEX(dmName,MATCH($C742,dmID,0)),"Unmapped"))</f>
        <v/>
      </c>
      <c r="BV742" s="76">
        <f>IF($C742="","",IFERROR(INDEX(dmEntity,MATCH($C742,dmID,0)),"Unmapped"))</f>
        <v/>
      </c>
      <c r="BW742" s="77">
        <f>IF($C742="","",IFERROR(INDEX(dmVintage,MATCH($C742,dmID,0)),""))</f>
        <v/>
      </c>
      <c r="BX742" s="78">
        <f>IFERROR(INDEX(dmInclude,MATCH($C742,dmID,0)),0)</f>
        <v/>
      </c>
      <c r="BY742" s="78">
        <f>IF(N($I742)&gt;0,1,0)</f>
        <v/>
      </c>
      <c r="BZ742" s="76">
        <f>IF($AJ742="","Other / Leased Fee",IFERROR(INDEX(mapPTGroup,MATCH(LEFT(TRIM($AJ742),2),mapPTCode,0)),"Other / Leased Fee"))</f>
        <v/>
      </c>
      <c r="CA742" s="76">
        <f>IF(TRIM($AF742&amp;"")="","NR",LEFT(TRIM($AF742),2))</f>
        <v/>
      </c>
      <c r="CB742" s="76">
        <f>IFERROR(LOOKUP(2,1/(LEFT(TRIM($AI742&amp;""),LEN(mapRegion))=mapRegion),mapRegion),"Not Reported")</f>
        <v/>
      </c>
      <c r="CC742" s="76">
        <f>IF($BY742=0,"",IF(TRIM($W742&amp;"")="REO","REO",IF(TRIM($W742&amp;"")="FC","Foreclosure",IF(TRIM($W742&amp;"")="90+","90+ Days Delinquent",IF(TRIM($W742&amp;"")="60","60 Days Delinquent",IF(TRIM($W742&amp;"")="30","30 Days Delinquent",IF($X742="Non-Performing Matured Balloon","Non-Performing Matured Balloon",IF(OR($X742="Late Payment But Less Than 30 Days Delinquent",LEFT($X742&amp;"",20)="Payment Not Received"),"Late / In Grace (&lt;30 Days)",IF($X742="Performing Matured Balloon","Performing Matured Balloon","Current")))))))))</f>
        <v/>
      </c>
      <c r="CD742" s="78">
        <f>IF(OR($CC742="REO",$CC742="Foreclosure",$CC742="90+ Days Delinquent",$CC742="60 Days Delinquent",$CC742="30 Days Delinquent",$CC742="Non-Performing Matured Balloon"),1,0)</f>
        <v/>
      </c>
      <c r="CE742" s="76">
        <f>IF($AB742="Currently special serv","Currently Specially Serviced",IF($AB742="Returned to master serv","Previously Specially Serviced","Never Specially Serviced"))</f>
        <v/>
      </c>
      <c r="CF742" s="78">
        <f>IF($CE742="Currently Specially Serviced",1,0)</f>
        <v/>
      </c>
      <c r="CG742" s="76">
        <f>IF($AA742="Yes","Currently on Watchlist",IF($AA742="Previously","Previously on Watchlist","Never on Watchlist"))</f>
        <v/>
      </c>
      <c r="CH742" s="78">
        <f>IF($CG742="Currently on Watchlist",1,0)</f>
        <v/>
      </c>
      <c r="CI742" s="76">
        <f>IF($Z742="Full Defeasance","Fully Defeased",IF($Z742="Portion Of Loan Previously Defeased","Partially Defeased",IF($Z742="Defeasance Not Allowable","Not Defeased (Not Permitted)","Not Defeased")))</f>
        <v/>
      </c>
      <c r="CJ742" s="78">
        <f>IF($CI742="Fully Defeased",1,0)</f>
        <v/>
      </c>
      <c r="CK742" s="76">
        <f>IF($R742="IO","Full IO",IF(LEFT($R742&amp;"",7)="IO then","Partial IO","Amortizing"))</f>
        <v/>
      </c>
      <c r="CL742" s="78">
        <f>IF($CK742="Full IO",1,0)</f>
        <v/>
      </c>
      <c r="CM742" s="78">
        <f>IF($CK742="Partial IO",1,0)</f>
        <v/>
      </c>
      <c r="CN742" s="76">
        <f>IF(LEFT($F742&amp;"",10)="SPLIT_LOAN","Pari Passu Split","Standalone")</f>
        <v/>
      </c>
      <c r="CO742" s="78">
        <f>IF($CN742="Pari Passu Split",1,0)</f>
        <v/>
      </c>
      <c r="CP742" s="77">
        <f>IF(ISNUMBER($T742),YEAR($T742),"")</f>
        <v/>
      </c>
      <c r="CQ742" s="79">
        <f>IF(ISNUMBER($V742),$V742,IF(ISNUMBER($U742),$U742,""))</f>
        <v/>
      </c>
      <c r="CR742" s="77">
        <f>IF(ISNUMBER($CQ742),YEAR($CQ742),"")</f>
        <v/>
      </c>
      <c r="CS742" s="78">
        <f>IF(ISNUMBER($M742),MAX(0,$M742),IF(TRIM($M742&amp;"")="matured",0,""))</f>
        <v/>
      </c>
      <c r="CT742" s="78">
        <f>IF(AND(ISNUMBER($CS742),N($CS742)&lt;=mMatWindow),1,0)</f>
        <v/>
      </c>
      <c r="CU742" s="80">
        <f>IF(ISNUMBER($J742),$J742/100,"")</f>
        <v/>
      </c>
      <c r="CV742" s="81">
        <f>IF(ISNUMBER($AQ742),$AQ742,"")</f>
        <v/>
      </c>
      <c r="CW742" s="81">
        <f>IF(ISNUMBER($AR742),$AR742,"")</f>
        <v/>
      </c>
      <c r="CX742" s="82">
        <f>IF(ISNUMBER($AS742),$AS742/100,"")</f>
        <v/>
      </c>
      <c r="CY742" s="82">
        <f>IF(ISNUMBER($AT742),$AT742/100,"")</f>
        <v/>
      </c>
      <c r="CZ742" s="82">
        <f>IF(ISNUMBER($AU742),$AU742/100,"")</f>
        <v/>
      </c>
      <c r="DA742" s="82">
        <f>IF(ISNUMBER($AV742),$AV742/100,"")</f>
        <v/>
      </c>
      <c r="DB742" s="82">
        <f>IF(ISNUMBER($AW742),$AW742/100,"")</f>
        <v/>
      </c>
      <c r="DC742" s="82">
        <f>IF(ISNUMBER($AX742),$AX742/100,"")</f>
        <v/>
      </c>
      <c r="DD742" s="77">
        <f>IFERROR(VALUE(LEFT(TRIM($AO742&amp;""),4)),"")</f>
        <v/>
      </c>
      <c r="DE742" s="78">
        <f>IF(AND($BY742=1,$BX742=1,OR(fDeal="All Deals",$BU742=fDeal),OR(fEntity="All Entities",$BV742=fEntity),OR(fPType="All Property Types",$BZ742=fPType),OR(fDefeased="Include",$CJ742=0)),1,0)</f>
        <v/>
      </c>
      <c r="DF742" s="83">
        <f>$DE742*N($I742)</f>
        <v/>
      </c>
      <c r="DG742" s="78">
        <f>IF($DE742=1,IF(COUNTIFS($F$8:$F742,$F742,$DE$8:$DE742,1)=1,1,0),0)</f>
        <v/>
      </c>
      <c r="DH742" s="83">
        <f>IF($DG742=1,SUMIFS($DF$8:$DF$1600,$F$8:$F$1600,$F742),0)</f>
        <v/>
      </c>
      <c r="DI742" s="78">
        <f>IF($DG742=1,COUNTIFS($F$8:$F$1600,$F742,$DE$8:$DE$1600,1),0)</f>
        <v/>
      </c>
      <c r="DJ742" s="84">
        <f>IF($DG742=1,$DH742+(100000-ROW())/mTieBreak,0)</f>
        <v/>
      </c>
    </row>
    <row r="743">
      <c r="B743" s="68" t="n">
        <v>14</v>
      </c>
      <c r="C743" s="69" t="inlineStr">
        <is>
          <t>UBS18C15</t>
        </is>
      </c>
      <c r="D743" s="69" t="inlineStr">
        <is>
          <t>14.000</t>
        </is>
      </c>
      <c r="E743" s="69" t="inlineStr">
        <is>
          <t>Regency Properties Portfolio</t>
        </is>
      </c>
      <c r="F743" s="69" t="inlineStr">
        <is>
          <t>SPLIT_LOAN_01444</t>
        </is>
      </c>
      <c r="G743" s="70" t="n">
        <v>1444</v>
      </c>
      <c r="H743" s="71" t="n">
        <v>15250000</v>
      </c>
      <c r="I743" s="71" t="n">
        <v>13941786.07</v>
      </c>
      <c r="J743" s="72" t="n">
        <v>5.446</v>
      </c>
      <c r="K743" s="69" t="inlineStr">
        <is>
          <t>Fixed rate</t>
        </is>
      </c>
      <c r="L743" s="68" t="n">
        <v>120</v>
      </c>
      <c r="M743" s="68" t="n">
        <v>26</v>
      </c>
      <c r="N743" s="68" t="n">
        <v>384</v>
      </c>
      <c r="O743" s="68" t="n">
        <v>24</v>
      </c>
      <c r="P743" s="68" t="n">
        <v>0</v>
      </c>
      <c r="Q743" s="68" t="n">
        <v>94</v>
      </c>
      <c r="R743" s="69" t="inlineStr">
        <is>
          <t>IO then Amort</t>
        </is>
      </c>
      <c r="S743" s="69" t="inlineStr">
        <is>
          <t>No</t>
        </is>
      </c>
      <c r="T743" s="73" t="n">
        <v>43405</v>
      </c>
      <c r="U743" s="73" t="n">
        <v>47063</v>
      </c>
      <c r="V743" s="73" t="n"/>
      <c r="W743" s="69" t="n"/>
      <c r="X743" s="69" t="inlineStr">
        <is>
          <t>Current</t>
        </is>
      </c>
      <c r="Y743" s="68" t="n"/>
      <c r="Z743" s="69" t="inlineStr">
        <is>
          <t>Full Defeasance</t>
        </is>
      </c>
      <c r="AA743" s="69" t="inlineStr">
        <is>
          <t>Previously</t>
        </is>
      </c>
      <c r="AB743" s="69" t="inlineStr">
        <is>
          <t>Never special serv</t>
        </is>
      </c>
      <c r="AC743" s="73" t="n"/>
      <c r="AD743" s="69" t="n"/>
      <c r="AE743" s="69" t="n"/>
      <c r="AF743" s="69" t="inlineStr">
        <is>
          <t>UT</t>
        </is>
      </c>
      <c r="AG743" s="69" t="n"/>
      <c r="AH743" s="69" t="inlineStr">
        <is>
          <t>Vernal, UT</t>
        </is>
      </c>
      <c r="AI743" s="69" t="inlineStr">
        <is>
          <t>West / Mountain</t>
        </is>
      </c>
      <c r="AJ743" s="69" t="inlineStr">
        <is>
          <t>RT</t>
        </is>
      </c>
      <c r="AK743" s="69" t="n"/>
      <c r="AL743" s="68" t="n">
        <v>7</v>
      </c>
      <c r="AM743" s="68" t="n"/>
      <c r="AN743" s="68" t="n">
        <v>612940</v>
      </c>
      <c r="AO743" s="69" t="n"/>
      <c r="AP743" s="70" t="n">
        <v>2016</v>
      </c>
      <c r="AQ743" s="74" t="n">
        <v>1.7</v>
      </c>
      <c r="AR743" s="74" t="n">
        <v>1.32</v>
      </c>
      <c r="AS743" s="74" t="n">
        <v>74.5</v>
      </c>
      <c r="AT743" s="74" t="n">
        <v>68.09</v>
      </c>
      <c r="AU743" s="74" t="n">
        <v>65.09999999999999</v>
      </c>
      <c r="AV743" s="74" t="n">
        <v>9.410901759</v>
      </c>
      <c r="AW743" s="74" t="n">
        <v>10.65988966</v>
      </c>
      <c r="AX743" s="75" t="n">
        <v>88</v>
      </c>
      <c r="AY743" s="71" t="n">
        <v>47330000</v>
      </c>
      <c r="AZ743" s="71" t="n">
        <v>47330000</v>
      </c>
      <c r="BA743" s="71" t="n">
        <v>3317342.87</v>
      </c>
      <c r="BB743" s="71" t="n">
        <v>3157603.88</v>
      </c>
      <c r="BC743" s="69" t="inlineStr">
        <is>
          <t>Refinance</t>
        </is>
      </c>
      <c r="BD743" s="69" t="inlineStr">
        <is>
          <t>N</t>
        </is>
      </c>
      <c r="BE743" s="71" t="n">
        <v>18284309.6</v>
      </c>
      <c r="BF743" s="71" t="n"/>
      <c r="BG743" s="71" t="n"/>
      <c r="BH743" s="71" t="n">
        <v>0</v>
      </c>
      <c r="BI743" s="71" t="n">
        <v>0</v>
      </c>
      <c r="BJ743" s="69" t="inlineStr">
        <is>
          <t>N</t>
        </is>
      </c>
      <c r="BK743" s="69" t="inlineStr">
        <is>
          <t>Kroger Supermarkets</t>
        </is>
      </c>
      <c r="BL743" s="75" t="n">
        <v>10.27</v>
      </c>
      <c r="BM743" s="73" t="n">
        <v>45443</v>
      </c>
      <c r="BN743" s="69" t="inlineStr">
        <is>
          <t>Regency Commercial Associates LLC</t>
        </is>
      </c>
      <c r="BO743" s="69" t="inlineStr">
        <is>
          <t>UBS</t>
        </is>
      </c>
      <c r="BP743" s="69" t="inlineStr">
        <is>
          <t>Midland Loan Services</t>
        </is>
      </c>
      <c r="BQ743" s="69" t="inlineStr">
        <is>
          <t>Rialto Capital</t>
        </is>
      </c>
      <c r="BR743" s="69" t="n"/>
      <c r="BS743" s="73" t="n">
        <v>46276</v>
      </c>
      <c r="BU743" s="76">
        <f>IF($C743="","",IFERROR(INDEX(dmName,MATCH($C743,dmID,0)),"Unmapped"))</f>
        <v/>
      </c>
      <c r="BV743" s="76">
        <f>IF($C743="","",IFERROR(INDEX(dmEntity,MATCH($C743,dmID,0)),"Unmapped"))</f>
        <v/>
      </c>
      <c r="BW743" s="77">
        <f>IF($C743="","",IFERROR(INDEX(dmVintage,MATCH($C743,dmID,0)),""))</f>
        <v/>
      </c>
      <c r="BX743" s="78">
        <f>IFERROR(INDEX(dmInclude,MATCH($C743,dmID,0)),0)</f>
        <v/>
      </c>
      <c r="BY743" s="78">
        <f>IF(N($I743)&gt;0,1,0)</f>
        <v/>
      </c>
      <c r="BZ743" s="76">
        <f>IF($AJ743="","Other / Leased Fee",IFERROR(INDEX(mapPTGroup,MATCH(LEFT(TRIM($AJ743),2),mapPTCode,0)),"Other / Leased Fee"))</f>
        <v/>
      </c>
      <c r="CA743" s="76">
        <f>IF(TRIM($AF743&amp;"")="","NR",LEFT(TRIM($AF743),2))</f>
        <v/>
      </c>
      <c r="CB743" s="76">
        <f>IFERROR(LOOKUP(2,1/(LEFT(TRIM($AI743&amp;""),LEN(mapRegion))=mapRegion),mapRegion),"Not Reported")</f>
        <v/>
      </c>
      <c r="CC743" s="76">
        <f>IF($BY743=0,"",IF(TRIM($W743&amp;"")="REO","REO",IF(TRIM($W743&amp;"")="FC","Foreclosure",IF(TRIM($W743&amp;"")="90+","90+ Days Delinquent",IF(TRIM($W743&amp;"")="60","60 Days Delinquent",IF(TRIM($W743&amp;"")="30","30 Days Delinquent",IF($X743="Non-Performing Matured Balloon","Non-Performing Matured Balloon",IF(OR($X743="Late Payment But Less Than 30 Days Delinquent",LEFT($X743&amp;"",20)="Payment Not Received"),"Late / In Grace (&lt;30 Days)",IF($X743="Performing Matured Balloon","Performing Matured Balloon","Current")))))))))</f>
        <v/>
      </c>
      <c r="CD743" s="78">
        <f>IF(OR($CC743="REO",$CC743="Foreclosure",$CC743="90+ Days Delinquent",$CC743="60 Days Delinquent",$CC743="30 Days Delinquent",$CC743="Non-Performing Matured Balloon"),1,0)</f>
        <v/>
      </c>
      <c r="CE743" s="76">
        <f>IF($AB743="Currently special serv","Currently Specially Serviced",IF($AB743="Returned to master serv","Previously Specially Serviced","Never Specially Serviced"))</f>
        <v/>
      </c>
      <c r="CF743" s="78">
        <f>IF($CE743="Currently Specially Serviced",1,0)</f>
        <v/>
      </c>
      <c r="CG743" s="76">
        <f>IF($AA743="Yes","Currently on Watchlist",IF($AA743="Previously","Previously on Watchlist","Never on Watchlist"))</f>
        <v/>
      </c>
      <c r="CH743" s="78">
        <f>IF($CG743="Currently on Watchlist",1,0)</f>
        <v/>
      </c>
      <c r="CI743" s="76">
        <f>IF($Z743="Full Defeasance","Fully Defeased",IF($Z743="Portion Of Loan Previously Defeased","Partially Defeased",IF($Z743="Defeasance Not Allowable","Not Defeased (Not Permitted)","Not Defeased")))</f>
        <v/>
      </c>
      <c r="CJ743" s="78">
        <f>IF($CI743="Fully Defeased",1,0)</f>
        <v/>
      </c>
      <c r="CK743" s="76">
        <f>IF($R743="IO","Full IO",IF(LEFT($R743&amp;"",7)="IO then","Partial IO","Amortizing"))</f>
        <v/>
      </c>
      <c r="CL743" s="78">
        <f>IF($CK743="Full IO",1,0)</f>
        <v/>
      </c>
      <c r="CM743" s="78">
        <f>IF($CK743="Partial IO",1,0)</f>
        <v/>
      </c>
      <c r="CN743" s="76">
        <f>IF(LEFT($F743&amp;"",10)="SPLIT_LOAN","Pari Passu Split","Standalone")</f>
        <v/>
      </c>
      <c r="CO743" s="78">
        <f>IF($CN743="Pari Passu Split",1,0)</f>
        <v/>
      </c>
      <c r="CP743" s="77">
        <f>IF(ISNUMBER($T743),YEAR($T743),"")</f>
        <v/>
      </c>
      <c r="CQ743" s="79">
        <f>IF(ISNUMBER($V743),$V743,IF(ISNUMBER($U743),$U743,""))</f>
        <v/>
      </c>
      <c r="CR743" s="77">
        <f>IF(ISNUMBER($CQ743),YEAR($CQ743),"")</f>
        <v/>
      </c>
      <c r="CS743" s="78">
        <f>IF(ISNUMBER($M743),MAX(0,$M743),IF(TRIM($M743&amp;"")="matured",0,""))</f>
        <v/>
      </c>
      <c r="CT743" s="78">
        <f>IF(AND(ISNUMBER($CS743),N($CS743)&lt;=mMatWindow),1,0)</f>
        <v/>
      </c>
      <c r="CU743" s="80">
        <f>IF(ISNUMBER($J743),$J743/100,"")</f>
        <v/>
      </c>
      <c r="CV743" s="81">
        <f>IF(ISNUMBER($AQ743),$AQ743,"")</f>
        <v/>
      </c>
      <c r="CW743" s="81">
        <f>IF(ISNUMBER($AR743),$AR743,"")</f>
        <v/>
      </c>
      <c r="CX743" s="82">
        <f>IF(ISNUMBER($AS743),$AS743/100,"")</f>
        <v/>
      </c>
      <c r="CY743" s="82">
        <f>IF(ISNUMBER($AT743),$AT743/100,"")</f>
        <v/>
      </c>
      <c r="CZ743" s="82">
        <f>IF(ISNUMBER($AU743),$AU743/100,"")</f>
        <v/>
      </c>
      <c r="DA743" s="82">
        <f>IF(ISNUMBER($AV743),$AV743/100,"")</f>
        <v/>
      </c>
      <c r="DB743" s="82">
        <f>IF(ISNUMBER($AW743),$AW743/100,"")</f>
        <v/>
      </c>
      <c r="DC743" s="82">
        <f>IF(ISNUMBER($AX743),$AX743/100,"")</f>
        <v/>
      </c>
      <c r="DD743" s="77">
        <f>IFERROR(VALUE(LEFT(TRIM($AO743&amp;""),4)),"")</f>
        <v/>
      </c>
      <c r="DE743" s="78">
        <f>IF(AND($BY743=1,$BX743=1,OR(fDeal="All Deals",$BU743=fDeal),OR(fEntity="All Entities",$BV743=fEntity),OR(fPType="All Property Types",$BZ743=fPType),OR(fDefeased="Include",$CJ743=0)),1,0)</f>
        <v/>
      </c>
      <c r="DF743" s="83">
        <f>$DE743*N($I743)</f>
        <v/>
      </c>
      <c r="DG743" s="78">
        <f>IF($DE743=1,IF(COUNTIFS($F$8:$F743,$F743,$DE$8:$DE743,1)=1,1,0),0)</f>
        <v/>
      </c>
      <c r="DH743" s="83">
        <f>IF($DG743=1,SUMIFS($DF$8:$DF$1600,$F$8:$F$1600,$F743),0)</f>
        <v/>
      </c>
      <c r="DI743" s="78">
        <f>IF($DG743=1,COUNTIFS($F$8:$F$1600,$F743,$DE$8:$DE$1600,1),0)</f>
        <v/>
      </c>
      <c r="DJ743" s="84">
        <f>IF($DG743=1,$DH743+(100000-ROW())/mTieBreak,0)</f>
        <v/>
      </c>
    </row>
    <row r="744">
      <c r="B744" s="68" t="n">
        <v>15</v>
      </c>
      <c r="C744" s="69" t="inlineStr">
        <is>
          <t>UBS18C15</t>
        </is>
      </c>
      <c r="D744" s="69" t="inlineStr">
        <is>
          <t>15.000</t>
        </is>
      </c>
      <c r="E744" s="69" t="inlineStr">
        <is>
          <t>Homewood Suites Columbia/Laurel</t>
        </is>
      </c>
      <c r="F744" s="69" t="inlineStr">
        <is>
          <t>LNUBS18C15-15.000</t>
        </is>
      </c>
      <c r="G744" s="70" t="n"/>
      <c r="H744" s="71" t="n">
        <v>15100000</v>
      </c>
      <c r="I744" s="71" t="n">
        <v>13283993.1499945</v>
      </c>
      <c r="J744" s="72" t="n">
        <v>5.53</v>
      </c>
      <c r="K744" s="69" t="inlineStr">
        <is>
          <t>Fixed rate</t>
        </is>
      </c>
      <c r="L744" s="68" t="n">
        <v>120</v>
      </c>
      <c r="M744" s="68" t="n">
        <v>26</v>
      </c>
      <c r="N744" s="68" t="n">
        <v>360</v>
      </c>
      <c r="O744" s="68" t="n"/>
      <c r="P744" s="68" t="n"/>
      <c r="Q744" s="68" t="n">
        <v>94</v>
      </c>
      <c r="R744" s="69" t="n"/>
      <c r="S744" s="69" t="inlineStr">
        <is>
          <t>No</t>
        </is>
      </c>
      <c r="T744" s="73" t="n">
        <v>43405</v>
      </c>
      <c r="U744" s="73" t="n">
        <v>47063</v>
      </c>
      <c r="V744" s="73" t="n"/>
      <c r="W744" s="69" t="n"/>
      <c r="X744" s="69" t="inlineStr">
        <is>
          <t>Current</t>
        </is>
      </c>
      <c r="Y744" s="68" t="n"/>
      <c r="Z744" s="69" t="inlineStr">
        <is>
          <t>No Defeasance Occurred</t>
        </is>
      </c>
      <c r="AA744" s="69" t="inlineStr">
        <is>
          <t>Yes</t>
        </is>
      </c>
      <c r="AB744" s="69" t="inlineStr">
        <is>
          <t>Never special serv</t>
        </is>
      </c>
      <c r="AC744" s="73" t="n"/>
      <c r="AD744" s="69" t="n"/>
      <c r="AE744" s="69" t="n"/>
      <c r="AF744" s="69" t="inlineStr">
        <is>
          <t>MD</t>
        </is>
      </c>
      <c r="AG744" s="69" t="inlineStr">
        <is>
          <t>Laurel</t>
        </is>
      </c>
      <c r="AH744" s="69" t="inlineStr">
        <is>
          <t>Baltimore-Columbia-Towson, MD</t>
        </is>
      </c>
      <c r="AI744" s="69" t="inlineStr">
        <is>
          <t>South / Atlantic</t>
        </is>
      </c>
      <c r="AJ744" s="69" t="inlineStr">
        <is>
          <t>HT</t>
        </is>
      </c>
      <c r="AK744" s="69" t="inlineStr">
        <is>
          <t>Extended Stay</t>
        </is>
      </c>
      <c r="AL744" s="68" t="n">
        <v>1</v>
      </c>
      <c r="AM744" s="68" t="n">
        <v>114</v>
      </c>
      <c r="AN744" s="68" t="n"/>
      <c r="AO744" s="69" t="inlineStr">
        <is>
          <t>2015</t>
        </is>
      </c>
      <c r="AP744" s="70" t="n">
        <v>2015</v>
      </c>
      <c r="AQ744" s="74" t="n">
        <v>1.65</v>
      </c>
      <c r="AR744" s="74" t="n">
        <v>1.5</v>
      </c>
      <c r="AS744" s="74" t="n">
        <v>65.3</v>
      </c>
      <c r="AT744" s="74" t="n">
        <v>57.51</v>
      </c>
      <c r="AU744" s="74" t="n">
        <v>54.7</v>
      </c>
      <c r="AV744" s="74" t="n">
        <v>11.291926159</v>
      </c>
      <c r="AW744" s="74" t="n">
        <v>11.660950232</v>
      </c>
      <c r="AX744" s="75" t="n">
        <v>78</v>
      </c>
      <c r="AY744" s="71" t="n">
        <v>23100000</v>
      </c>
      <c r="AZ744" s="71" t="n">
        <v>23100000</v>
      </c>
      <c r="BA744" s="71" t="n">
        <v>1705080.85</v>
      </c>
      <c r="BB744" s="71" t="n">
        <v>1549039.83</v>
      </c>
      <c r="BC744" s="69" t="inlineStr">
        <is>
          <t>Refinance</t>
        </is>
      </c>
      <c r="BD744" s="69" t="inlineStr">
        <is>
          <t>N</t>
        </is>
      </c>
      <c r="BE744" s="71" t="n"/>
      <c r="BF744" s="71" t="n"/>
      <c r="BG744" s="71" t="n"/>
      <c r="BH744" s="71" t="n">
        <v>0</v>
      </c>
      <c r="BI744" s="71" t="n">
        <v>0</v>
      </c>
      <c r="BJ744" s="69" t="inlineStr">
        <is>
          <t>Y</t>
        </is>
      </c>
      <c r="BK744" s="69" t="n"/>
      <c r="BL744" s="75" t="n"/>
      <c r="BM744" s="73" t="n"/>
      <c r="BN744" s="69" t="inlineStr">
        <is>
          <t>Mukesh Majmudar; Varsha Majmudar</t>
        </is>
      </c>
      <c r="BO744" s="69" t="inlineStr">
        <is>
          <t>Rialto</t>
        </is>
      </c>
      <c r="BP744" s="69" t="inlineStr">
        <is>
          <t>Midland Loan Services</t>
        </is>
      </c>
      <c r="BQ744" s="69" t="inlineStr">
        <is>
          <t>K-Star Asset Management LLC</t>
        </is>
      </c>
      <c r="BR744" s="69" t="n"/>
      <c r="BS744" s="73" t="n">
        <v>46276</v>
      </c>
      <c r="BU744" s="76">
        <f>IF($C744="","",IFERROR(INDEX(dmName,MATCH($C744,dmID,0)),"Unmapped"))</f>
        <v/>
      </c>
      <c r="BV744" s="76">
        <f>IF($C744="","",IFERROR(INDEX(dmEntity,MATCH($C744,dmID,0)),"Unmapped"))</f>
        <v/>
      </c>
      <c r="BW744" s="77">
        <f>IF($C744="","",IFERROR(INDEX(dmVintage,MATCH($C744,dmID,0)),""))</f>
        <v/>
      </c>
      <c r="BX744" s="78">
        <f>IFERROR(INDEX(dmInclude,MATCH($C744,dmID,0)),0)</f>
        <v/>
      </c>
      <c r="BY744" s="78">
        <f>IF(N($I744)&gt;0,1,0)</f>
        <v/>
      </c>
      <c r="BZ744" s="76">
        <f>IF($AJ744="","Other / Leased Fee",IFERROR(INDEX(mapPTGroup,MATCH(LEFT(TRIM($AJ744),2),mapPTCode,0)),"Other / Leased Fee"))</f>
        <v/>
      </c>
      <c r="CA744" s="76">
        <f>IF(TRIM($AF744&amp;"")="","NR",LEFT(TRIM($AF744),2))</f>
        <v/>
      </c>
      <c r="CB744" s="76">
        <f>IFERROR(LOOKUP(2,1/(LEFT(TRIM($AI744&amp;""),LEN(mapRegion))=mapRegion),mapRegion),"Not Reported")</f>
        <v/>
      </c>
      <c r="CC744" s="76">
        <f>IF($BY744=0,"",IF(TRIM($W744&amp;"")="REO","REO",IF(TRIM($W744&amp;"")="FC","Foreclosure",IF(TRIM($W744&amp;"")="90+","90+ Days Delinquent",IF(TRIM($W744&amp;"")="60","60 Days Delinquent",IF(TRIM($W744&amp;"")="30","30 Days Delinquent",IF($X744="Non-Performing Matured Balloon","Non-Performing Matured Balloon",IF(OR($X744="Late Payment But Less Than 30 Days Delinquent",LEFT($X744&amp;"",20)="Payment Not Received"),"Late / In Grace (&lt;30 Days)",IF($X744="Performing Matured Balloon","Performing Matured Balloon","Current")))))))))</f>
        <v/>
      </c>
      <c r="CD744" s="78">
        <f>IF(OR($CC744="REO",$CC744="Foreclosure",$CC744="90+ Days Delinquent",$CC744="60 Days Delinquent",$CC744="30 Days Delinquent",$CC744="Non-Performing Matured Balloon"),1,0)</f>
        <v/>
      </c>
      <c r="CE744" s="76">
        <f>IF($AB744="Currently special serv","Currently Specially Serviced",IF($AB744="Returned to master serv","Previously Specially Serviced","Never Specially Serviced"))</f>
        <v/>
      </c>
      <c r="CF744" s="78">
        <f>IF($CE744="Currently Specially Serviced",1,0)</f>
        <v/>
      </c>
      <c r="CG744" s="76">
        <f>IF($AA744="Yes","Currently on Watchlist",IF($AA744="Previously","Previously on Watchlist","Never on Watchlist"))</f>
        <v/>
      </c>
      <c r="CH744" s="78">
        <f>IF($CG744="Currently on Watchlist",1,0)</f>
        <v/>
      </c>
      <c r="CI744" s="76">
        <f>IF($Z744="Full Defeasance","Fully Defeased",IF($Z744="Portion Of Loan Previously Defeased","Partially Defeased",IF($Z744="Defeasance Not Allowable","Not Defeased (Not Permitted)","Not Defeased")))</f>
        <v/>
      </c>
      <c r="CJ744" s="78">
        <f>IF($CI744="Fully Defeased",1,0)</f>
        <v/>
      </c>
      <c r="CK744" s="76">
        <f>IF($R744="IO","Full IO",IF(LEFT($R744&amp;"",7)="IO then","Partial IO","Amortizing"))</f>
        <v/>
      </c>
      <c r="CL744" s="78">
        <f>IF($CK744="Full IO",1,0)</f>
        <v/>
      </c>
      <c r="CM744" s="78">
        <f>IF($CK744="Partial IO",1,0)</f>
        <v/>
      </c>
      <c r="CN744" s="76">
        <f>IF(LEFT($F744&amp;"",10)="SPLIT_LOAN","Pari Passu Split","Standalone")</f>
        <v/>
      </c>
      <c r="CO744" s="78">
        <f>IF($CN744="Pari Passu Split",1,0)</f>
        <v/>
      </c>
      <c r="CP744" s="77">
        <f>IF(ISNUMBER($T744),YEAR($T744),"")</f>
        <v/>
      </c>
      <c r="CQ744" s="79">
        <f>IF(ISNUMBER($V744),$V744,IF(ISNUMBER($U744),$U744,""))</f>
        <v/>
      </c>
      <c r="CR744" s="77">
        <f>IF(ISNUMBER($CQ744),YEAR($CQ744),"")</f>
        <v/>
      </c>
      <c r="CS744" s="78">
        <f>IF(ISNUMBER($M744),MAX(0,$M744),IF(TRIM($M744&amp;"")="matured",0,""))</f>
        <v/>
      </c>
      <c r="CT744" s="78">
        <f>IF(AND(ISNUMBER($CS744),N($CS744)&lt;=mMatWindow),1,0)</f>
        <v/>
      </c>
      <c r="CU744" s="80">
        <f>IF(ISNUMBER($J744),$J744/100,"")</f>
        <v/>
      </c>
      <c r="CV744" s="81">
        <f>IF(ISNUMBER($AQ744),$AQ744,"")</f>
        <v/>
      </c>
      <c r="CW744" s="81">
        <f>IF(ISNUMBER($AR744),$AR744,"")</f>
        <v/>
      </c>
      <c r="CX744" s="82">
        <f>IF(ISNUMBER($AS744),$AS744/100,"")</f>
        <v/>
      </c>
      <c r="CY744" s="82">
        <f>IF(ISNUMBER($AT744),$AT744/100,"")</f>
        <v/>
      </c>
      <c r="CZ744" s="82">
        <f>IF(ISNUMBER($AU744),$AU744/100,"")</f>
        <v/>
      </c>
      <c r="DA744" s="82">
        <f>IF(ISNUMBER($AV744),$AV744/100,"")</f>
        <v/>
      </c>
      <c r="DB744" s="82">
        <f>IF(ISNUMBER($AW744),$AW744/100,"")</f>
        <v/>
      </c>
      <c r="DC744" s="82">
        <f>IF(ISNUMBER($AX744),$AX744/100,"")</f>
        <v/>
      </c>
      <c r="DD744" s="77">
        <f>IFERROR(VALUE(LEFT(TRIM($AO744&amp;""),4)),"")</f>
        <v/>
      </c>
      <c r="DE744" s="78">
        <f>IF(AND($BY744=1,$BX744=1,OR(fDeal="All Deals",$BU744=fDeal),OR(fEntity="All Entities",$BV744=fEntity),OR(fPType="All Property Types",$BZ744=fPType),OR(fDefeased="Include",$CJ744=0)),1,0)</f>
        <v/>
      </c>
      <c r="DF744" s="83">
        <f>$DE744*N($I744)</f>
        <v/>
      </c>
      <c r="DG744" s="78">
        <f>IF($DE744=1,IF(COUNTIFS($F$8:$F744,$F744,$DE$8:$DE744,1)=1,1,0),0)</f>
        <v/>
      </c>
      <c r="DH744" s="83">
        <f>IF($DG744=1,SUMIFS($DF$8:$DF$1600,$F$8:$F$1600,$F744),0)</f>
        <v/>
      </c>
      <c r="DI744" s="78">
        <f>IF($DG744=1,COUNTIFS($F$8:$F$1600,$F744,$DE$8:$DE$1600,1),0)</f>
        <v/>
      </c>
      <c r="DJ744" s="84">
        <f>IF($DG744=1,$DH744+(100000-ROW())/mTieBreak,0)</f>
        <v/>
      </c>
    </row>
    <row r="745">
      <c r="B745" s="68" t="n">
        <v>16</v>
      </c>
      <c r="C745" s="69" t="inlineStr">
        <is>
          <t>UBS18C15</t>
        </is>
      </c>
      <c r="D745" s="69" t="inlineStr">
        <is>
          <t>16.000</t>
        </is>
      </c>
      <c r="E745" s="69" t="inlineStr">
        <is>
          <t>Food Lion Portfolio</t>
        </is>
      </c>
      <c r="F745" s="69" t="inlineStr">
        <is>
          <t>LNUBS18C15-16.000</t>
        </is>
      </c>
      <c r="G745" s="70" t="n"/>
      <c r="H745" s="71" t="n">
        <v>15000000</v>
      </c>
      <c r="I745" s="71" t="n">
        <v>13190620.98</v>
      </c>
      <c r="J745" s="72" t="n">
        <v>5.43</v>
      </c>
      <c r="K745" s="69" t="inlineStr">
        <is>
          <t>Fixed rate</t>
        </is>
      </c>
      <c r="L745" s="68" t="n">
        <v>120</v>
      </c>
      <c r="M745" s="68" t="n">
        <v>27</v>
      </c>
      <c r="N745" s="68" t="n">
        <v>360</v>
      </c>
      <c r="O745" s="68" t="n"/>
      <c r="P745" s="68" t="n"/>
      <c r="Q745" s="68" t="n">
        <v>93</v>
      </c>
      <c r="R745" s="69" t="n"/>
      <c r="S745" s="69" t="inlineStr">
        <is>
          <t>No</t>
        </is>
      </c>
      <c r="T745" s="73" t="n">
        <v>43435</v>
      </c>
      <c r="U745" s="73" t="n">
        <v>47093</v>
      </c>
      <c r="V745" s="73" t="n"/>
      <c r="W745" s="69" t="n"/>
      <c r="X745" s="69" t="inlineStr">
        <is>
          <t>Current</t>
        </is>
      </c>
      <c r="Y745" s="68" t="n"/>
      <c r="Z745" s="69" t="inlineStr">
        <is>
          <t>Defeasance Not Allowable</t>
        </is>
      </c>
      <c r="AA745" s="69" t="inlineStr">
        <is>
          <t>Previously</t>
        </is>
      </c>
      <c r="AB745" s="69" t="inlineStr">
        <is>
          <t>Never special serv</t>
        </is>
      </c>
      <c r="AC745" s="73" t="n"/>
      <c r="AD745" s="69" t="n"/>
      <c r="AE745" s="69" t="n"/>
      <c r="AF745" s="69" t="inlineStr">
        <is>
          <t>VA-58.733333342% SC-41.266666658%</t>
        </is>
      </c>
      <c r="AG745" s="69" t="n"/>
      <c r="AH745" s="69" t="inlineStr">
        <is>
          <t>Charleston-North Charleston, SC-41.266666658% Roanoke, VA-34.066666663% Blacksburg-Christiansburg-Radford, VA-24.666666679%</t>
        </is>
      </c>
      <c r="AI745" s="69" t="inlineStr">
        <is>
          <t>South / Atlantic</t>
        </is>
      </c>
      <c r="AJ745" s="69" t="inlineStr">
        <is>
          <t>RT</t>
        </is>
      </c>
      <c r="AK745" s="69" t="inlineStr">
        <is>
          <t>Anchored</t>
        </is>
      </c>
      <c r="AL745" s="68" t="n">
        <v>5</v>
      </c>
      <c r="AM745" s="68" t="n"/>
      <c r="AN745" s="68" t="n">
        <v>238308</v>
      </c>
      <c r="AO745" s="69" t="n"/>
      <c r="AP745" s="70" t="n">
        <v>1998</v>
      </c>
      <c r="AQ745" s="74" t="n">
        <v>1.4</v>
      </c>
      <c r="AR745" s="74" t="n">
        <v>1.49</v>
      </c>
      <c r="AS745" s="74" t="n">
        <v>67.40000000000001</v>
      </c>
      <c r="AT745" s="74" t="n">
        <v>59.31</v>
      </c>
      <c r="AU745" s="74" t="n">
        <v>56.2</v>
      </c>
      <c r="AV745" s="74" t="n">
        <v>9.494899999999999</v>
      </c>
      <c r="AW745" s="74" t="n">
        <v>11.184521276</v>
      </c>
      <c r="AX745" s="75" t="n">
        <v>97</v>
      </c>
      <c r="AY745" s="71" t="n">
        <v>22240000</v>
      </c>
      <c r="AZ745" s="71" t="n">
        <v>22240000</v>
      </c>
      <c r="BA745" s="71" t="n">
        <v>1424235</v>
      </c>
      <c r="BB745" s="71" t="n">
        <v>1511054.18</v>
      </c>
      <c r="BC745" s="69" t="inlineStr">
        <is>
          <t>Refinance</t>
        </is>
      </c>
      <c r="BD745" s="69" t="inlineStr">
        <is>
          <t>N</t>
        </is>
      </c>
      <c r="BE745" s="71" t="n"/>
      <c r="BF745" s="71" t="n"/>
      <c r="BG745" s="71" t="n"/>
      <c r="BH745" s="71" t="n">
        <v>0</v>
      </c>
      <c r="BI745" s="71" t="n">
        <v>0</v>
      </c>
      <c r="BJ745" s="69" t="inlineStr">
        <is>
          <t>N</t>
        </is>
      </c>
      <c r="BK745" s="69" t="inlineStr">
        <is>
          <t>Food Lion #365</t>
        </is>
      </c>
      <c r="BL745" s="75" t="n">
        <v>14.75</v>
      </c>
      <c r="BM745" s="73" t="n">
        <v>47422</v>
      </c>
      <c r="BN745" s="69" t="inlineStr">
        <is>
          <t>Victory Real Estate Investments, LLC</t>
        </is>
      </c>
      <c r="BO745" s="69" t="inlineStr">
        <is>
          <t>Rialto</t>
        </is>
      </c>
      <c r="BP745" s="69" t="inlineStr">
        <is>
          <t>Midland Loan Services</t>
        </is>
      </c>
      <c r="BQ745" s="69" t="inlineStr">
        <is>
          <t>K-Star Asset Management LLC</t>
        </is>
      </c>
      <c r="BR745" s="69" t="n"/>
      <c r="BS745" s="73" t="n">
        <v>46276</v>
      </c>
      <c r="BU745" s="76">
        <f>IF($C745="","",IFERROR(INDEX(dmName,MATCH($C745,dmID,0)),"Unmapped"))</f>
        <v/>
      </c>
      <c r="BV745" s="76">
        <f>IF($C745="","",IFERROR(INDEX(dmEntity,MATCH($C745,dmID,0)),"Unmapped"))</f>
        <v/>
      </c>
      <c r="BW745" s="77">
        <f>IF($C745="","",IFERROR(INDEX(dmVintage,MATCH($C745,dmID,0)),""))</f>
        <v/>
      </c>
      <c r="BX745" s="78">
        <f>IFERROR(INDEX(dmInclude,MATCH($C745,dmID,0)),0)</f>
        <v/>
      </c>
      <c r="BY745" s="78">
        <f>IF(N($I745)&gt;0,1,0)</f>
        <v/>
      </c>
      <c r="BZ745" s="76">
        <f>IF($AJ745="","Other / Leased Fee",IFERROR(INDEX(mapPTGroup,MATCH(LEFT(TRIM($AJ745),2),mapPTCode,0)),"Other / Leased Fee"))</f>
        <v/>
      </c>
      <c r="CA745" s="76">
        <f>IF(TRIM($AF745&amp;"")="","NR",LEFT(TRIM($AF745),2))</f>
        <v/>
      </c>
      <c r="CB745" s="76">
        <f>IFERROR(LOOKUP(2,1/(LEFT(TRIM($AI745&amp;""),LEN(mapRegion))=mapRegion),mapRegion),"Not Reported")</f>
        <v/>
      </c>
      <c r="CC745" s="76">
        <f>IF($BY745=0,"",IF(TRIM($W745&amp;"")="REO","REO",IF(TRIM($W745&amp;"")="FC","Foreclosure",IF(TRIM($W745&amp;"")="90+","90+ Days Delinquent",IF(TRIM($W745&amp;"")="60","60 Days Delinquent",IF(TRIM($W745&amp;"")="30","30 Days Delinquent",IF($X745="Non-Performing Matured Balloon","Non-Performing Matured Balloon",IF(OR($X745="Late Payment But Less Than 30 Days Delinquent",LEFT($X745&amp;"",20)="Payment Not Received"),"Late / In Grace (&lt;30 Days)",IF($X745="Performing Matured Balloon","Performing Matured Balloon","Current")))))))))</f>
        <v/>
      </c>
      <c r="CD745" s="78">
        <f>IF(OR($CC745="REO",$CC745="Foreclosure",$CC745="90+ Days Delinquent",$CC745="60 Days Delinquent",$CC745="30 Days Delinquent",$CC745="Non-Performing Matured Balloon"),1,0)</f>
        <v/>
      </c>
      <c r="CE745" s="76">
        <f>IF($AB745="Currently special serv","Currently Specially Serviced",IF($AB745="Returned to master serv","Previously Specially Serviced","Never Specially Serviced"))</f>
        <v/>
      </c>
      <c r="CF745" s="78">
        <f>IF($CE745="Currently Specially Serviced",1,0)</f>
        <v/>
      </c>
      <c r="CG745" s="76">
        <f>IF($AA745="Yes","Currently on Watchlist",IF($AA745="Previously","Previously on Watchlist","Never on Watchlist"))</f>
        <v/>
      </c>
      <c r="CH745" s="78">
        <f>IF($CG745="Currently on Watchlist",1,0)</f>
        <v/>
      </c>
      <c r="CI745" s="76">
        <f>IF($Z745="Full Defeasance","Fully Defeased",IF($Z745="Portion Of Loan Previously Defeased","Partially Defeased",IF($Z745="Defeasance Not Allowable","Not Defeased (Not Permitted)","Not Defeased")))</f>
        <v/>
      </c>
      <c r="CJ745" s="78">
        <f>IF($CI745="Fully Defeased",1,0)</f>
        <v/>
      </c>
      <c r="CK745" s="76">
        <f>IF($R745="IO","Full IO",IF(LEFT($R745&amp;"",7)="IO then","Partial IO","Amortizing"))</f>
        <v/>
      </c>
      <c r="CL745" s="78">
        <f>IF($CK745="Full IO",1,0)</f>
        <v/>
      </c>
      <c r="CM745" s="78">
        <f>IF($CK745="Partial IO",1,0)</f>
        <v/>
      </c>
      <c r="CN745" s="76">
        <f>IF(LEFT($F745&amp;"",10)="SPLIT_LOAN","Pari Passu Split","Standalone")</f>
        <v/>
      </c>
      <c r="CO745" s="78">
        <f>IF($CN745="Pari Passu Split",1,0)</f>
        <v/>
      </c>
      <c r="CP745" s="77">
        <f>IF(ISNUMBER($T745),YEAR($T745),"")</f>
        <v/>
      </c>
      <c r="CQ745" s="79">
        <f>IF(ISNUMBER($V745),$V745,IF(ISNUMBER($U745),$U745,""))</f>
        <v/>
      </c>
      <c r="CR745" s="77">
        <f>IF(ISNUMBER($CQ745),YEAR($CQ745),"")</f>
        <v/>
      </c>
      <c r="CS745" s="78">
        <f>IF(ISNUMBER($M745),MAX(0,$M745),IF(TRIM($M745&amp;"")="matured",0,""))</f>
        <v/>
      </c>
      <c r="CT745" s="78">
        <f>IF(AND(ISNUMBER($CS745),N($CS745)&lt;=mMatWindow),1,0)</f>
        <v/>
      </c>
      <c r="CU745" s="80">
        <f>IF(ISNUMBER($J745),$J745/100,"")</f>
        <v/>
      </c>
      <c r="CV745" s="81">
        <f>IF(ISNUMBER($AQ745),$AQ745,"")</f>
        <v/>
      </c>
      <c r="CW745" s="81">
        <f>IF(ISNUMBER($AR745),$AR745,"")</f>
        <v/>
      </c>
      <c r="CX745" s="82">
        <f>IF(ISNUMBER($AS745),$AS745/100,"")</f>
        <v/>
      </c>
      <c r="CY745" s="82">
        <f>IF(ISNUMBER($AT745),$AT745/100,"")</f>
        <v/>
      </c>
      <c r="CZ745" s="82">
        <f>IF(ISNUMBER($AU745),$AU745/100,"")</f>
        <v/>
      </c>
      <c r="DA745" s="82">
        <f>IF(ISNUMBER($AV745),$AV745/100,"")</f>
        <v/>
      </c>
      <c r="DB745" s="82">
        <f>IF(ISNUMBER($AW745),$AW745/100,"")</f>
        <v/>
      </c>
      <c r="DC745" s="82">
        <f>IF(ISNUMBER($AX745),$AX745/100,"")</f>
        <v/>
      </c>
      <c r="DD745" s="77">
        <f>IFERROR(VALUE(LEFT(TRIM($AO745&amp;""),4)),"")</f>
        <v/>
      </c>
      <c r="DE745" s="78">
        <f>IF(AND($BY745=1,$BX745=1,OR(fDeal="All Deals",$BU745=fDeal),OR(fEntity="All Entities",$BV745=fEntity),OR(fPType="All Property Types",$BZ745=fPType),OR(fDefeased="Include",$CJ745=0)),1,0)</f>
        <v/>
      </c>
      <c r="DF745" s="83">
        <f>$DE745*N($I745)</f>
        <v/>
      </c>
      <c r="DG745" s="78">
        <f>IF($DE745=1,IF(COUNTIFS($F$8:$F745,$F745,$DE$8:$DE745,1)=1,1,0),0)</f>
        <v/>
      </c>
      <c r="DH745" s="83">
        <f>IF($DG745=1,SUMIFS($DF$8:$DF$1600,$F$8:$F$1600,$F745),0)</f>
        <v/>
      </c>
      <c r="DI745" s="78">
        <f>IF($DG745=1,COUNTIFS($F$8:$F$1600,$F745,$DE$8:$DE$1600,1),0)</f>
        <v/>
      </c>
      <c r="DJ745" s="84">
        <f>IF($DG745=1,$DH745+(100000-ROW())/mTieBreak,0)</f>
        <v/>
      </c>
    </row>
    <row r="746">
      <c r="B746" s="68" t="n">
        <v>17</v>
      </c>
      <c r="C746" s="69" t="inlineStr">
        <is>
          <t>UBS18C15</t>
        </is>
      </c>
      <c r="D746" s="69" t="inlineStr">
        <is>
          <t>17.000</t>
        </is>
      </c>
      <c r="E746" s="69" t="inlineStr">
        <is>
          <t>Central City Industrial Park</t>
        </is>
      </c>
      <c r="F746" s="69" t="inlineStr">
        <is>
          <t>LNUBS18C15-17.000</t>
        </is>
      </c>
      <c r="G746" s="70" t="n"/>
      <c r="H746" s="71" t="n">
        <v>13500000</v>
      </c>
      <c r="I746" s="71" t="n">
        <v>0</v>
      </c>
      <c r="J746" s="72" t="n">
        <v>4.84</v>
      </c>
      <c r="K746" s="69" t="inlineStr">
        <is>
          <t>Fixed rate</t>
        </is>
      </c>
      <c r="L746" s="68" t="n">
        <v>120</v>
      </c>
      <c r="M746" s="68" t="n"/>
      <c r="N746" s="68" t="n">
        <v>360</v>
      </c>
      <c r="O746" s="68" t="n"/>
      <c r="P746" s="68" t="n"/>
      <c r="Q746" s="68" t="n"/>
      <c r="R746" s="69" t="n"/>
      <c r="S746" s="69" t="inlineStr">
        <is>
          <t>No</t>
        </is>
      </c>
      <c r="T746" s="73" t="n">
        <v>43435</v>
      </c>
      <c r="U746" s="73" t="n">
        <v>47088</v>
      </c>
      <c r="V746" s="73" t="n"/>
      <c r="W746" s="69" t="n"/>
      <c r="X746" s="69" t="inlineStr">
        <is>
          <t>Current</t>
        </is>
      </c>
      <c r="Y746" s="68" t="n"/>
      <c r="Z746" s="69" t="inlineStr">
        <is>
          <t>Defeasance Not Allowable</t>
        </is>
      </c>
      <c r="AA746" s="69" t="inlineStr">
        <is>
          <t>Previously</t>
        </is>
      </c>
      <c r="AB746" s="69" t="inlineStr">
        <is>
          <t>Never special serv</t>
        </is>
      </c>
      <c r="AC746" s="73" t="n"/>
      <c r="AD746" s="69" t="n"/>
      <c r="AE746" s="69" t="n"/>
      <c r="AF746" s="69" t="inlineStr">
        <is>
          <t>TX</t>
        </is>
      </c>
      <c r="AG746" s="69" t="inlineStr">
        <is>
          <t>Houston</t>
        </is>
      </c>
      <c r="AH746" s="69" t="inlineStr">
        <is>
          <t>Houston-Pasadena-The Woodlands, TX</t>
        </is>
      </c>
      <c r="AI746" s="69" t="inlineStr">
        <is>
          <t>South / Central West</t>
        </is>
      </c>
      <c r="AJ746" s="69" t="inlineStr">
        <is>
          <t>IN</t>
        </is>
      </c>
      <c r="AK746" s="69" t="inlineStr">
        <is>
          <t>Flex</t>
        </is>
      </c>
      <c r="AL746" s="68" t="n">
        <v>1</v>
      </c>
      <c r="AM746" s="68" t="n"/>
      <c r="AN746" s="68" t="n">
        <v>878448</v>
      </c>
      <c r="AO746" s="69" t="inlineStr">
        <is>
          <t>1953-1981</t>
        </is>
      </c>
      <c r="AP746" s="70" t="n">
        <v>2017</v>
      </c>
      <c r="AQ746" s="74" t="n">
        <v>2.06</v>
      </c>
      <c r="AR746" s="74" t="n">
        <v>1.61</v>
      </c>
      <c r="AS746" s="74" t="n">
        <v>42.6</v>
      </c>
      <c r="AT746" s="74" t="n"/>
      <c r="AU746" s="74" t="n">
        <v>34.8</v>
      </c>
      <c r="AV746" s="74" t="n">
        <v>13.009385185</v>
      </c>
      <c r="AW746" s="74" t="n"/>
      <c r="AX746" s="75" t="n">
        <v>89</v>
      </c>
      <c r="AY746" s="71" t="n">
        <v>31700000</v>
      </c>
      <c r="AZ746" s="71" t="n">
        <v>31700000</v>
      </c>
      <c r="BA746" s="71" t="n">
        <v>1756267</v>
      </c>
      <c r="BB746" s="71" t="n">
        <v>1373293.84</v>
      </c>
      <c r="BC746" s="69" t="inlineStr">
        <is>
          <t>Recapitalization</t>
        </is>
      </c>
      <c r="BD746" s="69" t="inlineStr">
        <is>
          <t>N</t>
        </is>
      </c>
      <c r="BE746" s="71" t="n"/>
      <c r="BF746" s="71" t="n"/>
      <c r="BG746" s="71" t="n"/>
      <c r="BH746" s="71" t="n">
        <v>0</v>
      </c>
      <c r="BI746" s="71" t="n">
        <v>0</v>
      </c>
      <c r="BJ746" s="69" t="inlineStr">
        <is>
          <t>N</t>
        </is>
      </c>
      <c r="BK746" s="69" t="inlineStr">
        <is>
          <t>Lincoln Manufacturing</t>
        </is>
      </c>
      <c r="BL746" s="75" t="n">
        <v>25.3</v>
      </c>
      <c r="BM746" s="73" t="n">
        <v>44742</v>
      </c>
      <c r="BN746" s="69" t="inlineStr">
        <is>
          <t>John E. Frantz</t>
        </is>
      </c>
      <c r="BO746" s="69" t="inlineStr">
        <is>
          <t>CIBC</t>
        </is>
      </c>
      <c r="BP746" s="69" t="inlineStr">
        <is>
          <t>Midland Loan Services</t>
        </is>
      </c>
      <c r="BQ746" s="69" t="inlineStr">
        <is>
          <t>Midland Loan Services</t>
        </is>
      </c>
      <c r="BR746" s="69" t="inlineStr">
        <is>
          <t>Payoff With Yield Maintenance</t>
        </is>
      </c>
      <c r="BS746" s="73" t="n">
        <v>44937</v>
      </c>
      <c r="BU746" s="76">
        <f>IF($C746="","",IFERROR(INDEX(dmName,MATCH($C746,dmID,0)),"Unmapped"))</f>
        <v/>
      </c>
      <c r="BV746" s="76">
        <f>IF($C746="","",IFERROR(INDEX(dmEntity,MATCH($C746,dmID,0)),"Unmapped"))</f>
        <v/>
      </c>
      <c r="BW746" s="77">
        <f>IF($C746="","",IFERROR(INDEX(dmVintage,MATCH($C746,dmID,0)),""))</f>
        <v/>
      </c>
      <c r="BX746" s="78">
        <f>IFERROR(INDEX(dmInclude,MATCH($C746,dmID,0)),0)</f>
        <v/>
      </c>
      <c r="BY746" s="78">
        <f>IF(N($I746)&gt;0,1,0)</f>
        <v/>
      </c>
      <c r="BZ746" s="76">
        <f>IF($AJ746="","Other / Leased Fee",IFERROR(INDEX(mapPTGroup,MATCH(LEFT(TRIM($AJ746),2),mapPTCode,0)),"Other / Leased Fee"))</f>
        <v/>
      </c>
      <c r="CA746" s="76">
        <f>IF(TRIM($AF746&amp;"")="","NR",LEFT(TRIM($AF746),2))</f>
        <v/>
      </c>
      <c r="CB746" s="76">
        <f>IFERROR(LOOKUP(2,1/(LEFT(TRIM($AI746&amp;""),LEN(mapRegion))=mapRegion),mapRegion),"Not Reported")</f>
        <v/>
      </c>
      <c r="CC746" s="76">
        <f>IF($BY746=0,"",IF(TRIM($W746&amp;"")="REO","REO",IF(TRIM($W746&amp;"")="FC","Foreclosure",IF(TRIM($W746&amp;"")="90+","90+ Days Delinquent",IF(TRIM($W746&amp;"")="60","60 Days Delinquent",IF(TRIM($W746&amp;"")="30","30 Days Delinquent",IF($X746="Non-Performing Matured Balloon","Non-Performing Matured Balloon",IF(OR($X746="Late Payment But Less Than 30 Days Delinquent",LEFT($X746&amp;"",20)="Payment Not Received"),"Late / In Grace (&lt;30 Days)",IF($X746="Performing Matured Balloon","Performing Matured Balloon","Current")))))))))</f>
        <v/>
      </c>
      <c r="CD746" s="78">
        <f>IF(OR($CC746="REO",$CC746="Foreclosure",$CC746="90+ Days Delinquent",$CC746="60 Days Delinquent",$CC746="30 Days Delinquent",$CC746="Non-Performing Matured Balloon"),1,0)</f>
        <v/>
      </c>
      <c r="CE746" s="76">
        <f>IF($AB746="Currently special serv","Currently Specially Serviced",IF($AB746="Returned to master serv","Previously Specially Serviced","Never Specially Serviced"))</f>
        <v/>
      </c>
      <c r="CF746" s="78">
        <f>IF($CE746="Currently Specially Serviced",1,0)</f>
        <v/>
      </c>
      <c r="CG746" s="76">
        <f>IF($AA746="Yes","Currently on Watchlist",IF($AA746="Previously","Previously on Watchlist","Never on Watchlist"))</f>
        <v/>
      </c>
      <c r="CH746" s="78">
        <f>IF($CG746="Currently on Watchlist",1,0)</f>
        <v/>
      </c>
      <c r="CI746" s="76">
        <f>IF($Z746="Full Defeasance","Fully Defeased",IF($Z746="Portion Of Loan Previously Defeased","Partially Defeased",IF($Z746="Defeasance Not Allowable","Not Defeased (Not Permitted)","Not Defeased")))</f>
        <v/>
      </c>
      <c r="CJ746" s="78">
        <f>IF($CI746="Fully Defeased",1,0)</f>
        <v/>
      </c>
      <c r="CK746" s="76">
        <f>IF($R746="IO","Full IO",IF(LEFT($R746&amp;"",7)="IO then","Partial IO","Amortizing"))</f>
        <v/>
      </c>
      <c r="CL746" s="78">
        <f>IF($CK746="Full IO",1,0)</f>
        <v/>
      </c>
      <c r="CM746" s="78">
        <f>IF($CK746="Partial IO",1,0)</f>
        <v/>
      </c>
      <c r="CN746" s="76">
        <f>IF(LEFT($F746&amp;"",10)="SPLIT_LOAN","Pari Passu Split","Standalone")</f>
        <v/>
      </c>
      <c r="CO746" s="78">
        <f>IF($CN746="Pari Passu Split",1,0)</f>
        <v/>
      </c>
      <c r="CP746" s="77">
        <f>IF(ISNUMBER($T746),YEAR($T746),"")</f>
        <v/>
      </c>
      <c r="CQ746" s="79">
        <f>IF(ISNUMBER($V746),$V746,IF(ISNUMBER($U746),$U746,""))</f>
        <v/>
      </c>
      <c r="CR746" s="77">
        <f>IF(ISNUMBER($CQ746),YEAR($CQ746),"")</f>
        <v/>
      </c>
      <c r="CS746" s="78">
        <f>IF(ISNUMBER($M746),MAX(0,$M746),IF(TRIM($M746&amp;"")="matured",0,""))</f>
        <v/>
      </c>
      <c r="CT746" s="78">
        <f>IF(AND(ISNUMBER($CS746),N($CS746)&lt;=mMatWindow),1,0)</f>
        <v/>
      </c>
      <c r="CU746" s="80">
        <f>IF(ISNUMBER($J746),$J746/100,"")</f>
        <v/>
      </c>
      <c r="CV746" s="81">
        <f>IF(ISNUMBER($AQ746),$AQ746,"")</f>
        <v/>
      </c>
      <c r="CW746" s="81">
        <f>IF(ISNUMBER($AR746),$AR746,"")</f>
        <v/>
      </c>
      <c r="CX746" s="82">
        <f>IF(ISNUMBER($AS746),$AS746/100,"")</f>
        <v/>
      </c>
      <c r="CY746" s="82">
        <f>IF(ISNUMBER($AT746),$AT746/100,"")</f>
        <v/>
      </c>
      <c r="CZ746" s="82">
        <f>IF(ISNUMBER($AU746),$AU746/100,"")</f>
        <v/>
      </c>
      <c r="DA746" s="82">
        <f>IF(ISNUMBER($AV746),$AV746/100,"")</f>
        <v/>
      </c>
      <c r="DB746" s="82">
        <f>IF(ISNUMBER($AW746),$AW746/100,"")</f>
        <v/>
      </c>
      <c r="DC746" s="82">
        <f>IF(ISNUMBER($AX746),$AX746/100,"")</f>
        <v/>
      </c>
      <c r="DD746" s="77">
        <f>IFERROR(VALUE(LEFT(TRIM($AO746&amp;""),4)),"")</f>
        <v/>
      </c>
      <c r="DE746" s="78">
        <f>IF(AND($BY746=1,$BX746=1,OR(fDeal="All Deals",$BU746=fDeal),OR(fEntity="All Entities",$BV746=fEntity),OR(fPType="All Property Types",$BZ746=fPType),OR(fDefeased="Include",$CJ746=0)),1,0)</f>
        <v/>
      </c>
      <c r="DF746" s="83">
        <f>$DE746*N($I746)</f>
        <v/>
      </c>
      <c r="DG746" s="78">
        <f>IF($DE746=1,IF(COUNTIFS($F$8:$F746,$F746,$DE$8:$DE746,1)=1,1,0),0)</f>
        <v/>
      </c>
      <c r="DH746" s="83">
        <f>IF($DG746=1,SUMIFS($DF$8:$DF$1600,$F$8:$F$1600,$F746),0)</f>
        <v/>
      </c>
      <c r="DI746" s="78">
        <f>IF($DG746=1,COUNTIFS($F$8:$F$1600,$F746,$DE$8:$DE$1600,1),0)</f>
        <v/>
      </c>
      <c r="DJ746" s="84">
        <f>IF($DG746=1,$DH746+(100000-ROW())/mTieBreak,0)</f>
        <v/>
      </c>
    </row>
    <row r="747">
      <c r="B747" s="68" t="n">
        <v>18</v>
      </c>
      <c r="C747" s="69" t="inlineStr">
        <is>
          <t>UBS18C15</t>
        </is>
      </c>
      <c r="D747" s="69" t="inlineStr">
        <is>
          <t>18.000</t>
        </is>
      </c>
      <c r="E747" s="69" t="inlineStr">
        <is>
          <t>Nebraska Crossing</t>
        </is>
      </c>
      <c r="F747" s="69" t="inlineStr">
        <is>
          <t>SPLIT_LOAN_01442</t>
        </is>
      </c>
      <c r="G747" s="70" t="n">
        <v>1442</v>
      </c>
      <c r="H747" s="71" t="n">
        <v>13000000</v>
      </c>
      <c r="I747" s="71" t="n">
        <v>12465330.249996</v>
      </c>
      <c r="J747" s="72" t="n">
        <v>5.21</v>
      </c>
      <c r="K747" s="69" t="inlineStr">
        <is>
          <t>Fixed rate</t>
        </is>
      </c>
      <c r="L747" s="68" t="n">
        <v>120</v>
      </c>
      <c r="M747" s="68" t="n">
        <v>26</v>
      </c>
      <c r="N747" s="68" t="n">
        <v>420</v>
      </c>
      <c r="O747" s="68" t="n">
        <v>60</v>
      </c>
      <c r="P747" s="68" t="n">
        <v>0</v>
      </c>
      <c r="Q747" s="68" t="n">
        <v>94</v>
      </c>
      <c r="R747" s="69" t="inlineStr">
        <is>
          <t>IO then Amort</t>
        </is>
      </c>
      <c r="S747" s="69" t="inlineStr">
        <is>
          <t>No</t>
        </is>
      </c>
      <c r="T747" s="73" t="n">
        <v>43405</v>
      </c>
      <c r="U747" s="73" t="n">
        <v>47058</v>
      </c>
      <c r="V747" s="73" t="n"/>
      <c r="W747" s="69" t="n"/>
      <c r="X747" s="69" t="inlineStr">
        <is>
          <t>Current</t>
        </is>
      </c>
      <c r="Y747" s="68" t="n"/>
      <c r="Z747" s="69" t="inlineStr">
        <is>
          <t>No Defeasance Occurred</t>
        </is>
      </c>
      <c r="AA747" s="69" t="inlineStr">
        <is>
          <t>Previously</t>
        </is>
      </c>
      <c r="AB747" s="69" t="inlineStr">
        <is>
          <t>Returned to master serv</t>
        </is>
      </c>
      <c r="AC747" s="73" t="n"/>
      <c r="AD747" s="69" t="inlineStr">
        <is>
          <t>Other</t>
        </is>
      </c>
      <c r="AE747" s="69" t="inlineStr">
        <is>
          <t>Resolved</t>
        </is>
      </c>
      <c r="AF747" s="69" t="inlineStr">
        <is>
          <t>NE</t>
        </is>
      </c>
      <c r="AG747" s="69" t="inlineStr">
        <is>
          <t>Gretna</t>
        </is>
      </c>
      <c r="AH747" s="69" t="inlineStr">
        <is>
          <t>Omaha, NE-IA</t>
        </is>
      </c>
      <c r="AI747" s="69" t="inlineStr">
        <is>
          <t>Midwest / Central West</t>
        </is>
      </c>
      <c r="AJ747" s="69" t="inlineStr">
        <is>
          <t>RT</t>
        </is>
      </c>
      <c r="AK747" s="69" t="inlineStr">
        <is>
          <t>Factory Outlet</t>
        </is>
      </c>
      <c r="AL747" s="68" t="n">
        <v>1</v>
      </c>
      <c r="AM747" s="68" t="n"/>
      <c r="AN747" s="68" t="n">
        <v>367047</v>
      </c>
      <c r="AO747" s="69" t="inlineStr">
        <is>
          <t>2013</t>
        </is>
      </c>
      <c r="AP747" s="70" t="n">
        <v>2013</v>
      </c>
      <c r="AQ747" s="74" t="n">
        <v>2.27</v>
      </c>
      <c r="AR747" s="74" t="n">
        <v>1.94</v>
      </c>
      <c r="AS747" s="74" t="n">
        <v>47.7</v>
      </c>
      <c r="AT747" s="74" t="n">
        <v>71.42</v>
      </c>
      <c r="AU747" s="74" t="n">
        <v>44.1</v>
      </c>
      <c r="AV747" s="74" t="n">
        <v>11.974959594</v>
      </c>
      <c r="AW747" s="74" t="n">
        <v>14.558799193</v>
      </c>
      <c r="AX747" s="75" t="n">
        <v>95</v>
      </c>
      <c r="AY747" s="71" t="n">
        <v>150000000</v>
      </c>
      <c r="AZ747" s="71" t="n">
        <v>96000000</v>
      </c>
      <c r="BA747" s="71" t="n">
        <v>8562096.109999999</v>
      </c>
      <c r="BB747" s="71" t="n">
        <v>2285600.2</v>
      </c>
      <c r="BC747" s="69" t="inlineStr">
        <is>
          <t>Refinance</t>
        </is>
      </c>
      <c r="BD747" s="69" t="inlineStr">
        <is>
          <t>N</t>
        </is>
      </c>
      <c r="BE747" s="71" t="n">
        <v>56093986.13</v>
      </c>
      <c r="BF747" s="71" t="n"/>
      <c r="BG747" s="71" t="n"/>
      <c r="BH747" s="71" t="n">
        <v>0</v>
      </c>
      <c r="BI747" s="71" t="n">
        <v>0</v>
      </c>
      <c r="BJ747" s="69" t="inlineStr">
        <is>
          <t>N</t>
        </is>
      </c>
      <c r="BK747" s="69" t="inlineStr">
        <is>
          <t>H&amp;M</t>
        </is>
      </c>
      <c r="BL747" s="75" t="n">
        <v>6.52</v>
      </c>
      <c r="BM747" s="73" t="n">
        <v>46783</v>
      </c>
      <c r="BN747" s="69" t="inlineStr">
        <is>
          <t>Rod Yates</t>
        </is>
      </c>
      <c r="BO747" s="69" t="inlineStr">
        <is>
          <t>Societe Generale</t>
        </is>
      </c>
      <c r="BP747" s="69" t="inlineStr">
        <is>
          <t>Midland Loan Services</t>
        </is>
      </c>
      <c r="BQ747" s="69" t="inlineStr">
        <is>
          <t>Rialto Capital</t>
        </is>
      </c>
      <c r="BR747" s="69" t="n"/>
      <c r="BS747" s="73" t="n">
        <v>46276</v>
      </c>
      <c r="BU747" s="76">
        <f>IF($C747="","",IFERROR(INDEX(dmName,MATCH($C747,dmID,0)),"Unmapped"))</f>
        <v/>
      </c>
      <c r="BV747" s="76">
        <f>IF($C747="","",IFERROR(INDEX(dmEntity,MATCH($C747,dmID,0)),"Unmapped"))</f>
        <v/>
      </c>
      <c r="BW747" s="77">
        <f>IF($C747="","",IFERROR(INDEX(dmVintage,MATCH($C747,dmID,0)),""))</f>
        <v/>
      </c>
      <c r="BX747" s="78">
        <f>IFERROR(INDEX(dmInclude,MATCH($C747,dmID,0)),0)</f>
        <v/>
      </c>
      <c r="BY747" s="78">
        <f>IF(N($I747)&gt;0,1,0)</f>
        <v/>
      </c>
      <c r="BZ747" s="76">
        <f>IF($AJ747="","Other / Leased Fee",IFERROR(INDEX(mapPTGroup,MATCH(LEFT(TRIM($AJ747),2),mapPTCode,0)),"Other / Leased Fee"))</f>
        <v/>
      </c>
      <c r="CA747" s="76">
        <f>IF(TRIM($AF747&amp;"")="","NR",LEFT(TRIM($AF747),2))</f>
        <v/>
      </c>
      <c r="CB747" s="76">
        <f>IFERROR(LOOKUP(2,1/(LEFT(TRIM($AI747&amp;""),LEN(mapRegion))=mapRegion),mapRegion),"Not Reported")</f>
        <v/>
      </c>
      <c r="CC747" s="76">
        <f>IF($BY747=0,"",IF(TRIM($W747&amp;"")="REO","REO",IF(TRIM($W747&amp;"")="FC","Foreclosure",IF(TRIM($W747&amp;"")="90+","90+ Days Delinquent",IF(TRIM($W747&amp;"")="60","60 Days Delinquent",IF(TRIM($W747&amp;"")="30","30 Days Delinquent",IF($X747="Non-Performing Matured Balloon","Non-Performing Matured Balloon",IF(OR($X747="Late Payment But Less Than 30 Days Delinquent",LEFT($X747&amp;"",20)="Payment Not Received"),"Late / In Grace (&lt;30 Days)",IF($X747="Performing Matured Balloon","Performing Matured Balloon","Current")))))))))</f>
        <v/>
      </c>
      <c r="CD747" s="78">
        <f>IF(OR($CC747="REO",$CC747="Foreclosure",$CC747="90+ Days Delinquent",$CC747="60 Days Delinquent",$CC747="30 Days Delinquent",$CC747="Non-Performing Matured Balloon"),1,0)</f>
        <v/>
      </c>
      <c r="CE747" s="76">
        <f>IF($AB747="Currently special serv","Currently Specially Serviced",IF($AB747="Returned to master serv","Previously Specially Serviced","Never Specially Serviced"))</f>
        <v/>
      </c>
      <c r="CF747" s="78">
        <f>IF($CE747="Currently Specially Serviced",1,0)</f>
        <v/>
      </c>
      <c r="CG747" s="76">
        <f>IF($AA747="Yes","Currently on Watchlist",IF($AA747="Previously","Previously on Watchlist","Never on Watchlist"))</f>
        <v/>
      </c>
      <c r="CH747" s="78">
        <f>IF($CG747="Currently on Watchlist",1,0)</f>
        <v/>
      </c>
      <c r="CI747" s="76">
        <f>IF($Z747="Full Defeasance","Fully Defeased",IF($Z747="Portion Of Loan Previously Defeased","Partially Defeased",IF($Z747="Defeasance Not Allowable","Not Defeased (Not Permitted)","Not Defeased")))</f>
        <v/>
      </c>
      <c r="CJ747" s="78">
        <f>IF($CI747="Fully Defeased",1,0)</f>
        <v/>
      </c>
      <c r="CK747" s="76">
        <f>IF($R747="IO","Full IO",IF(LEFT($R747&amp;"",7)="IO then","Partial IO","Amortizing"))</f>
        <v/>
      </c>
      <c r="CL747" s="78">
        <f>IF($CK747="Full IO",1,0)</f>
        <v/>
      </c>
      <c r="CM747" s="78">
        <f>IF($CK747="Partial IO",1,0)</f>
        <v/>
      </c>
      <c r="CN747" s="76">
        <f>IF(LEFT($F747&amp;"",10)="SPLIT_LOAN","Pari Passu Split","Standalone")</f>
        <v/>
      </c>
      <c r="CO747" s="78">
        <f>IF($CN747="Pari Passu Split",1,0)</f>
        <v/>
      </c>
      <c r="CP747" s="77">
        <f>IF(ISNUMBER($T747),YEAR($T747),"")</f>
        <v/>
      </c>
      <c r="CQ747" s="79">
        <f>IF(ISNUMBER($V747),$V747,IF(ISNUMBER($U747),$U747,""))</f>
        <v/>
      </c>
      <c r="CR747" s="77">
        <f>IF(ISNUMBER($CQ747),YEAR($CQ747),"")</f>
        <v/>
      </c>
      <c r="CS747" s="78">
        <f>IF(ISNUMBER($M747),MAX(0,$M747),IF(TRIM($M747&amp;"")="matured",0,""))</f>
        <v/>
      </c>
      <c r="CT747" s="78">
        <f>IF(AND(ISNUMBER($CS747),N($CS747)&lt;=mMatWindow),1,0)</f>
        <v/>
      </c>
      <c r="CU747" s="80">
        <f>IF(ISNUMBER($J747),$J747/100,"")</f>
        <v/>
      </c>
      <c r="CV747" s="81">
        <f>IF(ISNUMBER($AQ747),$AQ747,"")</f>
        <v/>
      </c>
      <c r="CW747" s="81">
        <f>IF(ISNUMBER($AR747),$AR747,"")</f>
        <v/>
      </c>
      <c r="CX747" s="82">
        <f>IF(ISNUMBER($AS747),$AS747/100,"")</f>
        <v/>
      </c>
      <c r="CY747" s="82">
        <f>IF(ISNUMBER($AT747),$AT747/100,"")</f>
        <v/>
      </c>
      <c r="CZ747" s="82">
        <f>IF(ISNUMBER($AU747),$AU747/100,"")</f>
        <v/>
      </c>
      <c r="DA747" s="82">
        <f>IF(ISNUMBER($AV747),$AV747/100,"")</f>
        <v/>
      </c>
      <c r="DB747" s="82">
        <f>IF(ISNUMBER($AW747),$AW747/100,"")</f>
        <v/>
      </c>
      <c r="DC747" s="82">
        <f>IF(ISNUMBER($AX747),$AX747/100,"")</f>
        <v/>
      </c>
      <c r="DD747" s="77">
        <f>IFERROR(VALUE(LEFT(TRIM($AO747&amp;""),4)),"")</f>
        <v/>
      </c>
      <c r="DE747" s="78">
        <f>IF(AND($BY747=1,$BX747=1,OR(fDeal="All Deals",$BU747=fDeal),OR(fEntity="All Entities",$BV747=fEntity),OR(fPType="All Property Types",$BZ747=fPType),OR(fDefeased="Include",$CJ747=0)),1,0)</f>
        <v/>
      </c>
      <c r="DF747" s="83">
        <f>$DE747*N($I747)</f>
        <v/>
      </c>
      <c r="DG747" s="78">
        <f>IF($DE747=1,IF(COUNTIFS($F$8:$F747,$F747,$DE$8:$DE747,1)=1,1,0),0)</f>
        <v/>
      </c>
      <c r="DH747" s="83">
        <f>IF($DG747=1,SUMIFS($DF$8:$DF$1600,$F$8:$F$1600,$F747),0)</f>
        <v/>
      </c>
      <c r="DI747" s="78">
        <f>IF($DG747=1,COUNTIFS($F$8:$F$1600,$F747,$DE$8:$DE$1600,1),0)</f>
        <v/>
      </c>
      <c r="DJ747" s="84">
        <f>IF($DG747=1,$DH747+(100000-ROW())/mTieBreak,0)</f>
        <v/>
      </c>
    </row>
    <row r="748">
      <c r="B748" s="68" t="n">
        <v>19</v>
      </c>
      <c r="C748" s="69" t="inlineStr">
        <is>
          <t>UBS18C15</t>
        </is>
      </c>
      <c r="D748" s="69" t="inlineStr">
        <is>
          <t>19.000</t>
        </is>
      </c>
      <c r="E748" s="69" t="inlineStr">
        <is>
          <t>345 Flats</t>
        </is>
      </c>
      <c r="F748" s="69" t="inlineStr">
        <is>
          <t>LNUBS18C15-19.000</t>
        </is>
      </c>
      <c r="G748" s="70" t="n"/>
      <c r="H748" s="71" t="n">
        <v>12750000</v>
      </c>
      <c r="I748" s="71" t="n">
        <v>12255784.97999925</v>
      </c>
      <c r="J748" s="72" t="n">
        <v>5.191</v>
      </c>
      <c r="K748" s="69" t="inlineStr">
        <is>
          <t>Fixed rate</t>
        </is>
      </c>
      <c r="L748" s="68" t="n">
        <v>120</v>
      </c>
      <c r="M748" s="68" t="n">
        <v>27</v>
      </c>
      <c r="N748" s="68" t="n">
        <v>420</v>
      </c>
      <c r="O748" s="68" t="n">
        <v>60</v>
      </c>
      <c r="P748" s="68" t="n">
        <v>0</v>
      </c>
      <c r="Q748" s="68" t="n">
        <v>93</v>
      </c>
      <c r="R748" s="69" t="inlineStr">
        <is>
          <t>IO then Amort</t>
        </is>
      </c>
      <c r="S748" s="69" t="inlineStr">
        <is>
          <t>No</t>
        </is>
      </c>
      <c r="T748" s="73" t="n">
        <v>43435</v>
      </c>
      <c r="U748" s="73" t="n">
        <v>47093</v>
      </c>
      <c r="V748" s="73" t="n"/>
      <c r="W748" s="69" t="inlineStr">
        <is>
          <t>30</t>
        </is>
      </c>
      <c r="X748" s="69" t="inlineStr">
        <is>
          <t>30-59 Days Delinquent</t>
        </is>
      </c>
      <c r="Y748" s="68" t="n">
        <v>1</v>
      </c>
      <c r="Z748" s="69" t="inlineStr">
        <is>
          <t>Defeasance Not Allowable</t>
        </is>
      </c>
      <c r="AA748" s="69" t="inlineStr">
        <is>
          <t>Previously</t>
        </is>
      </c>
      <c r="AB748" s="69" t="inlineStr">
        <is>
          <t>Currently special serv</t>
        </is>
      </c>
      <c r="AC748" s="73" t="n">
        <v>45947</v>
      </c>
      <c r="AD748" s="69" t="inlineStr">
        <is>
          <t>Other</t>
        </is>
      </c>
      <c r="AE748" s="69" t="inlineStr">
        <is>
          <t>Foreclosure</t>
        </is>
      </c>
      <c r="AF748" s="69" t="inlineStr">
        <is>
          <t>OH</t>
        </is>
      </c>
      <c r="AG748" s="69" t="inlineStr">
        <is>
          <t>Kent</t>
        </is>
      </c>
      <c r="AH748" s="69" t="inlineStr">
        <is>
          <t>Akron, OH</t>
        </is>
      </c>
      <c r="AI748" s="69" t="inlineStr">
        <is>
          <t>Midwest / Central East</t>
        </is>
      </c>
      <c r="AJ748" s="69" t="inlineStr">
        <is>
          <t>MF</t>
        </is>
      </c>
      <c r="AK748" s="69" t="inlineStr">
        <is>
          <t>Student</t>
        </is>
      </c>
      <c r="AL748" s="68" t="n">
        <v>1</v>
      </c>
      <c r="AM748" s="68" t="n">
        <v>288</v>
      </c>
      <c r="AN748" s="68" t="n"/>
      <c r="AO748" s="69" t="inlineStr">
        <is>
          <t>2016</t>
        </is>
      </c>
      <c r="AP748" s="70" t="n">
        <v>2016</v>
      </c>
      <c r="AQ748" s="74" t="n">
        <v>2.28</v>
      </c>
      <c r="AR748" s="74" t="n">
        <v>1.76</v>
      </c>
      <c r="AS748" s="74" t="n">
        <v>46.2</v>
      </c>
      <c r="AT748" s="74" t="n">
        <v>44.41</v>
      </c>
      <c r="AU748" s="74" t="n">
        <v>42.7</v>
      </c>
      <c r="AV748" s="74" t="n">
        <v>11.975411294</v>
      </c>
      <c r="AW748" s="74" t="n">
        <v>12.079782017</v>
      </c>
      <c r="AX748" s="75" t="n">
        <v>95</v>
      </c>
      <c r="AY748" s="71" t="n">
        <v>27600000</v>
      </c>
      <c r="AZ748" s="71" t="n">
        <v>27600000</v>
      </c>
      <c r="BA748" s="71" t="n">
        <v>1526864.94</v>
      </c>
      <c r="BB748" s="71" t="n">
        <v>1480472.11</v>
      </c>
      <c r="BC748" s="69" t="inlineStr">
        <is>
          <t>Acquisition</t>
        </is>
      </c>
      <c r="BD748" s="69" t="inlineStr">
        <is>
          <t>N</t>
        </is>
      </c>
      <c r="BE748" s="71" t="n"/>
      <c r="BF748" s="71" t="n"/>
      <c r="BG748" s="71" t="n"/>
      <c r="BH748" s="71" t="n">
        <v>0</v>
      </c>
      <c r="BI748" s="71" t="n">
        <v>139828.67</v>
      </c>
      <c r="BJ748" s="69" t="inlineStr">
        <is>
          <t>N</t>
        </is>
      </c>
      <c r="BK748" s="69" t="n"/>
      <c r="BL748" s="75" t="n"/>
      <c r="BM748" s="73" t="n"/>
      <c r="BN748" s="69" t="inlineStr">
        <is>
          <t>Brian Nelson</t>
        </is>
      </c>
      <c r="BO748" s="69" t="inlineStr">
        <is>
          <t>UBS</t>
        </is>
      </c>
      <c r="BP748" s="69" t="inlineStr">
        <is>
          <t>Midland Loan Services</t>
        </is>
      </c>
      <c r="BQ748" s="69" t="inlineStr">
        <is>
          <t>K-Star Asset Management LLC</t>
        </is>
      </c>
      <c r="BR748" s="69" t="n"/>
      <c r="BS748" s="73" t="n">
        <v>46276</v>
      </c>
      <c r="BU748" s="76">
        <f>IF($C748="","",IFERROR(INDEX(dmName,MATCH($C748,dmID,0)),"Unmapped"))</f>
        <v/>
      </c>
      <c r="BV748" s="76">
        <f>IF($C748="","",IFERROR(INDEX(dmEntity,MATCH($C748,dmID,0)),"Unmapped"))</f>
        <v/>
      </c>
      <c r="BW748" s="77">
        <f>IF($C748="","",IFERROR(INDEX(dmVintage,MATCH($C748,dmID,0)),""))</f>
        <v/>
      </c>
      <c r="BX748" s="78">
        <f>IFERROR(INDEX(dmInclude,MATCH($C748,dmID,0)),0)</f>
        <v/>
      </c>
      <c r="BY748" s="78">
        <f>IF(N($I748)&gt;0,1,0)</f>
        <v/>
      </c>
      <c r="BZ748" s="76">
        <f>IF($AJ748="","Other / Leased Fee",IFERROR(INDEX(mapPTGroup,MATCH(LEFT(TRIM($AJ748),2),mapPTCode,0)),"Other / Leased Fee"))</f>
        <v/>
      </c>
      <c r="CA748" s="76">
        <f>IF(TRIM($AF748&amp;"")="","NR",LEFT(TRIM($AF748),2))</f>
        <v/>
      </c>
      <c r="CB748" s="76">
        <f>IFERROR(LOOKUP(2,1/(LEFT(TRIM($AI748&amp;""),LEN(mapRegion))=mapRegion),mapRegion),"Not Reported")</f>
        <v/>
      </c>
      <c r="CC748" s="76">
        <f>IF($BY748=0,"",IF(TRIM($W748&amp;"")="REO","REO",IF(TRIM($W748&amp;"")="FC","Foreclosure",IF(TRIM($W748&amp;"")="90+","90+ Days Delinquent",IF(TRIM($W748&amp;"")="60","60 Days Delinquent",IF(TRIM($W748&amp;"")="30","30 Days Delinquent",IF($X748="Non-Performing Matured Balloon","Non-Performing Matured Balloon",IF(OR($X748="Late Payment But Less Than 30 Days Delinquent",LEFT($X748&amp;"",20)="Payment Not Received"),"Late / In Grace (&lt;30 Days)",IF($X748="Performing Matured Balloon","Performing Matured Balloon","Current")))))))))</f>
        <v/>
      </c>
      <c r="CD748" s="78">
        <f>IF(OR($CC748="REO",$CC748="Foreclosure",$CC748="90+ Days Delinquent",$CC748="60 Days Delinquent",$CC748="30 Days Delinquent",$CC748="Non-Performing Matured Balloon"),1,0)</f>
        <v/>
      </c>
      <c r="CE748" s="76">
        <f>IF($AB748="Currently special serv","Currently Specially Serviced",IF($AB748="Returned to master serv","Previously Specially Serviced","Never Specially Serviced"))</f>
        <v/>
      </c>
      <c r="CF748" s="78">
        <f>IF($CE748="Currently Specially Serviced",1,0)</f>
        <v/>
      </c>
      <c r="CG748" s="76">
        <f>IF($AA748="Yes","Currently on Watchlist",IF($AA748="Previously","Previously on Watchlist","Never on Watchlist"))</f>
        <v/>
      </c>
      <c r="CH748" s="78">
        <f>IF($CG748="Currently on Watchlist",1,0)</f>
        <v/>
      </c>
      <c r="CI748" s="76">
        <f>IF($Z748="Full Defeasance","Fully Defeased",IF($Z748="Portion Of Loan Previously Defeased","Partially Defeased",IF($Z748="Defeasance Not Allowable","Not Defeased (Not Permitted)","Not Defeased")))</f>
        <v/>
      </c>
      <c r="CJ748" s="78">
        <f>IF($CI748="Fully Defeased",1,0)</f>
        <v/>
      </c>
      <c r="CK748" s="76">
        <f>IF($R748="IO","Full IO",IF(LEFT($R748&amp;"",7)="IO then","Partial IO","Amortizing"))</f>
        <v/>
      </c>
      <c r="CL748" s="78">
        <f>IF($CK748="Full IO",1,0)</f>
        <v/>
      </c>
      <c r="CM748" s="78">
        <f>IF($CK748="Partial IO",1,0)</f>
        <v/>
      </c>
      <c r="CN748" s="76">
        <f>IF(LEFT($F748&amp;"",10)="SPLIT_LOAN","Pari Passu Split","Standalone")</f>
        <v/>
      </c>
      <c r="CO748" s="78">
        <f>IF($CN748="Pari Passu Split",1,0)</f>
        <v/>
      </c>
      <c r="CP748" s="77">
        <f>IF(ISNUMBER($T748),YEAR($T748),"")</f>
        <v/>
      </c>
      <c r="CQ748" s="79">
        <f>IF(ISNUMBER($V748),$V748,IF(ISNUMBER($U748),$U748,""))</f>
        <v/>
      </c>
      <c r="CR748" s="77">
        <f>IF(ISNUMBER($CQ748),YEAR($CQ748),"")</f>
        <v/>
      </c>
      <c r="CS748" s="78">
        <f>IF(ISNUMBER($M748),MAX(0,$M748),IF(TRIM($M748&amp;"")="matured",0,""))</f>
        <v/>
      </c>
      <c r="CT748" s="78">
        <f>IF(AND(ISNUMBER($CS748),N($CS748)&lt;=mMatWindow),1,0)</f>
        <v/>
      </c>
      <c r="CU748" s="80">
        <f>IF(ISNUMBER($J748),$J748/100,"")</f>
        <v/>
      </c>
      <c r="CV748" s="81">
        <f>IF(ISNUMBER($AQ748),$AQ748,"")</f>
        <v/>
      </c>
      <c r="CW748" s="81">
        <f>IF(ISNUMBER($AR748),$AR748,"")</f>
        <v/>
      </c>
      <c r="CX748" s="82">
        <f>IF(ISNUMBER($AS748),$AS748/100,"")</f>
        <v/>
      </c>
      <c r="CY748" s="82">
        <f>IF(ISNUMBER($AT748),$AT748/100,"")</f>
        <v/>
      </c>
      <c r="CZ748" s="82">
        <f>IF(ISNUMBER($AU748),$AU748/100,"")</f>
        <v/>
      </c>
      <c r="DA748" s="82">
        <f>IF(ISNUMBER($AV748),$AV748/100,"")</f>
        <v/>
      </c>
      <c r="DB748" s="82">
        <f>IF(ISNUMBER($AW748),$AW748/100,"")</f>
        <v/>
      </c>
      <c r="DC748" s="82">
        <f>IF(ISNUMBER($AX748),$AX748/100,"")</f>
        <v/>
      </c>
      <c r="DD748" s="77">
        <f>IFERROR(VALUE(LEFT(TRIM($AO748&amp;""),4)),"")</f>
        <v/>
      </c>
      <c r="DE748" s="78">
        <f>IF(AND($BY748=1,$BX748=1,OR(fDeal="All Deals",$BU748=fDeal),OR(fEntity="All Entities",$BV748=fEntity),OR(fPType="All Property Types",$BZ748=fPType),OR(fDefeased="Include",$CJ748=0)),1,0)</f>
        <v/>
      </c>
      <c r="DF748" s="83">
        <f>$DE748*N($I748)</f>
        <v/>
      </c>
      <c r="DG748" s="78">
        <f>IF($DE748=1,IF(COUNTIFS($F$8:$F748,$F748,$DE$8:$DE748,1)=1,1,0),0)</f>
        <v/>
      </c>
      <c r="DH748" s="83">
        <f>IF($DG748=1,SUMIFS($DF$8:$DF$1600,$F$8:$F$1600,$F748),0)</f>
        <v/>
      </c>
      <c r="DI748" s="78">
        <f>IF($DG748=1,COUNTIFS($F$8:$F$1600,$F748,$DE$8:$DE$1600,1),0)</f>
        <v/>
      </c>
      <c r="DJ748" s="84">
        <f>IF($DG748=1,$DH748+(100000-ROW())/mTieBreak,0)</f>
        <v/>
      </c>
    </row>
    <row r="749">
      <c r="B749" s="68" t="n">
        <v>20</v>
      </c>
      <c r="C749" s="69" t="inlineStr">
        <is>
          <t>UBS18C15</t>
        </is>
      </c>
      <c r="D749" s="69" t="inlineStr">
        <is>
          <t>20.000</t>
        </is>
      </c>
      <c r="E749" s="69" t="inlineStr">
        <is>
          <t>Main Street Commons</t>
        </is>
      </c>
      <c r="F749" s="69" t="inlineStr">
        <is>
          <t>LNUBS18C15-20.000</t>
        </is>
      </c>
      <c r="G749" s="70" t="n"/>
      <c r="H749" s="71" t="n">
        <v>12560000</v>
      </c>
      <c r="I749" s="71" t="n">
        <v>11493956.60999752</v>
      </c>
      <c r="J749" s="72" t="n">
        <v>5.505</v>
      </c>
      <c r="K749" s="69" t="inlineStr">
        <is>
          <t>Fixed rate</t>
        </is>
      </c>
      <c r="L749" s="68" t="n">
        <v>120</v>
      </c>
      <c r="M749" s="68" t="n">
        <v>26</v>
      </c>
      <c r="N749" s="68" t="n">
        <v>372</v>
      </c>
      <c r="O749" s="68" t="n">
        <v>24</v>
      </c>
      <c r="P749" s="68" t="n">
        <v>0</v>
      </c>
      <c r="Q749" s="68" t="n">
        <v>94</v>
      </c>
      <c r="R749" s="69" t="inlineStr">
        <is>
          <t>IO then Amort</t>
        </is>
      </c>
      <c r="S749" s="69" t="inlineStr">
        <is>
          <t>No</t>
        </is>
      </c>
      <c r="T749" s="73" t="n">
        <v>43405</v>
      </c>
      <c r="U749" s="73" t="n">
        <v>47063</v>
      </c>
      <c r="V749" s="73" t="n"/>
      <c r="W749" s="69" t="n"/>
      <c r="X749" s="69" t="inlineStr">
        <is>
          <t>Current</t>
        </is>
      </c>
      <c r="Y749" s="68" t="n"/>
      <c r="Z749" s="69" t="inlineStr">
        <is>
          <t>No Defeasance Occurred</t>
        </is>
      </c>
      <c r="AA749" s="69" t="inlineStr">
        <is>
          <t>Previously</t>
        </is>
      </c>
      <c r="AB749" s="69" t="inlineStr">
        <is>
          <t>Never special serv</t>
        </is>
      </c>
      <c r="AC749" s="73" t="n"/>
      <c r="AD749" s="69" t="n"/>
      <c r="AE749" s="69" t="n"/>
      <c r="AF749" s="69" t="inlineStr">
        <is>
          <t>IL</t>
        </is>
      </c>
      <c r="AG749" s="69" t="inlineStr">
        <is>
          <t>St. Charles</t>
        </is>
      </c>
      <c r="AH749" s="69" t="inlineStr">
        <is>
          <t>Chicago-Naperville-Elgin, IL-IN</t>
        </is>
      </c>
      <c r="AI749" s="69" t="inlineStr">
        <is>
          <t>Midwest / Central East</t>
        </is>
      </c>
      <c r="AJ749" s="69" t="inlineStr">
        <is>
          <t>RT</t>
        </is>
      </c>
      <c r="AK749" s="69" t="inlineStr">
        <is>
          <t>Anchored</t>
        </is>
      </c>
      <c r="AL749" s="68" t="n">
        <v>1</v>
      </c>
      <c r="AM749" s="68" t="n"/>
      <c r="AN749" s="68" t="n">
        <v>171458</v>
      </c>
      <c r="AO749" s="69" t="inlineStr">
        <is>
          <t>2000</t>
        </is>
      </c>
      <c r="AP749" s="70" t="n">
        <v>2000</v>
      </c>
      <c r="AQ749" s="74" t="n">
        <v>1.74</v>
      </c>
      <c r="AR749" s="74" t="n">
        <v>1.41</v>
      </c>
      <c r="AS749" s="74" t="n">
        <v>71.8</v>
      </c>
      <c r="AT749" s="74" t="n">
        <v>65.68000000000001</v>
      </c>
      <c r="AU749" s="74" t="n">
        <v>61.5</v>
      </c>
      <c r="AV749" s="74" t="n">
        <v>9.737730414</v>
      </c>
      <c r="AW749" s="74" t="n">
        <v>9.859509900999999</v>
      </c>
      <c r="AX749" s="75" t="n">
        <v>97</v>
      </c>
      <c r="AY749" s="71" t="n">
        <v>17500000</v>
      </c>
      <c r="AZ749" s="71" t="n">
        <v>17500000</v>
      </c>
      <c r="BA749" s="71" t="n">
        <v>1223058.94</v>
      </c>
      <c r="BB749" s="71" t="n">
        <v>1209596.96</v>
      </c>
      <c r="BC749" s="69" t="inlineStr">
        <is>
          <t>Acquisition</t>
        </is>
      </c>
      <c r="BD749" s="69" t="inlineStr">
        <is>
          <t>N</t>
        </is>
      </c>
      <c r="BE749" s="71" t="n"/>
      <c r="BF749" s="71" t="n"/>
      <c r="BG749" s="71" t="n"/>
      <c r="BH749" s="71" t="n">
        <v>0</v>
      </c>
      <c r="BI749" s="71" t="n">
        <v>0</v>
      </c>
      <c r="BJ749" s="69" t="inlineStr">
        <is>
          <t>Y</t>
        </is>
      </c>
      <c r="BK749" s="69" t="inlineStr">
        <is>
          <t>Do it Best Hardware</t>
        </is>
      </c>
      <c r="BL749" s="75" t="n">
        <v>19.83</v>
      </c>
      <c r="BM749" s="73" t="n">
        <v>48945</v>
      </c>
      <c r="BN749" s="69" t="inlineStr">
        <is>
          <t>Todd M. Gordon</t>
        </is>
      </c>
      <c r="BO749" s="69" t="inlineStr">
        <is>
          <t>UBS</t>
        </is>
      </c>
      <c r="BP749" s="69" t="inlineStr">
        <is>
          <t>Midland Loan Services</t>
        </is>
      </c>
      <c r="BQ749" s="69" t="inlineStr">
        <is>
          <t>K-Star Asset Management LLC</t>
        </is>
      </c>
      <c r="BR749" s="69" t="n"/>
      <c r="BS749" s="73" t="n">
        <v>46276</v>
      </c>
      <c r="BU749" s="76">
        <f>IF($C749="","",IFERROR(INDEX(dmName,MATCH($C749,dmID,0)),"Unmapped"))</f>
        <v/>
      </c>
      <c r="BV749" s="76">
        <f>IF($C749="","",IFERROR(INDEX(dmEntity,MATCH($C749,dmID,0)),"Unmapped"))</f>
        <v/>
      </c>
      <c r="BW749" s="77">
        <f>IF($C749="","",IFERROR(INDEX(dmVintage,MATCH($C749,dmID,0)),""))</f>
        <v/>
      </c>
      <c r="BX749" s="78">
        <f>IFERROR(INDEX(dmInclude,MATCH($C749,dmID,0)),0)</f>
        <v/>
      </c>
      <c r="BY749" s="78">
        <f>IF(N($I749)&gt;0,1,0)</f>
        <v/>
      </c>
      <c r="BZ749" s="76">
        <f>IF($AJ749="","Other / Leased Fee",IFERROR(INDEX(mapPTGroup,MATCH(LEFT(TRIM($AJ749),2),mapPTCode,0)),"Other / Leased Fee"))</f>
        <v/>
      </c>
      <c r="CA749" s="76">
        <f>IF(TRIM($AF749&amp;"")="","NR",LEFT(TRIM($AF749),2))</f>
        <v/>
      </c>
      <c r="CB749" s="76">
        <f>IFERROR(LOOKUP(2,1/(LEFT(TRIM($AI749&amp;""),LEN(mapRegion))=mapRegion),mapRegion),"Not Reported")</f>
        <v/>
      </c>
      <c r="CC749" s="76">
        <f>IF($BY749=0,"",IF(TRIM($W749&amp;"")="REO","REO",IF(TRIM($W749&amp;"")="FC","Foreclosure",IF(TRIM($W749&amp;"")="90+","90+ Days Delinquent",IF(TRIM($W749&amp;"")="60","60 Days Delinquent",IF(TRIM($W749&amp;"")="30","30 Days Delinquent",IF($X749="Non-Performing Matured Balloon","Non-Performing Matured Balloon",IF(OR($X749="Late Payment But Less Than 30 Days Delinquent",LEFT($X749&amp;"",20)="Payment Not Received"),"Late / In Grace (&lt;30 Days)",IF($X749="Performing Matured Balloon","Performing Matured Balloon","Current")))))))))</f>
        <v/>
      </c>
      <c r="CD749" s="78">
        <f>IF(OR($CC749="REO",$CC749="Foreclosure",$CC749="90+ Days Delinquent",$CC749="60 Days Delinquent",$CC749="30 Days Delinquent",$CC749="Non-Performing Matured Balloon"),1,0)</f>
        <v/>
      </c>
      <c r="CE749" s="76">
        <f>IF($AB749="Currently special serv","Currently Specially Serviced",IF($AB749="Returned to master serv","Previously Specially Serviced","Never Specially Serviced"))</f>
        <v/>
      </c>
      <c r="CF749" s="78">
        <f>IF($CE749="Currently Specially Serviced",1,0)</f>
        <v/>
      </c>
      <c r="CG749" s="76">
        <f>IF($AA749="Yes","Currently on Watchlist",IF($AA749="Previously","Previously on Watchlist","Never on Watchlist"))</f>
        <v/>
      </c>
      <c r="CH749" s="78">
        <f>IF($CG749="Currently on Watchlist",1,0)</f>
        <v/>
      </c>
      <c r="CI749" s="76">
        <f>IF($Z749="Full Defeasance","Fully Defeased",IF($Z749="Portion Of Loan Previously Defeased","Partially Defeased",IF($Z749="Defeasance Not Allowable","Not Defeased (Not Permitted)","Not Defeased")))</f>
        <v/>
      </c>
      <c r="CJ749" s="78">
        <f>IF($CI749="Fully Defeased",1,0)</f>
        <v/>
      </c>
      <c r="CK749" s="76">
        <f>IF($R749="IO","Full IO",IF(LEFT($R749&amp;"",7)="IO then","Partial IO","Amortizing"))</f>
        <v/>
      </c>
      <c r="CL749" s="78">
        <f>IF($CK749="Full IO",1,0)</f>
        <v/>
      </c>
      <c r="CM749" s="78">
        <f>IF($CK749="Partial IO",1,0)</f>
        <v/>
      </c>
      <c r="CN749" s="76">
        <f>IF(LEFT($F749&amp;"",10)="SPLIT_LOAN","Pari Passu Split","Standalone")</f>
        <v/>
      </c>
      <c r="CO749" s="78">
        <f>IF($CN749="Pari Passu Split",1,0)</f>
        <v/>
      </c>
      <c r="CP749" s="77">
        <f>IF(ISNUMBER($T749),YEAR($T749),"")</f>
        <v/>
      </c>
      <c r="CQ749" s="79">
        <f>IF(ISNUMBER($V749),$V749,IF(ISNUMBER($U749),$U749,""))</f>
        <v/>
      </c>
      <c r="CR749" s="77">
        <f>IF(ISNUMBER($CQ749),YEAR($CQ749),"")</f>
        <v/>
      </c>
      <c r="CS749" s="78">
        <f>IF(ISNUMBER($M749),MAX(0,$M749),IF(TRIM($M749&amp;"")="matured",0,""))</f>
        <v/>
      </c>
      <c r="CT749" s="78">
        <f>IF(AND(ISNUMBER($CS749),N($CS749)&lt;=mMatWindow),1,0)</f>
        <v/>
      </c>
      <c r="CU749" s="80">
        <f>IF(ISNUMBER($J749),$J749/100,"")</f>
        <v/>
      </c>
      <c r="CV749" s="81">
        <f>IF(ISNUMBER($AQ749),$AQ749,"")</f>
        <v/>
      </c>
      <c r="CW749" s="81">
        <f>IF(ISNUMBER($AR749),$AR749,"")</f>
        <v/>
      </c>
      <c r="CX749" s="82">
        <f>IF(ISNUMBER($AS749),$AS749/100,"")</f>
        <v/>
      </c>
      <c r="CY749" s="82">
        <f>IF(ISNUMBER($AT749),$AT749/100,"")</f>
        <v/>
      </c>
      <c r="CZ749" s="82">
        <f>IF(ISNUMBER($AU749),$AU749/100,"")</f>
        <v/>
      </c>
      <c r="DA749" s="82">
        <f>IF(ISNUMBER($AV749),$AV749/100,"")</f>
        <v/>
      </c>
      <c r="DB749" s="82">
        <f>IF(ISNUMBER($AW749),$AW749/100,"")</f>
        <v/>
      </c>
      <c r="DC749" s="82">
        <f>IF(ISNUMBER($AX749),$AX749/100,"")</f>
        <v/>
      </c>
      <c r="DD749" s="77">
        <f>IFERROR(VALUE(LEFT(TRIM($AO749&amp;""),4)),"")</f>
        <v/>
      </c>
      <c r="DE749" s="78">
        <f>IF(AND($BY749=1,$BX749=1,OR(fDeal="All Deals",$BU749=fDeal),OR(fEntity="All Entities",$BV749=fEntity),OR(fPType="All Property Types",$BZ749=fPType),OR(fDefeased="Include",$CJ749=0)),1,0)</f>
        <v/>
      </c>
      <c r="DF749" s="83">
        <f>$DE749*N($I749)</f>
        <v/>
      </c>
      <c r="DG749" s="78">
        <f>IF($DE749=1,IF(COUNTIFS($F$8:$F749,$F749,$DE$8:$DE749,1)=1,1,0),0)</f>
        <v/>
      </c>
      <c r="DH749" s="83">
        <f>IF($DG749=1,SUMIFS($DF$8:$DF$1600,$F$8:$F$1600,$F749),0)</f>
        <v/>
      </c>
      <c r="DI749" s="78">
        <f>IF($DG749=1,COUNTIFS($F$8:$F$1600,$F749,$DE$8:$DE$1600,1),0)</f>
        <v/>
      </c>
      <c r="DJ749" s="84">
        <f>IF($DG749=1,$DH749+(100000-ROW())/mTieBreak,0)</f>
        <v/>
      </c>
    </row>
    <row r="750">
      <c r="B750" s="68" t="n">
        <v>21</v>
      </c>
      <c r="C750" s="69" t="inlineStr">
        <is>
          <t>UBS18C15</t>
        </is>
      </c>
      <c r="D750" s="69" t="inlineStr">
        <is>
          <t>21.000</t>
        </is>
      </c>
      <c r="E750" s="69" t="inlineStr">
        <is>
          <t>Stop &amp; Shop Manchester</t>
        </is>
      </c>
      <c r="F750" s="69" t="inlineStr">
        <is>
          <t>LNUBS18C15-21.000</t>
        </is>
      </c>
      <c r="G750" s="70" t="n"/>
      <c r="H750" s="71" t="n">
        <v>12000000</v>
      </c>
      <c r="I750" s="71" t="n">
        <v>10533338.46</v>
      </c>
      <c r="J750" s="72" t="n">
        <v>5.28</v>
      </c>
      <c r="K750" s="69" t="inlineStr">
        <is>
          <t>Fixed rate</t>
        </is>
      </c>
      <c r="L750" s="68" t="n">
        <v>121</v>
      </c>
      <c r="M750" s="68" t="n">
        <v>28</v>
      </c>
      <c r="N750" s="68" t="n">
        <v>361</v>
      </c>
      <c r="O750" s="68" t="n">
        <v>1</v>
      </c>
      <c r="P750" s="68" t="n">
        <v>0</v>
      </c>
      <c r="Q750" s="68" t="n">
        <v>93</v>
      </c>
      <c r="R750" s="69" t="inlineStr">
        <is>
          <t>IO then Amort</t>
        </is>
      </c>
      <c r="S750" s="69" t="inlineStr">
        <is>
          <t>No</t>
        </is>
      </c>
      <c r="T750" s="73" t="n">
        <v>43435</v>
      </c>
      <c r="U750" s="73" t="n">
        <v>47119</v>
      </c>
      <c r="V750" s="73" t="n"/>
      <c r="W750" s="69" t="n"/>
      <c r="X750" s="69" t="inlineStr">
        <is>
          <t>Current</t>
        </is>
      </c>
      <c r="Y750" s="68" t="n"/>
      <c r="Z750" s="69" t="inlineStr">
        <is>
          <t>No Defeasance Occurred</t>
        </is>
      </c>
      <c r="AA750" s="69" t="inlineStr">
        <is>
          <t>Previously</t>
        </is>
      </c>
      <c r="AB750" s="69" t="inlineStr">
        <is>
          <t>Never special serv</t>
        </is>
      </c>
      <c r="AC750" s="73" t="n"/>
      <c r="AD750" s="69" t="n"/>
      <c r="AE750" s="69" t="n"/>
      <c r="AF750" s="69" t="inlineStr">
        <is>
          <t>CT</t>
        </is>
      </c>
      <c r="AG750" s="69" t="inlineStr">
        <is>
          <t>Manchester</t>
        </is>
      </c>
      <c r="AH750" s="69" t="inlineStr">
        <is>
          <t>Hartford-West Hartford-East Hartford, CT</t>
        </is>
      </c>
      <c r="AI750" s="69" t="inlineStr">
        <is>
          <t>Northeast / New England</t>
        </is>
      </c>
      <c r="AJ750" s="69" t="inlineStr">
        <is>
          <t>RT</t>
        </is>
      </c>
      <c r="AK750" s="69" t="inlineStr">
        <is>
          <t>Single Tenant</t>
        </is>
      </c>
      <c r="AL750" s="68" t="n">
        <v>1</v>
      </c>
      <c r="AM750" s="68" t="n"/>
      <c r="AN750" s="68" t="n">
        <v>68509</v>
      </c>
      <c r="AO750" s="69" t="inlineStr">
        <is>
          <t>1992</t>
        </is>
      </c>
      <c r="AP750" s="70" t="n">
        <v>2018</v>
      </c>
      <c r="AQ750" s="74" t="n">
        <v>1.34</v>
      </c>
      <c r="AR750" s="74" t="n">
        <v>1.23</v>
      </c>
      <c r="AS750" s="74" t="n">
        <v>61.2</v>
      </c>
      <c r="AT750" s="74" t="n">
        <v>53.74</v>
      </c>
      <c r="AU750" s="74" t="n">
        <v>50.8</v>
      </c>
      <c r="AV750" s="74" t="n">
        <v>8.900891667</v>
      </c>
      <c r="AW750" s="74" t="n">
        <v>9.300049967</v>
      </c>
      <c r="AX750" s="75" t="n">
        <v>100</v>
      </c>
      <c r="AY750" s="71" t="n">
        <v>19600000</v>
      </c>
      <c r="AZ750" s="71" t="n">
        <v>19600000</v>
      </c>
      <c r="BA750" s="71" t="n">
        <v>1068107</v>
      </c>
      <c r="BB750" s="71" t="n">
        <v>979605.74</v>
      </c>
      <c r="BC750" s="69" t="inlineStr">
        <is>
          <t>Refinance</t>
        </is>
      </c>
      <c r="BD750" s="69" t="inlineStr">
        <is>
          <t>N</t>
        </is>
      </c>
      <c r="BE750" s="71" t="n"/>
      <c r="BF750" s="71" t="n"/>
      <c r="BG750" s="71" t="n"/>
      <c r="BH750" s="71" t="n">
        <v>0</v>
      </c>
      <c r="BI750" s="71" t="n">
        <v>0</v>
      </c>
      <c r="BJ750" s="69" t="inlineStr">
        <is>
          <t>N</t>
        </is>
      </c>
      <c r="BK750" s="69" t="inlineStr">
        <is>
          <t>Stop &amp; Shop</t>
        </is>
      </c>
      <c r="BL750" s="75" t="n">
        <v>100</v>
      </c>
      <c r="BM750" s="73" t="n">
        <v>46942</v>
      </c>
      <c r="BN750" s="69" t="inlineStr">
        <is>
          <t>Solomon Hartman</t>
        </is>
      </c>
      <c r="BO750" s="69" t="inlineStr">
        <is>
          <t>CIBC</t>
        </is>
      </c>
      <c r="BP750" s="69" t="inlineStr">
        <is>
          <t>Midland Loan Services</t>
        </is>
      </c>
      <c r="BQ750" s="69" t="inlineStr">
        <is>
          <t>K-Star Asset Management LLC</t>
        </is>
      </c>
      <c r="BR750" s="69" t="n"/>
      <c r="BS750" s="73" t="n">
        <v>46276</v>
      </c>
      <c r="BU750" s="76">
        <f>IF($C750="","",IFERROR(INDEX(dmName,MATCH($C750,dmID,0)),"Unmapped"))</f>
        <v/>
      </c>
      <c r="BV750" s="76">
        <f>IF($C750="","",IFERROR(INDEX(dmEntity,MATCH($C750,dmID,0)),"Unmapped"))</f>
        <v/>
      </c>
      <c r="BW750" s="77">
        <f>IF($C750="","",IFERROR(INDEX(dmVintage,MATCH($C750,dmID,0)),""))</f>
        <v/>
      </c>
      <c r="BX750" s="78">
        <f>IFERROR(INDEX(dmInclude,MATCH($C750,dmID,0)),0)</f>
        <v/>
      </c>
      <c r="BY750" s="78">
        <f>IF(N($I750)&gt;0,1,0)</f>
        <v/>
      </c>
      <c r="BZ750" s="76">
        <f>IF($AJ750="","Other / Leased Fee",IFERROR(INDEX(mapPTGroup,MATCH(LEFT(TRIM($AJ750),2),mapPTCode,0)),"Other / Leased Fee"))</f>
        <v/>
      </c>
      <c r="CA750" s="76">
        <f>IF(TRIM($AF750&amp;"")="","NR",LEFT(TRIM($AF750),2))</f>
        <v/>
      </c>
      <c r="CB750" s="76">
        <f>IFERROR(LOOKUP(2,1/(LEFT(TRIM($AI750&amp;""),LEN(mapRegion))=mapRegion),mapRegion),"Not Reported")</f>
        <v/>
      </c>
      <c r="CC750" s="76">
        <f>IF($BY750=0,"",IF(TRIM($W750&amp;"")="REO","REO",IF(TRIM($W750&amp;"")="FC","Foreclosure",IF(TRIM($W750&amp;"")="90+","90+ Days Delinquent",IF(TRIM($W750&amp;"")="60","60 Days Delinquent",IF(TRIM($W750&amp;"")="30","30 Days Delinquent",IF($X750="Non-Performing Matured Balloon","Non-Performing Matured Balloon",IF(OR($X750="Late Payment But Less Than 30 Days Delinquent",LEFT($X750&amp;"",20)="Payment Not Received"),"Late / In Grace (&lt;30 Days)",IF($X750="Performing Matured Balloon","Performing Matured Balloon","Current")))))))))</f>
        <v/>
      </c>
      <c r="CD750" s="78">
        <f>IF(OR($CC750="REO",$CC750="Foreclosure",$CC750="90+ Days Delinquent",$CC750="60 Days Delinquent",$CC750="30 Days Delinquent",$CC750="Non-Performing Matured Balloon"),1,0)</f>
        <v/>
      </c>
      <c r="CE750" s="76">
        <f>IF($AB750="Currently special serv","Currently Specially Serviced",IF($AB750="Returned to master serv","Previously Specially Serviced","Never Specially Serviced"))</f>
        <v/>
      </c>
      <c r="CF750" s="78">
        <f>IF($CE750="Currently Specially Serviced",1,0)</f>
        <v/>
      </c>
      <c r="CG750" s="76">
        <f>IF($AA750="Yes","Currently on Watchlist",IF($AA750="Previously","Previously on Watchlist","Never on Watchlist"))</f>
        <v/>
      </c>
      <c r="CH750" s="78">
        <f>IF($CG750="Currently on Watchlist",1,0)</f>
        <v/>
      </c>
      <c r="CI750" s="76">
        <f>IF($Z750="Full Defeasance","Fully Defeased",IF($Z750="Portion Of Loan Previously Defeased","Partially Defeased",IF($Z750="Defeasance Not Allowable","Not Defeased (Not Permitted)","Not Defeased")))</f>
        <v/>
      </c>
      <c r="CJ750" s="78">
        <f>IF($CI750="Fully Defeased",1,0)</f>
        <v/>
      </c>
      <c r="CK750" s="76">
        <f>IF($R750="IO","Full IO",IF(LEFT($R750&amp;"",7)="IO then","Partial IO","Amortizing"))</f>
        <v/>
      </c>
      <c r="CL750" s="78">
        <f>IF($CK750="Full IO",1,0)</f>
        <v/>
      </c>
      <c r="CM750" s="78">
        <f>IF($CK750="Partial IO",1,0)</f>
        <v/>
      </c>
      <c r="CN750" s="76">
        <f>IF(LEFT($F750&amp;"",10)="SPLIT_LOAN","Pari Passu Split","Standalone")</f>
        <v/>
      </c>
      <c r="CO750" s="78">
        <f>IF($CN750="Pari Passu Split",1,0)</f>
        <v/>
      </c>
      <c r="CP750" s="77">
        <f>IF(ISNUMBER($T750),YEAR($T750),"")</f>
        <v/>
      </c>
      <c r="CQ750" s="79">
        <f>IF(ISNUMBER($V750),$V750,IF(ISNUMBER($U750),$U750,""))</f>
        <v/>
      </c>
      <c r="CR750" s="77">
        <f>IF(ISNUMBER($CQ750),YEAR($CQ750),"")</f>
        <v/>
      </c>
      <c r="CS750" s="78">
        <f>IF(ISNUMBER($M750),MAX(0,$M750),IF(TRIM($M750&amp;"")="matured",0,""))</f>
        <v/>
      </c>
      <c r="CT750" s="78">
        <f>IF(AND(ISNUMBER($CS750),N($CS750)&lt;=mMatWindow),1,0)</f>
        <v/>
      </c>
      <c r="CU750" s="80">
        <f>IF(ISNUMBER($J750),$J750/100,"")</f>
        <v/>
      </c>
      <c r="CV750" s="81">
        <f>IF(ISNUMBER($AQ750),$AQ750,"")</f>
        <v/>
      </c>
      <c r="CW750" s="81">
        <f>IF(ISNUMBER($AR750),$AR750,"")</f>
        <v/>
      </c>
      <c r="CX750" s="82">
        <f>IF(ISNUMBER($AS750),$AS750/100,"")</f>
        <v/>
      </c>
      <c r="CY750" s="82">
        <f>IF(ISNUMBER($AT750),$AT750/100,"")</f>
        <v/>
      </c>
      <c r="CZ750" s="82">
        <f>IF(ISNUMBER($AU750),$AU750/100,"")</f>
        <v/>
      </c>
      <c r="DA750" s="82">
        <f>IF(ISNUMBER($AV750),$AV750/100,"")</f>
        <v/>
      </c>
      <c r="DB750" s="82">
        <f>IF(ISNUMBER($AW750),$AW750/100,"")</f>
        <v/>
      </c>
      <c r="DC750" s="82">
        <f>IF(ISNUMBER($AX750),$AX750/100,"")</f>
        <v/>
      </c>
      <c r="DD750" s="77">
        <f>IFERROR(VALUE(LEFT(TRIM($AO750&amp;""),4)),"")</f>
        <v/>
      </c>
      <c r="DE750" s="78">
        <f>IF(AND($BY750=1,$BX750=1,OR(fDeal="All Deals",$BU750=fDeal),OR(fEntity="All Entities",$BV750=fEntity),OR(fPType="All Property Types",$BZ750=fPType),OR(fDefeased="Include",$CJ750=0)),1,0)</f>
        <v/>
      </c>
      <c r="DF750" s="83">
        <f>$DE750*N($I750)</f>
        <v/>
      </c>
      <c r="DG750" s="78">
        <f>IF($DE750=1,IF(COUNTIFS($F$8:$F750,$F750,$DE$8:$DE750,1)=1,1,0),0)</f>
        <v/>
      </c>
      <c r="DH750" s="83">
        <f>IF($DG750=1,SUMIFS($DF$8:$DF$1600,$F$8:$F$1600,$F750),0)</f>
        <v/>
      </c>
      <c r="DI750" s="78">
        <f>IF($DG750=1,COUNTIFS($F$8:$F$1600,$F750,$DE$8:$DE$1600,1),0)</f>
        <v/>
      </c>
      <c r="DJ750" s="84">
        <f>IF($DG750=1,$DH750+(100000-ROW())/mTieBreak,0)</f>
        <v/>
      </c>
    </row>
    <row r="751">
      <c r="B751" s="68" t="n">
        <v>22</v>
      </c>
      <c r="C751" s="69" t="inlineStr">
        <is>
          <t>UBS18C15</t>
        </is>
      </c>
      <c r="D751" s="69" t="inlineStr">
        <is>
          <t>22.000</t>
        </is>
      </c>
      <c r="E751" s="69" t="inlineStr">
        <is>
          <t>Five Points Plaza</t>
        </is>
      </c>
      <c r="F751" s="69" t="inlineStr">
        <is>
          <t>LNUBS18C15-22.000</t>
        </is>
      </c>
      <c r="G751" s="70" t="n"/>
      <c r="H751" s="71" t="n">
        <v>11300000</v>
      </c>
      <c r="I751" s="71" t="n">
        <v>9227034.609997401</v>
      </c>
      <c r="J751" s="72" t="n">
        <v>5.02</v>
      </c>
      <c r="K751" s="69" t="inlineStr">
        <is>
          <t>Fixed rate</t>
        </is>
      </c>
      <c r="L751" s="68" t="n">
        <v>120</v>
      </c>
      <c r="M751" s="68" t="n">
        <v>27</v>
      </c>
      <c r="N751" s="68" t="n">
        <v>300</v>
      </c>
      <c r="O751" s="68" t="n"/>
      <c r="P751" s="68" t="n"/>
      <c r="Q751" s="68" t="n">
        <v>93</v>
      </c>
      <c r="R751" s="69" t="n"/>
      <c r="S751" s="69" t="inlineStr">
        <is>
          <t>No</t>
        </is>
      </c>
      <c r="T751" s="73" t="n">
        <v>43435</v>
      </c>
      <c r="U751" s="73" t="n">
        <v>47088</v>
      </c>
      <c r="V751" s="73" t="n"/>
      <c r="W751" s="69" t="n"/>
      <c r="X751" s="69" t="inlineStr">
        <is>
          <t>Current</t>
        </is>
      </c>
      <c r="Y751" s="68" t="n"/>
      <c r="Z751" s="69" t="inlineStr">
        <is>
          <t>No Defeasance Occurred</t>
        </is>
      </c>
      <c r="AA751" s="69" t="inlineStr">
        <is>
          <t>Yes</t>
        </is>
      </c>
      <c r="AB751" s="69" t="inlineStr">
        <is>
          <t>Never special serv</t>
        </is>
      </c>
      <c r="AC751" s="73" t="n"/>
      <c r="AD751" s="69" t="n"/>
      <c r="AE751" s="69" t="n"/>
      <c r="AF751" s="69" t="inlineStr">
        <is>
          <t>GA</t>
        </is>
      </c>
      <c r="AG751" s="69" t="inlineStr">
        <is>
          <t>Atlanta</t>
        </is>
      </c>
      <c r="AH751" s="69" t="inlineStr">
        <is>
          <t>Atlanta-Sandy Springs-Roswell, GA</t>
        </is>
      </c>
      <c r="AI751" s="69" t="inlineStr">
        <is>
          <t>South / Atlantic</t>
        </is>
      </c>
      <c r="AJ751" s="69" t="inlineStr">
        <is>
          <t>OF</t>
        </is>
      </c>
      <c r="AK751" s="69" t="inlineStr">
        <is>
          <t>CBD</t>
        </is>
      </c>
      <c r="AL751" s="68" t="n">
        <v>1</v>
      </c>
      <c r="AM751" s="68" t="n"/>
      <c r="AN751" s="68" t="n">
        <v>123370</v>
      </c>
      <c r="AO751" s="69" t="inlineStr">
        <is>
          <t>1964</t>
        </is>
      </c>
      <c r="AP751" s="70" t="n">
        <v>1999</v>
      </c>
      <c r="AQ751" s="74" t="n">
        <v>2.37</v>
      </c>
      <c r="AR751" s="74" t="n">
        <v>-1.81</v>
      </c>
      <c r="AS751" s="74" t="n">
        <v>53.8</v>
      </c>
      <c r="AT751" s="74" t="n">
        <v>43.94</v>
      </c>
      <c r="AU751" s="74" t="n">
        <v>40.3</v>
      </c>
      <c r="AV751" s="74" t="n">
        <v>16.630687611</v>
      </c>
      <c r="AW751" s="74" t="n">
        <v>-13.222007086</v>
      </c>
      <c r="AX751" s="75" t="n">
        <v>100</v>
      </c>
      <c r="AY751" s="71" t="n">
        <v>21000000</v>
      </c>
      <c r="AZ751" s="71" t="n">
        <v>21000000</v>
      </c>
      <c r="BA751" s="71" t="n">
        <v>1879267.7</v>
      </c>
      <c r="BB751" s="71" t="n">
        <v>-359453.07</v>
      </c>
      <c r="BC751" s="69" t="inlineStr">
        <is>
          <t>Refinance</t>
        </is>
      </c>
      <c r="BD751" s="69" t="inlineStr">
        <is>
          <t>N</t>
        </is>
      </c>
      <c r="BE751" s="71" t="n"/>
      <c r="BF751" s="71" t="n"/>
      <c r="BG751" s="71" t="n"/>
      <c r="BH751" s="71" t="n">
        <v>0</v>
      </c>
      <c r="BI751" s="71" t="n">
        <v>0</v>
      </c>
      <c r="BJ751" s="69" t="inlineStr">
        <is>
          <t>N</t>
        </is>
      </c>
      <c r="BK751" s="69" t="inlineStr">
        <is>
          <t>bldg GOVERNMENT SVCS ADMIN-HUD</t>
        </is>
      </c>
      <c r="BL751" s="75" t="n">
        <v>100</v>
      </c>
      <c r="BM751" s="73" t="n">
        <v>45401</v>
      </c>
      <c r="BN751" s="69" t="inlineStr">
        <is>
          <t>Ralph Nakash</t>
        </is>
      </c>
      <c r="BO751" s="69" t="inlineStr">
        <is>
          <t>Societe Generale</t>
        </is>
      </c>
      <c r="BP751" s="69" t="inlineStr">
        <is>
          <t>Midland Loan Services</t>
        </is>
      </c>
      <c r="BQ751" s="69" t="inlineStr">
        <is>
          <t>K-Star Asset Management LLC</t>
        </is>
      </c>
      <c r="BR751" s="69" t="n"/>
      <c r="BS751" s="73" t="n">
        <v>46276</v>
      </c>
      <c r="BU751" s="76">
        <f>IF($C751="","",IFERROR(INDEX(dmName,MATCH($C751,dmID,0)),"Unmapped"))</f>
        <v/>
      </c>
      <c r="BV751" s="76">
        <f>IF($C751="","",IFERROR(INDEX(dmEntity,MATCH($C751,dmID,0)),"Unmapped"))</f>
        <v/>
      </c>
      <c r="BW751" s="77">
        <f>IF($C751="","",IFERROR(INDEX(dmVintage,MATCH($C751,dmID,0)),""))</f>
        <v/>
      </c>
      <c r="BX751" s="78">
        <f>IFERROR(INDEX(dmInclude,MATCH($C751,dmID,0)),0)</f>
        <v/>
      </c>
      <c r="BY751" s="78">
        <f>IF(N($I751)&gt;0,1,0)</f>
        <v/>
      </c>
      <c r="BZ751" s="76">
        <f>IF($AJ751="","Other / Leased Fee",IFERROR(INDEX(mapPTGroup,MATCH(LEFT(TRIM($AJ751),2),mapPTCode,0)),"Other / Leased Fee"))</f>
        <v/>
      </c>
      <c r="CA751" s="76">
        <f>IF(TRIM($AF751&amp;"")="","NR",LEFT(TRIM($AF751),2))</f>
        <v/>
      </c>
      <c r="CB751" s="76">
        <f>IFERROR(LOOKUP(2,1/(LEFT(TRIM($AI751&amp;""),LEN(mapRegion))=mapRegion),mapRegion),"Not Reported")</f>
        <v/>
      </c>
      <c r="CC751" s="76">
        <f>IF($BY751=0,"",IF(TRIM($W751&amp;"")="REO","REO",IF(TRIM($W751&amp;"")="FC","Foreclosure",IF(TRIM($W751&amp;"")="90+","90+ Days Delinquent",IF(TRIM($W751&amp;"")="60","60 Days Delinquent",IF(TRIM($W751&amp;"")="30","30 Days Delinquent",IF($X751="Non-Performing Matured Balloon","Non-Performing Matured Balloon",IF(OR($X751="Late Payment But Less Than 30 Days Delinquent",LEFT($X751&amp;"",20)="Payment Not Received"),"Late / In Grace (&lt;30 Days)",IF($X751="Performing Matured Balloon","Performing Matured Balloon","Current")))))))))</f>
        <v/>
      </c>
      <c r="CD751" s="78">
        <f>IF(OR($CC751="REO",$CC751="Foreclosure",$CC751="90+ Days Delinquent",$CC751="60 Days Delinquent",$CC751="30 Days Delinquent",$CC751="Non-Performing Matured Balloon"),1,0)</f>
        <v/>
      </c>
      <c r="CE751" s="76">
        <f>IF($AB751="Currently special serv","Currently Specially Serviced",IF($AB751="Returned to master serv","Previously Specially Serviced","Never Specially Serviced"))</f>
        <v/>
      </c>
      <c r="CF751" s="78">
        <f>IF($CE751="Currently Specially Serviced",1,0)</f>
        <v/>
      </c>
      <c r="CG751" s="76">
        <f>IF($AA751="Yes","Currently on Watchlist",IF($AA751="Previously","Previously on Watchlist","Never on Watchlist"))</f>
        <v/>
      </c>
      <c r="CH751" s="78">
        <f>IF($CG751="Currently on Watchlist",1,0)</f>
        <v/>
      </c>
      <c r="CI751" s="76">
        <f>IF($Z751="Full Defeasance","Fully Defeased",IF($Z751="Portion Of Loan Previously Defeased","Partially Defeased",IF($Z751="Defeasance Not Allowable","Not Defeased (Not Permitted)","Not Defeased")))</f>
        <v/>
      </c>
      <c r="CJ751" s="78">
        <f>IF($CI751="Fully Defeased",1,0)</f>
        <v/>
      </c>
      <c r="CK751" s="76">
        <f>IF($R751="IO","Full IO",IF(LEFT($R751&amp;"",7)="IO then","Partial IO","Amortizing"))</f>
        <v/>
      </c>
      <c r="CL751" s="78">
        <f>IF($CK751="Full IO",1,0)</f>
        <v/>
      </c>
      <c r="CM751" s="78">
        <f>IF($CK751="Partial IO",1,0)</f>
        <v/>
      </c>
      <c r="CN751" s="76">
        <f>IF(LEFT($F751&amp;"",10)="SPLIT_LOAN","Pari Passu Split","Standalone")</f>
        <v/>
      </c>
      <c r="CO751" s="78">
        <f>IF($CN751="Pari Passu Split",1,0)</f>
        <v/>
      </c>
      <c r="CP751" s="77">
        <f>IF(ISNUMBER($T751),YEAR($T751),"")</f>
        <v/>
      </c>
      <c r="CQ751" s="79">
        <f>IF(ISNUMBER($V751),$V751,IF(ISNUMBER($U751),$U751,""))</f>
        <v/>
      </c>
      <c r="CR751" s="77">
        <f>IF(ISNUMBER($CQ751),YEAR($CQ751),"")</f>
        <v/>
      </c>
      <c r="CS751" s="78">
        <f>IF(ISNUMBER($M751),MAX(0,$M751),IF(TRIM($M751&amp;"")="matured",0,""))</f>
        <v/>
      </c>
      <c r="CT751" s="78">
        <f>IF(AND(ISNUMBER($CS751),N($CS751)&lt;=mMatWindow),1,0)</f>
        <v/>
      </c>
      <c r="CU751" s="80">
        <f>IF(ISNUMBER($J751),$J751/100,"")</f>
        <v/>
      </c>
      <c r="CV751" s="81">
        <f>IF(ISNUMBER($AQ751),$AQ751,"")</f>
        <v/>
      </c>
      <c r="CW751" s="81">
        <f>IF(ISNUMBER($AR751),$AR751,"")</f>
        <v/>
      </c>
      <c r="CX751" s="82">
        <f>IF(ISNUMBER($AS751),$AS751/100,"")</f>
        <v/>
      </c>
      <c r="CY751" s="82">
        <f>IF(ISNUMBER($AT751),$AT751/100,"")</f>
        <v/>
      </c>
      <c r="CZ751" s="82">
        <f>IF(ISNUMBER($AU751),$AU751/100,"")</f>
        <v/>
      </c>
      <c r="DA751" s="82">
        <f>IF(ISNUMBER($AV751),$AV751/100,"")</f>
        <v/>
      </c>
      <c r="DB751" s="82">
        <f>IF(ISNUMBER($AW751),$AW751/100,"")</f>
        <v/>
      </c>
      <c r="DC751" s="82">
        <f>IF(ISNUMBER($AX751),$AX751/100,"")</f>
        <v/>
      </c>
      <c r="DD751" s="77">
        <f>IFERROR(VALUE(LEFT(TRIM($AO751&amp;""),4)),"")</f>
        <v/>
      </c>
      <c r="DE751" s="78">
        <f>IF(AND($BY751=1,$BX751=1,OR(fDeal="All Deals",$BU751=fDeal),OR(fEntity="All Entities",$BV751=fEntity),OR(fPType="All Property Types",$BZ751=fPType),OR(fDefeased="Include",$CJ751=0)),1,0)</f>
        <v/>
      </c>
      <c r="DF751" s="83">
        <f>$DE751*N($I751)</f>
        <v/>
      </c>
      <c r="DG751" s="78">
        <f>IF($DE751=1,IF(COUNTIFS($F$8:$F751,$F751,$DE$8:$DE751,1)=1,1,0),0)</f>
        <v/>
      </c>
      <c r="DH751" s="83">
        <f>IF($DG751=1,SUMIFS($DF$8:$DF$1600,$F$8:$F$1600,$F751),0)</f>
        <v/>
      </c>
      <c r="DI751" s="78">
        <f>IF($DG751=1,COUNTIFS($F$8:$F$1600,$F751,$DE$8:$DE$1600,1),0)</f>
        <v/>
      </c>
      <c r="DJ751" s="84">
        <f>IF($DG751=1,$DH751+(100000-ROW())/mTieBreak,0)</f>
        <v/>
      </c>
    </row>
    <row r="752">
      <c r="B752" s="68" t="n">
        <v>23</v>
      </c>
      <c r="C752" s="69" t="inlineStr">
        <is>
          <t>UBS18C15</t>
        </is>
      </c>
      <c r="D752" s="69" t="inlineStr">
        <is>
          <t>23.000</t>
        </is>
      </c>
      <c r="E752" s="69" t="inlineStr">
        <is>
          <t>Marina Gardens</t>
        </is>
      </c>
      <c r="F752" s="69" t="inlineStr">
        <is>
          <t>LNUBS18C15-23.000</t>
        </is>
      </c>
      <c r="G752" s="70" t="n"/>
      <c r="H752" s="71" t="n">
        <v>10875000</v>
      </c>
      <c r="I752" s="71" t="n">
        <v>9535418.799997501</v>
      </c>
      <c r="J752" s="72" t="n">
        <v>5.306</v>
      </c>
      <c r="K752" s="69" t="inlineStr">
        <is>
          <t>Fixed rate</t>
        </is>
      </c>
      <c r="L752" s="68" t="n">
        <v>120</v>
      </c>
      <c r="M752" s="68" t="n">
        <v>27</v>
      </c>
      <c r="N752" s="68" t="n">
        <v>360</v>
      </c>
      <c r="O752" s="68" t="n"/>
      <c r="P752" s="68" t="n"/>
      <c r="Q752" s="68" t="n">
        <v>93</v>
      </c>
      <c r="R752" s="69" t="n"/>
      <c r="S752" s="69" t="inlineStr">
        <is>
          <t>No</t>
        </is>
      </c>
      <c r="T752" s="73" t="n">
        <v>43435</v>
      </c>
      <c r="U752" s="73" t="n">
        <v>47093</v>
      </c>
      <c r="V752" s="73" t="n"/>
      <c r="W752" s="69" t="n"/>
      <c r="X752" s="69" t="inlineStr">
        <is>
          <t>Current</t>
        </is>
      </c>
      <c r="Y752" s="68" t="n"/>
      <c r="Z752" s="69" t="inlineStr">
        <is>
          <t>Full Defeasance</t>
        </is>
      </c>
      <c r="AA752" s="69" t="inlineStr">
        <is>
          <t>Previously</t>
        </is>
      </c>
      <c r="AB752" s="69" t="inlineStr">
        <is>
          <t>Returned to master serv</t>
        </is>
      </c>
      <c r="AC752" s="73" t="n"/>
      <c r="AD752" s="69" t="inlineStr">
        <is>
          <t>Payment Default (all payments excluding Balloon/Maturity Payment)</t>
        </is>
      </c>
      <c r="AE752" s="69" t="inlineStr">
        <is>
          <t>Resolved</t>
        </is>
      </c>
      <c r="AF752" s="69" t="inlineStr">
        <is>
          <t>CA</t>
        </is>
      </c>
      <c r="AG752" s="69" t="inlineStr">
        <is>
          <t>San Rafael</t>
        </is>
      </c>
      <c r="AH752" s="69" t="inlineStr">
        <is>
          <t>San Francisco-Oakland-Fremont, CA</t>
        </is>
      </c>
      <c r="AI752" s="69" t="inlineStr">
        <is>
          <t>West / Pacific North</t>
        </is>
      </c>
      <c r="AJ752" s="69" t="inlineStr">
        <is>
          <t>MF</t>
        </is>
      </c>
      <c r="AK752" s="69" t="inlineStr">
        <is>
          <t>Garden</t>
        </is>
      </c>
      <c r="AL752" s="68" t="n">
        <v>1</v>
      </c>
      <c r="AM752" s="68" t="n">
        <v>40</v>
      </c>
      <c r="AN752" s="68" t="n"/>
      <c r="AO752" s="69" t="inlineStr">
        <is>
          <t>1962</t>
        </is>
      </c>
      <c r="AP752" s="70" t="n">
        <v>1962</v>
      </c>
      <c r="AQ752" s="74" t="n">
        <v>1.3</v>
      </c>
      <c r="AR752" s="74" t="n">
        <v>1.39</v>
      </c>
      <c r="AS752" s="74" t="n">
        <v>75</v>
      </c>
      <c r="AT752" s="74" t="n">
        <v>65.76000000000001</v>
      </c>
      <c r="AU752" s="74" t="n">
        <v>62.3</v>
      </c>
      <c r="AV752" s="74" t="n">
        <v>8.660754023000001</v>
      </c>
      <c r="AW752" s="74" t="n">
        <v>10.446509596</v>
      </c>
      <c r="AX752" s="75" t="n">
        <v>100</v>
      </c>
      <c r="AY752" s="71" t="n">
        <v>14500000</v>
      </c>
      <c r="AZ752" s="71" t="n">
        <v>14500000</v>
      </c>
      <c r="BA752" s="71" t="n">
        <v>941857</v>
      </c>
      <c r="BB752" s="71" t="n">
        <v>251286.96</v>
      </c>
      <c r="BC752" s="69" t="inlineStr">
        <is>
          <t>Refinance</t>
        </is>
      </c>
      <c r="BD752" s="69" t="inlineStr">
        <is>
          <t>N</t>
        </is>
      </c>
      <c r="BE752" s="71" t="n"/>
      <c r="BF752" s="71" t="n"/>
      <c r="BG752" s="71" t="n"/>
      <c r="BH752" s="71" t="n">
        <v>0</v>
      </c>
      <c r="BI752" s="71" t="n">
        <v>0</v>
      </c>
      <c r="BJ752" s="69" t="inlineStr">
        <is>
          <t>N</t>
        </is>
      </c>
      <c r="BK752" s="69" t="n"/>
      <c r="BL752" s="75" t="n"/>
      <c r="BM752" s="73" t="n"/>
      <c r="BN752" s="69" t="inlineStr">
        <is>
          <t>Mahr Elder; Fairuke Elder</t>
        </is>
      </c>
      <c r="BO752" s="69" t="inlineStr">
        <is>
          <t>GACC</t>
        </is>
      </c>
      <c r="BP752" s="69" t="inlineStr">
        <is>
          <t>Midland Loan Services</t>
        </is>
      </c>
      <c r="BQ752" s="69" t="inlineStr">
        <is>
          <t>K-Star Asset Management LLC</t>
        </is>
      </c>
      <c r="BR752" s="69" t="n"/>
      <c r="BS752" s="73" t="n">
        <v>46276</v>
      </c>
      <c r="BU752" s="76">
        <f>IF($C752="","",IFERROR(INDEX(dmName,MATCH($C752,dmID,0)),"Unmapped"))</f>
        <v/>
      </c>
      <c r="BV752" s="76">
        <f>IF($C752="","",IFERROR(INDEX(dmEntity,MATCH($C752,dmID,0)),"Unmapped"))</f>
        <v/>
      </c>
      <c r="BW752" s="77">
        <f>IF($C752="","",IFERROR(INDEX(dmVintage,MATCH($C752,dmID,0)),""))</f>
        <v/>
      </c>
      <c r="BX752" s="78">
        <f>IFERROR(INDEX(dmInclude,MATCH($C752,dmID,0)),0)</f>
        <v/>
      </c>
      <c r="BY752" s="78">
        <f>IF(N($I752)&gt;0,1,0)</f>
        <v/>
      </c>
      <c r="BZ752" s="76">
        <f>IF($AJ752="","Other / Leased Fee",IFERROR(INDEX(mapPTGroup,MATCH(LEFT(TRIM($AJ752),2),mapPTCode,0)),"Other / Leased Fee"))</f>
        <v/>
      </c>
      <c r="CA752" s="76">
        <f>IF(TRIM($AF752&amp;"")="","NR",LEFT(TRIM($AF752),2))</f>
        <v/>
      </c>
      <c r="CB752" s="76">
        <f>IFERROR(LOOKUP(2,1/(LEFT(TRIM($AI752&amp;""),LEN(mapRegion))=mapRegion),mapRegion),"Not Reported")</f>
        <v/>
      </c>
      <c r="CC752" s="76">
        <f>IF($BY752=0,"",IF(TRIM($W752&amp;"")="REO","REO",IF(TRIM($W752&amp;"")="FC","Foreclosure",IF(TRIM($W752&amp;"")="90+","90+ Days Delinquent",IF(TRIM($W752&amp;"")="60","60 Days Delinquent",IF(TRIM($W752&amp;"")="30","30 Days Delinquent",IF($X752="Non-Performing Matured Balloon","Non-Performing Matured Balloon",IF(OR($X752="Late Payment But Less Than 30 Days Delinquent",LEFT($X752&amp;"",20)="Payment Not Received"),"Late / In Grace (&lt;30 Days)",IF($X752="Performing Matured Balloon","Performing Matured Balloon","Current")))))))))</f>
        <v/>
      </c>
      <c r="CD752" s="78">
        <f>IF(OR($CC752="REO",$CC752="Foreclosure",$CC752="90+ Days Delinquent",$CC752="60 Days Delinquent",$CC752="30 Days Delinquent",$CC752="Non-Performing Matured Balloon"),1,0)</f>
        <v/>
      </c>
      <c r="CE752" s="76">
        <f>IF($AB752="Currently special serv","Currently Specially Serviced",IF($AB752="Returned to master serv","Previously Specially Serviced","Never Specially Serviced"))</f>
        <v/>
      </c>
      <c r="CF752" s="78">
        <f>IF($CE752="Currently Specially Serviced",1,0)</f>
        <v/>
      </c>
      <c r="CG752" s="76">
        <f>IF($AA752="Yes","Currently on Watchlist",IF($AA752="Previously","Previously on Watchlist","Never on Watchlist"))</f>
        <v/>
      </c>
      <c r="CH752" s="78">
        <f>IF($CG752="Currently on Watchlist",1,0)</f>
        <v/>
      </c>
      <c r="CI752" s="76">
        <f>IF($Z752="Full Defeasance","Fully Defeased",IF($Z752="Portion Of Loan Previously Defeased","Partially Defeased",IF($Z752="Defeasance Not Allowable","Not Defeased (Not Permitted)","Not Defeased")))</f>
        <v/>
      </c>
      <c r="CJ752" s="78">
        <f>IF($CI752="Fully Defeased",1,0)</f>
        <v/>
      </c>
      <c r="CK752" s="76">
        <f>IF($R752="IO","Full IO",IF(LEFT($R752&amp;"",7)="IO then","Partial IO","Amortizing"))</f>
        <v/>
      </c>
      <c r="CL752" s="78">
        <f>IF($CK752="Full IO",1,0)</f>
        <v/>
      </c>
      <c r="CM752" s="78">
        <f>IF($CK752="Partial IO",1,0)</f>
        <v/>
      </c>
      <c r="CN752" s="76">
        <f>IF(LEFT($F752&amp;"",10)="SPLIT_LOAN","Pari Passu Split","Standalone")</f>
        <v/>
      </c>
      <c r="CO752" s="78">
        <f>IF($CN752="Pari Passu Split",1,0)</f>
        <v/>
      </c>
      <c r="CP752" s="77">
        <f>IF(ISNUMBER($T752),YEAR($T752),"")</f>
        <v/>
      </c>
      <c r="CQ752" s="79">
        <f>IF(ISNUMBER($V752),$V752,IF(ISNUMBER($U752),$U752,""))</f>
        <v/>
      </c>
      <c r="CR752" s="77">
        <f>IF(ISNUMBER($CQ752),YEAR($CQ752),"")</f>
        <v/>
      </c>
      <c r="CS752" s="78">
        <f>IF(ISNUMBER($M752),MAX(0,$M752),IF(TRIM($M752&amp;"")="matured",0,""))</f>
        <v/>
      </c>
      <c r="CT752" s="78">
        <f>IF(AND(ISNUMBER($CS752),N($CS752)&lt;=mMatWindow),1,0)</f>
        <v/>
      </c>
      <c r="CU752" s="80">
        <f>IF(ISNUMBER($J752),$J752/100,"")</f>
        <v/>
      </c>
      <c r="CV752" s="81">
        <f>IF(ISNUMBER($AQ752),$AQ752,"")</f>
        <v/>
      </c>
      <c r="CW752" s="81">
        <f>IF(ISNUMBER($AR752),$AR752,"")</f>
        <v/>
      </c>
      <c r="CX752" s="82">
        <f>IF(ISNUMBER($AS752),$AS752/100,"")</f>
        <v/>
      </c>
      <c r="CY752" s="82">
        <f>IF(ISNUMBER($AT752),$AT752/100,"")</f>
        <v/>
      </c>
      <c r="CZ752" s="82">
        <f>IF(ISNUMBER($AU752),$AU752/100,"")</f>
        <v/>
      </c>
      <c r="DA752" s="82">
        <f>IF(ISNUMBER($AV752),$AV752/100,"")</f>
        <v/>
      </c>
      <c r="DB752" s="82">
        <f>IF(ISNUMBER($AW752),$AW752/100,"")</f>
        <v/>
      </c>
      <c r="DC752" s="82">
        <f>IF(ISNUMBER($AX752),$AX752/100,"")</f>
        <v/>
      </c>
      <c r="DD752" s="77">
        <f>IFERROR(VALUE(LEFT(TRIM($AO752&amp;""),4)),"")</f>
        <v/>
      </c>
      <c r="DE752" s="78">
        <f>IF(AND($BY752=1,$BX752=1,OR(fDeal="All Deals",$BU752=fDeal),OR(fEntity="All Entities",$BV752=fEntity),OR(fPType="All Property Types",$BZ752=fPType),OR(fDefeased="Include",$CJ752=0)),1,0)</f>
        <v/>
      </c>
      <c r="DF752" s="83">
        <f>$DE752*N($I752)</f>
        <v/>
      </c>
      <c r="DG752" s="78">
        <f>IF($DE752=1,IF(COUNTIFS($F$8:$F752,$F752,$DE$8:$DE752,1)=1,1,0),0)</f>
        <v/>
      </c>
      <c r="DH752" s="83">
        <f>IF($DG752=1,SUMIFS($DF$8:$DF$1600,$F$8:$F$1600,$F752),0)</f>
        <v/>
      </c>
      <c r="DI752" s="78">
        <f>IF($DG752=1,COUNTIFS($F$8:$F$1600,$F752,$DE$8:$DE$1600,1),0)</f>
        <v/>
      </c>
      <c r="DJ752" s="84">
        <f>IF($DG752=1,$DH752+(100000-ROW())/mTieBreak,0)</f>
        <v/>
      </c>
    </row>
    <row r="753">
      <c r="B753" s="68" t="n">
        <v>24</v>
      </c>
      <c r="C753" s="69" t="inlineStr">
        <is>
          <t>UBS18C15</t>
        </is>
      </c>
      <c r="D753" s="69" t="inlineStr">
        <is>
          <t>24.000</t>
        </is>
      </c>
      <c r="E753" s="69" t="inlineStr">
        <is>
          <t>Clevelander South Beach</t>
        </is>
      </c>
      <c r="F753" s="69" t="inlineStr">
        <is>
          <t>SPLIT_LOAN_01443</t>
        </is>
      </c>
      <c r="G753" s="70" t="n">
        <v>1443</v>
      </c>
      <c r="H753" s="71" t="n">
        <v>10000000</v>
      </c>
      <c r="I753" s="71" t="n">
        <v>9646727.560000001</v>
      </c>
      <c r="J753" s="72" t="n">
        <v>5.97</v>
      </c>
      <c r="K753" s="69" t="inlineStr">
        <is>
          <t>Fixed rate</t>
        </is>
      </c>
      <c r="L753" s="68" t="n">
        <v>120</v>
      </c>
      <c r="M753" s="68" t="n">
        <v>25</v>
      </c>
      <c r="N753" s="68" t="n">
        <v>420</v>
      </c>
      <c r="O753" s="68" t="n">
        <v>60</v>
      </c>
      <c r="P753" s="68" t="n">
        <v>0</v>
      </c>
      <c r="Q753" s="68" t="n">
        <v>95</v>
      </c>
      <c r="R753" s="69" t="inlineStr">
        <is>
          <t>IO then Amort</t>
        </is>
      </c>
      <c r="S753" s="69" t="inlineStr">
        <is>
          <t>No</t>
        </is>
      </c>
      <c r="T753" s="73" t="n">
        <v>43374</v>
      </c>
      <c r="U753" s="73" t="n">
        <v>47032</v>
      </c>
      <c r="V753" s="73" t="n"/>
      <c r="W753" s="69" t="n"/>
      <c r="X753" s="69" t="inlineStr">
        <is>
          <t>Current</t>
        </is>
      </c>
      <c r="Y753" s="68" t="n"/>
      <c r="Z753" s="69" t="inlineStr">
        <is>
          <t>Defeasance Not Allowable</t>
        </is>
      </c>
      <c r="AA753" s="69" t="inlineStr">
        <is>
          <t>Yes</t>
        </is>
      </c>
      <c r="AB753" s="69" t="inlineStr">
        <is>
          <t>Returned to master serv</t>
        </is>
      </c>
      <c r="AC753" s="73" t="n"/>
      <c r="AD753" s="69" t="inlineStr">
        <is>
          <t>Other</t>
        </is>
      </c>
      <c r="AE753" s="69" t="inlineStr">
        <is>
          <t>Resolved</t>
        </is>
      </c>
      <c r="AF753" s="69" t="inlineStr">
        <is>
          <t>FL</t>
        </is>
      </c>
      <c r="AG753" s="69" t="inlineStr">
        <is>
          <t>Miami Beach</t>
        </is>
      </c>
      <c r="AH753" s="69" t="inlineStr">
        <is>
          <t>Miami-Fort Lauderdale-West Palm Beach, FL</t>
        </is>
      </c>
      <c r="AI753" s="69" t="inlineStr">
        <is>
          <t>South / Atlantic</t>
        </is>
      </c>
      <c r="AJ753" s="69" t="inlineStr">
        <is>
          <t>HT</t>
        </is>
      </c>
      <c r="AK753" s="69" t="inlineStr">
        <is>
          <t>Full Service</t>
        </is>
      </c>
      <c r="AL753" s="68" t="n">
        <v>1</v>
      </c>
      <c r="AM753" s="68" t="n">
        <v>59</v>
      </c>
      <c r="AN753" s="68" t="n"/>
      <c r="AO753" s="69" t="inlineStr">
        <is>
          <t>1938, 2009</t>
        </is>
      </c>
      <c r="AP753" s="70" t="n">
        <v>2017</v>
      </c>
      <c r="AQ753" s="74" t="n">
        <v>2.37</v>
      </c>
      <c r="AR753" s="74" t="n">
        <v>1.44</v>
      </c>
      <c r="AS753" s="74" t="n">
        <v>63.9</v>
      </c>
      <c r="AT753" s="74" t="n">
        <v>85.77</v>
      </c>
      <c r="AU753" s="74" t="n">
        <v>59.8</v>
      </c>
      <c r="AV753" s="74" t="n">
        <v>14.366530941</v>
      </c>
      <c r="AW753" s="74" t="n">
        <v>9.289636844</v>
      </c>
      <c r="AX753" s="75" t="n">
        <v>70</v>
      </c>
      <c r="AY753" s="71" t="n">
        <v>66500000</v>
      </c>
      <c r="AZ753" s="71" t="n">
        <v>47800000</v>
      </c>
      <c r="BA753" s="71" t="n">
        <v>6105775.65</v>
      </c>
      <c r="BB753" s="71" t="n">
        <v>3808620.32</v>
      </c>
      <c r="BC753" s="69" t="inlineStr">
        <is>
          <t>Acquisition</t>
        </is>
      </c>
      <c r="BD753" s="69" t="inlineStr">
        <is>
          <t>N</t>
        </is>
      </c>
      <c r="BE753" s="71" t="n">
        <v>31351864.57</v>
      </c>
      <c r="BF753" s="71" t="n"/>
      <c r="BG753" s="71" t="n"/>
      <c r="BH753" s="71" t="n">
        <v>0</v>
      </c>
      <c r="BI753" s="71" t="n">
        <v>0</v>
      </c>
      <c r="BJ753" s="69" t="inlineStr">
        <is>
          <t>N</t>
        </is>
      </c>
      <c r="BK753" s="69" t="n"/>
      <c r="BL753" s="75" t="n"/>
      <c r="BM753" s="73" t="n"/>
      <c r="BN753" s="69" t="inlineStr">
        <is>
          <t>Elliott Aintabi; Gilbert Bitton</t>
        </is>
      </c>
      <c r="BO753" s="69" t="inlineStr">
        <is>
          <t>UBS</t>
        </is>
      </c>
      <c r="BP753" s="69" t="inlineStr">
        <is>
          <t>Midland Loan Services</t>
        </is>
      </c>
      <c r="BQ753" s="69" t="inlineStr">
        <is>
          <t>Rialto Capital</t>
        </is>
      </c>
      <c r="BR753" s="69" t="n"/>
      <c r="BS753" s="73" t="n">
        <v>46276</v>
      </c>
      <c r="BU753" s="76">
        <f>IF($C753="","",IFERROR(INDEX(dmName,MATCH($C753,dmID,0)),"Unmapped"))</f>
        <v/>
      </c>
      <c r="BV753" s="76">
        <f>IF($C753="","",IFERROR(INDEX(dmEntity,MATCH($C753,dmID,0)),"Unmapped"))</f>
        <v/>
      </c>
      <c r="BW753" s="77">
        <f>IF($C753="","",IFERROR(INDEX(dmVintage,MATCH($C753,dmID,0)),""))</f>
        <v/>
      </c>
      <c r="BX753" s="78">
        <f>IFERROR(INDEX(dmInclude,MATCH($C753,dmID,0)),0)</f>
        <v/>
      </c>
      <c r="BY753" s="78">
        <f>IF(N($I753)&gt;0,1,0)</f>
        <v/>
      </c>
      <c r="BZ753" s="76">
        <f>IF($AJ753="","Other / Leased Fee",IFERROR(INDEX(mapPTGroup,MATCH(LEFT(TRIM($AJ753),2),mapPTCode,0)),"Other / Leased Fee"))</f>
        <v/>
      </c>
      <c r="CA753" s="76">
        <f>IF(TRIM($AF753&amp;"")="","NR",LEFT(TRIM($AF753),2))</f>
        <v/>
      </c>
      <c r="CB753" s="76">
        <f>IFERROR(LOOKUP(2,1/(LEFT(TRIM($AI753&amp;""),LEN(mapRegion))=mapRegion),mapRegion),"Not Reported")</f>
        <v/>
      </c>
      <c r="CC753" s="76">
        <f>IF($BY753=0,"",IF(TRIM($W753&amp;"")="REO","REO",IF(TRIM($W753&amp;"")="FC","Foreclosure",IF(TRIM($W753&amp;"")="90+","90+ Days Delinquent",IF(TRIM($W753&amp;"")="60","60 Days Delinquent",IF(TRIM($W753&amp;"")="30","30 Days Delinquent",IF($X753="Non-Performing Matured Balloon","Non-Performing Matured Balloon",IF(OR($X753="Late Payment But Less Than 30 Days Delinquent",LEFT($X753&amp;"",20)="Payment Not Received"),"Late / In Grace (&lt;30 Days)",IF($X753="Performing Matured Balloon","Performing Matured Balloon","Current")))))))))</f>
        <v/>
      </c>
      <c r="CD753" s="78">
        <f>IF(OR($CC753="REO",$CC753="Foreclosure",$CC753="90+ Days Delinquent",$CC753="60 Days Delinquent",$CC753="30 Days Delinquent",$CC753="Non-Performing Matured Balloon"),1,0)</f>
        <v/>
      </c>
      <c r="CE753" s="76">
        <f>IF($AB753="Currently special serv","Currently Specially Serviced",IF($AB753="Returned to master serv","Previously Specially Serviced","Never Specially Serviced"))</f>
        <v/>
      </c>
      <c r="CF753" s="78">
        <f>IF($CE753="Currently Specially Serviced",1,0)</f>
        <v/>
      </c>
      <c r="CG753" s="76">
        <f>IF($AA753="Yes","Currently on Watchlist",IF($AA753="Previously","Previously on Watchlist","Never on Watchlist"))</f>
        <v/>
      </c>
      <c r="CH753" s="78">
        <f>IF($CG753="Currently on Watchlist",1,0)</f>
        <v/>
      </c>
      <c r="CI753" s="76">
        <f>IF($Z753="Full Defeasance","Fully Defeased",IF($Z753="Portion Of Loan Previously Defeased","Partially Defeased",IF($Z753="Defeasance Not Allowable","Not Defeased (Not Permitted)","Not Defeased")))</f>
        <v/>
      </c>
      <c r="CJ753" s="78">
        <f>IF($CI753="Fully Defeased",1,0)</f>
        <v/>
      </c>
      <c r="CK753" s="76">
        <f>IF($R753="IO","Full IO",IF(LEFT($R753&amp;"",7)="IO then","Partial IO","Amortizing"))</f>
        <v/>
      </c>
      <c r="CL753" s="78">
        <f>IF($CK753="Full IO",1,0)</f>
        <v/>
      </c>
      <c r="CM753" s="78">
        <f>IF($CK753="Partial IO",1,0)</f>
        <v/>
      </c>
      <c r="CN753" s="76">
        <f>IF(LEFT($F753&amp;"",10)="SPLIT_LOAN","Pari Passu Split","Standalone")</f>
        <v/>
      </c>
      <c r="CO753" s="78">
        <f>IF($CN753="Pari Passu Split",1,0)</f>
        <v/>
      </c>
      <c r="CP753" s="77">
        <f>IF(ISNUMBER($T753),YEAR($T753),"")</f>
        <v/>
      </c>
      <c r="CQ753" s="79">
        <f>IF(ISNUMBER($V753),$V753,IF(ISNUMBER($U753),$U753,""))</f>
        <v/>
      </c>
      <c r="CR753" s="77">
        <f>IF(ISNUMBER($CQ753),YEAR($CQ753),"")</f>
        <v/>
      </c>
      <c r="CS753" s="78">
        <f>IF(ISNUMBER($M753),MAX(0,$M753),IF(TRIM($M753&amp;"")="matured",0,""))</f>
        <v/>
      </c>
      <c r="CT753" s="78">
        <f>IF(AND(ISNUMBER($CS753),N($CS753)&lt;=mMatWindow),1,0)</f>
        <v/>
      </c>
      <c r="CU753" s="80">
        <f>IF(ISNUMBER($J753),$J753/100,"")</f>
        <v/>
      </c>
      <c r="CV753" s="81">
        <f>IF(ISNUMBER($AQ753),$AQ753,"")</f>
        <v/>
      </c>
      <c r="CW753" s="81">
        <f>IF(ISNUMBER($AR753),$AR753,"")</f>
        <v/>
      </c>
      <c r="CX753" s="82">
        <f>IF(ISNUMBER($AS753),$AS753/100,"")</f>
        <v/>
      </c>
      <c r="CY753" s="82">
        <f>IF(ISNUMBER($AT753),$AT753/100,"")</f>
        <v/>
      </c>
      <c r="CZ753" s="82">
        <f>IF(ISNUMBER($AU753),$AU753/100,"")</f>
        <v/>
      </c>
      <c r="DA753" s="82">
        <f>IF(ISNUMBER($AV753),$AV753/100,"")</f>
        <v/>
      </c>
      <c r="DB753" s="82">
        <f>IF(ISNUMBER($AW753),$AW753/100,"")</f>
        <v/>
      </c>
      <c r="DC753" s="82">
        <f>IF(ISNUMBER($AX753),$AX753/100,"")</f>
        <v/>
      </c>
      <c r="DD753" s="77">
        <f>IFERROR(VALUE(LEFT(TRIM($AO753&amp;""),4)),"")</f>
        <v/>
      </c>
      <c r="DE753" s="78">
        <f>IF(AND($BY753=1,$BX753=1,OR(fDeal="All Deals",$BU753=fDeal),OR(fEntity="All Entities",$BV753=fEntity),OR(fPType="All Property Types",$BZ753=fPType),OR(fDefeased="Include",$CJ753=0)),1,0)</f>
        <v/>
      </c>
      <c r="DF753" s="83">
        <f>$DE753*N($I753)</f>
        <v/>
      </c>
      <c r="DG753" s="78">
        <f>IF($DE753=1,IF(COUNTIFS($F$8:$F753,$F753,$DE$8:$DE753,1)=1,1,0),0)</f>
        <v/>
      </c>
      <c r="DH753" s="83">
        <f>IF($DG753=1,SUMIFS($DF$8:$DF$1600,$F$8:$F$1600,$F753),0)</f>
        <v/>
      </c>
      <c r="DI753" s="78">
        <f>IF($DG753=1,COUNTIFS($F$8:$F$1600,$F753,$DE$8:$DE$1600,1),0)</f>
        <v/>
      </c>
      <c r="DJ753" s="84">
        <f>IF($DG753=1,$DH753+(100000-ROW())/mTieBreak,0)</f>
        <v/>
      </c>
    </row>
    <row r="754">
      <c r="B754" s="68" t="n">
        <v>25</v>
      </c>
      <c r="C754" s="69" t="inlineStr">
        <is>
          <t>UBS18C15</t>
        </is>
      </c>
      <c r="D754" s="69" t="inlineStr">
        <is>
          <t>25.TR</t>
        </is>
      </c>
      <c r="E754" s="69" t="inlineStr">
        <is>
          <t>Christiana Mall - Trust</t>
        </is>
      </c>
      <c r="F754" s="69" t="inlineStr">
        <is>
          <t>SPLIT_LOAN_01318</t>
        </is>
      </c>
      <c r="G754" s="70" t="n">
        <v>1318</v>
      </c>
      <c r="H754" s="71" t="n">
        <v>10000000</v>
      </c>
      <c r="I754" s="71" t="n">
        <v>10000000</v>
      </c>
      <c r="J754" s="72" t="n">
        <v>4.2775</v>
      </c>
      <c r="K754" s="69" t="inlineStr">
        <is>
          <t>Fixed rate</t>
        </is>
      </c>
      <c r="L754" s="68" t="n">
        <v>120</v>
      </c>
      <c r="M754" s="68" t="n">
        <v>23</v>
      </c>
      <c r="N754" s="68" t="n">
        <v>120</v>
      </c>
      <c r="O754" s="68" t="n">
        <v>120</v>
      </c>
      <c r="P754" s="68" t="n">
        <v>23</v>
      </c>
      <c r="Q754" s="68" t="n">
        <v>97</v>
      </c>
      <c r="R754" s="69" t="inlineStr">
        <is>
          <t>IO</t>
        </is>
      </c>
      <c r="S754" s="69" t="inlineStr">
        <is>
          <t>Yes</t>
        </is>
      </c>
      <c r="T754" s="73" t="n">
        <v>43313</v>
      </c>
      <c r="U754" s="73" t="n">
        <v>46966</v>
      </c>
      <c r="V754" s="73" t="n"/>
      <c r="W754" s="69" t="n"/>
      <c r="X754" s="69" t="inlineStr">
        <is>
          <t>Current</t>
        </is>
      </c>
      <c r="Y754" s="68" t="n"/>
      <c r="Z754" s="69" t="inlineStr">
        <is>
          <t>No Defeasance Occurred</t>
        </is>
      </c>
      <c r="AA754" s="69" t="n"/>
      <c r="AB754" s="69" t="inlineStr">
        <is>
          <t>Never special serv</t>
        </is>
      </c>
      <c r="AC754" s="73" t="n"/>
      <c r="AD754" s="69" t="n"/>
      <c r="AE754" s="69" t="n"/>
      <c r="AF754" s="69" t="inlineStr">
        <is>
          <t>DE</t>
        </is>
      </c>
      <c r="AG754" s="69" t="inlineStr">
        <is>
          <t>Newark</t>
        </is>
      </c>
      <c r="AH754" s="69" t="inlineStr">
        <is>
          <t>Philadelphia-Camden-Wilmington, PA-NJ-DE-MD</t>
        </is>
      </c>
      <c r="AI754" s="69" t="inlineStr">
        <is>
          <t>Northeast / Mid-Atlantic</t>
        </is>
      </c>
      <c r="AJ754" s="69" t="inlineStr">
        <is>
          <t>RT</t>
        </is>
      </c>
      <c r="AK754" s="69" t="inlineStr">
        <is>
          <t>Super Regional Mall</t>
        </is>
      </c>
      <c r="AL754" s="68" t="n">
        <v>1</v>
      </c>
      <c r="AM754" s="68" t="n"/>
      <c r="AN754" s="68" t="n">
        <v>779084</v>
      </c>
      <c r="AO754" s="69" t="inlineStr">
        <is>
          <t>1978</t>
        </is>
      </c>
      <c r="AP754" s="70" t="n">
        <v>2014</v>
      </c>
      <c r="AQ754" s="74" t="n">
        <v>3.15</v>
      </c>
      <c r="AR754" s="74" t="n">
        <v>2.83</v>
      </c>
      <c r="AS754" s="74" t="n">
        <v>32.5</v>
      </c>
      <c r="AT754" s="74" t="n">
        <v>32.5</v>
      </c>
      <c r="AU754" s="74" t="n">
        <v>32.5</v>
      </c>
      <c r="AV754" s="74" t="n">
        <v>13.64040355</v>
      </c>
      <c r="AW754" s="74" t="n">
        <v>12.305089435</v>
      </c>
      <c r="AX754" s="75" t="n">
        <v>96</v>
      </c>
      <c r="AY754" s="71" t="n">
        <v>1040000000</v>
      </c>
      <c r="AZ754" s="71" t="n">
        <v>1040000000</v>
      </c>
      <c r="BA754" s="71" t="n">
        <v>46104564</v>
      </c>
      <c r="BB754" s="71" t="n">
        <v>41591202.29</v>
      </c>
      <c r="BC754" s="69" t="inlineStr">
        <is>
          <t>Refinance</t>
        </is>
      </c>
      <c r="BD754" s="69" t="inlineStr">
        <is>
          <t>N</t>
        </is>
      </c>
      <c r="BE754" s="71" t="n">
        <v>328000000</v>
      </c>
      <c r="BF754" s="71" t="n">
        <v>212000000</v>
      </c>
      <c r="BG754" s="71" t="n"/>
      <c r="BH754" s="71" t="n">
        <v>0</v>
      </c>
      <c r="BI754" s="71" t="n">
        <v>0</v>
      </c>
      <c r="BJ754" s="69" t="inlineStr">
        <is>
          <t>N</t>
        </is>
      </c>
      <c r="BK754" s="69" t="inlineStr">
        <is>
          <t>MACYS Non Collateral Tenant 215000 SF</t>
        </is>
      </c>
      <c r="BL754" s="75" t="n">
        <v>16.96</v>
      </c>
      <c r="BM754" s="73" t="n">
        <v>47118</v>
      </c>
      <c r="BN754" s="69" t="inlineStr">
        <is>
          <t>GGP Inc.; PPF Retail, LLC</t>
        </is>
      </c>
      <c r="BO754" s="69" t="inlineStr">
        <is>
          <t>Societe Generale / Barclays</t>
        </is>
      </c>
      <c r="BP754" s="69" t="inlineStr">
        <is>
          <t>Midland Loan Services</t>
        </is>
      </c>
      <c r="BQ754" s="69" t="inlineStr">
        <is>
          <t>Wells Fargo</t>
        </is>
      </c>
      <c r="BR754" s="69" t="n"/>
      <c r="BS754" s="73" t="n">
        <v>46276</v>
      </c>
      <c r="BU754" s="76">
        <f>IF($C754="","",IFERROR(INDEX(dmName,MATCH($C754,dmID,0)),"Unmapped"))</f>
        <v/>
      </c>
      <c r="BV754" s="76">
        <f>IF($C754="","",IFERROR(INDEX(dmEntity,MATCH($C754,dmID,0)),"Unmapped"))</f>
        <v/>
      </c>
      <c r="BW754" s="77">
        <f>IF($C754="","",IFERROR(INDEX(dmVintage,MATCH($C754,dmID,0)),""))</f>
        <v/>
      </c>
      <c r="BX754" s="78">
        <f>IFERROR(INDEX(dmInclude,MATCH($C754,dmID,0)),0)</f>
        <v/>
      </c>
      <c r="BY754" s="78">
        <f>IF(N($I754)&gt;0,1,0)</f>
        <v/>
      </c>
      <c r="BZ754" s="76">
        <f>IF($AJ754="","Other / Leased Fee",IFERROR(INDEX(mapPTGroup,MATCH(LEFT(TRIM($AJ754),2),mapPTCode,0)),"Other / Leased Fee"))</f>
        <v/>
      </c>
      <c r="CA754" s="76">
        <f>IF(TRIM($AF754&amp;"")="","NR",LEFT(TRIM($AF754),2))</f>
        <v/>
      </c>
      <c r="CB754" s="76">
        <f>IFERROR(LOOKUP(2,1/(LEFT(TRIM($AI754&amp;""),LEN(mapRegion))=mapRegion),mapRegion),"Not Reported")</f>
        <v/>
      </c>
      <c r="CC754" s="76">
        <f>IF($BY754=0,"",IF(TRIM($W754&amp;"")="REO","REO",IF(TRIM($W754&amp;"")="FC","Foreclosure",IF(TRIM($W754&amp;"")="90+","90+ Days Delinquent",IF(TRIM($W754&amp;"")="60","60 Days Delinquent",IF(TRIM($W754&amp;"")="30","30 Days Delinquent",IF($X754="Non-Performing Matured Balloon","Non-Performing Matured Balloon",IF(OR($X754="Late Payment But Less Than 30 Days Delinquent",LEFT($X754&amp;"",20)="Payment Not Received"),"Late / In Grace (&lt;30 Days)",IF($X754="Performing Matured Balloon","Performing Matured Balloon","Current")))))))))</f>
        <v/>
      </c>
      <c r="CD754" s="78">
        <f>IF(OR($CC754="REO",$CC754="Foreclosure",$CC754="90+ Days Delinquent",$CC754="60 Days Delinquent",$CC754="30 Days Delinquent",$CC754="Non-Performing Matured Balloon"),1,0)</f>
        <v/>
      </c>
      <c r="CE754" s="76">
        <f>IF($AB754="Currently special serv","Currently Specially Serviced",IF($AB754="Returned to master serv","Previously Specially Serviced","Never Specially Serviced"))</f>
        <v/>
      </c>
      <c r="CF754" s="78">
        <f>IF($CE754="Currently Specially Serviced",1,0)</f>
        <v/>
      </c>
      <c r="CG754" s="76">
        <f>IF($AA754="Yes","Currently on Watchlist",IF($AA754="Previously","Previously on Watchlist","Never on Watchlist"))</f>
        <v/>
      </c>
      <c r="CH754" s="78">
        <f>IF($CG754="Currently on Watchlist",1,0)</f>
        <v/>
      </c>
      <c r="CI754" s="76">
        <f>IF($Z754="Full Defeasance","Fully Defeased",IF($Z754="Portion Of Loan Previously Defeased","Partially Defeased",IF($Z754="Defeasance Not Allowable","Not Defeased (Not Permitted)","Not Defeased")))</f>
        <v/>
      </c>
      <c r="CJ754" s="78">
        <f>IF($CI754="Fully Defeased",1,0)</f>
        <v/>
      </c>
      <c r="CK754" s="76">
        <f>IF($R754="IO","Full IO",IF(LEFT($R754&amp;"",7)="IO then","Partial IO","Amortizing"))</f>
        <v/>
      </c>
      <c r="CL754" s="78">
        <f>IF($CK754="Full IO",1,0)</f>
        <v/>
      </c>
      <c r="CM754" s="78">
        <f>IF($CK754="Partial IO",1,0)</f>
        <v/>
      </c>
      <c r="CN754" s="76">
        <f>IF(LEFT($F754&amp;"",10)="SPLIT_LOAN","Pari Passu Split","Standalone")</f>
        <v/>
      </c>
      <c r="CO754" s="78">
        <f>IF($CN754="Pari Passu Split",1,0)</f>
        <v/>
      </c>
      <c r="CP754" s="77">
        <f>IF(ISNUMBER($T754),YEAR($T754),"")</f>
        <v/>
      </c>
      <c r="CQ754" s="79">
        <f>IF(ISNUMBER($V754),$V754,IF(ISNUMBER($U754),$U754,""))</f>
        <v/>
      </c>
      <c r="CR754" s="77">
        <f>IF(ISNUMBER($CQ754),YEAR($CQ754),"")</f>
        <v/>
      </c>
      <c r="CS754" s="78">
        <f>IF(ISNUMBER($M754),MAX(0,$M754),IF(TRIM($M754&amp;"")="matured",0,""))</f>
        <v/>
      </c>
      <c r="CT754" s="78">
        <f>IF(AND(ISNUMBER($CS754),N($CS754)&lt;=mMatWindow),1,0)</f>
        <v/>
      </c>
      <c r="CU754" s="80">
        <f>IF(ISNUMBER($J754),$J754/100,"")</f>
        <v/>
      </c>
      <c r="CV754" s="81">
        <f>IF(ISNUMBER($AQ754),$AQ754,"")</f>
        <v/>
      </c>
      <c r="CW754" s="81">
        <f>IF(ISNUMBER($AR754),$AR754,"")</f>
        <v/>
      </c>
      <c r="CX754" s="82">
        <f>IF(ISNUMBER($AS754),$AS754/100,"")</f>
        <v/>
      </c>
      <c r="CY754" s="82">
        <f>IF(ISNUMBER($AT754),$AT754/100,"")</f>
        <v/>
      </c>
      <c r="CZ754" s="82">
        <f>IF(ISNUMBER($AU754),$AU754/100,"")</f>
        <v/>
      </c>
      <c r="DA754" s="82">
        <f>IF(ISNUMBER($AV754),$AV754/100,"")</f>
        <v/>
      </c>
      <c r="DB754" s="82">
        <f>IF(ISNUMBER($AW754),$AW754/100,"")</f>
        <v/>
      </c>
      <c r="DC754" s="82">
        <f>IF(ISNUMBER($AX754),$AX754/100,"")</f>
        <v/>
      </c>
      <c r="DD754" s="77">
        <f>IFERROR(VALUE(LEFT(TRIM($AO754&amp;""),4)),"")</f>
        <v/>
      </c>
      <c r="DE754" s="78">
        <f>IF(AND($BY754=1,$BX754=1,OR(fDeal="All Deals",$BU754=fDeal),OR(fEntity="All Entities",$BV754=fEntity),OR(fPType="All Property Types",$BZ754=fPType),OR(fDefeased="Include",$CJ754=0)),1,0)</f>
        <v/>
      </c>
      <c r="DF754" s="83">
        <f>$DE754*N($I754)</f>
        <v/>
      </c>
      <c r="DG754" s="78">
        <f>IF($DE754=1,IF(COUNTIFS($F$8:$F754,$F754,$DE$8:$DE754,1)=1,1,0),0)</f>
        <v/>
      </c>
      <c r="DH754" s="83">
        <f>IF($DG754=1,SUMIFS($DF$8:$DF$1600,$F$8:$F$1600,$F754),0)</f>
        <v/>
      </c>
      <c r="DI754" s="78">
        <f>IF($DG754=1,COUNTIFS($F$8:$F$1600,$F754,$DE$8:$DE$1600,1),0)</f>
        <v/>
      </c>
      <c r="DJ754" s="84">
        <f>IF($DG754=1,$DH754+(100000-ROW())/mTieBreak,0)</f>
        <v/>
      </c>
    </row>
    <row r="755">
      <c r="B755" s="68" t="n">
        <v>26</v>
      </c>
      <c r="C755" s="69" t="inlineStr">
        <is>
          <t>UBS18C15</t>
        </is>
      </c>
      <c r="D755" s="69" t="inlineStr">
        <is>
          <t>26.000</t>
        </is>
      </c>
      <c r="E755" s="69" t="inlineStr">
        <is>
          <t>Ellsworth Place</t>
        </is>
      </c>
      <c r="F755" s="69" t="inlineStr">
        <is>
          <t>SPLIT_LOAN_01362</t>
        </is>
      </c>
      <c r="G755" s="70" t="n">
        <v>1362</v>
      </c>
      <c r="H755" s="71" t="n">
        <v>10000000</v>
      </c>
      <c r="I755" s="71" t="n">
        <v>9209866.16</v>
      </c>
      <c r="J755" s="72" t="n">
        <v>5.01</v>
      </c>
      <c r="K755" s="69" t="inlineStr">
        <is>
          <t>Fixed rate</t>
        </is>
      </c>
      <c r="L755" s="68" t="n">
        <v>120</v>
      </c>
      <c r="M755" s="68" t="n">
        <v>23</v>
      </c>
      <c r="N755" s="68" t="n">
        <v>396</v>
      </c>
      <c r="O755" s="68" t="n">
        <v>36</v>
      </c>
      <c r="P755" s="68" t="n">
        <v>0</v>
      </c>
      <c r="Q755" s="68" t="n">
        <v>97</v>
      </c>
      <c r="R755" s="69" t="inlineStr">
        <is>
          <t>IO then Amort</t>
        </is>
      </c>
      <c r="S755" s="69" t="inlineStr">
        <is>
          <t>No</t>
        </is>
      </c>
      <c r="T755" s="73" t="n">
        <v>43313</v>
      </c>
      <c r="U755" s="73" t="n">
        <v>46971</v>
      </c>
      <c r="V755" s="73" t="n"/>
      <c r="W755" s="69" t="inlineStr">
        <is>
          <t>90+</t>
        </is>
      </c>
      <c r="X755" s="69" t="inlineStr">
        <is>
          <t>121+ Days Delinquent</t>
        </is>
      </c>
      <c r="Y755" s="68" t="n">
        <v>9</v>
      </c>
      <c r="Z755" s="69" t="inlineStr">
        <is>
          <t>Defeasance Not Allowable</t>
        </is>
      </c>
      <c r="AA755" s="69" t="inlineStr">
        <is>
          <t>Previously</t>
        </is>
      </c>
      <c r="AB755" s="69" t="inlineStr">
        <is>
          <t>Currently special serv</t>
        </is>
      </c>
      <c r="AC755" s="73" t="n">
        <v>45957</v>
      </c>
      <c r="AD755" s="69" t="inlineStr">
        <is>
          <t>Imminent Monetary Default (excluding Balloon/Maturity Default &amp; Single Tenant Bankruptcy/Vacate)</t>
        </is>
      </c>
      <c r="AE755" s="69" t="inlineStr">
        <is>
          <t>Foreclosure</t>
        </is>
      </c>
      <c r="AF755" s="69" t="inlineStr">
        <is>
          <t>MD</t>
        </is>
      </c>
      <c r="AG755" s="69" t="inlineStr">
        <is>
          <t>Silver Spring</t>
        </is>
      </c>
      <c r="AH755" s="69" t="inlineStr">
        <is>
          <t>Washington-Arlington-Alexandria, DC-VA-MD-WV</t>
        </is>
      </c>
      <c r="AI755" s="69" t="inlineStr">
        <is>
          <t>South / Atlantic</t>
        </is>
      </c>
      <c r="AJ755" s="69" t="inlineStr">
        <is>
          <t>RT</t>
        </is>
      </c>
      <c r="AK755" s="69" t="inlineStr">
        <is>
          <t>Anchored</t>
        </is>
      </c>
      <c r="AL755" s="68" t="n">
        <v>1</v>
      </c>
      <c r="AM755" s="68" t="n"/>
      <c r="AN755" s="68" t="n">
        <v>347758</v>
      </c>
      <c r="AO755" s="69" t="inlineStr">
        <is>
          <t>1947</t>
        </is>
      </c>
      <c r="AP755" s="70" t="n">
        <v>2015</v>
      </c>
      <c r="AQ755" s="74" t="n">
        <v>1.86</v>
      </c>
      <c r="AR755" s="74" t="n">
        <v>1.22</v>
      </c>
      <c r="AS755" s="74" t="n">
        <v>71.90000000000001</v>
      </c>
      <c r="AT755" s="74" t="n">
        <v>92.77</v>
      </c>
      <c r="AU755" s="74" t="n">
        <v>63.7</v>
      </c>
      <c r="AV755" s="74" t="n">
        <v>9.435697101000001</v>
      </c>
      <c r="AW755" s="74" t="n">
        <v>8.541078722</v>
      </c>
      <c r="AX755" s="75" t="n">
        <v>95</v>
      </c>
      <c r="AY755" s="71" t="n">
        <v>95900000</v>
      </c>
      <c r="AZ755" s="71" t="n">
        <v>68500000</v>
      </c>
      <c r="BA755" s="71" t="n">
        <v>6510631</v>
      </c>
      <c r="BB755" s="71" t="n">
        <v>5427691.24</v>
      </c>
      <c r="BC755" s="69" t="inlineStr">
        <is>
          <t>Acquisition</t>
        </is>
      </c>
      <c r="BD755" s="69" t="inlineStr">
        <is>
          <t>N</t>
        </is>
      </c>
      <c r="BE755" s="71" t="n">
        <v>54338210.34</v>
      </c>
      <c r="BF755" s="71" t="n"/>
      <c r="BG755" s="71" t="n"/>
      <c r="BH755" s="71" t="n">
        <v>519915.04</v>
      </c>
      <c r="BI755" s="71" t="n">
        <v>523930.28</v>
      </c>
      <c r="BJ755" s="69" t="inlineStr">
        <is>
          <t>Y</t>
        </is>
      </c>
      <c r="BK755" s="69" t="inlineStr">
        <is>
          <t>Burlington Coat Factory</t>
        </is>
      </c>
      <c r="BL755" s="75" t="n">
        <v>19.03</v>
      </c>
      <c r="BM755" s="73" t="n">
        <v>46081</v>
      </c>
      <c r="BN755" s="69" t="inlineStr">
        <is>
          <t>George B. Tomlin, Jr.</t>
        </is>
      </c>
      <c r="BO755" s="69" t="inlineStr">
        <is>
          <t>Rialto</t>
        </is>
      </c>
      <c r="BP755" s="69" t="inlineStr">
        <is>
          <t>Midland Loan Services</t>
        </is>
      </c>
      <c r="BQ755" s="69" t="inlineStr">
        <is>
          <t>K-Star Asset Management LLC</t>
        </is>
      </c>
      <c r="BR755" s="69" t="n"/>
      <c r="BS755" s="73" t="n">
        <v>46276</v>
      </c>
      <c r="BU755" s="76">
        <f>IF($C755="","",IFERROR(INDEX(dmName,MATCH($C755,dmID,0)),"Unmapped"))</f>
        <v/>
      </c>
      <c r="BV755" s="76">
        <f>IF($C755="","",IFERROR(INDEX(dmEntity,MATCH($C755,dmID,0)),"Unmapped"))</f>
        <v/>
      </c>
      <c r="BW755" s="77">
        <f>IF($C755="","",IFERROR(INDEX(dmVintage,MATCH($C755,dmID,0)),""))</f>
        <v/>
      </c>
      <c r="BX755" s="78">
        <f>IFERROR(INDEX(dmInclude,MATCH($C755,dmID,0)),0)</f>
        <v/>
      </c>
      <c r="BY755" s="78">
        <f>IF(N($I755)&gt;0,1,0)</f>
        <v/>
      </c>
      <c r="BZ755" s="76">
        <f>IF($AJ755="","Other / Leased Fee",IFERROR(INDEX(mapPTGroup,MATCH(LEFT(TRIM($AJ755),2),mapPTCode,0)),"Other / Leased Fee"))</f>
        <v/>
      </c>
      <c r="CA755" s="76">
        <f>IF(TRIM($AF755&amp;"")="","NR",LEFT(TRIM($AF755),2))</f>
        <v/>
      </c>
      <c r="CB755" s="76">
        <f>IFERROR(LOOKUP(2,1/(LEFT(TRIM($AI755&amp;""),LEN(mapRegion))=mapRegion),mapRegion),"Not Reported")</f>
        <v/>
      </c>
      <c r="CC755" s="76">
        <f>IF($BY755=0,"",IF(TRIM($W755&amp;"")="REO","REO",IF(TRIM($W755&amp;"")="FC","Foreclosure",IF(TRIM($W755&amp;"")="90+","90+ Days Delinquent",IF(TRIM($W755&amp;"")="60","60 Days Delinquent",IF(TRIM($W755&amp;"")="30","30 Days Delinquent",IF($X755="Non-Performing Matured Balloon","Non-Performing Matured Balloon",IF(OR($X755="Late Payment But Less Than 30 Days Delinquent",LEFT($X755&amp;"",20)="Payment Not Received"),"Late / In Grace (&lt;30 Days)",IF($X755="Performing Matured Balloon","Performing Matured Balloon","Current")))))))))</f>
        <v/>
      </c>
      <c r="CD755" s="78">
        <f>IF(OR($CC755="REO",$CC755="Foreclosure",$CC755="90+ Days Delinquent",$CC755="60 Days Delinquent",$CC755="30 Days Delinquent",$CC755="Non-Performing Matured Balloon"),1,0)</f>
        <v/>
      </c>
      <c r="CE755" s="76">
        <f>IF($AB755="Currently special serv","Currently Specially Serviced",IF($AB755="Returned to master serv","Previously Specially Serviced","Never Specially Serviced"))</f>
        <v/>
      </c>
      <c r="CF755" s="78">
        <f>IF($CE755="Currently Specially Serviced",1,0)</f>
        <v/>
      </c>
      <c r="CG755" s="76">
        <f>IF($AA755="Yes","Currently on Watchlist",IF($AA755="Previously","Previously on Watchlist","Never on Watchlist"))</f>
        <v/>
      </c>
      <c r="CH755" s="78">
        <f>IF($CG755="Currently on Watchlist",1,0)</f>
        <v/>
      </c>
      <c r="CI755" s="76">
        <f>IF($Z755="Full Defeasance","Fully Defeased",IF($Z755="Portion Of Loan Previously Defeased","Partially Defeased",IF($Z755="Defeasance Not Allowable","Not Defeased (Not Permitted)","Not Defeased")))</f>
        <v/>
      </c>
      <c r="CJ755" s="78">
        <f>IF($CI755="Fully Defeased",1,0)</f>
        <v/>
      </c>
      <c r="CK755" s="76">
        <f>IF($R755="IO","Full IO",IF(LEFT($R755&amp;"",7)="IO then","Partial IO","Amortizing"))</f>
        <v/>
      </c>
      <c r="CL755" s="78">
        <f>IF($CK755="Full IO",1,0)</f>
        <v/>
      </c>
      <c r="CM755" s="78">
        <f>IF($CK755="Partial IO",1,0)</f>
        <v/>
      </c>
      <c r="CN755" s="76">
        <f>IF(LEFT($F755&amp;"",10)="SPLIT_LOAN","Pari Passu Split","Standalone")</f>
        <v/>
      </c>
      <c r="CO755" s="78">
        <f>IF($CN755="Pari Passu Split",1,0)</f>
        <v/>
      </c>
      <c r="CP755" s="77">
        <f>IF(ISNUMBER($T755),YEAR($T755),"")</f>
        <v/>
      </c>
      <c r="CQ755" s="79">
        <f>IF(ISNUMBER($V755),$V755,IF(ISNUMBER($U755),$U755,""))</f>
        <v/>
      </c>
      <c r="CR755" s="77">
        <f>IF(ISNUMBER($CQ755),YEAR($CQ755),"")</f>
        <v/>
      </c>
      <c r="CS755" s="78">
        <f>IF(ISNUMBER($M755),MAX(0,$M755),IF(TRIM($M755&amp;"")="matured",0,""))</f>
        <v/>
      </c>
      <c r="CT755" s="78">
        <f>IF(AND(ISNUMBER($CS755),N($CS755)&lt;=mMatWindow),1,0)</f>
        <v/>
      </c>
      <c r="CU755" s="80">
        <f>IF(ISNUMBER($J755),$J755/100,"")</f>
        <v/>
      </c>
      <c r="CV755" s="81">
        <f>IF(ISNUMBER($AQ755),$AQ755,"")</f>
        <v/>
      </c>
      <c r="CW755" s="81">
        <f>IF(ISNUMBER($AR755),$AR755,"")</f>
        <v/>
      </c>
      <c r="CX755" s="82">
        <f>IF(ISNUMBER($AS755),$AS755/100,"")</f>
        <v/>
      </c>
      <c r="CY755" s="82">
        <f>IF(ISNUMBER($AT755),$AT755/100,"")</f>
        <v/>
      </c>
      <c r="CZ755" s="82">
        <f>IF(ISNUMBER($AU755),$AU755/100,"")</f>
        <v/>
      </c>
      <c r="DA755" s="82">
        <f>IF(ISNUMBER($AV755),$AV755/100,"")</f>
        <v/>
      </c>
      <c r="DB755" s="82">
        <f>IF(ISNUMBER($AW755),$AW755/100,"")</f>
        <v/>
      </c>
      <c r="DC755" s="82">
        <f>IF(ISNUMBER($AX755),$AX755/100,"")</f>
        <v/>
      </c>
      <c r="DD755" s="77">
        <f>IFERROR(VALUE(LEFT(TRIM($AO755&amp;""),4)),"")</f>
        <v/>
      </c>
      <c r="DE755" s="78">
        <f>IF(AND($BY755=1,$BX755=1,OR(fDeal="All Deals",$BU755=fDeal),OR(fEntity="All Entities",$BV755=fEntity),OR(fPType="All Property Types",$BZ755=fPType),OR(fDefeased="Include",$CJ755=0)),1,0)</f>
        <v/>
      </c>
      <c r="DF755" s="83">
        <f>$DE755*N($I755)</f>
        <v/>
      </c>
      <c r="DG755" s="78">
        <f>IF($DE755=1,IF(COUNTIFS($F$8:$F755,$F755,$DE$8:$DE755,1)=1,1,0),0)</f>
        <v/>
      </c>
      <c r="DH755" s="83">
        <f>IF($DG755=1,SUMIFS($DF$8:$DF$1600,$F$8:$F$1600,$F755),0)</f>
        <v/>
      </c>
      <c r="DI755" s="78">
        <f>IF($DG755=1,COUNTIFS($F$8:$F$1600,$F755,$DE$8:$DE$1600,1),0)</f>
        <v/>
      </c>
      <c r="DJ755" s="84">
        <f>IF($DG755=1,$DH755+(100000-ROW())/mTieBreak,0)</f>
        <v/>
      </c>
    </row>
    <row r="756">
      <c r="B756" s="68" t="n">
        <v>27</v>
      </c>
      <c r="C756" s="69" t="inlineStr">
        <is>
          <t>UBS18C15</t>
        </is>
      </c>
      <c r="D756" s="69" t="inlineStr">
        <is>
          <t>27.000</t>
        </is>
      </c>
      <c r="E756" s="69" t="inlineStr">
        <is>
          <t>Feather River Crossing</t>
        </is>
      </c>
      <c r="F756" s="69" t="inlineStr">
        <is>
          <t>LNUBS18C15-27.000</t>
        </is>
      </c>
      <c r="G756" s="70" t="n"/>
      <c r="H756" s="71" t="n">
        <v>9800000</v>
      </c>
      <c r="I756" s="71" t="n">
        <v>0</v>
      </c>
      <c r="J756" s="72" t="n">
        <v>5.504</v>
      </c>
      <c r="K756" s="69" t="inlineStr">
        <is>
          <t>Fixed rate</t>
        </is>
      </c>
      <c r="L756" s="68" t="n">
        <v>120</v>
      </c>
      <c r="M756" s="68" t="n"/>
      <c r="N756" s="68" t="n">
        <v>360</v>
      </c>
      <c r="O756" s="68" t="n"/>
      <c r="P756" s="68" t="n"/>
      <c r="Q756" s="68" t="n"/>
      <c r="R756" s="69" t="n"/>
      <c r="S756" s="69" t="inlineStr">
        <is>
          <t>No</t>
        </is>
      </c>
      <c r="T756" s="73" t="n">
        <v>43435</v>
      </c>
      <c r="U756" s="73" t="n">
        <v>47093</v>
      </c>
      <c r="V756" s="73" t="n"/>
      <c r="W756" s="69" t="n"/>
      <c r="X756" s="69" t="inlineStr">
        <is>
          <t>Current</t>
        </is>
      </c>
      <c r="Y756" s="68" t="n"/>
      <c r="Z756" s="69" t="inlineStr">
        <is>
          <t>Defeasance Not Allowable</t>
        </is>
      </c>
      <c r="AA756" s="69" t="inlineStr">
        <is>
          <t>Previously</t>
        </is>
      </c>
      <c r="AB756" s="69" t="inlineStr">
        <is>
          <t>Returned to master serv</t>
        </is>
      </c>
      <c r="AC756" s="73" t="n"/>
      <c r="AD756" s="69" t="inlineStr">
        <is>
          <t>Other</t>
        </is>
      </c>
      <c r="AE756" s="69" t="inlineStr">
        <is>
          <t>Resolved</t>
        </is>
      </c>
      <c r="AF756" s="69" t="inlineStr">
        <is>
          <t>CA</t>
        </is>
      </c>
      <c r="AG756" s="69" t="inlineStr">
        <is>
          <t>Oroville</t>
        </is>
      </c>
      <c r="AH756" s="69" t="inlineStr">
        <is>
          <t>Chico, CA</t>
        </is>
      </c>
      <c r="AI756" s="69" t="inlineStr">
        <is>
          <t>West / Pacific North</t>
        </is>
      </c>
      <c r="AJ756" s="69" t="inlineStr">
        <is>
          <t>RT</t>
        </is>
      </c>
      <c r="AK756" s="69" t="inlineStr">
        <is>
          <t>Anchored</t>
        </is>
      </c>
      <c r="AL756" s="68" t="n">
        <v>1</v>
      </c>
      <c r="AM756" s="68" t="n"/>
      <c r="AN756" s="68" t="n">
        <v>90580</v>
      </c>
      <c r="AO756" s="69" t="inlineStr">
        <is>
          <t>1991</t>
        </is>
      </c>
      <c r="AP756" s="70" t="n">
        <v>2018</v>
      </c>
      <c r="AQ756" s="74" t="n">
        <v>1.4</v>
      </c>
      <c r="AR756" s="74" t="n">
        <v>1.43</v>
      </c>
      <c r="AS756" s="74" t="n">
        <v>62.4</v>
      </c>
      <c r="AT756" s="74" t="n"/>
      <c r="AU756" s="74" t="n">
        <v>52.2</v>
      </c>
      <c r="AV756" s="74" t="n">
        <v>9.570231224</v>
      </c>
      <c r="AW756" s="74" t="n"/>
      <c r="AX756" s="75" t="n">
        <v>100</v>
      </c>
      <c r="AY756" s="71" t="n">
        <v>15700000</v>
      </c>
      <c r="AZ756" s="71" t="n">
        <v>15700000</v>
      </c>
      <c r="BA756" s="71" t="n">
        <v>937882.66</v>
      </c>
      <c r="BB756" s="71" t="n">
        <v>955166.21</v>
      </c>
      <c r="BC756" s="69" t="inlineStr">
        <is>
          <t>Refinance</t>
        </is>
      </c>
      <c r="BD756" s="69" t="inlineStr">
        <is>
          <t>N</t>
        </is>
      </c>
      <c r="BE756" s="71" t="n"/>
      <c r="BF756" s="71" t="n"/>
      <c r="BG756" s="71" t="n"/>
      <c r="BH756" s="71" t="n">
        <v>0</v>
      </c>
      <c r="BI756" s="71" t="n">
        <v>0</v>
      </c>
      <c r="BJ756" s="69" t="inlineStr">
        <is>
          <t>N</t>
        </is>
      </c>
      <c r="BK756" s="69" t="inlineStr">
        <is>
          <t>Smart &amp; Final Stores</t>
        </is>
      </c>
      <c r="BL756" s="75" t="n">
        <v>32.65</v>
      </c>
      <c r="BM756" s="73" t="n">
        <v>48822</v>
      </c>
      <c r="BN756" s="69" t="inlineStr">
        <is>
          <t>Sanjiv Chopra</t>
        </is>
      </c>
      <c r="BO756" s="69" t="inlineStr">
        <is>
          <t>UBS</t>
        </is>
      </c>
      <c r="BP756" s="69" t="inlineStr">
        <is>
          <t>Midland Loan Services</t>
        </is>
      </c>
      <c r="BQ756" s="69" t="inlineStr">
        <is>
          <t>Midland Loan Services</t>
        </is>
      </c>
      <c r="BR756" s="69" t="inlineStr">
        <is>
          <t>Payoff With Yield Maintenance</t>
        </is>
      </c>
      <c r="BS756" s="73" t="n">
        <v>44572</v>
      </c>
      <c r="BU756" s="76">
        <f>IF($C756="","",IFERROR(INDEX(dmName,MATCH($C756,dmID,0)),"Unmapped"))</f>
        <v/>
      </c>
      <c r="BV756" s="76">
        <f>IF($C756="","",IFERROR(INDEX(dmEntity,MATCH($C756,dmID,0)),"Unmapped"))</f>
        <v/>
      </c>
      <c r="BW756" s="77">
        <f>IF($C756="","",IFERROR(INDEX(dmVintage,MATCH($C756,dmID,0)),""))</f>
        <v/>
      </c>
      <c r="BX756" s="78">
        <f>IFERROR(INDEX(dmInclude,MATCH($C756,dmID,0)),0)</f>
        <v/>
      </c>
      <c r="BY756" s="78">
        <f>IF(N($I756)&gt;0,1,0)</f>
        <v/>
      </c>
      <c r="BZ756" s="76">
        <f>IF($AJ756="","Other / Leased Fee",IFERROR(INDEX(mapPTGroup,MATCH(LEFT(TRIM($AJ756),2),mapPTCode,0)),"Other / Leased Fee"))</f>
        <v/>
      </c>
      <c r="CA756" s="76">
        <f>IF(TRIM($AF756&amp;"")="","NR",LEFT(TRIM($AF756),2))</f>
        <v/>
      </c>
      <c r="CB756" s="76">
        <f>IFERROR(LOOKUP(2,1/(LEFT(TRIM($AI756&amp;""),LEN(mapRegion))=mapRegion),mapRegion),"Not Reported")</f>
        <v/>
      </c>
      <c r="CC756" s="76">
        <f>IF($BY756=0,"",IF(TRIM($W756&amp;"")="REO","REO",IF(TRIM($W756&amp;"")="FC","Foreclosure",IF(TRIM($W756&amp;"")="90+","90+ Days Delinquent",IF(TRIM($W756&amp;"")="60","60 Days Delinquent",IF(TRIM($W756&amp;"")="30","30 Days Delinquent",IF($X756="Non-Performing Matured Balloon","Non-Performing Matured Balloon",IF(OR($X756="Late Payment But Less Than 30 Days Delinquent",LEFT($X756&amp;"",20)="Payment Not Received"),"Late / In Grace (&lt;30 Days)",IF($X756="Performing Matured Balloon","Performing Matured Balloon","Current")))))))))</f>
        <v/>
      </c>
      <c r="CD756" s="78">
        <f>IF(OR($CC756="REO",$CC756="Foreclosure",$CC756="90+ Days Delinquent",$CC756="60 Days Delinquent",$CC756="30 Days Delinquent",$CC756="Non-Performing Matured Balloon"),1,0)</f>
        <v/>
      </c>
      <c r="CE756" s="76">
        <f>IF($AB756="Currently special serv","Currently Specially Serviced",IF($AB756="Returned to master serv","Previously Specially Serviced","Never Specially Serviced"))</f>
        <v/>
      </c>
      <c r="CF756" s="78">
        <f>IF($CE756="Currently Specially Serviced",1,0)</f>
        <v/>
      </c>
      <c r="CG756" s="76">
        <f>IF($AA756="Yes","Currently on Watchlist",IF($AA756="Previously","Previously on Watchlist","Never on Watchlist"))</f>
        <v/>
      </c>
      <c r="CH756" s="78">
        <f>IF($CG756="Currently on Watchlist",1,0)</f>
        <v/>
      </c>
      <c r="CI756" s="76">
        <f>IF($Z756="Full Defeasance","Fully Defeased",IF($Z756="Portion Of Loan Previously Defeased","Partially Defeased",IF($Z756="Defeasance Not Allowable","Not Defeased (Not Permitted)","Not Defeased")))</f>
        <v/>
      </c>
      <c r="CJ756" s="78">
        <f>IF($CI756="Fully Defeased",1,0)</f>
        <v/>
      </c>
      <c r="CK756" s="76">
        <f>IF($R756="IO","Full IO",IF(LEFT($R756&amp;"",7)="IO then","Partial IO","Amortizing"))</f>
        <v/>
      </c>
      <c r="CL756" s="78">
        <f>IF($CK756="Full IO",1,0)</f>
        <v/>
      </c>
      <c r="CM756" s="78">
        <f>IF($CK756="Partial IO",1,0)</f>
        <v/>
      </c>
      <c r="CN756" s="76">
        <f>IF(LEFT($F756&amp;"",10)="SPLIT_LOAN","Pari Passu Split","Standalone")</f>
        <v/>
      </c>
      <c r="CO756" s="78">
        <f>IF($CN756="Pari Passu Split",1,0)</f>
        <v/>
      </c>
      <c r="CP756" s="77">
        <f>IF(ISNUMBER($T756),YEAR($T756),"")</f>
        <v/>
      </c>
      <c r="CQ756" s="79">
        <f>IF(ISNUMBER($V756),$V756,IF(ISNUMBER($U756),$U756,""))</f>
        <v/>
      </c>
      <c r="CR756" s="77">
        <f>IF(ISNUMBER($CQ756),YEAR($CQ756),"")</f>
        <v/>
      </c>
      <c r="CS756" s="78">
        <f>IF(ISNUMBER($M756),MAX(0,$M756),IF(TRIM($M756&amp;"")="matured",0,""))</f>
        <v/>
      </c>
      <c r="CT756" s="78">
        <f>IF(AND(ISNUMBER($CS756),N($CS756)&lt;=mMatWindow),1,0)</f>
        <v/>
      </c>
      <c r="CU756" s="80">
        <f>IF(ISNUMBER($J756),$J756/100,"")</f>
        <v/>
      </c>
      <c r="CV756" s="81">
        <f>IF(ISNUMBER($AQ756),$AQ756,"")</f>
        <v/>
      </c>
      <c r="CW756" s="81">
        <f>IF(ISNUMBER($AR756),$AR756,"")</f>
        <v/>
      </c>
      <c r="CX756" s="82">
        <f>IF(ISNUMBER($AS756),$AS756/100,"")</f>
        <v/>
      </c>
      <c r="CY756" s="82">
        <f>IF(ISNUMBER($AT756),$AT756/100,"")</f>
        <v/>
      </c>
      <c r="CZ756" s="82">
        <f>IF(ISNUMBER($AU756),$AU756/100,"")</f>
        <v/>
      </c>
      <c r="DA756" s="82">
        <f>IF(ISNUMBER($AV756),$AV756/100,"")</f>
        <v/>
      </c>
      <c r="DB756" s="82">
        <f>IF(ISNUMBER($AW756),$AW756/100,"")</f>
        <v/>
      </c>
      <c r="DC756" s="82">
        <f>IF(ISNUMBER($AX756),$AX756/100,"")</f>
        <v/>
      </c>
      <c r="DD756" s="77">
        <f>IFERROR(VALUE(LEFT(TRIM($AO756&amp;""),4)),"")</f>
        <v/>
      </c>
      <c r="DE756" s="78">
        <f>IF(AND($BY756=1,$BX756=1,OR(fDeal="All Deals",$BU756=fDeal),OR(fEntity="All Entities",$BV756=fEntity),OR(fPType="All Property Types",$BZ756=fPType),OR(fDefeased="Include",$CJ756=0)),1,0)</f>
        <v/>
      </c>
      <c r="DF756" s="83">
        <f>$DE756*N($I756)</f>
        <v/>
      </c>
      <c r="DG756" s="78">
        <f>IF($DE756=1,IF(COUNTIFS($F$8:$F756,$F756,$DE$8:$DE756,1)=1,1,0),0)</f>
        <v/>
      </c>
      <c r="DH756" s="83">
        <f>IF($DG756=1,SUMIFS($DF$8:$DF$1600,$F$8:$F$1600,$F756),0)</f>
        <v/>
      </c>
      <c r="DI756" s="78">
        <f>IF($DG756=1,COUNTIFS($F$8:$F$1600,$F756,$DE$8:$DE$1600,1),0)</f>
        <v/>
      </c>
      <c r="DJ756" s="84">
        <f>IF($DG756=1,$DH756+(100000-ROW())/mTieBreak,0)</f>
        <v/>
      </c>
    </row>
    <row r="757">
      <c r="B757" s="68" t="n">
        <v>28</v>
      </c>
      <c r="C757" s="69" t="inlineStr">
        <is>
          <t>UBS18C15</t>
        </is>
      </c>
      <c r="D757" s="69" t="inlineStr">
        <is>
          <t>28.000</t>
        </is>
      </c>
      <c r="E757" s="69" t="inlineStr">
        <is>
          <t>Hilton Garden Inn - Killeen, TX</t>
        </is>
      </c>
      <c r="F757" s="69" t="inlineStr">
        <is>
          <t>LNUBS18C15-28.000</t>
        </is>
      </c>
      <c r="G757" s="70" t="n"/>
      <c r="H757" s="71" t="n">
        <v>8200000</v>
      </c>
      <c r="I757" s="71" t="n">
        <v>0</v>
      </c>
      <c r="J757" s="72" t="n">
        <v>5.94</v>
      </c>
      <c r="K757" s="69" t="inlineStr">
        <is>
          <t>Fixed rate</t>
        </is>
      </c>
      <c r="L757" s="68" t="n">
        <v>120</v>
      </c>
      <c r="M757" s="68" t="n"/>
      <c r="N757" s="68" t="n">
        <v>300</v>
      </c>
      <c r="O757" s="68" t="n"/>
      <c r="P757" s="68" t="n"/>
      <c r="Q757" s="68" t="n"/>
      <c r="R757" s="69" t="n"/>
      <c r="S757" s="69" t="inlineStr">
        <is>
          <t>No</t>
        </is>
      </c>
      <c r="T757" s="73" t="n">
        <v>43435</v>
      </c>
      <c r="U757" s="73" t="n">
        <v>47088</v>
      </c>
      <c r="V757" s="73" t="n"/>
      <c r="W757" s="69" t="n"/>
      <c r="X757" s="69" t="inlineStr">
        <is>
          <t>Current</t>
        </is>
      </c>
      <c r="Y757" s="68" t="n"/>
      <c r="Z757" s="69" t="inlineStr">
        <is>
          <t>No Defeasance Occurred</t>
        </is>
      </c>
      <c r="AA757" s="69" t="inlineStr">
        <is>
          <t>Previously</t>
        </is>
      </c>
      <c r="AB757" s="69" t="inlineStr">
        <is>
          <t>Never special serv</t>
        </is>
      </c>
      <c r="AC757" s="73" t="n"/>
      <c r="AD757" s="69" t="n"/>
      <c r="AE757" s="69" t="n"/>
      <c r="AF757" s="69" t="inlineStr">
        <is>
          <t>TX</t>
        </is>
      </c>
      <c r="AG757" s="69" t="inlineStr">
        <is>
          <t>Killeen</t>
        </is>
      </c>
      <c r="AH757" s="69" t="inlineStr">
        <is>
          <t>Killeen-Temple, TX</t>
        </is>
      </c>
      <c r="AI757" s="69" t="inlineStr">
        <is>
          <t>South / Central West</t>
        </is>
      </c>
      <c r="AJ757" s="69" t="inlineStr">
        <is>
          <t>HT</t>
        </is>
      </c>
      <c r="AK757" s="69" t="inlineStr">
        <is>
          <t>Select Service</t>
        </is>
      </c>
      <c r="AL757" s="68" t="n">
        <v>1</v>
      </c>
      <c r="AM757" s="68" t="n">
        <v>102</v>
      </c>
      <c r="AN757" s="68" t="n"/>
      <c r="AO757" s="69" t="inlineStr">
        <is>
          <t>2007</t>
        </is>
      </c>
      <c r="AP757" s="70" t="n">
        <v>2007</v>
      </c>
      <c r="AQ757" s="74" t="n">
        <v>1.69</v>
      </c>
      <c r="AR757" s="74" t="n">
        <v>0.75</v>
      </c>
      <c r="AS757" s="74" t="n">
        <v>70.7</v>
      </c>
      <c r="AT757" s="74" t="n"/>
      <c r="AU757" s="74" t="n">
        <v>54.6</v>
      </c>
      <c r="AV757" s="74" t="n">
        <v>13.022244512</v>
      </c>
      <c r="AW757" s="74" t="n"/>
      <c r="AX757" s="75" t="n">
        <v>36</v>
      </c>
      <c r="AY757" s="71" t="n">
        <v>11600000</v>
      </c>
      <c r="AZ757" s="71" t="n">
        <v>11600000</v>
      </c>
      <c r="BA757" s="71" t="n">
        <v>1067824.05</v>
      </c>
      <c r="BB757" s="71" t="n">
        <v>473983.75</v>
      </c>
      <c r="BC757" s="69" t="inlineStr">
        <is>
          <t>Acquisition</t>
        </is>
      </c>
      <c r="BD757" s="69" t="inlineStr">
        <is>
          <t>N</t>
        </is>
      </c>
      <c r="BE757" s="71" t="n"/>
      <c r="BF757" s="71" t="n"/>
      <c r="BG757" s="71" t="n"/>
      <c r="BH757" s="71" t="n">
        <v>0</v>
      </c>
      <c r="BI757" s="71" t="n">
        <v>0</v>
      </c>
      <c r="BJ757" s="69" t="inlineStr">
        <is>
          <t>N</t>
        </is>
      </c>
      <c r="BK757" s="69" t="n"/>
      <c r="BL757" s="75" t="n"/>
      <c r="BM757" s="73" t="n"/>
      <c r="BN757" s="69" t="inlineStr">
        <is>
          <t>Vui Van Le</t>
        </is>
      </c>
      <c r="BO757" s="69" t="inlineStr">
        <is>
          <t>Societe Generale</t>
        </is>
      </c>
      <c r="BP757" s="69" t="inlineStr">
        <is>
          <t>Midland Loan Services</t>
        </is>
      </c>
      <c r="BQ757" s="69" t="inlineStr">
        <is>
          <t>Midland Loan Services</t>
        </is>
      </c>
      <c r="BR757" s="69" t="inlineStr">
        <is>
          <t>Payoff Prior To Maturity</t>
        </is>
      </c>
      <c r="BS757" s="73" t="n">
        <v>44452</v>
      </c>
      <c r="BU757" s="76">
        <f>IF($C757="","",IFERROR(INDEX(dmName,MATCH($C757,dmID,0)),"Unmapped"))</f>
        <v/>
      </c>
      <c r="BV757" s="76">
        <f>IF($C757="","",IFERROR(INDEX(dmEntity,MATCH($C757,dmID,0)),"Unmapped"))</f>
        <v/>
      </c>
      <c r="BW757" s="77">
        <f>IF($C757="","",IFERROR(INDEX(dmVintage,MATCH($C757,dmID,0)),""))</f>
        <v/>
      </c>
      <c r="BX757" s="78">
        <f>IFERROR(INDEX(dmInclude,MATCH($C757,dmID,0)),0)</f>
        <v/>
      </c>
      <c r="BY757" s="78">
        <f>IF(N($I757)&gt;0,1,0)</f>
        <v/>
      </c>
      <c r="BZ757" s="76">
        <f>IF($AJ757="","Other / Leased Fee",IFERROR(INDEX(mapPTGroup,MATCH(LEFT(TRIM($AJ757),2),mapPTCode,0)),"Other / Leased Fee"))</f>
        <v/>
      </c>
      <c r="CA757" s="76">
        <f>IF(TRIM($AF757&amp;"")="","NR",LEFT(TRIM($AF757),2))</f>
        <v/>
      </c>
      <c r="CB757" s="76">
        <f>IFERROR(LOOKUP(2,1/(LEFT(TRIM($AI757&amp;""),LEN(mapRegion))=mapRegion),mapRegion),"Not Reported")</f>
        <v/>
      </c>
      <c r="CC757" s="76">
        <f>IF($BY757=0,"",IF(TRIM($W757&amp;"")="REO","REO",IF(TRIM($W757&amp;"")="FC","Foreclosure",IF(TRIM($W757&amp;"")="90+","90+ Days Delinquent",IF(TRIM($W757&amp;"")="60","60 Days Delinquent",IF(TRIM($W757&amp;"")="30","30 Days Delinquent",IF($X757="Non-Performing Matured Balloon","Non-Performing Matured Balloon",IF(OR($X757="Late Payment But Less Than 30 Days Delinquent",LEFT($X757&amp;"",20)="Payment Not Received"),"Late / In Grace (&lt;30 Days)",IF($X757="Performing Matured Balloon","Performing Matured Balloon","Current")))))))))</f>
        <v/>
      </c>
      <c r="CD757" s="78">
        <f>IF(OR($CC757="REO",$CC757="Foreclosure",$CC757="90+ Days Delinquent",$CC757="60 Days Delinquent",$CC757="30 Days Delinquent",$CC757="Non-Performing Matured Balloon"),1,0)</f>
        <v/>
      </c>
      <c r="CE757" s="76">
        <f>IF($AB757="Currently special serv","Currently Specially Serviced",IF($AB757="Returned to master serv","Previously Specially Serviced","Never Specially Serviced"))</f>
        <v/>
      </c>
      <c r="CF757" s="78">
        <f>IF($CE757="Currently Specially Serviced",1,0)</f>
        <v/>
      </c>
      <c r="CG757" s="76">
        <f>IF($AA757="Yes","Currently on Watchlist",IF($AA757="Previously","Previously on Watchlist","Never on Watchlist"))</f>
        <v/>
      </c>
      <c r="CH757" s="78">
        <f>IF($CG757="Currently on Watchlist",1,0)</f>
        <v/>
      </c>
      <c r="CI757" s="76">
        <f>IF($Z757="Full Defeasance","Fully Defeased",IF($Z757="Portion Of Loan Previously Defeased","Partially Defeased",IF($Z757="Defeasance Not Allowable","Not Defeased (Not Permitted)","Not Defeased")))</f>
        <v/>
      </c>
      <c r="CJ757" s="78">
        <f>IF($CI757="Fully Defeased",1,0)</f>
        <v/>
      </c>
      <c r="CK757" s="76">
        <f>IF($R757="IO","Full IO",IF(LEFT($R757&amp;"",7)="IO then","Partial IO","Amortizing"))</f>
        <v/>
      </c>
      <c r="CL757" s="78">
        <f>IF($CK757="Full IO",1,0)</f>
        <v/>
      </c>
      <c r="CM757" s="78">
        <f>IF($CK757="Partial IO",1,0)</f>
        <v/>
      </c>
      <c r="CN757" s="76">
        <f>IF(LEFT($F757&amp;"",10)="SPLIT_LOAN","Pari Passu Split","Standalone")</f>
        <v/>
      </c>
      <c r="CO757" s="78">
        <f>IF($CN757="Pari Passu Split",1,0)</f>
        <v/>
      </c>
      <c r="CP757" s="77">
        <f>IF(ISNUMBER($T757),YEAR($T757),"")</f>
        <v/>
      </c>
      <c r="CQ757" s="79">
        <f>IF(ISNUMBER($V757),$V757,IF(ISNUMBER($U757),$U757,""))</f>
        <v/>
      </c>
      <c r="CR757" s="77">
        <f>IF(ISNUMBER($CQ757),YEAR($CQ757),"")</f>
        <v/>
      </c>
      <c r="CS757" s="78">
        <f>IF(ISNUMBER($M757),MAX(0,$M757),IF(TRIM($M757&amp;"")="matured",0,""))</f>
        <v/>
      </c>
      <c r="CT757" s="78">
        <f>IF(AND(ISNUMBER($CS757),N($CS757)&lt;=mMatWindow),1,0)</f>
        <v/>
      </c>
      <c r="CU757" s="80">
        <f>IF(ISNUMBER($J757),$J757/100,"")</f>
        <v/>
      </c>
      <c r="CV757" s="81">
        <f>IF(ISNUMBER($AQ757),$AQ757,"")</f>
        <v/>
      </c>
      <c r="CW757" s="81">
        <f>IF(ISNUMBER($AR757),$AR757,"")</f>
        <v/>
      </c>
      <c r="CX757" s="82">
        <f>IF(ISNUMBER($AS757),$AS757/100,"")</f>
        <v/>
      </c>
      <c r="CY757" s="82">
        <f>IF(ISNUMBER($AT757),$AT757/100,"")</f>
        <v/>
      </c>
      <c r="CZ757" s="82">
        <f>IF(ISNUMBER($AU757),$AU757/100,"")</f>
        <v/>
      </c>
      <c r="DA757" s="82">
        <f>IF(ISNUMBER($AV757),$AV757/100,"")</f>
        <v/>
      </c>
      <c r="DB757" s="82">
        <f>IF(ISNUMBER($AW757),$AW757/100,"")</f>
        <v/>
      </c>
      <c r="DC757" s="82">
        <f>IF(ISNUMBER($AX757),$AX757/100,"")</f>
        <v/>
      </c>
      <c r="DD757" s="77">
        <f>IFERROR(VALUE(LEFT(TRIM($AO757&amp;""),4)),"")</f>
        <v/>
      </c>
      <c r="DE757" s="78">
        <f>IF(AND($BY757=1,$BX757=1,OR(fDeal="All Deals",$BU757=fDeal),OR(fEntity="All Entities",$BV757=fEntity),OR(fPType="All Property Types",$BZ757=fPType),OR(fDefeased="Include",$CJ757=0)),1,0)</f>
        <v/>
      </c>
      <c r="DF757" s="83">
        <f>$DE757*N($I757)</f>
        <v/>
      </c>
      <c r="DG757" s="78">
        <f>IF($DE757=1,IF(COUNTIFS($F$8:$F757,$F757,$DE$8:$DE757,1)=1,1,0),0)</f>
        <v/>
      </c>
      <c r="DH757" s="83">
        <f>IF($DG757=1,SUMIFS($DF$8:$DF$1600,$F$8:$F$1600,$F757),0)</f>
        <v/>
      </c>
      <c r="DI757" s="78">
        <f>IF($DG757=1,COUNTIFS($F$8:$F$1600,$F757,$DE$8:$DE$1600,1),0)</f>
        <v/>
      </c>
      <c r="DJ757" s="84">
        <f>IF($DG757=1,$DH757+(100000-ROW())/mTieBreak,0)</f>
        <v/>
      </c>
    </row>
    <row r="758">
      <c r="B758" s="68" t="n">
        <v>29</v>
      </c>
      <c r="C758" s="69" t="inlineStr">
        <is>
          <t>UBS18C15</t>
        </is>
      </c>
      <c r="D758" s="69" t="inlineStr">
        <is>
          <t>29.000</t>
        </is>
      </c>
      <c r="E758" s="69" t="inlineStr">
        <is>
          <t>2246-2260 Jerome Avenue</t>
        </is>
      </c>
      <c r="F758" s="69" t="inlineStr">
        <is>
          <t>LNUBS18C15-29.000</t>
        </is>
      </c>
      <c r="G758" s="70" t="n"/>
      <c r="H758" s="71" t="n">
        <v>8000000</v>
      </c>
      <c r="I758" s="71" t="n">
        <v>8000000</v>
      </c>
      <c r="J758" s="72" t="n">
        <v>4.951</v>
      </c>
      <c r="K758" s="69" t="inlineStr">
        <is>
          <t>Fixed rate</t>
        </is>
      </c>
      <c r="L758" s="68" t="n">
        <v>120</v>
      </c>
      <c r="M758" s="68" t="n">
        <v>24</v>
      </c>
      <c r="N758" s="68" t="n">
        <v>120</v>
      </c>
      <c r="O758" s="68" t="n">
        <v>120</v>
      </c>
      <c r="P758" s="68" t="n">
        <v>24</v>
      </c>
      <c r="Q758" s="68" t="n">
        <v>96</v>
      </c>
      <c r="R758" s="69" t="inlineStr">
        <is>
          <t>IO</t>
        </is>
      </c>
      <c r="S758" s="69" t="inlineStr">
        <is>
          <t>Yes</t>
        </is>
      </c>
      <c r="T758" s="73" t="n">
        <v>43344</v>
      </c>
      <c r="U758" s="73" t="n">
        <v>47001</v>
      </c>
      <c r="V758" s="73" t="n"/>
      <c r="W758" s="69" t="n"/>
      <c r="X758" s="69" t="inlineStr">
        <is>
          <t>Current</t>
        </is>
      </c>
      <c r="Y758" s="68" t="n"/>
      <c r="Z758" s="69" t="inlineStr">
        <is>
          <t>No Defeasance Occurred</t>
        </is>
      </c>
      <c r="AA758" s="69" t="inlineStr">
        <is>
          <t>Yes</t>
        </is>
      </c>
      <c r="AB758" s="69" t="inlineStr">
        <is>
          <t>Never special serv</t>
        </is>
      </c>
      <c r="AC758" s="73" t="n"/>
      <c r="AD758" s="69" t="n"/>
      <c r="AE758" s="69" t="n"/>
      <c r="AF758" s="69" t="inlineStr">
        <is>
          <t>NY</t>
        </is>
      </c>
      <c r="AG758" s="69" t="inlineStr">
        <is>
          <t>Bronx</t>
        </is>
      </c>
      <c r="AH758" s="69" t="inlineStr">
        <is>
          <t>New York-Newark-Jersey City, NY-NJ</t>
        </is>
      </c>
      <c r="AI758" s="69" t="inlineStr">
        <is>
          <t>Northeast / Mid-Atlantic</t>
        </is>
      </c>
      <c r="AJ758" s="69" t="inlineStr">
        <is>
          <t>OT</t>
        </is>
      </c>
      <c r="AK758" s="69" t="n"/>
      <c r="AL758" s="68" t="n">
        <v>1</v>
      </c>
      <c r="AM758" s="68" t="n"/>
      <c r="AN758" s="68" t="n">
        <v>34500</v>
      </c>
      <c r="AO758" s="69" t="inlineStr">
        <is>
          <t>1927</t>
        </is>
      </c>
      <c r="AP758" s="70" t="n">
        <v>2018</v>
      </c>
      <c r="AQ758" s="74" t="n">
        <v>2.04</v>
      </c>
      <c r="AR758" s="74" t="n">
        <v>1.86</v>
      </c>
      <c r="AS758" s="74" t="n">
        <v>54.4</v>
      </c>
      <c r="AT758" s="74" t="n">
        <v>54.42</v>
      </c>
      <c r="AU758" s="74" t="n">
        <v>54.4</v>
      </c>
      <c r="AV758" s="74" t="n">
        <v>10.215978125</v>
      </c>
      <c r="AW758" s="74" t="n">
        <v>9.314776999999999</v>
      </c>
      <c r="AX758" s="75" t="n">
        <v>100</v>
      </c>
      <c r="AY758" s="71" t="n">
        <v>14700000</v>
      </c>
      <c r="AZ758" s="71" t="n">
        <v>14700000</v>
      </c>
      <c r="BA758" s="71" t="n">
        <v>817278.25</v>
      </c>
      <c r="BB758" s="71" t="n">
        <v>745182.16</v>
      </c>
      <c r="BC758" s="69" t="inlineStr">
        <is>
          <t>Refinance</t>
        </is>
      </c>
      <c r="BD758" s="69" t="inlineStr">
        <is>
          <t>N</t>
        </is>
      </c>
      <c r="BE758" s="71" t="n"/>
      <c r="BF758" s="71" t="n"/>
      <c r="BG758" s="71" t="n"/>
      <c r="BH758" s="71" t="n">
        <v>0</v>
      </c>
      <c r="BI758" s="71" t="n">
        <v>0</v>
      </c>
      <c r="BJ758" s="69" t="inlineStr">
        <is>
          <t>N</t>
        </is>
      </c>
      <c r="BK758" s="69" t="inlineStr">
        <is>
          <t>School</t>
        </is>
      </c>
      <c r="BL758" s="75" t="n">
        <v>100</v>
      </c>
      <c r="BM758" s="73" t="n">
        <v>48518</v>
      </c>
      <c r="BN758" s="69" t="inlineStr">
        <is>
          <t>Adam Melnick; Bruce Cohen; Aaron Segal</t>
        </is>
      </c>
      <c r="BO758" s="69" t="inlineStr">
        <is>
          <t>Natixis</t>
        </is>
      </c>
      <c r="BP758" s="69" t="inlineStr">
        <is>
          <t>Midland Loan Services</t>
        </is>
      </c>
      <c r="BQ758" s="69" t="inlineStr">
        <is>
          <t>K-Star Asset Management LLC</t>
        </is>
      </c>
      <c r="BR758" s="69" t="n"/>
      <c r="BS758" s="73" t="n">
        <v>46276</v>
      </c>
      <c r="BU758" s="76">
        <f>IF($C758="","",IFERROR(INDEX(dmName,MATCH($C758,dmID,0)),"Unmapped"))</f>
        <v/>
      </c>
      <c r="BV758" s="76">
        <f>IF($C758="","",IFERROR(INDEX(dmEntity,MATCH($C758,dmID,0)),"Unmapped"))</f>
        <v/>
      </c>
      <c r="BW758" s="77">
        <f>IF($C758="","",IFERROR(INDEX(dmVintage,MATCH($C758,dmID,0)),""))</f>
        <v/>
      </c>
      <c r="BX758" s="78">
        <f>IFERROR(INDEX(dmInclude,MATCH($C758,dmID,0)),0)</f>
        <v/>
      </c>
      <c r="BY758" s="78">
        <f>IF(N($I758)&gt;0,1,0)</f>
        <v/>
      </c>
      <c r="BZ758" s="76">
        <f>IF($AJ758="","Other / Leased Fee",IFERROR(INDEX(mapPTGroup,MATCH(LEFT(TRIM($AJ758),2),mapPTCode,0)),"Other / Leased Fee"))</f>
        <v/>
      </c>
      <c r="CA758" s="76">
        <f>IF(TRIM($AF758&amp;"")="","NR",LEFT(TRIM($AF758),2))</f>
        <v/>
      </c>
      <c r="CB758" s="76">
        <f>IFERROR(LOOKUP(2,1/(LEFT(TRIM($AI758&amp;""),LEN(mapRegion))=mapRegion),mapRegion),"Not Reported")</f>
        <v/>
      </c>
      <c r="CC758" s="76">
        <f>IF($BY758=0,"",IF(TRIM($W758&amp;"")="REO","REO",IF(TRIM($W758&amp;"")="FC","Foreclosure",IF(TRIM($W758&amp;"")="90+","90+ Days Delinquent",IF(TRIM($W758&amp;"")="60","60 Days Delinquent",IF(TRIM($W758&amp;"")="30","30 Days Delinquent",IF($X758="Non-Performing Matured Balloon","Non-Performing Matured Balloon",IF(OR($X758="Late Payment But Less Than 30 Days Delinquent",LEFT($X758&amp;"",20)="Payment Not Received"),"Late / In Grace (&lt;30 Days)",IF($X758="Performing Matured Balloon","Performing Matured Balloon","Current")))))))))</f>
        <v/>
      </c>
      <c r="CD758" s="78">
        <f>IF(OR($CC758="REO",$CC758="Foreclosure",$CC758="90+ Days Delinquent",$CC758="60 Days Delinquent",$CC758="30 Days Delinquent",$CC758="Non-Performing Matured Balloon"),1,0)</f>
        <v/>
      </c>
      <c r="CE758" s="76">
        <f>IF($AB758="Currently special serv","Currently Specially Serviced",IF($AB758="Returned to master serv","Previously Specially Serviced","Never Specially Serviced"))</f>
        <v/>
      </c>
      <c r="CF758" s="78">
        <f>IF($CE758="Currently Specially Serviced",1,0)</f>
        <v/>
      </c>
      <c r="CG758" s="76">
        <f>IF($AA758="Yes","Currently on Watchlist",IF($AA758="Previously","Previously on Watchlist","Never on Watchlist"))</f>
        <v/>
      </c>
      <c r="CH758" s="78">
        <f>IF($CG758="Currently on Watchlist",1,0)</f>
        <v/>
      </c>
      <c r="CI758" s="76">
        <f>IF($Z758="Full Defeasance","Fully Defeased",IF($Z758="Portion Of Loan Previously Defeased","Partially Defeased",IF($Z758="Defeasance Not Allowable","Not Defeased (Not Permitted)","Not Defeased")))</f>
        <v/>
      </c>
      <c r="CJ758" s="78">
        <f>IF($CI758="Fully Defeased",1,0)</f>
        <v/>
      </c>
      <c r="CK758" s="76">
        <f>IF($R758="IO","Full IO",IF(LEFT($R758&amp;"",7)="IO then","Partial IO","Amortizing"))</f>
        <v/>
      </c>
      <c r="CL758" s="78">
        <f>IF($CK758="Full IO",1,0)</f>
        <v/>
      </c>
      <c r="CM758" s="78">
        <f>IF($CK758="Partial IO",1,0)</f>
        <v/>
      </c>
      <c r="CN758" s="76">
        <f>IF(LEFT($F758&amp;"",10)="SPLIT_LOAN","Pari Passu Split","Standalone")</f>
        <v/>
      </c>
      <c r="CO758" s="78">
        <f>IF($CN758="Pari Passu Split",1,0)</f>
        <v/>
      </c>
      <c r="CP758" s="77">
        <f>IF(ISNUMBER($T758),YEAR($T758),"")</f>
        <v/>
      </c>
      <c r="CQ758" s="79">
        <f>IF(ISNUMBER($V758),$V758,IF(ISNUMBER($U758),$U758,""))</f>
        <v/>
      </c>
      <c r="CR758" s="77">
        <f>IF(ISNUMBER($CQ758),YEAR($CQ758),"")</f>
        <v/>
      </c>
      <c r="CS758" s="78">
        <f>IF(ISNUMBER($M758),MAX(0,$M758),IF(TRIM($M758&amp;"")="matured",0,""))</f>
        <v/>
      </c>
      <c r="CT758" s="78">
        <f>IF(AND(ISNUMBER($CS758),N($CS758)&lt;=mMatWindow),1,0)</f>
        <v/>
      </c>
      <c r="CU758" s="80">
        <f>IF(ISNUMBER($J758),$J758/100,"")</f>
        <v/>
      </c>
      <c r="CV758" s="81">
        <f>IF(ISNUMBER($AQ758),$AQ758,"")</f>
        <v/>
      </c>
      <c r="CW758" s="81">
        <f>IF(ISNUMBER($AR758),$AR758,"")</f>
        <v/>
      </c>
      <c r="CX758" s="82">
        <f>IF(ISNUMBER($AS758),$AS758/100,"")</f>
        <v/>
      </c>
      <c r="CY758" s="82">
        <f>IF(ISNUMBER($AT758),$AT758/100,"")</f>
        <v/>
      </c>
      <c r="CZ758" s="82">
        <f>IF(ISNUMBER($AU758),$AU758/100,"")</f>
        <v/>
      </c>
      <c r="DA758" s="82">
        <f>IF(ISNUMBER($AV758),$AV758/100,"")</f>
        <v/>
      </c>
      <c r="DB758" s="82">
        <f>IF(ISNUMBER($AW758),$AW758/100,"")</f>
        <v/>
      </c>
      <c r="DC758" s="82">
        <f>IF(ISNUMBER($AX758),$AX758/100,"")</f>
        <v/>
      </c>
      <c r="DD758" s="77">
        <f>IFERROR(VALUE(LEFT(TRIM($AO758&amp;""),4)),"")</f>
        <v/>
      </c>
      <c r="DE758" s="78">
        <f>IF(AND($BY758=1,$BX758=1,OR(fDeal="All Deals",$BU758=fDeal),OR(fEntity="All Entities",$BV758=fEntity),OR(fPType="All Property Types",$BZ758=fPType),OR(fDefeased="Include",$CJ758=0)),1,0)</f>
        <v/>
      </c>
      <c r="DF758" s="83">
        <f>$DE758*N($I758)</f>
        <v/>
      </c>
      <c r="DG758" s="78">
        <f>IF($DE758=1,IF(COUNTIFS($F$8:$F758,$F758,$DE$8:$DE758,1)=1,1,0),0)</f>
        <v/>
      </c>
      <c r="DH758" s="83">
        <f>IF($DG758=1,SUMIFS($DF$8:$DF$1600,$F$8:$F$1600,$F758),0)</f>
        <v/>
      </c>
      <c r="DI758" s="78">
        <f>IF($DG758=1,COUNTIFS($F$8:$F$1600,$F758,$DE$8:$DE$1600,1),0)</f>
        <v/>
      </c>
      <c r="DJ758" s="84">
        <f>IF($DG758=1,$DH758+(100000-ROW())/mTieBreak,0)</f>
        <v/>
      </c>
    </row>
    <row r="759">
      <c r="B759" s="68" t="n">
        <v>30</v>
      </c>
      <c r="C759" s="69" t="inlineStr">
        <is>
          <t>UBS18C15</t>
        </is>
      </c>
      <c r="D759" s="69" t="inlineStr">
        <is>
          <t>30.000</t>
        </is>
      </c>
      <c r="E759" s="69" t="inlineStr">
        <is>
          <t>Spanish Springs Shopping Center</t>
        </is>
      </c>
      <c r="F759" s="69" t="inlineStr">
        <is>
          <t>LNUBS18C15-30.000</t>
        </is>
      </c>
      <c r="G759" s="70" t="n"/>
      <c r="H759" s="71" t="n">
        <v>7500000</v>
      </c>
      <c r="I759" s="71" t="n">
        <v>6534281.0600025</v>
      </c>
      <c r="J759" s="72" t="n">
        <v>5.0397</v>
      </c>
      <c r="K759" s="69" t="inlineStr">
        <is>
          <t>Fixed rate</t>
        </is>
      </c>
      <c r="L759" s="68" t="n">
        <v>120</v>
      </c>
      <c r="M759" s="68" t="n">
        <v>27</v>
      </c>
      <c r="N759" s="68" t="n">
        <v>360</v>
      </c>
      <c r="O759" s="68" t="n"/>
      <c r="P759" s="68" t="n"/>
      <c r="Q759" s="68" t="n">
        <v>93</v>
      </c>
      <c r="R759" s="69" t="n"/>
      <c r="S759" s="69" t="inlineStr">
        <is>
          <t>No</t>
        </is>
      </c>
      <c r="T759" s="73" t="n">
        <v>43435</v>
      </c>
      <c r="U759" s="73" t="n">
        <v>47093</v>
      </c>
      <c r="V759" s="73" t="n"/>
      <c r="W759" s="69" t="n"/>
      <c r="X759" s="69" t="inlineStr">
        <is>
          <t>Current</t>
        </is>
      </c>
      <c r="Y759" s="68" t="n"/>
      <c r="Z759" s="69" t="inlineStr">
        <is>
          <t>Defeasance Not Allowable</t>
        </is>
      </c>
      <c r="AA759" s="69" t="inlineStr">
        <is>
          <t>Yes</t>
        </is>
      </c>
      <c r="AB759" s="69" t="inlineStr">
        <is>
          <t>Never special serv</t>
        </is>
      </c>
      <c r="AC759" s="73" t="n"/>
      <c r="AD759" s="69" t="n"/>
      <c r="AE759" s="69" t="n"/>
      <c r="AF759" s="69" t="inlineStr">
        <is>
          <t>NV</t>
        </is>
      </c>
      <c r="AG759" s="69" t="inlineStr">
        <is>
          <t>Sparks</t>
        </is>
      </c>
      <c r="AH759" s="69" t="inlineStr">
        <is>
          <t>Reno, NV</t>
        </is>
      </c>
      <c r="AI759" s="69" t="inlineStr">
        <is>
          <t>West / Mountain</t>
        </is>
      </c>
      <c r="AJ759" s="69" t="inlineStr">
        <is>
          <t>RT</t>
        </is>
      </c>
      <c r="AK759" s="69" t="inlineStr">
        <is>
          <t>Shadow Anchored</t>
        </is>
      </c>
      <c r="AL759" s="68" t="n">
        <v>1</v>
      </c>
      <c r="AM759" s="68" t="n"/>
      <c r="AN759" s="68" t="n">
        <v>33905</v>
      </c>
      <c r="AO759" s="69" t="inlineStr">
        <is>
          <t>2006-2009</t>
        </is>
      </c>
      <c r="AP759" s="70" t="n">
        <v>2009</v>
      </c>
      <c r="AQ759" s="74" t="n">
        <v>2.12</v>
      </c>
      <c r="AR759" s="74" t="n">
        <v>2.26</v>
      </c>
      <c r="AS759" s="74" t="n">
        <v>41.7</v>
      </c>
      <c r="AT759" s="74" t="n">
        <v>36.3</v>
      </c>
      <c r="AU759" s="74" t="n">
        <v>34.3</v>
      </c>
      <c r="AV759" s="74" t="n">
        <v>13.689912533</v>
      </c>
      <c r="AW759" s="74" t="n">
        <v>16.773406438</v>
      </c>
      <c r="AX759" s="75" t="n">
        <v>100</v>
      </c>
      <c r="AY759" s="71" t="n">
        <v>18000000</v>
      </c>
      <c r="AZ759" s="71" t="n">
        <v>18000000</v>
      </c>
      <c r="BA759" s="71" t="n">
        <v>1026743.44</v>
      </c>
      <c r="BB759" s="71" t="n">
        <v>1096021.52</v>
      </c>
      <c r="BC759" s="69" t="inlineStr">
        <is>
          <t>Refinance</t>
        </is>
      </c>
      <c r="BD759" s="69" t="inlineStr">
        <is>
          <t>N</t>
        </is>
      </c>
      <c r="BE759" s="71" t="n"/>
      <c r="BF759" s="71" t="n"/>
      <c r="BG759" s="71" t="n"/>
      <c r="BH759" s="71" t="n">
        <v>0</v>
      </c>
      <c r="BI759" s="71" t="n">
        <v>0</v>
      </c>
      <c r="BJ759" s="69" t="inlineStr">
        <is>
          <t>N</t>
        </is>
      </c>
      <c r="BK759" s="69" t="inlineStr">
        <is>
          <t>USBank</t>
        </is>
      </c>
      <c r="BL759" s="75" t="n">
        <v>14.63</v>
      </c>
      <c r="BM759" s="73" t="n">
        <v>49979</v>
      </c>
      <c r="BN759" s="69" t="inlineStr">
        <is>
          <t>Howard Misle</t>
        </is>
      </c>
      <c r="BO759" s="69" t="inlineStr">
        <is>
          <t>UBS</t>
        </is>
      </c>
      <c r="BP759" s="69" t="inlineStr">
        <is>
          <t>Midland Loan Services</t>
        </is>
      </c>
      <c r="BQ759" s="69" t="inlineStr">
        <is>
          <t>K-Star Asset Management LLC</t>
        </is>
      </c>
      <c r="BR759" s="69" t="n"/>
      <c r="BS759" s="73" t="n">
        <v>46276</v>
      </c>
      <c r="BU759" s="76">
        <f>IF($C759="","",IFERROR(INDEX(dmName,MATCH($C759,dmID,0)),"Unmapped"))</f>
        <v/>
      </c>
      <c r="BV759" s="76">
        <f>IF($C759="","",IFERROR(INDEX(dmEntity,MATCH($C759,dmID,0)),"Unmapped"))</f>
        <v/>
      </c>
      <c r="BW759" s="77">
        <f>IF($C759="","",IFERROR(INDEX(dmVintage,MATCH($C759,dmID,0)),""))</f>
        <v/>
      </c>
      <c r="BX759" s="78">
        <f>IFERROR(INDEX(dmInclude,MATCH($C759,dmID,0)),0)</f>
        <v/>
      </c>
      <c r="BY759" s="78">
        <f>IF(N($I759)&gt;0,1,0)</f>
        <v/>
      </c>
      <c r="BZ759" s="76">
        <f>IF($AJ759="","Other / Leased Fee",IFERROR(INDEX(mapPTGroup,MATCH(LEFT(TRIM($AJ759),2),mapPTCode,0)),"Other / Leased Fee"))</f>
        <v/>
      </c>
      <c r="CA759" s="76">
        <f>IF(TRIM($AF759&amp;"")="","NR",LEFT(TRIM($AF759),2))</f>
        <v/>
      </c>
      <c r="CB759" s="76">
        <f>IFERROR(LOOKUP(2,1/(LEFT(TRIM($AI759&amp;""),LEN(mapRegion))=mapRegion),mapRegion),"Not Reported")</f>
        <v/>
      </c>
      <c r="CC759" s="76">
        <f>IF($BY759=0,"",IF(TRIM($W759&amp;"")="REO","REO",IF(TRIM($W759&amp;"")="FC","Foreclosure",IF(TRIM($W759&amp;"")="90+","90+ Days Delinquent",IF(TRIM($W759&amp;"")="60","60 Days Delinquent",IF(TRIM($W759&amp;"")="30","30 Days Delinquent",IF($X759="Non-Performing Matured Balloon","Non-Performing Matured Balloon",IF(OR($X759="Late Payment But Less Than 30 Days Delinquent",LEFT($X759&amp;"",20)="Payment Not Received"),"Late / In Grace (&lt;30 Days)",IF($X759="Performing Matured Balloon","Performing Matured Balloon","Current")))))))))</f>
        <v/>
      </c>
      <c r="CD759" s="78">
        <f>IF(OR($CC759="REO",$CC759="Foreclosure",$CC759="90+ Days Delinquent",$CC759="60 Days Delinquent",$CC759="30 Days Delinquent",$CC759="Non-Performing Matured Balloon"),1,0)</f>
        <v/>
      </c>
      <c r="CE759" s="76">
        <f>IF($AB759="Currently special serv","Currently Specially Serviced",IF($AB759="Returned to master serv","Previously Specially Serviced","Never Specially Serviced"))</f>
        <v/>
      </c>
      <c r="CF759" s="78">
        <f>IF($CE759="Currently Specially Serviced",1,0)</f>
        <v/>
      </c>
      <c r="CG759" s="76">
        <f>IF($AA759="Yes","Currently on Watchlist",IF($AA759="Previously","Previously on Watchlist","Never on Watchlist"))</f>
        <v/>
      </c>
      <c r="CH759" s="78">
        <f>IF($CG759="Currently on Watchlist",1,0)</f>
        <v/>
      </c>
      <c r="CI759" s="76">
        <f>IF($Z759="Full Defeasance","Fully Defeased",IF($Z759="Portion Of Loan Previously Defeased","Partially Defeased",IF($Z759="Defeasance Not Allowable","Not Defeased (Not Permitted)","Not Defeased")))</f>
        <v/>
      </c>
      <c r="CJ759" s="78">
        <f>IF($CI759="Fully Defeased",1,0)</f>
        <v/>
      </c>
      <c r="CK759" s="76">
        <f>IF($R759="IO","Full IO",IF(LEFT($R759&amp;"",7)="IO then","Partial IO","Amortizing"))</f>
        <v/>
      </c>
      <c r="CL759" s="78">
        <f>IF($CK759="Full IO",1,0)</f>
        <v/>
      </c>
      <c r="CM759" s="78">
        <f>IF($CK759="Partial IO",1,0)</f>
        <v/>
      </c>
      <c r="CN759" s="76">
        <f>IF(LEFT($F759&amp;"",10)="SPLIT_LOAN","Pari Passu Split","Standalone")</f>
        <v/>
      </c>
      <c r="CO759" s="78">
        <f>IF($CN759="Pari Passu Split",1,0)</f>
        <v/>
      </c>
      <c r="CP759" s="77">
        <f>IF(ISNUMBER($T759),YEAR($T759),"")</f>
        <v/>
      </c>
      <c r="CQ759" s="79">
        <f>IF(ISNUMBER($V759),$V759,IF(ISNUMBER($U759),$U759,""))</f>
        <v/>
      </c>
      <c r="CR759" s="77">
        <f>IF(ISNUMBER($CQ759),YEAR($CQ759),"")</f>
        <v/>
      </c>
      <c r="CS759" s="78">
        <f>IF(ISNUMBER($M759),MAX(0,$M759),IF(TRIM($M759&amp;"")="matured",0,""))</f>
        <v/>
      </c>
      <c r="CT759" s="78">
        <f>IF(AND(ISNUMBER($CS759),N($CS759)&lt;=mMatWindow),1,0)</f>
        <v/>
      </c>
      <c r="CU759" s="80">
        <f>IF(ISNUMBER($J759),$J759/100,"")</f>
        <v/>
      </c>
      <c r="CV759" s="81">
        <f>IF(ISNUMBER($AQ759),$AQ759,"")</f>
        <v/>
      </c>
      <c r="CW759" s="81">
        <f>IF(ISNUMBER($AR759),$AR759,"")</f>
        <v/>
      </c>
      <c r="CX759" s="82">
        <f>IF(ISNUMBER($AS759),$AS759/100,"")</f>
        <v/>
      </c>
      <c r="CY759" s="82">
        <f>IF(ISNUMBER($AT759),$AT759/100,"")</f>
        <v/>
      </c>
      <c r="CZ759" s="82">
        <f>IF(ISNUMBER($AU759),$AU759/100,"")</f>
        <v/>
      </c>
      <c r="DA759" s="82">
        <f>IF(ISNUMBER($AV759),$AV759/100,"")</f>
        <v/>
      </c>
      <c r="DB759" s="82">
        <f>IF(ISNUMBER($AW759),$AW759/100,"")</f>
        <v/>
      </c>
      <c r="DC759" s="82">
        <f>IF(ISNUMBER($AX759),$AX759/100,"")</f>
        <v/>
      </c>
      <c r="DD759" s="77">
        <f>IFERROR(VALUE(LEFT(TRIM($AO759&amp;""),4)),"")</f>
        <v/>
      </c>
      <c r="DE759" s="78">
        <f>IF(AND($BY759=1,$BX759=1,OR(fDeal="All Deals",$BU759=fDeal),OR(fEntity="All Entities",$BV759=fEntity),OR(fPType="All Property Types",$BZ759=fPType),OR(fDefeased="Include",$CJ759=0)),1,0)</f>
        <v/>
      </c>
      <c r="DF759" s="83">
        <f>$DE759*N($I759)</f>
        <v/>
      </c>
      <c r="DG759" s="78">
        <f>IF($DE759=1,IF(COUNTIFS($F$8:$F759,$F759,$DE$8:$DE759,1)=1,1,0),0)</f>
        <v/>
      </c>
      <c r="DH759" s="83">
        <f>IF($DG759=1,SUMIFS($DF$8:$DF$1600,$F$8:$F$1600,$F759),0)</f>
        <v/>
      </c>
      <c r="DI759" s="78">
        <f>IF($DG759=1,COUNTIFS($F$8:$F$1600,$F759,$DE$8:$DE$1600,1),0)</f>
        <v/>
      </c>
      <c r="DJ759" s="84">
        <f>IF($DG759=1,$DH759+(100000-ROW())/mTieBreak,0)</f>
        <v/>
      </c>
    </row>
    <row r="760">
      <c r="B760" s="68" t="n">
        <v>31</v>
      </c>
      <c r="C760" s="69" t="inlineStr">
        <is>
          <t>UBS18C15</t>
        </is>
      </c>
      <c r="D760" s="69" t="inlineStr">
        <is>
          <t>31.000</t>
        </is>
      </c>
      <c r="E760" s="69" t="inlineStr">
        <is>
          <t>Liberty Square</t>
        </is>
      </c>
      <c r="F760" s="69" t="inlineStr">
        <is>
          <t>LNUBS18C15-31.000</t>
        </is>
      </c>
      <c r="G760" s="70" t="n"/>
      <c r="H760" s="71" t="n">
        <v>6730000</v>
      </c>
      <c r="I760" s="71" t="n">
        <v>5919569.849999031</v>
      </c>
      <c r="J760" s="72" t="n">
        <v>5.44</v>
      </c>
      <c r="K760" s="69" t="inlineStr">
        <is>
          <t>Fixed rate</t>
        </is>
      </c>
      <c r="L760" s="68" t="n">
        <v>120</v>
      </c>
      <c r="M760" s="68" t="n">
        <v>27</v>
      </c>
      <c r="N760" s="68" t="n">
        <v>360</v>
      </c>
      <c r="O760" s="68" t="n"/>
      <c r="P760" s="68" t="n"/>
      <c r="Q760" s="68" t="n">
        <v>93</v>
      </c>
      <c r="R760" s="69" t="n"/>
      <c r="S760" s="69" t="inlineStr">
        <is>
          <t>No</t>
        </is>
      </c>
      <c r="T760" s="73" t="n">
        <v>43435</v>
      </c>
      <c r="U760" s="73" t="n">
        <v>47088</v>
      </c>
      <c r="V760" s="73" t="n"/>
      <c r="W760" s="69" t="n"/>
      <c r="X760" s="69" t="inlineStr">
        <is>
          <t>Current</t>
        </is>
      </c>
      <c r="Y760" s="68" t="n"/>
      <c r="Z760" s="69" t="inlineStr">
        <is>
          <t>No Defeasance Occurred</t>
        </is>
      </c>
      <c r="AA760" s="69" t="inlineStr">
        <is>
          <t>Previously</t>
        </is>
      </c>
      <c r="AB760" s="69" t="inlineStr">
        <is>
          <t>Never special serv</t>
        </is>
      </c>
      <c r="AC760" s="73" t="n"/>
      <c r="AD760" s="69" t="n"/>
      <c r="AE760" s="69" t="n"/>
      <c r="AF760" s="69" t="inlineStr">
        <is>
          <t>GA</t>
        </is>
      </c>
      <c r="AG760" s="69" t="inlineStr">
        <is>
          <t>Hinesville</t>
        </is>
      </c>
      <c r="AH760" s="69" t="inlineStr">
        <is>
          <t>Hinesville, GA</t>
        </is>
      </c>
      <c r="AI760" s="69" t="inlineStr">
        <is>
          <t>South / Atlantic</t>
        </is>
      </c>
      <c r="AJ760" s="69" t="inlineStr">
        <is>
          <t>RT</t>
        </is>
      </c>
      <c r="AK760" s="69" t="inlineStr">
        <is>
          <t>Anchored</t>
        </is>
      </c>
      <c r="AL760" s="68" t="n">
        <v>1</v>
      </c>
      <c r="AM760" s="68" t="n"/>
      <c r="AN760" s="68" t="n">
        <v>109268</v>
      </c>
      <c r="AO760" s="69" t="inlineStr">
        <is>
          <t>1976</t>
        </is>
      </c>
      <c r="AP760" s="70" t="n">
        <v>2009</v>
      </c>
      <c r="AQ760" s="74" t="n">
        <v>1.48</v>
      </c>
      <c r="AR760" s="74" t="n">
        <v>1.57</v>
      </c>
      <c r="AS760" s="74" t="n">
        <v>74.59999999999999</v>
      </c>
      <c r="AT760" s="74" t="n">
        <v>65.59</v>
      </c>
      <c r="AU760" s="74" t="n">
        <v>62.2</v>
      </c>
      <c r="AV760" s="74" t="n">
        <v>10.00603893</v>
      </c>
      <c r="AW760" s="74" t="n">
        <v>27.238944228</v>
      </c>
      <c r="AX760" s="75" t="n">
        <v>93</v>
      </c>
      <c r="AY760" s="71" t="n">
        <v>9025000</v>
      </c>
      <c r="AZ760" s="71" t="n">
        <v>9025000</v>
      </c>
      <c r="BA760" s="71" t="n">
        <v>673406.42</v>
      </c>
      <c r="BB760" s="71" t="n">
        <v>716957.12</v>
      </c>
      <c r="BC760" s="69" t="inlineStr">
        <is>
          <t>Acquisition</t>
        </is>
      </c>
      <c r="BD760" s="69" t="inlineStr">
        <is>
          <t>N</t>
        </is>
      </c>
      <c r="BE760" s="71" t="n"/>
      <c r="BF760" s="71" t="n"/>
      <c r="BG760" s="71" t="n"/>
      <c r="BH760" s="71" t="n">
        <v>0</v>
      </c>
      <c r="BI760" s="71" t="n">
        <v>0</v>
      </c>
      <c r="BJ760" s="69" t="inlineStr">
        <is>
          <t>Y</t>
        </is>
      </c>
      <c r="BK760" s="69" t="inlineStr">
        <is>
          <t>Planet Fitness</t>
        </is>
      </c>
      <c r="BL760" s="75" t="n">
        <v>20.21</v>
      </c>
      <c r="BM760" s="73" t="n">
        <v>47968</v>
      </c>
      <c r="BN760" s="69" t="inlineStr">
        <is>
          <t>S. John Hajjar; S. John Hajjar, as Trustee of the S. John Hajjar Trust - 2005</t>
        </is>
      </c>
      <c r="BO760" s="69" t="inlineStr">
        <is>
          <t>Societe Generale</t>
        </is>
      </c>
      <c r="BP760" s="69" t="inlineStr">
        <is>
          <t>Midland Loan Services</t>
        </is>
      </c>
      <c r="BQ760" s="69" t="inlineStr">
        <is>
          <t>K-Star Asset Management LLC</t>
        </is>
      </c>
      <c r="BR760" s="69" t="n"/>
      <c r="BS760" s="73" t="n">
        <v>46276</v>
      </c>
      <c r="BU760" s="76">
        <f>IF($C760="","",IFERROR(INDEX(dmName,MATCH($C760,dmID,0)),"Unmapped"))</f>
        <v/>
      </c>
      <c r="BV760" s="76">
        <f>IF($C760="","",IFERROR(INDEX(dmEntity,MATCH($C760,dmID,0)),"Unmapped"))</f>
        <v/>
      </c>
      <c r="BW760" s="77">
        <f>IF($C760="","",IFERROR(INDEX(dmVintage,MATCH($C760,dmID,0)),""))</f>
        <v/>
      </c>
      <c r="BX760" s="78">
        <f>IFERROR(INDEX(dmInclude,MATCH($C760,dmID,0)),0)</f>
        <v/>
      </c>
      <c r="BY760" s="78">
        <f>IF(N($I760)&gt;0,1,0)</f>
        <v/>
      </c>
      <c r="BZ760" s="76">
        <f>IF($AJ760="","Other / Leased Fee",IFERROR(INDEX(mapPTGroup,MATCH(LEFT(TRIM($AJ760),2),mapPTCode,0)),"Other / Leased Fee"))</f>
        <v/>
      </c>
      <c r="CA760" s="76">
        <f>IF(TRIM($AF760&amp;"")="","NR",LEFT(TRIM($AF760),2))</f>
        <v/>
      </c>
      <c r="CB760" s="76">
        <f>IFERROR(LOOKUP(2,1/(LEFT(TRIM($AI760&amp;""),LEN(mapRegion))=mapRegion),mapRegion),"Not Reported")</f>
        <v/>
      </c>
      <c r="CC760" s="76">
        <f>IF($BY760=0,"",IF(TRIM($W760&amp;"")="REO","REO",IF(TRIM($W760&amp;"")="FC","Foreclosure",IF(TRIM($W760&amp;"")="90+","90+ Days Delinquent",IF(TRIM($W760&amp;"")="60","60 Days Delinquent",IF(TRIM($W760&amp;"")="30","30 Days Delinquent",IF($X760="Non-Performing Matured Balloon","Non-Performing Matured Balloon",IF(OR($X760="Late Payment But Less Than 30 Days Delinquent",LEFT($X760&amp;"",20)="Payment Not Received"),"Late / In Grace (&lt;30 Days)",IF($X760="Performing Matured Balloon","Performing Matured Balloon","Current")))))))))</f>
        <v/>
      </c>
      <c r="CD760" s="78">
        <f>IF(OR($CC760="REO",$CC760="Foreclosure",$CC760="90+ Days Delinquent",$CC760="60 Days Delinquent",$CC760="30 Days Delinquent",$CC760="Non-Performing Matured Balloon"),1,0)</f>
        <v/>
      </c>
      <c r="CE760" s="76">
        <f>IF($AB760="Currently special serv","Currently Specially Serviced",IF($AB760="Returned to master serv","Previously Specially Serviced","Never Specially Serviced"))</f>
        <v/>
      </c>
      <c r="CF760" s="78">
        <f>IF($CE760="Currently Specially Serviced",1,0)</f>
        <v/>
      </c>
      <c r="CG760" s="76">
        <f>IF($AA760="Yes","Currently on Watchlist",IF($AA760="Previously","Previously on Watchlist","Never on Watchlist"))</f>
        <v/>
      </c>
      <c r="CH760" s="78">
        <f>IF($CG760="Currently on Watchlist",1,0)</f>
        <v/>
      </c>
      <c r="CI760" s="76">
        <f>IF($Z760="Full Defeasance","Fully Defeased",IF($Z760="Portion Of Loan Previously Defeased","Partially Defeased",IF($Z760="Defeasance Not Allowable","Not Defeased (Not Permitted)","Not Defeased")))</f>
        <v/>
      </c>
      <c r="CJ760" s="78">
        <f>IF($CI760="Fully Defeased",1,0)</f>
        <v/>
      </c>
      <c r="CK760" s="76">
        <f>IF($R760="IO","Full IO",IF(LEFT($R760&amp;"",7)="IO then","Partial IO","Amortizing"))</f>
        <v/>
      </c>
      <c r="CL760" s="78">
        <f>IF($CK760="Full IO",1,0)</f>
        <v/>
      </c>
      <c r="CM760" s="78">
        <f>IF($CK760="Partial IO",1,0)</f>
        <v/>
      </c>
      <c r="CN760" s="76">
        <f>IF(LEFT($F760&amp;"",10)="SPLIT_LOAN","Pari Passu Split","Standalone")</f>
        <v/>
      </c>
      <c r="CO760" s="78">
        <f>IF($CN760="Pari Passu Split",1,0)</f>
        <v/>
      </c>
      <c r="CP760" s="77">
        <f>IF(ISNUMBER($T760),YEAR($T760),"")</f>
        <v/>
      </c>
      <c r="CQ760" s="79">
        <f>IF(ISNUMBER($V760),$V760,IF(ISNUMBER($U760),$U760,""))</f>
        <v/>
      </c>
      <c r="CR760" s="77">
        <f>IF(ISNUMBER($CQ760),YEAR($CQ760),"")</f>
        <v/>
      </c>
      <c r="CS760" s="78">
        <f>IF(ISNUMBER($M760),MAX(0,$M760),IF(TRIM($M760&amp;"")="matured",0,""))</f>
        <v/>
      </c>
      <c r="CT760" s="78">
        <f>IF(AND(ISNUMBER($CS760),N($CS760)&lt;=mMatWindow),1,0)</f>
        <v/>
      </c>
      <c r="CU760" s="80">
        <f>IF(ISNUMBER($J760),$J760/100,"")</f>
        <v/>
      </c>
      <c r="CV760" s="81">
        <f>IF(ISNUMBER($AQ760),$AQ760,"")</f>
        <v/>
      </c>
      <c r="CW760" s="81">
        <f>IF(ISNUMBER($AR760),$AR760,"")</f>
        <v/>
      </c>
      <c r="CX760" s="82">
        <f>IF(ISNUMBER($AS760),$AS760/100,"")</f>
        <v/>
      </c>
      <c r="CY760" s="82">
        <f>IF(ISNUMBER($AT760),$AT760/100,"")</f>
        <v/>
      </c>
      <c r="CZ760" s="82">
        <f>IF(ISNUMBER($AU760),$AU760/100,"")</f>
        <v/>
      </c>
      <c r="DA760" s="82">
        <f>IF(ISNUMBER($AV760),$AV760/100,"")</f>
        <v/>
      </c>
      <c r="DB760" s="82">
        <f>IF(ISNUMBER($AW760),$AW760/100,"")</f>
        <v/>
      </c>
      <c r="DC760" s="82">
        <f>IF(ISNUMBER($AX760),$AX760/100,"")</f>
        <v/>
      </c>
      <c r="DD760" s="77">
        <f>IFERROR(VALUE(LEFT(TRIM($AO760&amp;""),4)),"")</f>
        <v/>
      </c>
      <c r="DE760" s="78">
        <f>IF(AND($BY760=1,$BX760=1,OR(fDeal="All Deals",$BU760=fDeal),OR(fEntity="All Entities",$BV760=fEntity),OR(fPType="All Property Types",$BZ760=fPType),OR(fDefeased="Include",$CJ760=0)),1,0)</f>
        <v/>
      </c>
      <c r="DF760" s="83">
        <f>$DE760*N($I760)</f>
        <v/>
      </c>
      <c r="DG760" s="78">
        <f>IF($DE760=1,IF(COUNTIFS($F$8:$F760,$F760,$DE$8:$DE760,1)=1,1,0),0)</f>
        <v/>
      </c>
      <c r="DH760" s="83">
        <f>IF($DG760=1,SUMIFS($DF$8:$DF$1600,$F$8:$F$1600,$F760),0)</f>
        <v/>
      </c>
      <c r="DI760" s="78">
        <f>IF($DG760=1,COUNTIFS($F$8:$F$1600,$F760,$DE$8:$DE$1600,1),0)</f>
        <v/>
      </c>
      <c r="DJ760" s="84">
        <f>IF($DG760=1,$DH760+(100000-ROW())/mTieBreak,0)</f>
        <v/>
      </c>
    </row>
    <row r="761">
      <c r="B761" s="68" t="n">
        <v>32</v>
      </c>
      <c r="C761" s="69" t="inlineStr">
        <is>
          <t>UBS18C15</t>
        </is>
      </c>
      <c r="D761" s="69" t="inlineStr">
        <is>
          <t>32.000</t>
        </is>
      </c>
      <c r="E761" s="69" t="inlineStr">
        <is>
          <t>Nacogdoches Self Storage</t>
        </is>
      </c>
      <c r="F761" s="69" t="inlineStr">
        <is>
          <t>LNUBS18C15-32.000</t>
        </is>
      </c>
      <c r="G761" s="70" t="n"/>
      <c r="H761" s="71" t="n">
        <v>6600000</v>
      </c>
      <c r="I761" s="71" t="n">
        <v>0</v>
      </c>
      <c r="J761" s="72" t="n">
        <v>5.88</v>
      </c>
      <c r="K761" s="69" t="inlineStr">
        <is>
          <t>Fixed rate</t>
        </is>
      </c>
      <c r="L761" s="68" t="n">
        <v>60</v>
      </c>
      <c r="M761" s="68" t="n"/>
      <c r="N761" s="68" t="n">
        <v>60</v>
      </c>
      <c r="O761" s="68" t="n">
        <v>60</v>
      </c>
      <c r="P761" s="68" t="n"/>
      <c r="Q761" s="68" t="n"/>
      <c r="R761" s="69" t="inlineStr">
        <is>
          <t>IO</t>
        </is>
      </c>
      <c r="S761" s="69" t="inlineStr">
        <is>
          <t>Yes</t>
        </is>
      </c>
      <c r="T761" s="73" t="n">
        <v>43435</v>
      </c>
      <c r="U761" s="73" t="n">
        <v>45261</v>
      </c>
      <c r="V761" s="73" t="n"/>
      <c r="W761" s="69" t="n"/>
      <c r="X761" s="69" t="inlineStr">
        <is>
          <t>Current</t>
        </is>
      </c>
      <c r="Y761" s="68" t="n"/>
      <c r="Z761" s="69" t="inlineStr">
        <is>
          <t>Full Defeasance</t>
        </is>
      </c>
      <c r="AA761" s="69" t="n"/>
      <c r="AB761" s="69" t="inlineStr">
        <is>
          <t>Never special serv</t>
        </is>
      </c>
      <c r="AC761" s="73" t="n"/>
      <c r="AD761" s="69" t="n"/>
      <c r="AE761" s="69" t="n"/>
      <c r="AF761" s="69" t="inlineStr">
        <is>
          <t>TX</t>
        </is>
      </c>
      <c r="AG761" s="69" t="inlineStr">
        <is>
          <t>Nacogdoches</t>
        </is>
      </c>
      <c r="AH761" s="69" t="inlineStr">
        <is>
          <t>Nacogdoches, TX</t>
        </is>
      </c>
      <c r="AI761" s="69" t="inlineStr">
        <is>
          <t>South / Central West</t>
        </is>
      </c>
      <c r="AJ761" s="69" t="inlineStr">
        <is>
          <t>SS</t>
        </is>
      </c>
      <c r="AK761" s="69" t="n"/>
      <c r="AL761" s="68" t="n">
        <v>1</v>
      </c>
      <c r="AM761" s="68" t="n"/>
      <c r="AN761" s="68" t="n">
        <v>165625</v>
      </c>
      <c r="AO761" s="69" t="inlineStr">
        <is>
          <t>1975, 1980, 1990, 1994</t>
        </is>
      </c>
      <c r="AP761" s="70" t="n">
        <v>2017</v>
      </c>
      <c r="AQ761" s="74" t="n">
        <v>1.55</v>
      </c>
      <c r="AR761" s="74" t="n">
        <v>1.88</v>
      </c>
      <c r="AS761" s="74" t="n">
        <v>58</v>
      </c>
      <c r="AT761" s="74" t="n"/>
      <c r="AU761" s="74" t="n">
        <v>58</v>
      </c>
      <c r="AV761" s="74" t="n">
        <v>9.233227273000001</v>
      </c>
      <c r="AW761" s="74" t="n"/>
      <c r="AX761" s="75" t="n">
        <v>90</v>
      </c>
      <c r="AY761" s="71" t="n">
        <v>11380000</v>
      </c>
      <c r="AZ761" s="71" t="n">
        <v>11380000</v>
      </c>
      <c r="BA761" s="71" t="n">
        <v>609393</v>
      </c>
      <c r="BB761" s="71" t="n">
        <v>740090.51</v>
      </c>
      <c r="BC761" s="69" t="inlineStr">
        <is>
          <t>Refinance</t>
        </is>
      </c>
      <c r="BD761" s="69" t="inlineStr">
        <is>
          <t>N</t>
        </is>
      </c>
      <c r="BE761" s="71" t="n"/>
      <c r="BF761" s="71" t="n"/>
      <c r="BG761" s="71" t="n"/>
      <c r="BH761" s="71" t="n">
        <v>0</v>
      </c>
      <c r="BI761" s="71" t="n">
        <v>0</v>
      </c>
      <c r="BJ761" s="69" t="inlineStr">
        <is>
          <t>N</t>
        </is>
      </c>
      <c r="BK761" s="69" t="n"/>
      <c r="BL761" s="75" t="n"/>
      <c r="BM761" s="73" t="n"/>
      <c r="BN761" s="69" t="inlineStr">
        <is>
          <t>Robert E. Dunn III; John Manes</t>
        </is>
      </c>
      <c r="BO761" s="69" t="inlineStr">
        <is>
          <t>CIBC</t>
        </is>
      </c>
      <c r="BP761" s="69" t="inlineStr">
        <is>
          <t>Midland Loan Services</t>
        </is>
      </c>
      <c r="BQ761" s="69" t="inlineStr">
        <is>
          <t>K-Star Asset Management LLC</t>
        </is>
      </c>
      <c r="BR761" s="69" t="inlineStr">
        <is>
          <t>Payoff Prior To Maturity</t>
        </is>
      </c>
      <c r="BS761" s="73" t="n">
        <v>45243</v>
      </c>
      <c r="BU761" s="76">
        <f>IF($C761="","",IFERROR(INDEX(dmName,MATCH($C761,dmID,0)),"Unmapped"))</f>
        <v/>
      </c>
      <c r="BV761" s="76">
        <f>IF($C761="","",IFERROR(INDEX(dmEntity,MATCH($C761,dmID,0)),"Unmapped"))</f>
        <v/>
      </c>
      <c r="BW761" s="77">
        <f>IF($C761="","",IFERROR(INDEX(dmVintage,MATCH($C761,dmID,0)),""))</f>
        <v/>
      </c>
      <c r="BX761" s="78">
        <f>IFERROR(INDEX(dmInclude,MATCH($C761,dmID,0)),0)</f>
        <v/>
      </c>
      <c r="BY761" s="78">
        <f>IF(N($I761)&gt;0,1,0)</f>
        <v/>
      </c>
      <c r="BZ761" s="76">
        <f>IF($AJ761="","Other / Leased Fee",IFERROR(INDEX(mapPTGroup,MATCH(LEFT(TRIM($AJ761),2),mapPTCode,0)),"Other / Leased Fee"))</f>
        <v/>
      </c>
      <c r="CA761" s="76">
        <f>IF(TRIM($AF761&amp;"")="","NR",LEFT(TRIM($AF761),2))</f>
        <v/>
      </c>
      <c r="CB761" s="76">
        <f>IFERROR(LOOKUP(2,1/(LEFT(TRIM($AI761&amp;""),LEN(mapRegion))=mapRegion),mapRegion),"Not Reported")</f>
        <v/>
      </c>
      <c r="CC761" s="76">
        <f>IF($BY761=0,"",IF(TRIM($W761&amp;"")="REO","REO",IF(TRIM($W761&amp;"")="FC","Foreclosure",IF(TRIM($W761&amp;"")="90+","90+ Days Delinquent",IF(TRIM($W761&amp;"")="60","60 Days Delinquent",IF(TRIM($W761&amp;"")="30","30 Days Delinquent",IF($X761="Non-Performing Matured Balloon","Non-Performing Matured Balloon",IF(OR($X761="Late Payment But Less Than 30 Days Delinquent",LEFT($X761&amp;"",20)="Payment Not Received"),"Late / In Grace (&lt;30 Days)",IF($X761="Performing Matured Balloon","Performing Matured Balloon","Current")))))))))</f>
        <v/>
      </c>
      <c r="CD761" s="78">
        <f>IF(OR($CC761="REO",$CC761="Foreclosure",$CC761="90+ Days Delinquent",$CC761="60 Days Delinquent",$CC761="30 Days Delinquent",$CC761="Non-Performing Matured Balloon"),1,0)</f>
        <v/>
      </c>
      <c r="CE761" s="76">
        <f>IF($AB761="Currently special serv","Currently Specially Serviced",IF($AB761="Returned to master serv","Previously Specially Serviced","Never Specially Serviced"))</f>
        <v/>
      </c>
      <c r="CF761" s="78">
        <f>IF($CE761="Currently Specially Serviced",1,0)</f>
        <v/>
      </c>
      <c r="CG761" s="76">
        <f>IF($AA761="Yes","Currently on Watchlist",IF($AA761="Previously","Previously on Watchlist","Never on Watchlist"))</f>
        <v/>
      </c>
      <c r="CH761" s="78">
        <f>IF($CG761="Currently on Watchlist",1,0)</f>
        <v/>
      </c>
      <c r="CI761" s="76">
        <f>IF($Z761="Full Defeasance","Fully Defeased",IF($Z761="Portion Of Loan Previously Defeased","Partially Defeased",IF($Z761="Defeasance Not Allowable","Not Defeased (Not Permitted)","Not Defeased")))</f>
        <v/>
      </c>
      <c r="CJ761" s="78">
        <f>IF($CI761="Fully Defeased",1,0)</f>
        <v/>
      </c>
      <c r="CK761" s="76">
        <f>IF($R761="IO","Full IO",IF(LEFT($R761&amp;"",7)="IO then","Partial IO","Amortizing"))</f>
        <v/>
      </c>
      <c r="CL761" s="78">
        <f>IF($CK761="Full IO",1,0)</f>
        <v/>
      </c>
      <c r="CM761" s="78">
        <f>IF($CK761="Partial IO",1,0)</f>
        <v/>
      </c>
      <c r="CN761" s="76">
        <f>IF(LEFT($F761&amp;"",10)="SPLIT_LOAN","Pari Passu Split","Standalone")</f>
        <v/>
      </c>
      <c r="CO761" s="78">
        <f>IF($CN761="Pari Passu Split",1,0)</f>
        <v/>
      </c>
      <c r="CP761" s="77">
        <f>IF(ISNUMBER($T761),YEAR($T761),"")</f>
        <v/>
      </c>
      <c r="CQ761" s="79">
        <f>IF(ISNUMBER($V761),$V761,IF(ISNUMBER($U761),$U761,""))</f>
        <v/>
      </c>
      <c r="CR761" s="77">
        <f>IF(ISNUMBER($CQ761),YEAR($CQ761),"")</f>
        <v/>
      </c>
      <c r="CS761" s="78">
        <f>IF(ISNUMBER($M761),MAX(0,$M761),IF(TRIM($M761&amp;"")="matured",0,""))</f>
        <v/>
      </c>
      <c r="CT761" s="78">
        <f>IF(AND(ISNUMBER($CS761),N($CS761)&lt;=mMatWindow),1,0)</f>
        <v/>
      </c>
      <c r="CU761" s="80">
        <f>IF(ISNUMBER($J761),$J761/100,"")</f>
        <v/>
      </c>
      <c r="CV761" s="81">
        <f>IF(ISNUMBER($AQ761),$AQ761,"")</f>
        <v/>
      </c>
      <c r="CW761" s="81">
        <f>IF(ISNUMBER($AR761),$AR761,"")</f>
        <v/>
      </c>
      <c r="CX761" s="82">
        <f>IF(ISNUMBER($AS761),$AS761/100,"")</f>
        <v/>
      </c>
      <c r="CY761" s="82">
        <f>IF(ISNUMBER($AT761),$AT761/100,"")</f>
        <v/>
      </c>
      <c r="CZ761" s="82">
        <f>IF(ISNUMBER($AU761),$AU761/100,"")</f>
        <v/>
      </c>
      <c r="DA761" s="82">
        <f>IF(ISNUMBER($AV761),$AV761/100,"")</f>
        <v/>
      </c>
      <c r="DB761" s="82">
        <f>IF(ISNUMBER($AW761),$AW761/100,"")</f>
        <v/>
      </c>
      <c r="DC761" s="82">
        <f>IF(ISNUMBER($AX761),$AX761/100,"")</f>
        <v/>
      </c>
      <c r="DD761" s="77">
        <f>IFERROR(VALUE(LEFT(TRIM($AO761&amp;""),4)),"")</f>
        <v/>
      </c>
      <c r="DE761" s="78">
        <f>IF(AND($BY761=1,$BX761=1,OR(fDeal="All Deals",$BU761=fDeal),OR(fEntity="All Entities",$BV761=fEntity),OR(fPType="All Property Types",$BZ761=fPType),OR(fDefeased="Include",$CJ761=0)),1,0)</f>
        <v/>
      </c>
      <c r="DF761" s="83">
        <f>$DE761*N($I761)</f>
        <v/>
      </c>
      <c r="DG761" s="78">
        <f>IF($DE761=1,IF(COUNTIFS($F$8:$F761,$F761,$DE$8:$DE761,1)=1,1,0),0)</f>
        <v/>
      </c>
      <c r="DH761" s="83">
        <f>IF($DG761=1,SUMIFS($DF$8:$DF$1600,$F$8:$F$1600,$F761),0)</f>
        <v/>
      </c>
      <c r="DI761" s="78">
        <f>IF($DG761=1,COUNTIFS($F$8:$F$1600,$F761,$DE$8:$DE$1600,1),0)</f>
        <v/>
      </c>
      <c r="DJ761" s="84">
        <f>IF($DG761=1,$DH761+(100000-ROW())/mTieBreak,0)</f>
        <v/>
      </c>
    </row>
    <row r="762">
      <c r="B762" s="68" t="n">
        <v>33</v>
      </c>
      <c r="C762" s="69" t="inlineStr">
        <is>
          <t>UBS18C15</t>
        </is>
      </c>
      <c r="D762" s="69" t="inlineStr">
        <is>
          <t>33.000</t>
        </is>
      </c>
      <c r="E762" s="69" t="inlineStr">
        <is>
          <t>Palm Coast Medical Center</t>
        </is>
      </c>
      <c r="F762" s="69" t="inlineStr">
        <is>
          <t>LNUBS18C15-33.000</t>
        </is>
      </c>
      <c r="G762" s="70" t="n"/>
      <c r="H762" s="71" t="n">
        <v>6500000</v>
      </c>
      <c r="I762" s="71" t="n">
        <v>5735643.830000499</v>
      </c>
      <c r="J762" s="72" t="n">
        <v>5.579</v>
      </c>
      <c r="K762" s="69" t="inlineStr">
        <is>
          <t>Fixed rate</t>
        </is>
      </c>
      <c r="L762" s="68" t="n">
        <v>120</v>
      </c>
      <c r="M762" s="68" t="n">
        <v>27</v>
      </c>
      <c r="N762" s="68" t="n">
        <v>360</v>
      </c>
      <c r="O762" s="68" t="n"/>
      <c r="P762" s="68" t="n"/>
      <c r="Q762" s="68" t="n">
        <v>93</v>
      </c>
      <c r="R762" s="69" t="n"/>
      <c r="S762" s="69" t="inlineStr">
        <is>
          <t>No</t>
        </is>
      </c>
      <c r="T762" s="73" t="n">
        <v>43435</v>
      </c>
      <c r="U762" s="73" t="n">
        <v>47093</v>
      </c>
      <c r="V762" s="73" t="n"/>
      <c r="W762" s="69" t="n"/>
      <c r="X762" s="69" t="inlineStr">
        <is>
          <t>Current</t>
        </is>
      </c>
      <c r="Y762" s="68" t="n"/>
      <c r="Z762" s="69" t="inlineStr">
        <is>
          <t>Full Defeasance</t>
        </is>
      </c>
      <c r="AA762" s="69" t="inlineStr">
        <is>
          <t>Previously</t>
        </is>
      </c>
      <c r="AB762" s="69" t="inlineStr">
        <is>
          <t>Never special serv</t>
        </is>
      </c>
      <c r="AC762" s="73" t="n"/>
      <c r="AD762" s="69" t="n"/>
      <c r="AE762" s="69" t="n"/>
      <c r="AF762" s="69" t="inlineStr">
        <is>
          <t>FL</t>
        </is>
      </c>
      <c r="AG762" s="69" t="inlineStr">
        <is>
          <t>Palm Coast</t>
        </is>
      </c>
      <c r="AH762" s="69" t="inlineStr">
        <is>
          <t>Deltona-Daytona Beach-Ormond Beach, FL</t>
        </is>
      </c>
      <c r="AI762" s="69" t="inlineStr">
        <is>
          <t>South / Atlantic</t>
        </is>
      </c>
      <c r="AJ762" s="69" t="inlineStr">
        <is>
          <t>OF</t>
        </is>
      </c>
      <c r="AK762" s="69" t="inlineStr">
        <is>
          <t>Medical</t>
        </is>
      </c>
      <c r="AL762" s="68" t="n">
        <v>1</v>
      </c>
      <c r="AM762" s="68" t="n"/>
      <c r="AN762" s="68" t="n">
        <v>27310</v>
      </c>
      <c r="AO762" s="69" t="inlineStr">
        <is>
          <t>2008</t>
        </is>
      </c>
      <c r="AP762" s="70" t="n">
        <v>2018</v>
      </c>
      <c r="AQ762" s="74" t="n">
        <v>1.47</v>
      </c>
      <c r="AR762" s="74" t="n">
        <v>0.97</v>
      </c>
      <c r="AS762" s="74" t="n">
        <v>53.5</v>
      </c>
      <c r="AT762" s="74" t="n">
        <v>47.21</v>
      </c>
      <c r="AU762" s="74" t="n">
        <v>44.8</v>
      </c>
      <c r="AV762" s="74" t="n">
        <v>10.082188615</v>
      </c>
      <c r="AW762" s="74" t="n">
        <v>11.538540042</v>
      </c>
      <c r="AX762" s="75" t="n">
        <v>100</v>
      </c>
      <c r="AY762" s="71" t="n">
        <v>12150000</v>
      </c>
      <c r="AZ762" s="71" t="n">
        <v>12150000</v>
      </c>
      <c r="BA762" s="71" t="n">
        <v>655342.26</v>
      </c>
      <c r="BB762" s="71" t="n">
        <v>435510.28</v>
      </c>
      <c r="BC762" s="69" t="inlineStr">
        <is>
          <t>Refinance</t>
        </is>
      </c>
      <c r="BD762" s="69" t="inlineStr">
        <is>
          <t>N</t>
        </is>
      </c>
      <c r="BE762" s="71" t="n"/>
      <c r="BF762" s="71" t="n"/>
      <c r="BG762" s="71" t="n"/>
      <c r="BH762" s="71" t="n">
        <v>0</v>
      </c>
      <c r="BI762" s="71" t="n">
        <v>0</v>
      </c>
      <c r="BJ762" s="69" t="inlineStr">
        <is>
          <t>N</t>
        </is>
      </c>
      <c r="BK762" s="69" t="inlineStr">
        <is>
          <t>Omega Resarch Consultants</t>
        </is>
      </c>
      <c r="BL762" s="75" t="n">
        <v>47.79</v>
      </c>
      <c r="BM762" s="73" t="n">
        <v>44710</v>
      </c>
      <c r="BN762" s="69" t="inlineStr">
        <is>
          <t>Chaim Yoseph Bialostozky</t>
        </is>
      </c>
      <c r="BO762" s="69" t="inlineStr">
        <is>
          <t>UBS</t>
        </is>
      </c>
      <c r="BP762" s="69" t="inlineStr">
        <is>
          <t>Midland Loan Services</t>
        </is>
      </c>
      <c r="BQ762" s="69" t="inlineStr">
        <is>
          <t>K-Star Asset Management LLC</t>
        </is>
      </c>
      <c r="BR762" s="69" t="n"/>
      <c r="BS762" s="73" t="n">
        <v>46276</v>
      </c>
      <c r="BU762" s="76">
        <f>IF($C762="","",IFERROR(INDEX(dmName,MATCH($C762,dmID,0)),"Unmapped"))</f>
        <v/>
      </c>
      <c r="BV762" s="76">
        <f>IF($C762="","",IFERROR(INDEX(dmEntity,MATCH($C762,dmID,0)),"Unmapped"))</f>
        <v/>
      </c>
      <c r="BW762" s="77">
        <f>IF($C762="","",IFERROR(INDEX(dmVintage,MATCH($C762,dmID,0)),""))</f>
        <v/>
      </c>
      <c r="BX762" s="78">
        <f>IFERROR(INDEX(dmInclude,MATCH($C762,dmID,0)),0)</f>
        <v/>
      </c>
      <c r="BY762" s="78">
        <f>IF(N($I762)&gt;0,1,0)</f>
        <v/>
      </c>
      <c r="BZ762" s="76">
        <f>IF($AJ762="","Other / Leased Fee",IFERROR(INDEX(mapPTGroup,MATCH(LEFT(TRIM($AJ762),2),mapPTCode,0)),"Other / Leased Fee"))</f>
        <v/>
      </c>
      <c r="CA762" s="76">
        <f>IF(TRIM($AF762&amp;"")="","NR",LEFT(TRIM($AF762),2))</f>
        <v/>
      </c>
      <c r="CB762" s="76">
        <f>IFERROR(LOOKUP(2,1/(LEFT(TRIM($AI762&amp;""),LEN(mapRegion))=mapRegion),mapRegion),"Not Reported")</f>
        <v/>
      </c>
      <c r="CC762" s="76">
        <f>IF($BY762=0,"",IF(TRIM($W762&amp;"")="REO","REO",IF(TRIM($W762&amp;"")="FC","Foreclosure",IF(TRIM($W762&amp;"")="90+","90+ Days Delinquent",IF(TRIM($W762&amp;"")="60","60 Days Delinquent",IF(TRIM($W762&amp;"")="30","30 Days Delinquent",IF($X762="Non-Performing Matured Balloon","Non-Performing Matured Balloon",IF(OR($X762="Late Payment But Less Than 30 Days Delinquent",LEFT($X762&amp;"",20)="Payment Not Received"),"Late / In Grace (&lt;30 Days)",IF($X762="Performing Matured Balloon","Performing Matured Balloon","Current")))))))))</f>
        <v/>
      </c>
      <c r="CD762" s="78">
        <f>IF(OR($CC762="REO",$CC762="Foreclosure",$CC762="90+ Days Delinquent",$CC762="60 Days Delinquent",$CC762="30 Days Delinquent",$CC762="Non-Performing Matured Balloon"),1,0)</f>
        <v/>
      </c>
      <c r="CE762" s="76">
        <f>IF($AB762="Currently special serv","Currently Specially Serviced",IF($AB762="Returned to master serv","Previously Specially Serviced","Never Specially Serviced"))</f>
        <v/>
      </c>
      <c r="CF762" s="78">
        <f>IF($CE762="Currently Specially Serviced",1,0)</f>
        <v/>
      </c>
      <c r="CG762" s="76">
        <f>IF($AA762="Yes","Currently on Watchlist",IF($AA762="Previously","Previously on Watchlist","Never on Watchlist"))</f>
        <v/>
      </c>
      <c r="CH762" s="78">
        <f>IF($CG762="Currently on Watchlist",1,0)</f>
        <v/>
      </c>
      <c r="CI762" s="76">
        <f>IF($Z762="Full Defeasance","Fully Defeased",IF($Z762="Portion Of Loan Previously Defeased","Partially Defeased",IF($Z762="Defeasance Not Allowable","Not Defeased (Not Permitted)","Not Defeased")))</f>
        <v/>
      </c>
      <c r="CJ762" s="78">
        <f>IF($CI762="Fully Defeased",1,0)</f>
        <v/>
      </c>
      <c r="CK762" s="76">
        <f>IF($R762="IO","Full IO",IF(LEFT($R762&amp;"",7)="IO then","Partial IO","Amortizing"))</f>
        <v/>
      </c>
      <c r="CL762" s="78">
        <f>IF($CK762="Full IO",1,0)</f>
        <v/>
      </c>
      <c r="CM762" s="78">
        <f>IF($CK762="Partial IO",1,0)</f>
        <v/>
      </c>
      <c r="CN762" s="76">
        <f>IF(LEFT($F762&amp;"",10)="SPLIT_LOAN","Pari Passu Split","Standalone")</f>
        <v/>
      </c>
      <c r="CO762" s="78">
        <f>IF($CN762="Pari Passu Split",1,0)</f>
        <v/>
      </c>
      <c r="CP762" s="77">
        <f>IF(ISNUMBER($T762),YEAR($T762),"")</f>
        <v/>
      </c>
      <c r="CQ762" s="79">
        <f>IF(ISNUMBER($V762),$V762,IF(ISNUMBER($U762),$U762,""))</f>
        <v/>
      </c>
      <c r="CR762" s="77">
        <f>IF(ISNUMBER($CQ762),YEAR($CQ762),"")</f>
        <v/>
      </c>
      <c r="CS762" s="78">
        <f>IF(ISNUMBER($M762),MAX(0,$M762),IF(TRIM($M762&amp;"")="matured",0,""))</f>
        <v/>
      </c>
      <c r="CT762" s="78">
        <f>IF(AND(ISNUMBER($CS762),N($CS762)&lt;=mMatWindow),1,0)</f>
        <v/>
      </c>
      <c r="CU762" s="80">
        <f>IF(ISNUMBER($J762),$J762/100,"")</f>
        <v/>
      </c>
      <c r="CV762" s="81">
        <f>IF(ISNUMBER($AQ762),$AQ762,"")</f>
        <v/>
      </c>
      <c r="CW762" s="81">
        <f>IF(ISNUMBER($AR762),$AR762,"")</f>
        <v/>
      </c>
      <c r="CX762" s="82">
        <f>IF(ISNUMBER($AS762),$AS762/100,"")</f>
        <v/>
      </c>
      <c r="CY762" s="82">
        <f>IF(ISNUMBER($AT762),$AT762/100,"")</f>
        <v/>
      </c>
      <c r="CZ762" s="82">
        <f>IF(ISNUMBER($AU762),$AU762/100,"")</f>
        <v/>
      </c>
      <c r="DA762" s="82">
        <f>IF(ISNUMBER($AV762),$AV762/100,"")</f>
        <v/>
      </c>
      <c r="DB762" s="82">
        <f>IF(ISNUMBER($AW762),$AW762/100,"")</f>
        <v/>
      </c>
      <c r="DC762" s="82">
        <f>IF(ISNUMBER($AX762),$AX762/100,"")</f>
        <v/>
      </c>
      <c r="DD762" s="77">
        <f>IFERROR(VALUE(LEFT(TRIM($AO762&amp;""),4)),"")</f>
        <v/>
      </c>
      <c r="DE762" s="78">
        <f>IF(AND($BY762=1,$BX762=1,OR(fDeal="All Deals",$BU762=fDeal),OR(fEntity="All Entities",$BV762=fEntity),OR(fPType="All Property Types",$BZ762=fPType),OR(fDefeased="Include",$CJ762=0)),1,0)</f>
        <v/>
      </c>
      <c r="DF762" s="83">
        <f>$DE762*N($I762)</f>
        <v/>
      </c>
      <c r="DG762" s="78">
        <f>IF($DE762=1,IF(COUNTIFS($F$8:$F762,$F762,$DE$8:$DE762,1)=1,1,0),0)</f>
        <v/>
      </c>
      <c r="DH762" s="83">
        <f>IF($DG762=1,SUMIFS($DF$8:$DF$1600,$F$8:$F$1600,$F762),0)</f>
        <v/>
      </c>
      <c r="DI762" s="78">
        <f>IF($DG762=1,COUNTIFS($F$8:$F$1600,$F762,$DE$8:$DE$1600,1),0)</f>
        <v/>
      </c>
      <c r="DJ762" s="84">
        <f>IF($DG762=1,$DH762+(100000-ROW())/mTieBreak,0)</f>
        <v/>
      </c>
    </row>
    <row r="763">
      <c r="B763" s="68" t="n">
        <v>34</v>
      </c>
      <c r="C763" s="69" t="inlineStr">
        <is>
          <t>UBS18C15</t>
        </is>
      </c>
      <c r="D763" s="69" t="inlineStr">
        <is>
          <t>34.000</t>
        </is>
      </c>
      <c r="E763" s="69" t="inlineStr">
        <is>
          <t>Skyland Towne Center</t>
        </is>
      </c>
      <c r="F763" s="69" t="inlineStr">
        <is>
          <t>LNUBS18C15-34.000</t>
        </is>
      </c>
      <c r="G763" s="70" t="n"/>
      <c r="H763" s="71" t="n">
        <v>6250000</v>
      </c>
      <c r="I763" s="71" t="n">
        <v>5496091.91</v>
      </c>
      <c r="J763" s="72" t="n">
        <v>5.43</v>
      </c>
      <c r="K763" s="69" t="inlineStr">
        <is>
          <t>Fixed rate</t>
        </is>
      </c>
      <c r="L763" s="68" t="n">
        <v>120</v>
      </c>
      <c r="M763" s="68" t="n">
        <v>27</v>
      </c>
      <c r="N763" s="68" t="n">
        <v>360</v>
      </c>
      <c r="O763" s="68" t="n"/>
      <c r="P763" s="68" t="n"/>
      <c r="Q763" s="68" t="n">
        <v>93</v>
      </c>
      <c r="R763" s="69" t="n"/>
      <c r="S763" s="69" t="inlineStr">
        <is>
          <t>No</t>
        </is>
      </c>
      <c r="T763" s="73" t="n">
        <v>43435</v>
      </c>
      <c r="U763" s="73" t="n">
        <v>47093</v>
      </c>
      <c r="V763" s="73" t="n"/>
      <c r="W763" s="69" t="n"/>
      <c r="X763" s="69" t="inlineStr">
        <is>
          <t>Current</t>
        </is>
      </c>
      <c r="Y763" s="68" t="n"/>
      <c r="Z763" s="69" t="inlineStr">
        <is>
          <t>Defeasance Not Allowable</t>
        </is>
      </c>
      <c r="AA763" s="69" t="inlineStr">
        <is>
          <t>Previously</t>
        </is>
      </c>
      <c r="AB763" s="69" t="inlineStr">
        <is>
          <t>Never special serv</t>
        </is>
      </c>
      <c r="AC763" s="73" t="n"/>
      <c r="AD763" s="69" t="n"/>
      <c r="AE763" s="69" t="n"/>
      <c r="AF763" s="69" t="inlineStr">
        <is>
          <t>NC</t>
        </is>
      </c>
      <c r="AG763" s="69" t="inlineStr">
        <is>
          <t>Asheville</t>
        </is>
      </c>
      <c r="AH763" s="69" t="inlineStr">
        <is>
          <t>Asheville, NC</t>
        </is>
      </c>
      <c r="AI763" s="69" t="inlineStr">
        <is>
          <t>South / Atlantic</t>
        </is>
      </c>
      <c r="AJ763" s="69" t="inlineStr">
        <is>
          <t>RT</t>
        </is>
      </c>
      <c r="AK763" s="69" t="inlineStr">
        <is>
          <t>Anchored</t>
        </is>
      </c>
      <c r="AL763" s="68" t="n">
        <v>1</v>
      </c>
      <c r="AM763" s="68" t="n"/>
      <c r="AN763" s="68" t="n">
        <v>56700</v>
      </c>
      <c r="AO763" s="69" t="inlineStr">
        <is>
          <t>1996</t>
        </is>
      </c>
      <c r="AP763" s="70" t="n">
        <v>1996</v>
      </c>
      <c r="AQ763" s="74" t="n">
        <v>1.32</v>
      </c>
      <c r="AR763" s="74" t="n">
        <v>1.31</v>
      </c>
      <c r="AS763" s="74" t="n">
        <v>74.5</v>
      </c>
      <c r="AT763" s="74" t="n">
        <v>65.51000000000001</v>
      </c>
      <c r="AU763" s="74" t="n">
        <v>62.1</v>
      </c>
      <c r="AV763" s="74" t="n">
        <v>8.931312</v>
      </c>
      <c r="AW763" s="74" t="n">
        <v>11.210213004</v>
      </c>
      <c r="AX763" s="75" t="n">
        <v>96</v>
      </c>
      <c r="AY763" s="71" t="n">
        <v>8390000</v>
      </c>
      <c r="AZ763" s="71" t="n">
        <v>8390000</v>
      </c>
      <c r="BA763" s="71" t="n">
        <v>558207</v>
      </c>
      <c r="BB763" s="71" t="n">
        <v>552498.1</v>
      </c>
      <c r="BC763" s="69" t="inlineStr">
        <is>
          <t>Refinance</t>
        </is>
      </c>
      <c r="BD763" s="69" t="inlineStr">
        <is>
          <t>N</t>
        </is>
      </c>
      <c r="BE763" s="71" t="n"/>
      <c r="BF763" s="71" t="n"/>
      <c r="BG763" s="71" t="n"/>
      <c r="BH763" s="71" t="n">
        <v>0</v>
      </c>
      <c r="BI763" s="71" t="n">
        <v>0</v>
      </c>
      <c r="BJ763" s="69" t="inlineStr">
        <is>
          <t>N</t>
        </is>
      </c>
      <c r="BK763" s="69" t="inlineStr">
        <is>
          <t>Whole Foods #SAS</t>
        </is>
      </c>
      <c r="BL763" s="75" t="n">
        <v>67.20999999999999</v>
      </c>
      <c r="BM763" s="73" t="n">
        <v>50405</v>
      </c>
      <c r="BN763" s="69" t="inlineStr">
        <is>
          <t>Victory Real Estate Investments, LLC</t>
        </is>
      </c>
      <c r="BO763" s="69" t="inlineStr">
        <is>
          <t>Rialto</t>
        </is>
      </c>
      <c r="BP763" s="69" t="inlineStr">
        <is>
          <t>Midland Loan Services</t>
        </is>
      </c>
      <c r="BQ763" s="69" t="inlineStr">
        <is>
          <t>K-Star Asset Management LLC</t>
        </is>
      </c>
      <c r="BR763" s="69" t="n"/>
      <c r="BS763" s="73" t="n">
        <v>46276</v>
      </c>
      <c r="BU763" s="76">
        <f>IF($C763="","",IFERROR(INDEX(dmName,MATCH($C763,dmID,0)),"Unmapped"))</f>
        <v/>
      </c>
      <c r="BV763" s="76">
        <f>IF($C763="","",IFERROR(INDEX(dmEntity,MATCH($C763,dmID,0)),"Unmapped"))</f>
        <v/>
      </c>
      <c r="BW763" s="77">
        <f>IF($C763="","",IFERROR(INDEX(dmVintage,MATCH($C763,dmID,0)),""))</f>
        <v/>
      </c>
      <c r="BX763" s="78">
        <f>IFERROR(INDEX(dmInclude,MATCH($C763,dmID,0)),0)</f>
        <v/>
      </c>
      <c r="BY763" s="78">
        <f>IF(N($I763)&gt;0,1,0)</f>
        <v/>
      </c>
      <c r="BZ763" s="76">
        <f>IF($AJ763="","Other / Leased Fee",IFERROR(INDEX(mapPTGroup,MATCH(LEFT(TRIM($AJ763),2),mapPTCode,0)),"Other / Leased Fee"))</f>
        <v/>
      </c>
      <c r="CA763" s="76">
        <f>IF(TRIM($AF763&amp;"")="","NR",LEFT(TRIM($AF763),2))</f>
        <v/>
      </c>
      <c r="CB763" s="76">
        <f>IFERROR(LOOKUP(2,1/(LEFT(TRIM($AI763&amp;""),LEN(mapRegion))=mapRegion),mapRegion),"Not Reported")</f>
        <v/>
      </c>
      <c r="CC763" s="76">
        <f>IF($BY763=0,"",IF(TRIM($W763&amp;"")="REO","REO",IF(TRIM($W763&amp;"")="FC","Foreclosure",IF(TRIM($W763&amp;"")="90+","90+ Days Delinquent",IF(TRIM($W763&amp;"")="60","60 Days Delinquent",IF(TRIM($W763&amp;"")="30","30 Days Delinquent",IF($X763="Non-Performing Matured Balloon","Non-Performing Matured Balloon",IF(OR($X763="Late Payment But Less Than 30 Days Delinquent",LEFT($X763&amp;"",20)="Payment Not Received"),"Late / In Grace (&lt;30 Days)",IF($X763="Performing Matured Balloon","Performing Matured Balloon","Current")))))))))</f>
        <v/>
      </c>
      <c r="CD763" s="78">
        <f>IF(OR($CC763="REO",$CC763="Foreclosure",$CC763="90+ Days Delinquent",$CC763="60 Days Delinquent",$CC763="30 Days Delinquent",$CC763="Non-Performing Matured Balloon"),1,0)</f>
        <v/>
      </c>
      <c r="CE763" s="76">
        <f>IF($AB763="Currently special serv","Currently Specially Serviced",IF($AB763="Returned to master serv","Previously Specially Serviced","Never Specially Serviced"))</f>
        <v/>
      </c>
      <c r="CF763" s="78">
        <f>IF($CE763="Currently Specially Serviced",1,0)</f>
        <v/>
      </c>
      <c r="CG763" s="76">
        <f>IF($AA763="Yes","Currently on Watchlist",IF($AA763="Previously","Previously on Watchlist","Never on Watchlist"))</f>
        <v/>
      </c>
      <c r="CH763" s="78">
        <f>IF($CG763="Currently on Watchlist",1,0)</f>
        <v/>
      </c>
      <c r="CI763" s="76">
        <f>IF($Z763="Full Defeasance","Fully Defeased",IF($Z763="Portion Of Loan Previously Defeased","Partially Defeased",IF($Z763="Defeasance Not Allowable","Not Defeased (Not Permitted)","Not Defeased")))</f>
        <v/>
      </c>
      <c r="CJ763" s="78">
        <f>IF($CI763="Fully Defeased",1,0)</f>
        <v/>
      </c>
      <c r="CK763" s="76">
        <f>IF($R763="IO","Full IO",IF(LEFT($R763&amp;"",7)="IO then","Partial IO","Amortizing"))</f>
        <v/>
      </c>
      <c r="CL763" s="78">
        <f>IF($CK763="Full IO",1,0)</f>
        <v/>
      </c>
      <c r="CM763" s="78">
        <f>IF($CK763="Partial IO",1,0)</f>
        <v/>
      </c>
      <c r="CN763" s="76">
        <f>IF(LEFT($F763&amp;"",10)="SPLIT_LOAN","Pari Passu Split","Standalone")</f>
        <v/>
      </c>
      <c r="CO763" s="78">
        <f>IF($CN763="Pari Passu Split",1,0)</f>
        <v/>
      </c>
      <c r="CP763" s="77">
        <f>IF(ISNUMBER($T763),YEAR($T763),"")</f>
        <v/>
      </c>
      <c r="CQ763" s="79">
        <f>IF(ISNUMBER($V763),$V763,IF(ISNUMBER($U763),$U763,""))</f>
        <v/>
      </c>
      <c r="CR763" s="77">
        <f>IF(ISNUMBER($CQ763),YEAR($CQ763),"")</f>
        <v/>
      </c>
      <c r="CS763" s="78">
        <f>IF(ISNUMBER($M763),MAX(0,$M763),IF(TRIM($M763&amp;"")="matured",0,""))</f>
        <v/>
      </c>
      <c r="CT763" s="78">
        <f>IF(AND(ISNUMBER($CS763),N($CS763)&lt;=mMatWindow),1,0)</f>
        <v/>
      </c>
      <c r="CU763" s="80">
        <f>IF(ISNUMBER($J763),$J763/100,"")</f>
        <v/>
      </c>
      <c r="CV763" s="81">
        <f>IF(ISNUMBER($AQ763),$AQ763,"")</f>
        <v/>
      </c>
      <c r="CW763" s="81">
        <f>IF(ISNUMBER($AR763),$AR763,"")</f>
        <v/>
      </c>
      <c r="CX763" s="82">
        <f>IF(ISNUMBER($AS763),$AS763/100,"")</f>
        <v/>
      </c>
      <c r="CY763" s="82">
        <f>IF(ISNUMBER($AT763),$AT763/100,"")</f>
        <v/>
      </c>
      <c r="CZ763" s="82">
        <f>IF(ISNUMBER($AU763),$AU763/100,"")</f>
        <v/>
      </c>
      <c r="DA763" s="82">
        <f>IF(ISNUMBER($AV763),$AV763/100,"")</f>
        <v/>
      </c>
      <c r="DB763" s="82">
        <f>IF(ISNUMBER($AW763),$AW763/100,"")</f>
        <v/>
      </c>
      <c r="DC763" s="82">
        <f>IF(ISNUMBER($AX763),$AX763/100,"")</f>
        <v/>
      </c>
      <c r="DD763" s="77">
        <f>IFERROR(VALUE(LEFT(TRIM($AO763&amp;""),4)),"")</f>
        <v/>
      </c>
      <c r="DE763" s="78">
        <f>IF(AND($BY763=1,$BX763=1,OR(fDeal="All Deals",$BU763=fDeal),OR(fEntity="All Entities",$BV763=fEntity),OR(fPType="All Property Types",$BZ763=fPType),OR(fDefeased="Include",$CJ763=0)),1,0)</f>
        <v/>
      </c>
      <c r="DF763" s="83">
        <f>$DE763*N($I763)</f>
        <v/>
      </c>
      <c r="DG763" s="78">
        <f>IF($DE763=1,IF(COUNTIFS($F$8:$F763,$F763,$DE$8:$DE763,1)=1,1,0),0)</f>
        <v/>
      </c>
      <c r="DH763" s="83">
        <f>IF($DG763=1,SUMIFS($DF$8:$DF$1600,$F$8:$F$1600,$F763),0)</f>
        <v/>
      </c>
      <c r="DI763" s="78">
        <f>IF($DG763=1,COUNTIFS($F$8:$F$1600,$F763,$DE$8:$DE$1600,1),0)</f>
        <v/>
      </c>
      <c r="DJ763" s="84">
        <f>IF($DG763=1,$DH763+(100000-ROW())/mTieBreak,0)</f>
        <v/>
      </c>
    </row>
    <row r="764">
      <c r="B764" s="68" t="n">
        <v>35</v>
      </c>
      <c r="C764" s="69" t="inlineStr">
        <is>
          <t>UBS18C15</t>
        </is>
      </c>
      <c r="D764" s="69" t="inlineStr">
        <is>
          <t>35.000</t>
        </is>
      </c>
      <c r="E764" s="69" t="inlineStr">
        <is>
          <t>Best Western Plus Lake Lanier Hotel &amp; Suites</t>
        </is>
      </c>
      <c r="F764" s="69" t="inlineStr">
        <is>
          <t>LNUBS18C15-35.000</t>
        </is>
      </c>
      <c r="G764" s="70" t="n"/>
      <c r="H764" s="71" t="n">
        <v>5250000</v>
      </c>
      <c r="I764" s="71" t="n">
        <v>4347346.77999825</v>
      </c>
      <c r="J764" s="72" t="n">
        <v>5.6556</v>
      </c>
      <c r="K764" s="69" t="inlineStr">
        <is>
          <t>Fixed rate</t>
        </is>
      </c>
      <c r="L764" s="68" t="n">
        <v>120</v>
      </c>
      <c r="M764" s="68" t="n">
        <v>26</v>
      </c>
      <c r="N764" s="68" t="n">
        <v>300</v>
      </c>
      <c r="O764" s="68" t="n"/>
      <c r="P764" s="68" t="n"/>
      <c r="Q764" s="68" t="n">
        <v>94</v>
      </c>
      <c r="R764" s="69" t="n"/>
      <c r="S764" s="69" t="inlineStr">
        <is>
          <t>No</t>
        </is>
      </c>
      <c r="T764" s="73" t="n">
        <v>43405</v>
      </c>
      <c r="U764" s="73" t="n">
        <v>47063</v>
      </c>
      <c r="V764" s="73" t="n"/>
      <c r="W764" s="69" t="n"/>
      <c r="X764" s="69" t="inlineStr">
        <is>
          <t>Current</t>
        </is>
      </c>
      <c r="Y764" s="68" t="n"/>
      <c r="Z764" s="69" t="inlineStr">
        <is>
          <t>Defeasance Not Allowable</t>
        </is>
      </c>
      <c r="AA764" s="69" t="inlineStr">
        <is>
          <t>Previously</t>
        </is>
      </c>
      <c r="AB764" s="69" t="inlineStr">
        <is>
          <t>Never special serv</t>
        </is>
      </c>
      <c r="AC764" s="73" t="n"/>
      <c r="AD764" s="69" t="n"/>
      <c r="AE764" s="69" t="n"/>
      <c r="AF764" s="69" t="inlineStr">
        <is>
          <t>GA</t>
        </is>
      </c>
      <c r="AG764" s="69" t="inlineStr">
        <is>
          <t>Oakwood</t>
        </is>
      </c>
      <c r="AH764" s="69" t="inlineStr">
        <is>
          <t>Gainesville, GA</t>
        </is>
      </c>
      <c r="AI764" s="69" t="inlineStr">
        <is>
          <t>South / Atlantic</t>
        </is>
      </c>
      <c r="AJ764" s="69" t="inlineStr">
        <is>
          <t>HT</t>
        </is>
      </c>
      <c r="AK764" s="69" t="inlineStr">
        <is>
          <t>Limited Service</t>
        </is>
      </c>
      <c r="AL764" s="68" t="n">
        <v>1</v>
      </c>
      <c r="AM764" s="68" t="n">
        <v>62</v>
      </c>
      <c r="AN764" s="68" t="n"/>
      <c r="AO764" s="69" t="inlineStr">
        <is>
          <t>1997</t>
        </is>
      </c>
      <c r="AP764" s="70" t="n">
        <v>2017</v>
      </c>
      <c r="AQ764" s="74" t="n">
        <v>2.01</v>
      </c>
      <c r="AR764" s="74" t="n">
        <v>1.68</v>
      </c>
      <c r="AS764" s="74" t="n">
        <v>65.5</v>
      </c>
      <c r="AT764" s="74" t="n">
        <v>54.34</v>
      </c>
      <c r="AU764" s="74" t="n">
        <v>50.2</v>
      </c>
      <c r="AV764" s="74" t="n">
        <v>15.004966095</v>
      </c>
      <c r="AW764" s="74" t="n">
        <v>15.170124064</v>
      </c>
      <c r="AX764" s="75" t="n">
        <v>83</v>
      </c>
      <c r="AY764" s="71" t="n">
        <v>8000000</v>
      </c>
      <c r="AZ764" s="71" t="n">
        <v>8000000</v>
      </c>
      <c r="BA764" s="71" t="n">
        <v>787760.72</v>
      </c>
      <c r="BB764" s="71" t="n">
        <v>659497.9</v>
      </c>
      <c r="BC764" s="69" t="inlineStr">
        <is>
          <t>Refinance</t>
        </is>
      </c>
      <c r="BD764" s="69" t="inlineStr">
        <is>
          <t>N</t>
        </is>
      </c>
      <c r="BE764" s="71" t="n"/>
      <c r="BF764" s="71" t="n"/>
      <c r="BG764" s="71" t="n"/>
      <c r="BH764" s="71" t="n">
        <v>0</v>
      </c>
      <c r="BI764" s="71" t="n">
        <v>0</v>
      </c>
      <c r="BJ764" s="69" t="inlineStr">
        <is>
          <t>N</t>
        </is>
      </c>
      <c r="BK764" s="69" t="n"/>
      <c r="BL764" s="75" t="n"/>
      <c r="BM764" s="73" t="n"/>
      <c r="BN764" s="69" t="inlineStr">
        <is>
          <t>Mayur Patel</t>
        </is>
      </c>
      <c r="BO764" s="69" t="inlineStr">
        <is>
          <t>UBS</t>
        </is>
      </c>
      <c r="BP764" s="69" t="inlineStr">
        <is>
          <t>Midland Loan Services</t>
        </is>
      </c>
      <c r="BQ764" s="69" t="inlineStr">
        <is>
          <t>K-Star Asset Management LLC</t>
        </is>
      </c>
      <c r="BR764" s="69" t="n"/>
      <c r="BS764" s="73" t="n">
        <v>46276</v>
      </c>
      <c r="BU764" s="76">
        <f>IF($C764="","",IFERROR(INDEX(dmName,MATCH($C764,dmID,0)),"Unmapped"))</f>
        <v/>
      </c>
      <c r="BV764" s="76">
        <f>IF($C764="","",IFERROR(INDEX(dmEntity,MATCH($C764,dmID,0)),"Unmapped"))</f>
        <v/>
      </c>
      <c r="BW764" s="77">
        <f>IF($C764="","",IFERROR(INDEX(dmVintage,MATCH($C764,dmID,0)),""))</f>
        <v/>
      </c>
      <c r="BX764" s="78">
        <f>IFERROR(INDEX(dmInclude,MATCH($C764,dmID,0)),0)</f>
        <v/>
      </c>
      <c r="BY764" s="78">
        <f>IF(N($I764)&gt;0,1,0)</f>
        <v/>
      </c>
      <c r="BZ764" s="76">
        <f>IF($AJ764="","Other / Leased Fee",IFERROR(INDEX(mapPTGroup,MATCH(LEFT(TRIM($AJ764),2),mapPTCode,0)),"Other / Leased Fee"))</f>
        <v/>
      </c>
      <c r="CA764" s="76">
        <f>IF(TRIM($AF764&amp;"")="","NR",LEFT(TRIM($AF764),2))</f>
        <v/>
      </c>
      <c r="CB764" s="76">
        <f>IFERROR(LOOKUP(2,1/(LEFT(TRIM($AI764&amp;""),LEN(mapRegion))=mapRegion),mapRegion),"Not Reported")</f>
        <v/>
      </c>
      <c r="CC764" s="76">
        <f>IF($BY764=0,"",IF(TRIM($W764&amp;"")="REO","REO",IF(TRIM($W764&amp;"")="FC","Foreclosure",IF(TRIM($W764&amp;"")="90+","90+ Days Delinquent",IF(TRIM($W764&amp;"")="60","60 Days Delinquent",IF(TRIM($W764&amp;"")="30","30 Days Delinquent",IF($X764="Non-Performing Matured Balloon","Non-Performing Matured Balloon",IF(OR($X764="Late Payment But Less Than 30 Days Delinquent",LEFT($X764&amp;"",20)="Payment Not Received"),"Late / In Grace (&lt;30 Days)",IF($X764="Performing Matured Balloon","Performing Matured Balloon","Current")))))))))</f>
        <v/>
      </c>
      <c r="CD764" s="78">
        <f>IF(OR($CC764="REO",$CC764="Foreclosure",$CC764="90+ Days Delinquent",$CC764="60 Days Delinquent",$CC764="30 Days Delinquent",$CC764="Non-Performing Matured Balloon"),1,0)</f>
        <v/>
      </c>
      <c r="CE764" s="76">
        <f>IF($AB764="Currently special serv","Currently Specially Serviced",IF($AB764="Returned to master serv","Previously Specially Serviced","Never Specially Serviced"))</f>
        <v/>
      </c>
      <c r="CF764" s="78">
        <f>IF($CE764="Currently Specially Serviced",1,0)</f>
        <v/>
      </c>
      <c r="CG764" s="76">
        <f>IF($AA764="Yes","Currently on Watchlist",IF($AA764="Previously","Previously on Watchlist","Never on Watchlist"))</f>
        <v/>
      </c>
      <c r="CH764" s="78">
        <f>IF($CG764="Currently on Watchlist",1,0)</f>
        <v/>
      </c>
      <c r="CI764" s="76">
        <f>IF($Z764="Full Defeasance","Fully Defeased",IF($Z764="Portion Of Loan Previously Defeased","Partially Defeased",IF($Z764="Defeasance Not Allowable","Not Defeased (Not Permitted)","Not Defeased")))</f>
        <v/>
      </c>
      <c r="CJ764" s="78">
        <f>IF($CI764="Fully Defeased",1,0)</f>
        <v/>
      </c>
      <c r="CK764" s="76">
        <f>IF($R764="IO","Full IO",IF(LEFT($R764&amp;"",7)="IO then","Partial IO","Amortizing"))</f>
        <v/>
      </c>
      <c r="CL764" s="78">
        <f>IF($CK764="Full IO",1,0)</f>
        <v/>
      </c>
      <c r="CM764" s="78">
        <f>IF($CK764="Partial IO",1,0)</f>
        <v/>
      </c>
      <c r="CN764" s="76">
        <f>IF(LEFT($F764&amp;"",10)="SPLIT_LOAN","Pari Passu Split","Standalone")</f>
        <v/>
      </c>
      <c r="CO764" s="78">
        <f>IF($CN764="Pari Passu Split",1,0)</f>
        <v/>
      </c>
      <c r="CP764" s="77">
        <f>IF(ISNUMBER($T764),YEAR($T764),"")</f>
        <v/>
      </c>
      <c r="CQ764" s="79">
        <f>IF(ISNUMBER($V764),$V764,IF(ISNUMBER($U764),$U764,""))</f>
        <v/>
      </c>
      <c r="CR764" s="77">
        <f>IF(ISNUMBER($CQ764),YEAR($CQ764),"")</f>
        <v/>
      </c>
      <c r="CS764" s="78">
        <f>IF(ISNUMBER($M764),MAX(0,$M764),IF(TRIM($M764&amp;"")="matured",0,""))</f>
        <v/>
      </c>
      <c r="CT764" s="78">
        <f>IF(AND(ISNUMBER($CS764),N($CS764)&lt;=mMatWindow),1,0)</f>
        <v/>
      </c>
      <c r="CU764" s="80">
        <f>IF(ISNUMBER($J764),$J764/100,"")</f>
        <v/>
      </c>
      <c r="CV764" s="81">
        <f>IF(ISNUMBER($AQ764),$AQ764,"")</f>
        <v/>
      </c>
      <c r="CW764" s="81">
        <f>IF(ISNUMBER($AR764),$AR764,"")</f>
        <v/>
      </c>
      <c r="CX764" s="82">
        <f>IF(ISNUMBER($AS764),$AS764/100,"")</f>
        <v/>
      </c>
      <c r="CY764" s="82">
        <f>IF(ISNUMBER($AT764),$AT764/100,"")</f>
        <v/>
      </c>
      <c r="CZ764" s="82">
        <f>IF(ISNUMBER($AU764),$AU764/100,"")</f>
        <v/>
      </c>
      <c r="DA764" s="82">
        <f>IF(ISNUMBER($AV764),$AV764/100,"")</f>
        <v/>
      </c>
      <c r="DB764" s="82">
        <f>IF(ISNUMBER($AW764),$AW764/100,"")</f>
        <v/>
      </c>
      <c r="DC764" s="82">
        <f>IF(ISNUMBER($AX764),$AX764/100,"")</f>
        <v/>
      </c>
      <c r="DD764" s="77">
        <f>IFERROR(VALUE(LEFT(TRIM($AO764&amp;""),4)),"")</f>
        <v/>
      </c>
      <c r="DE764" s="78">
        <f>IF(AND($BY764=1,$BX764=1,OR(fDeal="All Deals",$BU764=fDeal),OR(fEntity="All Entities",$BV764=fEntity),OR(fPType="All Property Types",$BZ764=fPType),OR(fDefeased="Include",$CJ764=0)),1,0)</f>
        <v/>
      </c>
      <c r="DF764" s="83">
        <f>$DE764*N($I764)</f>
        <v/>
      </c>
      <c r="DG764" s="78">
        <f>IF($DE764=1,IF(COUNTIFS($F$8:$F764,$F764,$DE$8:$DE764,1)=1,1,0),0)</f>
        <v/>
      </c>
      <c r="DH764" s="83">
        <f>IF($DG764=1,SUMIFS($DF$8:$DF$1600,$F$8:$F$1600,$F764),0)</f>
        <v/>
      </c>
      <c r="DI764" s="78">
        <f>IF($DG764=1,COUNTIFS($F$8:$F$1600,$F764,$DE$8:$DE$1600,1),0)</f>
        <v/>
      </c>
      <c r="DJ764" s="84">
        <f>IF($DG764=1,$DH764+(100000-ROW())/mTieBreak,0)</f>
        <v/>
      </c>
    </row>
    <row r="765">
      <c r="B765" s="68" t="n">
        <v>36</v>
      </c>
      <c r="C765" s="69" t="inlineStr">
        <is>
          <t>UBS18C15</t>
        </is>
      </c>
      <c r="D765" s="69" t="inlineStr">
        <is>
          <t>36.000</t>
        </is>
      </c>
      <c r="E765" s="69" t="inlineStr">
        <is>
          <t>Hampton Inn - Derby</t>
        </is>
      </c>
      <c r="F765" s="69" t="inlineStr">
        <is>
          <t>LNUBS18C15-36.000</t>
        </is>
      </c>
      <c r="G765" s="70" t="n"/>
      <c r="H765" s="71" t="n">
        <v>5000000</v>
      </c>
      <c r="I765" s="71" t="n">
        <v>0</v>
      </c>
      <c r="J765" s="72" t="n">
        <v>5.8893</v>
      </c>
      <c r="K765" s="69" t="inlineStr">
        <is>
          <t>Fixed rate</t>
        </is>
      </c>
      <c r="L765" s="68" t="n">
        <v>120</v>
      </c>
      <c r="M765" s="68" t="n"/>
      <c r="N765" s="68" t="n">
        <v>300</v>
      </c>
      <c r="O765" s="68" t="n"/>
      <c r="P765" s="68" t="n"/>
      <c r="Q765" s="68" t="n"/>
      <c r="R765" s="69" t="n"/>
      <c r="S765" s="69" t="inlineStr">
        <is>
          <t>No</t>
        </is>
      </c>
      <c r="T765" s="73" t="n">
        <v>43405</v>
      </c>
      <c r="U765" s="73" t="n">
        <v>47063</v>
      </c>
      <c r="V765" s="73" t="n"/>
      <c r="W765" s="69" t="n"/>
      <c r="X765" s="69" t="inlineStr">
        <is>
          <t>Current</t>
        </is>
      </c>
      <c r="Y765" s="68" t="n"/>
      <c r="Z765" s="69" t="inlineStr">
        <is>
          <t>Defeasance Not Allowable</t>
        </is>
      </c>
      <c r="AA765" s="69" t="inlineStr">
        <is>
          <t>Previously</t>
        </is>
      </c>
      <c r="AB765" s="69" t="inlineStr">
        <is>
          <t>Currently special serv</t>
        </is>
      </c>
      <c r="AC765" s="73" t="n">
        <v>43990</v>
      </c>
      <c r="AD765" s="69" t="inlineStr">
        <is>
          <t>Other</t>
        </is>
      </c>
      <c r="AE765" s="69" t="inlineStr">
        <is>
          <t>Resolved</t>
        </is>
      </c>
      <c r="AF765" s="69" t="inlineStr">
        <is>
          <t>KS</t>
        </is>
      </c>
      <c r="AG765" s="69" t="inlineStr">
        <is>
          <t>Derby</t>
        </is>
      </c>
      <c r="AH765" s="69" t="inlineStr">
        <is>
          <t>Wichita, KS</t>
        </is>
      </c>
      <c r="AI765" s="69" t="inlineStr">
        <is>
          <t>Midwest / Central West</t>
        </is>
      </c>
      <c r="AJ765" s="69" t="inlineStr">
        <is>
          <t>HT</t>
        </is>
      </c>
      <c r="AK765" s="69" t="inlineStr">
        <is>
          <t>Limited Service</t>
        </is>
      </c>
      <c r="AL765" s="68" t="n">
        <v>1</v>
      </c>
      <c r="AM765" s="68" t="n">
        <v>63</v>
      </c>
      <c r="AN765" s="68" t="n"/>
      <c r="AO765" s="69" t="inlineStr">
        <is>
          <t>2009</t>
        </is>
      </c>
      <c r="AP765" s="70" t="n">
        <v>2009</v>
      </c>
      <c r="AQ765" s="74" t="n">
        <v>1.56</v>
      </c>
      <c r="AR765" s="74" t="n">
        <v>-0.23</v>
      </c>
      <c r="AS765" s="74" t="n">
        <v>69.8</v>
      </c>
      <c r="AT765" s="74" t="n"/>
      <c r="AU765" s="74" t="n">
        <v>53.9</v>
      </c>
      <c r="AV765" s="74" t="n">
        <v>11.917451</v>
      </c>
      <c r="AW765" s="74" t="n"/>
      <c r="AX765" s="75" t="n">
        <v>53</v>
      </c>
      <c r="AY765" s="71" t="n">
        <v>7150000</v>
      </c>
      <c r="AZ765" s="71" t="n">
        <v>5500000</v>
      </c>
      <c r="BA765" s="71" t="n">
        <v>595872.55</v>
      </c>
      <c r="BB765" s="71" t="n">
        <v>-88373.7</v>
      </c>
      <c r="BC765" s="69" t="inlineStr">
        <is>
          <t>Refinance</t>
        </is>
      </c>
      <c r="BD765" s="69" t="inlineStr">
        <is>
          <t>N</t>
        </is>
      </c>
      <c r="BE765" s="71" t="n"/>
      <c r="BF765" s="71" t="n"/>
      <c r="BG765" s="71" t="n"/>
      <c r="BH765" s="71" t="n">
        <v>0</v>
      </c>
      <c r="BI765" s="71" t="n">
        <v>0</v>
      </c>
      <c r="BJ765" s="69" t="inlineStr">
        <is>
          <t>N</t>
        </is>
      </c>
      <c r="BK765" s="69" t="n"/>
      <c r="BL765" s="75" t="n"/>
      <c r="BM765" s="73" t="n"/>
      <c r="BN765" s="69" t="inlineStr">
        <is>
          <t>Johnson S. Parmar; Swayam P. Parmar</t>
        </is>
      </c>
      <c r="BO765" s="69" t="inlineStr">
        <is>
          <t>UBS</t>
        </is>
      </c>
      <c r="BP765" s="69" t="inlineStr">
        <is>
          <t>Midland Loan Services</t>
        </is>
      </c>
      <c r="BQ765" s="69" t="inlineStr">
        <is>
          <t>Midland Loan Services</t>
        </is>
      </c>
      <c r="BR765" s="69" t="inlineStr">
        <is>
          <t>DPO</t>
        </is>
      </c>
      <c r="BS765" s="73" t="n">
        <v>46276</v>
      </c>
      <c r="BU765" s="76">
        <f>IF($C765="","",IFERROR(INDEX(dmName,MATCH($C765,dmID,0)),"Unmapped"))</f>
        <v/>
      </c>
      <c r="BV765" s="76">
        <f>IF($C765="","",IFERROR(INDEX(dmEntity,MATCH($C765,dmID,0)),"Unmapped"))</f>
        <v/>
      </c>
      <c r="BW765" s="77">
        <f>IF($C765="","",IFERROR(INDEX(dmVintage,MATCH($C765,dmID,0)),""))</f>
        <v/>
      </c>
      <c r="BX765" s="78">
        <f>IFERROR(INDEX(dmInclude,MATCH($C765,dmID,0)),0)</f>
        <v/>
      </c>
      <c r="BY765" s="78">
        <f>IF(N($I765)&gt;0,1,0)</f>
        <v/>
      </c>
      <c r="BZ765" s="76">
        <f>IF($AJ765="","Other / Leased Fee",IFERROR(INDEX(mapPTGroup,MATCH(LEFT(TRIM($AJ765),2),mapPTCode,0)),"Other / Leased Fee"))</f>
        <v/>
      </c>
      <c r="CA765" s="76">
        <f>IF(TRIM($AF765&amp;"")="","NR",LEFT(TRIM($AF765),2))</f>
        <v/>
      </c>
      <c r="CB765" s="76">
        <f>IFERROR(LOOKUP(2,1/(LEFT(TRIM($AI765&amp;""),LEN(mapRegion))=mapRegion),mapRegion),"Not Reported")</f>
        <v/>
      </c>
      <c r="CC765" s="76">
        <f>IF($BY765=0,"",IF(TRIM($W765&amp;"")="REO","REO",IF(TRIM($W765&amp;"")="FC","Foreclosure",IF(TRIM($W765&amp;"")="90+","90+ Days Delinquent",IF(TRIM($W765&amp;"")="60","60 Days Delinquent",IF(TRIM($W765&amp;"")="30","30 Days Delinquent",IF($X765="Non-Performing Matured Balloon","Non-Performing Matured Balloon",IF(OR($X765="Late Payment But Less Than 30 Days Delinquent",LEFT($X765&amp;"",20)="Payment Not Received"),"Late / In Grace (&lt;30 Days)",IF($X765="Performing Matured Balloon","Performing Matured Balloon","Current")))))))))</f>
        <v/>
      </c>
      <c r="CD765" s="78">
        <f>IF(OR($CC765="REO",$CC765="Foreclosure",$CC765="90+ Days Delinquent",$CC765="60 Days Delinquent",$CC765="30 Days Delinquent",$CC765="Non-Performing Matured Balloon"),1,0)</f>
        <v/>
      </c>
      <c r="CE765" s="76">
        <f>IF($AB765="Currently special serv","Currently Specially Serviced",IF($AB765="Returned to master serv","Previously Specially Serviced","Never Specially Serviced"))</f>
        <v/>
      </c>
      <c r="CF765" s="78">
        <f>IF($CE765="Currently Specially Serviced",1,0)</f>
        <v/>
      </c>
      <c r="CG765" s="76">
        <f>IF($AA765="Yes","Currently on Watchlist",IF($AA765="Previously","Previously on Watchlist","Never on Watchlist"))</f>
        <v/>
      </c>
      <c r="CH765" s="78">
        <f>IF($CG765="Currently on Watchlist",1,0)</f>
        <v/>
      </c>
      <c r="CI765" s="76">
        <f>IF($Z765="Full Defeasance","Fully Defeased",IF($Z765="Portion Of Loan Previously Defeased","Partially Defeased",IF($Z765="Defeasance Not Allowable","Not Defeased (Not Permitted)","Not Defeased")))</f>
        <v/>
      </c>
      <c r="CJ765" s="78">
        <f>IF($CI765="Fully Defeased",1,0)</f>
        <v/>
      </c>
      <c r="CK765" s="76">
        <f>IF($R765="IO","Full IO",IF(LEFT($R765&amp;"",7)="IO then","Partial IO","Amortizing"))</f>
        <v/>
      </c>
      <c r="CL765" s="78">
        <f>IF($CK765="Full IO",1,0)</f>
        <v/>
      </c>
      <c r="CM765" s="78">
        <f>IF($CK765="Partial IO",1,0)</f>
        <v/>
      </c>
      <c r="CN765" s="76">
        <f>IF(LEFT($F765&amp;"",10)="SPLIT_LOAN","Pari Passu Split","Standalone")</f>
        <v/>
      </c>
      <c r="CO765" s="78">
        <f>IF($CN765="Pari Passu Split",1,0)</f>
        <v/>
      </c>
      <c r="CP765" s="77">
        <f>IF(ISNUMBER($T765),YEAR($T765),"")</f>
        <v/>
      </c>
      <c r="CQ765" s="79">
        <f>IF(ISNUMBER($V765),$V765,IF(ISNUMBER($U765),$U765,""))</f>
        <v/>
      </c>
      <c r="CR765" s="77">
        <f>IF(ISNUMBER($CQ765),YEAR($CQ765),"")</f>
        <v/>
      </c>
      <c r="CS765" s="78">
        <f>IF(ISNUMBER($M765),MAX(0,$M765),IF(TRIM($M765&amp;"")="matured",0,""))</f>
        <v/>
      </c>
      <c r="CT765" s="78">
        <f>IF(AND(ISNUMBER($CS765),N($CS765)&lt;=mMatWindow),1,0)</f>
        <v/>
      </c>
      <c r="CU765" s="80">
        <f>IF(ISNUMBER($J765),$J765/100,"")</f>
        <v/>
      </c>
      <c r="CV765" s="81">
        <f>IF(ISNUMBER($AQ765),$AQ765,"")</f>
        <v/>
      </c>
      <c r="CW765" s="81">
        <f>IF(ISNUMBER($AR765),$AR765,"")</f>
        <v/>
      </c>
      <c r="CX765" s="82">
        <f>IF(ISNUMBER($AS765),$AS765/100,"")</f>
        <v/>
      </c>
      <c r="CY765" s="82">
        <f>IF(ISNUMBER($AT765),$AT765/100,"")</f>
        <v/>
      </c>
      <c r="CZ765" s="82">
        <f>IF(ISNUMBER($AU765),$AU765/100,"")</f>
        <v/>
      </c>
      <c r="DA765" s="82">
        <f>IF(ISNUMBER($AV765),$AV765/100,"")</f>
        <v/>
      </c>
      <c r="DB765" s="82">
        <f>IF(ISNUMBER($AW765),$AW765/100,"")</f>
        <v/>
      </c>
      <c r="DC765" s="82">
        <f>IF(ISNUMBER($AX765),$AX765/100,"")</f>
        <v/>
      </c>
      <c r="DD765" s="77">
        <f>IFERROR(VALUE(LEFT(TRIM($AO765&amp;""),4)),"")</f>
        <v/>
      </c>
      <c r="DE765" s="78">
        <f>IF(AND($BY765=1,$BX765=1,OR(fDeal="All Deals",$BU765=fDeal),OR(fEntity="All Entities",$BV765=fEntity),OR(fPType="All Property Types",$BZ765=fPType),OR(fDefeased="Include",$CJ765=0)),1,0)</f>
        <v/>
      </c>
      <c r="DF765" s="83">
        <f>$DE765*N($I765)</f>
        <v/>
      </c>
      <c r="DG765" s="78">
        <f>IF($DE765=1,IF(COUNTIFS($F$8:$F765,$F765,$DE$8:$DE765,1)=1,1,0),0)</f>
        <v/>
      </c>
      <c r="DH765" s="83">
        <f>IF($DG765=1,SUMIFS($DF$8:$DF$1600,$F$8:$F$1600,$F765),0)</f>
        <v/>
      </c>
      <c r="DI765" s="78">
        <f>IF($DG765=1,COUNTIFS($F$8:$F$1600,$F765,$DE$8:$DE$1600,1),0)</f>
        <v/>
      </c>
      <c r="DJ765" s="84">
        <f>IF($DG765=1,$DH765+(100000-ROW())/mTieBreak,0)</f>
        <v/>
      </c>
    </row>
    <row r="766">
      <c r="B766" s="68" t="n">
        <v>37</v>
      </c>
      <c r="C766" s="69" t="inlineStr">
        <is>
          <t>UBS18C15</t>
        </is>
      </c>
      <c r="D766" s="69" t="inlineStr">
        <is>
          <t>37.000</t>
        </is>
      </c>
      <c r="E766" s="69" t="inlineStr">
        <is>
          <t>Marion Plaza</t>
        </is>
      </c>
      <c r="F766" s="69" t="inlineStr">
        <is>
          <t>LNUBS18C15-37.000</t>
        </is>
      </c>
      <c r="G766" s="70" t="n"/>
      <c r="H766" s="71" t="n">
        <v>4300000</v>
      </c>
      <c r="I766" s="71" t="n">
        <v>3813210.4300008</v>
      </c>
      <c r="J766" s="72" t="n">
        <v>5.7982</v>
      </c>
      <c r="K766" s="69" t="inlineStr">
        <is>
          <t>Fixed rate</t>
        </is>
      </c>
      <c r="L766" s="68" t="n">
        <v>120</v>
      </c>
      <c r="M766" s="68" t="n">
        <v>27</v>
      </c>
      <c r="N766" s="68" t="n">
        <v>360</v>
      </c>
      <c r="O766" s="68" t="n"/>
      <c r="P766" s="68" t="n"/>
      <c r="Q766" s="68" t="n">
        <v>93</v>
      </c>
      <c r="R766" s="69" t="n"/>
      <c r="S766" s="69" t="inlineStr">
        <is>
          <t>No</t>
        </is>
      </c>
      <c r="T766" s="73" t="n">
        <v>43435</v>
      </c>
      <c r="U766" s="73" t="n">
        <v>47093</v>
      </c>
      <c r="V766" s="73" t="n"/>
      <c r="W766" s="69" t="n"/>
      <c r="X766" s="69" t="inlineStr">
        <is>
          <t>Current</t>
        </is>
      </c>
      <c r="Y766" s="68" t="n"/>
      <c r="Z766" s="69" t="inlineStr">
        <is>
          <t>Defeasance Not Allowable</t>
        </is>
      </c>
      <c r="AA766" s="69" t="inlineStr">
        <is>
          <t>Yes</t>
        </is>
      </c>
      <c r="AB766" s="69" t="inlineStr">
        <is>
          <t>Never special serv</t>
        </is>
      </c>
      <c r="AC766" s="73" t="n"/>
      <c r="AD766" s="69" t="n"/>
      <c r="AE766" s="69" t="n"/>
      <c r="AF766" s="69" t="inlineStr">
        <is>
          <t>VA</t>
        </is>
      </c>
      <c r="AG766" s="69" t="inlineStr">
        <is>
          <t>Marion</t>
        </is>
      </c>
      <c r="AH766" s="69" t="n"/>
      <c r="AI766" s="69" t="inlineStr">
        <is>
          <t>South / Atlantic</t>
        </is>
      </c>
      <c r="AJ766" s="69" t="inlineStr">
        <is>
          <t>RT</t>
        </is>
      </c>
      <c r="AK766" s="69" t="inlineStr">
        <is>
          <t>Anchored</t>
        </is>
      </c>
      <c r="AL766" s="68" t="n">
        <v>1</v>
      </c>
      <c r="AM766" s="68" t="n"/>
      <c r="AN766" s="68" t="n">
        <v>121741</v>
      </c>
      <c r="AO766" s="69" t="inlineStr">
        <is>
          <t>1971</t>
        </is>
      </c>
      <c r="AP766" s="70" t="n">
        <v>2017</v>
      </c>
      <c r="AQ766" s="74" t="n">
        <v>1.44</v>
      </c>
      <c r="AR766" s="74" t="n">
        <v>1.72</v>
      </c>
      <c r="AS766" s="74" t="n">
        <v>64.2</v>
      </c>
      <c r="AT766" s="74" t="n">
        <v>56.91</v>
      </c>
      <c r="AU766" s="74" t="n">
        <v>54.1</v>
      </c>
      <c r="AV766" s="74" t="n">
        <v>10.116784651</v>
      </c>
      <c r="AW766" s="74" t="n">
        <v>12.304073395</v>
      </c>
      <c r="AX766" s="75" t="n">
        <v>99</v>
      </c>
      <c r="AY766" s="71" t="n">
        <v>6700000</v>
      </c>
      <c r="AZ766" s="71" t="n">
        <v>6700000</v>
      </c>
      <c r="BA766" s="71" t="n">
        <v>435021.74</v>
      </c>
      <c r="BB766" s="71" t="n">
        <v>519618.56</v>
      </c>
      <c r="BC766" s="69" t="inlineStr">
        <is>
          <t>Refinance</t>
        </is>
      </c>
      <c r="BD766" s="69" t="inlineStr">
        <is>
          <t>N</t>
        </is>
      </c>
      <c r="BE766" s="71" t="n"/>
      <c r="BF766" s="71" t="n"/>
      <c r="BG766" s="71" t="n"/>
      <c r="BH766" s="71" t="n">
        <v>0</v>
      </c>
      <c r="BI766" s="71" t="n">
        <v>0</v>
      </c>
      <c r="BJ766" s="69" t="inlineStr">
        <is>
          <t>N</t>
        </is>
      </c>
      <c r="BK766" s="69" t="inlineStr">
        <is>
          <t>Tractor Supply Inc.</t>
        </is>
      </c>
      <c r="BL766" s="75" t="n">
        <v>34.65</v>
      </c>
      <c r="BM766" s="73" t="n">
        <v>47848</v>
      </c>
      <c r="BN766" s="69" t="inlineStr">
        <is>
          <t>Joshua S. Peck</t>
        </is>
      </c>
      <c r="BO766" s="69" t="inlineStr">
        <is>
          <t>UBS</t>
        </is>
      </c>
      <c r="BP766" s="69" t="inlineStr">
        <is>
          <t>Midland Loan Services</t>
        </is>
      </c>
      <c r="BQ766" s="69" t="inlineStr">
        <is>
          <t>K-Star Asset Management LLC</t>
        </is>
      </c>
      <c r="BR766" s="69" t="n"/>
      <c r="BS766" s="73" t="n">
        <v>46276</v>
      </c>
      <c r="BU766" s="76">
        <f>IF($C766="","",IFERROR(INDEX(dmName,MATCH($C766,dmID,0)),"Unmapped"))</f>
        <v/>
      </c>
      <c r="BV766" s="76">
        <f>IF($C766="","",IFERROR(INDEX(dmEntity,MATCH($C766,dmID,0)),"Unmapped"))</f>
        <v/>
      </c>
      <c r="BW766" s="77">
        <f>IF($C766="","",IFERROR(INDEX(dmVintage,MATCH($C766,dmID,0)),""))</f>
        <v/>
      </c>
      <c r="BX766" s="78">
        <f>IFERROR(INDEX(dmInclude,MATCH($C766,dmID,0)),0)</f>
        <v/>
      </c>
      <c r="BY766" s="78">
        <f>IF(N($I766)&gt;0,1,0)</f>
        <v/>
      </c>
      <c r="BZ766" s="76">
        <f>IF($AJ766="","Other / Leased Fee",IFERROR(INDEX(mapPTGroup,MATCH(LEFT(TRIM($AJ766),2),mapPTCode,0)),"Other / Leased Fee"))</f>
        <v/>
      </c>
      <c r="CA766" s="76">
        <f>IF(TRIM($AF766&amp;"")="","NR",LEFT(TRIM($AF766),2))</f>
        <v/>
      </c>
      <c r="CB766" s="76">
        <f>IFERROR(LOOKUP(2,1/(LEFT(TRIM($AI766&amp;""),LEN(mapRegion))=mapRegion),mapRegion),"Not Reported")</f>
        <v/>
      </c>
      <c r="CC766" s="76">
        <f>IF($BY766=0,"",IF(TRIM($W766&amp;"")="REO","REO",IF(TRIM($W766&amp;"")="FC","Foreclosure",IF(TRIM($W766&amp;"")="90+","90+ Days Delinquent",IF(TRIM($W766&amp;"")="60","60 Days Delinquent",IF(TRIM($W766&amp;"")="30","30 Days Delinquent",IF($X766="Non-Performing Matured Balloon","Non-Performing Matured Balloon",IF(OR($X766="Late Payment But Less Than 30 Days Delinquent",LEFT($X766&amp;"",20)="Payment Not Received"),"Late / In Grace (&lt;30 Days)",IF($X766="Performing Matured Balloon","Performing Matured Balloon","Current")))))))))</f>
        <v/>
      </c>
      <c r="CD766" s="78">
        <f>IF(OR($CC766="REO",$CC766="Foreclosure",$CC766="90+ Days Delinquent",$CC766="60 Days Delinquent",$CC766="30 Days Delinquent",$CC766="Non-Performing Matured Balloon"),1,0)</f>
        <v/>
      </c>
      <c r="CE766" s="76">
        <f>IF($AB766="Currently special serv","Currently Specially Serviced",IF($AB766="Returned to master serv","Previously Specially Serviced","Never Specially Serviced"))</f>
        <v/>
      </c>
      <c r="CF766" s="78">
        <f>IF($CE766="Currently Specially Serviced",1,0)</f>
        <v/>
      </c>
      <c r="CG766" s="76">
        <f>IF($AA766="Yes","Currently on Watchlist",IF($AA766="Previously","Previously on Watchlist","Never on Watchlist"))</f>
        <v/>
      </c>
      <c r="CH766" s="78">
        <f>IF($CG766="Currently on Watchlist",1,0)</f>
        <v/>
      </c>
      <c r="CI766" s="76">
        <f>IF($Z766="Full Defeasance","Fully Defeased",IF($Z766="Portion Of Loan Previously Defeased","Partially Defeased",IF($Z766="Defeasance Not Allowable","Not Defeased (Not Permitted)","Not Defeased")))</f>
        <v/>
      </c>
      <c r="CJ766" s="78">
        <f>IF($CI766="Fully Defeased",1,0)</f>
        <v/>
      </c>
      <c r="CK766" s="76">
        <f>IF($R766="IO","Full IO",IF(LEFT($R766&amp;"",7)="IO then","Partial IO","Amortizing"))</f>
        <v/>
      </c>
      <c r="CL766" s="78">
        <f>IF($CK766="Full IO",1,0)</f>
        <v/>
      </c>
      <c r="CM766" s="78">
        <f>IF($CK766="Partial IO",1,0)</f>
        <v/>
      </c>
      <c r="CN766" s="76">
        <f>IF(LEFT($F766&amp;"",10)="SPLIT_LOAN","Pari Passu Split","Standalone")</f>
        <v/>
      </c>
      <c r="CO766" s="78">
        <f>IF($CN766="Pari Passu Split",1,0)</f>
        <v/>
      </c>
      <c r="CP766" s="77">
        <f>IF(ISNUMBER($T766),YEAR($T766),"")</f>
        <v/>
      </c>
      <c r="CQ766" s="79">
        <f>IF(ISNUMBER($V766),$V766,IF(ISNUMBER($U766),$U766,""))</f>
        <v/>
      </c>
      <c r="CR766" s="77">
        <f>IF(ISNUMBER($CQ766),YEAR($CQ766),"")</f>
        <v/>
      </c>
      <c r="CS766" s="78">
        <f>IF(ISNUMBER($M766),MAX(0,$M766),IF(TRIM($M766&amp;"")="matured",0,""))</f>
        <v/>
      </c>
      <c r="CT766" s="78">
        <f>IF(AND(ISNUMBER($CS766),N($CS766)&lt;=mMatWindow),1,0)</f>
        <v/>
      </c>
      <c r="CU766" s="80">
        <f>IF(ISNUMBER($J766),$J766/100,"")</f>
        <v/>
      </c>
      <c r="CV766" s="81">
        <f>IF(ISNUMBER($AQ766),$AQ766,"")</f>
        <v/>
      </c>
      <c r="CW766" s="81">
        <f>IF(ISNUMBER($AR766),$AR766,"")</f>
        <v/>
      </c>
      <c r="CX766" s="82">
        <f>IF(ISNUMBER($AS766),$AS766/100,"")</f>
        <v/>
      </c>
      <c r="CY766" s="82">
        <f>IF(ISNUMBER($AT766),$AT766/100,"")</f>
        <v/>
      </c>
      <c r="CZ766" s="82">
        <f>IF(ISNUMBER($AU766),$AU766/100,"")</f>
        <v/>
      </c>
      <c r="DA766" s="82">
        <f>IF(ISNUMBER($AV766),$AV766/100,"")</f>
        <v/>
      </c>
      <c r="DB766" s="82">
        <f>IF(ISNUMBER($AW766),$AW766/100,"")</f>
        <v/>
      </c>
      <c r="DC766" s="82">
        <f>IF(ISNUMBER($AX766),$AX766/100,"")</f>
        <v/>
      </c>
      <c r="DD766" s="77">
        <f>IFERROR(VALUE(LEFT(TRIM($AO766&amp;""),4)),"")</f>
        <v/>
      </c>
      <c r="DE766" s="78">
        <f>IF(AND($BY766=1,$BX766=1,OR(fDeal="All Deals",$BU766=fDeal),OR(fEntity="All Entities",$BV766=fEntity),OR(fPType="All Property Types",$BZ766=fPType),OR(fDefeased="Include",$CJ766=0)),1,0)</f>
        <v/>
      </c>
      <c r="DF766" s="83">
        <f>$DE766*N($I766)</f>
        <v/>
      </c>
      <c r="DG766" s="78">
        <f>IF($DE766=1,IF(COUNTIFS($F$8:$F766,$F766,$DE$8:$DE766,1)=1,1,0),0)</f>
        <v/>
      </c>
      <c r="DH766" s="83">
        <f>IF($DG766=1,SUMIFS($DF$8:$DF$1600,$F$8:$F$1600,$F766),0)</f>
        <v/>
      </c>
      <c r="DI766" s="78">
        <f>IF($DG766=1,COUNTIFS($F$8:$F$1600,$F766,$DE$8:$DE$1600,1),0)</f>
        <v/>
      </c>
      <c r="DJ766" s="84">
        <f>IF($DG766=1,$DH766+(100000-ROW())/mTieBreak,0)</f>
        <v/>
      </c>
    </row>
    <row r="767">
      <c r="B767" s="68" t="n">
        <v>38</v>
      </c>
      <c r="C767" s="69" t="inlineStr">
        <is>
          <t>UBS18C15</t>
        </is>
      </c>
      <c r="D767" s="69" t="inlineStr">
        <is>
          <t>38.000</t>
        </is>
      </c>
      <c r="E767" s="69" t="inlineStr">
        <is>
          <t>ExchangeRight Net Leased Portfolio 24</t>
        </is>
      </c>
      <c r="F767" s="69" t="inlineStr">
        <is>
          <t>SPLIT_LOAN_01466</t>
        </is>
      </c>
      <c r="G767" s="70" t="n">
        <v>1466</v>
      </c>
      <c r="H767" s="71" t="n">
        <v>4165000</v>
      </c>
      <c r="I767" s="71" t="n">
        <v>4165000</v>
      </c>
      <c r="J767" s="72" t="n">
        <v>4.55</v>
      </c>
      <c r="K767" s="69" t="inlineStr">
        <is>
          <t>Fixed rate</t>
        </is>
      </c>
      <c r="L767" s="68" t="n">
        <v>120</v>
      </c>
      <c r="M767" s="68" t="n">
        <v>26</v>
      </c>
      <c r="N767" s="68" t="n">
        <v>120</v>
      </c>
      <c r="O767" s="68" t="n">
        <v>120</v>
      </c>
      <c r="P767" s="68" t="n">
        <v>26</v>
      </c>
      <c r="Q767" s="68" t="n">
        <v>94</v>
      </c>
      <c r="R767" s="69" t="inlineStr">
        <is>
          <t>IO</t>
        </is>
      </c>
      <c r="S767" s="69" t="inlineStr">
        <is>
          <t>Yes</t>
        </is>
      </c>
      <c r="T767" s="73" t="n">
        <v>43405</v>
      </c>
      <c r="U767" s="73" t="n">
        <v>47058</v>
      </c>
      <c r="V767" s="73" t="n"/>
      <c r="W767" s="69" t="n"/>
      <c r="X767" s="69" t="inlineStr">
        <is>
          <t>Current</t>
        </is>
      </c>
      <c r="Y767" s="68" t="n"/>
      <c r="Z767" s="69" t="inlineStr">
        <is>
          <t>No Defeasance Occurred</t>
        </is>
      </c>
      <c r="AA767" s="69" t="inlineStr">
        <is>
          <t>Yes</t>
        </is>
      </c>
      <c r="AB767" s="69" t="inlineStr">
        <is>
          <t>Never special serv</t>
        </is>
      </c>
      <c r="AC767" s="73" t="n"/>
      <c r="AD767" s="69" t="n"/>
      <c r="AE767" s="69" t="n"/>
      <c r="AF767" s="69" t="inlineStr">
        <is>
          <t>IL-22.521923595% TX-17.500230690% WI-11.309886407% IA-10.026769964% OH-9.003969486% TN-8.671651360% GA-7.870396140% NM-5.826640802% PA-5.494323156% FL-1.774208399%</t>
        </is>
      </c>
      <c r="AG767" s="69" t="n"/>
      <c r="AH767" s="69" t="inlineStr">
        <is>
          <t>Chicago-Naperville-Elgin, IL-IN-19.534754815% Des Moines-West Des Moines, IA-10.026769964% Nashville-Davidson--Murfreesboro--Franklin, TN-8.671651360% Atlanta-Sandy Springs-Roswell, GA-7.870396140% Cleveland, OH-7.338687377% Wisconsin Rapids-Marshfield, WI-5.952183179% Albuquerque, NM-5.826640802% Sheboygan, WI-5.357703228% Waco, TX-4.944152209% Austin-Round Rock-San Marcos, TX-4.578602390% Dallas-Fort Worth-Arlington, TX-4.578602390% Pittsburgh, PA-3.548417038% Brownsville-Harlingen, TX-3.398873701% Peoria, IL-2.987168780% Lancaster, PA-1.945906118% Tallahassee, FL-1.774208399% Mansfield, OH-1.665282109%</t>
        </is>
      </c>
      <c r="AI767" s="69" t="inlineStr">
        <is>
          <t>Midwest / Central East-42.835779489% South / Central West-17.500230690% Midwest / Central West-10.026769964% South / Atlantic-9.644604539% South / Central East-8.671651360% West / Mountain-5.826640802% Northeast / Mid-Atlantic-5.494323156%</t>
        </is>
      </c>
      <c r="AJ767" s="69" t="inlineStr">
        <is>
          <t>RT-77.902704975% OF-22.097295025%</t>
        </is>
      </c>
      <c r="AK767" s="69" t="n"/>
      <c r="AL767" s="68" t="n">
        <v>24</v>
      </c>
      <c r="AM767" s="68" t="n"/>
      <c r="AN767" s="68" t="n">
        <v>337478</v>
      </c>
      <c r="AO767" s="69" t="n"/>
      <c r="AP767" s="70" t="n">
        <v>2018</v>
      </c>
      <c r="AQ767" s="74" t="n">
        <v>2.04</v>
      </c>
      <c r="AR767" s="74" t="n">
        <v>2.02</v>
      </c>
      <c r="AS767" s="74" t="n">
        <v>62</v>
      </c>
      <c r="AT767" s="74" t="n">
        <v>62.02</v>
      </c>
      <c r="AU767" s="74" t="n">
        <v>62</v>
      </c>
      <c r="AV767" s="74" t="n">
        <v>9.401269472999999</v>
      </c>
      <c r="AW767" s="74" t="n">
        <v>9.544792448999999</v>
      </c>
      <c r="AX767" s="75" t="n">
        <v>100</v>
      </c>
      <c r="AY767" s="71" t="n">
        <v>87335000</v>
      </c>
      <c r="AZ767" s="71" t="n">
        <v>87335000</v>
      </c>
      <c r="BA767" s="71" t="n">
        <v>5092197.61</v>
      </c>
      <c r="BB767" s="71" t="n">
        <v>1261050.77</v>
      </c>
      <c r="BC767" s="69" t="inlineStr">
        <is>
          <t>Acquisition</t>
        </is>
      </c>
      <c r="BD767" s="69" t="inlineStr">
        <is>
          <t>N</t>
        </is>
      </c>
      <c r="BE767" s="71" t="n">
        <v>50000000</v>
      </c>
      <c r="BF767" s="71" t="n"/>
      <c r="BG767" s="71" t="n"/>
      <c r="BH767" s="71" t="n">
        <v>0</v>
      </c>
      <c r="BI767" s="71" t="n">
        <v>0</v>
      </c>
      <c r="BJ767" s="69" t="inlineStr">
        <is>
          <t>N</t>
        </is>
      </c>
      <c r="BK767" s="69" t="inlineStr">
        <is>
          <t>Walgreens</t>
        </is>
      </c>
      <c r="BL767" s="75" t="n">
        <v>30.02</v>
      </c>
      <c r="BM767" s="73" t="n">
        <v>46996</v>
      </c>
      <c r="BN767" s="69" t="inlineStr">
        <is>
          <t>ExchangeRight Real Estate, LLC; David Fisher; Joshua Ungerecht; Warren Thomas</t>
        </is>
      </c>
      <c r="BO767" s="69" t="inlineStr">
        <is>
          <t>Societe Generale</t>
        </is>
      </c>
      <c r="BP767" s="69" t="inlineStr">
        <is>
          <t>Midland Loan Services</t>
        </is>
      </c>
      <c r="BQ767" s="69" t="inlineStr">
        <is>
          <t>3650 REIT Loan Servicing LLC</t>
        </is>
      </c>
      <c r="BR767" s="69" t="n"/>
      <c r="BS767" s="73" t="n">
        <v>46276</v>
      </c>
      <c r="BU767" s="76">
        <f>IF($C767="","",IFERROR(INDEX(dmName,MATCH($C767,dmID,0)),"Unmapped"))</f>
        <v/>
      </c>
      <c r="BV767" s="76">
        <f>IF($C767="","",IFERROR(INDEX(dmEntity,MATCH($C767,dmID,0)),"Unmapped"))</f>
        <v/>
      </c>
      <c r="BW767" s="77">
        <f>IF($C767="","",IFERROR(INDEX(dmVintage,MATCH($C767,dmID,0)),""))</f>
        <v/>
      </c>
      <c r="BX767" s="78">
        <f>IFERROR(INDEX(dmInclude,MATCH($C767,dmID,0)),0)</f>
        <v/>
      </c>
      <c r="BY767" s="78">
        <f>IF(N($I767)&gt;0,1,0)</f>
        <v/>
      </c>
      <c r="BZ767" s="76">
        <f>IF($AJ767="","Other / Leased Fee",IFERROR(INDEX(mapPTGroup,MATCH(LEFT(TRIM($AJ767),2),mapPTCode,0)),"Other / Leased Fee"))</f>
        <v/>
      </c>
      <c r="CA767" s="76">
        <f>IF(TRIM($AF767&amp;"")="","NR",LEFT(TRIM($AF767),2))</f>
        <v/>
      </c>
      <c r="CB767" s="76">
        <f>IFERROR(LOOKUP(2,1/(LEFT(TRIM($AI767&amp;""),LEN(mapRegion))=mapRegion),mapRegion),"Not Reported")</f>
        <v/>
      </c>
      <c r="CC767" s="76">
        <f>IF($BY767=0,"",IF(TRIM($W767&amp;"")="REO","REO",IF(TRIM($W767&amp;"")="FC","Foreclosure",IF(TRIM($W767&amp;"")="90+","90+ Days Delinquent",IF(TRIM($W767&amp;"")="60","60 Days Delinquent",IF(TRIM($W767&amp;"")="30","30 Days Delinquent",IF($X767="Non-Performing Matured Balloon","Non-Performing Matured Balloon",IF(OR($X767="Late Payment But Less Than 30 Days Delinquent",LEFT($X767&amp;"",20)="Payment Not Received"),"Late / In Grace (&lt;30 Days)",IF($X767="Performing Matured Balloon","Performing Matured Balloon","Current")))))))))</f>
        <v/>
      </c>
      <c r="CD767" s="78">
        <f>IF(OR($CC767="REO",$CC767="Foreclosure",$CC767="90+ Days Delinquent",$CC767="60 Days Delinquent",$CC767="30 Days Delinquent",$CC767="Non-Performing Matured Balloon"),1,0)</f>
        <v/>
      </c>
      <c r="CE767" s="76">
        <f>IF($AB767="Currently special serv","Currently Specially Serviced",IF($AB767="Returned to master serv","Previously Specially Serviced","Never Specially Serviced"))</f>
        <v/>
      </c>
      <c r="CF767" s="78">
        <f>IF($CE767="Currently Specially Serviced",1,0)</f>
        <v/>
      </c>
      <c r="CG767" s="76">
        <f>IF($AA767="Yes","Currently on Watchlist",IF($AA767="Previously","Previously on Watchlist","Never on Watchlist"))</f>
        <v/>
      </c>
      <c r="CH767" s="78">
        <f>IF($CG767="Currently on Watchlist",1,0)</f>
        <v/>
      </c>
      <c r="CI767" s="76">
        <f>IF($Z767="Full Defeasance","Fully Defeased",IF($Z767="Portion Of Loan Previously Defeased","Partially Defeased",IF($Z767="Defeasance Not Allowable","Not Defeased (Not Permitted)","Not Defeased")))</f>
        <v/>
      </c>
      <c r="CJ767" s="78">
        <f>IF($CI767="Fully Defeased",1,0)</f>
        <v/>
      </c>
      <c r="CK767" s="76">
        <f>IF($R767="IO","Full IO",IF(LEFT($R767&amp;"",7)="IO then","Partial IO","Amortizing"))</f>
        <v/>
      </c>
      <c r="CL767" s="78">
        <f>IF($CK767="Full IO",1,0)</f>
        <v/>
      </c>
      <c r="CM767" s="78">
        <f>IF($CK767="Partial IO",1,0)</f>
        <v/>
      </c>
      <c r="CN767" s="76">
        <f>IF(LEFT($F767&amp;"",10)="SPLIT_LOAN","Pari Passu Split","Standalone")</f>
        <v/>
      </c>
      <c r="CO767" s="78">
        <f>IF($CN767="Pari Passu Split",1,0)</f>
        <v/>
      </c>
      <c r="CP767" s="77">
        <f>IF(ISNUMBER($T767),YEAR($T767),"")</f>
        <v/>
      </c>
      <c r="CQ767" s="79">
        <f>IF(ISNUMBER($V767),$V767,IF(ISNUMBER($U767),$U767,""))</f>
        <v/>
      </c>
      <c r="CR767" s="77">
        <f>IF(ISNUMBER($CQ767),YEAR($CQ767),"")</f>
        <v/>
      </c>
      <c r="CS767" s="78">
        <f>IF(ISNUMBER($M767),MAX(0,$M767),IF(TRIM($M767&amp;"")="matured",0,""))</f>
        <v/>
      </c>
      <c r="CT767" s="78">
        <f>IF(AND(ISNUMBER($CS767),N($CS767)&lt;=mMatWindow),1,0)</f>
        <v/>
      </c>
      <c r="CU767" s="80">
        <f>IF(ISNUMBER($J767),$J767/100,"")</f>
        <v/>
      </c>
      <c r="CV767" s="81">
        <f>IF(ISNUMBER($AQ767),$AQ767,"")</f>
        <v/>
      </c>
      <c r="CW767" s="81">
        <f>IF(ISNUMBER($AR767),$AR767,"")</f>
        <v/>
      </c>
      <c r="CX767" s="82">
        <f>IF(ISNUMBER($AS767),$AS767/100,"")</f>
        <v/>
      </c>
      <c r="CY767" s="82">
        <f>IF(ISNUMBER($AT767),$AT767/100,"")</f>
        <v/>
      </c>
      <c r="CZ767" s="82">
        <f>IF(ISNUMBER($AU767),$AU767/100,"")</f>
        <v/>
      </c>
      <c r="DA767" s="82">
        <f>IF(ISNUMBER($AV767),$AV767/100,"")</f>
        <v/>
      </c>
      <c r="DB767" s="82">
        <f>IF(ISNUMBER($AW767),$AW767/100,"")</f>
        <v/>
      </c>
      <c r="DC767" s="82">
        <f>IF(ISNUMBER($AX767),$AX767/100,"")</f>
        <v/>
      </c>
      <c r="DD767" s="77">
        <f>IFERROR(VALUE(LEFT(TRIM($AO767&amp;""),4)),"")</f>
        <v/>
      </c>
      <c r="DE767" s="78">
        <f>IF(AND($BY767=1,$BX767=1,OR(fDeal="All Deals",$BU767=fDeal),OR(fEntity="All Entities",$BV767=fEntity),OR(fPType="All Property Types",$BZ767=fPType),OR(fDefeased="Include",$CJ767=0)),1,0)</f>
        <v/>
      </c>
      <c r="DF767" s="83">
        <f>$DE767*N($I767)</f>
        <v/>
      </c>
      <c r="DG767" s="78">
        <f>IF($DE767=1,IF(COUNTIFS($F$8:$F767,$F767,$DE$8:$DE767,1)=1,1,0),0)</f>
        <v/>
      </c>
      <c r="DH767" s="83">
        <f>IF($DG767=1,SUMIFS($DF$8:$DF$1600,$F$8:$F$1600,$F767),0)</f>
        <v/>
      </c>
      <c r="DI767" s="78">
        <f>IF($DG767=1,COUNTIFS($F$8:$F$1600,$F767,$DE$8:$DE$1600,1),0)</f>
        <v/>
      </c>
      <c r="DJ767" s="84">
        <f>IF($DG767=1,$DH767+(100000-ROW())/mTieBreak,0)</f>
        <v/>
      </c>
    </row>
    <row r="768">
      <c r="B768" s="68" t="n">
        <v>39</v>
      </c>
      <c r="C768" s="69" t="inlineStr">
        <is>
          <t>UBS18C15</t>
        </is>
      </c>
      <c r="D768" s="69" t="inlineStr">
        <is>
          <t>39.000</t>
        </is>
      </c>
      <c r="E768" s="69" t="inlineStr">
        <is>
          <t>Sheets Self Storage</t>
        </is>
      </c>
      <c r="F768" s="69" t="inlineStr">
        <is>
          <t>LNUBS18C15-39.000</t>
        </is>
      </c>
      <c r="G768" s="70" t="n"/>
      <c r="H768" s="71" t="n">
        <v>4150000</v>
      </c>
      <c r="I768" s="71" t="n">
        <v>4150000</v>
      </c>
      <c r="J768" s="72" t="n">
        <v>5.3</v>
      </c>
      <c r="K768" s="69" t="inlineStr">
        <is>
          <t>Fixed rate</t>
        </is>
      </c>
      <c r="L768" s="68" t="n">
        <v>120</v>
      </c>
      <c r="M768" s="68" t="n">
        <v>27</v>
      </c>
      <c r="N768" s="68" t="n">
        <v>120</v>
      </c>
      <c r="O768" s="68" t="n">
        <v>120</v>
      </c>
      <c r="P768" s="68" t="n">
        <v>27</v>
      </c>
      <c r="Q768" s="68" t="n">
        <v>93</v>
      </c>
      <c r="R768" s="69" t="inlineStr">
        <is>
          <t>IO</t>
        </is>
      </c>
      <c r="S768" s="69" t="inlineStr">
        <is>
          <t>Yes</t>
        </is>
      </c>
      <c r="T768" s="73" t="n">
        <v>43435</v>
      </c>
      <c r="U768" s="73" t="n">
        <v>47093</v>
      </c>
      <c r="V768" s="73" t="n"/>
      <c r="W768" s="69" t="n"/>
      <c r="X768" s="69" t="inlineStr">
        <is>
          <t>Current</t>
        </is>
      </c>
      <c r="Y768" s="68" t="n"/>
      <c r="Z768" s="69" t="inlineStr">
        <is>
          <t>Full Defeasance</t>
        </is>
      </c>
      <c r="AA768" s="69" t="n"/>
      <c r="AB768" s="69" t="inlineStr">
        <is>
          <t>Never special serv</t>
        </is>
      </c>
      <c r="AC768" s="73" t="n"/>
      <c r="AD768" s="69" t="n"/>
      <c r="AE768" s="69" t="n"/>
      <c r="AF768" s="69" t="inlineStr">
        <is>
          <t>NC</t>
        </is>
      </c>
      <c r="AG768" s="69" t="inlineStr">
        <is>
          <t>Mount Airy</t>
        </is>
      </c>
      <c r="AH768" s="69" t="inlineStr">
        <is>
          <t>Mount Airy, NC</t>
        </is>
      </c>
      <c r="AI768" s="69" t="inlineStr">
        <is>
          <t>South / Atlantic</t>
        </is>
      </c>
      <c r="AJ768" s="69" t="inlineStr">
        <is>
          <t>SS</t>
        </is>
      </c>
      <c r="AK768" s="69" t="n"/>
      <c r="AL768" s="68" t="n">
        <v>1</v>
      </c>
      <c r="AM768" s="68" t="n"/>
      <c r="AN768" s="68" t="n">
        <v>144838</v>
      </c>
      <c r="AO768" s="69" t="inlineStr">
        <is>
          <t>1974</t>
        </is>
      </c>
      <c r="AP768" s="70" t="n">
        <v>1974</v>
      </c>
      <c r="AQ768" s="74" t="n">
        <v>1.85</v>
      </c>
      <c r="AR768" s="74" t="n">
        <v>1.73</v>
      </c>
      <c r="AS768" s="74" t="n">
        <v>63.8</v>
      </c>
      <c r="AT768" s="74" t="n">
        <v>63.85</v>
      </c>
      <c r="AU768" s="74" t="n">
        <v>63.8</v>
      </c>
      <c r="AV768" s="74" t="n">
        <v>9.930002169</v>
      </c>
      <c r="AW768" s="74" t="n">
        <v>8.123625783</v>
      </c>
      <c r="AX768" s="75" t="n">
        <v>99</v>
      </c>
      <c r="AY768" s="71" t="n">
        <v>6500000</v>
      </c>
      <c r="AZ768" s="71" t="n">
        <v>6500000</v>
      </c>
      <c r="BA768" s="71" t="n">
        <v>412095.09</v>
      </c>
      <c r="BB768" s="71" t="n">
        <v>385244.15</v>
      </c>
      <c r="BC768" s="69" t="inlineStr">
        <is>
          <t>Refinance</t>
        </is>
      </c>
      <c r="BD768" s="69" t="inlineStr">
        <is>
          <t>N</t>
        </is>
      </c>
      <c r="BE768" s="71" t="n"/>
      <c r="BF768" s="71" t="n"/>
      <c r="BG768" s="71" t="n"/>
      <c r="BH768" s="71" t="n">
        <v>0</v>
      </c>
      <c r="BI768" s="71" t="n">
        <v>0</v>
      </c>
      <c r="BJ768" s="69" t="inlineStr">
        <is>
          <t>N</t>
        </is>
      </c>
      <c r="BK768" s="69" t="n"/>
      <c r="BL768" s="75" t="n"/>
      <c r="BM768" s="73" t="n"/>
      <c r="BN768" s="69" t="inlineStr">
        <is>
          <t>John Lindsey; Alan Lindsey</t>
        </is>
      </c>
      <c r="BO768" s="69" t="inlineStr">
        <is>
          <t>UBS</t>
        </is>
      </c>
      <c r="BP768" s="69" t="inlineStr">
        <is>
          <t>Midland Loan Services</t>
        </is>
      </c>
      <c r="BQ768" s="69" t="inlineStr">
        <is>
          <t>K-Star Asset Management LLC</t>
        </is>
      </c>
      <c r="BR768" s="69" t="n"/>
      <c r="BS768" s="73" t="n">
        <v>46276</v>
      </c>
      <c r="BU768" s="76">
        <f>IF($C768="","",IFERROR(INDEX(dmName,MATCH($C768,dmID,0)),"Unmapped"))</f>
        <v/>
      </c>
      <c r="BV768" s="76">
        <f>IF($C768="","",IFERROR(INDEX(dmEntity,MATCH($C768,dmID,0)),"Unmapped"))</f>
        <v/>
      </c>
      <c r="BW768" s="77">
        <f>IF($C768="","",IFERROR(INDEX(dmVintage,MATCH($C768,dmID,0)),""))</f>
        <v/>
      </c>
      <c r="BX768" s="78">
        <f>IFERROR(INDEX(dmInclude,MATCH($C768,dmID,0)),0)</f>
        <v/>
      </c>
      <c r="BY768" s="78">
        <f>IF(N($I768)&gt;0,1,0)</f>
        <v/>
      </c>
      <c r="BZ768" s="76">
        <f>IF($AJ768="","Other / Leased Fee",IFERROR(INDEX(mapPTGroup,MATCH(LEFT(TRIM($AJ768),2),mapPTCode,0)),"Other / Leased Fee"))</f>
        <v/>
      </c>
      <c r="CA768" s="76">
        <f>IF(TRIM($AF768&amp;"")="","NR",LEFT(TRIM($AF768),2))</f>
        <v/>
      </c>
      <c r="CB768" s="76">
        <f>IFERROR(LOOKUP(2,1/(LEFT(TRIM($AI768&amp;""),LEN(mapRegion))=mapRegion),mapRegion),"Not Reported")</f>
        <v/>
      </c>
      <c r="CC768" s="76">
        <f>IF($BY768=0,"",IF(TRIM($W768&amp;"")="REO","REO",IF(TRIM($W768&amp;"")="FC","Foreclosure",IF(TRIM($W768&amp;"")="90+","90+ Days Delinquent",IF(TRIM($W768&amp;"")="60","60 Days Delinquent",IF(TRIM($W768&amp;"")="30","30 Days Delinquent",IF($X768="Non-Performing Matured Balloon","Non-Performing Matured Balloon",IF(OR($X768="Late Payment But Less Than 30 Days Delinquent",LEFT($X768&amp;"",20)="Payment Not Received"),"Late / In Grace (&lt;30 Days)",IF($X768="Performing Matured Balloon","Performing Matured Balloon","Current")))))))))</f>
        <v/>
      </c>
      <c r="CD768" s="78">
        <f>IF(OR($CC768="REO",$CC768="Foreclosure",$CC768="90+ Days Delinquent",$CC768="60 Days Delinquent",$CC768="30 Days Delinquent",$CC768="Non-Performing Matured Balloon"),1,0)</f>
        <v/>
      </c>
      <c r="CE768" s="76">
        <f>IF($AB768="Currently special serv","Currently Specially Serviced",IF($AB768="Returned to master serv","Previously Specially Serviced","Never Specially Serviced"))</f>
        <v/>
      </c>
      <c r="CF768" s="78">
        <f>IF($CE768="Currently Specially Serviced",1,0)</f>
        <v/>
      </c>
      <c r="CG768" s="76">
        <f>IF($AA768="Yes","Currently on Watchlist",IF($AA768="Previously","Previously on Watchlist","Never on Watchlist"))</f>
        <v/>
      </c>
      <c r="CH768" s="78">
        <f>IF($CG768="Currently on Watchlist",1,0)</f>
        <v/>
      </c>
      <c r="CI768" s="76">
        <f>IF($Z768="Full Defeasance","Fully Defeased",IF($Z768="Portion Of Loan Previously Defeased","Partially Defeased",IF($Z768="Defeasance Not Allowable","Not Defeased (Not Permitted)","Not Defeased")))</f>
        <v/>
      </c>
      <c r="CJ768" s="78">
        <f>IF($CI768="Fully Defeased",1,0)</f>
        <v/>
      </c>
      <c r="CK768" s="76">
        <f>IF($R768="IO","Full IO",IF(LEFT($R768&amp;"",7)="IO then","Partial IO","Amortizing"))</f>
        <v/>
      </c>
      <c r="CL768" s="78">
        <f>IF($CK768="Full IO",1,0)</f>
        <v/>
      </c>
      <c r="CM768" s="78">
        <f>IF($CK768="Partial IO",1,0)</f>
        <v/>
      </c>
      <c r="CN768" s="76">
        <f>IF(LEFT($F768&amp;"",10)="SPLIT_LOAN","Pari Passu Split","Standalone")</f>
        <v/>
      </c>
      <c r="CO768" s="78">
        <f>IF($CN768="Pari Passu Split",1,0)</f>
        <v/>
      </c>
      <c r="CP768" s="77">
        <f>IF(ISNUMBER($T768),YEAR($T768),"")</f>
        <v/>
      </c>
      <c r="CQ768" s="79">
        <f>IF(ISNUMBER($V768),$V768,IF(ISNUMBER($U768),$U768,""))</f>
        <v/>
      </c>
      <c r="CR768" s="77">
        <f>IF(ISNUMBER($CQ768),YEAR($CQ768),"")</f>
        <v/>
      </c>
      <c r="CS768" s="78">
        <f>IF(ISNUMBER($M768),MAX(0,$M768),IF(TRIM($M768&amp;"")="matured",0,""))</f>
        <v/>
      </c>
      <c r="CT768" s="78">
        <f>IF(AND(ISNUMBER($CS768),N($CS768)&lt;=mMatWindow),1,0)</f>
        <v/>
      </c>
      <c r="CU768" s="80">
        <f>IF(ISNUMBER($J768),$J768/100,"")</f>
        <v/>
      </c>
      <c r="CV768" s="81">
        <f>IF(ISNUMBER($AQ768),$AQ768,"")</f>
        <v/>
      </c>
      <c r="CW768" s="81">
        <f>IF(ISNUMBER($AR768),$AR768,"")</f>
        <v/>
      </c>
      <c r="CX768" s="82">
        <f>IF(ISNUMBER($AS768),$AS768/100,"")</f>
        <v/>
      </c>
      <c r="CY768" s="82">
        <f>IF(ISNUMBER($AT768),$AT768/100,"")</f>
        <v/>
      </c>
      <c r="CZ768" s="82">
        <f>IF(ISNUMBER($AU768),$AU768/100,"")</f>
        <v/>
      </c>
      <c r="DA768" s="82">
        <f>IF(ISNUMBER($AV768),$AV768/100,"")</f>
        <v/>
      </c>
      <c r="DB768" s="82">
        <f>IF(ISNUMBER($AW768),$AW768/100,"")</f>
        <v/>
      </c>
      <c r="DC768" s="82">
        <f>IF(ISNUMBER($AX768),$AX768/100,"")</f>
        <v/>
      </c>
      <c r="DD768" s="77">
        <f>IFERROR(VALUE(LEFT(TRIM($AO768&amp;""),4)),"")</f>
        <v/>
      </c>
      <c r="DE768" s="78">
        <f>IF(AND($BY768=1,$BX768=1,OR(fDeal="All Deals",$BU768=fDeal),OR(fEntity="All Entities",$BV768=fEntity),OR(fPType="All Property Types",$BZ768=fPType),OR(fDefeased="Include",$CJ768=0)),1,0)</f>
        <v/>
      </c>
      <c r="DF768" s="83">
        <f>$DE768*N($I768)</f>
        <v/>
      </c>
      <c r="DG768" s="78">
        <f>IF($DE768=1,IF(COUNTIFS($F$8:$F768,$F768,$DE$8:$DE768,1)=1,1,0),0)</f>
        <v/>
      </c>
      <c r="DH768" s="83">
        <f>IF($DG768=1,SUMIFS($DF$8:$DF$1600,$F$8:$F$1600,$F768),0)</f>
        <v/>
      </c>
      <c r="DI768" s="78">
        <f>IF($DG768=1,COUNTIFS($F$8:$F$1600,$F768,$DE$8:$DE$1600,1),0)</f>
        <v/>
      </c>
      <c r="DJ768" s="84">
        <f>IF($DG768=1,$DH768+(100000-ROW())/mTieBreak,0)</f>
        <v/>
      </c>
    </row>
    <row r="769">
      <c r="B769" s="68" t="n">
        <v>40</v>
      </c>
      <c r="C769" s="69" t="inlineStr">
        <is>
          <t>UBS18C15</t>
        </is>
      </c>
      <c r="D769" s="69" t="inlineStr">
        <is>
          <t>40.000</t>
        </is>
      </c>
      <c r="E769" s="69" t="inlineStr">
        <is>
          <t>Bradenton Health Park East</t>
        </is>
      </c>
      <c r="F769" s="69" t="inlineStr">
        <is>
          <t>LNUBS18C15-40.000</t>
        </is>
      </c>
      <c r="G769" s="70" t="n"/>
      <c r="H769" s="71" t="n">
        <v>4000000</v>
      </c>
      <c r="I769" s="71" t="n">
        <v>3847927.81</v>
      </c>
      <c r="J769" s="72" t="n">
        <v>5.29</v>
      </c>
      <c r="K769" s="69" t="inlineStr">
        <is>
          <t>Fixed rate</t>
        </is>
      </c>
      <c r="L769" s="68" t="n">
        <v>120</v>
      </c>
      <c r="M769" s="68" t="n">
        <v>27</v>
      </c>
      <c r="N769" s="68" t="n">
        <v>420</v>
      </c>
      <c r="O769" s="68" t="n">
        <v>60</v>
      </c>
      <c r="P769" s="68" t="n">
        <v>0</v>
      </c>
      <c r="Q769" s="68" t="n">
        <v>93</v>
      </c>
      <c r="R769" s="69" t="inlineStr">
        <is>
          <t>IO then Amort</t>
        </is>
      </c>
      <c r="S769" s="69" t="inlineStr">
        <is>
          <t>No</t>
        </is>
      </c>
      <c r="T769" s="73" t="n">
        <v>43435</v>
      </c>
      <c r="U769" s="73" t="n">
        <v>47093</v>
      </c>
      <c r="V769" s="73" t="n"/>
      <c r="W769" s="69" t="n"/>
      <c r="X769" s="69" t="inlineStr">
        <is>
          <t>Current</t>
        </is>
      </c>
      <c r="Y769" s="68" t="n"/>
      <c r="Z769" s="69" t="inlineStr">
        <is>
          <t>No Defeasance Occurred</t>
        </is>
      </c>
      <c r="AA769" s="69" t="inlineStr">
        <is>
          <t>Previously</t>
        </is>
      </c>
      <c r="AB769" s="69" t="inlineStr">
        <is>
          <t>Never special serv</t>
        </is>
      </c>
      <c r="AC769" s="73" t="n"/>
      <c r="AD769" s="69" t="n"/>
      <c r="AE769" s="69" t="n"/>
      <c r="AF769" s="69" t="inlineStr">
        <is>
          <t>FL</t>
        </is>
      </c>
      <c r="AG769" s="69" t="inlineStr">
        <is>
          <t>Bradenton</t>
        </is>
      </c>
      <c r="AH769" s="69" t="inlineStr">
        <is>
          <t>North Port-Bradenton-Sarasota, FL</t>
        </is>
      </c>
      <c r="AI769" s="69" t="inlineStr">
        <is>
          <t>South / Atlantic</t>
        </is>
      </c>
      <c r="AJ769" s="69" t="inlineStr">
        <is>
          <t>OF</t>
        </is>
      </c>
      <c r="AK769" s="69" t="inlineStr">
        <is>
          <t>Medical</t>
        </is>
      </c>
      <c r="AL769" s="68" t="n">
        <v>1</v>
      </c>
      <c r="AM769" s="68" t="n"/>
      <c r="AN769" s="68" t="n">
        <v>29141</v>
      </c>
      <c r="AO769" s="69" t="inlineStr">
        <is>
          <t>1994</t>
        </is>
      </c>
      <c r="AP769" s="70" t="n">
        <v>1994</v>
      </c>
      <c r="AQ769" s="74" t="n">
        <v>2.07</v>
      </c>
      <c r="AR769" s="74" t="n">
        <v>2.2</v>
      </c>
      <c r="AS769" s="74" t="n">
        <v>63.5</v>
      </c>
      <c r="AT769" s="74" t="n">
        <v>61.08</v>
      </c>
      <c r="AU769" s="74" t="n">
        <v>58.8</v>
      </c>
      <c r="AV769" s="74" t="n">
        <v>11.126575</v>
      </c>
      <c r="AW769" s="74" t="n">
        <v>15.234013187</v>
      </c>
      <c r="AX769" s="75" t="n">
        <v>100</v>
      </c>
      <c r="AY769" s="71" t="n">
        <v>6300000</v>
      </c>
      <c r="AZ769" s="71" t="n">
        <v>6300000</v>
      </c>
      <c r="BA769" s="71" t="n">
        <v>445063</v>
      </c>
      <c r="BB769" s="71" t="n">
        <v>586193.83</v>
      </c>
      <c r="BC769" s="69" t="inlineStr">
        <is>
          <t>Acquisition</t>
        </is>
      </c>
      <c r="BD769" s="69" t="inlineStr">
        <is>
          <t>N</t>
        </is>
      </c>
      <c r="BE769" s="71" t="n"/>
      <c r="BF769" s="71" t="n"/>
      <c r="BG769" s="71" t="n"/>
      <c r="BH769" s="71" t="n">
        <v>0</v>
      </c>
      <c r="BI769" s="71" t="n">
        <v>0</v>
      </c>
      <c r="BJ769" s="69" t="inlineStr">
        <is>
          <t>N</t>
        </is>
      </c>
      <c r="BK769" s="69" t="inlineStr">
        <is>
          <t>MCR Health Inc.</t>
        </is>
      </c>
      <c r="BL769" s="75" t="n">
        <v>25.56</v>
      </c>
      <c r="BM769" s="73" t="n">
        <v>48273</v>
      </c>
      <c r="BN769" s="69" t="inlineStr">
        <is>
          <t>Kevin Lurie</t>
        </is>
      </c>
      <c r="BO769" s="69" t="inlineStr">
        <is>
          <t>Rialto</t>
        </is>
      </c>
      <c r="BP769" s="69" t="inlineStr">
        <is>
          <t>Midland Loan Services</t>
        </is>
      </c>
      <c r="BQ769" s="69" t="inlineStr">
        <is>
          <t>K-Star Asset Management LLC</t>
        </is>
      </c>
      <c r="BR769" s="69" t="n"/>
      <c r="BS769" s="73" t="n">
        <v>46276</v>
      </c>
      <c r="BU769" s="76">
        <f>IF($C769="","",IFERROR(INDEX(dmName,MATCH($C769,dmID,0)),"Unmapped"))</f>
        <v/>
      </c>
      <c r="BV769" s="76">
        <f>IF($C769="","",IFERROR(INDEX(dmEntity,MATCH($C769,dmID,0)),"Unmapped"))</f>
        <v/>
      </c>
      <c r="BW769" s="77">
        <f>IF($C769="","",IFERROR(INDEX(dmVintage,MATCH($C769,dmID,0)),""))</f>
        <v/>
      </c>
      <c r="BX769" s="78">
        <f>IFERROR(INDEX(dmInclude,MATCH($C769,dmID,0)),0)</f>
        <v/>
      </c>
      <c r="BY769" s="78">
        <f>IF(N($I769)&gt;0,1,0)</f>
        <v/>
      </c>
      <c r="BZ769" s="76">
        <f>IF($AJ769="","Other / Leased Fee",IFERROR(INDEX(mapPTGroup,MATCH(LEFT(TRIM($AJ769),2),mapPTCode,0)),"Other / Leased Fee"))</f>
        <v/>
      </c>
      <c r="CA769" s="76">
        <f>IF(TRIM($AF769&amp;"")="","NR",LEFT(TRIM($AF769),2))</f>
        <v/>
      </c>
      <c r="CB769" s="76">
        <f>IFERROR(LOOKUP(2,1/(LEFT(TRIM($AI769&amp;""),LEN(mapRegion))=mapRegion),mapRegion),"Not Reported")</f>
        <v/>
      </c>
      <c r="CC769" s="76">
        <f>IF($BY769=0,"",IF(TRIM($W769&amp;"")="REO","REO",IF(TRIM($W769&amp;"")="FC","Foreclosure",IF(TRIM($W769&amp;"")="90+","90+ Days Delinquent",IF(TRIM($W769&amp;"")="60","60 Days Delinquent",IF(TRIM($W769&amp;"")="30","30 Days Delinquent",IF($X769="Non-Performing Matured Balloon","Non-Performing Matured Balloon",IF(OR($X769="Late Payment But Less Than 30 Days Delinquent",LEFT($X769&amp;"",20)="Payment Not Received"),"Late / In Grace (&lt;30 Days)",IF($X769="Performing Matured Balloon","Performing Matured Balloon","Current")))))))))</f>
        <v/>
      </c>
      <c r="CD769" s="78">
        <f>IF(OR($CC769="REO",$CC769="Foreclosure",$CC769="90+ Days Delinquent",$CC769="60 Days Delinquent",$CC769="30 Days Delinquent",$CC769="Non-Performing Matured Balloon"),1,0)</f>
        <v/>
      </c>
      <c r="CE769" s="76">
        <f>IF($AB769="Currently special serv","Currently Specially Serviced",IF($AB769="Returned to master serv","Previously Specially Serviced","Never Specially Serviced"))</f>
        <v/>
      </c>
      <c r="CF769" s="78">
        <f>IF($CE769="Currently Specially Serviced",1,0)</f>
        <v/>
      </c>
      <c r="CG769" s="76">
        <f>IF($AA769="Yes","Currently on Watchlist",IF($AA769="Previously","Previously on Watchlist","Never on Watchlist"))</f>
        <v/>
      </c>
      <c r="CH769" s="78">
        <f>IF($CG769="Currently on Watchlist",1,0)</f>
        <v/>
      </c>
      <c r="CI769" s="76">
        <f>IF($Z769="Full Defeasance","Fully Defeased",IF($Z769="Portion Of Loan Previously Defeased","Partially Defeased",IF($Z769="Defeasance Not Allowable","Not Defeased (Not Permitted)","Not Defeased")))</f>
        <v/>
      </c>
      <c r="CJ769" s="78">
        <f>IF($CI769="Fully Defeased",1,0)</f>
        <v/>
      </c>
      <c r="CK769" s="76">
        <f>IF($R769="IO","Full IO",IF(LEFT($R769&amp;"",7)="IO then","Partial IO","Amortizing"))</f>
        <v/>
      </c>
      <c r="CL769" s="78">
        <f>IF($CK769="Full IO",1,0)</f>
        <v/>
      </c>
      <c r="CM769" s="78">
        <f>IF($CK769="Partial IO",1,0)</f>
        <v/>
      </c>
      <c r="CN769" s="76">
        <f>IF(LEFT($F769&amp;"",10)="SPLIT_LOAN","Pari Passu Split","Standalone")</f>
        <v/>
      </c>
      <c r="CO769" s="78">
        <f>IF($CN769="Pari Passu Split",1,0)</f>
        <v/>
      </c>
      <c r="CP769" s="77">
        <f>IF(ISNUMBER($T769),YEAR($T769),"")</f>
        <v/>
      </c>
      <c r="CQ769" s="79">
        <f>IF(ISNUMBER($V769),$V769,IF(ISNUMBER($U769),$U769,""))</f>
        <v/>
      </c>
      <c r="CR769" s="77">
        <f>IF(ISNUMBER($CQ769),YEAR($CQ769),"")</f>
        <v/>
      </c>
      <c r="CS769" s="78">
        <f>IF(ISNUMBER($M769),MAX(0,$M769),IF(TRIM($M769&amp;"")="matured",0,""))</f>
        <v/>
      </c>
      <c r="CT769" s="78">
        <f>IF(AND(ISNUMBER($CS769),N($CS769)&lt;=mMatWindow),1,0)</f>
        <v/>
      </c>
      <c r="CU769" s="80">
        <f>IF(ISNUMBER($J769),$J769/100,"")</f>
        <v/>
      </c>
      <c r="CV769" s="81">
        <f>IF(ISNUMBER($AQ769),$AQ769,"")</f>
        <v/>
      </c>
      <c r="CW769" s="81">
        <f>IF(ISNUMBER($AR769),$AR769,"")</f>
        <v/>
      </c>
      <c r="CX769" s="82">
        <f>IF(ISNUMBER($AS769),$AS769/100,"")</f>
        <v/>
      </c>
      <c r="CY769" s="82">
        <f>IF(ISNUMBER($AT769),$AT769/100,"")</f>
        <v/>
      </c>
      <c r="CZ769" s="82">
        <f>IF(ISNUMBER($AU769),$AU769/100,"")</f>
        <v/>
      </c>
      <c r="DA769" s="82">
        <f>IF(ISNUMBER($AV769),$AV769/100,"")</f>
        <v/>
      </c>
      <c r="DB769" s="82">
        <f>IF(ISNUMBER($AW769),$AW769/100,"")</f>
        <v/>
      </c>
      <c r="DC769" s="82">
        <f>IF(ISNUMBER($AX769),$AX769/100,"")</f>
        <v/>
      </c>
      <c r="DD769" s="77">
        <f>IFERROR(VALUE(LEFT(TRIM($AO769&amp;""),4)),"")</f>
        <v/>
      </c>
      <c r="DE769" s="78">
        <f>IF(AND($BY769=1,$BX769=1,OR(fDeal="All Deals",$BU769=fDeal),OR(fEntity="All Entities",$BV769=fEntity),OR(fPType="All Property Types",$BZ769=fPType),OR(fDefeased="Include",$CJ769=0)),1,0)</f>
        <v/>
      </c>
      <c r="DF769" s="83">
        <f>$DE769*N($I769)</f>
        <v/>
      </c>
      <c r="DG769" s="78">
        <f>IF($DE769=1,IF(COUNTIFS($F$8:$F769,$F769,$DE$8:$DE769,1)=1,1,0),0)</f>
        <v/>
      </c>
      <c r="DH769" s="83">
        <f>IF($DG769=1,SUMIFS($DF$8:$DF$1600,$F$8:$F$1600,$F769),0)</f>
        <v/>
      </c>
      <c r="DI769" s="78">
        <f>IF($DG769=1,COUNTIFS($F$8:$F$1600,$F769,$DE$8:$DE$1600,1),0)</f>
        <v/>
      </c>
      <c r="DJ769" s="84">
        <f>IF($DG769=1,$DH769+(100000-ROW())/mTieBreak,0)</f>
        <v/>
      </c>
    </row>
    <row r="770">
      <c r="B770" s="68" t="n">
        <v>41</v>
      </c>
      <c r="C770" s="69" t="inlineStr">
        <is>
          <t>UBS18C15</t>
        </is>
      </c>
      <c r="D770" s="69" t="inlineStr">
        <is>
          <t>41.000</t>
        </is>
      </c>
      <c r="E770" s="69" t="inlineStr">
        <is>
          <t>820 Industrial Road</t>
        </is>
      </c>
      <c r="F770" s="69" t="inlineStr">
        <is>
          <t>LNUBS18C15-41.000</t>
        </is>
      </c>
      <c r="G770" s="70" t="n"/>
      <c r="H770" s="71" t="n">
        <v>3000000</v>
      </c>
      <c r="I770" s="71" t="n">
        <v>2648492.58</v>
      </c>
      <c r="J770" s="72" t="n">
        <v>5.6</v>
      </c>
      <c r="K770" s="69" t="inlineStr">
        <is>
          <t>Fixed rate</t>
        </is>
      </c>
      <c r="L770" s="68" t="n">
        <v>120</v>
      </c>
      <c r="M770" s="68" t="n">
        <v>27</v>
      </c>
      <c r="N770" s="68" t="n">
        <v>360</v>
      </c>
      <c r="O770" s="68" t="n"/>
      <c r="P770" s="68" t="n"/>
      <c r="Q770" s="68" t="n">
        <v>93</v>
      </c>
      <c r="R770" s="69" t="n"/>
      <c r="S770" s="69" t="inlineStr">
        <is>
          <t>No</t>
        </is>
      </c>
      <c r="T770" s="73" t="n">
        <v>43435</v>
      </c>
      <c r="U770" s="73" t="n">
        <v>47088</v>
      </c>
      <c r="V770" s="73" t="n"/>
      <c r="W770" s="69" t="n"/>
      <c r="X770" s="69" t="inlineStr">
        <is>
          <t>Current</t>
        </is>
      </c>
      <c r="Y770" s="68" t="n"/>
      <c r="Z770" s="69" t="inlineStr">
        <is>
          <t>No Defeasance Occurred</t>
        </is>
      </c>
      <c r="AA770" s="69" t="inlineStr">
        <is>
          <t>Previously</t>
        </is>
      </c>
      <c r="AB770" s="69" t="inlineStr">
        <is>
          <t>Never special serv</t>
        </is>
      </c>
      <c r="AC770" s="73" t="n"/>
      <c r="AD770" s="69" t="n"/>
      <c r="AE770" s="69" t="n"/>
      <c r="AF770" s="69" t="inlineStr">
        <is>
          <t>MI</t>
        </is>
      </c>
      <c r="AG770" s="69" t="inlineStr">
        <is>
          <t>Marshall</t>
        </is>
      </c>
      <c r="AH770" s="69" t="inlineStr">
        <is>
          <t>Battle Creek, MI</t>
        </is>
      </c>
      <c r="AI770" s="69" t="inlineStr">
        <is>
          <t>Midwest / Central East</t>
        </is>
      </c>
      <c r="AJ770" s="69" t="inlineStr">
        <is>
          <t>IN</t>
        </is>
      </c>
      <c r="AK770" s="69" t="inlineStr">
        <is>
          <t>Warehouse</t>
        </is>
      </c>
      <c r="AL770" s="68" t="n">
        <v>1</v>
      </c>
      <c r="AM770" s="68" t="n"/>
      <c r="AN770" s="68" t="n">
        <v>250368</v>
      </c>
      <c r="AO770" s="69" t="inlineStr">
        <is>
          <t>1956, 1995</t>
        </is>
      </c>
      <c r="AP770" s="70" t="n">
        <v>2008</v>
      </c>
      <c r="AQ770" s="74" t="n">
        <v>1.65</v>
      </c>
      <c r="AR770" s="74" t="n">
        <v>5.15</v>
      </c>
      <c r="AS770" s="74" t="n">
        <v>58.8</v>
      </c>
      <c r="AT770" s="74" t="n">
        <v>51.93</v>
      </c>
      <c r="AU770" s="74" t="n">
        <v>49.3</v>
      </c>
      <c r="AV770" s="74" t="n">
        <v>11.399266667</v>
      </c>
      <c r="AW770" s="74" t="n">
        <v>36.950953436</v>
      </c>
      <c r="AX770" s="75" t="n">
        <v>100</v>
      </c>
      <c r="AY770" s="71" t="n">
        <v>5100000</v>
      </c>
      <c r="AZ770" s="71" t="n">
        <v>5100000</v>
      </c>
      <c r="BA770" s="71" t="n">
        <v>341978</v>
      </c>
      <c r="BB770" s="71" t="n">
        <v>1064478.14</v>
      </c>
      <c r="BC770" s="69" t="inlineStr">
        <is>
          <t>Recapitalization</t>
        </is>
      </c>
      <c r="BD770" s="69" t="inlineStr">
        <is>
          <t>N</t>
        </is>
      </c>
      <c r="BE770" s="71" t="n"/>
      <c r="BF770" s="71" t="n"/>
      <c r="BG770" s="71" t="n"/>
      <c r="BH770" s="71" t="n">
        <v>0</v>
      </c>
      <c r="BI770" s="71" t="n">
        <v>0</v>
      </c>
      <c r="BJ770" s="69" t="inlineStr">
        <is>
          <t>N</t>
        </is>
      </c>
      <c r="BK770" s="69" t="inlineStr">
        <is>
          <t>Tenneco Automotive Op. Co.</t>
        </is>
      </c>
      <c r="BL770" s="75" t="n">
        <v>100</v>
      </c>
      <c r="BM770" s="73" t="n">
        <v>47026</v>
      </c>
      <c r="BN770" s="69" t="inlineStr">
        <is>
          <t>Granite Companies LLC</t>
        </is>
      </c>
      <c r="BO770" s="69" t="inlineStr">
        <is>
          <t>CIBC</t>
        </is>
      </c>
      <c r="BP770" s="69" t="inlineStr">
        <is>
          <t>Midland Loan Services</t>
        </is>
      </c>
      <c r="BQ770" s="69" t="inlineStr">
        <is>
          <t>K-Star Asset Management LLC</t>
        </is>
      </c>
      <c r="BR770" s="69" t="n"/>
      <c r="BS770" s="73" t="n">
        <v>46276</v>
      </c>
      <c r="BU770" s="76">
        <f>IF($C770="","",IFERROR(INDEX(dmName,MATCH($C770,dmID,0)),"Unmapped"))</f>
        <v/>
      </c>
      <c r="BV770" s="76">
        <f>IF($C770="","",IFERROR(INDEX(dmEntity,MATCH($C770,dmID,0)),"Unmapped"))</f>
        <v/>
      </c>
      <c r="BW770" s="77">
        <f>IF($C770="","",IFERROR(INDEX(dmVintage,MATCH($C770,dmID,0)),""))</f>
        <v/>
      </c>
      <c r="BX770" s="78">
        <f>IFERROR(INDEX(dmInclude,MATCH($C770,dmID,0)),0)</f>
        <v/>
      </c>
      <c r="BY770" s="78">
        <f>IF(N($I770)&gt;0,1,0)</f>
        <v/>
      </c>
      <c r="BZ770" s="76">
        <f>IF($AJ770="","Other / Leased Fee",IFERROR(INDEX(mapPTGroup,MATCH(LEFT(TRIM($AJ770),2),mapPTCode,0)),"Other / Leased Fee"))</f>
        <v/>
      </c>
      <c r="CA770" s="76">
        <f>IF(TRIM($AF770&amp;"")="","NR",LEFT(TRIM($AF770),2))</f>
        <v/>
      </c>
      <c r="CB770" s="76">
        <f>IFERROR(LOOKUP(2,1/(LEFT(TRIM($AI770&amp;""),LEN(mapRegion))=mapRegion),mapRegion),"Not Reported")</f>
        <v/>
      </c>
      <c r="CC770" s="76">
        <f>IF($BY770=0,"",IF(TRIM($W770&amp;"")="REO","REO",IF(TRIM($W770&amp;"")="FC","Foreclosure",IF(TRIM($W770&amp;"")="90+","90+ Days Delinquent",IF(TRIM($W770&amp;"")="60","60 Days Delinquent",IF(TRIM($W770&amp;"")="30","30 Days Delinquent",IF($X770="Non-Performing Matured Balloon","Non-Performing Matured Balloon",IF(OR($X770="Late Payment But Less Than 30 Days Delinquent",LEFT($X770&amp;"",20)="Payment Not Received"),"Late / In Grace (&lt;30 Days)",IF($X770="Performing Matured Balloon","Performing Matured Balloon","Current")))))))))</f>
        <v/>
      </c>
      <c r="CD770" s="78">
        <f>IF(OR($CC770="REO",$CC770="Foreclosure",$CC770="90+ Days Delinquent",$CC770="60 Days Delinquent",$CC770="30 Days Delinquent",$CC770="Non-Performing Matured Balloon"),1,0)</f>
        <v/>
      </c>
      <c r="CE770" s="76">
        <f>IF($AB770="Currently special serv","Currently Specially Serviced",IF($AB770="Returned to master serv","Previously Specially Serviced","Never Specially Serviced"))</f>
        <v/>
      </c>
      <c r="CF770" s="78">
        <f>IF($CE770="Currently Specially Serviced",1,0)</f>
        <v/>
      </c>
      <c r="CG770" s="76">
        <f>IF($AA770="Yes","Currently on Watchlist",IF($AA770="Previously","Previously on Watchlist","Never on Watchlist"))</f>
        <v/>
      </c>
      <c r="CH770" s="78">
        <f>IF($CG770="Currently on Watchlist",1,0)</f>
        <v/>
      </c>
      <c r="CI770" s="76">
        <f>IF($Z770="Full Defeasance","Fully Defeased",IF($Z770="Portion Of Loan Previously Defeased","Partially Defeased",IF($Z770="Defeasance Not Allowable","Not Defeased (Not Permitted)","Not Defeased")))</f>
        <v/>
      </c>
      <c r="CJ770" s="78">
        <f>IF($CI770="Fully Defeased",1,0)</f>
        <v/>
      </c>
      <c r="CK770" s="76">
        <f>IF($R770="IO","Full IO",IF(LEFT($R770&amp;"",7)="IO then","Partial IO","Amortizing"))</f>
        <v/>
      </c>
      <c r="CL770" s="78">
        <f>IF($CK770="Full IO",1,0)</f>
        <v/>
      </c>
      <c r="CM770" s="78">
        <f>IF($CK770="Partial IO",1,0)</f>
        <v/>
      </c>
      <c r="CN770" s="76">
        <f>IF(LEFT($F770&amp;"",10)="SPLIT_LOAN","Pari Passu Split","Standalone")</f>
        <v/>
      </c>
      <c r="CO770" s="78">
        <f>IF($CN770="Pari Passu Split",1,0)</f>
        <v/>
      </c>
      <c r="CP770" s="77">
        <f>IF(ISNUMBER($T770),YEAR($T770),"")</f>
        <v/>
      </c>
      <c r="CQ770" s="79">
        <f>IF(ISNUMBER($V770),$V770,IF(ISNUMBER($U770),$U770,""))</f>
        <v/>
      </c>
      <c r="CR770" s="77">
        <f>IF(ISNUMBER($CQ770),YEAR($CQ770),"")</f>
        <v/>
      </c>
      <c r="CS770" s="78">
        <f>IF(ISNUMBER($M770),MAX(0,$M770),IF(TRIM($M770&amp;"")="matured",0,""))</f>
        <v/>
      </c>
      <c r="CT770" s="78">
        <f>IF(AND(ISNUMBER($CS770),N($CS770)&lt;=mMatWindow),1,0)</f>
        <v/>
      </c>
      <c r="CU770" s="80">
        <f>IF(ISNUMBER($J770),$J770/100,"")</f>
        <v/>
      </c>
      <c r="CV770" s="81">
        <f>IF(ISNUMBER($AQ770),$AQ770,"")</f>
        <v/>
      </c>
      <c r="CW770" s="81">
        <f>IF(ISNUMBER($AR770),$AR770,"")</f>
        <v/>
      </c>
      <c r="CX770" s="82">
        <f>IF(ISNUMBER($AS770),$AS770/100,"")</f>
        <v/>
      </c>
      <c r="CY770" s="82">
        <f>IF(ISNUMBER($AT770),$AT770/100,"")</f>
        <v/>
      </c>
      <c r="CZ770" s="82">
        <f>IF(ISNUMBER($AU770),$AU770/100,"")</f>
        <v/>
      </c>
      <c r="DA770" s="82">
        <f>IF(ISNUMBER($AV770),$AV770/100,"")</f>
        <v/>
      </c>
      <c r="DB770" s="82">
        <f>IF(ISNUMBER($AW770),$AW770/100,"")</f>
        <v/>
      </c>
      <c r="DC770" s="82">
        <f>IF(ISNUMBER($AX770),$AX770/100,"")</f>
        <v/>
      </c>
      <c r="DD770" s="77">
        <f>IFERROR(VALUE(LEFT(TRIM($AO770&amp;""),4)),"")</f>
        <v/>
      </c>
      <c r="DE770" s="78">
        <f>IF(AND($BY770=1,$BX770=1,OR(fDeal="All Deals",$BU770=fDeal),OR(fEntity="All Entities",$BV770=fEntity),OR(fPType="All Property Types",$BZ770=fPType),OR(fDefeased="Include",$CJ770=0)),1,0)</f>
        <v/>
      </c>
      <c r="DF770" s="83">
        <f>$DE770*N($I770)</f>
        <v/>
      </c>
      <c r="DG770" s="78">
        <f>IF($DE770=1,IF(COUNTIFS($F$8:$F770,$F770,$DE$8:$DE770,1)=1,1,0),0)</f>
        <v/>
      </c>
      <c r="DH770" s="83">
        <f>IF($DG770=1,SUMIFS($DF$8:$DF$1600,$F$8:$F$1600,$F770),0)</f>
        <v/>
      </c>
      <c r="DI770" s="78">
        <f>IF($DG770=1,COUNTIFS($F$8:$F$1600,$F770,$DE$8:$DE$1600,1),0)</f>
        <v/>
      </c>
      <c r="DJ770" s="84">
        <f>IF($DG770=1,$DH770+(100000-ROW())/mTieBreak,0)</f>
        <v/>
      </c>
    </row>
    <row r="771">
      <c r="B771" s="68" t="n">
        <v>1</v>
      </c>
      <c r="C771" s="69" t="inlineStr">
        <is>
          <t>BCMK18B3</t>
        </is>
      </c>
      <c r="D771" s="69" t="inlineStr">
        <is>
          <t>1.000</t>
        </is>
      </c>
      <c r="E771" s="69" t="inlineStr">
        <is>
          <t>6420 Wilshire</t>
        </is>
      </c>
      <c r="F771" s="69" t="inlineStr">
        <is>
          <t>LNBCMK18B3-1.000</t>
        </is>
      </c>
      <c r="G771" s="70" t="n"/>
      <c r="H771" s="71" t="n">
        <v>62000000</v>
      </c>
      <c r="I771" s="71" t="n">
        <v>62000000</v>
      </c>
      <c r="J771" s="72" t="n">
        <v>4.27581</v>
      </c>
      <c r="K771" s="69" t="inlineStr">
        <is>
          <t>Fixed rate</t>
        </is>
      </c>
      <c r="L771" s="68" t="n">
        <v>120</v>
      </c>
      <c r="M771" s="68" t="n">
        <v>16</v>
      </c>
      <c r="N771" s="68" t="n">
        <v>120</v>
      </c>
      <c r="O771" s="68" t="n">
        <v>120</v>
      </c>
      <c r="P771" s="68" t="n">
        <v>16</v>
      </c>
      <c r="Q771" s="68" t="n">
        <v>104</v>
      </c>
      <c r="R771" s="69" t="inlineStr">
        <is>
          <t>IO</t>
        </is>
      </c>
      <c r="S771" s="69" t="inlineStr">
        <is>
          <t>Yes</t>
        </is>
      </c>
      <c r="T771" s="73" t="n">
        <v>43101</v>
      </c>
      <c r="U771" s="73" t="n">
        <v>46758</v>
      </c>
      <c r="V771" s="73" t="n"/>
      <c r="W771" s="69" t="n"/>
      <c r="X771" s="69" t="inlineStr">
        <is>
          <t>Current</t>
        </is>
      </c>
      <c r="Y771" s="68" t="n"/>
      <c r="Z771" s="69" t="inlineStr">
        <is>
          <t>No Defeasance Occurred</t>
        </is>
      </c>
      <c r="AA771" s="69" t="inlineStr">
        <is>
          <t>Yes</t>
        </is>
      </c>
      <c r="AB771" s="69" t="inlineStr">
        <is>
          <t>Never special serv</t>
        </is>
      </c>
      <c r="AC771" s="73" t="n"/>
      <c r="AD771" s="69" t="n"/>
      <c r="AE771" s="69" t="n"/>
      <c r="AF771" s="69" t="inlineStr">
        <is>
          <t>CA</t>
        </is>
      </c>
      <c r="AG771" s="69" t="inlineStr">
        <is>
          <t>Los Angeles</t>
        </is>
      </c>
      <c r="AH771" s="69" t="inlineStr">
        <is>
          <t>Los Angeles-Long Beach-Anaheim, CA</t>
        </is>
      </c>
      <c r="AI771" s="69" t="inlineStr">
        <is>
          <t>West / Pacific South</t>
        </is>
      </c>
      <c r="AJ771" s="69" t="inlineStr">
        <is>
          <t>OF</t>
        </is>
      </c>
      <c r="AK771" s="69" t="inlineStr">
        <is>
          <t>CBD</t>
        </is>
      </c>
      <c r="AL771" s="68" t="n">
        <v>1</v>
      </c>
      <c r="AM771" s="68" t="n"/>
      <c r="AN771" s="68" t="n">
        <v>204035</v>
      </c>
      <c r="AO771" s="69" t="inlineStr">
        <is>
          <t>1972</t>
        </is>
      </c>
      <c r="AP771" s="70" t="n">
        <v>2010</v>
      </c>
      <c r="AQ771" s="74" t="n">
        <v>1.98</v>
      </c>
      <c r="AR771" s="74" t="n">
        <v>0.78</v>
      </c>
      <c r="AS771" s="74" t="n">
        <v>64.59999999999999</v>
      </c>
      <c r="AT771" s="74" t="n">
        <v>64.58</v>
      </c>
      <c r="AU771" s="74" t="n">
        <v>64.59999999999999</v>
      </c>
      <c r="AV771" s="74" t="n">
        <v>8.587285048</v>
      </c>
      <c r="AW771" s="74" t="n">
        <v>7.687896968</v>
      </c>
      <c r="AX771" s="75" t="n">
        <v>72</v>
      </c>
      <c r="AY771" s="71" t="n">
        <v>96000000</v>
      </c>
      <c r="AZ771" s="71" t="n">
        <v>96000000</v>
      </c>
      <c r="BA771" s="71" t="n">
        <v>5324116.73</v>
      </c>
      <c r="BB771" s="71" t="n">
        <v>523659.22</v>
      </c>
      <c r="BC771" s="69" t="inlineStr">
        <is>
          <t>Acquisition</t>
        </is>
      </c>
      <c r="BD771" s="69" t="inlineStr">
        <is>
          <t>N</t>
        </is>
      </c>
      <c r="BE771" s="71" t="n"/>
      <c r="BF771" s="71" t="n"/>
      <c r="BG771" s="71" t="n">
        <v>8000000</v>
      </c>
      <c r="BH771" s="71" t="n">
        <v>0</v>
      </c>
      <c r="BI771" s="71" t="n">
        <v>0</v>
      </c>
      <c r="BJ771" s="69" t="inlineStr">
        <is>
          <t>N</t>
        </is>
      </c>
      <c r="BK771" s="69" t="inlineStr">
        <is>
          <t>Ranker Inc</t>
        </is>
      </c>
      <c r="BL771" s="75" t="n">
        <v>15.54</v>
      </c>
      <c r="BM771" s="73" t="n">
        <v>47756</v>
      </c>
      <c r="BN771" s="69" t="inlineStr">
        <is>
          <t>David Taban</t>
        </is>
      </c>
      <c r="BO771" s="69" t="inlineStr">
        <is>
          <t>GACC</t>
        </is>
      </c>
      <c r="BP771" s="69" t="inlineStr">
        <is>
          <t>Midland Loan Services</t>
        </is>
      </c>
      <c r="BQ771" s="69" t="inlineStr">
        <is>
          <t>K-Star Asset Management LLC</t>
        </is>
      </c>
      <c r="BR771" s="69" t="n"/>
      <c r="BS771" s="73" t="n">
        <v>46273</v>
      </c>
      <c r="BU771" s="76">
        <f>IF($C771="","",IFERROR(INDEX(dmName,MATCH($C771,dmID,0)),"Unmapped"))</f>
        <v/>
      </c>
      <c r="BV771" s="76">
        <f>IF($C771="","",IFERROR(INDEX(dmEntity,MATCH($C771,dmID,0)),"Unmapped"))</f>
        <v/>
      </c>
      <c r="BW771" s="77">
        <f>IF($C771="","",IFERROR(INDEX(dmVintage,MATCH($C771,dmID,0)),""))</f>
        <v/>
      </c>
      <c r="BX771" s="78">
        <f>IFERROR(INDEX(dmInclude,MATCH($C771,dmID,0)),0)</f>
        <v/>
      </c>
      <c r="BY771" s="78">
        <f>IF(N($I771)&gt;0,1,0)</f>
        <v/>
      </c>
      <c r="BZ771" s="76">
        <f>IF($AJ771="","Other / Leased Fee",IFERROR(INDEX(mapPTGroup,MATCH(LEFT(TRIM($AJ771),2),mapPTCode,0)),"Other / Leased Fee"))</f>
        <v/>
      </c>
      <c r="CA771" s="76">
        <f>IF(TRIM($AF771&amp;"")="","NR",LEFT(TRIM($AF771),2))</f>
        <v/>
      </c>
      <c r="CB771" s="76">
        <f>IFERROR(LOOKUP(2,1/(LEFT(TRIM($AI771&amp;""),LEN(mapRegion))=mapRegion),mapRegion),"Not Reported")</f>
        <v/>
      </c>
      <c r="CC771" s="76">
        <f>IF($BY771=0,"",IF(TRIM($W771&amp;"")="REO","REO",IF(TRIM($W771&amp;"")="FC","Foreclosure",IF(TRIM($W771&amp;"")="90+","90+ Days Delinquent",IF(TRIM($W771&amp;"")="60","60 Days Delinquent",IF(TRIM($W771&amp;"")="30","30 Days Delinquent",IF($X771="Non-Performing Matured Balloon","Non-Performing Matured Balloon",IF(OR($X771="Late Payment But Less Than 30 Days Delinquent",LEFT($X771&amp;"",20)="Payment Not Received"),"Late / In Grace (&lt;30 Days)",IF($X771="Performing Matured Balloon","Performing Matured Balloon","Current")))))))))</f>
        <v/>
      </c>
      <c r="CD771" s="78">
        <f>IF(OR($CC771="REO",$CC771="Foreclosure",$CC771="90+ Days Delinquent",$CC771="60 Days Delinquent",$CC771="30 Days Delinquent",$CC771="Non-Performing Matured Balloon"),1,0)</f>
        <v/>
      </c>
      <c r="CE771" s="76">
        <f>IF($AB771="Currently special serv","Currently Specially Serviced",IF($AB771="Returned to master serv","Previously Specially Serviced","Never Specially Serviced"))</f>
        <v/>
      </c>
      <c r="CF771" s="78">
        <f>IF($CE771="Currently Specially Serviced",1,0)</f>
        <v/>
      </c>
      <c r="CG771" s="76">
        <f>IF($AA771="Yes","Currently on Watchlist",IF($AA771="Previously","Previously on Watchlist","Never on Watchlist"))</f>
        <v/>
      </c>
      <c r="CH771" s="78">
        <f>IF($CG771="Currently on Watchlist",1,0)</f>
        <v/>
      </c>
      <c r="CI771" s="76">
        <f>IF($Z771="Full Defeasance","Fully Defeased",IF($Z771="Portion Of Loan Previously Defeased","Partially Defeased",IF($Z771="Defeasance Not Allowable","Not Defeased (Not Permitted)","Not Defeased")))</f>
        <v/>
      </c>
      <c r="CJ771" s="78">
        <f>IF($CI771="Fully Defeased",1,0)</f>
        <v/>
      </c>
      <c r="CK771" s="76">
        <f>IF($R771="IO","Full IO",IF(LEFT($R771&amp;"",7)="IO then","Partial IO","Amortizing"))</f>
        <v/>
      </c>
      <c r="CL771" s="78">
        <f>IF($CK771="Full IO",1,0)</f>
        <v/>
      </c>
      <c r="CM771" s="78">
        <f>IF($CK771="Partial IO",1,0)</f>
        <v/>
      </c>
      <c r="CN771" s="76">
        <f>IF(LEFT($F771&amp;"",10)="SPLIT_LOAN","Pari Passu Split","Standalone")</f>
        <v/>
      </c>
      <c r="CO771" s="78">
        <f>IF($CN771="Pari Passu Split",1,0)</f>
        <v/>
      </c>
      <c r="CP771" s="77">
        <f>IF(ISNUMBER($T771),YEAR($T771),"")</f>
        <v/>
      </c>
      <c r="CQ771" s="79">
        <f>IF(ISNUMBER($V771),$V771,IF(ISNUMBER($U771),$U771,""))</f>
        <v/>
      </c>
      <c r="CR771" s="77">
        <f>IF(ISNUMBER($CQ771),YEAR($CQ771),"")</f>
        <v/>
      </c>
      <c r="CS771" s="78">
        <f>IF(ISNUMBER($M771),MAX(0,$M771),IF(TRIM($M771&amp;"")="matured",0,""))</f>
        <v/>
      </c>
      <c r="CT771" s="78">
        <f>IF(AND(ISNUMBER($CS771),N($CS771)&lt;=mMatWindow),1,0)</f>
        <v/>
      </c>
      <c r="CU771" s="80">
        <f>IF(ISNUMBER($J771),$J771/100,"")</f>
        <v/>
      </c>
      <c r="CV771" s="81">
        <f>IF(ISNUMBER($AQ771),$AQ771,"")</f>
        <v/>
      </c>
      <c r="CW771" s="81">
        <f>IF(ISNUMBER($AR771),$AR771,"")</f>
        <v/>
      </c>
      <c r="CX771" s="82">
        <f>IF(ISNUMBER($AS771),$AS771/100,"")</f>
        <v/>
      </c>
      <c r="CY771" s="82">
        <f>IF(ISNUMBER($AT771),$AT771/100,"")</f>
        <v/>
      </c>
      <c r="CZ771" s="82">
        <f>IF(ISNUMBER($AU771),$AU771/100,"")</f>
        <v/>
      </c>
      <c r="DA771" s="82">
        <f>IF(ISNUMBER($AV771),$AV771/100,"")</f>
        <v/>
      </c>
      <c r="DB771" s="82">
        <f>IF(ISNUMBER($AW771),$AW771/100,"")</f>
        <v/>
      </c>
      <c r="DC771" s="82">
        <f>IF(ISNUMBER($AX771),$AX771/100,"")</f>
        <v/>
      </c>
      <c r="DD771" s="77">
        <f>IFERROR(VALUE(LEFT(TRIM($AO771&amp;""),4)),"")</f>
        <v/>
      </c>
      <c r="DE771" s="78">
        <f>IF(AND($BY771=1,$BX771=1,OR(fDeal="All Deals",$BU771=fDeal),OR(fEntity="All Entities",$BV771=fEntity),OR(fPType="All Property Types",$BZ771=fPType),OR(fDefeased="Include",$CJ771=0)),1,0)</f>
        <v/>
      </c>
      <c r="DF771" s="83">
        <f>$DE771*N($I771)</f>
        <v/>
      </c>
      <c r="DG771" s="78">
        <f>IF($DE771=1,IF(COUNTIFS($F$8:$F771,$F771,$DE$8:$DE771,1)=1,1,0),0)</f>
        <v/>
      </c>
      <c r="DH771" s="83">
        <f>IF($DG771=1,SUMIFS($DF$8:$DF$1600,$F$8:$F$1600,$F771),0)</f>
        <v/>
      </c>
      <c r="DI771" s="78">
        <f>IF($DG771=1,COUNTIFS($F$8:$F$1600,$F771,$DE$8:$DE$1600,1),0)</f>
        <v/>
      </c>
      <c r="DJ771" s="84">
        <f>IF($DG771=1,$DH771+(100000-ROW())/mTieBreak,0)</f>
        <v/>
      </c>
    </row>
    <row r="772">
      <c r="B772" s="68" t="n">
        <v>2</v>
      </c>
      <c r="C772" s="69" t="inlineStr">
        <is>
          <t>BCMK18B3</t>
        </is>
      </c>
      <c r="D772" s="69" t="inlineStr">
        <is>
          <t>2.000</t>
        </is>
      </c>
      <c r="E772" s="69" t="inlineStr">
        <is>
          <t>EOS 21</t>
        </is>
      </c>
      <c r="F772" s="69" t="inlineStr">
        <is>
          <t>SPLIT_LOAN_01242</t>
        </is>
      </c>
      <c r="G772" s="70" t="n">
        <v>1242</v>
      </c>
      <c r="H772" s="71" t="n">
        <v>60000000</v>
      </c>
      <c r="I772" s="71" t="n">
        <v>0</v>
      </c>
      <c r="J772" s="72" t="n">
        <v>3.88</v>
      </c>
      <c r="K772" s="69" t="inlineStr">
        <is>
          <t>Fixed rate</t>
        </is>
      </c>
      <c r="L772" s="68" t="n">
        <v>84</v>
      </c>
      <c r="M772" s="68" t="n"/>
      <c r="N772" s="68" t="n">
        <v>84</v>
      </c>
      <c r="O772" s="68" t="n">
        <v>84</v>
      </c>
      <c r="P772" s="68" t="n"/>
      <c r="Q772" s="68" t="n"/>
      <c r="R772" s="69" t="inlineStr">
        <is>
          <t>IO</t>
        </is>
      </c>
      <c r="S772" s="69" t="inlineStr">
        <is>
          <t>Yes</t>
        </is>
      </c>
      <c r="T772" s="73" t="n">
        <v>43070</v>
      </c>
      <c r="U772" s="73" t="n">
        <v>45627</v>
      </c>
      <c r="V772" s="73" t="n"/>
      <c r="W772" s="69" t="n"/>
      <c r="X772" s="69" t="inlineStr">
        <is>
          <t>Current</t>
        </is>
      </c>
      <c r="Y772" s="68" t="n"/>
      <c r="Z772" s="69" t="inlineStr">
        <is>
          <t>Full Defeasance</t>
        </is>
      </c>
      <c r="AA772" s="69" t="inlineStr">
        <is>
          <t>Previously</t>
        </is>
      </c>
      <c r="AB772" s="69" t="inlineStr">
        <is>
          <t>Never special serv</t>
        </is>
      </c>
      <c r="AC772" s="73" t="n"/>
      <c r="AD772" s="69" t="n"/>
      <c r="AE772" s="69" t="n"/>
      <c r="AF772" s="69" t="inlineStr">
        <is>
          <t>VA</t>
        </is>
      </c>
      <c r="AG772" s="69" t="inlineStr">
        <is>
          <t>Alexandria</t>
        </is>
      </c>
      <c r="AH772" s="69" t="inlineStr">
        <is>
          <t>Washington-Arlington-Alexandria, DC-VA-MD-WV</t>
        </is>
      </c>
      <c r="AI772" s="69" t="inlineStr">
        <is>
          <t>South / Atlantic</t>
        </is>
      </c>
      <c r="AJ772" s="69" t="inlineStr">
        <is>
          <t>MF</t>
        </is>
      </c>
      <c r="AK772" s="69" t="inlineStr">
        <is>
          <t>Mid Rise</t>
        </is>
      </c>
      <c r="AL772" s="68" t="n">
        <v>1</v>
      </c>
      <c r="AM772" s="68" t="n">
        <v>1180</v>
      </c>
      <c r="AN772" s="68" t="n"/>
      <c r="AO772" s="69" t="inlineStr">
        <is>
          <t>1963, 1967</t>
        </is>
      </c>
      <c r="AP772" s="70" t="n">
        <v>2012</v>
      </c>
      <c r="AQ772" s="74" t="n">
        <v>1.87</v>
      </c>
      <c r="AR772" s="74" t="n">
        <v>1.92</v>
      </c>
      <c r="AS772" s="74" t="n">
        <v>64.8</v>
      </c>
      <c r="AT772" s="74" t="n"/>
      <c r="AU772" s="74" t="n">
        <v>64.8</v>
      </c>
      <c r="AV772" s="74" t="n">
        <v>7.339250667</v>
      </c>
      <c r="AW772" s="74" t="n"/>
      <c r="AX772" s="75" t="n">
        <v>93</v>
      </c>
      <c r="AY772" s="71" t="n">
        <v>231400000</v>
      </c>
      <c r="AZ772" s="71" t="n">
        <v>231400000</v>
      </c>
      <c r="BA772" s="71" t="n">
        <v>11008876</v>
      </c>
      <c r="BB772" s="71" t="n">
        <v>11324312.97</v>
      </c>
      <c r="BC772" s="69" t="inlineStr">
        <is>
          <t>Acquisition</t>
        </is>
      </c>
      <c r="BD772" s="69" t="inlineStr">
        <is>
          <t>N</t>
        </is>
      </c>
      <c r="BE772" s="71" t="n">
        <v>0</v>
      </c>
      <c r="BF772" s="71" t="n"/>
      <c r="BG772" s="71" t="n"/>
      <c r="BH772" s="71" t="n">
        <v>0</v>
      </c>
      <c r="BI772" s="71" t="n">
        <v>0</v>
      </c>
      <c r="BJ772" s="69" t="inlineStr">
        <is>
          <t>N</t>
        </is>
      </c>
      <c r="BK772" s="69" t="n"/>
      <c r="BL772" s="75" t="n"/>
      <c r="BM772" s="73" t="n"/>
      <c r="BN772" s="69" t="inlineStr">
        <is>
          <t>CIM SMA I-B Investments, LLC</t>
        </is>
      </c>
      <c r="BO772" s="69" t="inlineStr">
        <is>
          <t>JPMorgan Chase</t>
        </is>
      </c>
      <c r="BP772" s="69" t="inlineStr">
        <is>
          <t>Midland Loan Services</t>
        </is>
      </c>
      <c r="BQ772" s="69" t="inlineStr">
        <is>
          <t>CWCapital</t>
        </is>
      </c>
      <c r="BR772" s="69" t="inlineStr">
        <is>
          <t>Payoff Prior To Maturity</t>
        </is>
      </c>
      <c r="BS772" s="73" t="n">
        <v>45541</v>
      </c>
      <c r="BU772" s="76">
        <f>IF($C772="","",IFERROR(INDEX(dmName,MATCH($C772,dmID,0)),"Unmapped"))</f>
        <v/>
      </c>
      <c r="BV772" s="76">
        <f>IF($C772="","",IFERROR(INDEX(dmEntity,MATCH($C772,dmID,0)),"Unmapped"))</f>
        <v/>
      </c>
      <c r="BW772" s="77">
        <f>IF($C772="","",IFERROR(INDEX(dmVintage,MATCH($C772,dmID,0)),""))</f>
        <v/>
      </c>
      <c r="BX772" s="78">
        <f>IFERROR(INDEX(dmInclude,MATCH($C772,dmID,0)),0)</f>
        <v/>
      </c>
      <c r="BY772" s="78">
        <f>IF(N($I772)&gt;0,1,0)</f>
        <v/>
      </c>
      <c r="BZ772" s="76">
        <f>IF($AJ772="","Other / Leased Fee",IFERROR(INDEX(mapPTGroup,MATCH(LEFT(TRIM($AJ772),2),mapPTCode,0)),"Other / Leased Fee"))</f>
        <v/>
      </c>
      <c r="CA772" s="76">
        <f>IF(TRIM($AF772&amp;"")="","NR",LEFT(TRIM($AF772),2))</f>
        <v/>
      </c>
      <c r="CB772" s="76">
        <f>IFERROR(LOOKUP(2,1/(LEFT(TRIM($AI772&amp;""),LEN(mapRegion))=mapRegion),mapRegion),"Not Reported")</f>
        <v/>
      </c>
      <c r="CC772" s="76">
        <f>IF($BY772=0,"",IF(TRIM($W772&amp;"")="REO","REO",IF(TRIM($W772&amp;"")="FC","Foreclosure",IF(TRIM($W772&amp;"")="90+","90+ Days Delinquent",IF(TRIM($W772&amp;"")="60","60 Days Delinquent",IF(TRIM($W772&amp;"")="30","30 Days Delinquent",IF($X772="Non-Performing Matured Balloon","Non-Performing Matured Balloon",IF(OR($X772="Late Payment But Less Than 30 Days Delinquent",LEFT($X772&amp;"",20)="Payment Not Received"),"Late / In Grace (&lt;30 Days)",IF($X772="Performing Matured Balloon","Performing Matured Balloon","Current")))))))))</f>
        <v/>
      </c>
      <c r="CD772" s="78">
        <f>IF(OR($CC772="REO",$CC772="Foreclosure",$CC772="90+ Days Delinquent",$CC772="60 Days Delinquent",$CC772="30 Days Delinquent",$CC772="Non-Performing Matured Balloon"),1,0)</f>
        <v/>
      </c>
      <c r="CE772" s="76">
        <f>IF($AB772="Currently special serv","Currently Specially Serviced",IF($AB772="Returned to master serv","Previously Specially Serviced","Never Specially Serviced"))</f>
        <v/>
      </c>
      <c r="CF772" s="78">
        <f>IF($CE772="Currently Specially Serviced",1,0)</f>
        <v/>
      </c>
      <c r="CG772" s="76">
        <f>IF($AA772="Yes","Currently on Watchlist",IF($AA772="Previously","Previously on Watchlist","Never on Watchlist"))</f>
        <v/>
      </c>
      <c r="CH772" s="78">
        <f>IF($CG772="Currently on Watchlist",1,0)</f>
        <v/>
      </c>
      <c r="CI772" s="76">
        <f>IF($Z772="Full Defeasance","Fully Defeased",IF($Z772="Portion Of Loan Previously Defeased","Partially Defeased",IF($Z772="Defeasance Not Allowable","Not Defeased (Not Permitted)","Not Defeased")))</f>
        <v/>
      </c>
      <c r="CJ772" s="78">
        <f>IF($CI772="Fully Defeased",1,0)</f>
        <v/>
      </c>
      <c r="CK772" s="76">
        <f>IF($R772="IO","Full IO",IF(LEFT($R772&amp;"",7)="IO then","Partial IO","Amortizing"))</f>
        <v/>
      </c>
      <c r="CL772" s="78">
        <f>IF($CK772="Full IO",1,0)</f>
        <v/>
      </c>
      <c r="CM772" s="78">
        <f>IF($CK772="Partial IO",1,0)</f>
        <v/>
      </c>
      <c r="CN772" s="76">
        <f>IF(LEFT($F772&amp;"",10)="SPLIT_LOAN","Pari Passu Split","Standalone")</f>
        <v/>
      </c>
      <c r="CO772" s="78">
        <f>IF($CN772="Pari Passu Split",1,0)</f>
        <v/>
      </c>
      <c r="CP772" s="77">
        <f>IF(ISNUMBER($T772),YEAR($T772),"")</f>
        <v/>
      </c>
      <c r="CQ772" s="79">
        <f>IF(ISNUMBER($V772),$V772,IF(ISNUMBER($U772),$U772,""))</f>
        <v/>
      </c>
      <c r="CR772" s="77">
        <f>IF(ISNUMBER($CQ772),YEAR($CQ772),"")</f>
        <v/>
      </c>
      <c r="CS772" s="78">
        <f>IF(ISNUMBER($M772),MAX(0,$M772),IF(TRIM($M772&amp;"")="matured",0,""))</f>
        <v/>
      </c>
      <c r="CT772" s="78">
        <f>IF(AND(ISNUMBER($CS772),N($CS772)&lt;=mMatWindow),1,0)</f>
        <v/>
      </c>
      <c r="CU772" s="80">
        <f>IF(ISNUMBER($J772),$J772/100,"")</f>
        <v/>
      </c>
      <c r="CV772" s="81">
        <f>IF(ISNUMBER($AQ772),$AQ772,"")</f>
        <v/>
      </c>
      <c r="CW772" s="81">
        <f>IF(ISNUMBER($AR772),$AR772,"")</f>
        <v/>
      </c>
      <c r="CX772" s="82">
        <f>IF(ISNUMBER($AS772),$AS772/100,"")</f>
        <v/>
      </c>
      <c r="CY772" s="82">
        <f>IF(ISNUMBER($AT772),$AT772/100,"")</f>
        <v/>
      </c>
      <c r="CZ772" s="82">
        <f>IF(ISNUMBER($AU772),$AU772/100,"")</f>
        <v/>
      </c>
      <c r="DA772" s="82">
        <f>IF(ISNUMBER($AV772),$AV772/100,"")</f>
        <v/>
      </c>
      <c r="DB772" s="82">
        <f>IF(ISNUMBER($AW772),$AW772/100,"")</f>
        <v/>
      </c>
      <c r="DC772" s="82">
        <f>IF(ISNUMBER($AX772),$AX772/100,"")</f>
        <v/>
      </c>
      <c r="DD772" s="77">
        <f>IFERROR(VALUE(LEFT(TRIM($AO772&amp;""),4)),"")</f>
        <v/>
      </c>
      <c r="DE772" s="78">
        <f>IF(AND($BY772=1,$BX772=1,OR(fDeal="All Deals",$BU772=fDeal),OR(fEntity="All Entities",$BV772=fEntity),OR(fPType="All Property Types",$BZ772=fPType),OR(fDefeased="Include",$CJ772=0)),1,0)</f>
        <v/>
      </c>
      <c r="DF772" s="83">
        <f>$DE772*N($I772)</f>
        <v/>
      </c>
      <c r="DG772" s="78">
        <f>IF($DE772=1,IF(COUNTIFS($F$8:$F772,$F772,$DE$8:$DE772,1)=1,1,0),0)</f>
        <v/>
      </c>
      <c r="DH772" s="83">
        <f>IF($DG772=1,SUMIFS($DF$8:$DF$1600,$F$8:$F$1600,$F772),0)</f>
        <v/>
      </c>
      <c r="DI772" s="78">
        <f>IF($DG772=1,COUNTIFS($F$8:$F$1600,$F772,$DE$8:$DE$1600,1),0)</f>
        <v/>
      </c>
      <c r="DJ772" s="84">
        <f>IF($DG772=1,$DH772+(100000-ROW())/mTieBreak,0)</f>
        <v/>
      </c>
    </row>
    <row r="773">
      <c r="B773" s="68" t="n">
        <v>3</v>
      </c>
      <c r="C773" s="69" t="inlineStr">
        <is>
          <t>BCMK18B3</t>
        </is>
      </c>
      <c r="D773" s="69" t="inlineStr">
        <is>
          <t>3.000</t>
        </is>
      </c>
      <c r="E773" s="69" t="inlineStr">
        <is>
          <t>The SoCal Portfolio</t>
        </is>
      </c>
      <c r="F773" s="69" t="inlineStr">
        <is>
          <t>SPLIT_LOAN_01249</t>
        </is>
      </c>
      <c r="G773" s="70" t="n">
        <v>1249</v>
      </c>
      <c r="H773" s="71" t="n">
        <v>50000000</v>
      </c>
      <c r="I773" s="71" t="n">
        <v>47253612.98</v>
      </c>
      <c r="J773" s="72" t="n">
        <v>4.89</v>
      </c>
      <c r="K773" s="69" t="inlineStr">
        <is>
          <t>Fixed rate</t>
        </is>
      </c>
      <c r="L773" s="68" t="n">
        <v>120</v>
      </c>
      <c r="M773" s="68" t="n">
        <v>17</v>
      </c>
      <c r="N773" s="68" t="n">
        <v>420</v>
      </c>
      <c r="O773" s="68" t="n">
        <v>60</v>
      </c>
      <c r="P773" s="68" t="n">
        <v>0</v>
      </c>
      <c r="Q773" s="68" t="n">
        <v>103</v>
      </c>
      <c r="R773" s="69" t="inlineStr">
        <is>
          <t>IO then Amort</t>
        </is>
      </c>
      <c r="S773" s="69" t="inlineStr">
        <is>
          <t>No</t>
        </is>
      </c>
      <c r="T773" s="73" t="n">
        <v>43132</v>
      </c>
      <c r="U773" s="73" t="n">
        <v>46789</v>
      </c>
      <c r="V773" s="73" t="n"/>
      <c r="W773" s="69" t="n"/>
      <c r="X773" s="69" t="inlineStr">
        <is>
          <t>Current</t>
        </is>
      </c>
      <c r="Y773" s="68" t="n"/>
      <c r="Z773" s="69" t="inlineStr">
        <is>
          <t>No Defeasance Occurred</t>
        </is>
      </c>
      <c r="AA773" s="69" t="inlineStr">
        <is>
          <t>Yes</t>
        </is>
      </c>
      <c r="AB773" s="69" t="inlineStr">
        <is>
          <t>Never special serv</t>
        </is>
      </c>
      <c r="AC773" s="73" t="n"/>
      <c r="AD773" s="69" t="n"/>
      <c r="AE773" s="69" t="n"/>
      <c r="AF773" s="69" t="inlineStr">
        <is>
          <t>CA</t>
        </is>
      </c>
      <c r="AG773" s="69" t="n"/>
      <c r="AH773" s="69" t="inlineStr">
        <is>
          <t>Los Angeles-Long Beach-Anaheim, CA-49.582220041% Riverside-San Bernardino-Ontario, CA-41.454593608% Fresno, CA-6.541648256% Bakersfield-Delano, CA-2.421538095%</t>
        </is>
      </c>
      <c r="AI773" s="69" t="inlineStr">
        <is>
          <t>West / Pacific South-93.458351744% West / Pacific North-6.541648256%</t>
        </is>
      </c>
      <c r="AJ773" s="69" t="inlineStr">
        <is>
          <t>OF-36.037801435% RT-34.577181418% MX-21.751138843% IN-7.633878304%</t>
        </is>
      </c>
      <c r="AK773" s="69" t="n"/>
      <c r="AL773" s="68" t="n">
        <v>24</v>
      </c>
      <c r="AM773" s="68" t="n"/>
      <c r="AN773" s="68" t="n">
        <v>2194425</v>
      </c>
      <c r="AO773" s="69" t="n"/>
      <c r="AP773" s="70" t="n">
        <v>2015</v>
      </c>
      <c r="AQ773" s="74" t="n">
        <v>1.48</v>
      </c>
      <c r="AR773" s="74" t="n">
        <v>2.11</v>
      </c>
      <c r="AS773" s="74" t="n">
        <v>59.38</v>
      </c>
      <c r="AT773" s="74" t="n">
        <v>56.12</v>
      </c>
      <c r="AU773" s="74" t="n">
        <v>54.67</v>
      </c>
      <c r="AV773" s="74" t="n">
        <v>9.413429472000001</v>
      </c>
      <c r="AW773" s="74" t="n">
        <v>12.230457361</v>
      </c>
      <c r="AX773" s="75" t="n">
        <v>93</v>
      </c>
      <c r="AY773" s="71" t="n">
        <v>386140000</v>
      </c>
      <c r="AZ773" s="71" t="n">
        <v>386140000</v>
      </c>
      <c r="BA773" s="71" t="n">
        <v>21584993.78</v>
      </c>
      <c r="BB773" s="71" t="n">
        <v>7693021.8</v>
      </c>
      <c r="BC773" s="69" t="inlineStr">
        <is>
          <t>Refinance</t>
        </is>
      </c>
      <c r="BD773" s="69" t="inlineStr">
        <is>
          <t>Y</t>
        </is>
      </c>
      <c r="BE773" s="71" t="n">
        <v>169451456.15</v>
      </c>
      <c r="BF773" s="71" t="n"/>
      <c r="BG773" s="71" t="n"/>
      <c r="BH773" s="71" t="n">
        <v>0</v>
      </c>
      <c r="BI773" s="71" t="n">
        <v>0</v>
      </c>
      <c r="BJ773" s="69" t="inlineStr">
        <is>
          <t>Y</t>
        </is>
      </c>
      <c r="BK773" s="69" t="inlineStr">
        <is>
          <t>Caro Nut Company</t>
        </is>
      </c>
      <c r="BL773" s="75" t="n">
        <v>5.7</v>
      </c>
      <c r="BM773" s="73" t="n">
        <v>48730</v>
      </c>
      <c r="BN773" s="69" t="inlineStr">
        <is>
          <t>Donald G. Abbey</t>
        </is>
      </c>
      <c r="BO773" s="69" t="inlineStr">
        <is>
          <t>Citigroup Global Markets</t>
        </is>
      </c>
      <c r="BP773" s="69" t="inlineStr">
        <is>
          <t>Midland Loan Services</t>
        </is>
      </c>
      <c r="BQ773" s="69" t="inlineStr">
        <is>
          <t>LNR Partners</t>
        </is>
      </c>
      <c r="BR773" s="69" t="n"/>
      <c r="BS773" s="73" t="n">
        <v>46273</v>
      </c>
      <c r="BU773" s="76">
        <f>IF($C773="","",IFERROR(INDEX(dmName,MATCH($C773,dmID,0)),"Unmapped"))</f>
        <v/>
      </c>
      <c r="BV773" s="76">
        <f>IF($C773="","",IFERROR(INDEX(dmEntity,MATCH($C773,dmID,0)),"Unmapped"))</f>
        <v/>
      </c>
      <c r="BW773" s="77">
        <f>IF($C773="","",IFERROR(INDEX(dmVintage,MATCH($C773,dmID,0)),""))</f>
        <v/>
      </c>
      <c r="BX773" s="78">
        <f>IFERROR(INDEX(dmInclude,MATCH($C773,dmID,0)),0)</f>
        <v/>
      </c>
      <c r="BY773" s="78">
        <f>IF(N($I773)&gt;0,1,0)</f>
        <v/>
      </c>
      <c r="BZ773" s="76">
        <f>IF($AJ773="","Other / Leased Fee",IFERROR(INDEX(mapPTGroup,MATCH(LEFT(TRIM($AJ773),2),mapPTCode,0)),"Other / Leased Fee"))</f>
        <v/>
      </c>
      <c r="CA773" s="76">
        <f>IF(TRIM($AF773&amp;"")="","NR",LEFT(TRIM($AF773),2))</f>
        <v/>
      </c>
      <c r="CB773" s="76">
        <f>IFERROR(LOOKUP(2,1/(LEFT(TRIM($AI773&amp;""),LEN(mapRegion))=mapRegion),mapRegion),"Not Reported")</f>
        <v/>
      </c>
      <c r="CC773" s="76">
        <f>IF($BY773=0,"",IF(TRIM($W773&amp;"")="REO","REO",IF(TRIM($W773&amp;"")="FC","Foreclosure",IF(TRIM($W773&amp;"")="90+","90+ Days Delinquent",IF(TRIM($W773&amp;"")="60","60 Days Delinquent",IF(TRIM($W773&amp;"")="30","30 Days Delinquent",IF($X773="Non-Performing Matured Balloon","Non-Performing Matured Balloon",IF(OR($X773="Late Payment But Less Than 30 Days Delinquent",LEFT($X773&amp;"",20)="Payment Not Received"),"Late / In Grace (&lt;30 Days)",IF($X773="Performing Matured Balloon","Performing Matured Balloon","Current")))))))))</f>
        <v/>
      </c>
      <c r="CD773" s="78">
        <f>IF(OR($CC773="REO",$CC773="Foreclosure",$CC773="90+ Days Delinquent",$CC773="60 Days Delinquent",$CC773="30 Days Delinquent",$CC773="Non-Performing Matured Balloon"),1,0)</f>
        <v/>
      </c>
      <c r="CE773" s="76">
        <f>IF($AB773="Currently special serv","Currently Specially Serviced",IF($AB773="Returned to master serv","Previously Specially Serviced","Never Specially Serviced"))</f>
        <v/>
      </c>
      <c r="CF773" s="78">
        <f>IF($CE773="Currently Specially Serviced",1,0)</f>
        <v/>
      </c>
      <c r="CG773" s="76">
        <f>IF($AA773="Yes","Currently on Watchlist",IF($AA773="Previously","Previously on Watchlist","Never on Watchlist"))</f>
        <v/>
      </c>
      <c r="CH773" s="78">
        <f>IF($CG773="Currently on Watchlist",1,0)</f>
        <v/>
      </c>
      <c r="CI773" s="76">
        <f>IF($Z773="Full Defeasance","Fully Defeased",IF($Z773="Portion Of Loan Previously Defeased","Partially Defeased",IF($Z773="Defeasance Not Allowable","Not Defeased (Not Permitted)","Not Defeased")))</f>
        <v/>
      </c>
      <c r="CJ773" s="78">
        <f>IF($CI773="Fully Defeased",1,0)</f>
        <v/>
      </c>
      <c r="CK773" s="76">
        <f>IF($R773="IO","Full IO",IF(LEFT($R773&amp;"",7)="IO then","Partial IO","Amortizing"))</f>
        <v/>
      </c>
      <c r="CL773" s="78">
        <f>IF($CK773="Full IO",1,0)</f>
        <v/>
      </c>
      <c r="CM773" s="78">
        <f>IF($CK773="Partial IO",1,0)</f>
        <v/>
      </c>
      <c r="CN773" s="76">
        <f>IF(LEFT($F773&amp;"",10)="SPLIT_LOAN","Pari Passu Split","Standalone")</f>
        <v/>
      </c>
      <c r="CO773" s="78">
        <f>IF($CN773="Pari Passu Split",1,0)</f>
        <v/>
      </c>
      <c r="CP773" s="77">
        <f>IF(ISNUMBER($T773),YEAR($T773),"")</f>
        <v/>
      </c>
      <c r="CQ773" s="79">
        <f>IF(ISNUMBER($V773),$V773,IF(ISNUMBER($U773),$U773,""))</f>
        <v/>
      </c>
      <c r="CR773" s="77">
        <f>IF(ISNUMBER($CQ773),YEAR($CQ773),"")</f>
        <v/>
      </c>
      <c r="CS773" s="78">
        <f>IF(ISNUMBER($M773),MAX(0,$M773),IF(TRIM($M773&amp;"")="matured",0,""))</f>
        <v/>
      </c>
      <c r="CT773" s="78">
        <f>IF(AND(ISNUMBER($CS773),N($CS773)&lt;=mMatWindow),1,0)</f>
        <v/>
      </c>
      <c r="CU773" s="80">
        <f>IF(ISNUMBER($J773),$J773/100,"")</f>
        <v/>
      </c>
      <c r="CV773" s="81">
        <f>IF(ISNUMBER($AQ773),$AQ773,"")</f>
        <v/>
      </c>
      <c r="CW773" s="81">
        <f>IF(ISNUMBER($AR773),$AR773,"")</f>
        <v/>
      </c>
      <c r="CX773" s="82">
        <f>IF(ISNUMBER($AS773),$AS773/100,"")</f>
        <v/>
      </c>
      <c r="CY773" s="82">
        <f>IF(ISNUMBER($AT773),$AT773/100,"")</f>
        <v/>
      </c>
      <c r="CZ773" s="82">
        <f>IF(ISNUMBER($AU773),$AU773/100,"")</f>
        <v/>
      </c>
      <c r="DA773" s="82">
        <f>IF(ISNUMBER($AV773),$AV773/100,"")</f>
        <v/>
      </c>
      <c r="DB773" s="82">
        <f>IF(ISNUMBER($AW773),$AW773/100,"")</f>
        <v/>
      </c>
      <c r="DC773" s="82">
        <f>IF(ISNUMBER($AX773),$AX773/100,"")</f>
        <v/>
      </c>
      <c r="DD773" s="77">
        <f>IFERROR(VALUE(LEFT(TRIM($AO773&amp;""),4)),"")</f>
        <v/>
      </c>
      <c r="DE773" s="78">
        <f>IF(AND($BY773=1,$BX773=1,OR(fDeal="All Deals",$BU773=fDeal),OR(fEntity="All Entities",$BV773=fEntity),OR(fPType="All Property Types",$BZ773=fPType),OR(fDefeased="Include",$CJ773=0)),1,0)</f>
        <v/>
      </c>
      <c r="DF773" s="83">
        <f>$DE773*N($I773)</f>
        <v/>
      </c>
      <c r="DG773" s="78">
        <f>IF($DE773=1,IF(COUNTIFS($F$8:$F773,$F773,$DE$8:$DE773,1)=1,1,0),0)</f>
        <v/>
      </c>
      <c r="DH773" s="83">
        <f>IF($DG773=1,SUMIFS($DF$8:$DF$1600,$F$8:$F$1600,$F773),0)</f>
        <v/>
      </c>
      <c r="DI773" s="78">
        <f>IF($DG773=1,COUNTIFS($F$8:$F$1600,$F773,$DE$8:$DE$1600,1),0)</f>
        <v/>
      </c>
      <c r="DJ773" s="84">
        <f>IF($DG773=1,$DH773+(100000-ROW())/mTieBreak,0)</f>
        <v/>
      </c>
    </row>
    <row r="774">
      <c r="B774" s="68" t="n">
        <v>4</v>
      </c>
      <c r="C774" s="69" t="inlineStr">
        <is>
          <t>BCMK18B3</t>
        </is>
      </c>
      <c r="D774" s="69" t="inlineStr">
        <is>
          <t>4.TR</t>
        </is>
      </c>
      <c r="E774" s="69" t="inlineStr">
        <is>
          <t>Twelve Oaks Mall - Trust</t>
        </is>
      </c>
      <c r="F774" s="69" t="inlineStr">
        <is>
          <t>SPLIT_LOAN_01253</t>
        </is>
      </c>
      <c r="G774" s="70" t="n">
        <v>1253</v>
      </c>
      <c r="H774" s="71" t="n">
        <v>50000000</v>
      </c>
      <c r="I774" s="71" t="n">
        <v>42581179.78000001</v>
      </c>
      <c r="J774" s="72" t="n">
        <v>4.3985</v>
      </c>
      <c r="K774" s="69" t="inlineStr">
        <is>
          <t>Fixed rate</t>
        </is>
      </c>
      <c r="L774" s="68" t="n">
        <v>120</v>
      </c>
      <c r="M774" s="68" t="n">
        <v>18</v>
      </c>
      <c r="N774" s="68" t="n">
        <v>360</v>
      </c>
      <c r="O774" s="68" t="n"/>
      <c r="P774" s="68" t="n"/>
      <c r="Q774" s="68" t="n">
        <v>102</v>
      </c>
      <c r="R774" s="69" t="inlineStr">
        <is>
          <t>Sched</t>
        </is>
      </c>
      <c r="S774" s="69" t="inlineStr">
        <is>
          <t>No</t>
        </is>
      </c>
      <c r="T774" s="73" t="n">
        <v>43160</v>
      </c>
      <c r="U774" s="73" t="n">
        <v>46818</v>
      </c>
      <c r="V774" s="73" t="n"/>
      <c r="W774" s="69" t="n"/>
      <c r="X774" s="69" t="inlineStr">
        <is>
          <t>Current</t>
        </is>
      </c>
      <c r="Y774" s="68" t="n"/>
      <c r="Z774" s="69" t="inlineStr">
        <is>
          <t>No Defeasance Occurred</t>
        </is>
      </c>
      <c r="AA774" s="69" t="n"/>
      <c r="AB774" s="69" t="inlineStr">
        <is>
          <t>Never special serv</t>
        </is>
      </c>
      <c r="AC774" s="73" t="n"/>
      <c r="AD774" s="69" t="n"/>
      <c r="AE774" s="69" t="n"/>
      <c r="AF774" s="69" t="inlineStr">
        <is>
          <t>MI</t>
        </is>
      </c>
      <c r="AG774" s="69" t="inlineStr">
        <is>
          <t>Novi</t>
        </is>
      </c>
      <c r="AH774" s="69" t="inlineStr">
        <is>
          <t>Detroit-Warren-Dearborn, MI</t>
        </is>
      </c>
      <c r="AI774" s="69" t="inlineStr">
        <is>
          <t>Midwest / Central East</t>
        </is>
      </c>
      <c r="AJ774" s="69" t="inlineStr">
        <is>
          <t>RT</t>
        </is>
      </c>
      <c r="AK774" s="69" t="inlineStr">
        <is>
          <t>Super Regional Mall</t>
        </is>
      </c>
      <c r="AL774" s="68" t="n">
        <v>1</v>
      </c>
      <c r="AM774" s="68" t="n"/>
      <c r="AN774" s="68" t="n">
        <v>709771</v>
      </c>
      <c r="AO774" s="69" t="inlineStr">
        <is>
          <t>1977</t>
        </is>
      </c>
      <c r="AP774" s="70" t="n">
        <v>2007</v>
      </c>
      <c r="AQ774" s="74" t="n">
        <v>2.55</v>
      </c>
      <c r="AR774" s="74" t="n">
        <v>2.14</v>
      </c>
      <c r="AS774" s="74" t="n">
        <v>36.1</v>
      </c>
      <c r="AT774" s="74" t="n">
        <v>30.81</v>
      </c>
      <c r="AU774" s="74" t="n">
        <v>29.6</v>
      </c>
      <c r="AV774" s="74" t="n">
        <v>15.0055545</v>
      </c>
      <c r="AW774" s="74" t="n">
        <v>14.898131775</v>
      </c>
      <c r="AX774" s="75" t="n">
        <v>90</v>
      </c>
      <c r="AY774" s="71" t="n">
        <v>552900000</v>
      </c>
      <c r="AZ774" s="71" t="n">
        <v>552900000</v>
      </c>
      <c r="BA774" s="71" t="n">
        <v>30011109</v>
      </c>
      <c r="BB774" s="71" t="n">
        <v>25375201.1</v>
      </c>
      <c r="BC774" s="69" t="inlineStr">
        <is>
          <t>Recapitalization</t>
        </is>
      </c>
      <c r="BD774" s="69" t="inlineStr">
        <is>
          <t>N</t>
        </is>
      </c>
      <c r="BE774" s="71" t="n">
        <v>127743539.34</v>
      </c>
      <c r="BF774" s="71" t="n">
        <v>85162359.56</v>
      </c>
      <c r="BG774" s="71" t="n"/>
      <c r="BH774" s="71" t="n">
        <v>0</v>
      </c>
      <c r="BI774" s="71" t="n">
        <v>0</v>
      </c>
      <c r="BJ774" s="69" t="inlineStr">
        <is>
          <t>N</t>
        </is>
      </c>
      <c r="BK774" s="69" t="inlineStr">
        <is>
          <t>Crate Barrel</t>
        </is>
      </c>
      <c r="BL774" s="75" t="n">
        <v>3.81</v>
      </c>
      <c r="BM774" s="73" t="n">
        <v>47879</v>
      </c>
      <c r="BN774" s="69" t="inlineStr">
        <is>
          <t>The Taubman Realty Group Limited Partnership</t>
        </is>
      </c>
      <c r="BO774" s="69" t="inlineStr">
        <is>
          <t>JPMorgan Chase</t>
        </is>
      </c>
      <c r="BP774" s="69" t="inlineStr">
        <is>
          <t>Midland Loan Services</t>
        </is>
      </c>
      <c r="BQ774" s="69" t="inlineStr">
        <is>
          <t>Rialto Capital</t>
        </is>
      </c>
      <c r="BR774" s="69" t="n"/>
      <c r="BS774" s="73" t="n">
        <v>46273</v>
      </c>
      <c r="BU774" s="76">
        <f>IF($C774="","",IFERROR(INDEX(dmName,MATCH($C774,dmID,0)),"Unmapped"))</f>
        <v/>
      </c>
      <c r="BV774" s="76">
        <f>IF($C774="","",IFERROR(INDEX(dmEntity,MATCH($C774,dmID,0)),"Unmapped"))</f>
        <v/>
      </c>
      <c r="BW774" s="77">
        <f>IF($C774="","",IFERROR(INDEX(dmVintage,MATCH($C774,dmID,0)),""))</f>
        <v/>
      </c>
      <c r="BX774" s="78">
        <f>IFERROR(INDEX(dmInclude,MATCH($C774,dmID,0)),0)</f>
        <v/>
      </c>
      <c r="BY774" s="78">
        <f>IF(N($I774)&gt;0,1,0)</f>
        <v/>
      </c>
      <c r="BZ774" s="76">
        <f>IF($AJ774="","Other / Leased Fee",IFERROR(INDEX(mapPTGroup,MATCH(LEFT(TRIM($AJ774),2),mapPTCode,0)),"Other / Leased Fee"))</f>
        <v/>
      </c>
      <c r="CA774" s="76">
        <f>IF(TRIM($AF774&amp;"")="","NR",LEFT(TRIM($AF774),2))</f>
        <v/>
      </c>
      <c r="CB774" s="76">
        <f>IFERROR(LOOKUP(2,1/(LEFT(TRIM($AI774&amp;""),LEN(mapRegion))=mapRegion),mapRegion),"Not Reported")</f>
        <v/>
      </c>
      <c r="CC774" s="76">
        <f>IF($BY774=0,"",IF(TRIM($W774&amp;"")="REO","REO",IF(TRIM($W774&amp;"")="FC","Foreclosure",IF(TRIM($W774&amp;"")="90+","90+ Days Delinquent",IF(TRIM($W774&amp;"")="60","60 Days Delinquent",IF(TRIM($W774&amp;"")="30","30 Days Delinquent",IF($X774="Non-Performing Matured Balloon","Non-Performing Matured Balloon",IF(OR($X774="Late Payment But Less Than 30 Days Delinquent",LEFT($X774&amp;"",20)="Payment Not Received"),"Late / In Grace (&lt;30 Days)",IF($X774="Performing Matured Balloon","Performing Matured Balloon","Current")))))))))</f>
        <v/>
      </c>
      <c r="CD774" s="78">
        <f>IF(OR($CC774="REO",$CC774="Foreclosure",$CC774="90+ Days Delinquent",$CC774="60 Days Delinquent",$CC774="30 Days Delinquent",$CC774="Non-Performing Matured Balloon"),1,0)</f>
        <v/>
      </c>
      <c r="CE774" s="76">
        <f>IF($AB774="Currently special serv","Currently Specially Serviced",IF($AB774="Returned to master serv","Previously Specially Serviced","Never Specially Serviced"))</f>
        <v/>
      </c>
      <c r="CF774" s="78">
        <f>IF($CE774="Currently Specially Serviced",1,0)</f>
        <v/>
      </c>
      <c r="CG774" s="76">
        <f>IF($AA774="Yes","Currently on Watchlist",IF($AA774="Previously","Previously on Watchlist","Never on Watchlist"))</f>
        <v/>
      </c>
      <c r="CH774" s="78">
        <f>IF($CG774="Currently on Watchlist",1,0)</f>
        <v/>
      </c>
      <c r="CI774" s="76">
        <f>IF($Z774="Full Defeasance","Fully Defeased",IF($Z774="Portion Of Loan Previously Defeased","Partially Defeased",IF($Z774="Defeasance Not Allowable","Not Defeased (Not Permitted)","Not Defeased")))</f>
        <v/>
      </c>
      <c r="CJ774" s="78">
        <f>IF($CI774="Fully Defeased",1,0)</f>
        <v/>
      </c>
      <c r="CK774" s="76">
        <f>IF($R774="IO","Full IO",IF(LEFT($R774&amp;"",7)="IO then","Partial IO","Amortizing"))</f>
        <v/>
      </c>
      <c r="CL774" s="78">
        <f>IF($CK774="Full IO",1,0)</f>
        <v/>
      </c>
      <c r="CM774" s="78">
        <f>IF($CK774="Partial IO",1,0)</f>
        <v/>
      </c>
      <c r="CN774" s="76">
        <f>IF(LEFT($F774&amp;"",10)="SPLIT_LOAN","Pari Passu Split","Standalone")</f>
        <v/>
      </c>
      <c r="CO774" s="78">
        <f>IF($CN774="Pari Passu Split",1,0)</f>
        <v/>
      </c>
      <c r="CP774" s="77">
        <f>IF(ISNUMBER($T774),YEAR($T774),"")</f>
        <v/>
      </c>
      <c r="CQ774" s="79">
        <f>IF(ISNUMBER($V774),$V774,IF(ISNUMBER($U774),$U774,""))</f>
        <v/>
      </c>
      <c r="CR774" s="77">
        <f>IF(ISNUMBER($CQ774),YEAR($CQ774),"")</f>
        <v/>
      </c>
      <c r="CS774" s="78">
        <f>IF(ISNUMBER($M774),MAX(0,$M774),IF(TRIM($M774&amp;"")="matured",0,""))</f>
        <v/>
      </c>
      <c r="CT774" s="78">
        <f>IF(AND(ISNUMBER($CS774),N($CS774)&lt;=mMatWindow),1,0)</f>
        <v/>
      </c>
      <c r="CU774" s="80">
        <f>IF(ISNUMBER($J774),$J774/100,"")</f>
        <v/>
      </c>
      <c r="CV774" s="81">
        <f>IF(ISNUMBER($AQ774),$AQ774,"")</f>
        <v/>
      </c>
      <c r="CW774" s="81">
        <f>IF(ISNUMBER($AR774),$AR774,"")</f>
        <v/>
      </c>
      <c r="CX774" s="82">
        <f>IF(ISNUMBER($AS774),$AS774/100,"")</f>
        <v/>
      </c>
      <c r="CY774" s="82">
        <f>IF(ISNUMBER($AT774),$AT774/100,"")</f>
        <v/>
      </c>
      <c r="CZ774" s="82">
        <f>IF(ISNUMBER($AU774),$AU774/100,"")</f>
        <v/>
      </c>
      <c r="DA774" s="82">
        <f>IF(ISNUMBER($AV774),$AV774/100,"")</f>
        <v/>
      </c>
      <c r="DB774" s="82">
        <f>IF(ISNUMBER($AW774),$AW774/100,"")</f>
        <v/>
      </c>
      <c r="DC774" s="82">
        <f>IF(ISNUMBER($AX774),$AX774/100,"")</f>
        <v/>
      </c>
      <c r="DD774" s="77">
        <f>IFERROR(VALUE(LEFT(TRIM($AO774&amp;""),4)),"")</f>
        <v/>
      </c>
      <c r="DE774" s="78">
        <f>IF(AND($BY774=1,$BX774=1,OR(fDeal="All Deals",$BU774=fDeal),OR(fEntity="All Entities",$BV774=fEntity),OR(fPType="All Property Types",$BZ774=fPType),OR(fDefeased="Include",$CJ774=0)),1,0)</f>
        <v/>
      </c>
      <c r="DF774" s="83">
        <f>$DE774*N($I774)</f>
        <v/>
      </c>
      <c r="DG774" s="78">
        <f>IF($DE774=1,IF(COUNTIFS($F$8:$F774,$F774,$DE$8:$DE774,1)=1,1,0),0)</f>
        <v/>
      </c>
      <c r="DH774" s="83">
        <f>IF($DG774=1,SUMIFS($DF$8:$DF$1600,$F$8:$F$1600,$F774),0)</f>
        <v/>
      </c>
      <c r="DI774" s="78">
        <f>IF($DG774=1,COUNTIFS($F$8:$F$1600,$F774,$DE$8:$DE$1600,1),0)</f>
        <v/>
      </c>
      <c r="DJ774" s="84">
        <f>IF($DG774=1,$DH774+(100000-ROW())/mTieBreak,0)</f>
        <v/>
      </c>
    </row>
    <row r="775">
      <c r="B775" s="68" t="n">
        <v>5</v>
      </c>
      <c r="C775" s="69" t="inlineStr">
        <is>
          <t>BCMK18B3</t>
        </is>
      </c>
      <c r="D775" s="69" t="inlineStr">
        <is>
          <t>5.000</t>
        </is>
      </c>
      <c r="E775" s="69" t="inlineStr">
        <is>
          <t>InterContinental San Francisco</t>
        </is>
      </c>
      <c r="F775" s="69" t="inlineStr">
        <is>
          <t>SPLIT_LOAN_01243</t>
        </is>
      </c>
      <c r="G775" s="70" t="n">
        <v>1243</v>
      </c>
      <c r="H775" s="71" t="n">
        <v>50000000</v>
      </c>
      <c r="I775" s="71" t="n">
        <v>41519868.45</v>
      </c>
      <c r="J775" s="72" t="n">
        <v>4.145</v>
      </c>
      <c r="K775" s="69" t="inlineStr">
        <is>
          <t>Fixed rate</t>
        </is>
      </c>
      <c r="L775" s="68" t="n">
        <v>120</v>
      </c>
      <c r="M775" s="68" t="n">
        <v>16</v>
      </c>
      <c r="N775" s="68" t="n">
        <v>360</v>
      </c>
      <c r="O775" s="68" t="n"/>
      <c r="P775" s="68" t="n"/>
      <c r="Q775" s="68" t="n">
        <v>104</v>
      </c>
      <c r="R775" s="69" t="n"/>
      <c r="S775" s="69" t="inlineStr">
        <is>
          <t>No</t>
        </is>
      </c>
      <c r="T775" s="73" t="n">
        <v>43101</v>
      </c>
      <c r="U775" s="73" t="n">
        <v>46758</v>
      </c>
      <c r="V775" s="73" t="n"/>
      <c r="W775" s="69" t="n"/>
      <c r="X775" s="69" t="inlineStr">
        <is>
          <t>Late Payment But Less Than 30 Days Delinquent</t>
        </is>
      </c>
      <c r="Y775" s="68" t="n"/>
      <c r="Z775" s="69" t="inlineStr">
        <is>
          <t>Defeasance Not Allowable</t>
        </is>
      </c>
      <c r="AA775" s="69" t="inlineStr">
        <is>
          <t>Yes</t>
        </is>
      </c>
      <c r="AB775" s="69" t="inlineStr">
        <is>
          <t>Never special serv</t>
        </is>
      </c>
      <c r="AC775" s="73" t="n"/>
      <c r="AD775" s="69" t="n"/>
      <c r="AE775" s="69" t="n"/>
      <c r="AF775" s="69" t="inlineStr">
        <is>
          <t>CA</t>
        </is>
      </c>
      <c r="AG775" s="69" t="inlineStr">
        <is>
          <t>San Francisco</t>
        </is>
      </c>
      <c r="AH775" s="69" t="inlineStr">
        <is>
          <t>San Francisco-Oakland-Fremont, CA</t>
        </is>
      </c>
      <c r="AI775" s="69" t="inlineStr">
        <is>
          <t>West / Pacific North</t>
        </is>
      </c>
      <c r="AJ775" s="69" t="inlineStr">
        <is>
          <t>HT</t>
        </is>
      </c>
      <c r="AK775" s="69" t="inlineStr">
        <is>
          <t>Full Service</t>
        </is>
      </c>
      <c r="AL775" s="68" t="n">
        <v>1</v>
      </c>
      <c r="AM775" s="68" t="n">
        <v>550</v>
      </c>
      <c r="AN775" s="68" t="n"/>
      <c r="AO775" s="69" t="inlineStr">
        <is>
          <t>2008</t>
        </is>
      </c>
      <c r="AP775" s="70" t="n">
        <v>2018</v>
      </c>
      <c r="AQ775" s="74" t="n">
        <v>2.29</v>
      </c>
      <c r="AR775" s="74" t="n">
        <v>0.02</v>
      </c>
      <c r="AS775" s="74" t="n">
        <v>41.8</v>
      </c>
      <c r="AT775" s="74" t="n">
        <v>34.88</v>
      </c>
      <c r="AU775" s="74" t="n">
        <v>33.5</v>
      </c>
      <c r="AV775" s="74" t="n">
        <v>13.335247791</v>
      </c>
      <c r="AW775" s="74" t="n">
        <v>-5.19271548</v>
      </c>
      <c r="AX775" s="75" t="n">
        <v>66</v>
      </c>
      <c r="AY775" s="71" t="n">
        <v>261900000</v>
      </c>
      <c r="AZ775" s="71" t="n">
        <v>261900000</v>
      </c>
      <c r="BA775" s="71" t="n">
        <v>14668772.57</v>
      </c>
      <c r="BB775" s="71" t="n">
        <v>129590</v>
      </c>
      <c r="BC775" s="69" t="inlineStr">
        <is>
          <t>Refinance</t>
        </is>
      </c>
      <c r="BD775" s="69" t="inlineStr">
        <is>
          <t>N</t>
        </is>
      </c>
      <c r="BE775" s="71" t="n">
        <v>49823842.14</v>
      </c>
      <c r="BF775" s="71" t="n"/>
      <c r="BG775" s="71" t="n"/>
      <c r="BH775" s="71" t="n">
        <v>0</v>
      </c>
      <c r="BI775" s="71" t="n">
        <v>242727.03</v>
      </c>
      <c r="BJ775" s="69" t="inlineStr">
        <is>
          <t>N</t>
        </is>
      </c>
      <c r="BK775" s="69" t="n"/>
      <c r="BL775" s="75" t="n"/>
      <c r="BM775" s="73" t="n"/>
      <c r="BN775" s="69" t="inlineStr">
        <is>
          <t>CDC San Francisco LLC</t>
        </is>
      </c>
      <c r="BO775" s="69" t="inlineStr">
        <is>
          <t>GACC</t>
        </is>
      </c>
      <c r="BP775" s="69" t="inlineStr">
        <is>
          <t>Midland Loan Services</t>
        </is>
      </c>
      <c r="BQ775" s="69" t="inlineStr">
        <is>
          <t>CWCapital</t>
        </is>
      </c>
      <c r="BR775" s="69" t="n"/>
      <c r="BS775" s="73" t="n">
        <v>46273</v>
      </c>
      <c r="BU775" s="76">
        <f>IF($C775="","",IFERROR(INDEX(dmName,MATCH($C775,dmID,0)),"Unmapped"))</f>
        <v/>
      </c>
      <c r="BV775" s="76">
        <f>IF($C775="","",IFERROR(INDEX(dmEntity,MATCH($C775,dmID,0)),"Unmapped"))</f>
        <v/>
      </c>
      <c r="BW775" s="77">
        <f>IF($C775="","",IFERROR(INDEX(dmVintage,MATCH($C775,dmID,0)),""))</f>
        <v/>
      </c>
      <c r="BX775" s="78">
        <f>IFERROR(INDEX(dmInclude,MATCH($C775,dmID,0)),0)</f>
        <v/>
      </c>
      <c r="BY775" s="78">
        <f>IF(N($I775)&gt;0,1,0)</f>
        <v/>
      </c>
      <c r="BZ775" s="76">
        <f>IF($AJ775="","Other / Leased Fee",IFERROR(INDEX(mapPTGroup,MATCH(LEFT(TRIM($AJ775),2),mapPTCode,0)),"Other / Leased Fee"))</f>
        <v/>
      </c>
      <c r="CA775" s="76">
        <f>IF(TRIM($AF775&amp;"")="","NR",LEFT(TRIM($AF775),2))</f>
        <v/>
      </c>
      <c r="CB775" s="76">
        <f>IFERROR(LOOKUP(2,1/(LEFT(TRIM($AI775&amp;""),LEN(mapRegion))=mapRegion),mapRegion),"Not Reported")</f>
        <v/>
      </c>
      <c r="CC775" s="76">
        <f>IF($BY775=0,"",IF(TRIM($W775&amp;"")="REO","REO",IF(TRIM($W775&amp;"")="FC","Foreclosure",IF(TRIM($W775&amp;"")="90+","90+ Days Delinquent",IF(TRIM($W775&amp;"")="60","60 Days Delinquent",IF(TRIM($W775&amp;"")="30","30 Days Delinquent",IF($X775="Non-Performing Matured Balloon","Non-Performing Matured Balloon",IF(OR($X775="Late Payment But Less Than 30 Days Delinquent",LEFT($X775&amp;"",20)="Payment Not Received"),"Late / In Grace (&lt;30 Days)",IF($X775="Performing Matured Balloon","Performing Matured Balloon","Current")))))))))</f>
        <v/>
      </c>
      <c r="CD775" s="78">
        <f>IF(OR($CC775="REO",$CC775="Foreclosure",$CC775="90+ Days Delinquent",$CC775="60 Days Delinquent",$CC775="30 Days Delinquent",$CC775="Non-Performing Matured Balloon"),1,0)</f>
        <v/>
      </c>
      <c r="CE775" s="76">
        <f>IF($AB775="Currently special serv","Currently Specially Serviced",IF($AB775="Returned to master serv","Previously Specially Serviced","Never Specially Serviced"))</f>
        <v/>
      </c>
      <c r="CF775" s="78">
        <f>IF($CE775="Currently Specially Serviced",1,0)</f>
        <v/>
      </c>
      <c r="CG775" s="76">
        <f>IF($AA775="Yes","Currently on Watchlist",IF($AA775="Previously","Previously on Watchlist","Never on Watchlist"))</f>
        <v/>
      </c>
      <c r="CH775" s="78">
        <f>IF($CG775="Currently on Watchlist",1,0)</f>
        <v/>
      </c>
      <c r="CI775" s="76">
        <f>IF($Z775="Full Defeasance","Fully Defeased",IF($Z775="Portion Of Loan Previously Defeased","Partially Defeased",IF($Z775="Defeasance Not Allowable","Not Defeased (Not Permitted)","Not Defeased")))</f>
        <v/>
      </c>
      <c r="CJ775" s="78">
        <f>IF($CI775="Fully Defeased",1,0)</f>
        <v/>
      </c>
      <c r="CK775" s="76">
        <f>IF($R775="IO","Full IO",IF(LEFT($R775&amp;"",7)="IO then","Partial IO","Amortizing"))</f>
        <v/>
      </c>
      <c r="CL775" s="78">
        <f>IF($CK775="Full IO",1,0)</f>
        <v/>
      </c>
      <c r="CM775" s="78">
        <f>IF($CK775="Partial IO",1,0)</f>
        <v/>
      </c>
      <c r="CN775" s="76">
        <f>IF(LEFT($F775&amp;"",10)="SPLIT_LOAN","Pari Passu Split","Standalone")</f>
        <v/>
      </c>
      <c r="CO775" s="78">
        <f>IF($CN775="Pari Passu Split",1,0)</f>
        <v/>
      </c>
      <c r="CP775" s="77">
        <f>IF(ISNUMBER($T775),YEAR($T775),"")</f>
        <v/>
      </c>
      <c r="CQ775" s="79">
        <f>IF(ISNUMBER($V775),$V775,IF(ISNUMBER($U775),$U775,""))</f>
        <v/>
      </c>
      <c r="CR775" s="77">
        <f>IF(ISNUMBER($CQ775),YEAR($CQ775),"")</f>
        <v/>
      </c>
      <c r="CS775" s="78">
        <f>IF(ISNUMBER($M775),MAX(0,$M775),IF(TRIM($M775&amp;"")="matured",0,""))</f>
        <v/>
      </c>
      <c r="CT775" s="78">
        <f>IF(AND(ISNUMBER($CS775),N($CS775)&lt;=mMatWindow),1,0)</f>
        <v/>
      </c>
      <c r="CU775" s="80">
        <f>IF(ISNUMBER($J775),$J775/100,"")</f>
        <v/>
      </c>
      <c r="CV775" s="81">
        <f>IF(ISNUMBER($AQ775),$AQ775,"")</f>
        <v/>
      </c>
      <c r="CW775" s="81">
        <f>IF(ISNUMBER($AR775),$AR775,"")</f>
        <v/>
      </c>
      <c r="CX775" s="82">
        <f>IF(ISNUMBER($AS775),$AS775/100,"")</f>
        <v/>
      </c>
      <c r="CY775" s="82">
        <f>IF(ISNUMBER($AT775),$AT775/100,"")</f>
        <v/>
      </c>
      <c r="CZ775" s="82">
        <f>IF(ISNUMBER($AU775),$AU775/100,"")</f>
        <v/>
      </c>
      <c r="DA775" s="82">
        <f>IF(ISNUMBER($AV775),$AV775/100,"")</f>
        <v/>
      </c>
      <c r="DB775" s="82">
        <f>IF(ISNUMBER($AW775),$AW775/100,"")</f>
        <v/>
      </c>
      <c r="DC775" s="82">
        <f>IF(ISNUMBER($AX775),$AX775/100,"")</f>
        <v/>
      </c>
      <c r="DD775" s="77">
        <f>IFERROR(VALUE(LEFT(TRIM($AO775&amp;""),4)),"")</f>
        <v/>
      </c>
      <c r="DE775" s="78">
        <f>IF(AND($BY775=1,$BX775=1,OR(fDeal="All Deals",$BU775=fDeal),OR(fEntity="All Entities",$BV775=fEntity),OR(fPType="All Property Types",$BZ775=fPType),OR(fDefeased="Include",$CJ775=0)),1,0)</f>
        <v/>
      </c>
      <c r="DF775" s="83">
        <f>$DE775*N($I775)</f>
        <v/>
      </c>
      <c r="DG775" s="78">
        <f>IF($DE775=1,IF(COUNTIFS($F$8:$F775,$F775,$DE$8:$DE775,1)=1,1,0),0)</f>
        <v/>
      </c>
      <c r="DH775" s="83">
        <f>IF($DG775=1,SUMIFS($DF$8:$DF$1600,$F$8:$F$1600,$F775),0)</f>
        <v/>
      </c>
      <c r="DI775" s="78">
        <f>IF($DG775=1,COUNTIFS($F$8:$F$1600,$F775,$DE$8:$DE$1600,1),0)</f>
        <v/>
      </c>
      <c r="DJ775" s="84">
        <f>IF($DG775=1,$DH775+(100000-ROW())/mTieBreak,0)</f>
        <v/>
      </c>
    </row>
    <row r="776">
      <c r="B776" s="68" t="n">
        <v>6</v>
      </c>
      <c r="C776" s="69" t="inlineStr">
        <is>
          <t>BCMK18B3</t>
        </is>
      </c>
      <c r="D776" s="69" t="inlineStr">
        <is>
          <t>6.000</t>
        </is>
      </c>
      <c r="E776" s="69" t="inlineStr">
        <is>
          <t>Residence Inn Pasadena</t>
        </is>
      </c>
      <c r="F776" s="69" t="inlineStr">
        <is>
          <t>LNBCMK18B3-6.000</t>
        </is>
      </c>
      <c r="G776" s="70" t="n"/>
      <c r="H776" s="71" t="n">
        <v>47500000</v>
      </c>
      <c r="I776" s="71" t="n">
        <v>40231148.96999251</v>
      </c>
      <c r="J776" s="72" t="n">
        <v>4.82011</v>
      </c>
      <c r="K776" s="69" t="inlineStr">
        <is>
          <t>Fixed rate</t>
        </is>
      </c>
      <c r="L776" s="68" t="n">
        <v>120</v>
      </c>
      <c r="M776" s="68" t="n">
        <v>16</v>
      </c>
      <c r="N776" s="68" t="n">
        <v>360</v>
      </c>
      <c r="O776" s="68" t="n"/>
      <c r="P776" s="68" t="n"/>
      <c r="Q776" s="68" t="n">
        <v>104</v>
      </c>
      <c r="R776" s="69" t="n"/>
      <c r="S776" s="69" t="inlineStr">
        <is>
          <t>No</t>
        </is>
      </c>
      <c r="T776" s="73" t="n">
        <v>43101</v>
      </c>
      <c r="U776" s="73" t="n">
        <v>46758</v>
      </c>
      <c r="V776" s="73" t="n"/>
      <c r="W776" s="69" t="n"/>
      <c r="X776" s="69" t="inlineStr">
        <is>
          <t>Current</t>
        </is>
      </c>
      <c r="Y776" s="68" t="n"/>
      <c r="Z776" s="69" t="inlineStr">
        <is>
          <t>Full Defeasance</t>
        </is>
      </c>
      <c r="AA776" s="69" t="inlineStr">
        <is>
          <t>Previously</t>
        </is>
      </c>
      <c r="AB776" s="69" t="inlineStr">
        <is>
          <t>Never special serv</t>
        </is>
      </c>
      <c r="AC776" s="73" t="n"/>
      <c r="AD776" s="69" t="n"/>
      <c r="AE776" s="69" t="n"/>
      <c r="AF776" s="69" t="inlineStr">
        <is>
          <t>CA</t>
        </is>
      </c>
      <c r="AG776" s="69" t="inlineStr">
        <is>
          <t>Pasadena</t>
        </is>
      </c>
      <c r="AH776" s="69" t="inlineStr">
        <is>
          <t>Los Angeles-Long Beach-Anaheim, CA</t>
        </is>
      </c>
      <c r="AI776" s="69" t="inlineStr">
        <is>
          <t>West / Pacific South</t>
        </is>
      </c>
      <c r="AJ776" s="69" t="inlineStr">
        <is>
          <t>HT</t>
        </is>
      </c>
      <c r="AK776" s="69" t="inlineStr">
        <is>
          <t>Extended Stay</t>
        </is>
      </c>
      <c r="AL776" s="68" t="n">
        <v>1</v>
      </c>
      <c r="AM776" s="68" t="n">
        <v>144</v>
      </c>
      <c r="AN776" s="68" t="n"/>
      <c r="AO776" s="69" t="inlineStr">
        <is>
          <t>2016</t>
        </is>
      </c>
      <c r="AP776" s="70" t="n">
        <v>2016</v>
      </c>
      <c r="AQ776" s="74" t="n">
        <v>1.77</v>
      </c>
      <c r="AR776" s="74" t="n">
        <v>1.86</v>
      </c>
      <c r="AS776" s="74" t="n">
        <v>66</v>
      </c>
      <c r="AT776" s="74" t="n">
        <v>56.11</v>
      </c>
      <c r="AU776" s="74" t="n">
        <v>54.1</v>
      </c>
      <c r="AV776" s="74" t="n">
        <v>11.198620042</v>
      </c>
      <c r="AW776" s="74" t="n">
        <v>13.843298495</v>
      </c>
      <c r="AX776" s="75" t="n">
        <v>90</v>
      </c>
      <c r="AY776" s="71" t="n">
        <v>71700000</v>
      </c>
      <c r="AZ776" s="71" t="n">
        <v>71700000</v>
      </c>
      <c r="BA776" s="71" t="n">
        <v>5319344.52</v>
      </c>
      <c r="BB776" s="71" t="n">
        <v>5569318.04</v>
      </c>
      <c r="BC776" s="69" t="inlineStr">
        <is>
          <t>Refinance</t>
        </is>
      </c>
      <c r="BD776" s="69" t="inlineStr">
        <is>
          <t>N</t>
        </is>
      </c>
      <c r="BE776" s="71" t="n"/>
      <c r="BF776" s="71" t="n"/>
      <c r="BG776" s="71" t="n">
        <v>4500000</v>
      </c>
      <c r="BH776" s="71" t="n">
        <v>0</v>
      </c>
      <c r="BI776" s="71" t="n">
        <v>0</v>
      </c>
      <c r="BJ776" s="69" t="inlineStr">
        <is>
          <t>N</t>
        </is>
      </c>
      <c r="BK776" s="69" t="n"/>
      <c r="BL776" s="75" t="n"/>
      <c r="BM776" s="73" t="n"/>
      <c r="BN776" s="69" t="inlineStr">
        <is>
          <t>Robert D. Olson</t>
        </is>
      </c>
      <c r="BO776" s="69" t="inlineStr">
        <is>
          <t>GACC</t>
        </is>
      </c>
      <c r="BP776" s="69" t="inlineStr">
        <is>
          <t>Midland Loan Services</t>
        </is>
      </c>
      <c r="BQ776" s="69" t="inlineStr">
        <is>
          <t>K-Star Asset Management LLC</t>
        </is>
      </c>
      <c r="BR776" s="69" t="n"/>
      <c r="BS776" s="73" t="n">
        <v>46273</v>
      </c>
      <c r="BU776" s="76">
        <f>IF($C776="","",IFERROR(INDEX(dmName,MATCH($C776,dmID,0)),"Unmapped"))</f>
        <v/>
      </c>
      <c r="BV776" s="76">
        <f>IF($C776="","",IFERROR(INDEX(dmEntity,MATCH($C776,dmID,0)),"Unmapped"))</f>
        <v/>
      </c>
      <c r="BW776" s="77">
        <f>IF($C776="","",IFERROR(INDEX(dmVintage,MATCH($C776,dmID,0)),""))</f>
        <v/>
      </c>
      <c r="BX776" s="78">
        <f>IFERROR(INDEX(dmInclude,MATCH($C776,dmID,0)),0)</f>
        <v/>
      </c>
      <c r="BY776" s="78">
        <f>IF(N($I776)&gt;0,1,0)</f>
        <v/>
      </c>
      <c r="BZ776" s="76">
        <f>IF($AJ776="","Other / Leased Fee",IFERROR(INDEX(mapPTGroup,MATCH(LEFT(TRIM($AJ776),2),mapPTCode,0)),"Other / Leased Fee"))</f>
        <v/>
      </c>
      <c r="CA776" s="76">
        <f>IF(TRIM($AF776&amp;"")="","NR",LEFT(TRIM($AF776),2))</f>
        <v/>
      </c>
      <c r="CB776" s="76">
        <f>IFERROR(LOOKUP(2,1/(LEFT(TRIM($AI776&amp;""),LEN(mapRegion))=mapRegion),mapRegion),"Not Reported")</f>
        <v/>
      </c>
      <c r="CC776" s="76">
        <f>IF($BY776=0,"",IF(TRIM($W776&amp;"")="REO","REO",IF(TRIM($W776&amp;"")="FC","Foreclosure",IF(TRIM($W776&amp;"")="90+","90+ Days Delinquent",IF(TRIM($W776&amp;"")="60","60 Days Delinquent",IF(TRIM($W776&amp;"")="30","30 Days Delinquent",IF($X776="Non-Performing Matured Balloon","Non-Performing Matured Balloon",IF(OR($X776="Late Payment But Less Than 30 Days Delinquent",LEFT($X776&amp;"",20)="Payment Not Received"),"Late / In Grace (&lt;30 Days)",IF($X776="Performing Matured Balloon","Performing Matured Balloon","Current")))))))))</f>
        <v/>
      </c>
      <c r="CD776" s="78">
        <f>IF(OR($CC776="REO",$CC776="Foreclosure",$CC776="90+ Days Delinquent",$CC776="60 Days Delinquent",$CC776="30 Days Delinquent",$CC776="Non-Performing Matured Balloon"),1,0)</f>
        <v/>
      </c>
      <c r="CE776" s="76">
        <f>IF($AB776="Currently special serv","Currently Specially Serviced",IF($AB776="Returned to master serv","Previously Specially Serviced","Never Specially Serviced"))</f>
        <v/>
      </c>
      <c r="CF776" s="78">
        <f>IF($CE776="Currently Specially Serviced",1,0)</f>
        <v/>
      </c>
      <c r="CG776" s="76">
        <f>IF($AA776="Yes","Currently on Watchlist",IF($AA776="Previously","Previously on Watchlist","Never on Watchlist"))</f>
        <v/>
      </c>
      <c r="CH776" s="78">
        <f>IF($CG776="Currently on Watchlist",1,0)</f>
        <v/>
      </c>
      <c r="CI776" s="76">
        <f>IF($Z776="Full Defeasance","Fully Defeased",IF($Z776="Portion Of Loan Previously Defeased","Partially Defeased",IF($Z776="Defeasance Not Allowable","Not Defeased (Not Permitted)","Not Defeased")))</f>
        <v/>
      </c>
      <c r="CJ776" s="78">
        <f>IF($CI776="Fully Defeased",1,0)</f>
        <v/>
      </c>
      <c r="CK776" s="76">
        <f>IF($R776="IO","Full IO",IF(LEFT($R776&amp;"",7)="IO then","Partial IO","Amortizing"))</f>
        <v/>
      </c>
      <c r="CL776" s="78">
        <f>IF($CK776="Full IO",1,0)</f>
        <v/>
      </c>
      <c r="CM776" s="78">
        <f>IF($CK776="Partial IO",1,0)</f>
        <v/>
      </c>
      <c r="CN776" s="76">
        <f>IF(LEFT($F776&amp;"",10)="SPLIT_LOAN","Pari Passu Split","Standalone")</f>
        <v/>
      </c>
      <c r="CO776" s="78">
        <f>IF($CN776="Pari Passu Split",1,0)</f>
        <v/>
      </c>
      <c r="CP776" s="77">
        <f>IF(ISNUMBER($T776),YEAR($T776),"")</f>
        <v/>
      </c>
      <c r="CQ776" s="79">
        <f>IF(ISNUMBER($V776),$V776,IF(ISNUMBER($U776),$U776,""))</f>
        <v/>
      </c>
      <c r="CR776" s="77">
        <f>IF(ISNUMBER($CQ776),YEAR($CQ776),"")</f>
        <v/>
      </c>
      <c r="CS776" s="78">
        <f>IF(ISNUMBER($M776),MAX(0,$M776),IF(TRIM($M776&amp;"")="matured",0,""))</f>
        <v/>
      </c>
      <c r="CT776" s="78">
        <f>IF(AND(ISNUMBER($CS776),N($CS776)&lt;=mMatWindow),1,0)</f>
        <v/>
      </c>
      <c r="CU776" s="80">
        <f>IF(ISNUMBER($J776),$J776/100,"")</f>
        <v/>
      </c>
      <c r="CV776" s="81">
        <f>IF(ISNUMBER($AQ776),$AQ776,"")</f>
        <v/>
      </c>
      <c r="CW776" s="81">
        <f>IF(ISNUMBER($AR776),$AR776,"")</f>
        <v/>
      </c>
      <c r="CX776" s="82">
        <f>IF(ISNUMBER($AS776),$AS776/100,"")</f>
        <v/>
      </c>
      <c r="CY776" s="82">
        <f>IF(ISNUMBER($AT776),$AT776/100,"")</f>
        <v/>
      </c>
      <c r="CZ776" s="82">
        <f>IF(ISNUMBER($AU776),$AU776/100,"")</f>
        <v/>
      </c>
      <c r="DA776" s="82">
        <f>IF(ISNUMBER($AV776),$AV776/100,"")</f>
        <v/>
      </c>
      <c r="DB776" s="82">
        <f>IF(ISNUMBER($AW776),$AW776/100,"")</f>
        <v/>
      </c>
      <c r="DC776" s="82">
        <f>IF(ISNUMBER($AX776),$AX776/100,"")</f>
        <v/>
      </c>
      <c r="DD776" s="77">
        <f>IFERROR(VALUE(LEFT(TRIM($AO776&amp;""),4)),"")</f>
        <v/>
      </c>
      <c r="DE776" s="78">
        <f>IF(AND($BY776=1,$BX776=1,OR(fDeal="All Deals",$BU776=fDeal),OR(fEntity="All Entities",$BV776=fEntity),OR(fPType="All Property Types",$BZ776=fPType),OR(fDefeased="Include",$CJ776=0)),1,0)</f>
        <v/>
      </c>
      <c r="DF776" s="83">
        <f>$DE776*N($I776)</f>
        <v/>
      </c>
      <c r="DG776" s="78">
        <f>IF($DE776=1,IF(COUNTIFS($F$8:$F776,$F776,$DE$8:$DE776,1)=1,1,0),0)</f>
        <v/>
      </c>
      <c r="DH776" s="83">
        <f>IF($DG776=1,SUMIFS($DF$8:$DF$1600,$F$8:$F$1600,$F776),0)</f>
        <v/>
      </c>
      <c r="DI776" s="78">
        <f>IF($DG776=1,COUNTIFS($F$8:$F$1600,$F776,$DE$8:$DE$1600,1),0)</f>
        <v/>
      </c>
      <c r="DJ776" s="84">
        <f>IF($DG776=1,$DH776+(100000-ROW())/mTieBreak,0)</f>
        <v/>
      </c>
    </row>
    <row r="777">
      <c r="B777" s="68" t="n">
        <v>7</v>
      </c>
      <c r="C777" s="69" t="inlineStr">
        <is>
          <t>BCMK18B3</t>
        </is>
      </c>
      <c r="D777" s="69" t="inlineStr">
        <is>
          <t>7.000</t>
        </is>
      </c>
      <c r="E777" s="69" t="inlineStr">
        <is>
          <t>Marina Heights State Farm</t>
        </is>
      </c>
      <c r="F777" s="69" t="inlineStr">
        <is>
          <t>SPLIT_LOAN_01167</t>
        </is>
      </c>
      <c r="G777" s="70" t="n">
        <v>1167</v>
      </c>
      <c r="H777" s="71" t="n">
        <v>45000000</v>
      </c>
      <c r="I777" s="71" t="n">
        <v>45000000</v>
      </c>
      <c r="J777" s="72" t="n">
        <v>3.5595</v>
      </c>
      <c r="K777" s="69" t="inlineStr">
        <is>
          <t>Fixed rate</t>
        </is>
      </c>
      <c r="L777" s="68" t="n">
        <v>120</v>
      </c>
      <c r="M777" s="68" t="n">
        <v>16</v>
      </c>
      <c r="N777" s="68" t="n">
        <v>120</v>
      </c>
      <c r="O777" s="68" t="n">
        <v>120</v>
      </c>
      <c r="P777" s="68" t="n">
        <v>16</v>
      </c>
      <c r="Q777" s="68" t="n">
        <v>104</v>
      </c>
      <c r="R777" s="69" t="inlineStr">
        <is>
          <t>IO</t>
        </is>
      </c>
      <c r="S777" s="69" t="inlineStr">
        <is>
          <t>Yes</t>
        </is>
      </c>
      <c r="T777" s="73" t="n">
        <v>43101</v>
      </c>
      <c r="U777" s="73" t="n">
        <v>48585</v>
      </c>
      <c r="V777" s="73" t="n">
        <v>46758</v>
      </c>
      <c r="W777" s="69" t="n"/>
      <c r="X777" s="69" t="inlineStr">
        <is>
          <t>Current</t>
        </is>
      </c>
      <c r="Y777" s="68" t="n"/>
      <c r="Z777" s="69" t="inlineStr">
        <is>
          <t>Defeasance Not Allowable</t>
        </is>
      </c>
      <c r="AA777" s="69" t="n"/>
      <c r="AB777" s="69" t="inlineStr">
        <is>
          <t>Never special serv</t>
        </is>
      </c>
      <c r="AC777" s="73" t="n"/>
      <c r="AD777" s="69" t="n"/>
      <c r="AE777" s="69" t="n"/>
      <c r="AF777" s="69" t="inlineStr">
        <is>
          <t>AZ</t>
        </is>
      </c>
      <c r="AG777" s="69" t="inlineStr">
        <is>
          <t>Tempe</t>
        </is>
      </c>
      <c r="AH777" s="69" t="inlineStr">
        <is>
          <t>Phoenix-Mesa-Chandler, AZ</t>
        </is>
      </c>
      <c r="AI777" s="69" t="inlineStr">
        <is>
          <t>West / Mountain</t>
        </is>
      </c>
      <c r="AJ777" s="69" t="inlineStr">
        <is>
          <t>OF</t>
        </is>
      </c>
      <c r="AK777" s="69" t="inlineStr">
        <is>
          <t>Suburban</t>
        </is>
      </c>
      <c r="AL777" s="68" t="n">
        <v>1</v>
      </c>
      <c r="AM777" s="68" t="n"/>
      <c r="AN777" s="68" t="n">
        <v>2031293</v>
      </c>
      <c r="AO777" s="69" t="inlineStr">
        <is>
          <t>2015-2017</t>
        </is>
      </c>
      <c r="AP777" s="70" t="n">
        <v>2017</v>
      </c>
      <c r="AQ777" s="74" t="n">
        <v>3.12</v>
      </c>
      <c r="AR777" s="74" t="n">
        <v>2.92</v>
      </c>
      <c r="AS777" s="74" t="n">
        <v>58.3</v>
      </c>
      <c r="AT777" s="74" t="n">
        <v>58.33</v>
      </c>
      <c r="AU777" s="74" t="n">
        <v>58.3</v>
      </c>
      <c r="AV777" s="74" t="n">
        <v>11.274505945</v>
      </c>
      <c r="AW777" s="74" t="n">
        <v>10.533863036</v>
      </c>
      <c r="AX777" s="75" t="n">
        <v>100</v>
      </c>
      <c r="AY777" s="71" t="n">
        <v>960000000</v>
      </c>
      <c r="AZ777" s="71" t="n">
        <v>960000000</v>
      </c>
      <c r="BA777" s="71" t="n">
        <v>63137233.29</v>
      </c>
      <c r="BB777" s="71" t="n">
        <v>58989636.94</v>
      </c>
      <c r="BC777" s="69" t="inlineStr">
        <is>
          <t>Acquisition</t>
        </is>
      </c>
      <c r="BD777" s="69" t="inlineStr">
        <is>
          <t>N</t>
        </is>
      </c>
      <c r="BE777" s="71" t="n">
        <v>515000000</v>
      </c>
      <c r="BF777" s="71" t="n"/>
      <c r="BG777" s="71" t="n"/>
      <c r="BH777" s="71" t="n">
        <v>0</v>
      </c>
      <c r="BI777" s="71" t="n">
        <v>0</v>
      </c>
      <c r="BJ777" s="69" t="inlineStr">
        <is>
          <t>N</t>
        </is>
      </c>
      <c r="BK777" s="69" t="inlineStr">
        <is>
          <t>State Farm Insurance Company</t>
        </is>
      </c>
      <c r="BL777" s="75" t="n">
        <v>63.69</v>
      </c>
      <c r="BM777" s="73" t="n">
        <v>49674</v>
      </c>
      <c r="BN777" s="69" t="inlineStr">
        <is>
          <t>Transwestern Investment Group, Corporate Properties Trust III, L.P.</t>
        </is>
      </c>
      <c r="BO777" s="69" t="inlineStr">
        <is>
          <t>GACC</t>
        </is>
      </c>
      <c r="BP777" s="69" t="inlineStr">
        <is>
          <t>Midland Loan Services</t>
        </is>
      </c>
      <c r="BQ777" s="69" t="inlineStr">
        <is>
          <t>Aegon USA Realty</t>
        </is>
      </c>
      <c r="BR777" s="69" t="n"/>
      <c r="BS777" s="73" t="n">
        <v>46273</v>
      </c>
      <c r="BU777" s="76">
        <f>IF($C777="","",IFERROR(INDEX(dmName,MATCH($C777,dmID,0)),"Unmapped"))</f>
        <v/>
      </c>
      <c r="BV777" s="76">
        <f>IF($C777="","",IFERROR(INDEX(dmEntity,MATCH($C777,dmID,0)),"Unmapped"))</f>
        <v/>
      </c>
      <c r="BW777" s="77">
        <f>IF($C777="","",IFERROR(INDEX(dmVintage,MATCH($C777,dmID,0)),""))</f>
        <v/>
      </c>
      <c r="BX777" s="78">
        <f>IFERROR(INDEX(dmInclude,MATCH($C777,dmID,0)),0)</f>
        <v/>
      </c>
      <c r="BY777" s="78">
        <f>IF(N($I777)&gt;0,1,0)</f>
        <v/>
      </c>
      <c r="BZ777" s="76">
        <f>IF($AJ777="","Other / Leased Fee",IFERROR(INDEX(mapPTGroup,MATCH(LEFT(TRIM($AJ777),2),mapPTCode,0)),"Other / Leased Fee"))</f>
        <v/>
      </c>
      <c r="CA777" s="76">
        <f>IF(TRIM($AF777&amp;"")="","NR",LEFT(TRIM($AF777),2))</f>
        <v/>
      </c>
      <c r="CB777" s="76">
        <f>IFERROR(LOOKUP(2,1/(LEFT(TRIM($AI777&amp;""),LEN(mapRegion))=mapRegion),mapRegion),"Not Reported")</f>
        <v/>
      </c>
      <c r="CC777" s="76">
        <f>IF($BY777=0,"",IF(TRIM($W777&amp;"")="REO","REO",IF(TRIM($W777&amp;"")="FC","Foreclosure",IF(TRIM($W777&amp;"")="90+","90+ Days Delinquent",IF(TRIM($W777&amp;"")="60","60 Days Delinquent",IF(TRIM($W777&amp;"")="30","30 Days Delinquent",IF($X777="Non-Performing Matured Balloon","Non-Performing Matured Balloon",IF(OR($X777="Late Payment But Less Than 30 Days Delinquent",LEFT($X777&amp;"",20)="Payment Not Received"),"Late / In Grace (&lt;30 Days)",IF($X777="Performing Matured Balloon","Performing Matured Balloon","Current")))))))))</f>
        <v/>
      </c>
      <c r="CD777" s="78">
        <f>IF(OR($CC777="REO",$CC777="Foreclosure",$CC777="90+ Days Delinquent",$CC777="60 Days Delinquent",$CC777="30 Days Delinquent",$CC777="Non-Performing Matured Balloon"),1,0)</f>
        <v/>
      </c>
      <c r="CE777" s="76">
        <f>IF($AB777="Currently special serv","Currently Specially Serviced",IF($AB777="Returned to master serv","Previously Specially Serviced","Never Specially Serviced"))</f>
        <v/>
      </c>
      <c r="CF777" s="78">
        <f>IF($CE777="Currently Specially Serviced",1,0)</f>
        <v/>
      </c>
      <c r="CG777" s="76">
        <f>IF($AA777="Yes","Currently on Watchlist",IF($AA777="Previously","Previously on Watchlist","Never on Watchlist"))</f>
        <v/>
      </c>
      <c r="CH777" s="78">
        <f>IF($CG777="Currently on Watchlist",1,0)</f>
        <v/>
      </c>
      <c r="CI777" s="76">
        <f>IF($Z777="Full Defeasance","Fully Defeased",IF($Z777="Portion Of Loan Previously Defeased","Partially Defeased",IF($Z777="Defeasance Not Allowable","Not Defeased (Not Permitted)","Not Defeased")))</f>
        <v/>
      </c>
      <c r="CJ777" s="78">
        <f>IF($CI777="Fully Defeased",1,0)</f>
        <v/>
      </c>
      <c r="CK777" s="76">
        <f>IF($R777="IO","Full IO",IF(LEFT($R777&amp;"",7)="IO then","Partial IO","Amortizing"))</f>
        <v/>
      </c>
      <c r="CL777" s="78">
        <f>IF($CK777="Full IO",1,0)</f>
        <v/>
      </c>
      <c r="CM777" s="78">
        <f>IF($CK777="Partial IO",1,0)</f>
        <v/>
      </c>
      <c r="CN777" s="76">
        <f>IF(LEFT($F777&amp;"",10)="SPLIT_LOAN","Pari Passu Split","Standalone")</f>
        <v/>
      </c>
      <c r="CO777" s="78">
        <f>IF($CN777="Pari Passu Split",1,0)</f>
        <v/>
      </c>
      <c r="CP777" s="77">
        <f>IF(ISNUMBER($T777),YEAR($T777),"")</f>
        <v/>
      </c>
      <c r="CQ777" s="79">
        <f>IF(ISNUMBER($V777),$V777,IF(ISNUMBER($U777),$U777,""))</f>
        <v/>
      </c>
      <c r="CR777" s="77">
        <f>IF(ISNUMBER($CQ777),YEAR($CQ777),"")</f>
        <v/>
      </c>
      <c r="CS777" s="78">
        <f>IF(ISNUMBER($M777),MAX(0,$M777),IF(TRIM($M777&amp;"")="matured",0,""))</f>
        <v/>
      </c>
      <c r="CT777" s="78">
        <f>IF(AND(ISNUMBER($CS777),N($CS777)&lt;=mMatWindow),1,0)</f>
        <v/>
      </c>
      <c r="CU777" s="80">
        <f>IF(ISNUMBER($J777),$J777/100,"")</f>
        <v/>
      </c>
      <c r="CV777" s="81">
        <f>IF(ISNUMBER($AQ777),$AQ777,"")</f>
        <v/>
      </c>
      <c r="CW777" s="81">
        <f>IF(ISNUMBER($AR777),$AR777,"")</f>
        <v/>
      </c>
      <c r="CX777" s="82">
        <f>IF(ISNUMBER($AS777),$AS777/100,"")</f>
        <v/>
      </c>
      <c r="CY777" s="82">
        <f>IF(ISNUMBER($AT777),$AT777/100,"")</f>
        <v/>
      </c>
      <c r="CZ777" s="82">
        <f>IF(ISNUMBER($AU777),$AU777/100,"")</f>
        <v/>
      </c>
      <c r="DA777" s="82">
        <f>IF(ISNUMBER($AV777),$AV777/100,"")</f>
        <v/>
      </c>
      <c r="DB777" s="82">
        <f>IF(ISNUMBER($AW777),$AW777/100,"")</f>
        <v/>
      </c>
      <c r="DC777" s="82">
        <f>IF(ISNUMBER($AX777),$AX777/100,"")</f>
        <v/>
      </c>
      <c r="DD777" s="77">
        <f>IFERROR(VALUE(LEFT(TRIM($AO777&amp;""),4)),"")</f>
        <v/>
      </c>
      <c r="DE777" s="78">
        <f>IF(AND($BY777=1,$BX777=1,OR(fDeal="All Deals",$BU777=fDeal),OR(fEntity="All Entities",$BV777=fEntity),OR(fPType="All Property Types",$BZ777=fPType),OR(fDefeased="Include",$CJ777=0)),1,0)</f>
        <v/>
      </c>
      <c r="DF777" s="83">
        <f>$DE777*N($I777)</f>
        <v/>
      </c>
      <c r="DG777" s="78">
        <f>IF($DE777=1,IF(COUNTIFS($F$8:$F777,$F777,$DE$8:$DE777,1)=1,1,0),0)</f>
        <v/>
      </c>
      <c r="DH777" s="83">
        <f>IF($DG777=1,SUMIFS($DF$8:$DF$1600,$F$8:$F$1600,$F777),0)</f>
        <v/>
      </c>
      <c r="DI777" s="78">
        <f>IF($DG777=1,COUNTIFS($F$8:$F$1600,$F777,$DE$8:$DE$1600,1),0)</f>
        <v/>
      </c>
      <c r="DJ777" s="84">
        <f>IF($DG777=1,$DH777+(100000-ROW())/mTieBreak,0)</f>
        <v/>
      </c>
    </row>
    <row r="778">
      <c r="B778" s="68" t="n">
        <v>8</v>
      </c>
      <c r="C778" s="69" t="inlineStr">
        <is>
          <t>BCMK18B3</t>
        </is>
      </c>
      <c r="D778" s="69" t="inlineStr">
        <is>
          <t>8.000</t>
        </is>
      </c>
      <c r="E778" s="69" t="inlineStr">
        <is>
          <t>CrossPoint</t>
        </is>
      </c>
      <c r="F778" s="69" t="inlineStr">
        <is>
          <t>SPLIT_LOAN_01237</t>
        </is>
      </c>
      <c r="G778" s="70" t="n">
        <v>1237</v>
      </c>
      <c r="H778" s="71" t="n">
        <v>45000000</v>
      </c>
      <c r="I778" s="71" t="n">
        <v>45000000</v>
      </c>
      <c r="J778" s="72" t="n">
        <v>4.734</v>
      </c>
      <c r="K778" s="69" t="inlineStr">
        <is>
          <t>Fixed rate</t>
        </is>
      </c>
      <c r="L778" s="68" t="n">
        <v>120</v>
      </c>
      <c r="M778" s="68" t="n">
        <v>17</v>
      </c>
      <c r="N778" s="68" t="n">
        <v>120</v>
      </c>
      <c r="O778" s="68" t="n">
        <v>120</v>
      </c>
      <c r="P778" s="68" t="n">
        <v>17</v>
      </c>
      <c r="Q778" s="68" t="n">
        <v>103</v>
      </c>
      <c r="R778" s="69" t="inlineStr">
        <is>
          <t>IO</t>
        </is>
      </c>
      <c r="S778" s="69" t="inlineStr">
        <is>
          <t>Yes</t>
        </is>
      </c>
      <c r="T778" s="73" t="n">
        <v>43132</v>
      </c>
      <c r="U778" s="73" t="n">
        <v>46789</v>
      </c>
      <c r="V778" s="73" t="n"/>
      <c r="W778" s="69" t="n"/>
      <c r="X778" s="69" t="inlineStr">
        <is>
          <t>Current</t>
        </is>
      </c>
      <c r="Y778" s="68" t="n"/>
      <c r="Z778" s="69" t="inlineStr">
        <is>
          <t>No Defeasance Occurred</t>
        </is>
      </c>
      <c r="AA778" s="69" t="inlineStr">
        <is>
          <t>Yes</t>
        </is>
      </c>
      <c r="AB778" s="69" t="inlineStr">
        <is>
          <t>Never special serv</t>
        </is>
      </c>
      <c r="AC778" s="73" t="n"/>
      <c r="AD778" s="69" t="n"/>
      <c r="AE778" s="69" t="n"/>
      <c r="AF778" s="69" t="inlineStr">
        <is>
          <t>MA</t>
        </is>
      </c>
      <c r="AG778" s="69" t="inlineStr">
        <is>
          <t>Lowell</t>
        </is>
      </c>
      <c r="AH778" s="69" t="inlineStr">
        <is>
          <t>Boston-Cambridge-Newton, MA-NH</t>
        </is>
      </c>
      <c r="AI778" s="69" t="inlineStr">
        <is>
          <t>Northeast / New England</t>
        </is>
      </c>
      <c r="AJ778" s="69" t="inlineStr">
        <is>
          <t>OF</t>
        </is>
      </c>
      <c r="AK778" s="69" t="inlineStr">
        <is>
          <t>Suburban</t>
        </is>
      </c>
      <c r="AL778" s="68" t="n">
        <v>1</v>
      </c>
      <c r="AM778" s="68" t="n"/>
      <c r="AN778" s="68" t="n">
        <v>1320254</v>
      </c>
      <c r="AO778" s="69" t="inlineStr">
        <is>
          <t>1979</t>
        </is>
      </c>
      <c r="AP778" s="70" t="n">
        <v>2017</v>
      </c>
      <c r="AQ778" s="74" t="n">
        <v>2.24</v>
      </c>
      <c r="AR778" s="74" t="n">
        <v>2.07</v>
      </c>
      <c r="AS778" s="74" t="n">
        <v>60</v>
      </c>
      <c r="AT778" s="74" t="n">
        <v>60</v>
      </c>
      <c r="AU778" s="74" t="n">
        <v>60</v>
      </c>
      <c r="AV778" s="74" t="n">
        <v>10.744682307</v>
      </c>
      <c r="AW778" s="74" t="n">
        <v>9.670507333</v>
      </c>
      <c r="AX778" s="75" t="n">
        <v>74</v>
      </c>
      <c r="AY778" s="71" t="n">
        <v>250000000</v>
      </c>
      <c r="AZ778" s="71" t="n">
        <v>250000000</v>
      </c>
      <c r="BA778" s="71" t="n">
        <v>16117023.46</v>
      </c>
      <c r="BB778" s="71" t="n">
        <v>14690709</v>
      </c>
      <c r="BC778" s="69" t="inlineStr">
        <is>
          <t>Acquisition</t>
        </is>
      </c>
      <c r="BD778" s="69" t="inlineStr">
        <is>
          <t>N</t>
        </is>
      </c>
      <c r="BE778" s="71" t="n">
        <v>105000000</v>
      </c>
      <c r="BF778" s="71" t="n"/>
      <c r="BG778" s="71" t="n"/>
      <c r="BH778" s="71" t="n">
        <v>0</v>
      </c>
      <c r="BI778" s="71" t="n">
        <v>0</v>
      </c>
      <c r="BJ778" s="69" t="inlineStr">
        <is>
          <t>N</t>
        </is>
      </c>
      <c r="BK778" s="69" t="inlineStr">
        <is>
          <t>International Business</t>
        </is>
      </c>
      <c r="BL778" s="75" t="n">
        <v>11.41</v>
      </c>
      <c r="BM778" s="73" t="n">
        <v>46477</v>
      </c>
      <c r="BN778" s="69" t="inlineStr">
        <is>
          <t>Samuel T. Byrne and William H. Kremer</t>
        </is>
      </c>
      <c r="BO778" s="69" t="inlineStr">
        <is>
          <t>GACC</t>
        </is>
      </c>
      <c r="BP778" s="69" t="inlineStr">
        <is>
          <t>Midland Loan Services</t>
        </is>
      </c>
      <c r="BQ778" s="69" t="inlineStr">
        <is>
          <t>K-Star Asset Management LLC</t>
        </is>
      </c>
      <c r="BR778" s="69" t="n"/>
      <c r="BS778" s="73" t="n">
        <v>46273</v>
      </c>
      <c r="BU778" s="76">
        <f>IF($C778="","",IFERROR(INDEX(dmName,MATCH($C778,dmID,0)),"Unmapped"))</f>
        <v/>
      </c>
      <c r="BV778" s="76">
        <f>IF($C778="","",IFERROR(INDEX(dmEntity,MATCH($C778,dmID,0)),"Unmapped"))</f>
        <v/>
      </c>
      <c r="BW778" s="77">
        <f>IF($C778="","",IFERROR(INDEX(dmVintage,MATCH($C778,dmID,0)),""))</f>
        <v/>
      </c>
      <c r="BX778" s="78">
        <f>IFERROR(INDEX(dmInclude,MATCH($C778,dmID,0)),0)</f>
        <v/>
      </c>
      <c r="BY778" s="78">
        <f>IF(N($I778)&gt;0,1,0)</f>
        <v/>
      </c>
      <c r="BZ778" s="76">
        <f>IF($AJ778="","Other / Leased Fee",IFERROR(INDEX(mapPTGroup,MATCH(LEFT(TRIM($AJ778),2),mapPTCode,0)),"Other / Leased Fee"))</f>
        <v/>
      </c>
      <c r="CA778" s="76">
        <f>IF(TRIM($AF778&amp;"")="","NR",LEFT(TRIM($AF778),2))</f>
        <v/>
      </c>
      <c r="CB778" s="76">
        <f>IFERROR(LOOKUP(2,1/(LEFT(TRIM($AI778&amp;""),LEN(mapRegion))=mapRegion),mapRegion),"Not Reported")</f>
        <v/>
      </c>
      <c r="CC778" s="76">
        <f>IF($BY778=0,"",IF(TRIM($W778&amp;"")="REO","REO",IF(TRIM($W778&amp;"")="FC","Foreclosure",IF(TRIM($W778&amp;"")="90+","90+ Days Delinquent",IF(TRIM($W778&amp;"")="60","60 Days Delinquent",IF(TRIM($W778&amp;"")="30","30 Days Delinquent",IF($X778="Non-Performing Matured Balloon","Non-Performing Matured Balloon",IF(OR($X778="Late Payment But Less Than 30 Days Delinquent",LEFT($X778&amp;"",20)="Payment Not Received"),"Late / In Grace (&lt;30 Days)",IF($X778="Performing Matured Balloon","Performing Matured Balloon","Current")))))))))</f>
        <v/>
      </c>
      <c r="CD778" s="78">
        <f>IF(OR($CC778="REO",$CC778="Foreclosure",$CC778="90+ Days Delinquent",$CC778="60 Days Delinquent",$CC778="30 Days Delinquent",$CC778="Non-Performing Matured Balloon"),1,0)</f>
        <v/>
      </c>
      <c r="CE778" s="76">
        <f>IF($AB778="Currently special serv","Currently Specially Serviced",IF($AB778="Returned to master serv","Previously Specially Serviced","Never Specially Serviced"))</f>
        <v/>
      </c>
      <c r="CF778" s="78">
        <f>IF($CE778="Currently Specially Serviced",1,0)</f>
        <v/>
      </c>
      <c r="CG778" s="76">
        <f>IF($AA778="Yes","Currently on Watchlist",IF($AA778="Previously","Previously on Watchlist","Never on Watchlist"))</f>
        <v/>
      </c>
      <c r="CH778" s="78">
        <f>IF($CG778="Currently on Watchlist",1,0)</f>
        <v/>
      </c>
      <c r="CI778" s="76">
        <f>IF($Z778="Full Defeasance","Fully Defeased",IF($Z778="Portion Of Loan Previously Defeased","Partially Defeased",IF($Z778="Defeasance Not Allowable","Not Defeased (Not Permitted)","Not Defeased")))</f>
        <v/>
      </c>
      <c r="CJ778" s="78">
        <f>IF($CI778="Fully Defeased",1,0)</f>
        <v/>
      </c>
      <c r="CK778" s="76">
        <f>IF($R778="IO","Full IO",IF(LEFT($R778&amp;"",7)="IO then","Partial IO","Amortizing"))</f>
        <v/>
      </c>
      <c r="CL778" s="78">
        <f>IF($CK778="Full IO",1,0)</f>
        <v/>
      </c>
      <c r="CM778" s="78">
        <f>IF($CK778="Partial IO",1,0)</f>
        <v/>
      </c>
      <c r="CN778" s="76">
        <f>IF(LEFT($F778&amp;"",10)="SPLIT_LOAN","Pari Passu Split","Standalone")</f>
        <v/>
      </c>
      <c r="CO778" s="78">
        <f>IF($CN778="Pari Passu Split",1,0)</f>
        <v/>
      </c>
      <c r="CP778" s="77">
        <f>IF(ISNUMBER($T778),YEAR($T778),"")</f>
        <v/>
      </c>
      <c r="CQ778" s="79">
        <f>IF(ISNUMBER($V778),$V778,IF(ISNUMBER($U778),$U778,""))</f>
        <v/>
      </c>
      <c r="CR778" s="77">
        <f>IF(ISNUMBER($CQ778),YEAR($CQ778),"")</f>
        <v/>
      </c>
      <c r="CS778" s="78">
        <f>IF(ISNUMBER($M778),MAX(0,$M778),IF(TRIM($M778&amp;"")="matured",0,""))</f>
        <v/>
      </c>
      <c r="CT778" s="78">
        <f>IF(AND(ISNUMBER($CS778),N($CS778)&lt;=mMatWindow),1,0)</f>
        <v/>
      </c>
      <c r="CU778" s="80">
        <f>IF(ISNUMBER($J778),$J778/100,"")</f>
        <v/>
      </c>
      <c r="CV778" s="81">
        <f>IF(ISNUMBER($AQ778),$AQ778,"")</f>
        <v/>
      </c>
      <c r="CW778" s="81">
        <f>IF(ISNUMBER($AR778),$AR778,"")</f>
        <v/>
      </c>
      <c r="CX778" s="82">
        <f>IF(ISNUMBER($AS778),$AS778/100,"")</f>
        <v/>
      </c>
      <c r="CY778" s="82">
        <f>IF(ISNUMBER($AT778),$AT778/100,"")</f>
        <v/>
      </c>
      <c r="CZ778" s="82">
        <f>IF(ISNUMBER($AU778),$AU778/100,"")</f>
        <v/>
      </c>
      <c r="DA778" s="82">
        <f>IF(ISNUMBER($AV778),$AV778/100,"")</f>
        <v/>
      </c>
      <c r="DB778" s="82">
        <f>IF(ISNUMBER($AW778),$AW778/100,"")</f>
        <v/>
      </c>
      <c r="DC778" s="82">
        <f>IF(ISNUMBER($AX778),$AX778/100,"")</f>
        <v/>
      </c>
      <c r="DD778" s="77">
        <f>IFERROR(VALUE(LEFT(TRIM($AO778&amp;""),4)),"")</f>
        <v/>
      </c>
      <c r="DE778" s="78">
        <f>IF(AND($BY778=1,$BX778=1,OR(fDeal="All Deals",$BU778=fDeal),OR(fEntity="All Entities",$BV778=fEntity),OR(fPType="All Property Types",$BZ778=fPType),OR(fDefeased="Include",$CJ778=0)),1,0)</f>
        <v/>
      </c>
      <c r="DF778" s="83">
        <f>$DE778*N($I778)</f>
        <v/>
      </c>
      <c r="DG778" s="78">
        <f>IF($DE778=1,IF(COUNTIFS($F$8:$F778,$F778,$DE$8:$DE778,1)=1,1,0),0)</f>
        <v/>
      </c>
      <c r="DH778" s="83">
        <f>IF($DG778=1,SUMIFS($DF$8:$DF$1600,$F$8:$F$1600,$F778),0)</f>
        <v/>
      </c>
      <c r="DI778" s="78">
        <f>IF($DG778=1,COUNTIFS($F$8:$F$1600,$F778,$DE$8:$DE$1600,1),0)</f>
        <v/>
      </c>
      <c r="DJ778" s="84">
        <f>IF($DG778=1,$DH778+(100000-ROW())/mTieBreak,0)</f>
        <v/>
      </c>
    </row>
    <row r="779">
      <c r="B779" s="68" t="n">
        <v>9</v>
      </c>
      <c r="C779" s="69" t="inlineStr">
        <is>
          <t>BCMK18B3</t>
        </is>
      </c>
      <c r="D779" s="69" t="inlineStr">
        <is>
          <t>9.000</t>
        </is>
      </c>
      <c r="E779" s="69" t="inlineStr">
        <is>
          <t>Marriott Charlotte City Center</t>
        </is>
      </c>
      <c r="F779" s="69" t="inlineStr">
        <is>
          <t>SPLIT_LOAN_01173</t>
        </is>
      </c>
      <c r="G779" s="70" t="n">
        <v>1173</v>
      </c>
      <c r="H779" s="71" t="n">
        <v>43000000</v>
      </c>
      <c r="I779" s="71" t="n">
        <v>0</v>
      </c>
      <c r="J779" s="72" t="n">
        <v>4.53</v>
      </c>
      <c r="K779" s="69" t="inlineStr">
        <is>
          <t>Fixed rate</t>
        </is>
      </c>
      <c r="L779" s="68" t="n">
        <v>60</v>
      </c>
      <c r="M779" s="68" t="n"/>
      <c r="N779" s="68" t="n">
        <v>60</v>
      </c>
      <c r="O779" s="68" t="n">
        <v>60</v>
      </c>
      <c r="P779" s="68" t="n"/>
      <c r="Q779" s="68" t="n"/>
      <c r="R779" s="69" t="inlineStr">
        <is>
          <t>IO</t>
        </is>
      </c>
      <c r="S779" s="69" t="inlineStr">
        <is>
          <t>Yes</t>
        </is>
      </c>
      <c r="T779" s="73" t="n">
        <v>42887</v>
      </c>
      <c r="U779" s="73" t="n">
        <v>44713</v>
      </c>
      <c r="V779" s="73" t="n"/>
      <c r="W779" s="69" t="n"/>
      <c r="X779" s="69" t="inlineStr">
        <is>
          <t>Current</t>
        </is>
      </c>
      <c r="Y779" s="68" t="n"/>
      <c r="Z779" s="69" t="inlineStr">
        <is>
          <t>No Defeasance Occurred</t>
        </is>
      </c>
      <c r="AA779" s="69" t="inlineStr">
        <is>
          <t>Previously</t>
        </is>
      </c>
      <c r="AB779" s="69" t="inlineStr">
        <is>
          <t>Never special serv</t>
        </is>
      </c>
      <c r="AC779" s="73" t="n"/>
      <c r="AD779" s="69" t="n"/>
      <c r="AE779" s="69" t="n"/>
      <c r="AF779" s="69" t="inlineStr">
        <is>
          <t>NC</t>
        </is>
      </c>
      <c r="AG779" s="69" t="inlineStr">
        <is>
          <t>Charlotte</t>
        </is>
      </c>
      <c r="AH779" s="69" t="inlineStr">
        <is>
          <t>Charlotte-Concord-Gastonia, NC-SC</t>
        </is>
      </c>
      <c r="AI779" s="69" t="inlineStr">
        <is>
          <t>South / Atlantic</t>
        </is>
      </c>
      <c r="AJ779" s="69" t="inlineStr">
        <is>
          <t>HT</t>
        </is>
      </c>
      <c r="AK779" s="69" t="inlineStr">
        <is>
          <t>Full Service</t>
        </is>
      </c>
      <c r="AL779" s="68" t="n">
        <v>1</v>
      </c>
      <c r="AM779" s="68" t="n">
        <v>446</v>
      </c>
      <c r="AN779" s="68" t="n"/>
      <c r="AO779" s="69" t="inlineStr">
        <is>
          <t>1984</t>
        </is>
      </c>
      <c r="AP779" s="70" t="n">
        <v>2016</v>
      </c>
      <c r="AQ779" s="74" t="n">
        <v>2.76</v>
      </c>
      <c r="AR779" s="74" t="n">
        <v>0.63</v>
      </c>
      <c r="AS779" s="74" t="n">
        <v>60.6</v>
      </c>
      <c r="AT779" s="74" t="n"/>
      <c r="AU779" s="74" t="n">
        <v>60.6</v>
      </c>
      <c r="AV779" s="74" t="n">
        <v>12.691258252</v>
      </c>
      <c r="AW779" s="74" t="n"/>
      <c r="AX779" s="75" t="n">
        <v>43</v>
      </c>
      <c r="AY779" s="71" t="n">
        <v>170000000</v>
      </c>
      <c r="AZ779" s="71" t="n">
        <v>170000000</v>
      </c>
      <c r="BA779" s="71" t="n">
        <v>13071996</v>
      </c>
      <c r="BB779" s="71" t="n">
        <v>3001043.12</v>
      </c>
      <c r="BC779" s="69" t="inlineStr">
        <is>
          <t>Acquisition</t>
        </is>
      </c>
      <c r="BD779" s="69" t="inlineStr">
        <is>
          <t>N</t>
        </is>
      </c>
      <c r="BE779" s="71" t="n">
        <v>0</v>
      </c>
      <c r="BF779" s="71" t="n"/>
      <c r="BG779" s="71" t="n"/>
      <c r="BH779" s="71" t="n">
        <v>0</v>
      </c>
      <c r="BI779" s="71" t="n">
        <v>0</v>
      </c>
      <c r="BJ779" s="69" t="inlineStr">
        <is>
          <t>N</t>
        </is>
      </c>
      <c r="BK779" s="69" t="n"/>
      <c r="BL779" s="75" t="n"/>
      <c r="BM779" s="73" t="n"/>
      <c r="BN779" s="69" t="inlineStr">
        <is>
          <t>Carey Watermark Investors 2 Incorporated</t>
        </is>
      </c>
      <c r="BO779" s="69" t="inlineStr">
        <is>
          <t>JPMorgan Chase</t>
        </is>
      </c>
      <c r="BP779" s="69" t="inlineStr">
        <is>
          <t>Midland Loan Services</t>
        </is>
      </c>
      <c r="BQ779" s="69" t="inlineStr">
        <is>
          <t>Midland Loan Services</t>
        </is>
      </c>
      <c r="BR779" s="69" t="inlineStr">
        <is>
          <t>Full Payoff At Maturity</t>
        </is>
      </c>
      <c r="BS779" s="73" t="n">
        <v>44718</v>
      </c>
      <c r="BU779" s="76">
        <f>IF($C779="","",IFERROR(INDEX(dmName,MATCH($C779,dmID,0)),"Unmapped"))</f>
        <v/>
      </c>
      <c r="BV779" s="76">
        <f>IF($C779="","",IFERROR(INDEX(dmEntity,MATCH($C779,dmID,0)),"Unmapped"))</f>
        <v/>
      </c>
      <c r="BW779" s="77">
        <f>IF($C779="","",IFERROR(INDEX(dmVintage,MATCH($C779,dmID,0)),""))</f>
        <v/>
      </c>
      <c r="BX779" s="78">
        <f>IFERROR(INDEX(dmInclude,MATCH($C779,dmID,0)),0)</f>
        <v/>
      </c>
      <c r="BY779" s="78">
        <f>IF(N($I779)&gt;0,1,0)</f>
        <v/>
      </c>
      <c r="BZ779" s="76">
        <f>IF($AJ779="","Other / Leased Fee",IFERROR(INDEX(mapPTGroup,MATCH(LEFT(TRIM($AJ779),2),mapPTCode,0)),"Other / Leased Fee"))</f>
        <v/>
      </c>
      <c r="CA779" s="76">
        <f>IF(TRIM($AF779&amp;"")="","NR",LEFT(TRIM($AF779),2))</f>
        <v/>
      </c>
      <c r="CB779" s="76">
        <f>IFERROR(LOOKUP(2,1/(LEFT(TRIM($AI779&amp;""),LEN(mapRegion))=mapRegion),mapRegion),"Not Reported")</f>
        <v/>
      </c>
      <c r="CC779" s="76">
        <f>IF($BY779=0,"",IF(TRIM($W779&amp;"")="REO","REO",IF(TRIM($W779&amp;"")="FC","Foreclosure",IF(TRIM($W779&amp;"")="90+","90+ Days Delinquent",IF(TRIM($W779&amp;"")="60","60 Days Delinquent",IF(TRIM($W779&amp;"")="30","30 Days Delinquent",IF($X779="Non-Performing Matured Balloon","Non-Performing Matured Balloon",IF(OR($X779="Late Payment But Less Than 30 Days Delinquent",LEFT($X779&amp;"",20)="Payment Not Received"),"Late / In Grace (&lt;30 Days)",IF($X779="Performing Matured Balloon","Performing Matured Balloon","Current")))))))))</f>
        <v/>
      </c>
      <c r="CD779" s="78">
        <f>IF(OR($CC779="REO",$CC779="Foreclosure",$CC779="90+ Days Delinquent",$CC779="60 Days Delinquent",$CC779="30 Days Delinquent",$CC779="Non-Performing Matured Balloon"),1,0)</f>
        <v/>
      </c>
      <c r="CE779" s="76">
        <f>IF($AB779="Currently special serv","Currently Specially Serviced",IF($AB779="Returned to master serv","Previously Specially Serviced","Never Specially Serviced"))</f>
        <v/>
      </c>
      <c r="CF779" s="78">
        <f>IF($CE779="Currently Specially Serviced",1,0)</f>
        <v/>
      </c>
      <c r="CG779" s="76">
        <f>IF($AA779="Yes","Currently on Watchlist",IF($AA779="Previously","Previously on Watchlist","Never on Watchlist"))</f>
        <v/>
      </c>
      <c r="CH779" s="78">
        <f>IF($CG779="Currently on Watchlist",1,0)</f>
        <v/>
      </c>
      <c r="CI779" s="76">
        <f>IF($Z779="Full Defeasance","Fully Defeased",IF($Z779="Portion Of Loan Previously Defeased","Partially Defeased",IF($Z779="Defeasance Not Allowable","Not Defeased (Not Permitted)","Not Defeased")))</f>
        <v/>
      </c>
      <c r="CJ779" s="78">
        <f>IF($CI779="Fully Defeased",1,0)</f>
        <v/>
      </c>
      <c r="CK779" s="76">
        <f>IF($R779="IO","Full IO",IF(LEFT($R779&amp;"",7)="IO then","Partial IO","Amortizing"))</f>
        <v/>
      </c>
      <c r="CL779" s="78">
        <f>IF($CK779="Full IO",1,0)</f>
        <v/>
      </c>
      <c r="CM779" s="78">
        <f>IF($CK779="Partial IO",1,0)</f>
        <v/>
      </c>
      <c r="CN779" s="76">
        <f>IF(LEFT($F779&amp;"",10)="SPLIT_LOAN","Pari Passu Split","Standalone")</f>
        <v/>
      </c>
      <c r="CO779" s="78">
        <f>IF($CN779="Pari Passu Split",1,0)</f>
        <v/>
      </c>
      <c r="CP779" s="77">
        <f>IF(ISNUMBER($T779),YEAR($T779),"")</f>
        <v/>
      </c>
      <c r="CQ779" s="79">
        <f>IF(ISNUMBER($V779),$V779,IF(ISNUMBER($U779),$U779,""))</f>
        <v/>
      </c>
      <c r="CR779" s="77">
        <f>IF(ISNUMBER($CQ779),YEAR($CQ779),"")</f>
        <v/>
      </c>
      <c r="CS779" s="78">
        <f>IF(ISNUMBER($M779),MAX(0,$M779),IF(TRIM($M779&amp;"")="matured",0,""))</f>
        <v/>
      </c>
      <c r="CT779" s="78">
        <f>IF(AND(ISNUMBER($CS779),N($CS779)&lt;=mMatWindow),1,0)</f>
        <v/>
      </c>
      <c r="CU779" s="80">
        <f>IF(ISNUMBER($J779),$J779/100,"")</f>
        <v/>
      </c>
      <c r="CV779" s="81">
        <f>IF(ISNUMBER($AQ779),$AQ779,"")</f>
        <v/>
      </c>
      <c r="CW779" s="81">
        <f>IF(ISNUMBER($AR779),$AR779,"")</f>
        <v/>
      </c>
      <c r="CX779" s="82">
        <f>IF(ISNUMBER($AS779),$AS779/100,"")</f>
        <v/>
      </c>
      <c r="CY779" s="82">
        <f>IF(ISNUMBER($AT779),$AT779/100,"")</f>
        <v/>
      </c>
      <c r="CZ779" s="82">
        <f>IF(ISNUMBER($AU779),$AU779/100,"")</f>
        <v/>
      </c>
      <c r="DA779" s="82">
        <f>IF(ISNUMBER($AV779),$AV779/100,"")</f>
        <v/>
      </c>
      <c r="DB779" s="82">
        <f>IF(ISNUMBER($AW779),$AW779/100,"")</f>
        <v/>
      </c>
      <c r="DC779" s="82">
        <f>IF(ISNUMBER($AX779),$AX779/100,"")</f>
        <v/>
      </c>
      <c r="DD779" s="77">
        <f>IFERROR(VALUE(LEFT(TRIM($AO779&amp;""),4)),"")</f>
        <v/>
      </c>
      <c r="DE779" s="78">
        <f>IF(AND($BY779=1,$BX779=1,OR(fDeal="All Deals",$BU779=fDeal),OR(fEntity="All Entities",$BV779=fEntity),OR(fPType="All Property Types",$BZ779=fPType),OR(fDefeased="Include",$CJ779=0)),1,0)</f>
        <v/>
      </c>
      <c r="DF779" s="83">
        <f>$DE779*N($I779)</f>
        <v/>
      </c>
      <c r="DG779" s="78">
        <f>IF($DE779=1,IF(COUNTIFS($F$8:$F779,$F779,$DE$8:$DE779,1)=1,1,0),0)</f>
        <v/>
      </c>
      <c r="DH779" s="83">
        <f>IF($DG779=1,SUMIFS($DF$8:$DF$1600,$F$8:$F$1600,$F779),0)</f>
        <v/>
      </c>
      <c r="DI779" s="78">
        <f>IF($DG779=1,COUNTIFS($F$8:$F$1600,$F779,$DE$8:$DE$1600,1),0)</f>
        <v/>
      </c>
      <c r="DJ779" s="84">
        <f>IF($DG779=1,$DH779+(100000-ROW())/mTieBreak,0)</f>
        <v/>
      </c>
    </row>
    <row r="780">
      <c r="B780" s="68" t="n">
        <v>10</v>
      </c>
      <c r="C780" s="69" t="inlineStr">
        <is>
          <t>BCMK18B3</t>
        </is>
      </c>
      <c r="D780" s="69" t="inlineStr">
        <is>
          <t>10.000</t>
        </is>
      </c>
      <c r="E780" s="69" t="inlineStr">
        <is>
          <t>Rochester Hotel Portfolio</t>
        </is>
      </c>
      <c r="F780" s="69" t="inlineStr">
        <is>
          <t>SPLIT_LOAN_01172</t>
        </is>
      </c>
      <c r="G780" s="70" t="n">
        <v>1172</v>
      </c>
      <c r="H780" s="71" t="n">
        <v>40000000</v>
      </c>
      <c r="I780" s="71" t="n">
        <v>34552749.01</v>
      </c>
      <c r="J780" s="72" t="n">
        <v>4.741</v>
      </c>
      <c r="K780" s="69" t="inlineStr">
        <is>
          <t>Fixed rate</t>
        </is>
      </c>
      <c r="L780" s="68" t="n">
        <v>120</v>
      </c>
      <c r="M780" s="68" t="n">
        <v>14</v>
      </c>
      <c r="N780" s="68" t="n">
        <v>336</v>
      </c>
      <c r="O780" s="68" t="n">
        <v>36</v>
      </c>
      <c r="P780" s="68" t="n">
        <v>0</v>
      </c>
      <c r="Q780" s="68" t="n">
        <v>106</v>
      </c>
      <c r="R780" s="69" t="inlineStr">
        <is>
          <t>IO then Amort</t>
        </is>
      </c>
      <c r="S780" s="69" t="inlineStr">
        <is>
          <t>No</t>
        </is>
      </c>
      <c r="T780" s="73" t="n">
        <v>43040</v>
      </c>
      <c r="U780" s="73" t="n">
        <v>46697</v>
      </c>
      <c r="V780" s="73" t="n"/>
      <c r="W780" s="69" t="n"/>
      <c r="X780" s="69" t="inlineStr">
        <is>
          <t>Current</t>
        </is>
      </c>
      <c r="Y780" s="68" t="n"/>
      <c r="Z780" s="69" t="inlineStr">
        <is>
          <t>No Defeasance Occurred</t>
        </is>
      </c>
      <c r="AA780" s="69" t="inlineStr">
        <is>
          <t>Yes</t>
        </is>
      </c>
      <c r="AB780" s="69" t="inlineStr">
        <is>
          <t>Never special serv</t>
        </is>
      </c>
      <c r="AC780" s="73" t="n"/>
      <c r="AD780" s="69" t="n"/>
      <c r="AE780" s="69" t="n"/>
      <c r="AF780" s="69" t="inlineStr">
        <is>
          <t>MN</t>
        </is>
      </c>
      <c r="AG780" s="69" t="n"/>
      <c r="AH780" s="69" t="inlineStr">
        <is>
          <t>Rochester, MN</t>
        </is>
      </c>
      <c r="AI780" s="69" t="inlineStr">
        <is>
          <t>Midwest / Central West</t>
        </is>
      </c>
      <c r="AJ780" s="69" t="inlineStr">
        <is>
          <t>HT</t>
        </is>
      </c>
      <c r="AK780" s="69" t="n"/>
      <c r="AL780" s="68" t="n">
        <v>4</v>
      </c>
      <c r="AM780" s="68" t="n">
        <v>1222</v>
      </c>
      <c r="AN780" s="68" t="n"/>
      <c r="AO780" s="69" t="n"/>
      <c r="AP780" s="70" t="n">
        <v>2016</v>
      </c>
      <c r="AQ780" s="74" t="n">
        <v>1.5</v>
      </c>
      <c r="AR780" s="74" t="n">
        <v>0.86</v>
      </c>
      <c r="AS780" s="74" t="n">
        <v>66.7</v>
      </c>
      <c r="AT780" s="74" t="n">
        <v>57.59</v>
      </c>
      <c r="AU780" s="74" t="n">
        <v>55.4</v>
      </c>
      <c r="AV780" s="74" t="n">
        <v>10.263473221</v>
      </c>
      <c r="AW780" s="74" t="n">
        <v>8.784929299</v>
      </c>
      <c r="AX780" s="75" t="n">
        <v>51</v>
      </c>
      <c r="AY780" s="71" t="n">
        <v>210000000</v>
      </c>
      <c r="AZ780" s="71" t="n">
        <v>210000000</v>
      </c>
      <c r="BA780" s="71" t="n">
        <v>14368862.51</v>
      </c>
      <c r="BB780" s="71" t="n">
        <v>8195000</v>
      </c>
      <c r="BC780" s="69" t="inlineStr">
        <is>
          <t>Refinance</t>
        </is>
      </c>
      <c r="BD780" s="69" t="inlineStr">
        <is>
          <t>N</t>
        </is>
      </c>
      <c r="BE780" s="71" t="n">
        <v>86381872.52</v>
      </c>
      <c r="BF780" s="71" t="n"/>
      <c r="BG780" s="71" t="n"/>
      <c r="BH780" s="71" t="n">
        <v>0</v>
      </c>
      <c r="BI780" s="71" t="n">
        <v>0</v>
      </c>
      <c r="BJ780" s="69" t="inlineStr">
        <is>
          <t>N</t>
        </is>
      </c>
      <c r="BK780" s="69" t="n"/>
      <c r="BL780" s="75" t="n"/>
      <c r="BM780" s="73" t="n"/>
      <c r="BN780" s="69" t="inlineStr">
        <is>
          <t>Javon R. Bea and Vita E. Bea</t>
        </is>
      </c>
      <c r="BO780" s="69" t="inlineStr">
        <is>
          <t>GACC</t>
        </is>
      </c>
      <c r="BP780" s="69" t="inlineStr">
        <is>
          <t>Midland Loan Services</t>
        </is>
      </c>
      <c r="BQ780" s="69" t="inlineStr">
        <is>
          <t>CWCapital</t>
        </is>
      </c>
      <c r="BR780" s="69" t="n"/>
      <c r="BS780" s="73" t="n">
        <v>46273</v>
      </c>
      <c r="BU780" s="76">
        <f>IF($C780="","",IFERROR(INDEX(dmName,MATCH($C780,dmID,0)),"Unmapped"))</f>
        <v/>
      </c>
      <c r="BV780" s="76">
        <f>IF($C780="","",IFERROR(INDEX(dmEntity,MATCH($C780,dmID,0)),"Unmapped"))</f>
        <v/>
      </c>
      <c r="BW780" s="77">
        <f>IF($C780="","",IFERROR(INDEX(dmVintage,MATCH($C780,dmID,0)),""))</f>
        <v/>
      </c>
      <c r="BX780" s="78">
        <f>IFERROR(INDEX(dmInclude,MATCH($C780,dmID,0)),0)</f>
        <v/>
      </c>
      <c r="BY780" s="78">
        <f>IF(N($I780)&gt;0,1,0)</f>
        <v/>
      </c>
      <c r="BZ780" s="76">
        <f>IF($AJ780="","Other / Leased Fee",IFERROR(INDEX(mapPTGroup,MATCH(LEFT(TRIM($AJ780),2),mapPTCode,0)),"Other / Leased Fee"))</f>
        <v/>
      </c>
      <c r="CA780" s="76">
        <f>IF(TRIM($AF780&amp;"")="","NR",LEFT(TRIM($AF780),2))</f>
        <v/>
      </c>
      <c r="CB780" s="76">
        <f>IFERROR(LOOKUP(2,1/(LEFT(TRIM($AI780&amp;""),LEN(mapRegion))=mapRegion),mapRegion),"Not Reported")</f>
        <v/>
      </c>
      <c r="CC780" s="76">
        <f>IF($BY780=0,"",IF(TRIM($W780&amp;"")="REO","REO",IF(TRIM($W780&amp;"")="FC","Foreclosure",IF(TRIM($W780&amp;"")="90+","90+ Days Delinquent",IF(TRIM($W780&amp;"")="60","60 Days Delinquent",IF(TRIM($W780&amp;"")="30","30 Days Delinquent",IF($X780="Non-Performing Matured Balloon","Non-Performing Matured Balloon",IF(OR($X780="Late Payment But Less Than 30 Days Delinquent",LEFT($X780&amp;"",20)="Payment Not Received"),"Late / In Grace (&lt;30 Days)",IF($X780="Performing Matured Balloon","Performing Matured Balloon","Current")))))))))</f>
        <v/>
      </c>
      <c r="CD780" s="78">
        <f>IF(OR($CC780="REO",$CC780="Foreclosure",$CC780="90+ Days Delinquent",$CC780="60 Days Delinquent",$CC780="30 Days Delinquent",$CC780="Non-Performing Matured Balloon"),1,0)</f>
        <v/>
      </c>
      <c r="CE780" s="76">
        <f>IF($AB780="Currently special serv","Currently Specially Serviced",IF($AB780="Returned to master serv","Previously Specially Serviced","Never Specially Serviced"))</f>
        <v/>
      </c>
      <c r="CF780" s="78">
        <f>IF($CE780="Currently Specially Serviced",1,0)</f>
        <v/>
      </c>
      <c r="CG780" s="76">
        <f>IF($AA780="Yes","Currently on Watchlist",IF($AA780="Previously","Previously on Watchlist","Never on Watchlist"))</f>
        <v/>
      </c>
      <c r="CH780" s="78">
        <f>IF($CG780="Currently on Watchlist",1,0)</f>
        <v/>
      </c>
      <c r="CI780" s="76">
        <f>IF($Z780="Full Defeasance","Fully Defeased",IF($Z780="Portion Of Loan Previously Defeased","Partially Defeased",IF($Z780="Defeasance Not Allowable","Not Defeased (Not Permitted)","Not Defeased")))</f>
        <v/>
      </c>
      <c r="CJ780" s="78">
        <f>IF($CI780="Fully Defeased",1,0)</f>
        <v/>
      </c>
      <c r="CK780" s="76">
        <f>IF($R780="IO","Full IO",IF(LEFT($R780&amp;"",7)="IO then","Partial IO","Amortizing"))</f>
        <v/>
      </c>
      <c r="CL780" s="78">
        <f>IF($CK780="Full IO",1,0)</f>
        <v/>
      </c>
      <c r="CM780" s="78">
        <f>IF($CK780="Partial IO",1,0)</f>
        <v/>
      </c>
      <c r="CN780" s="76">
        <f>IF(LEFT($F780&amp;"",10)="SPLIT_LOAN","Pari Passu Split","Standalone")</f>
        <v/>
      </c>
      <c r="CO780" s="78">
        <f>IF($CN780="Pari Passu Split",1,0)</f>
        <v/>
      </c>
      <c r="CP780" s="77">
        <f>IF(ISNUMBER($T780),YEAR($T780),"")</f>
        <v/>
      </c>
      <c r="CQ780" s="79">
        <f>IF(ISNUMBER($V780),$V780,IF(ISNUMBER($U780),$U780,""))</f>
        <v/>
      </c>
      <c r="CR780" s="77">
        <f>IF(ISNUMBER($CQ780),YEAR($CQ780),"")</f>
        <v/>
      </c>
      <c r="CS780" s="78">
        <f>IF(ISNUMBER($M780),MAX(0,$M780),IF(TRIM($M780&amp;"")="matured",0,""))</f>
        <v/>
      </c>
      <c r="CT780" s="78">
        <f>IF(AND(ISNUMBER($CS780),N($CS780)&lt;=mMatWindow),1,0)</f>
        <v/>
      </c>
      <c r="CU780" s="80">
        <f>IF(ISNUMBER($J780),$J780/100,"")</f>
        <v/>
      </c>
      <c r="CV780" s="81">
        <f>IF(ISNUMBER($AQ780),$AQ780,"")</f>
        <v/>
      </c>
      <c r="CW780" s="81">
        <f>IF(ISNUMBER($AR780),$AR780,"")</f>
        <v/>
      </c>
      <c r="CX780" s="82">
        <f>IF(ISNUMBER($AS780),$AS780/100,"")</f>
        <v/>
      </c>
      <c r="CY780" s="82">
        <f>IF(ISNUMBER($AT780),$AT780/100,"")</f>
        <v/>
      </c>
      <c r="CZ780" s="82">
        <f>IF(ISNUMBER($AU780),$AU780/100,"")</f>
        <v/>
      </c>
      <c r="DA780" s="82">
        <f>IF(ISNUMBER($AV780),$AV780/100,"")</f>
        <v/>
      </c>
      <c r="DB780" s="82">
        <f>IF(ISNUMBER($AW780),$AW780/100,"")</f>
        <v/>
      </c>
      <c r="DC780" s="82">
        <f>IF(ISNUMBER($AX780),$AX780/100,"")</f>
        <v/>
      </c>
      <c r="DD780" s="77">
        <f>IFERROR(VALUE(LEFT(TRIM($AO780&amp;""),4)),"")</f>
        <v/>
      </c>
      <c r="DE780" s="78">
        <f>IF(AND($BY780=1,$BX780=1,OR(fDeal="All Deals",$BU780=fDeal),OR(fEntity="All Entities",$BV780=fEntity),OR(fPType="All Property Types",$BZ780=fPType),OR(fDefeased="Include",$CJ780=0)),1,0)</f>
        <v/>
      </c>
      <c r="DF780" s="83">
        <f>$DE780*N($I780)</f>
        <v/>
      </c>
      <c r="DG780" s="78">
        <f>IF($DE780=1,IF(COUNTIFS($F$8:$F780,$F780,$DE$8:$DE780,1)=1,1,0),0)</f>
        <v/>
      </c>
      <c r="DH780" s="83">
        <f>IF($DG780=1,SUMIFS($DF$8:$DF$1600,$F$8:$F$1600,$F780),0)</f>
        <v/>
      </c>
      <c r="DI780" s="78">
        <f>IF($DG780=1,COUNTIFS($F$8:$F$1600,$F780,$DE$8:$DE$1600,1),0)</f>
        <v/>
      </c>
      <c r="DJ780" s="84">
        <f>IF($DG780=1,$DH780+(100000-ROW())/mTieBreak,0)</f>
        <v/>
      </c>
    </row>
    <row r="781">
      <c r="B781" s="68" t="n">
        <v>11</v>
      </c>
      <c r="C781" s="69" t="inlineStr">
        <is>
          <t>BCMK18B3</t>
        </is>
      </c>
      <c r="D781" s="69" t="inlineStr">
        <is>
          <t>11.000</t>
        </is>
      </c>
      <c r="E781" s="69" t="inlineStr">
        <is>
          <t>Greystone Park and The Meridian at Deerwood Park</t>
        </is>
      </c>
      <c r="F781" s="69" t="inlineStr">
        <is>
          <t>LNBCMK18B3-11.000</t>
        </is>
      </c>
      <c r="G781" s="70" t="n"/>
      <c r="H781" s="71" t="n">
        <v>40000000</v>
      </c>
      <c r="I781" s="71" t="n">
        <v>0</v>
      </c>
      <c r="J781" s="72" t="n">
        <v>4.86</v>
      </c>
      <c r="K781" s="69" t="inlineStr">
        <is>
          <t>Fixed rate</t>
        </is>
      </c>
      <c r="L781" s="68" t="n">
        <v>60</v>
      </c>
      <c r="M781" s="68" t="n"/>
      <c r="N781" s="68" t="n">
        <v>384</v>
      </c>
      <c r="O781" s="68" t="n">
        <v>24</v>
      </c>
      <c r="P781" s="68" t="n"/>
      <c r="Q781" s="68" t="n"/>
      <c r="R781" s="69" t="inlineStr">
        <is>
          <t>IO then Amort</t>
        </is>
      </c>
      <c r="S781" s="69" t="inlineStr">
        <is>
          <t>No</t>
        </is>
      </c>
      <c r="T781" s="73" t="n">
        <v>43191</v>
      </c>
      <c r="U781" s="73" t="n">
        <v>45017</v>
      </c>
      <c r="V781" s="73" t="n"/>
      <c r="W781" s="69" t="n"/>
      <c r="X781" s="69" t="inlineStr">
        <is>
          <t>Current</t>
        </is>
      </c>
      <c r="Y781" s="68" t="n"/>
      <c r="Z781" s="69" t="inlineStr">
        <is>
          <t>Defeasance Not Allowable</t>
        </is>
      </c>
      <c r="AA781" s="69" t="inlineStr">
        <is>
          <t>Previously</t>
        </is>
      </c>
      <c r="AB781" s="69" t="inlineStr">
        <is>
          <t>Currently special serv</t>
        </is>
      </c>
      <c r="AC781" s="73" t="n">
        <v>45007</v>
      </c>
      <c r="AD781" s="69" t="inlineStr">
        <is>
          <t>Imminent Monetary Default (Balloon/Maturity Default)</t>
        </is>
      </c>
      <c r="AE781" s="69" t="inlineStr">
        <is>
          <t>Other</t>
        </is>
      </c>
      <c r="AF781" s="69" t="inlineStr">
        <is>
          <t>FL</t>
        </is>
      </c>
      <c r="AG781" s="69" t="n"/>
      <c r="AH781" s="69" t="inlineStr">
        <is>
          <t>Jacksonville, FL</t>
        </is>
      </c>
      <c r="AI781" s="69" t="inlineStr">
        <is>
          <t>South / Atlantic</t>
        </is>
      </c>
      <c r="AJ781" s="69" t="inlineStr">
        <is>
          <t>OF</t>
        </is>
      </c>
      <c r="AK781" s="69" t="inlineStr">
        <is>
          <t>Suburban</t>
        </is>
      </c>
      <c r="AL781" s="68" t="n">
        <v>2</v>
      </c>
      <c r="AM781" s="68" t="n"/>
      <c r="AN781" s="68" t="n">
        <v>412568</v>
      </c>
      <c r="AO781" s="69" t="n"/>
      <c r="AP781" s="70" t="n">
        <v>2003</v>
      </c>
      <c r="AQ781" s="74" t="n">
        <v>1.87</v>
      </c>
      <c r="AR781" s="74" t="n">
        <v>1.26</v>
      </c>
      <c r="AS781" s="74" t="n">
        <v>64</v>
      </c>
      <c r="AT781" s="74" t="n"/>
      <c r="AU781" s="74" t="n">
        <v>61.1</v>
      </c>
      <c r="AV781" s="74" t="n">
        <v>11.86552</v>
      </c>
      <c r="AW781" s="74" t="n"/>
      <c r="AX781" s="75" t="n">
        <v>86</v>
      </c>
      <c r="AY781" s="71" t="n">
        <v>62500000</v>
      </c>
      <c r="AZ781" s="71" t="n">
        <v>18600000</v>
      </c>
      <c r="BA781" s="71" t="n">
        <v>4746208</v>
      </c>
      <c r="BB781" s="71" t="n">
        <v>3199690.8</v>
      </c>
      <c r="BC781" s="69" t="inlineStr">
        <is>
          <t>Refinance</t>
        </is>
      </c>
      <c r="BD781" s="69" t="inlineStr">
        <is>
          <t>N</t>
        </is>
      </c>
      <c r="BE781" s="71" t="n"/>
      <c r="BF781" s="71" t="n"/>
      <c r="BG781" s="71" t="n"/>
      <c r="BH781" s="71" t="n">
        <v>0</v>
      </c>
      <c r="BI781" s="71" t="n">
        <v>0</v>
      </c>
      <c r="BJ781" s="69" t="inlineStr">
        <is>
          <t>N</t>
        </is>
      </c>
      <c r="BK781" s="69" t="inlineStr">
        <is>
          <t>DB Structured Products</t>
        </is>
      </c>
      <c r="BL781" s="75" t="n">
        <v>84.53</v>
      </c>
      <c r="BM781" s="73" t="n">
        <v>45961</v>
      </c>
      <c r="BN781" s="69" t="inlineStr">
        <is>
          <t>Taurus Investment Group</t>
        </is>
      </c>
      <c r="BO781" s="69" t="inlineStr">
        <is>
          <t>JPMorgan Chase</t>
        </is>
      </c>
      <c r="BP781" s="69" t="inlineStr">
        <is>
          <t>Midland Loan Services</t>
        </is>
      </c>
      <c r="BQ781" s="69" t="inlineStr">
        <is>
          <t>K-Star Asset Management LLC</t>
        </is>
      </c>
      <c r="BR781" s="69" t="inlineStr">
        <is>
          <t>DPO</t>
        </is>
      </c>
      <c r="BS781" s="73" t="n">
        <v>46273</v>
      </c>
      <c r="BU781" s="76">
        <f>IF($C781="","",IFERROR(INDEX(dmName,MATCH($C781,dmID,0)),"Unmapped"))</f>
        <v/>
      </c>
      <c r="BV781" s="76">
        <f>IF($C781="","",IFERROR(INDEX(dmEntity,MATCH($C781,dmID,0)),"Unmapped"))</f>
        <v/>
      </c>
      <c r="BW781" s="77">
        <f>IF($C781="","",IFERROR(INDEX(dmVintage,MATCH($C781,dmID,0)),""))</f>
        <v/>
      </c>
      <c r="BX781" s="78">
        <f>IFERROR(INDEX(dmInclude,MATCH($C781,dmID,0)),0)</f>
        <v/>
      </c>
      <c r="BY781" s="78">
        <f>IF(N($I781)&gt;0,1,0)</f>
        <v/>
      </c>
      <c r="BZ781" s="76">
        <f>IF($AJ781="","Other / Leased Fee",IFERROR(INDEX(mapPTGroup,MATCH(LEFT(TRIM($AJ781),2),mapPTCode,0)),"Other / Leased Fee"))</f>
        <v/>
      </c>
      <c r="CA781" s="76">
        <f>IF(TRIM($AF781&amp;"")="","NR",LEFT(TRIM($AF781),2))</f>
        <v/>
      </c>
      <c r="CB781" s="76">
        <f>IFERROR(LOOKUP(2,1/(LEFT(TRIM($AI781&amp;""),LEN(mapRegion))=mapRegion),mapRegion),"Not Reported")</f>
        <v/>
      </c>
      <c r="CC781" s="76">
        <f>IF($BY781=0,"",IF(TRIM($W781&amp;"")="REO","REO",IF(TRIM($W781&amp;"")="FC","Foreclosure",IF(TRIM($W781&amp;"")="90+","90+ Days Delinquent",IF(TRIM($W781&amp;"")="60","60 Days Delinquent",IF(TRIM($W781&amp;"")="30","30 Days Delinquent",IF($X781="Non-Performing Matured Balloon","Non-Performing Matured Balloon",IF(OR($X781="Late Payment But Less Than 30 Days Delinquent",LEFT($X781&amp;"",20)="Payment Not Received"),"Late / In Grace (&lt;30 Days)",IF($X781="Performing Matured Balloon","Performing Matured Balloon","Current")))))))))</f>
        <v/>
      </c>
      <c r="CD781" s="78">
        <f>IF(OR($CC781="REO",$CC781="Foreclosure",$CC781="90+ Days Delinquent",$CC781="60 Days Delinquent",$CC781="30 Days Delinquent",$CC781="Non-Performing Matured Balloon"),1,0)</f>
        <v/>
      </c>
      <c r="CE781" s="76">
        <f>IF($AB781="Currently special serv","Currently Specially Serviced",IF($AB781="Returned to master serv","Previously Specially Serviced","Never Specially Serviced"))</f>
        <v/>
      </c>
      <c r="CF781" s="78">
        <f>IF($CE781="Currently Specially Serviced",1,0)</f>
        <v/>
      </c>
      <c r="CG781" s="76">
        <f>IF($AA781="Yes","Currently on Watchlist",IF($AA781="Previously","Previously on Watchlist","Never on Watchlist"))</f>
        <v/>
      </c>
      <c r="CH781" s="78">
        <f>IF($CG781="Currently on Watchlist",1,0)</f>
        <v/>
      </c>
      <c r="CI781" s="76">
        <f>IF($Z781="Full Defeasance","Fully Defeased",IF($Z781="Portion Of Loan Previously Defeased","Partially Defeased",IF($Z781="Defeasance Not Allowable","Not Defeased (Not Permitted)","Not Defeased")))</f>
        <v/>
      </c>
      <c r="CJ781" s="78">
        <f>IF($CI781="Fully Defeased",1,0)</f>
        <v/>
      </c>
      <c r="CK781" s="76">
        <f>IF($R781="IO","Full IO",IF(LEFT($R781&amp;"",7)="IO then","Partial IO","Amortizing"))</f>
        <v/>
      </c>
      <c r="CL781" s="78">
        <f>IF($CK781="Full IO",1,0)</f>
        <v/>
      </c>
      <c r="CM781" s="78">
        <f>IF($CK781="Partial IO",1,0)</f>
        <v/>
      </c>
      <c r="CN781" s="76">
        <f>IF(LEFT($F781&amp;"",10)="SPLIT_LOAN","Pari Passu Split","Standalone")</f>
        <v/>
      </c>
      <c r="CO781" s="78">
        <f>IF($CN781="Pari Passu Split",1,0)</f>
        <v/>
      </c>
      <c r="CP781" s="77">
        <f>IF(ISNUMBER($T781),YEAR($T781),"")</f>
        <v/>
      </c>
      <c r="CQ781" s="79">
        <f>IF(ISNUMBER($V781),$V781,IF(ISNUMBER($U781),$U781,""))</f>
        <v/>
      </c>
      <c r="CR781" s="77">
        <f>IF(ISNUMBER($CQ781),YEAR($CQ781),"")</f>
        <v/>
      </c>
      <c r="CS781" s="78">
        <f>IF(ISNUMBER($M781),MAX(0,$M781),IF(TRIM($M781&amp;"")="matured",0,""))</f>
        <v/>
      </c>
      <c r="CT781" s="78">
        <f>IF(AND(ISNUMBER($CS781),N($CS781)&lt;=mMatWindow),1,0)</f>
        <v/>
      </c>
      <c r="CU781" s="80">
        <f>IF(ISNUMBER($J781),$J781/100,"")</f>
        <v/>
      </c>
      <c r="CV781" s="81">
        <f>IF(ISNUMBER($AQ781),$AQ781,"")</f>
        <v/>
      </c>
      <c r="CW781" s="81">
        <f>IF(ISNUMBER($AR781),$AR781,"")</f>
        <v/>
      </c>
      <c r="CX781" s="82">
        <f>IF(ISNUMBER($AS781),$AS781/100,"")</f>
        <v/>
      </c>
      <c r="CY781" s="82">
        <f>IF(ISNUMBER($AT781),$AT781/100,"")</f>
        <v/>
      </c>
      <c r="CZ781" s="82">
        <f>IF(ISNUMBER($AU781),$AU781/100,"")</f>
        <v/>
      </c>
      <c r="DA781" s="82">
        <f>IF(ISNUMBER($AV781),$AV781/100,"")</f>
        <v/>
      </c>
      <c r="DB781" s="82">
        <f>IF(ISNUMBER($AW781),$AW781/100,"")</f>
        <v/>
      </c>
      <c r="DC781" s="82">
        <f>IF(ISNUMBER($AX781),$AX781/100,"")</f>
        <v/>
      </c>
      <c r="DD781" s="77">
        <f>IFERROR(VALUE(LEFT(TRIM($AO781&amp;""),4)),"")</f>
        <v/>
      </c>
      <c r="DE781" s="78">
        <f>IF(AND($BY781=1,$BX781=1,OR(fDeal="All Deals",$BU781=fDeal),OR(fEntity="All Entities",$BV781=fEntity),OR(fPType="All Property Types",$BZ781=fPType),OR(fDefeased="Include",$CJ781=0)),1,0)</f>
        <v/>
      </c>
      <c r="DF781" s="83">
        <f>$DE781*N($I781)</f>
        <v/>
      </c>
      <c r="DG781" s="78">
        <f>IF($DE781=1,IF(COUNTIFS($F$8:$F781,$F781,$DE$8:$DE781,1)=1,1,0),0)</f>
        <v/>
      </c>
      <c r="DH781" s="83">
        <f>IF($DG781=1,SUMIFS($DF$8:$DF$1600,$F$8:$F$1600,$F781),0)</f>
        <v/>
      </c>
      <c r="DI781" s="78">
        <f>IF($DG781=1,COUNTIFS($F$8:$F$1600,$F781,$DE$8:$DE$1600,1),0)</f>
        <v/>
      </c>
      <c r="DJ781" s="84">
        <f>IF($DG781=1,$DH781+(100000-ROW())/mTieBreak,0)</f>
        <v/>
      </c>
    </row>
    <row r="782">
      <c r="B782" s="68" t="n">
        <v>12</v>
      </c>
      <c r="C782" s="69" t="inlineStr">
        <is>
          <t>BCMK18B3</t>
        </is>
      </c>
      <c r="D782" s="69" t="inlineStr">
        <is>
          <t>12.000</t>
        </is>
      </c>
      <c r="E782" s="69" t="inlineStr">
        <is>
          <t>599 Broadway</t>
        </is>
      </c>
      <c r="F782" s="69" t="inlineStr">
        <is>
          <t>SPLIT_LOAN_01247</t>
        </is>
      </c>
      <c r="G782" s="70" t="n">
        <v>1247</v>
      </c>
      <c r="H782" s="71" t="n">
        <v>35000000</v>
      </c>
      <c r="I782" s="71" t="n">
        <v>35000000</v>
      </c>
      <c r="J782" s="72" t="n">
        <v>4.118</v>
      </c>
      <c r="K782" s="69" t="inlineStr">
        <is>
          <t>Fixed rate</t>
        </is>
      </c>
      <c r="L782" s="68" t="n">
        <v>120</v>
      </c>
      <c r="M782" s="68" t="n">
        <v>17</v>
      </c>
      <c r="N782" s="68" t="n">
        <v>120</v>
      </c>
      <c r="O782" s="68" t="n">
        <v>120</v>
      </c>
      <c r="P782" s="68" t="n">
        <v>17</v>
      </c>
      <c r="Q782" s="68" t="n">
        <v>103</v>
      </c>
      <c r="R782" s="69" t="inlineStr">
        <is>
          <t>IO</t>
        </is>
      </c>
      <c r="S782" s="69" t="inlineStr">
        <is>
          <t>Yes</t>
        </is>
      </c>
      <c r="T782" s="73" t="n">
        <v>43132</v>
      </c>
      <c r="U782" s="73" t="n">
        <v>46784</v>
      </c>
      <c r="V782" s="73" t="n"/>
      <c r="W782" s="69" t="inlineStr">
        <is>
          <t>90+</t>
        </is>
      </c>
      <c r="X782" s="69" t="inlineStr">
        <is>
          <t>121+ Days Delinquent</t>
        </is>
      </c>
      <c r="Y782" s="68" t="n">
        <v>8</v>
      </c>
      <c r="Z782" s="69" t="inlineStr">
        <is>
          <t>No Defeasance Occurred</t>
        </is>
      </c>
      <c r="AA782" s="69" t="inlineStr">
        <is>
          <t>Previously</t>
        </is>
      </c>
      <c r="AB782" s="69" t="inlineStr">
        <is>
          <t>Currently special serv</t>
        </is>
      </c>
      <c r="AC782" s="73" t="n">
        <v>46058</v>
      </c>
      <c r="AD782" s="69" t="inlineStr">
        <is>
          <t>Imminent Monetary Default (excluding Balloon/Maturity Default &amp; Single Tenant Bankruptcy/Vacate)</t>
        </is>
      </c>
      <c r="AE782" s="69" t="inlineStr">
        <is>
          <t>Foreclosure</t>
        </is>
      </c>
      <c r="AF782" s="69" t="inlineStr">
        <is>
          <t>NY</t>
        </is>
      </c>
      <c r="AG782" s="69" t="inlineStr">
        <is>
          <t>New York</t>
        </is>
      </c>
      <c r="AH782" s="69" t="inlineStr">
        <is>
          <t>New York-Newark-Jersey City, NY-NJ</t>
        </is>
      </c>
      <c r="AI782" s="69" t="inlineStr">
        <is>
          <t>Northeast / Mid-Atlantic</t>
        </is>
      </c>
      <c r="AJ782" s="69" t="inlineStr">
        <is>
          <t>RT</t>
        </is>
      </c>
      <c r="AK782" s="69" t="inlineStr">
        <is>
          <t>Unanchored</t>
        </is>
      </c>
      <c r="AL782" s="68" t="n">
        <v>1</v>
      </c>
      <c r="AM782" s="68" t="n"/>
      <c r="AN782" s="68" t="n">
        <v>42000</v>
      </c>
      <c r="AO782" s="69" t="inlineStr">
        <is>
          <t>1917</t>
        </is>
      </c>
      <c r="AP782" s="70" t="n">
        <v>2010</v>
      </c>
      <c r="AQ782" s="74" t="n">
        <v>1.75</v>
      </c>
      <c r="AR782" s="74" t="n">
        <v>2.3</v>
      </c>
      <c r="AS782" s="74" t="n">
        <v>50</v>
      </c>
      <c r="AT782" s="74" t="n">
        <v>234.38</v>
      </c>
      <c r="AU782" s="74" t="n">
        <v>50</v>
      </c>
      <c r="AV782" s="74" t="n">
        <v>7.322190667</v>
      </c>
      <c r="AW782" s="74" t="n">
        <v>9.59205156</v>
      </c>
      <c r="AX782" s="75" t="n">
        <v>100</v>
      </c>
      <c r="AY782" s="71" t="n">
        <v>150000000</v>
      </c>
      <c r="AZ782" s="71" t="n">
        <v>32000000</v>
      </c>
      <c r="BA782" s="71" t="n">
        <v>5491643</v>
      </c>
      <c r="BB782" s="71" t="n">
        <v>7194038.67</v>
      </c>
      <c r="BC782" s="69" t="inlineStr">
        <is>
          <t>Refinance</t>
        </is>
      </c>
      <c r="BD782" s="69" t="inlineStr">
        <is>
          <t>N</t>
        </is>
      </c>
      <c r="BE782" s="71" t="n">
        <v>40000000</v>
      </c>
      <c r="BF782" s="71" t="n"/>
      <c r="BG782" s="71" t="n"/>
      <c r="BH782" s="71" t="n">
        <v>0</v>
      </c>
      <c r="BI782" s="71" t="n">
        <v>1095657.41</v>
      </c>
      <c r="BJ782" s="69" t="inlineStr">
        <is>
          <t>N</t>
        </is>
      </c>
      <c r="BK782" s="69" t="inlineStr">
        <is>
          <t>599 BROADWAY JS LLC</t>
        </is>
      </c>
      <c r="BL782" s="75" t="n">
        <v>100</v>
      </c>
      <c r="BM782" s="73" t="n">
        <v>57404</v>
      </c>
      <c r="BN782" s="69" t="inlineStr">
        <is>
          <t>Arthur Cornfeld, Alan Fisher and David Topping</t>
        </is>
      </c>
      <c r="BO782" s="69" t="inlineStr">
        <is>
          <t>JPMorgan Chase</t>
        </is>
      </c>
      <c r="BP782" s="69" t="inlineStr">
        <is>
          <t>Midland Loan Services</t>
        </is>
      </c>
      <c r="BQ782" s="69" t="inlineStr">
        <is>
          <t>CWCapital</t>
        </is>
      </c>
      <c r="BR782" s="69" t="n"/>
      <c r="BS782" s="73" t="n">
        <v>46273</v>
      </c>
      <c r="BU782" s="76">
        <f>IF($C782="","",IFERROR(INDEX(dmName,MATCH($C782,dmID,0)),"Unmapped"))</f>
        <v/>
      </c>
      <c r="BV782" s="76">
        <f>IF($C782="","",IFERROR(INDEX(dmEntity,MATCH($C782,dmID,0)),"Unmapped"))</f>
        <v/>
      </c>
      <c r="BW782" s="77">
        <f>IF($C782="","",IFERROR(INDEX(dmVintage,MATCH($C782,dmID,0)),""))</f>
        <v/>
      </c>
      <c r="BX782" s="78">
        <f>IFERROR(INDEX(dmInclude,MATCH($C782,dmID,0)),0)</f>
        <v/>
      </c>
      <c r="BY782" s="78">
        <f>IF(N($I782)&gt;0,1,0)</f>
        <v/>
      </c>
      <c r="BZ782" s="76">
        <f>IF($AJ782="","Other / Leased Fee",IFERROR(INDEX(mapPTGroup,MATCH(LEFT(TRIM($AJ782),2),mapPTCode,0)),"Other / Leased Fee"))</f>
        <v/>
      </c>
      <c r="CA782" s="76">
        <f>IF(TRIM($AF782&amp;"")="","NR",LEFT(TRIM($AF782),2))</f>
        <v/>
      </c>
      <c r="CB782" s="76">
        <f>IFERROR(LOOKUP(2,1/(LEFT(TRIM($AI782&amp;""),LEN(mapRegion))=mapRegion),mapRegion),"Not Reported")</f>
        <v/>
      </c>
      <c r="CC782" s="76">
        <f>IF($BY782=0,"",IF(TRIM($W782&amp;"")="REO","REO",IF(TRIM($W782&amp;"")="FC","Foreclosure",IF(TRIM($W782&amp;"")="90+","90+ Days Delinquent",IF(TRIM($W782&amp;"")="60","60 Days Delinquent",IF(TRIM($W782&amp;"")="30","30 Days Delinquent",IF($X782="Non-Performing Matured Balloon","Non-Performing Matured Balloon",IF(OR($X782="Late Payment But Less Than 30 Days Delinquent",LEFT($X782&amp;"",20)="Payment Not Received"),"Late / In Grace (&lt;30 Days)",IF($X782="Performing Matured Balloon","Performing Matured Balloon","Current")))))))))</f>
        <v/>
      </c>
      <c r="CD782" s="78">
        <f>IF(OR($CC782="REO",$CC782="Foreclosure",$CC782="90+ Days Delinquent",$CC782="60 Days Delinquent",$CC782="30 Days Delinquent",$CC782="Non-Performing Matured Balloon"),1,0)</f>
        <v/>
      </c>
      <c r="CE782" s="76">
        <f>IF($AB782="Currently special serv","Currently Specially Serviced",IF($AB782="Returned to master serv","Previously Specially Serviced","Never Specially Serviced"))</f>
        <v/>
      </c>
      <c r="CF782" s="78">
        <f>IF($CE782="Currently Specially Serviced",1,0)</f>
        <v/>
      </c>
      <c r="CG782" s="76">
        <f>IF($AA782="Yes","Currently on Watchlist",IF($AA782="Previously","Previously on Watchlist","Never on Watchlist"))</f>
        <v/>
      </c>
      <c r="CH782" s="78">
        <f>IF($CG782="Currently on Watchlist",1,0)</f>
        <v/>
      </c>
      <c r="CI782" s="76">
        <f>IF($Z782="Full Defeasance","Fully Defeased",IF($Z782="Portion Of Loan Previously Defeased","Partially Defeased",IF($Z782="Defeasance Not Allowable","Not Defeased (Not Permitted)","Not Defeased")))</f>
        <v/>
      </c>
      <c r="CJ782" s="78">
        <f>IF($CI782="Fully Defeased",1,0)</f>
        <v/>
      </c>
      <c r="CK782" s="76">
        <f>IF($R782="IO","Full IO",IF(LEFT($R782&amp;"",7)="IO then","Partial IO","Amortizing"))</f>
        <v/>
      </c>
      <c r="CL782" s="78">
        <f>IF($CK782="Full IO",1,0)</f>
        <v/>
      </c>
      <c r="CM782" s="78">
        <f>IF($CK782="Partial IO",1,0)</f>
        <v/>
      </c>
      <c r="CN782" s="76">
        <f>IF(LEFT($F782&amp;"",10)="SPLIT_LOAN","Pari Passu Split","Standalone")</f>
        <v/>
      </c>
      <c r="CO782" s="78">
        <f>IF($CN782="Pari Passu Split",1,0)</f>
        <v/>
      </c>
      <c r="CP782" s="77">
        <f>IF(ISNUMBER($T782),YEAR($T782),"")</f>
        <v/>
      </c>
      <c r="CQ782" s="79">
        <f>IF(ISNUMBER($V782),$V782,IF(ISNUMBER($U782),$U782,""))</f>
        <v/>
      </c>
      <c r="CR782" s="77">
        <f>IF(ISNUMBER($CQ782),YEAR($CQ782),"")</f>
        <v/>
      </c>
      <c r="CS782" s="78">
        <f>IF(ISNUMBER($M782),MAX(0,$M782),IF(TRIM($M782&amp;"")="matured",0,""))</f>
        <v/>
      </c>
      <c r="CT782" s="78">
        <f>IF(AND(ISNUMBER($CS782),N($CS782)&lt;=mMatWindow),1,0)</f>
        <v/>
      </c>
      <c r="CU782" s="80">
        <f>IF(ISNUMBER($J782),$J782/100,"")</f>
        <v/>
      </c>
      <c r="CV782" s="81">
        <f>IF(ISNUMBER($AQ782),$AQ782,"")</f>
        <v/>
      </c>
      <c r="CW782" s="81">
        <f>IF(ISNUMBER($AR782),$AR782,"")</f>
        <v/>
      </c>
      <c r="CX782" s="82">
        <f>IF(ISNUMBER($AS782),$AS782/100,"")</f>
        <v/>
      </c>
      <c r="CY782" s="82">
        <f>IF(ISNUMBER($AT782),$AT782/100,"")</f>
        <v/>
      </c>
      <c r="CZ782" s="82">
        <f>IF(ISNUMBER($AU782),$AU782/100,"")</f>
        <v/>
      </c>
      <c r="DA782" s="82">
        <f>IF(ISNUMBER($AV782),$AV782/100,"")</f>
        <v/>
      </c>
      <c r="DB782" s="82">
        <f>IF(ISNUMBER($AW782),$AW782/100,"")</f>
        <v/>
      </c>
      <c r="DC782" s="82">
        <f>IF(ISNUMBER($AX782),$AX782/100,"")</f>
        <v/>
      </c>
      <c r="DD782" s="77">
        <f>IFERROR(VALUE(LEFT(TRIM($AO782&amp;""),4)),"")</f>
        <v/>
      </c>
      <c r="DE782" s="78">
        <f>IF(AND($BY782=1,$BX782=1,OR(fDeal="All Deals",$BU782=fDeal),OR(fEntity="All Entities",$BV782=fEntity),OR(fPType="All Property Types",$BZ782=fPType),OR(fDefeased="Include",$CJ782=0)),1,0)</f>
        <v/>
      </c>
      <c r="DF782" s="83">
        <f>$DE782*N($I782)</f>
        <v/>
      </c>
      <c r="DG782" s="78">
        <f>IF($DE782=1,IF(COUNTIFS($F$8:$F782,$F782,$DE$8:$DE782,1)=1,1,0),0)</f>
        <v/>
      </c>
      <c r="DH782" s="83">
        <f>IF($DG782=1,SUMIFS($DF$8:$DF$1600,$F$8:$F$1600,$F782),0)</f>
        <v/>
      </c>
      <c r="DI782" s="78">
        <f>IF($DG782=1,COUNTIFS($F$8:$F$1600,$F782,$DE$8:$DE$1600,1),0)</f>
        <v/>
      </c>
      <c r="DJ782" s="84">
        <f>IF($DG782=1,$DH782+(100000-ROW())/mTieBreak,0)</f>
        <v/>
      </c>
    </row>
    <row r="783">
      <c r="B783" s="68" t="n">
        <v>13</v>
      </c>
      <c r="C783" s="69" t="inlineStr">
        <is>
          <t>BCMK18B3</t>
        </is>
      </c>
      <c r="D783" s="69" t="inlineStr">
        <is>
          <t>13.000</t>
        </is>
      </c>
      <c r="E783" s="69" t="inlineStr">
        <is>
          <t>NJ Distribution Portfolio</t>
        </is>
      </c>
      <c r="F783" s="69" t="inlineStr">
        <is>
          <t>LNBCMK18B3-13.000</t>
        </is>
      </c>
      <c r="G783" s="70" t="n"/>
      <c r="H783" s="71" t="n">
        <v>33000000</v>
      </c>
      <c r="I783" s="71" t="n">
        <v>33000000</v>
      </c>
      <c r="J783" s="72" t="n">
        <v>4.89091</v>
      </c>
      <c r="K783" s="69" t="inlineStr">
        <is>
          <t>Fixed rate</t>
        </is>
      </c>
      <c r="L783" s="68" t="n">
        <v>120</v>
      </c>
      <c r="M783" s="68" t="n">
        <v>18</v>
      </c>
      <c r="N783" s="68" t="n">
        <v>120</v>
      </c>
      <c r="O783" s="68" t="n">
        <v>120</v>
      </c>
      <c r="P783" s="68" t="n">
        <v>18</v>
      </c>
      <c r="Q783" s="68" t="n">
        <v>102</v>
      </c>
      <c r="R783" s="69" t="inlineStr">
        <is>
          <t>IO</t>
        </is>
      </c>
      <c r="S783" s="69" t="inlineStr">
        <is>
          <t>Yes</t>
        </is>
      </c>
      <c r="T783" s="73" t="n">
        <v>43160</v>
      </c>
      <c r="U783" s="73" t="n">
        <v>46818</v>
      </c>
      <c r="V783" s="73" t="n"/>
      <c r="W783" s="69" t="n"/>
      <c r="X783" s="69" t="inlineStr">
        <is>
          <t>Current</t>
        </is>
      </c>
      <c r="Y783" s="68" t="n"/>
      <c r="Z783" s="69" t="inlineStr">
        <is>
          <t>Full Defeasance</t>
        </is>
      </c>
      <c r="AA783" s="69" t="inlineStr">
        <is>
          <t>Previously</t>
        </is>
      </c>
      <c r="AB783" s="69" t="inlineStr">
        <is>
          <t>Never special serv</t>
        </is>
      </c>
      <c r="AC783" s="73" t="n"/>
      <c r="AD783" s="69" t="n"/>
      <c r="AE783" s="69" t="n"/>
      <c r="AF783" s="69" t="inlineStr">
        <is>
          <t>NJ</t>
        </is>
      </c>
      <c r="AG783" s="69" t="n"/>
      <c r="AH783" s="69" t="inlineStr">
        <is>
          <t>New York-Newark-Jersey City, NY-NJ</t>
        </is>
      </c>
      <c r="AI783" s="69" t="inlineStr">
        <is>
          <t>Northeast / Mid-Atlantic</t>
        </is>
      </c>
      <c r="AJ783" s="69" t="inlineStr">
        <is>
          <t>IN</t>
        </is>
      </c>
      <c r="AK783" s="69" t="n"/>
      <c r="AL783" s="68" t="n">
        <v>2</v>
      </c>
      <c r="AM783" s="68" t="n"/>
      <c r="AN783" s="68" t="n">
        <v>578450</v>
      </c>
      <c r="AO783" s="69" t="n"/>
      <c r="AP783" s="70" t="n">
        <v>2017</v>
      </c>
      <c r="AQ783" s="74" t="n">
        <v>1.73</v>
      </c>
      <c r="AR783" s="74" t="n">
        <v>1.87</v>
      </c>
      <c r="AS783" s="74" t="n">
        <v>54.01</v>
      </c>
      <c r="AT783" s="74" t="n">
        <v>54.01</v>
      </c>
      <c r="AU783" s="74" t="n">
        <v>54.01</v>
      </c>
      <c r="AV783" s="74" t="n">
        <v>8.596065455</v>
      </c>
      <c r="AW783" s="74" t="n">
        <v>11.504586242</v>
      </c>
      <c r="AX783" s="75" t="n">
        <v>100</v>
      </c>
      <c r="AY783" s="71" t="n">
        <v>61100000</v>
      </c>
      <c r="AZ783" s="71" t="n">
        <v>61100000</v>
      </c>
      <c r="BA783" s="71" t="n">
        <v>2836701.6</v>
      </c>
      <c r="BB783" s="71" t="n">
        <v>3796513.46</v>
      </c>
      <c r="BC783" s="69" t="inlineStr">
        <is>
          <t>Acquisition/Recapitalization</t>
        </is>
      </c>
      <c r="BD783" s="69" t="inlineStr">
        <is>
          <t>N</t>
        </is>
      </c>
      <c r="BE783" s="71" t="n"/>
      <c r="BF783" s="71" t="n"/>
      <c r="BG783" s="71" t="n">
        <v>6000000</v>
      </c>
      <c r="BH783" s="71" t="n">
        <v>0</v>
      </c>
      <c r="BI783" s="71" t="n">
        <v>0</v>
      </c>
      <c r="BJ783" s="69" t="inlineStr">
        <is>
          <t>N</t>
        </is>
      </c>
      <c r="BK783" s="69" t="inlineStr">
        <is>
          <t>Five Star Warehouse</t>
        </is>
      </c>
      <c r="BL783" s="75" t="n">
        <v>36.55</v>
      </c>
      <c r="BM783" s="73" t="n">
        <v>45991</v>
      </c>
      <c r="BN783" s="69" t="inlineStr">
        <is>
          <t>Joseph Saadia</t>
        </is>
      </c>
      <c r="BO783" s="69" t="inlineStr">
        <is>
          <t>Citigroup Global Markets</t>
        </is>
      </c>
      <c r="BP783" s="69" t="inlineStr">
        <is>
          <t>Midland Loan Services</t>
        </is>
      </c>
      <c r="BQ783" s="69" t="inlineStr">
        <is>
          <t>K-Star Asset Management LLC</t>
        </is>
      </c>
      <c r="BR783" s="69" t="n"/>
      <c r="BS783" s="73" t="n">
        <v>46273</v>
      </c>
      <c r="BU783" s="76">
        <f>IF($C783="","",IFERROR(INDEX(dmName,MATCH($C783,dmID,0)),"Unmapped"))</f>
        <v/>
      </c>
      <c r="BV783" s="76">
        <f>IF($C783="","",IFERROR(INDEX(dmEntity,MATCH($C783,dmID,0)),"Unmapped"))</f>
        <v/>
      </c>
      <c r="BW783" s="77">
        <f>IF($C783="","",IFERROR(INDEX(dmVintage,MATCH($C783,dmID,0)),""))</f>
        <v/>
      </c>
      <c r="BX783" s="78">
        <f>IFERROR(INDEX(dmInclude,MATCH($C783,dmID,0)),0)</f>
        <v/>
      </c>
      <c r="BY783" s="78">
        <f>IF(N($I783)&gt;0,1,0)</f>
        <v/>
      </c>
      <c r="BZ783" s="76">
        <f>IF($AJ783="","Other / Leased Fee",IFERROR(INDEX(mapPTGroup,MATCH(LEFT(TRIM($AJ783),2),mapPTCode,0)),"Other / Leased Fee"))</f>
        <v/>
      </c>
      <c r="CA783" s="76">
        <f>IF(TRIM($AF783&amp;"")="","NR",LEFT(TRIM($AF783),2))</f>
        <v/>
      </c>
      <c r="CB783" s="76">
        <f>IFERROR(LOOKUP(2,1/(LEFT(TRIM($AI783&amp;""),LEN(mapRegion))=mapRegion),mapRegion),"Not Reported")</f>
        <v/>
      </c>
      <c r="CC783" s="76">
        <f>IF($BY783=0,"",IF(TRIM($W783&amp;"")="REO","REO",IF(TRIM($W783&amp;"")="FC","Foreclosure",IF(TRIM($W783&amp;"")="90+","90+ Days Delinquent",IF(TRIM($W783&amp;"")="60","60 Days Delinquent",IF(TRIM($W783&amp;"")="30","30 Days Delinquent",IF($X783="Non-Performing Matured Balloon","Non-Performing Matured Balloon",IF(OR($X783="Late Payment But Less Than 30 Days Delinquent",LEFT($X783&amp;"",20)="Payment Not Received"),"Late / In Grace (&lt;30 Days)",IF($X783="Performing Matured Balloon","Performing Matured Balloon","Current")))))))))</f>
        <v/>
      </c>
      <c r="CD783" s="78">
        <f>IF(OR($CC783="REO",$CC783="Foreclosure",$CC783="90+ Days Delinquent",$CC783="60 Days Delinquent",$CC783="30 Days Delinquent",$CC783="Non-Performing Matured Balloon"),1,0)</f>
        <v/>
      </c>
      <c r="CE783" s="76">
        <f>IF($AB783="Currently special serv","Currently Specially Serviced",IF($AB783="Returned to master serv","Previously Specially Serviced","Never Specially Serviced"))</f>
        <v/>
      </c>
      <c r="CF783" s="78">
        <f>IF($CE783="Currently Specially Serviced",1,0)</f>
        <v/>
      </c>
      <c r="CG783" s="76">
        <f>IF($AA783="Yes","Currently on Watchlist",IF($AA783="Previously","Previously on Watchlist","Never on Watchlist"))</f>
        <v/>
      </c>
      <c r="CH783" s="78">
        <f>IF($CG783="Currently on Watchlist",1,0)</f>
        <v/>
      </c>
      <c r="CI783" s="76">
        <f>IF($Z783="Full Defeasance","Fully Defeased",IF($Z783="Portion Of Loan Previously Defeased","Partially Defeased",IF($Z783="Defeasance Not Allowable","Not Defeased (Not Permitted)","Not Defeased")))</f>
        <v/>
      </c>
      <c r="CJ783" s="78">
        <f>IF($CI783="Fully Defeased",1,0)</f>
        <v/>
      </c>
      <c r="CK783" s="76">
        <f>IF($R783="IO","Full IO",IF(LEFT($R783&amp;"",7)="IO then","Partial IO","Amortizing"))</f>
        <v/>
      </c>
      <c r="CL783" s="78">
        <f>IF($CK783="Full IO",1,0)</f>
        <v/>
      </c>
      <c r="CM783" s="78">
        <f>IF($CK783="Partial IO",1,0)</f>
        <v/>
      </c>
      <c r="CN783" s="76">
        <f>IF(LEFT($F783&amp;"",10)="SPLIT_LOAN","Pari Passu Split","Standalone")</f>
        <v/>
      </c>
      <c r="CO783" s="78">
        <f>IF($CN783="Pari Passu Split",1,0)</f>
        <v/>
      </c>
      <c r="CP783" s="77">
        <f>IF(ISNUMBER($T783),YEAR($T783),"")</f>
        <v/>
      </c>
      <c r="CQ783" s="79">
        <f>IF(ISNUMBER($V783),$V783,IF(ISNUMBER($U783),$U783,""))</f>
        <v/>
      </c>
      <c r="CR783" s="77">
        <f>IF(ISNUMBER($CQ783),YEAR($CQ783),"")</f>
        <v/>
      </c>
      <c r="CS783" s="78">
        <f>IF(ISNUMBER($M783),MAX(0,$M783),IF(TRIM($M783&amp;"")="matured",0,""))</f>
        <v/>
      </c>
      <c r="CT783" s="78">
        <f>IF(AND(ISNUMBER($CS783),N($CS783)&lt;=mMatWindow),1,0)</f>
        <v/>
      </c>
      <c r="CU783" s="80">
        <f>IF(ISNUMBER($J783),$J783/100,"")</f>
        <v/>
      </c>
      <c r="CV783" s="81">
        <f>IF(ISNUMBER($AQ783),$AQ783,"")</f>
        <v/>
      </c>
      <c r="CW783" s="81">
        <f>IF(ISNUMBER($AR783),$AR783,"")</f>
        <v/>
      </c>
      <c r="CX783" s="82">
        <f>IF(ISNUMBER($AS783),$AS783/100,"")</f>
        <v/>
      </c>
      <c r="CY783" s="82">
        <f>IF(ISNUMBER($AT783),$AT783/100,"")</f>
        <v/>
      </c>
      <c r="CZ783" s="82">
        <f>IF(ISNUMBER($AU783),$AU783/100,"")</f>
        <v/>
      </c>
      <c r="DA783" s="82">
        <f>IF(ISNUMBER($AV783),$AV783/100,"")</f>
        <v/>
      </c>
      <c r="DB783" s="82">
        <f>IF(ISNUMBER($AW783),$AW783/100,"")</f>
        <v/>
      </c>
      <c r="DC783" s="82">
        <f>IF(ISNUMBER($AX783),$AX783/100,"")</f>
        <v/>
      </c>
      <c r="DD783" s="77">
        <f>IFERROR(VALUE(LEFT(TRIM($AO783&amp;""),4)),"")</f>
        <v/>
      </c>
      <c r="DE783" s="78">
        <f>IF(AND($BY783=1,$BX783=1,OR(fDeal="All Deals",$BU783=fDeal),OR(fEntity="All Entities",$BV783=fEntity),OR(fPType="All Property Types",$BZ783=fPType),OR(fDefeased="Include",$CJ783=0)),1,0)</f>
        <v/>
      </c>
      <c r="DF783" s="83">
        <f>$DE783*N($I783)</f>
        <v/>
      </c>
      <c r="DG783" s="78">
        <f>IF($DE783=1,IF(COUNTIFS($F$8:$F783,$F783,$DE$8:$DE783,1)=1,1,0),0)</f>
        <v/>
      </c>
      <c r="DH783" s="83">
        <f>IF($DG783=1,SUMIFS($DF$8:$DF$1600,$F$8:$F$1600,$F783),0)</f>
        <v/>
      </c>
      <c r="DI783" s="78">
        <f>IF($DG783=1,COUNTIFS($F$8:$F$1600,$F783,$DE$8:$DE$1600,1),0)</f>
        <v/>
      </c>
      <c r="DJ783" s="84">
        <f>IF($DG783=1,$DH783+(100000-ROW())/mTieBreak,0)</f>
        <v/>
      </c>
    </row>
    <row r="784">
      <c r="B784" s="68" t="n">
        <v>14</v>
      </c>
      <c r="C784" s="69" t="inlineStr">
        <is>
          <t>BCMK18B3</t>
        </is>
      </c>
      <c r="D784" s="69" t="inlineStr">
        <is>
          <t>14.000</t>
        </is>
      </c>
      <c r="E784" s="69" t="inlineStr">
        <is>
          <t>Chicago Infill Industrial Portfolio</t>
        </is>
      </c>
      <c r="F784" s="69" t="inlineStr">
        <is>
          <t>LNBCMK18B3-14.000</t>
        </is>
      </c>
      <c r="G784" s="70" t="n"/>
      <c r="H784" s="71" t="n">
        <v>30883000</v>
      </c>
      <c r="I784" s="71" t="n">
        <v>0</v>
      </c>
      <c r="J784" s="72" t="n">
        <v>4.59</v>
      </c>
      <c r="K784" s="69" t="inlineStr">
        <is>
          <t>Fixed rate</t>
        </is>
      </c>
      <c r="L784" s="68" t="n">
        <v>60</v>
      </c>
      <c r="M784" s="68" t="n"/>
      <c r="N784" s="68" t="n">
        <v>60</v>
      </c>
      <c r="O784" s="68" t="n">
        <v>60</v>
      </c>
      <c r="P784" s="68" t="n"/>
      <c r="Q784" s="68" t="n"/>
      <c r="R784" s="69" t="inlineStr">
        <is>
          <t>IO</t>
        </is>
      </c>
      <c r="S784" s="69" t="inlineStr">
        <is>
          <t>Yes</t>
        </is>
      </c>
      <c r="T784" s="73" t="n">
        <v>43191</v>
      </c>
      <c r="U784" s="73" t="n">
        <v>45017</v>
      </c>
      <c r="V784" s="73" t="n"/>
      <c r="W784" s="69" t="n"/>
      <c r="X784" s="69" t="inlineStr">
        <is>
          <t>Current</t>
        </is>
      </c>
      <c r="Y784" s="68" t="n"/>
      <c r="Z784" s="69" t="inlineStr">
        <is>
          <t>Defeasance Not Allowable</t>
        </is>
      </c>
      <c r="AA784" s="69" t="n"/>
      <c r="AB784" s="69" t="inlineStr">
        <is>
          <t>Never special serv</t>
        </is>
      </c>
      <c r="AC784" s="73" t="n"/>
      <c r="AD784" s="69" t="n"/>
      <c r="AE784" s="69" t="n"/>
      <c r="AF784" s="69" t="inlineStr">
        <is>
          <t>IL</t>
        </is>
      </c>
      <c r="AG784" s="69" t="n"/>
      <c r="AH784" s="69" t="n"/>
      <c r="AI784" s="69" t="n"/>
      <c r="AJ784" s="69" t="inlineStr">
        <is>
          <t>IN</t>
        </is>
      </c>
      <c r="AK784" s="69" t="inlineStr">
        <is>
          <t>Warehouse/Distribution</t>
        </is>
      </c>
      <c r="AL784" s="68" t="n">
        <v>1</v>
      </c>
      <c r="AM784" s="68" t="n"/>
      <c r="AN784" s="68" t="n">
        <v>876955</v>
      </c>
      <c r="AO784" s="69" t="n"/>
      <c r="AP784" s="70" t="n">
        <v>2004</v>
      </c>
      <c r="AQ784" s="74" t="n">
        <v>2.25</v>
      </c>
      <c r="AR784" s="74" t="n">
        <v>1.91</v>
      </c>
      <c r="AS784" s="74" t="n">
        <v>67.7</v>
      </c>
      <c r="AT784" s="74" t="n"/>
      <c r="AU784" s="74" t="n">
        <v>67.7</v>
      </c>
      <c r="AV784" s="74" t="n">
        <v>10.480979827</v>
      </c>
      <c r="AW784" s="74" t="n"/>
      <c r="AX784" s="75" t="n">
        <v>47</v>
      </c>
      <c r="AY784" s="71" t="n">
        <v>45630000</v>
      </c>
      <c r="AZ784" s="71" t="n">
        <v>45630000</v>
      </c>
      <c r="BA784" s="71" t="n">
        <v>3236841</v>
      </c>
      <c r="BB784" s="71" t="n">
        <v>2738452.19</v>
      </c>
      <c r="BC784" s="69" t="inlineStr">
        <is>
          <t>Acquisition</t>
        </is>
      </c>
      <c r="BD784" s="69" t="inlineStr">
        <is>
          <t>N</t>
        </is>
      </c>
      <c r="BE784" s="71" t="n"/>
      <c r="BF784" s="71" t="n"/>
      <c r="BG784" s="71" t="n"/>
      <c r="BH784" s="71" t="n">
        <v>0</v>
      </c>
      <c r="BI784" s="71" t="n">
        <v>0</v>
      </c>
      <c r="BJ784" s="69" t="inlineStr">
        <is>
          <t>N</t>
        </is>
      </c>
      <c r="BK784" s="69" t="inlineStr">
        <is>
          <t>MidAmerican Printing Systems Inc</t>
        </is>
      </c>
      <c r="BL784" s="75" t="n">
        <v>46.95</v>
      </c>
      <c r="BM784" s="73" t="n">
        <v>47057</v>
      </c>
      <c r="BN784" s="69" t="inlineStr">
        <is>
          <t>Investcorp International Inc. and Brennan Investment Group</t>
        </is>
      </c>
      <c r="BO784" s="69" t="inlineStr">
        <is>
          <t>JPMorgan Chase</t>
        </is>
      </c>
      <c r="BP784" s="69" t="inlineStr">
        <is>
          <t>Midland Loan Services</t>
        </is>
      </c>
      <c r="BQ784" s="69" t="inlineStr">
        <is>
          <t>Midland Loan Services</t>
        </is>
      </c>
      <c r="BR784" s="69" t="inlineStr">
        <is>
          <t>Payoff With Yield Maintenance</t>
        </is>
      </c>
      <c r="BS784" s="73" t="n">
        <v>44536</v>
      </c>
      <c r="BU784" s="76">
        <f>IF($C784="","",IFERROR(INDEX(dmName,MATCH($C784,dmID,0)),"Unmapped"))</f>
        <v/>
      </c>
      <c r="BV784" s="76">
        <f>IF($C784="","",IFERROR(INDEX(dmEntity,MATCH($C784,dmID,0)),"Unmapped"))</f>
        <v/>
      </c>
      <c r="BW784" s="77">
        <f>IF($C784="","",IFERROR(INDEX(dmVintage,MATCH($C784,dmID,0)),""))</f>
        <v/>
      </c>
      <c r="BX784" s="78">
        <f>IFERROR(INDEX(dmInclude,MATCH($C784,dmID,0)),0)</f>
        <v/>
      </c>
      <c r="BY784" s="78">
        <f>IF(N($I784)&gt;0,1,0)</f>
        <v/>
      </c>
      <c r="BZ784" s="76">
        <f>IF($AJ784="","Other / Leased Fee",IFERROR(INDEX(mapPTGroup,MATCH(LEFT(TRIM($AJ784),2),mapPTCode,0)),"Other / Leased Fee"))</f>
        <v/>
      </c>
      <c r="CA784" s="76">
        <f>IF(TRIM($AF784&amp;"")="","NR",LEFT(TRIM($AF784),2))</f>
        <v/>
      </c>
      <c r="CB784" s="76">
        <f>IFERROR(LOOKUP(2,1/(LEFT(TRIM($AI784&amp;""),LEN(mapRegion))=mapRegion),mapRegion),"Not Reported")</f>
        <v/>
      </c>
      <c r="CC784" s="76">
        <f>IF($BY784=0,"",IF(TRIM($W784&amp;"")="REO","REO",IF(TRIM($W784&amp;"")="FC","Foreclosure",IF(TRIM($W784&amp;"")="90+","90+ Days Delinquent",IF(TRIM($W784&amp;"")="60","60 Days Delinquent",IF(TRIM($W784&amp;"")="30","30 Days Delinquent",IF($X784="Non-Performing Matured Balloon","Non-Performing Matured Balloon",IF(OR($X784="Late Payment But Less Than 30 Days Delinquent",LEFT($X784&amp;"",20)="Payment Not Received"),"Late / In Grace (&lt;30 Days)",IF($X784="Performing Matured Balloon","Performing Matured Balloon","Current")))))))))</f>
        <v/>
      </c>
      <c r="CD784" s="78">
        <f>IF(OR($CC784="REO",$CC784="Foreclosure",$CC784="90+ Days Delinquent",$CC784="60 Days Delinquent",$CC784="30 Days Delinquent",$CC784="Non-Performing Matured Balloon"),1,0)</f>
        <v/>
      </c>
      <c r="CE784" s="76">
        <f>IF($AB784="Currently special serv","Currently Specially Serviced",IF($AB784="Returned to master serv","Previously Specially Serviced","Never Specially Serviced"))</f>
        <v/>
      </c>
      <c r="CF784" s="78">
        <f>IF($CE784="Currently Specially Serviced",1,0)</f>
        <v/>
      </c>
      <c r="CG784" s="76">
        <f>IF($AA784="Yes","Currently on Watchlist",IF($AA784="Previously","Previously on Watchlist","Never on Watchlist"))</f>
        <v/>
      </c>
      <c r="CH784" s="78">
        <f>IF($CG784="Currently on Watchlist",1,0)</f>
        <v/>
      </c>
      <c r="CI784" s="76">
        <f>IF($Z784="Full Defeasance","Fully Defeased",IF($Z784="Portion Of Loan Previously Defeased","Partially Defeased",IF($Z784="Defeasance Not Allowable","Not Defeased (Not Permitted)","Not Defeased")))</f>
        <v/>
      </c>
      <c r="CJ784" s="78">
        <f>IF($CI784="Fully Defeased",1,0)</f>
        <v/>
      </c>
      <c r="CK784" s="76">
        <f>IF($R784="IO","Full IO",IF(LEFT($R784&amp;"",7)="IO then","Partial IO","Amortizing"))</f>
        <v/>
      </c>
      <c r="CL784" s="78">
        <f>IF($CK784="Full IO",1,0)</f>
        <v/>
      </c>
      <c r="CM784" s="78">
        <f>IF($CK784="Partial IO",1,0)</f>
        <v/>
      </c>
      <c r="CN784" s="76">
        <f>IF(LEFT($F784&amp;"",10)="SPLIT_LOAN","Pari Passu Split","Standalone")</f>
        <v/>
      </c>
      <c r="CO784" s="78">
        <f>IF($CN784="Pari Passu Split",1,0)</f>
        <v/>
      </c>
      <c r="CP784" s="77">
        <f>IF(ISNUMBER($T784),YEAR($T784),"")</f>
        <v/>
      </c>
      <c r="CQ784" s="79">
        <f>IF(ISNUMBER($V784),$V784,IF(ISNUMBER($U784),$U784,""))</f>
        <v/>
      </c>
      <c r="CR784" s="77">
        <f>IF(ISNUMBER($CQ784),YEAR($CQ784),"")</f>
        <v/>
      </c>
      <c r="CS784" s="78">
        <f>IF(ISNUMBER($M784),MAX(0,$M784),IF(TRIM($M784&amp;"")="matured",0,""))</f>
        <v/>
      </c>
      <c r="CT784" s="78">
        <f>IF(AND(ISNUMBER($CS784),N($CS784)&lt;=mMatWindow),1,0)</f>
        <v/>
      </c>
      <c r="CU784" s="80">
        <f>IF(ISNUMBER($J784),$J784/100,"")</f>
        <v/>
      </c>
      <c r="CV784" s="81">
        <f>IF(ISNUMBER($AQ784),$AQ784,"")</f>
        <v/>
      </c>
      <c r="CW784" s="81">
        <f>IF(ISNUMBER($AR784),$AR784,"")</f>
        <v/>
      </c>
      <c r="CX784" s="82">
        <f>IF(ISNUMBER($AS784),$AS784/100,"")</f>
        <v/>
      </c>
      <c r="CY784" s="82">
        <f>IF(ISNUMBER($AT784),$AT784/100,"")</f>
        <v/>
      </c>
      <c r="CZ784" s="82">
        <f>IF(ISNUMBER($AU784),$AU784/100,"")</f>
        <v/>
      </c>
      <c r="DA784" s="82">
        <f>IF(ISNUMBER($AV784),$AV784/100,"")</f>
        <v/>
      </c>
      <c r="DB784" s="82">
        <f>IF(ISNUMBER($AW784),$AW784/100,"")</f>
        <v/>
      </c>
      <c r="DC784" s="82">
        <f>IF(ISNUMBER($AX784),$AX784/100,"")</f>
        <v/>
      </c>
      <c r="DD784" s="77">
        <f>IFERROR(VALUE(LEFT(TRIM($AO784&amp;""),4)),"")</f>
        <v/>
      </c>
      <c r="DE784" s="78">
        <f>IF(AND($BY784=1,$BX784=1,OR(fDeal="All Deals",$BU784=fDeal),OR(fEntity="All Entities",$BV784=fEntity),OR(fPType="All Property Types",$BZ784=fPType),OR(fDefeased="Include",$CJ784=0)),1,0)</f>
        <v/>
      </c>
      <c r="DF784" s="83">
        <f>$DE784*N($I784)</f>
        <v/>
      </c>
      <c r="DG784" s="78">
        <f>IF($DE784=1,IF(COUNTIFS($F$8:$F784,$F784,$DE$8:$DE784,1)=1,1,0),0)</f>
        <v/>
      </c>
      <c r="DH784" s="83">
        <f>IF($DG784=1,SUMIFS($DF$8:$DF$1600,$F$8:$F$1600,$F784),0)</f>
        <v/>
      </c>
      <c r="DI784" s="78">
        <f>IF($DG784=1,COUNTIFS($F$8:$F$1600,$F784,$DE$8:$DE$1600,1),0)</f>
        <v/>
      </c>
      <c r="DJ784" s="84">
        <f>IF($DG784=1,$DH784+(100000-ROW())/mTieBreak,0)</f>
        <v/>
      </c>
    </row>
    <row r="785">
      <c r="B785" s="68" t="n">
        <v>15</v>
      </c>
      <c r="C785" s="69" t="inlineStr">
        <is>
          <t>BCMK18B3</t>
        </is>
      </c>
      <c r="D785" s="69" t="inlineStr">
        <is>
          <t>15.000</t>
        </is>
      </c>
      <c r="E785" s="69" t="inlineStr">
        <is>
          <t>315 West 36th Street</t>
        </is>
      </c>
      <c r="F785" s="69" t="inlineStr">
        <is>
          <t>SPLIT_LOAN_01258</t>
        </is>
      </c>
      <c r="G785" s="70" t="n">
        <v>1258</v>
      </c>
      <c r="H785" s="71" t="n">
        <v>30000000</v>
      </c>
      <c r="I785" s="71" t="n">
        <v>30000000</v>
      </c>
      <c r="J785" s="72" t="n">
        <v>4.505</v>
      </c>
      <c r="K785" s="69" t="inlineStr">
        <is>
          <t>Fixed rate</t>
        </is>
      </c>
      <c r="L785" s="68" t="n">
        <v>120</v>
      </c>
      <c r="M785" s="68" t="n">
        <v>18</v>
      </c>
      <c r="N785" s="68" t="n">
        <v>120</v>
      </c>
      <c r="O785" s="68" t="n">
        <v>120</v>
      </c>
      <c r="P785" s="68" t="n">
        <v>18</v>
      </c>
      <c r="Q785" s="68" t="n">
        <v>102</v>
      </c>
      <c r="R785" s="69" t="inlineStr">
        <is>
          <t>IO</t>
        </is>
      </c>
      <c r="S785" s="69" t="inlineStr">
        <is>
          <t>Yes</t>
        </is>
      </c>
      <c r="T785" s="73" t="n">
        <v>43160</v>
      </c>
      <c r="U785" s="73" t="n">
        <v>46818</v>
      </c>
      <c r="V785" s="73" t="n"/>
      <c r="W785" s="69" t="inlineStr">
        <is>
          <t>FC</t>
        </is>
      </c>
      <c r="X785" s="69" t="inlineStr">
        <is>
          <t>121+ Days Delinquent</t>
        </is>
      </c>
      <c r="Y785" s="68" t="n">
        <v>28</v>
      </c>
      <c r="Z785" s="69" t="inlineStr">
        <is>
          <t>No Defeasance Occurred</t>
        </is>
      </c>
      <c r="AA785" s="69" t="n"/>
      <c r="AB785" s="69" t="inlineStr">
        <is>
          <t>Currently special serv</t>
        </is>
      </c>
      <c r="AC785" s="73" t="n">
        <v>45085</v>
      </c>
      <c r="AD785" s="69" t="inlineStr">
        <is>
          <t>Payment Default (all payments excluding Balloon/Maturity Payment)</t>
        </is>
      </c>
      <c r="AE785" s="69" t="inlineStr">
        <is>
          <t>REO</t>
        </is>
      </c>
      <c r="AF785" s="69" t="inlineStr">
        <is>
          <t>NY</t>
        </is>
      </c>
      <c r="AG785" s="69" t="inlineStr">
        <is>
          <t>New York</t>
        </is>
      </c>
      <c r="AH785" s="69" t="inlineStr">
        <is>
          <t>New York-Newark-Jersey City, NY-NJ</t>
        </is>
      </c>
      <c r="AI785" s="69" t="inlineStr">
        <is>
          <t>Northeast / Mid-Atlantic</t>
        </is>
      </c>
      <c r="AJ785" s="69" t="inlineStr">
        <is>
          <t>OF</t>
        </is>
      </c>
      <c r="AK785" s="69" t="inlineStr">
        <is>
          <t>CBD</t>
        </is>
      </c>
      <c r="AL785" s="68" t="n">
        <v>1</v>
      </c>
      <c r="AM785" s="68" t="n"/>
      <c r="AN785" s="68" t="n">
        <v>143479</v>
      </c>
      <c r="AO785" s="69" t="inlineStr">
        <is>
          <t>1926</t>
        </is>
      </c>
      <c r="AP785" s="70" t="n">
        <v>2015</v>
      </c>
      <c r="AQ785" s="74" t="n">
        <v>1.39</v>
      </c>
      <c r="AR785" s="74" t="n">
        <v>-0.84</v>
      </c>
      <c r="AS785" s="74" t="n">
        <v>60.6</v>
      </c>
      <c r="AT785" s="74" t="n">
        <v>265.98</v>
      </c>
      <c r="AU785" s="74" t="n">
        <v>60.6</v>
      </c>
      <c r="AV785" s="74" t="n">
        <v>6.358032</v>
      </c>
      <c r="AW785" s="74" t="n">
        <v>-3.316119532</v>
      </c>
      <c r="AX785" s="75" t="n">
        <v>2</v>
      </c>
      <c r="AY785" s="71" t="n">
        <v>127000000</v>
      </c>
      <c r="AZ785" s="71" t="n">
        <v>28950000</v>
      </c>
      <c r="BA785" s="71" t="n">
        <v>4895684.64</v>
      </c>
      <c r="BB785" s="71" t="n">
        <v>-2950808.22</v>
      </c>
      <c r="BC785" s="69" t="inlineStr">
        <is>
          <t>Refinance</t>
        </is>
      </c>
      <c r="BD785" s="69" t="inlineStr">
        <is>
          <t>N</t>
        </is>
      </c>
      <c r="BE785" s="71" t="n">
        <v>47000000</v>
      </c>
      <c r="BF785" s="71" t="n"/>
      <c r="BG785" s="71" t="n"/>
      <c r="BH785" s="71" t="n">
        <v>25770147.91</v>
      </c>
      <c r="BI785" s="71" t="n">
        <v>647737.3</v>
      </c>
      <c r="BJ785" s="69" t="inlineStr">
        <is>
          <t>N</t>
        </is>
      </c>
      <c r="BK785" s="69" t="inlineStr">
        <is>
          <t>TABERNACLE LLC</t>
        </is>
      </c>
      <c r="BL785" s="75" t="n">
        <v>2.06</v>
      </c>
      <c r="BM785" s="73" t="n">
        <v>47603</v>
      </c>
      <c r="BN785" s="69" t="inlineStr">
        <is>
          <t>David Berley</t>
        </is>
      </c>
      <c r="BO785" s="69" t="inlineStr">
        <is>
          <t>GACC</t>
        </is>
      </c>
      <c r="BP785" s="69" t="inlineStr">
        <is>
          <t>Midland Loan Services</t>
        </is>
      </c>
      <c r="BQ785" s="69" t="inlineStr">
        <is>
          <t>Midland Loan Services</t>
        </is>
      </c>
      <c r="BR785" s="69" t="n"/>
      <c r="BS785" s="73" t="n">
        <v>46273</v>
      </c>
      <c r="BU785" s="76">
        <f>IF($C785="","",IFERROR(INDEX(dmName,MATCH($C785,dmID,0)),"Unmapped"))</f>
        <v/>
      </c>
      <c r="BV785" s="76">
        <f>IF($C785="","",IFERROR(INDEX(dmEntity,MATCH($C785,dmID,0)),"Unmapped"))</f>
        <v/>
      </c>
      <c r="BW785" s="77">
        <f>IF($C785="","",IFERROR(INDEX(dmVintage,MATCH($C785,dmID,0)),""))</f>
        <v/>
      </c>
      <c r="BX785" s="78">
        <f>IFERROR(INDEX(dmInclude,MATCH($C785,dmID,0)),0)</f>
        <v/>
      </c>
      <c r="BY785" s="78">
        <f>IF(N($I785)&gt;0,1,0)</f>
        <v/>
      </c>
      <c r="BZ785" s="76">
        <f>IF($AJ785="","Other / Leased Fee",IFERROR(INDEX(mapPTGroup,MATCH(LEFT(TRIM($AJ785),2),mapPTCode,0)),"Other / Leased Fee"))</f>
        <v/>
      </c>
      <c r="CA785" s="76">
        <f>IF(TRIM($AF785&amp;"")="","NR",LEFT(TRIM($AF785),2))</f>
        <v/>
      </c>
      <c r="CB785" s="76">
        <f>IFERROR(LOOKUP(2,1/(LEFT(TRIM($AI785&amp;""),LEN(mapRegion))=mapRegion),mapRegion),"Not Reported")</f>
        <v/>
      </c>
      <c r="CC785" s="76">
        <f>IF($BY785=0,"",IF(TRIM($W785&amp;"")="REO","REO",IF(TRIM($W785&amp;"")="FC","Foreclosure",IF(TRIM($W785&amp;"")="90+","90+ Days Delinquent",IF(TRIM($W785&amp;"")="60","60 Days Delinquent",IF(TRIM($W785&amp;"")="30","30 Days Delinquent",IF($X785="Non-Performing Matured Balloon","Non-Performing Matured Balloon",IF(OR($X785="Late Payment But Less Than 30 Days Delinquent",LEFT($X785&amp;"",20)="Payment Not Received"),"Late / In Grace (&lt;30 Days)",IF($X785="Performing Matured Balloon","Performing Matured Balloon","Current")))))))))</f>
        <v/>
      </c>
      <c r="CD785" s="78">
        <f>IF(OR($CC785="REO",$CC785="Foreclosure",$CC785="90+ Days Delinquent",$CC785="60 Days Delinquent",$CC785="30 Days Delinquent",$CC785="Non-Performing Matured Balloon"),1,0)</f>
        <v/>
      </c>
      <c r="CE785" s="76">
        <f>IF($AB785="Currently special serv","Currently Specially Serviced",IF($AB785="Returned to master serv","Previously Specially Serviced","Never Specially Serviced"))</f>
        <v/>
      </c>
      <c r="CF785" s="78">
        <f>IF($CE785="Currently Specially Serviced",1,0)</f>
        <v/>
      </c>
      <c r="CG785" s="76">
        <f>IF($AA785="Yes","Currently on Watchlist",IF($AA785="Previously","Previously on Watchlist","Never on Watchlist"))</f>
        <v/>
      </c>
      <c r="CH785" s="78">
        <f>IF($CG785="Currently on Watchlist",1,0)</f>
        <v/>
      </c>
      <c r="CI785" s="76">
        <f>IF($Z785="Full Defeasance","Fully Defeased",IF($Z785="Portion Of Loan Previously Defeased","Partially Defeased",IF($Z785="Defeasance Not Allowable","Not Defeased (Not Permitted)","Not Defeased")))</f>
        <v/>
      </c>
      <c r="CJ785" s="78">
        <f>IF($CI785="Fully Defeased",1,0)</f>
        <v/>
      </c>
      <c r="CK785" s="76">
        <f>IF($R785="IO","Full IO",IF(LEFT($R785&amp;"",7)="IO then","Partial IO","Amortizing"))</f>
        <v/>
      </c>
      <c r="CL785" s="78">
        <f>IF($CK785="Full IO",1,0)</f>
        <v/>
      </c>
      <c r="CM785" s="78">
        <f>IF($CK785="Partial IO",1,0)</f>
        <v/>
      </c>
      <c r="CN785" s="76">
        <f>IF(LEFT($F785&amp;"",10)="SPLIT_LOAN","Pari Passu Split","Standalone")</f>
        <v/>
      </c>
      <c r="CO785" s="78">
        <f>IF($CN785="Pari Passu Split",1,0)</f>
        <v/>
      </c>
      <c r="CP785" s="77">
        <f>IF(ISNUMBER($T785),YEAR($T785),"")</f>
        <v/>
      </c>
      <c r="CQ785" s="79">
        <f>IF(ISNUMBER($V785),$V785,IF(ISNUMBER($U785),$U785,""))</f>
        <v/>
      </c>
      <c r="CR785" s="77">
        <f>IF(ISNUMBER($CQ785),YEAR($CQ785),"")</f>
        <v/>
      </c>
      <c r="CS785" s="78">
        <f>IF(ISNUMBER($M785),MAX(0,$M785),IF(TRIM($M785&amp;"")="matured",0,""))</f>
        <v/>
      </c>
      <c r="CT785" s="78">
        <f>IF(AND(ISNUMBER($CS785),N($CS785)&lt;=mMatWindow),1,0)</f>
        <v/>
      </c>
      <c r="CU785" s="80">
        <f>IF(ISNUMBER($J785),$J785/100,"")</f>
        <v/>
      </c>
      <c r="CV785" s="81">
        <f>IF(ISNUMBER($AQ785),$AQ785,"")</f>
        <v/>
      </c>
      <c r="CW785" s="81">
        <f>IF(ISNUMBER($AR785),$AR785,"")</f>
        <v/>
      </c>
      <c r="CX785" s="82">
        <f>IF(ISNUMBER($AS785),$AS785/100,"")</f>
        <v/>
      </c>
      <c r="CY785" s="82">
        <f>IF(ISNUMBER($AT785),$AT785/100,"")</f>
        <v/>
      </c>
      <c r="CZ785" s="82">
        <f>IF(ISNUMBER($AU785),$AU785/100,"")</f>
        <v/>
      </c>
      <c r="DA785" s="82">
        <f>IF(ISNUMBER($AV785),$AV785/100,"")</f>
        <v/>
      </c>
      <c r="DB785" s="82">
        <f>IF(ISNUMBER($AW785),$AW785/100,"")</f>
        <v/>
      </c>
      <c r="DC785" s="82">
        <f>IF(ISNUMBER($AX785),$AX785/100,"")</f>
        <v/>
      </c>
      <c r="DD785" s="77">
        <f>IFERROR(VALUE(LEFT(TRIM($AO785&amp;""),4)),"")</f>
        <v/>
      </c>
      <c r="DE785" s="78">
        <f>IF(AND($BY785=1,$BX785=1,OR(fDeal="All Deals",$BU785=fDeal),OR(fEntity="All Entities",$BV785=fEntity),OR(fPType="All Property Types",$BZ785=fPType),OR(fDefeased="Include",$CJ785=0)),1,0)</f>
        <v/>
      </c>
      <c r="DF785" s="83">
        <f>$DE785*N($I785)</f>
        <v/>
      </c>
      <c r="DG785" s="78">
        <f>IF($DE785=1,IF(COUNTIFS($F$8:$F785,$F785,$DE$8:$DE785,1)=1,1,0),0)</f>
        <v/>
      </c>
      <c r="DH785" s="83">
        <f>IF($DG785=1,SUMIFS($DF$8:$DF$1600,$F$8:$F$1600,$F785),0)</f>
        <v/>
      </c>
      <c r="DI785" s="78">
        <f>IF($DG785=1,COUNTIFS($F$8:$F$1600,$F785,$DE$8:$DE$1600,1),0)</f>
        <v/>
      </c>
      <c r="DJ785" s="84">
        <f>IF($DG785=1,$DH785+(100000-ROW())/mTieBreak,0)</f>
        <v/>
      </c>
    </row>
    <row r="786">
      <c r="B786" s="68" t="n">
        <v>16</v>
      </c>
      <c r="C786" s="69" t="inlineStr">
        <is>
          <t>BCMK18B3</t>
        </is>
      </c>
      <c r="D786" s="69" t="inlineStr">
        <is>
          <t>16.000</t>
        </is>
      </c>
      <c r="E786" s="69" t="inlineStr">
        <is>
          <t>90 Hudson</t>
        </is>
      </c>
      <c r="F786" s="69" t="inlineStr">
        <is>
          <t>SPLIT_LOAN_01168</t>
        </is>
      </c>
      <c r="G786" s="70" t="n">
        <v>1168</v>
      </c>
      <c r="H786" s="71" t="n">
        <v>30000000</v>
      </c>
      <c r="I786" s="71" t="n">
        <v>30000000</v>
      </c>
      <c r="J786" s="72" t="n">
        <v>4.14</v>
      </c>
      <c r="K786" s="69" t="inlineStr">
        <is>
          <t>Fixed rate</t>
        </is>
      </c>
      <c r="L786" s="68" t="n">
        <v>120</v>
      </c>
      <c r="M786" s="68" t="n">
        <v>14</v>
      </c>
      <c r="N786" s="68" t="n">
        <v>120</v>
      </c>
      <c r="O786" s="68" t="n">
        <v>120</v>
      </c>
      <c r="P786" s="68" t="n">
        <v>14</v>
      </c>
      <c r="Q786" s="68" t="n">
        <v>106</v>
      </c>
      <c r="R786" s="69" t="inlineStr">
        <is>
          <t>IO</t>
        </is>
      </c>
      <c r="S786" s="69" t="inlineStr">
        <is>
          <t>Yes</t>
        </is>
      </c>
      <c r="T786" s="73" t="n">
        <v>43040</v>
      </c>
      <c r="U786" s="73" t="n">
        <v>46692</v>
      </c>
      <c r="V786" s="73" t="n"/>
      <c r="W786" s="69" t="inlineStr">
        <is>
          <t>90+</t>
        </is>
      </c>
      <c r="X786" s="69" t="inlineStr">
        <is>
          <t>121+ Days Delinquent</t>
        </is>
      </c>
      <c r="Y786" s="68" t="n">
        <v>8</v>
      </c>
      <c r="Z786" s="69" t="inlineStr">
        <is>
          <t>No Defeasance Occurred</t>
        </is>
      </c>
      <c r="AA786" s="69" t="inlineStr">
        <is>
          <t>Previously</t>
        </is>
      </c>
      <c r="AB786" s="69" t="inlineStr">
        <is>
          <t>Currently special serv</t>
        </is>
      </c>
      <c r="AC786" s="73" t="n">
        <v>45859</v>
      </c>
      <c r="AD786" s="69" t="inlineStr">
        <is>
          <t>Imminent Monetary Default (excluding Balloon/Maturity Default &amp; Single Tenant Bankruptcy/Vacate)</t>
        </is>
      </c>
      <c r="AE786" s="69" t="inlineStr">
        <is>
          <t>Note Sale</t>
        </is>
      </c>
      <c r="AF786" s="69" t="inlineStr">
        <is>
          <t>NJ</t>
        </is>
      </c>
      <c r="AG786" s="69" t="inlineStr">
        <is>
          <t>Jersey City</t>
        </is>
      </c>
      <c r="AH786" s="69" t="inlineStr">
        <is>
          <t>New York-Newark-Jersey City, NY-NJ</t>
        </is>
      </c>
      <c r="AI786" s="69" t="inlineStr">
        <is>
          <t>Northeast / Mid-Atlantic</t>
        </is>
      </c>
      <c r="AJ786" s="69" t="inlineStr">
        <is>
          <t>OF</t>
        </is>
      </c>
      <c r="AK786" s="69" t="inlineStr">
        <is>
          <t>CBD</t>
        </is>
      </c>
      <c r="AL786" s="68" t="n">
        <v>1</v>
      </c>
      <c r="AM786" s="68" t="n"/>
      <c r="AN786" s="68" t="n">
        <v>431658</v>
      </c>
      <c r="AO786" s="69" t="inlineStr">
        <is>
          <t>1999</t>
        </is>
      </c>
      <c r="AP786" s="70" t="n">
        <v>1999</v>
      </c>
      <c r="AQ786" s="74" t="n">
        <v>2.04</v>
      </c>
      <c r="AR786" s="74" t="n">
        <v>0.31</v>
      </c>
      <c r="AS786" s="74" t="n">
        <v>60.2</v>
      </c>
      <c r="AT786" s="74" t="n">
        <v>240.74</v>
      </c>
      <c r="AU786" s="74" t="n">
        <v>60.2</v>
      </c>
      <c r="AV786" s="74" t="n">
        <v>8.582179999999999</v>
      </c>
      <c r="AW786" s="74" t="n">
        <v>0.33409</v>
      </c>
      <c r="AX786" s="75" t="n">
        <v>98</v>
      </c>
      <c r="AY786" s="71" t="n">
        <v>216000000</v>
      </c>
      <c r="AZ786" s="71" t="n">
        <v>54000000</v>
      </c>
      <c r="BA786" s="71" t="n">
        <v>11156834</v>
      </c>
      <c r="BB786" s="71" t="n">
        <v>1736459</v>
      </c>
      <c r="BC786" s="69" t="inlineStr">
        <is>
          <t>Refinance</t>
        </is>
      </c>
      <c r="BD786" s="69" t="inlineStr">
        <is>
          <t>N</t>
        </is>
      </c>
      <c r="BE786" s="71" t="n">
        <v>100000000</v>
      </c>
      <c r="BF786" s="71" t="n"/>
      <c r="BG786" s="71" t="n"/>
      <c r="BH786" s="71" t="n">
        <v>17790433.52</v>
      </c>
      <c r="BI786" s="71" t="n">
        <v>447605.13</v>
      </c>
      <c r="BJ786" s="69" t="inlineStr">
        <is>
          <t>N</t>
        </is>
      </c>
      <c r="BK786" s="69" t="inlineStr">
        <is>
          <t>Lord Abbett &amp; Co.</t>
        </is>
      </c>
      <c r="BL786" s="75" t="n">
        <v>60.55</v>
      </c>
      <c r="BM786" s="73" t="n">
        <v>45657</v>
      </c>
      <c r="BN786" s="69" t="inlineStr">
        <is>
          <t>Spear Street Capital, LLC and PFA Pension</t>
        </is>
      </c>
      <c r="BO786" s="69" t="inlineStr">
        <is>
          <t>JPMorgan Chase</t>
        </is>
      </c>
      <c r="BP786" s="69" t="inlineStr">
        <is>
          <t>Midland Loan Services</t>
        </is>
      </c>
      <c r="BQ786" s="69" t="inlineStr">
        <is>
          <t>LNR Partners</t>
        </is>
      </c>
      <c r="BR786" s="69" t="n"/>
      <c r="BS786" s="73" t="n">
        <v>46273</v>
      </c>
      <c r="BU786" s="76">
        <f>IF($C786="","",IFERROR(INDEX(dmName,MATCH($C786,dmID,0)),"Unmapped"))</f>
        <v/>
      </c>
      <c r="BV786" s="76">
        <f>IF($C786="","",IFERROR(INDEX(dmEntity,MATCH($C786,dmID,0)),"Unmapped"))</f>
        <v/>
      </c>
      <c r="BW786" s="77">
        <f>IF($C786="","",IFERROR(INDEX(dmVintage,MATCH($C786,dmID,0)),""))</f>
        <v/>
      </c>
      <c r="BX786" s="78">
        <f>IFERROR(INDEX(dmInclude,MATCH($C786,dmID,0)),0)</f>
        <v/>
      </c>
      <c r="BY786" s="78">
        <f>IF(N($I786)&gt;0,1,0)</f>
        <v/>
      </c>
      <c r="BZ786" s="76">
        <f>IF($AJ786="","Other / Leased Fee",IFERROR(INDEX(mapPTGroup,MATCH(LEFT(TRIM($AJ786),2),mapPTCode,0)),"Other / Leased Fee"))</f>
        <v/>
      </c>
      <c r="CA786" s="76">
        <f>IF(TRIM($AF786&amp;"")="","NR",LEFT(TRIM($AF786),2))</f>
        <v/>
      </c>
      <c r="CB786" s="76">
        <f>IFERROR(LOOKUP(2,1/(LEFT(TRIM($AI786&amp;""),LEN(mapRegion))=mapRegion),mapRegion),"Not Reported")</f>
        <v/>
      </c>
      <c r="CC786" s="76">
        <f>IF($BY786=0,"",IF(TRIM($W786&amp;"")="REO","REO",IF(TRIM($W786&amp;"")="FC","Foreclosure",IF(TRIM($W786&amp;"")="90+","90+ Days Delinquent",IF(TRIM($W786&amp;"")="60","60 Days Delinquent",IF(TRIM($W786&amp;"")="30","30 Days Delinquent",IF($X786="Non-Performing Matured Balloon","Non-Performing Matured Balloon",IF(OR($X786="Late Payment But Less Than 30 Days Delinquent",LEFT($X786&amp;"",20)="Payment Not Received"),"Late / In Grace (&lt;30 Days)",IF($X786="Performing Matured Balloon","Performing Matured Balloon","Current")))))))))</f>
        <v/>
      </c>
      <c r="CD786" s="78">
        <f>IF(OR($CC786="REO",$CC786="Foreclosure",$CC786="90+ Days Delinquent",$CC786="60 Days Delinquent",$CC786="30 Days Delinquent",$CC786="Non-Performing Matured Balloon"),1,0)</f>
        <v/>
      </c>
      <c r="CE786" s="76">
        <f>IF($AB786="Currently special serv","Currently Specially Serviced",IF($AB786="Returned to master serv","Previously Specially Serviced","Never Specially Serviced"))</f>
        <v/>
      </c>
      <c r="CF786" s="78">
        <f>IF($CE786="Currently Specially Serviced",1,0)</f>
        <v/>
      </c>
      <c r="CG786" s="76">
        <f>IF($AA786="Yes","Currently on Watchlist",IF($AA786="Previously","Previously on Watchlist","Never on Watchlist"))</f>
        <v/>
      </c>
      <c r="CH786" s="78">
        <f>IF($CG786="Currently on Watchlist",1,0)</f>
        <v/>
      </c>
      <c r="CI786" s="76">
        <f>IF($Z786="Full Defeasance","Fully Defeased",IF($Z786="Portion Of Loan Previously Defeased","Partially Defeased",IF($Z786="Defeasance Not Allowable","Not Defeased (Not Permitted)","Not Defeased")))</f>
        <v/>
      </c>
      <c r="CJ786" s="78">
        <f>IF($CI786="Fully Defeased",1,0)</f>
        <v/>
      </c>
      <c r="CK786" s="76">
        <f>IF($R786="IO","Full IO",IF(LEFT($R786&amp;"",7)="IO then","Partial IO","Amortizing"))</f>
        <v/>
      </c>
      <c r="CL786" s="78">
        <f>IF($CK786="Full IO",1,0)</f>
        <v/>
      </c>
      <c r="CM786" s="78">
        <f>IF($CK786="Partial IO",1,0)</f>
        <v/>
      </c>
      <c r="CN786" s="76">
        <f>IF(LEFT($F786&amp;"",10)="SPLIT_LOAN","Pari Passu Split","Standalone")</f>
        <v/>
      </c>
      <c r="CO786" s="78">
        <f>IF($CN786="Pari Passu Split",1,0)</f>
        <v/>
      </c>
      <c r="CP786" s="77">
        <f>IF(ISNUMBER($T786),YEAR($T786),"")</f>
        <v/>
      </c>
      <c r="CQ786" s="79">
        <f>IF(ISNUMBER($V786),$V786,IF(ISNUMBER($U786),$U786,""))</f>
        <v/>
      </c>
      <c r="CR786" s="77">
        <f>IF(ISNUMBER($CQ786),YEAR($CQ786),"")</f>
        <v/>
      </c>
      <c r="CS786" s="78">
        <f>IF(ISNUMBER($M786),MAX(0,$M786),IF(TRIM($M786&amp;"")="matured",0,""))</f>
        <v/>
      </c>
      <c r="CT786" s="78">
        <f>IF(AND(ISNUMBER($CS786),N($CS786)&lt;=mMatWindow),1,0)</f>
        <v/>
      </c>
      <c r="CU786" s="80">
        <f>IF(ISNUMBER($J786),$J786/100,"")</f>
        <v/>
      </c>
      <c r="CV786" s="81">
        <f>IF(ISNUMBER($AQ786),$AQ786,"")</f>
        <v/>
      </c>
      <c r="CW786" s="81">
        <f>IF(ISNUMBER($AR786),$AR786,"")</f>
        <v/>
      </c>
      <c r="CX786" s="82">
        <f>IF(ISNUMBER($AS786),$AS786/100,"")</f>
        <v/>
      </c>
      <c r="CY786" s="82">
        <f>IF(ISNUMBER($AT786),$AT786/100,"")</f>
        <v/>
      </c>
      <c r="CZ786" s="82">
        <f>IF(ISNUMBER($AU786),$AU786/100,"")</f>
        <v/>
      </c>
      <c r="DA786" s="82">
        <f>IF(ISNUMBER($AV786),$AV786/100,"")</f>
        <v/>
      </c>
      <c r="DB786" s="82">
        <f>IF(ISNUMBER($AW786),$AW786/100,"")</f>
        <v/>
      </c>
      <c r="DC786" s="82">
        <f>IF(ISNUMBER($AX786),$AX786/100,"")</f>
        <v/>
      </c>
      <c r="DD786" s="77">
        <f>IFERROR(VALUE(LEFT(TRIM($AO786&amp;""),4)),"")</f>
        <v/>
      </c>
      <c r="DE786" s="78">
        <f>IF(AND($BY786=1,$BX786=1,OR(fDeal="All Deals",$BU786=fDeal),OR(fEntity="All Entities",$BV786=fEntity),OR(fPType="All Property Types",$BZ786=fPType),OR(fDefeased="Include",$CJ786=0)),1,0)</f>
        <v/>
      </c>
      <c r="DF786" s="83">
        <f>$DE786*N($I786)</f>
        <v/>
      </c>
      <c r="DG786" s="78">
        <f>IF($DE786=1,IF(COUNTIFS($F$8:$F786,$F786,$DE$8:$DE786,1)=1,1,0),0)</f>
        <v/>
      </c>
      <c r="DH786" s="83">
        <f>IF($DG786=1,SUMIFS($DF$8:$DF$1600,$F$8:$F$1600,$F786),0)</f>
        <v/>
      </c>
      <c r="DI786" s="78">
        <f>IF($DG786=1,COUNTIFS($F$8:$F$1600,$F786,$DE$8:$DE$1600,1),0)</f>
        <v/>
      </c>
      <c r="DJ786" s="84">
        <f>IF($DG786=1,$DH786+(100000-ROW())/mTieBreak,0)</f>
        <v/>
      </c>
    </row>
    <row r="787">
      <c r="B787" s="68" t="n">
        <v>17</v>
      </c>
      <c r="C787" s="69" t="inlineStr">
        <is>
          <t>BCMK18B3</t>
        </is>
      </c>
      <c r="D787" s="69" t="inlineStr">
        <is>
          <t>17.000</t>
        </is>
      </c>
      <c r="E787" s="69" t="inlineStr">
        <is>
          <t>Atrium Center</t>
        </is>
      </c>
      <c r="F787" s="69" t="inlineStr">
        <is>
          <t>SPLIT_LOAN_01169</t>
        </is>
      </c>
      <c r="G787" s="70" t="n">
        <v>1169</v>
      </c>
      <c r="H787" s="71" t="n">
        <v>30000000</v>
      </c>
      <c r="I787" s="71" t="n">
        <v>30000000</v>
      </c>
      <c r="J787" s="72" t="n">
        <v>3.9</v>
      </c>
      <c r="K787" s="69" t="inlineStr">
        <is>
          <t>Fixed rate</t>
        </is>
      </c>
      <c r="L787" s="68" t="n">
        <v>120</v>
      </c>
      <c r="M787" s="68" t="n">
        <v>16</v>
      </c>
      <c r="N787" s="68" t="n">
        <v>120</v>
      </c>
      <c r="O787" s="68" t="n">
        <v>120</v>
      </c>
      <c r="P787" s="68" t="n">
        <v>16</v>
      </c>
      <c r="Q787" s="68" t="n">
        <v>104</v>
      </c>
      <c r="R787" s="69" t="inlineStr">
        <is>
          <t>IO</t>
        </is>
      </c>
      <c r="S787" s="69" t="inlineStr">
        <is>
          <t>Yes</t>
        </is>
      </c>
      <c r="T787" s="73" t="n">
        <v>43101</v>
      </c>
      <c r="U787" s="73" t="n">
        <v>46753</v>
      </c>
      <c r="V787" s="73" t="n"/>
      <c r="W787" s="69" t="n"/>
      <c r="X787" s="69" t="inlineStr">
        <is>
          <t>Current</t>
        </is>
      </c>
      <c r="Y787" s="68" t="n"/>
      <c r="Z787" s="69" t="inlineStr">
        <is>
          <t>Defeasance Not Allowable</t>
        </is>
      </c>
      <c r="AA787" s="69" t="n"/>
      <c r="AB787" s="69" t="inlineStr">
        <is>
          <t>Never special serv</t>
        </is>
      </c>
      <c r="AC787" s="73" t="n"/>
      <c r="AD787" s="69" t="n"/>
      <c r="AE787" s="69" t="n"/>
      <c r="AF787" s="69" t="inlineStr">
        <is>
          <t>MA</t>
        </is>
      </c>
      <c r="AG787" s="69" t="inlineStr">
        <is>
          <t>Chestnut Hill</t>
        </is>
      </c>
      <c r="AH787" s="69" t="inlineStr">
        <is>
          <t>Boston-Cambridge-Newton, MA-NH</t>
        </is>
      </c>
      <c r="AI787" s="69" t="inlineStr">
        <is>
          <t>Northeast / New England</t>
        </is>
      </c>
      <c r="AJ787" s="69" t="inlineStr">
        <is>
          <t>MX</t>
        </is>
      </c>
      <c r="AK787" s="69" t="inlineStr">
        <is>
          <t>Office/Retail</t>
        </is>
      </c>
      <c r="AL787" s="68" t="n">
        <v>1</v>
      </c>
      <c r="AM787" s="68" t="n"/>
      <c r="AN787" s="68" t="n">
        <v>293120</v>
      </c>
      <c r="AO787" s="69" t="inlineStr">
        <is>
          <t>1986</t>
        </is>
      </c>
      <c r="AP787" s="70" t="n">
        <v>2017</v>
      </c>
      <c r="AQ787" s="74" t="n">
        <v>2.05</v>
      </c>
      <c r="AR787" s="74" t="n">
        <v>2.21</v>
      </c>
      <c r="AS787" s="74" t="n">
        <v>53.5</v>
      </c>
      <c r="AT787" s="74" t="n">
        <v>53.49</v>
      </c>
      <c r="AU787" s="74" t="n">
        <v>53.5</v>
      </c>
      <c r="AV787" s="74" t="n">
        <v>8.091627826</v>
      </c>
      <c r="AW787" s="74" t="n">
        <v>9.520346200000001</v>
      </c>
      <c r="AX787" s="75" t="n">
        <v>100</v>
      </c>
      <c r="AY787" s="71" t="n">
        <v>215000000</v>
      </c>
      <c r="AZ787" s="71" t="n">
        <v>215000000</v>
      </c>
      <c r="BA787" s="71" t="n">
        <v>9305372</v>
      </c>
      <c r="BB787" s="71" t="n">
        <v>2507355.24</v>
      </c>
      <c r="BC787" s="69" t="inlineStr">
        <is>
          <t>Recapitalization</t>
        </is>
      </c>
      <c r="BD787" s="69" t="inlineStr">
        <is>
          <t>N</t>
        </is>
      </c>
      <c r="BE787" s="71" t="n">
        <v>85000000</v>
      </c>
      <c r="BF787" s="71" t="n"/>
      <c r="BG787" s="71" t="n"/>
      <c r="BH787" s="71" t="n">
        <v>0</v>
      </c>
      <c r="BI787" s="71" t="n">
        <v>0</v>
      </c>
      <c r="BJ787" s="69" t="inlineStr">
        <is>
          <t>N</t>
        </is>
      </c>
      <c r="BK787" s="69" t="inlineStr">
        <is>
          <t>Dana Farber Cancer Institute t0000771</t>
        </is>
      </c>
      <c r="BL787" s="75" t="n">
        <v>52.22</v>
      </c>
      <c r="BM787" s="73" t="n">
        <v>52351</v>
      </c>
      <c r="BN787" s="69" t="inlineStr">
        <is>
          <t>The Bulfinch Companies, Inc., National Real Estate Advisors and Harrison Street Real Estate Capital, LLC</t>
        </is>
      </c>
      <c r="BO787" s="69" t="inlineStr">
        <is>
          <t>JPMorgan Chase</t>
        </is>
      </c>
      <c r="BP787" s="69" t="inlineStr">
        <is>
          <t>Midland Loan Services</t>
        </is>
      </c>
      <c r="BQ787" s="69" t="inlineStr">
        <is>
          <t>K-Star Asset Management LLC</t>
        </is>
      </c>
      <c r="BR787" s="69" t="n"/>
      <c r="BS787" s="73" t="n">
        <v>46273</v>
      </c>
      <c r="BU787" s="76">
        <f>IF($C787="","",IFERROR(INDEX(dmName,MATCH($C787,dmID,0)),"Unmapped"))</f>
        <v/>
      </c>
      <c r="BV787" s="76">
        <f>IF($C787="","",IFERROR(INDEX(dmEntity,MATCH($C787,dmID,0)),"Unmapped"))</f>
        <v/>
      </c>
      <c r="BW787" s="77">
        <f>IF($C787="","",IFERROR(INDEX(dmVintage,MATCH($C787,dmID,0)),""))</f>
        <v/>
      </c>
      <c r="BX787" s="78">
        <f>IFERROR(INDEX(dmInclude,MATCH($C787,dmID,0)),0)</f>
        <v/>
      </c>
      <c r="BY787" s="78">
        <f>IF(N($I787)&gt;0,1,0)</f>
        <v/>
      </c>
      <c r="BZ787" s="76">
        <f>IF($AJ787="","Other / Leased Fee",IFERROR(INDEX(mapPTGroup,MATCH(LEFT(TRIM($AJ787),2),mapPTCode,0)),"Other / Leased Fee"))</f>
        <v/>
      </c>
      <c r="CA787" s="76">
        <f>IF(TRIM($AF787&amp;"")="","NR",LEFT(TRIM($AF787),2))</f>
        <v/>
      </c>
      <c r="CB787" s="76">
        <f>IFERROR(LOOKUP(2,1/(LEFT(TRIM($AI787&amp;""),LEN(mapRegion))=mapRegion),mapRegion),"Not Reported")</f>
        <v/>
      </c>
      <c r="CC787" s="76">
        <f>IF($BY787=0,"",IF(TRIM($W787&amp;"")="REO","REO",IF(TRIM($W787&amp;"")="FC","Foreclosure",IF(TRIM($W787&amp;"")="90+","90+ Days Delinquent",IF(TRIM($W787&amp;"")="60","60 Days Delinquent",IF(TRIM($W787&amp;"")="30","30 Days Delinquent",IF($X787="Non-Performing Matured Balloon","Non-Performing Matured Balloon",IF(OR($X787="Late Payment But Less Than 30 Days Delinquent",LEFT($X787&amp;"",20)="Payment Not Received"),"Late / In Grace (&lt;30 Days)",IF($X787="Performing Matured Balloon","Performing Matured Balloon","Current")))))))))</f>
        <v/>
      </c>
      <c r="CD787" s="78">
        <f>IF(OR($CC787="REO",$CC787="Foreclosure",$CC787="90+ Days Delinquent",$CC787="60 Days Delinquent",$CC787="30 Days Delinquent",$CC787="Non-Performing Matured Balloon"),1,0)</f>
        <v/>
      </c>
      <c r="CE787" s="76">
        <f>IF($AB787="Currently special serv","Currently Specially Serviced",IF($AB787="Returned to master serv","Previously Specially Serviced","Never Specially Serviced"))</f>
        <v/>
      </c>
      <c r="CF787" s="78">
        <f>IF($CE787="Currently Specially Serviced",1,0)</f>
        <v/>
      </c>
      <c r="CG787" s="76">
        <f>IF($AA787="Yes","Currently on Watchlist",IF($AA787="Previously","Previously on Watchlist","Never on Watchlist"))</f>
        <v/>
      </c>
      <c r="CH787" s="78">
        <f>IF($CG787="Currently on Watchlist",1,0)</f>
        <v/>
      </c>
      <c r="CI787" s="76">
        <f>IF($Z787="Full Defeasance","Fully Defeased",IF($Z787="Portion Of Loan Previously Defeased","Partially Defeased",IF($Z787="Defeasance Not Allowable","Not Defeased (Not Permitted)","Not Defeased")))</f>
        <v/>
      </c>
      <c r="CJ787" s="78">
        <f>IF($CI787="Fully Defeased",1,0)</f>
        <v/>
      </c>
      <c r="CK787" s="76">
        <f>IF($R787="IO","Full IO",IF(LEFT($R787&amp;"",7)="IO then","Partial IO","Amortizing"))</f>
        <v/>
      </c>
      <c r="CL787" s="78">
        <f>IF($CK787="Full IO",1,0)</f>
        <v/>
      </c>
      <c r="CM787" s="78">
        <f>IF($CK787="Partial IO",1,0)</f>
        <v/>
      </c>
      <c r="CN787" s="76">
        <f>IF(LEFT($F787&amp;"",10)="SPLIT_LOAN","Pari Passu Split","Standalone")</f>
        <v/>
      </c>
      <c r="CO787" s="78">
        <f>IF($CN787="Pari Passu Split",1,0)</f>
        <v/>
      </c>
      <c r="CP787" s="77">
        <f>IF(ISNUMBER($T787),YEAR($T787),"")</f>
        <v/>
      </c>
      <c r="CQ787" s="79">
        <f>IF(ISNUMBER($V787),$V787,IF(ISNUMBER($U787),$U787,""))</f>
        <v/>
      </c>
      <c r="CR787" s="77">
        <f>IF(ISNUMBER($CQ787),YEAR($CQ787),"")</f>
        <v/>
      </c>
      <c r="CS787" s="78">
        <f>IF(ISNUMBER($M787),MAX(0,$M787),IF(TRIM($M787&amp;"")="matured",0,""))</f>
        <v/>
      </c>
      <c r="CT787" s="78">
        <f>IF(AND(ISNUMBER($CS787),N($CS787)&lt;=mMatWindow),1,0)</f>
        <v/>
      </c>
      <c r="CU787" s="80">
        <f>IF(ISNUMBER($J787),$J787/100,"")</f>
        <v/>
      </c>
      <c r="CV787" s="81">
        <f>IF(ISNUMBER($AQ787),$AQ787,"")</f>
        <v/>
      </c>
      <c r="CW787" s="81">
        <f>IF(ISNUMBER($AR787),$AR787,"")</f>
        <v/>
      </c>
      <c r="CX787" s="82">
        <f>IF(ISNUMBER($AS787),$AS787/100,"")</f>
        <v/>
      </c>
      <c r="CY787" s="82">
        <f>IF(ISNUMBER($AT787),$AT787/100,"")</f>
        <v/>
      </c>
      <c r="CZ787" s="82">
        <f>IF(ISNUMBER($AU787),$AU787/100,"")</f>
        <v/>
      </c>
      <c r="DA787" s="82">
        <f>IF(ISNUMBER($AV787),$AV787/100,"")</f>
        <v/>
      </c>
      <c r="DB787" s="82">
        <f>IF(ISNUMBER($AW787),$AW787/100,"")</f>
        <v/>
      </c>
      <c r="DC787" s="82">
        <f>IF(ISNUMBER($AX787),$AX787/100,"")</f>
        <v/>
      </c>
      <c r="DD787" s="77">
        <f>IFERROR(VALUE(LEFT(TRIM($AO787&amp;""),4)),"")</f>
        <v/>
      </c>
      <c r="DE787" s="78">
        <f>IF(AND($BY787=1,$BX787=1,OR(fDeal="All Deals",$BU787=fDeal),OR(fEntity="All Entities",$BV787=fEntity),OR(fPType="All Property Types",$BZ787=fPType),OR(fDefeased="Include",$CJ787=0)),1,0)</f>
        <v/>
      </c>
      <c r="DF787" s="83">
        <f>$DE787*N($I787)</f>
        <v/>
      </c>
      <c r="DG787" s="78">
        <f>IF($DE787=1,IF(COUNTIFS($F$8:$F787,$F787,$DE$8:$DE787,1)=1,1,0),0)</f>
        <v/>
      </c>
      <c r="DH787" s="83">
        <f>IF($DG787=1,SUMIFS($DF$8:$DF$1600,$F$8:$F$1600,$F787),0)</f>
        <v/>
      </c>
      <c r="DI787" s="78">
        <f>IF($DG787=1,COUNTIFS($F$8:$F$1600,$F787,$DE$8:$DE$1600,1),0)</f>
        <v/>
      </c>
      <c r="DJ787" s="84">
        <f>IF($DG787=1,$DH787+(100000-ROW())/mTieBreak,0)</f>
        <v/>
      </c>
    </row>
    <row r="788">
      <c r="B788" s="68" t="n">
        <v>18</v>
      </c>
      <c r="C788" s="69" t="inlineStr">
        <is>
          <t>BCMK18B3</t>
        </is>
      </c>
      <c r="D788" s="69" t="inlineStr">
        <is>
          <t>18.000</t>
        </is>
      </c>
      <c r="E788" s="69" t="inlineStr">
        <is>
          <t>907 Market Street</t>
        </is>
      </c>
      <c r="F788" s="69" t="inlineStr">
        <is>
          <t>LNBCMK18B3-18.000</t>
        </is>
      </c>
      <c r="G788" s="70" t="n"/>
      <c r="H788" s="71" t="n">
        <v>28500000</v>
      </c>
      <c r="I788" s="71" t="n">
        <v>28500000</v>
      </c>
      <c r="J788" s="72" t="n">
        <v>4.552</v>
      </c>
      <c r="K788" s="69" t="inlineStr">
        <is>
          <t>Fixed rate</t>
        </is>
      </c>
      <c r="L788" s="68" t="n">
        <v>120</v>
      </c>
      <c r="M788" s="68" t="n">
        <v>18</v>
      </c>
      <c r="N788" s="68" t="n">
        <v>120</v>
      </c>
      <c r="O788" s="68" t="n">
        <v>120</v>
      </c>
      <c r="P788" s="68" t="n">
        <v>18</v>
      </c>
      <c r="Q788" s="68" t="n">
        <v>102</v>
      </c>
      <c r="R788" s="69" t="inlineStr">
        <is>
          <t>IO</t>
        </is>
      </c>
      <c r="S788" s="69" t="inlineStr">
        <is>
          <t>Yes</t>
        </is>
      </c>
      <c r="T788" s="73" t="n">
        <v>43160</v>
      </c>
      <c r="U788" s="73" t="n">
        <v>46818</v>
      </c>
      <c r="V788" s="73" t="n"/>
      <c r="W788" s="69" t="n"/>
      <c r="X788" s="69" t="inlineStr">
        <is>
          <t>Current</t>
        </is>
      </c>
      <c r="Y788" s="68" t="n"/>
      <c r="Z788" s="69" t="inlineStr">
        <is>
          <t>No Defeasance Occurred</t>
        </is>
      </c>
      <c r="AA788" s="69" t="n"/>
      <c r="AB788" s="69" t="inlineStr">
        <is>
          <t>Never special serv</t>
        </is>
      </c>
      <c r="AC788" s="73" t="n"/>
      <c r="AD788" s="69" t="n"/>
      <c r="AE788" s="69" t="n"/>
      <c r="AF788" s="69" t="inlineStr">
        <is>
          <t>PA</t>
        </is>
      </c>
      <c r="AG788" s="69" t="inlineStr">
        <is>
          <t>Philadelphia</t>
        </is>
      </c>
      <c r="AH788" s="69" t="inlineStr">
        <is>
          <t>Philadelphia-Camden-Wilmington, PA-NJ-DE-MD</t>
        </is>
      </c>
      <c r="AI788" s="69" t="inlineStr">
        <is>
          <t>Northeast / Mid-Atlantic</t>
        </is>
      </c>
      <c r="AJ788" s="69" t="inlineStr">
        <is>
          <t>OF</t>
        </is>
      </c>
      <c r="AK788" s="69" t="inlineStr">
        <is>
          <t>CBD</t>
        </is>
      </c>
      <c r="AL788" s="68" t="n">
        <v>1</v>
      </c>
      <c r="AM788" s="68" t="n"/>
      <c r="AN788" s="68" t="n">
        <v>214024</v>
      </c>
      <c r="AO788" s="69" t="inlineStr">
        <is>
          <t>1975</t>
        </is>
      </c>
      <c r="AP788" s="70" t="n">
        <v>2004</v>
      </c>
      <c r="AQ788" s="74" t="n">
        <v>2.22</v>
      </c>
      <c r="AR788" s="74" t="n">
        <v>3.12</v>
      </c>
      <c r="AS788" s="74" t="n">
        <v>66.09999999999999</v>
      </c>
      <c r="AT788" s="74" t="n">
        <v>66.13</v>
      </c>
      <c r="AU788" s="74" t="n">
        <v>66.09999999999999</v>
      </c>
      <c r="AV788" s="74" t="n">
        <v>10.247852035</v>
      </c>
      <c r="AW788" s="74" t="n">
        <v>14.409790561</v>
      </c>
      <c r="AX788" s="75" t="n">
        <v>100</v>
      </c>
      <c r="AY788" s="71" t="n">
        <v>43100000</v>
      </c>
      <c r="AZ788" s="71" t="n">
        <v>43100000</v>
      </c>
      <c r="BA788" s="71" t="n">
        <v>2920637.83</v>
      </c>
      <c r="BB788" s="71" t="n">
        <v>4106790.31</v>
      </c>
      <c r="BC788" s="69" t="inlineStr">
        <is>
          <t>Acquisition</t>
        </is>
      </c>
      <c r="BD788" s="69" t="inlineStr">
        <is>
          <t>N</t>
        </is>
      </c>
      <c r="BE788" s="71" t="n"/>
      <c r="BF788" s="71" t="n"/>
      <c r="BG788" s="71" t="n"/>
      <c r="BH788" s="71" t="n">
        <v>0</v>
      </c>
      <c r="BI788" s="71" t="n">
        <v>0</v>
      </c>
      <c r="BJ788" s="69" t="inlineStr">
        <is>
          <t>N</t>
        </is>
      </c>
      <c r="BK788" s="69" t="inlineStr">
        <is>
          <t>Health Partners of Philadelphia Inc.</t>
        </is>
      </c>
      <c r="BL788" s="75" t="n">
        <v>100</v>
      </c>
      <c r="BM788" s="73" t="n">
        <v>47391</v>
      </c>
      <c r="BN788" s="69" t="inlineStr">
        <is>
          <t>Joseph J. Sitt</t>
        </is>
      </c>
      <c r="BO788" s="69" t="inlineStr">
        <is>
          <t>GACC</t>
        </is>
      </c>
      <c r="BP788" s="69" t="inlineStr">
        <is>
          <t>Midland Loan Services</t>
        </is>
      </c>
      <c r="BQ788" s="69" t="inlineStr">
        <is>
          <t>K-Star Asset Management LLC</t>
        </is>
      </c>
      <c r="BR788" s="69" t="n"/>
      <c r="BS788" s="73" t="n">
        <v>46273</v>
      </c>
      <c r="BU788" s="76">
        <f>IF($C788="","",IFERROR(INDEX(dmName,MATCH($C788,dmID,0)),"Unmapped"))</f>
        <v/>
      </c>
      <c r="BV788" s="76">
        <f>IF($C788="","",IFERROR(INDEX(dmEntity,MATCH($C788,dmID,0)),"Unmapped"))</f>
        <v/>
      </c>
      <c r="BW788" s="77">
        <f>IF($C788="","",IFERROR(INDEX(dmVintage,MATCH($C788,dmID,0)),""))</f>
        <v/>
      </c>
      <c r="BX788" s="78">
        <f>IFERROR(INDEX(dmInclude,MATCH($C788,dmID,0)),0)</f>
        <v/>
      </c>
      <c r="BY788" s="78">
        <f>IF(N($I788)&gt;0,1,0)</f>
        <v/>
      </c>
      <c r="BZ788" s="76">
        <f>IF($AJ788="","Other / Leased Fee",IFERROR(INDEX(mapPTGroup,MATCH(LEFT(TRIM($AJ788),2),mapPTCode,0)),"Other / Leased Fee"))</f>
        <v/>
      </c>
      <c r="CA788" s="76">
        <f>IF(TRIM($AF788&amp;"")="","NR",LEFT(TRIM($AF788),2))</f>
        <v/>
      </c>
      <c r="CB788" s="76">
        <f>IFERROR(LOOKUP(2,1/(LEFT(TRIM($AI788&amp;""),LEN(mapRegion))=mapRegion),mapRegion),"Not Reported")</f>
        <v/>
      </c>
      <c r="CC788" s="76">
        <f>IF($BY788=0,"",IF(TRIM($W788&amp;"")="REO","REO",IF(TRIM($W788&amp;"")="FC","Foreclosure",IF(TRIM($W788&amp;"")="90+","90+ Days Delinquent",IF(TRIM($W788&amp;"")="60","60 Days Delinquent",IF(TRIM($W788&amp;"")="30","30 Days Delinquent",IF($X788="Non-Performing Matured Balloon","Non-Performing Matured Balloon",IF(OR($X788="Late Payment But Less Than 30 Days Delinquent",LEFT($X788&amp;"",20)="Payment Not Received"),"Late / In Grace (&lt;30 Days)",IF($X788="Performing Matured Balloon","Performing Matured Balloon","Current")))))))))</f>
        <v/>
      </c>
      <c r="CD788" s="78">
        <f>IF(OR($CC788="REO",$CC788="Foreclosure",$CC788="90+ Days Delinquent",$CC788="60 Days Delinquent",$CC788="30 Days Delinquent",$CC788="Non-Performing Matured Balloon"),1,0)</f>
        <v/>
      </c>
      <c r="CE788" s="76">
        <f>IF($AB788="Currently special serv","Currently Specially Serviced",IF($AB788="Returned to master serv","Previously Specially Serviced","Never Specially Serviced"))</f>
        <v/>
      </c>
      <c r="CF788" s="78">
        <f>IF($CE788="Currently Specially Serviced",1,0)</f>
        <v/>
      </c>
      <c r="CG788" s="76">
        <f>IF($AA788="Yes","Currently on Watchlist",IF($AA788="Previously","Previously on Watchlist","Never on Watchlist"))</f>
        <v/>
      </c>
      <c r="CH788" s="78">
        <f>IF($CG788="Currently on Watchlist",1,0)</f>
        <v/>
      </c>
      <c r="CI788" s="76">
        <f>IF($Z788="Full Defeasance","Fully Defeased",IF($Z788="Portion Of Loan Previously Defeased","Partially Defeased",IF($Z788="Defeasance Not Allowable","Not Defeased (Not Permitted)","Not Defeased")))</f>
        <v/>
      </c>
      <c r="CJ788" s="78">
        <f>IF($CI788="Fully Defeased",1,0)</f>
        <v/>
      </c>
      <c r="CK788" s="76">
        <f>IF($R788="IO","Full IO",IF(LEFT($R788&amp;"",7)="IO then","Partial IO","Amortizing"))</f>
        <v/>
      </c>
      <c r="CL788" s="78">
        <f>IF($CK788="Full IO",1,0)</f>
        <v/>
      </c>
      <c r="CM788" s="78">
        <f>IF($CK788="Partial IO",1,0)</f>
        <v/>
      </c>
      <c r="CN788" s="76">
        <f>IF(LEFT($F788&amp;"",10)="SPLIT_LOAN","Pari Passu Split","Standalone")</f>
        <v/>
      </c>
      <c r="CO788" s="78">
        <f>IF($CN788="Pari Passu Split",1,0)</f>
        <v/>
      </c>
      <c r="CP788" s="77">
        <f>IF(ISNUMBER($T788),YEAR($T788),"")</f>
        <v/>
      </c>
      <c r="CQ788" s="79">
        <f>IF(ISNUMBER($V788),$V788,IF(ISNUMBER($U788),$U788,""))</f>
        <v/>
      </c>
      <c r="CR788" s="77">
        <f>IF(ISNUMBER($CQ788),YEAR($CQ788),"")</f>
        <v/>
      </c>
      <c r="CS788" s="78">
        <f>IF(ISNUMBER($M788),MAX(0,$M788),IF(TRIM($M788&amp;"")="matured",0,""))</f>
        <v/>
      </c>
      <c r="CT788" s="78">
        <f>IF(AND(ISNUMBER($CS788),N($CS788)&lt;=mMatWindow),1,0)</f>
        <v/>
      </c>
      <c r="CU788" s="80">
        <f>IF(ISNUMBER($J788),$J788/100,"")</f>
        <v/>
      </c>
      <c r="CV788" s="81">
        <f>IF(ISNUMBER($AQ788),$AQ788,"")</f>
        <v/>
      </c>
      <c r="CW788" s="81">
        <f>IF(ISNUMBER($AR788),$AR788,"")</f>
        <v/>
      </c>
      <c r="CX788" s="82">
        <f>IF(ISNUMBER($AS788),$AS788/100,"")</f>
        <v/>
      </c>
      <c r="CY788" s="82">
        <f>IF(ISNUMBER($AT788),$AT788/100,"")</f>
        <v/>
      </c>
      <c r="CZ788" s="82">
        <f>IF(ISNUMBER($AU788),$AU788/100,"")</f>
        <v/>
      </c>
      <c r="DA788" s="82">
        <f>IF(ISNUMBER($AV788),$AV788/100,"")</f>
        <v/>
      </c>
      <c r="DB788" s="82">
        <f>IF(ISNUMBER($AW788),$AW788/100,"")</f>
        <v/>
      </c>
      <c r="DC788" s="82">
        <f>IF(ISNUMBER($AX788),$AX788/100,"")</f>
        <v/>
      </c>
      <c r="DD788" s="77">
        <f>IFERROR(VALUE(LEFT(TRIM($AO788&amp;""),4)),"")</f>
        <v/>
      </c>
      <c r="DE788" s="78">
        <f>IF(AND($BY788=1,$BX788=1,OR(fDeal="All Deals",$BU788=fDeal),OR(fEntity="All Entities",$BV788=fEntity),OR(fPType="All Property Types",$BZ788=fPType),OR(fDefeased="Include",$CJ788=0)),1,0)</f>
        <v/>
      </c>
      <c r="DF788" s="83">
        <f>$DE788*N($I788)</f>
        <v/>
      </c>
      <c r="DG788" s="78">
        <f>IF($DE788=1,IF(COUNTIFS($F$8:$F788,$F788,$DE$8:$DE788,1)=1,1,0),0)</f>
        <v/>
      </c>
      <c r="DH788" s="83">
        <f>IF($DG788=1,SUMIFS($DF$8:$DF$1600,$F$8:$F$1600,$F788),0)</f>
        <v/>
      </c>
      <c r="DI788" s="78">
        <f>IF($DG788=1,COUNTIFS($F$8:$F$1600,$F788,$DE$8:$DE$1600,1),0)</f>
        <v/>
      </c>
      <c r="DJ788" s="84">
        <f>IF($DG788=1,$DH788+(100000-ROW())/mTieBreak,0)</f>
        <v/>
      </c>
    </row>
    <row r="789">
      <c r="B789" s="68" t="n">
        <v>19</v>
      </c>
      <c r="C789" s="69" t="inlineStr">
        <is>
          <t>BCMK18B3</t>
        </is>
      </c>
      <c r="D789" s="69" t="inlineStr">
        <is>
          <t>19.000</t>
        </is>
      </c>
      <c r="E789" s="69" t="inlineStr">
        <is>
          <t>Dellagio Town Center</t>
        </is>
      </c>
      <c r="F789" s="69" t="inlineStr">
        <is>
          <t>LNBCMK18B3-19.000</t>
        </is>
      </c>
      <c r="G789" s="70" t="n"/>
      <c r="H789" s="71" t="n">
        <v>28000000</v>
      </c>
      <c r="I789" s="71" t="n">
        <v>25091287.019988</v>
      </c>
      <c r="J789" s="72" t="n">
        <v>4.98</v>
      </c>
      <c r="K789" s="69" t="inlineStr">
        <is>
          <t>Fixed rate</t>
        </is>
      </c>
      <c r="L789" s="68" t="n">
        <v>120</v>
      </c>
      <c r="M789" s="68" t="n">
        <v>19</v>
      </c>
      <c r="N789" s="68" t="n">
        <v>384</v>
      </c>
      <c r="O789" s="68" t="n">
        <v>24</v>
      </c>
      <c r="P789" s="68" t="n">
        <v>0</v>
      </c>
      <c r="Q789" s="68" t="n">
        <v>101</v>
      </c>
      <c r="R789" s="69" t="inlineStr">
        <is>
          <t>IO then Amort</t>
        </is>
      </c>
      <c r="S789" s="69" t="inlineStr">
        <is>
          <t>No</t>
        </is>
      </c>
      <c r="T789" s="73" t="n">
        <v>43191</v>
      </c>
      <c r="U789" s="73" t="n">
        <v>46849</v>
      </c>
      <c r="V789" s="73" t="n"/>
      <c r="W789" s="69" t="n"/>
      <c r="X789" s="69" t="inlineStr">
        <is>
          <t>Current</t>
        </is>
      </c>
      <c r="Y789" s="68" t="n"/>
      <c r="Z789" s="69" t="inlineStr">
        <is>
          <t>Full Defeasance</t>
        </is>
      </c>
      <c r="AA789" s="69" t="inlineStr">
        <is>
          <t>Previously</t>
        </is>
      </c>
      <c r="AB789" s="69" t="inlineStr">
        <is>
          <t>Returned to master serv</t>
        </is>
      </c>
      <c r="AC789" s="73" t="n"/>
      <c r="AD789" s="69" t="inlineStr">
        <is>
          <t>Other</t>
        </is>
      </c>
      <c r="AE789" s="69" t="inlineStr">
        <is>
          <t>Resolved</t>
        </is>
      </c>
      <c r="AF789" s="69" t="inlineStr">
        <is>
          <t>FL</t>
        </is>
      </c>
      <c r="AG789" s="69" t="inlineStr">
        <is>
          <t>Orlando</t>
        </is>
      </c>
      <c r="AH789" s="69" t="inlineStr">
        <is>
          <t>Orlando-Kissimmee-Sanford, FL</t>
        </is>
      </c>
      <c r="AI789" s="69" t="inlineStr">
        <is>
          <t>South / Atlantic</t>
        </is>
      </c>
      <c r="AJ789" s="69" t="inlineStr">
        <is>
          <t>RT</t>
        </is>
      </c>
      <c r="AK789" s="69" t="inlineStr">
        <is>
          <t>Unanchored</t>
        </is>
      </c>
      <c r="AL789" s="68" t="n">
        <v>1</v>
      </c>
      <c r="AM789" s="68" t="n"/>
      <c r="AN789" s="68" t="n">
        <v>109890</v>
      </c>
      <c r="AO789" s="69" t="inlineStr">
        <is>
          <t>2009</t>
        </is>
      </c>
      <c r="AP789" s="70" t="n">
        <v>2009</v>
      </c>
      <c r="AQ789" s="74" t="n">
        <v>1.47</v>
      </c>
      <c r="AR789" s="74" t="n">
        <v>1.42</v>
      </c>
      <c r="AS789" s="74" t="n">
        <v>69.83</v>
      </c>
      <c r="AT789" s="74" t="n">
        <v>71.69</v>
      </c>
      <c r="AU789" s="74" t="n">
        <v>60.39</v>
      </c>
      <c r="AV789" s="74" t="n">
        <v>9.442588357</v>
      </c>
      <c r="AW789" s="74" t="n">
        <v>11.870588653</v>
      </c>
      <c r="AX789" s="75" t="n">
        <v>100</v>
      </c>
      <c r="AY789" s="71" t="n">
        <v>40100000</v>
      </c>
      <c r="AZ789" s="71" t="n">
        <v>35000000</v>
      </c>
      <c r="BA789" s="71" t="n">
        <v>2643924.74</v>
      </c>
      <c r="BB789" s="71" t="n">
        <v>2551493.07</v>
      </c>
      <c r="BC789" s="69" t="inlineStr">
        <is>
          <t>Acquisition</t>
        </is>
      </c>
      <c r="BD789" s="69" t="inlineStr">
        <is>
          <t>N</t>
        </is>
      </c>
      <c r="BE789" s="71" t="n"/>
      <c r="BF789" s="71" t="n"/>
      <c r="BG789" s="71" t="n">
        <v>5000000</v>
      </c>
      <c r="BH789" s="71" t="n">
        <v>0</v>
      </c>
      <c r="BI789" s="71" t="n">
        <v>0</v>
      </c>
      <c r="BJ789" s="69" t="inlineStr">
        <is>
          <t>Y</t>
        </is>
      </c>
      <c r="BK789" s="69" t="inlineStr">
        <is>
          <t>Flemings SteakHouse &amp; Wine Bar</t>
        </is>
      </c>
      <c r="BL789" s="75" t="n">
        <v>7.28</v>
      </c>
      <c r="BM789" s="73" t="n">
        <v>47330</v>
      </c>
      <c r="BN789" s="69" t="inlineStr">
        <is>
          <t>Joseph C. LeBas, Jr., Maynard Allen Hatfield and Concorde Group Holdings LLC</t>
        </is>
      </c>
      <c r="BO789" s="69" t="inlineStr">
        <is>
          <t>Citigroup Global Markets</t>
        </is>
      </c>
      <c r="BP789" s="69" t="inlineStr">
        <is>
          <t>Midland Loan Services</t>
        </is>
      </c>
      <c r="BQ789" s="69" t="inlineStr">
        <is>
          <t>K-Star Asset Management LLC</t>
        </is>
      </c>
      <c r="BR789" s="69" t="n"/>
      <c r="BS789" s="73" t="n">
        <v>46273</v>
      </c>
      <c r="BU789" s="76">
        <f>IF($C789="","",IFERROR(INDEX(dmName,MATCH($C789,dmID,0)),"Unmapped"))</f>
        <v/>
      </c>
      <c r="BV789" s="76">
        <f>IF($C789="","",IFERROR(INDEX(dmEntity,MATCH($C789,dmID,0)),"Unmapped"))</f>
        <v/>
      </c>
      <c r="BW789" s="77">
        <f>IF($C789="","",IFERROR(INDEX(dmVintage,MATCH($C789,dmID,0)),""))</f>
        <v/>
      </c>
      <c r="BX789" s="78">
        <f>IFERROR(INDEX(dmInclude,MATCH($C789,dmID,0)),0)</f>
        <v/>
      </c>
      <c r="BY789" s="78">
        <f>IF(N($I789)&gt;0,1,0)</f>
        <v/>
      </c>
      <c r="BZ789" s="76">
        <f>IF($AJ789="","Other / Leased Fee",IFERROR(INDEX(mapPTGroup,MATCH(LEFT(TRIM($AJ789),2),mapPTCode,0)),"Other / Leased Fee"))</f>
        <v/>
      </c>
      <c r="CA789" s="76">
        <f>IF(TRIM($AF789&amp;"")="","NR",LEFT(TRIM($AF789),2))</f>
        <v/>
      </c>
      <c r="CB789" s="76">
        <f>IFERROR(LOOKUP(2,1/(LEFT(TRIM($AI789&amp;""),LEN(mapRegion))=mapRegion),mapRegion),"Not Reported")</f>
        <v/>
      </c>
      <c r="CC789" s="76">
        <f>IF($BY789=0,"",IF(TRIM($W789&amp;"")="REO","REO",IF(TRIM($W789&amp;"")="FC","Foreclosure",IF(TRIM($W789&amp;"")="90+","90+ Days Delinquent",IF(TRIM($W789&amp;"")="60","60 Days Delinquent",IF(TRIM($W789&amp;"")="30","30 Days Delinquent",IF($X789="Non-Performing Matured Balloon","Non-Performing Matured Balloon",IF(OR($X789="Late Payment But Less Than 30 Days Delinquent",LEFT($X789&amp;"",20)="Payment Not Received"),"Late / In Grace (&lt;30 Days)",IF($X789="Performing Matured Balloon","Performing Matured Balloon","Current")))))))))</f>
        <v/>
      </c>
      <c r="CD789" s="78">
        <f>IF(OR($CC789="REO",$CC789="Foreclosure",$CC789="90+ Days Delinquent",$CC789="60 Days Delinquent",$CC789="30 Days Delinquent",$CC789="Non-Performing Matured Balloon"),1,0)</f>
        <v/>
      </c>
      <c r="CE789" s="76">
        <f>IF($AB789="Currently special serv","Currently Specially Serviced",IF($AB789="Returned to master serv","Previously Specially Serviced","Never Specially Serviced"))</f>
        <v/>
      </c>
      <c r="CF789" s="78">
        <f>IF($CE789="Currently Specially Serviced",1,0)</f>
        <v/>
      </c>
      <c r="CG789" s="76">
        <f>IF($AA789="Yes","Currently on Watchlist",IF($AA789="Previously","Previously on Watchlist","Never on Watchlist"))</f>
        <v/>
      </c>
      <c r="CH789" s="78">
        <f>IF($CG789="Currently on Watchlist",1,0)</f>
        <v/>
      </c>
      <c r="CI789" s="76">
        <f>IF($Z789="Full Defeasance","Fully Defeased",IF($Z789="Portion Of Loan Previously Defeased","Partially Defeased",IF($Z789="Defeasance Not Allowable","Not Defeased (Not Permitted)","Not Defeased")))</f>
        <v/>
      </c>
      <c r="CJ789" s="78">
        <f>IF($CI789="Fully Defeased",1,0)</f>
        <v/>
      </c>
      <c r="CK789" s="76">
        <f>IF($R789="IO","Full IO",IF(LEFT($R789&amp;"",7)="IO then","Partial IO","Amortizing"))</f>
        <v/>
      </c>
      <c r="CL789" s="78">
        <f>IF($CK789="Full IO",1,0)</f>
        <v/>
      </c>
      <c r="CM789" s="78">
        <f>IF($CK789="Partial IO",1,0)</f>
        <v/>
      </c>
      <c r="CN789" s="76">
        <f>IF(LEFT($F789&amp;"",10)="SPLIT_LOAN","Pari Passu Split","Standalone")</f>
        <v/>
      </c>
      <c r="CO789" s="78">
        <f>IF($CN789="Pari Passu Split",1,0)</f>
        <v/>
      </c>
      <c r="CP789" s="77">
        <f>IF(ISNUMBER($T789),YEAR($T789),"")</f>
        <v/>
      </c>
      <c r="CQ789" s="79">
        <f>IF(ISNUMBER($V789),$V789,IF(ISNUMBER($U789),$U789,""))</f>
        <v/>
      </c>
      <c r="CR789" s="77">
        <f>IF(ISNUMBER($CQ789),YEAR($CQ789),"")</f>
        <v/>
      </c>
      <c r="CS789" s="78">
        <f>IF(ISNUMBER($M789),MAX(0,$M789),IF(TRIM($M789&amp;"")="matured",0,""))</f>
        <v/>
      </c>
      <c r="CT789" s="78">
        <f>IF(AND(ISNUMBER($CS789),N($CS789)&lt;=mMatWindow),1,0)</f>
        <v/>
      </c>
      <c r="CU789" s="80">
        <f>IF(ISNUMBER($J789),$J789/100,"")</f>
        <v/>
      </c>
      <c r="CV789" s="81">
        <f>IF(ISNUMBER($AQ789),$AQ789,"")</f>
        <v/>
      </c>
      <c r="CW789" s="81">
        <f>IF(ISNUMBER($AR789),$AR789,"")</f>
        <v/>
      </c>
      <c r="CX789" s="82">
        <f>IF(ISNUMBER($AS789),$AS789/100,"")</f>
        <v/>
      </c>
      <c r="CY789" s="82">
        <f>IF(ISNUMBER($AT789),$AT789/100,"")</f>
        <v/>
      </c>
      <c r="CZ789" s="82">
        <f>IF(ISNUMBER($AU789),$AU789/100,"")</f>
        <v/>
      </c>
      <c r="DA789" s="82">
        <f>IF(ISNUMBER($AV789),$AV789/100,"")</f>
        <v/>
      </c>
      <c r="DB789" s="82">
        <f>IF(ISNUMBER($AW789),$AW789/100,"")</f>
        <v/>
      </c>
      <c r="DC789" s="82">
        <f>IF(ISNUMBER($AX789),$AX789/100,"")</f>
        <v/>
      </c>
      <c r="DD789" s="77">
        <f>IFERROR(VALUE(LEFT(TRIM($AO789&amp;""),4)),"")</f>
        <v/>
      </c>
      <c r="DE789" s="78">
        <f>IF(AND($BY789=1,$BX789=1,OR(fDeal="All Deals",$BU789=fDeal),OR(fEntity="All Entities",$BV789=fEntity),OR(fPType="All Property Types",$BZ789=fPType),OR(fDefeased="Include",$CJ789=0)),1,0)</f>
        <v/>
      </c>
      <c r="DF789" s="83">
        <f>$DE789*N($I789)</f>
        <v/>
      </c>
      <c r="DG789" s="78">
        <f>IF($DE789=1,IF(COUNTIFS($F$8:$F789,$F789,$DE$8:$DE789,1)=1,1,0),0)</f>
        <v/>
      </c>
      <c r="DH789" s="83">
        <f>IF($DG789=1,SUMIFS($DF$8:$DF$1600,$F$8:$F$1600,$F789),0)</f>
        <v/>
      </c>
      <c r="DI789" s="78">
        <f>IF($DG789=1,COUNTIFS($F$8:$F$1600,$F789,$DE$8:$DE$1600,1),0)</f>
        <v/>
      </c>
      <c r="DJ789" s="84">
        <f>IF($DG789=1,$DH789+(100000-ROW())/mTieBreak,0)</f>
        <v/>
      </c>
    </row>
    <row r="790">
      <c r="B790" s="68" t="n">
        <v>20</v>
      </c>
      <c r="C790" s="69" t="inlineStr">
        <is>
          <t>BCMK18B3</t>
        </is>
      </c>
      <c r="D790" s="69" t="inlineStr">
        <is>
          <t>20.000</t>
        </is>
      </c>
      <c r="E790" s="69" t="inlineStr">
        <is>
          <t>Mesquite Terraces</t>
        </is>
      </c>
      <c r="F790" s="69" t="inlineStr">
        <is>
          <t>LNBCMK18B3-20.000</t>
        </is>
      </c>
      <c r="G790" s="70" t="n"/>
      <c r="H790" s="71" t="n">
        <v>25550000</v>
      </c>
      <c r="I790" s="71" t="n">
        <v>0</v>
      </c>
      <c r="J790" s="72" t="n">
        <v>4.832</v>
      </c>
      <c r="K790" s="69" t="inlineStr">
        <is>
          <t>Fixed rate</t>
        </is>
      </c>
      <c r="L790" s="68" t="n">
        <v>60</v>
      </c>
      <c r="M790" s="68" t="n"/>
      <c r="N790" s="68" t="n">
        <v>384</v>
      </c>
      <c r="O790" s="68" t="n">
        <v>24</v>
      </c>
      <c r="P790" s="68" t="n"/>
      <c r="Q790" s="68" t="n"/>
      <c r="R790" s="69" t="inlineStr">
        <is>
          <t>IO then Amort</t>
        </is>
      </c>
      <c r="S790" s="69" t="inlineStr">
        <is>
          <t>No</t>
        </is>
      </c>
      <c r="T790" s="73" t="n">
        <v>43132</v>
      </c>
      <c r="U790" s="73" t="n">
        <v>44958</v>
      </c>
      <c r="V790" s="73" t="n"/>
      <c r="W790" s="69" t="n"/>
      <c r="X790" s="69" t="inlineStr">
        <is>
          <t>Current</t>
        </is>
      </c>
      <c r="Y790" s="68" t="n"/>
      <c r="Z790" s="69" t="inlineStr">
        <is>
          <t>Defeasance Not Allowable</t>
        </is>
      </c>
      <c r="AA790" s="69" t="inlineStr">
        <is>
          <t>Previously</t>
        </is>
      </c>
      <c r="AB790" s="69" t="inlineStr">
        <is>
          <t>Never special serv</t>
        </is>
      </c>
      <c r="AC790" s="73" t="n"/>
      <c r="AD790" s="69" t="n"/>
      <c r="AE790" s="69" t="n"/>
      <c r="AF790" s="69" t="inlineStr">
        <is>
          <t>TX</t>
        </is>
      </c>
      <c r="AG790" s="69" t="inlineStr">
        <is>
          <t>Midland</t>
        </is>
      </c>
      <c r="AH790" s="69" t="inlineStr">
        <is>
          <t>Midland, TX</t>
        </is>
      </c>
      <c r="AI790" s="69" t="inlineStr">
        <is>
          <t>South / Central West</t>
        </is>
      </c>
      <c r="AJ790" s="69" t="inlineStr">
        <is>
          <t>MF</t>
        </is>
      </c>
      <c r="AK790" s="69" t="inlineStr">
        <is>
          <t>Garden</t>
        </is>
      </c>
      <c r="AL790" s="68" t="n">
        <v>1</v>
      </c>
      <c r="AM790" s="68" t="n">
        <v>288</v>
      </c>
      <c r="AN790" s="68" t="n"/>
      <c r="AO790" s="69" t="inlineStr">
        <is>
          <t>2014-2015</t>
        </is>
      </c>
      <c r="AP790" s="70" t="n">
        <v>2015</v>
      </c>
      <c r="AQ790" s="74" t="n">
        <v>1.58</v>
      </c>
      <c r="AR790" s="74" t="n">
        <v>1.73</v>
      </c>
      <c r="AS790" s="74" t="n">
        <v>66.90000000000001</v>
      </c>
      <c r="AT790" s="74" t="n"/>
      <c r="AU790" s="74" t="n">
        <v>63.8</v>
      </c>
      <c r="AV790" s="74" t="n">
        <v>9.962176124999999</v>
      </c>
      <c r="AW790" s="74" t="n"/>
      <c r="AX790" s="75" t="n">
        <v>89</v>
      </c>
      <c r="AY790" s="71" t="n">
        <v>38190000</v>
      </c>
      <c r="AZ790" s="71" t="n">
        <v>38190000</v>
      </c>
      <c r="BA790" s="71" t="n">
        <v>2545336</v>
      </c>
      <c r="BB790" s="71" t="n">
        <v>2786832.52</v>
      </c>
      <c r="BC790" s="69" t="inlineStr">
        <is>
          <t>Acquisition</t>
        </is>
      </c>
      <c r="BD790" s="69" t="inlineStr">
        <is>
          <t>N</t>
        </is>
      </c>
      <c r="BE790" s="71" t="n"/>
      <c r="BF790" s="71" t="n"/>
      <c r="BG790" s="71" t="n"/>
      <c r="BH790" s="71" t="n">
        <v>0</v>
      </c>
      <c r="BI790" s="71" t="n">
        <v>0</v>
      </c>
      <c r="BJ790" s="69" t="inlineStr">
        <is>
          <t>N</t>
        </is>
      </c>
      <c r="BK790" s="69" t="n"/>
      <c r="BL790" s="75" t="n"/>
      <c r="BM790" s="73" t="n"/>
      <c r="BN790" s="69" t="inlineStr">
        <is>
          <t>Adam Jacobson, JB Howell Enterprise, Robert Blau and RABCO Asset Management</t>
        </is>
      </c>
      <c r="BO790" s="69" t="inlineStr">
        <is>
          <t>JPMorgan Chase</t>
        </is>
      </c>
      <c r="BP790" s="69" t="inlineStr">
        <is>
          <t>Midland Loan Services</t>
        </is>
      </c>
      <c r="BQ790" s="69" t="inlineStr">
        <is>
          <t>Midland Loan Services</t>
        </is>
      </c>
      <c r="BR790" s="69" t="inlineStr">
        <is>
          <t>Payoff Prior To Maturity</t>
        </is>
      </c>
      <c r="BS790" s="73" t="n">
        <v>44901</v>
      </c>
      <c r="BU790" s="76">
        <f>IF($C790="","",IFERROR(INDEX(dmName,MATCH($C790,dmID,0)),"Unmapped"))</f>
        <v/>
      </c>
      <c r="BV790" s="76">
        <f>IF($C790="","",IFERROR(INDEX(dmEntity,MATCH($C790,dmID,0)),"Unmapped"))</f>
        <v/>
      </c>
      <c r="BW790" s="77">
        <f>IF($C790="","",IFERROR(INDEX(dmVintage,MATCH($C790,dmID,0)),""))</f>
        <v/>
      </c>
      <c r="BX790" s="78">
        <f>IFERROR(INDEX(dmInclude,MATCH($C790,dmID,0)),0)</f>
        <v/>
      </c>
      <c r="BY790" s="78">
        <f>IF(N($I790)&gt;0,1,0)</f>
        <v/>
      </c>
      <c r="BZ790" s="76">
        <f>IF($AJ790="","Other / Leased Fee",IFERROR(INDEX(mapPTGroup,MATCH(LEFT(TRIM($AJ790),2),mapPTCode,0)),"Other / Leased Fee"))</f>
        <v/>
      </c>
      <c r="CA790" s="76">
        <f>IF(TRIM($AF790&amp;"")="","NR",LEFT(TRIM($AF790),2))</f>
        <v/>
      </c>
      <c r="CB790" s="76">
        <f>IFERROR(LOOKUP(2,1/(LEFT(TRIM($AI790&amp;""),LEN(mapRegion))=mapRegion),mapRegion),"Not Reported")</f>
        <v/>
      </c>
      <c r="CC790" s="76">
        <f>IF($BY790=0,"",IF(TRIM($W790&amp;"")="REO","REO",IF(TRIM($W790&amp;"")="FC","Foreclosure",IF(TRIM($W790&amp;"")="90+","90+ Days Delinquent",IF(TRIM($W790&amp;"")="60","60 Days Delinquent",IF(TRIM($W790&amp;"")="30","30 Days Delinquent",IF($X790="Non-Performing Matured Balloon","Non-Performing Matured Balloon",IF(OR($X790="Late Payment But Less Than 30 Days Delinquent",LEFT($X790&amp;"",20)="Payment Not Received"),"Late / In Grace (&lt;30 Days)",IF($X790="Performing Matured Balloon","Performing Matured Balloon","Current")))))))))</f>
        <v/>
      </c>
      <c r="CD790" s="78">
        <f>IF(OR($CC790="REO",$CC790="Foreclosure",$CC790="90+ Days Delinquent",$CC790="60 Days Delinquent",$CC790="30 Days Delinquent",$CC790="Non-Performing Matured Balloon"),1,0)</f>
        <v/>
      </c>
      <c r="CE790" s="76">
        <f>IF($AB790="Currently special serv","Currently Specially Serviced",IF($AB790="Returned to master serv","Previously Specially Serviced","Never Specially Serviced"))</f>
        <v/>
      </c>
      <c r="CF790" s="78">
        <f>IF($CE790="Currently Specially Serviced",1,0)</f>
        <v/>
      </c>
      <c r="CG790" s="76">
        <f>IF($AA790="Yes","Currently on Watchlist",IF($AA790="Previously","Previously on Watchlist","Never on Watchlist"))</f>
        <v/>
      </c>
      <c r="CH790" s="78">
        <f>IF($CG790="Currently on Watchlist",1,0)</f>
        <v/>
      </c>
      <c r="CI790" s="76">
        <f>IF($Z790="Full Defeasance","Fully Defeased",IF($Z790="Portion Of Loan Previously Defeased","Partially Defeased",IF($Z790="Defeasance Not Allowable","Not Defeased (Not Permitted)","Not Defeased")))</f>
        <v/>
      </c>
      <c r="CJ790" s="78">
        <f>IF($CI790="Fully Defeased",1,0)</f>
        <v/>
      </c>
      <c r="CK790" s="76">
        <f>IF($R790="IO","Full IO",IF(LEFT($R790&amp;"",7)="IO then","Partial IO","Amortizing"))</f>
        <v/>
      </c>
      <c r="CL790" s="78">
        <f>IF($CK790="Full IO",1,0)</f>
        <v/>
      </c>
      <c r="CM790" s="78">
        <f>IF($CK790="Partial IO",1,0)</f>
        <v/>
      </c>
      <c r="CN790" s="76">
        <f>IF(LEFT($F790&amp;"",10)="SPLIT_LOAN","Pari Passu Split","Standalone")</f>
        <v/>
      </c>
      <c r="CO790" s="78">
        <f>IF($CN790="Pari Passu Split",1,0)</f>
        <v/>
      </c>
      <c r="CP790" s="77">
        <f>IF(ISNUMBER($T790),YEAR($T790),"")</f>
        <v/>
      </c>
      <c r="CQ790" s="79">
        <f>IF(ISNUMBER($V790),$V790,IF(ISNUMBER($U790),$U790,""))</f>
        <v/>
      </c>
      <c r="CR790" s="77">
        <f>IF(ISNUMBER($CQ790),YEAR($CQ790),"")</f>
        <v/>
      </c>
      <c r="CS790" s="78">
        <f>IF(ISNUMBER($M790),MAX(0,$M790),IF(TRIM($M790&amp;"")="matured",0,""))</f>
        <v/>
      </c>
      <c r="CT790" s="78">
        <f>IF(AND(ISNUMBER($CS790),N($CS790)&lt;=mMatWindow),1,0)</f>
        <v/>
      </c>
      <c r="CU790" s="80">
        <f>IF(ISNUMBER($J790),$J790/100,"")</f>
        <v/>
      </c>
      <c r="CV790" s="81">
        <f>IF(ISNUMBER($AQ790),$AQ790,"")</f>
        <v/>
      </c>
      <c r="CW790" s="81">
        <f>IF(ISNUMBER($AR790),$AR790,"")</f>
        <v/>
      </c>
      <c r="CX790" s="82">
        <f>IF(ISNUMBER($AS790),$AS790/100,"")</f>
        <v/>
      </c>
      <c r="CY790" s="82">
        <f>IF(ISNUMBER($AT790),$AT790/100,"")</f>
        <v/>
      </c>
      <c r="CZ790" s="82">
        <f>IF(ISNUMBER($AU790),$AU790/100,"")</f>
        <v/>
      </c>
      <c r="DA790" s="82">
        <f>IF(ISNUMBER($AV790),$AV790/100,"")</f>
        <v/>
      </c>
      <c r="DB790" s="82">
        <f>IF(ISNUMBER($AW790),$AW790/100,"")</f>
        <v/>
      </c>
      <c r="DC790" s="82">
        <f>IF(ISNUMBER($AX790),$AX790/100,"")</f>
        <v/>
      </c>
      <c r="DD790" s="77">
        <f>IFERROR(VALUE(LEFT(TRIM($AO790&amp;""),4)),"")</f>
        <v/>
      </c>
      <c r="DE790" s="78">
        <f>IF(AND($BY790=1,$BX790=1,OR(fDeal="All Deals",$BU790=fDeal),OR(fEntity="All Entities",$BV790=fEntity),OR(fPType="All Property Types",$BZ790=fPType),OR(fDefeased="Include",$CJ790=0)),1,0)</f>
        <v/>
      </c>
      <c r="DF790" s="83">
        <f>$DE790*N($I790)</f>
        <v/>
      </c>
      <c r="DG790" s="78">
        <f>IF($DE790=1,IF(COUNTIFS($F$8:$F790,$F790,$DE$8:$DE790,1)=1,1,0),0)</f>
        <v/>
      </c>
      <c r="DH790" s="83">
        <f>IF($DG790=1,SUMIFS($DF$8:$DF$1600,$F$8:$F$1600,$F790),0)</f>
        <v/>
      </c>
      <c r="DI790" s="78">
        <f>IF($DG790=1,COUNTIFS($F$8:$F$1600,$F790,$DE$8:$DE$1600,1),0)</f>
        <v/>
      </c>
      <c r="DJ790" s="84">
        <f>IF($DG790=1,$DH790+(100000-ROW())/mTieBreak,0)</f>
        <v/>
      </c>
    </row>
    <row r="791">
      <c r="B791" s="68" t="n">
        <v>21</v>
      </c>
      <c r="C791" s="69" t="inlineStr">
        <is>
          <t>BCMK18B3</t>
        </is>
      </c>
      <c r="D791" s="69" t="inlineStr">
        <is>
          <t>21.000</t>
        </is>
      </c>
      <c r="E791" s="69" t="inlineStr">
        <is>
          <t>HIP Brooklyn</t>
        </is>
      </c>
      <c r="F791" s="69" t="inlineStr">
        <is>
          <t>LNBCMK18B3-21.000</t>
        </is>
      </c>
      <c r="G791" s="70" t="n"/>
      <c r="H791" s="71" t="n">
        <v>25000000</v>
      </c>
      <c r="I791" s="71" t="n">
        <v>22885699.2</v>
      </c>
      <c r="J791" s="72" t="n">
        <v>5.251</v>
      </c>
      <c r="K791" s="69" t="inlineStr">
        <is>
          <t>Fixed rate</t>
        </is>
      </c>
      <c r="L791" s="68" t="n">
        <v>120</v>
      </c>
      <c r="M791" s="68" t="n">
        <v>17</v>
      </c>
      <c r="N791" s="68" t="n">
        <v>396</v>
      </c>
      <c r="O791" s="68" t="n">
        <v>36</v>
      </c>
      <c r="P791" s="68" t="n">
        <v>0</v>
      </c>
      <c r="Q791" s="68" t="n">
        <v>103</v>
      </c>
      <c r="R791" s="69" t="inlineStr">
        <is>
          <t>IO then Amort</t>
        </is>
      </c>
      <c r="S791" s="69" t="inlineStr">
        <is>
          <t>No</t>
        </is>
      </c>
      <c r="T791" s="73" t="n">
        <v>43132</v>
      </c>
      <c r="U791" s="73" t="n">
        <v>46784</v>
      </c>
      <c r="V791" s="73" t="n"/>
      <c r="W791" s="69" t="n"/>
      <c r="X791" s="69" t="inlineStr">
        <is>
          <t>Current</t>
        </is>
      </c>
      <c r="Y791" s="68" t="n"/>
      <c r="Z791" s="69" t="inlineStr">
        <is>
          <t>No Defeasance Occurred</t>
        </is>
      </c>
      <c r="AA791" s="69" t="inlineStr">
        <is>
          <t>Previously</t>
        </is>
      </c>
      <c r="AB791" s="69" t="inlineStr">
        <is>
          <t>Never special serv</t>
        </is>
      </c>
      <c r="AC791" s="73" t="n"/>
      <c r="AD791" s="69" t="n"/>
      <c r="AE791" s="69" t="n"/>
      <c r="AF791" s="69" t="inlineStr">
        <is>
          <t>NY</t>
        </is>
      </c>
      <c r="AG791" s="69" t="inlineStr">
        <is>
          <t>New York</t>
        </is>
      </c>
      <c r="AH791" s="69" t="inlineStr">
        <is>
          <t>New York-Newark-Jersey City, NY-NJ</t>
        </is>
      </c>
      <c r="AI791" s="69" t="inlineStr">
        <is>
          <t>Northeast / Mid-Atlantic</t>
        </is>
      </c>
      <c r="AJ791" s="69" t="inlineStr">
        <is>
          <t>OF</t>
        </is>
      </c>
      <c r="AK791" s="69" t="inlineStr">
        <is>
          <t>Medical</t>
        </is>
      </c>
      <c r="AL791" s="68" t="n">
        <v>1</v>
      </c>
      <c r="AM791" s="68" t="n"/>
      <c r="AN791" s="68" t="n">
        <v>47265</v>
      </c>
      <c r="AO791" s="69" t="inlineStr">
        <is>
          <t>2007</t>
        </is>
      </c>
      <c r="AP791" s="70" t="n">
        <v>2014</v>
      </c>
      <c r="AQ791" s="74" t="n">
        <v>1.48</v>
      </c>
      <c r="AR791" s="74" t="n">
        <v>1.93</v>
      </c>
      <c r="AS791" s="74" t="n">
        <v>45.5</v>
      </c>
      <c r="AT791" s="74" t="n">
        <v>41.61</v>
      </c>
      <c r="AU791" s="74" t="n">
        <v>40.4</v>
      </c>
      <c r="AV791" s="74" t="n">
        <v>9.807706</v>
      </c>
      <c r="AW791" s="74" t="n">
        <v>13.656949052</v>
      </c>
      <c r="AX791" s="75" t="n">
        <v>100</v>
      </c>
      <c r="AY791" s="71" t="n">
        <v>55000000</v>
      </c>
      <c r="AZ791" s="71" t="n">
        <v>55000000</v>
      </c>
      <c r="BA791" s="71" t="n">
        <v>2451926.5</v>
      </c>
      <c r="BB791" s="71" t="n">
        <v>3198870.4</v>
      </c>
      <c r="BC791" s="69" t="inlineStr">
        <is>
          <t>Refinance</t>
        </is>
      </c>
      <c r="BD791" s="69" t="inlineStr">
        <is>
          <t>N</t>
        </is>
      </c>
      <c r="BE791" s="71" t="n"/>
      <c r="BF791" s="71" t="n"/>
      <c r="BG791" s="71" t="n"/>
      <c r="BH791" s="71" t="n">
        <v>0</v>
      </c>
      <c r="BI791" s="71" t="n">
        <v>0</v>
      </c>
      <c r="BJ791" s="69" t="inlineStr">
        <is>
          <t>N</t>
        </is>
      </c>
      <c r="BK791" s="69" t="inlineStr">
        <is>
          <t>Health Insurance Plan of NY</t>
        </is>
      </c>
      <c r="BL791" s="75" t="n">
        <v>100</v>
      </c>
      <c r="BM791" s="73" t="n">
        <v>50374</v>
      </c>
      <c r="BN791" s="69" t="inlineStr">
        <is>
          <t>Brian Given, Jack Siegel and Robert Sass</t>
        </is>
      </c>
      <c r="BO791" s="69" t="inlineStr">
        <is>
          <t>GACC</t>
        </is>
      </c>
      <c r="BP791" s="69" t="inlineStr">
        <is>
          <t>Midland Loan Services</t>
        </is>
      </c>
      <c r="BQ791" s="69" t="inlineStr">
        <is>
          <t>K-Star Asset Management LLC</t>
        </is>
      </c>
      <c r="BR791" s="69" t="n"/>
      <c r="BS791" s="73" t="n">
        <v>46273</v>
      </c>
      <c r="BU791" s="76">
        <f>IF($C791="","",IFERROR(INDEX(dmName,MATCH($C791,dmID,0)),"Unmapped"))</f>
        <v/>
      </c>
      <c r="BV791" s="76">
        <f>IF($C791="","",IFERROR(INDEX(dmEntity,MATCH($C791,dmID,0)),"Unmapped"))</f>
        <v/>
      </c>
      <c r="BW791" s="77">
        <f>IF($C791="","",IFERROR(INDEX(dmVintage,MATCH($C791,dmID,0)),""))</f>
        <v/>
      </c>
      <c r="BX791" s="78">
        <f>IFERROR(INDEX(dmInclude,MATCH($C791,dmID,0)),0)</f>
        <v/>
      </c>
      <c r="BY791" s="78">
        <f>IF(N($I791)&gt;0,1,0)</f>
        <v/>
      </c>
      <c r="BZ791" s="76">
        <f>IF($AJ791="","Other / Leased Fee",IFERROR(INDEX(mapPTGroup,MATCH(LEFT(TRIM($AJ791),2),mapPTCode,0)),"Other / Leased Fee"))</f>
        <v/>
      </c>
      <c r="CA791" s="76">
        <f>IF(TRIM($AF791&amp;"")="","NR",LEFT(TRIM($AF791),2))</f>
        <v/>
      </c>
      <c r="CB791" s="76">
        <f>IFERROR(LOOKUP(2,1/(LEFT(TRIM($AI791&amp;""),LEN(mapRegion))=mapRegion),mapRegion),"Not Reported")</f>
        <v/>
      </c>
      <c r="CC791" s="76">
        <f>IF($BY791=0,"",IF(TRIM($W791&amp;"")="REO","REO",IF(TRIM($W791&amp;"")="FC","Foreclosure",IF(TRIM($W791&amp;"")="90+","90+ Days Delinquent",IF(TRIM($W791&amp;"")="60","60 Days Delinquent",IF(TRIM($W791&amp;"")="30","30 Days Delinquent",IF($X791="Non-Performing Matured Balloon","Non-Performing Matured Balloon",IF(OR($X791="Late Payment But Less Than 30 Days Delinquent",LEFT($X791&amp;"",20)="Payment Not Received"),"Late / In Grace (&lt;30 Days)",IF($X791="Performing Matured Balloon","Performing Matured Balloon","Current")))))))))</f>
        <v/>
      </c>
      <c r="CD791" s="78">
        <f>IF(OR($CC791="REO",$CC791="Foreclosure",$CC791="90+ Days Delinquent",$CC791="60 Days Delinquent",$CC791="30 Days Delinquent",$CC791="Non-Performing Matured Balloon"),1,0)</f>
        <v/>
      </c>
      <c r="CE791" s="76">
        <f>IF($AB791="Currently special serv","Currently Specially Serviced",IF($AB791="Returned to master serv","Previously Specially Serviced","Never Specially Serviced"))</f>
        <v/>
      </c>
      <c r="CF791" s="78">
        <f>IF($CE791="Currently Specially Serviced",1,0)</f>
        <v/>
      </c>
      <c r="CG791" s="76">
        <f>IF($AA791="Yes","Currently on Watchlist",IF($AA791="Previously","Previously on Watchlist","Never on Watchlist"))</f>
        <v/>
      </c>
      <c r="CH791" s="78">
        <f>IF($CG791="Currently on Watchlist",1,0)</f>
        <v/>
      </c>
      <c r="CI791" s="76">
        <f>IF($Z791="Full Defeasance","Fully Defeased",IF($Z791="Portion Of Loan Previously Defeased","Partially Defeased",IF($Z791="Defeasance Not Allowable","Not Defeased (Not Permitted)","Not Defeased")))</f>
        <v/>
      </c>
      <c r="CJ791" s="78">
        <f>IF($CI791="Fully Defeased",1,0)</f>
        <v/>
      </c>
      <c r="CK791" s="76">
        <f>IF($R791="IO","Full IO",IF(LEFT($R791&amp;"",7)="IO then","Partial IO","Amortizing"))</f>
        <v/>
      </c>
      <c r="CL791" s="78">
        <f>IF($CK791="Full IO",1,0)</f>
        <v/>
      </c>
      <c r="CM791" s="78">
        <f>IF($CK791="Partial IO",1,0)</f>
        <v/>
      </c>
      <c r="CN791" s="76">
        <f>IF(LEFT($F791&amp;"",10)="SPLIT_LOAN","Pari Passu Split","Standalone")</f>
        <v/>
      </c>
      <c r="CO791" s="78">
        <f>IF($CN791="Pari Passu Split",1,0)</f>
        <v/>
      </c>
      <c r="CP791" s="77">
        <f>IF(ISNUMBER($T791),YEAR($T791),"")</f>
        <v/>
      </c>
      <c r="CQ791" s="79">
        <f>IF(ISNUMBER($V791),$V791,IF(ISNUMBER($U791),$U791,""))</f>
        <v/>
      </c>
      <c r="CR791" s="77">
        <f>IF(ISNUMBER($CQ791),YEAR($CQ791),"")</f>
        <v/>
      </c>
      <c r="CS791" s="78">
        <f>IF(ISNUMBER($M791),MAX(0,$M791),IF(TRIM($M791&amp;"")="matured",0,""))</f>
        <v/>
      </c>
      <c r="CT791" s="78">
        <f>IF(AND(ISNUMBER($CS791),N($CS791)&lt;=mMatWindow),1,0)</f>
        <v/>
      </c>
      <c r="CU791" s="80">
        <f>IF(ISNUMBER($J791),$J791/100,"")</f>
        <v/>
      </c>
      <c r="CV791" s="81">
        <f>IF(ISNUMBER($AQ791),$AQ791,"")</f>
        <v/>
      </c>
      <c r="CW791" s="81">
        <f>IF(ISNUMBER($AR791),$AR791,"")</f>
        <v/>
      </c>
      <c r="CX791" s="82">
        <f>IF(ISNUMBER($AS791),$AS791/100,"")</f>
        <v/>
      </c>
      <c r="CY791" s="82">
        <f>IF(ISNUMBER($AT791),$AT791/100,"")</f>
        <v/>
      </c>
      <c r="CZ791" s="82">
        <f>IF(ISNUMBER($AU791),$AU791/100,"")</f>
        <v/>
      </c>
      <c r="DA791" s="82">
        <f>IF(ISNUMBER($AV791),$AV791/100,"")</f>
        <v/>
      </c>
      <c r="DB791" s="82">
        <f>IF(ISNUMBER($AW791),$AW791/100,"")</f>
        <v/>
      </c>
      <c r="DC791" s="82">
        <f>IF(ISNUMBER($AX791),$AX791/100,"")</f>
        <v/>
      </c>
      <c r="DD791" s="77">
        <f>IFERROR(VALUE(LEFT(TRIM($AO791&amp;""),4)),"")</f>
        <v/>
      </c>
      <c r="DE791" s="78">
        <f>IF(AND($BY791=1,$BX791=1,OR(fDeal="All Deals",$BU791=fDeal),OR(fEntity="All Entities",$BV791=fEntity),OR(fPType="All Property Types",$BZ791=fPType),OR(fDefeased="Include",$CJ791=0)),1,0)</f>
        <v/>
      </c>
      <c r="DF791" s="83">
        <f>$DE791*N($I791)</f>
        <v/>
      </c>
      <c r="DG791" s="78">
        <f>IF($DE791=1,IF(COUNTIFS($F$8:$F791,$F791,$DE$8:$DE791,1)=1,1,0),0)</f>
        <v/>
      </c>
      <c r="DH791" s="83">
        <f>IF($DG791=1,SUMIFS($DF$8:$DF$1600,$F$8:$F$1600,$F791),0)</f>
        <v/>
      </c>
      <c r="DI791" s="78">
        <f>IF($DG791=1,COUNTIFS($F$8:$F$1600,$F791,$DE$8:$DE$1600,1),0)</f>
        <v/>
      </c>
      <c r="DJ791" s="84">
        <f>IF($DG791=1,$DH791+(100000-ROW())/mTieBreak,0)</f>
        <v/>
      </c>
    </row>
    <row r="792">
      <c r="B792" s="68" t="n">
        <v>22</v>
      </c>
      <c r="C792" s="69" t="inlineStr">
        <is>
          <t>BCMK18B3</t>
        </is>
      </c>
      <c r="D792" s="69" t="inlineStr">
        <is>
          <t>22.000</t>
        </is>
      </c>
      <c r="E792" s="69" t="inlineStr">
        <is>
          <t>Oak Portfolio</t>
        </is>
      </c>
      <c r="F792" s="69" t="inlineStr">
        <is>
          <t>SPLIT_LOAN_01259</t>
        </is>
      </c>
      <c r="G792" s="70" t="n">
        <v>1259</v>
      </c>
      <c r="H792" s="71" t="n">
        <v>25000000</v>
      </c>
      <c r="I792" s="71" t="n">
        <v>21261689.06</v>
      </c>
      <c r="J792" s="72" t="n">
        <v>4.8</v>
      </c>
      <c r="K792" s="69" t="inlineStr">
        <is>
          <t>Fixed rate</t>
        </is>
      </c>
      <c r="L792" s="68" t="n">
        <v>120</v>
      </c>
      <c r="M792" s="68" t="n">
        <v>18</v>
      </c>
      <c r="N792" s="68" t="n">
        <v>360</v>
      </c>
      <c r="O792" s="68" t="n"/>
      <c r="P792" s="68" t="n"/>
      <c r="Q792" s="68" t="n">
        <v>102</v>
      </c>
      <c r="R792" s="69" t="n"/>
      <c r="S792" s="69" t="inlineStr">
        <is>
          <t>No</t>
        </is>
      </c>
      <c r="T792" s="73" t="n">
        <v>43160</v>
      </c>
      <c r="U792" s="73" t="n">
        <v>46818</v>
      </c>
      <c r="V792" s="73" t="n"/>
      <c r="W792" s="69" t="n"/>
      <c r="X792" s="69" t="inlineStr">
        <is>
          <t>Current</t>
        </is>
      </c>
      <c r="Y792" s="68" t="n"/>
      <c r="Z792" s="69" t="inlineStr">
        <is>
          <t>No Defeasance Occurred</t>
        </is>
      </c>
      <c r="AA792" s="69" t="inlineStr">
        <is>
          <t>Yes</t>
        </is>
      </c>
      <c r="AB792" s="69" t="inlineStr">
        <is>
          <t>Never special serv</t>
        </is>
      </c>
      <c r="AC792" s="73" t="n"/>
      <c r="AD792" s="69" t="n"/>
      <c r="AE792" s="69" t="n"/>
      <c r="AF792" s="69" t="inlineStr">
        <is>
          <t>IL-87.705547887% IN-12.294452113%</t>
        </is>
      </c>
      <c r="AG792" s="69" t="n"/>
      <c r="AH792" s="69" t="inlineStr">
        <is>
          <t>Chicago-Naperville-Elgin, IL-IN-87.705547887% Indianapolis-Carmel-Greenwood, IN-12.294452113%</t>
        </is>
      </c>
      <c r="AI792" s="69" t="inlineStr">
        <is>
          <t>Midwest / Central East</t>
        </is>
      </c>
      <c r="AJ792" s="69" t="inlineStr">
        <is>
          <t>OF</t>
        </is>
      </c>
      <c r="AK792" s="69" t="inlineStr">
        <is>
          <t>Suburban</t>
        </is>
      </c>
      <c r="AL792" s="68" t="n">
        <v>3</v>
      </c>
      <c r="AM792" s="68" t="n"/>
      <c r="AN792" s="68" t="n">
        <v>708252</v>
      </c>
      <c r="AO792" s="69" t="n"/>
      <c r="AP792" s="70" t="n">
        <v>2007</v>
      </c>
      <c r="AQ792" s="74" t="n">
        <v>1.75</v>
      </c>
      <c r="AR792" s="74" t="n">
        <v>0.97</v>
      </c>
      <c r="AS792" s="74" t="n">
        <v>70.22</v>
      </c>
      <c r="AT792" s="74" t="n">
        <v>59.79</v>
      </c>
      <c r="AU792" s="74" t="n">
        <v>57.43</v>
      </c>
      <c r="AV792" s="74" t="n">
        <v>11.018600227</v>
      </c>
      <c r="AW792" s="74" t="n">
        <v>1.552788044</v>
      </c>
      <c r="AX792" s="75" t="n">
        <v>80</v>
      </c>
      <c r="AY792" s="71" t="n">
        <v>57850000</v>
      </c>
      <c r="AZ792" s="71" t="n">
        <v>57850000</v>
      </c>
      <c r="BA792" s="71" t="n">
        <v>4481126.98</v>
      </c>
      <c r="BB792" s="71" t="n">
        <v>582467.8199999999</v>
      </c>
      <c r="BC792" s="69" t="inlineStr">
        <is>
          <t>Acquisition/Recapitalization</t>
        </is>
      </c>
      <c r="BD792" s="69" t="inlineStr">
        <is>
          <t>N</t>
        </is>
      </c>
      <c r="BE792" s="71" t="n">
        <v>13325763.62</v>
      </c>
      <c r="BF792" s="71" t="n"/>
      <c r="BG792" s="71" t="n"/>
      <c r="BH792" s="71" t="n">
        <v>0</v>
      </c>
      <c r="BI792" s="71" t="n">
        <v>0</v>
      </c>
      <c r="BJ792" s="69" t="inlineStr">
        <is>
          <t>N</t>
        </is>
      </c>
      <c r="BK792" s="69" t="inlineStr">
        <is>
          <t>Crash Champions LLC</t>
        </is>
      </c>
      <c r="BL792" s="75" t="n">
        <v>10.32</v>
      </c>
      <c r="BM792" s="73" t="n">
        <v>47269</v>
      </c>
      <c r="BN792" s="69" t="inlineStr">
        <is>
          <t>Raymond Massa</t>
        </is>
      </c>
      <c r="BO792" s="69" t="inlineStr">
        <is>
          <t>Citigroup Global Markets</t>
        </is>
      </c>
      <c r="BP792" s="69" t="inlineStr">
        <is>
          <t>Midland Loan Services</t>
        </is>
      </c>
      <c r="BQ792" s="69" t="inlineStr">
        <is>
          <t>K-Star Asset Management LLC</t>
        </is>
      </c>
      <c r="BR792" s="69" t="n"/>
      <c r="BS792" s="73" t="n">
        <v>46273</v>
      </c>
      <c r="BU792" s="76">
        <f>IF($C792="","",IFERROR(INDEX(dmName,MATCH($C792,dmID,0)),"Unmapped"))</f>
        <v/>
      </c>
      <c r="BV792" s="76">
        <f>IF($C792="","",IFERROR(INDEX(dmEntity,MATCH($C792,dmID,0)),"Unmapped"))</f>
        <v/>
      </c>
      <c r="BW792" s="77">
        <f>IF($C792="","",IFERROR(INDEX(dmVintage,MATCH($C792,dmID,0)),""))</f>
        <v/>
      </c>
      <c r="BX792" s="78">
        <f>IFERROR(INDEX(dmInclude,MATCH($C792,dmID,0)),0)</f>
        <v/>
      </c>
      <c r="BY792" s="78">
        <f>IF(N($I792)&gt;0,1,0)</f>
        <v/>
      </c>
      <c r="BZ792" s="76">
        <f>IF($AJ792="","Other / Leased Fee",IFERROR(INDEX(mapPTGroup,MATCH(LEFT(TRIM($AJ792),2),mapPTCode,0)),"Other / Leased Fee"))</f>
        <v/>
      </c>
      <c r="CA792" s="76">
        <f>IF(TRIM($AF792&amp;"")="","NR",LEFT(TRIM($AF792),2))</f>
        <v/>
      </c>
      <c r="CB792" s="76">
        <f>IFERROR(LOOKUP(2,1/(LEFT(TRIM($AI792&amp;""),LEN(mapRegion))=mapRegion),mapRegion),"Not Reported")</f>
        <v/>
      </c>
      <c r="CC792" s="76">
        <f>IF($BY792=0,"",IF(TRIM($W792&amp;"")="REO","REO",IF(TRIM($W792&amp;"")="FC","Foreclosure",IF(TRIM($W792&amp;"")="90+","90+ Days Delinquent",IF(TRIM($W792&amp;"")="60","60 Days Delinquent",IF(TRIM($W792&amp;"")="30","30 Days Delinquent",IF($X792="Non-Performing Matured Balloon","Non-Performing Matured Balloon",IF(OR($X792="Late Payment But Less Than 30 Days Delinquent",LEFT($X792&amp;"",20)="Payment Not Received"),"Late / In Grace (&lt;30 Days)",IF($X792="Performing Matured Balloon","Performing Matured Balloon","Current")))))))))</f>
        <v/>
      </c>
      <c r="CD792" s="78">
        <f>IF(OR($CC792="REO",$CC792="Foreclosure",$CC792="90+ Days Delinquent",$CC792="60 Days Delinquent",$CC792="30 Days Delinquent",$CC792="Non-Performing Matured Balloon"),1,0)</f>
        <v/>
      </c>
      <c r="CE792" s="76">
        <f>IF($AB792="Currently special serv","Currently Specially Serviced",IF($AB792="Returned to master serv","Previously Specially Serviced","Never Specially Serviced"))</f>
        <v/>
      </c>
      <c r="CF792" s="78">
        <f>IF($CE792="Currently Specially Serviced",1,0)</f>
        <v/>
      </c>
      <c r="CG792" s="76">
        <f>IF($AA792="Yes","Currently on Watchlist",IF($AA792="Previously","Previously on Watchlist","Never on Watchlist"))</f>
        <v/>
      </c>
      <c r="CH792" s="78">
        <f>IF($CG792="Currently on Watchlist",1,0)</f>
        <v/>
      </c>
      <c r="CI792" s="76">
        <f>IF($Z792="Full Defeasance","Fully Defeased",IF($Z792="Portion Of Loan Previously Defeased","Partially Defeased",IF($Z792="Defeasance Not Allowable","Not Defeased (Not Permitted)","Not Defeased")))</f>
        <v/>
      </c>
      <c r="CJ792" s="78">
        <f>IF($CI792="Fully Defeased",1,0)</f>
        <v/>
      </c>
      <c r="CK792" s="76">
        <f>IF($R792="IO","Full IO",IF(LEFT($R792&amp;"",7)="IO then","Partial IO","Amortizing"))</f>
        <v/>
      </c>
      <c r="CL792" s="78">
        <f>IF($CK792="Full IO",1,0)</f>
        <v/>
      </c>
      <c r="CM792" s="78">
        <f>IF($CK792="Partial IO",1,0)</f>
        <v/>
      </c>
      <c r="CN792" s="76">
        <f>IF(LEFT($F792&amp;"",10)="SPLIT_LOAN","Pari Passu Split","Standalone")</f>
        <v/>
      </c>
      <c r="CO792" s="78">
        <f>IF($CN792="Pari Passu Split",1,0)</f>
        <v/>
      </c>
      <c r="CP792" s="77">
        <f>IF(ISNUMBER($T792),YEAR($T792),"")</f>
        <v/>
      </c>
      <c r="CQ792" s="79">
        <f>IF(ISNUMBER($V792),$V792,IF(ISNUMBER($U792),$U792,""))</f>
        <v/>
      </c>
      <c r="CR792" s="77">
        <f>IF(ISNUMBER($CQ792),YEAR($CQ792),"")</f>
        <v/>
      </c>
      <c r="CS792" s="78">
        <f>IF(ISNUMBER($M792),MAX(0,$M792),IF(TRIM($M792&amp;"")="matured",0,""))</f>
        <v/>
      </c>
      <c r="CT792" s="78">
        <f>IF(AND(ISNUMBER($CS792),N($CS792)&lt;=mMatWindow),1,0)</f>
        <v/>
      </c>
      <c r="CU792" s="80">
        <f>IF(ISNUMBER($J792),$J792/100,"")</f>
        <v/>
      </c>
      <c r="CV792" s="81">
        <f>IF(ISNUMBER($AQ792),$AQ792,"")</f>
        <v/>
      </c>
      <c r="CW792" s="81">
        <f>IF(ISNUMBER($AR792),$AR792,"")</f>
        <v/>
      </c>
      <c r="CX792" s="82">
        <f>IF(ISNUMBER($AS792),$AS792/100,"")</f>
        <v/>
      </c>
      <c r="CY792" s="82">
        <f>IF(ISNUMBER($AT792),$AT792/100,"")</f>
        <v/>
      </c>
      <c r="CZ792" s="82">
        <f>IF(ISNUMBER($AU792),$AU792/100,"")</f>
        <v/>
      </c>
      <c r="DA792" s="82">
        <f>IF(ISNUMBER($AV792),$AV792/100,"")</f>
        <v/>
      </c>
      <c r="DB792" s="82">
        <f>IF(ISNUMBER($AW792),$AW792/100,"")</f>
        <v/>
      </c>
      <c r="DC792" s="82">
        <f>IF(ISNUMBER($AX792),$AX792/100,"")</f>
        <v/>
      </c>
      <c r="DD792" s="77">
        <f>IFERROR(VALUE(LEFT(TRIM($AO792&amp;""),4)),"")</f>
        <v/>
      </c>
      <c r="DE792" s="78">
        <f>IF(AND($BY792=1,$BX792=1,OR(fDeal="All Deals",$BU792=fDeal),OR(fEntity="All Entities",$BV792=fEntity),OR(fPType="All Property Types",$BZ792=fPType),OR(fDefeased="Include",$CJ792=0)),1,0)</f>
        <v/>
      </c>
      <c r="DF792" s="83">
        <f>$DE792*N($I792)</f>
        <v/>
      </c>
      <c r="DG792" s="78">
        <f>IF($DE792=1,IF(COUNTIFS($F$8:$F792,$F792,$DE$8:$DE792,1)=1,1,0),0)</f>
        <v/>
      </c>
      <c r="DH792" s="83">
        <f>IF($DG792=1,SUMIFS($DF$8:$DF$1600,$F$8:$F$1600,$F792),0)</f>
        <v/>
      </c>
      <c r="DI792" s="78">
        <f>IF($DG792=1,COUNTIFS($F$8:$F$1600,$F792,$DE$8:$DE$1600,1),0)</f>
        <v/>
      </c>
      <c r="DJ792" s="84">
        <f>IF($DG792=1,$DH792+(100000-ROW())/mTieBreak,0)</f>
        <v/>
      </c>
    </row>
    <row r="793">
      <c r="B793" s="68" t="n">
        <v>23</v>
      </c>
      <c r="C793" s="69" t="inlineStr">
        <is>
          <t>BCMK18B3</t>
        </is>
      </c>
      <c r="D793" s="69" t="inlineStr">
        <is>
          <t>23.000</t>
        </is>
      </c>
      <c r="E793" s="69" t="inlineStr">
        <is>
          <t>Asheville Marketplace</t>
        </is>
      </c>
      <c r="F793" s="69" t="inlineStr">
        <is>
          <t>LNBCMK18B3-23.000</t>
        </is>
      </c>
      <c r="G793" s="70" t="n"/>
      <c r="H793" s="71" t="n">
        <v>23100000</v>
      </c>
      <c r="I793" s="71" t="n">
        <v>21879244.3500015</v>
      </c>
      <c r="J793" s="72" t="n">
        <v>4.92</v>
      </c>
      <c r="K793" s="69" t="inlineStr">
        <is>
          <t>Fixed rate</t>
        </is>
      </c>
      <c r="L793" s="68" t="n">
        <v>120</v>
      </c>
      <c r="M793" s="68" t="n">
        <v>18</v>
      </c>
      <c r="N793" s="68" t="n">
        <v>420</v>
      </c>
      <c r="O793" s="68" t="n">
        <v>60</v>
      </c>
      <c r="P793" s="68" t="n">
        <v>0</v>
      </c>
      <c r="Q793" s="68" t="n">
        <v>102</v>
      </c>
      <c r="R793" s="69" t="inlineStr">
        <is>
          <t>IO then Amort</t>
        </is>
      </c>
      <c r="S793" s="69" t="inlineStr">
        <is>
          <t>No</t>
        </is>
      </c>
      <c r="T793" s="73" t="n">
        <v>43160</v>
      </c>
      <c r="U793" s="73" t="n">
        <v>46818</v>
      </c>
      <c r="V793" s="73" t="n"/>
      <c r="W793" s="69" t="n"/>
      <c r="X793" s="69" t="inlineStr">
        <is>
          <t>Current</t>
        </is>
      </c>
      <c r="Y793" s="68" t="n"/>
      <c r="Z793" s="69" t="inlineStr">
        <is>
          <t>No Defeasance Occurred</t>
        </is>
      </c>
      <c r="AA793" s="69" t="n"/>
      <c r="AB793" s="69" t="inlineStr">
        <is>
          <t>Never special serv</t>
        </is>
      </c>
      <c r="AC793" s="73" t="n"/>
      <c r="AD793" s="69" t="n"/>
      <c r="AE793" s="69" t="n"/>
      <c r="AF793" s="69" t="inlineStr">
        <is>
          <t>NC</t>
        </is>
      </c>
      <c r="AG793" s="69" t="inlineStr">
        <is>
          <t>Asheville</t>
        </is>
      </c>
      <c r="AH793" s="69" t="inlineStr">
        <is>
          <t>Asheville, NC</t>
        </is>
      </c>
      <c r="AI793" s="69" t="inlineStr">
        <is>
          <t>South / Atlantic</t>
        </is>
      </c>
      <c r="AJ793" s="69" t="inlineStr">
        <is>
          <t>RT</t>
        </is>
      </c>
      <c r="AK793" s="69" t="inlineStr">
        <is>
          <t>Anchored</t>
        </is>
      </c>
      <c r="AL793" s="68" t="n">
        <v>1</v>
      </c>
      <c r="AM793" s="68" t="n"/>
      <c r="AN793" s="68" t="n">
        <v>129851</v>
      </c>
      <c r="AO793" s="69" t="inlineStr">
        <is>
          <t>1975</t>
        </is>
      </c>
      <c r="AP793" s="70" t="n">
        <v>2014</v>
      </c>
      <c r="AQ793" s="74" t="n">
        <v>1.45</v>
      </c>
      <c r="AR793" s="74" t="n">
        <v>1.62</v>
      </c>
      <c r="AS793" s="74" t="n">
        <v>68.14</v>
      </c>
      <c r="AT793" s="74" t="n">
        <v>64.54000000000001</v>
      </c>
      <c r="AU793" s="74" t="n">
        <v>62.78</v>
      </c>
      <c r="AV793" s="74" t="n">
        <v>9.246209826999999</v>
      </c>
      <c r="AW793" s="74" t="n">
        <v>10.590813663</v>
      </c>
      <c r="AX793" s="75" t="n">
        <v>92</v>
      </c>
      <c r="AY793" s="71" t="n">
        <v>33900000</v>
      </c>
      <c r="AZ793" s="71" t="n">
        <v>33900000</v>
      </c>
      <c r="BA793" s="71" t="n">
        <v>2135874.47</v>
      </c>
      <c r="BB793" s="71" t="n">
        <v>2389382</v>
      </c>
      <c r="BC793" s="69" t="inlineStr">
        <is>
          <t>Acquisition</t>
        </is>
      </c>
      <c r="BD793" s="69" t="inlineStr">
        <is>
          <t>N</t>
        </is>
      </c>
      <c r="BE793" s="71" t="n"/>
      <c r="BF793" s="71" t="n"/>
      <c r="BG793" s="71" t="n"/>
      <c r="BH793" s="71" t="n">
        <v>0</v>
      </c>
      <c r="BI793" s="71" t="n">
        <v>0</v>
      </c>
      <c r="BJ793" s="69" t="inlineStr">
        <is>
          <t>N</t>
        </is>
      </c>
      <c r="BK793" s="69" t="inlineStr">
        <is>
          <t>Whole Foods Market</t>
        </is>
      </c>
      <c r="BL793" s="75" t="n">
        <v>27.62</v>
      </c>
      <c r="BM793" s="73" t="n">
        <v>49187</v>
      </c>
      <c r="BN793" s="69" t="inlineStr">
        <is>
          <t>Todd C. Zapolski</t>
        </is>
      </c>
      <c r="BO793" s="69" t="inlineStr">
        <is>
          <t>Citigroup Global Markets</t>
        </is>
      </c>
      <c r="BP793" s="69" t="inlineStr">
        <is>
          <t>Midland Loan Services</t>
        </is>
      </c>
      <c r="BQ793" s="69" t="inlineStr">
        <is>
          <t>K-Star Asset Management LLC</t>
        </is>
      </c>
      <c r="BR793" s="69" t="n"/>
      <c r="BS793" s="73" t="n">
        <v>46273</v>
      </c>
      <c r="BU793" s="76">
        <f>IF($C793="","",IFERROR(INDEX(dmName,MATCH($C793,dmID,0)),"Unmapped"))</f>
        <v/>
      </c>
      <c r="BV793" s="76">
        <f>IF($C793="","",IFERROR(INDEX(dmEntity,MATCH($C793,dmID,0)),"Unmapped"))</f>
        <v/>
      </c>
      <c r="BW793" s="77">
        <f>IF($C793="","",IFERROR(INDEX(dmVintage,MATCH($C793,dmID,0)),""))</f>
        <v/>
      </c>
      <c r="BX793" s="78">
        <f>IFERROR(INDEX(dmInclude,MATCH($C793,dmID,0)),0)</f>
        <v/>
      </c>
      <c r="BY793" s="78">
        <f>IF(N($I793)&gt;0,1,0)</f>
        <v/>
      </c>
      <c r="BZ793" s="76">
        <f>IF($AJ793="","Other / Leased Fee",IFERROR(INDEX(mapPTGroup,MATCH(LEFT(TRIM($AJ793),2),mapPTCode,0)),"Other / Leased Fee"))</f>
        <v/>
      </c>
      <c r="CA793" s="76">
        <f>IF(TRIM($AF793&amp;"")="","NR",LEFT(TRIM($AF793),2))</f>
        <v/>
      </c>
      <c r="CB793" s="76">
        <f>IFERROR(LOOKUP(2,1/(LEFT(TRIM($AI793&amp;""),LEN(mapRegion))=mapRegion),mapRegion),"Not Reported")</f>
        <v/>
      </c>
      <c r="CC793" s="76">
        <f>IF($BY793=0,"",IF(TRIM($W793&amp;"")="REO","REO",IF(TRIM($W793&amp;"")="FC","Foreclosure",IF(TRIM($W793&amp;"")="90+","90+ Days Delinquent",IF(TRIM($W793&amp;"")="60","60 Days Delinquent",IF(TRIM($W793&amp;"")="30","30 Days Delinquent",IF($X793="Non-Performing Matured Balloon","Non-Performing Matured Balloon",IF(OR($X793="Late Payment But Less Than 30 Days Delinquent",LEFT($X793&amp;"",20)="Payment Not Received"),"Late / In Grace (&lt;30 Days)",IF($X793="Performing Matured Balloon","Performing Matured Balloon","Current")))))))))</f>
        <v/>
      </c>
      <c r="CD793" s="78">
        <f>IF(OR($CC793="REO",$CC793="Foreclosure",$CC793="90+ Days Delinquent",$CC793="60 Days Delinquent",$CC793="30 Days Delinquent",$CC793="Non-Performing Matured Balloon"),1,0)</f>
        <v/>
      </c>
      <c r="CE793" s="76">
        <f>IF($AB793="Currently special serv","Currently Specially Serviced",IF($AB793="Returned to master serv","Previously Specially Serviced","Never Specially Serviced"))</f>
        <v/>
      </c>
      <c r="CF793" s="78">
        <f>IF($CE793="Currently Specially Serviced",1,0)</f>
        <v/>
      </c>
      <c r="CG793" s="76">
        <f>IF($AA793="Yes","Currently on Watchlist",IF($AA793="Previously","Previously on Watchlist","Never on Watchlist"))</f>
        <v/>
      </c>
      <c r="CH793" s="78">
        <f>IF($CG793="Currently on Watchlist",1,0)</f>
        <v/>
      </c>
      <c r="CI793" s="76">
        <f>IF($Z793="Full Defeasance","Fully Defeased",IF($Z793="Portion Of Loan Previously Defeased","Partially Defeased",IF($Z793="Defeasance Not Allowable","Not Defeased (Not Permitted)","Not Defeased")))</f>
        <v/>
      </c>
      <c r="CJ793" s="78">
        <f>IF($CI793="Fully Defeased",1,0)</f>
        <v/>
      </c>
      <c r="CK793" s="76">
        <f>IF($R793="IO","Full IO",IF(LEFT($R793&amp;"",7)="IO then","Partial IO","Amortizing"))</f>
        <v/>
      </c>
      <c r="CL793" s="78">
        <f>IF($CK793="Full IO",1,0)</f>
        <v/>
      </c>
      <c r="CM793" s="78">
        <f>IF($CK793="Partial IO",1,0)</f>
        <v/>
      </c>
      <c r="CN793" s="76">
        <f>IF(LEFT($F793&amp;"",10)="SPLIT_LOAN","Pari Passu Split","Standalone")</f>
        <v/>
      </c>
      <c r="CO793" s="78">
        <f>IF($CN793="Pari Passu Split",1,0)</f>
        <v/>
      </c>
      <c r="CP793" s="77">
        <f>IF(ISNUMBER($T793),YEAR($T793),"")</f>
        <v/>
      </c>
      <c r="CQ793" s="79">
        <f>IF(ISNUMBER($V793),$V793,IF(ISNUMBER($U793),$U793,""))</f>
        <v/>
      </c>
      <c r="CR793" s="77">
        <f>IF(ISNUMBER($CQ793),YEAR($CQ793),"")</f>
        <v/>
      </c>
      <c r="CS793" s="78">
        <f>IF(ISNUMBER($M793),MAX(0,$M793),IF(TRIM($M793&amp;"")="matured",0,""))</f>
        <v/>
      </c>
      <c r="CT793" s="78">
        <f>IF(AND(ISNUMBER($CS793),N($CS793)&lt;=mMatWindow),1,0)</f>
        <v/>
      </c>
      <c r="CU793" s="80">
        <f>IF(ISNUMBER($J793),$J793/100,"")</f>
        <v/>
      </c>
      <c r="CV793" s="81">
        <f>IF(ISNUMBER($AQ793),$AQ793,"")</f>
        <v/>
      </c>
      <c r="CW793" s="81">
        <f>IF(ISNUMBER($AR793),$AR793,"")</f>
        <v/>
      </c>
      <c r="CX793" s="82">
        <f>IF(ISNUMBER($AS793),$AS793/100,"")</f>
        <v/>
      </c>
      <c r="CY793" s="82">
        <f>IF(ISNUMBER($AT793),$AT793/100,"")</f>
        <v/>
      </c>
      <c r="CZ793" s="82">
        <f>IF(ISNUMBER($AU793),$AU793/100,"")</f>
        <v/>
      </c>
      <c r="DA793" s="82">
        <f>IF(ISNUMBER($AV793),$AV793/100,"")</f>
        <v/>
      </c>
      <c r="DB793" s="82">
        <f>IF(ISNUMBER($AW793),$AW793/100,"")</f>
        <v/>
      </c>
      <c r="DC793" s="82">
        <f>IF(ISNUMBER($AX793),$AX793/100,"")</f>
        <v/>
      </c>
      <c r="DD793" s="77">
        <f>IFERROR(VALUE(LEFT(TRIM($AO793&amp;""),4)),"")</f>
        <v/>
      </c>
      <c r="DE793" s="78">
        <f>IF(AND($BY793=1,$BX793=1,OR(fDeal="All Deals",$BU793=fDeal),OR(fEntity="All Entities",$BV793=fEntity),OR(fPType="All Property Types",$BZ793=fPType),OR(fDefeased="Include",$CJ793=0)),1,0)</f>
        <v/>
      </c>
      <c r="DF793" s="83">
        <f>$DE793*N($I793)</f>
        <v/>
      </c>
      <c r="DG793" s="78">
        <f>IF($DE793=1,IF(COUNTIFS($F$8:$F793,$F793,$DE$8:$DE793,1)=1,1,0),0)</f>
        <v/>
      </c>
      <c r="DH793" s="83">
        <f>IF($DG793=1,SUMIFS($DF$8:$DF$1600,$F$8:$F$1600,$F793),0)</f>
        <v/>
      </c>
      <c r="DI793" s="78">
        <f>IF($DG793=1,COUNTIFS($F$8:$F$1600,$F793,$DE$8:$DE$1600,1),0)</f>
        <v/>
      </c>
      <c r="DJ793" s="84">
        <f>IF($DG793=1,$DH793+(100000-ROW())/mTieBreak,0)</f>
        <v/>
      </c>
    </row>
    <row r="794">
      <c r="B794" s="68" t="n">
        <v>24</v>
      </c>
      <c r="C794" s="69" t="inlineStr">
        <is>
          <t>BCMK18B3</t>
        </is>
      </c>
      <c r="D794" s="69" t="inlineStr">
        <is>
          <t>24.000</t>
        </is>
      </c>
      <c r="E794" s="69" t="inlineStr">
        <is>
          <t>Village on the Park Southgate</t>
        </is>
      </c>
      <c r="F794" s="69" t="inlineStr">
        <is>
          <t>LNBCMK18B3-24.000</t>
        </is>
      </c>
      <c r="G794" s="70" t="n"/>
      <c r="H794" s="71" t="n">
        <v>19200000</v>
      </c>
      <c r="I794" s="71" t="n">
        <v>17624414.6000064</v>
      </c>
      <c r="J794" s="72" t="n">
        <v>5.29</v>
      </c>
      <c r="K794" s="69" t="inlineStr">
        <is>
          <t>Fixed rate</t>
        </is>
      </c>
      <c r="L794" s="68" t="n">
        <v>120</v>
      </c>
      <c r="M794" s="68" t="n">
        <v>18</v>
      </c>
      <c r="N794" s="68" t="n">
        <v>396</v>
      </c>
      <c r="O794" s="68" t="n">
        <v>36</v>
      </c>
      <c r="P794" s="68" t="n">
        <v>0</v>
      </c>
      <c r="Q794" s="68" t="n">
        <v>102</v>
      </c>
      <c r="R794" s="69" t="inlineStr">
        <is>
          <t>IO then Amort</t>
        </is>
      </c>
      <c r="S794" s="69" t="inlineStr">
        <is>
          <t>No</t>
        </is>
      </c>
      <c r="T794" s="73" t="n">
        <v>43160</v>
      </c>
      <c r="U794" s="73" t="n">
        <v>46818</v>
      </c>
      <c r="V794" s="73" t="n"/>
      <c r="W794" s="69" t="inlineStr">
        <is>
          <t>90+</t>
        </is>
      </c>
      <c r="X794" s="69" t="inlineStr">
        <is>
          <t>121+ Days Delinquent</t>
        </is>
      </c>
      <c r="Y794" s="68" t="n">
        <v>4</v>
      </c>
      <c r="Z794" s="69" t="inlineStr">
        <is>
          <t>No Defeasance Occurred</t>
        </is>
      </c>
      <c r="AA794" s="69" t="inlineStr">
        <is>
          <t>Previously</t>
        </is>
      </c>
      <c r="AB794" s="69" t="inlineStr">
        <is>
          <t>Currently special serv</t>
        </is>
      </c>
      <c r="AC794" s="73" t="n">
        <v>46216</v>
      </c>
      <c r="AD794" s="69" t="inlineStr">
        <is>
          <t>Payment Default (all payments excluding Balloon/Maturity Payment)</t>
        </is>
      </c>
      <c r="AE794" s="69" t="inlineStr">
        <is>
          <t>Other</t>
        </is>
      </c>
      <c r="AF794" s="69" t="inlineStr">
        <is>
          <t>MI</t>
        </is>
      </c>
      <c r="AG794" s="69" t="inlineStr">
        <is>
          <t>Southgate</t>
        </is>
      </c>
      <c r="AH794" s="69" t="inlineStr">
        <is>
          <t>Detroit-Warren-Dearborn, MI</t>
        </is>
      </c>
      <c r="AI794" s="69" t="inlineStr">
        <is>
          <t>Midwest / Central East</t>
        </is>
      </c>
      <c r="AJ794" s="69" t="inlineStr">
        <is>
          <t>MF</t>
        </is>
      </c>
      <c r="AK794" s="69" t="inlineStr">
        <is>
          <t>Garden</t>
        </is>
      </c>
      <c r="AL794" s="68" t="n">
        <v>1</v>
      </c>
      <c r="AM794" s="68" t="n">
        <v>358</v>
      </c>
      <c r="AN794" s="68" t="n"/>
      <c r="AO794" s="69" t="inlineStr">
        <is>
          <t>1976, 1979</t>
        </is>
      </c>
      <c r="AP794" s="70" t="n">
        <v>1979</v>
      </c>
      <c r="AQ794" s="74" t="n">
        <v>1.29</v>
      </c>
      <c r="AR794" s="74" t="n">
        <v>0.87</v>
      </c>
      <c r="AS794" s="74" t="n">
        <v>68.81999999999999</v>
      </c>
      <c r="AT794" s="74" t="n">
        <v>63.17</v>
      </c>
      <c r="AU794" s="74" t="n">
        <v>61.31</v>
      </c>
      <c r="AV794" s="74" t="n">
        <v>8.595819167</v>
      </c>
      <c r="AW794" s="74" t="n">
        <v>6.27790775</v>
      </c>
      <c r="AX794" s="75" t="n">
        <v>67</v>
      </c>
      <c r="AY794" s="71" t="n">
        <v>27900000</v>
      </c>
      <c r="AZ794" s="71" t="n">
        <v>27900000</v>
      </c>
      <c r="BA794" s="71" t="n">
        <v>1650397.28</v>
      </c>
      <c r="BB794" s="71" t="n">
        <v>1106444.49</v>
      </c>
      <c r="BC794" s="69" t="inlineStr">
        <is>
          <t>Acquisition</t>
        </is>
      </c>
      <c r="BD794" s="69" t="inlineStr">
        <is>
          <t>N</t>
        </is>
      </c>
      <c r="BE794" s="71" t="n"/>
      <c r="BF794" s="71" t="n"/>
      <c r="BG794" s="71" t="n"/>
      <c r="BH794" s="71" t="n">
        <v>0</v>
      </c>
      <c r="BI794" s="71" t="n">
        <v>530051.1</v>
      </c>
      <c r="BJ794" s="69" t="inlineStr">
        <is>
          <t>N</t>
        </is>
      </c>
      <c r="BK794" s="69" t="n"/>
      <c r="BL794" s="75" t="n"/>
      <c r="BM794" s="73" t="n"/>
      <c r="BN794" s="69" t="inlineStr">
        <is>
          <t>Shawn Stafford</t>
        </is>
      </c>
      <c r="BO794" s="69" t="inlineStr">
        <is>
          <t>Citigroup Global Markets</t>
        </is>
      </c>
      <c r="BP794" s="69" t="inlineStr">
        <is>
          <t>Midland Loan Services</t>
        </is>
      </c>
      <c r="BQ794" s="69" t="inlineStr">
        <is>
          <t>K-Star Asset Management LLC</t>
        </is>
      </c>
      <c r="BR794" s="69" t="n"/>
      <c r="BS794" s="73" t="n">
        <v>46273</v>
      </c>
      <c r="BU794" s="76">
        <f>IF($C794="","",IFERROR(INDEX(dmName,MATCH($C794,dmID,0)),"Unmapped"))</f>
        <v/>
      </c>
      <c r="BV794" s="76">
        <f>IF($C794="","",IFERROR(INDEX(dmEntity,MATCH($C794,dmID,0)),"Unmapped"))</f>
        <v/>
      </c>
      <c r="BW794" s="77">
        <f>IF($C794="","",IFERROR(INDEX(dmVintage,MATCH($C794,dmID,0)),""))</f>
        <v/>
      </c>
      <c r="BX794" s="78">
        <f>IFERROR(INDEX(dmInclude,MATCH($C794,dmID,0)),0)</f>
        <v/>
      </c>
      <c r="BY794" s="78">
        <f>IF(N($I794)&gt;0,1,0)</f>
        <v/>
      </c>
      <c r="BZ794" s="76">
        <f>IF($AJ794="","Other / Leased Fee",IFERROR(INDEX(mapPTGroup,MATCH(LEFT(TRIM($AJ794),2),mapPTCode,0)),"Other / Leased Fee"))</f>
        <v/>
      </c>
      <c r="CA794" s="76">
        <f>IF(TRIM($AF794&amp;"")="","NR",LEFT(TRIM($AF794),2))</f>
        <v/>
      </c>
      <c r="CB794" s="76">
        <f>IFERROR(LOOKUP(2,1/(LEFT(TRIM($AI794&amp;""),LEN(mapRegion))=mapRegion),mapRegion),"Not Reported")</f>
        <v/>
      </c>
      <c r="CC794" s="76">
        <f>IF($BY794=0,"",IF(TRIM($W794&amp;"")="REO","REO",IF(TRIM($W794&amp;"")="FC","Foreclosure",IF(TRIM($W794&amp;"")="90+","90+ Days Delinquent",IF(TRIM($W794&amp;"")="60","60 Days Delinquent",IF(TRIM($W794&amp;"")="30","30 Days Delinquent",IF($X794="Non-Performing Matured Balloon","Non-Performing Matured Balloon",IF(OR($X794="Late Payment But Less Than 30 Days Delinquent",LEFT($X794&amp;"",20)="Payment Not Received"),"Late / In Grace (&lt;30 Days)",IF($X794="Performing Matured Balloon","Performing Matured Balloon","Current")))))))))</f>
        <v/>
      </c>
      <c r="CD794" s="78">
        <f>IF(OR($CC794="REO",$CC794="Foreclosure",$CC794="90+ Days Delinquent",$CC794="60 Days Delinquent",$CC794="30 Days Delinquent",$CC794="Non-Performing Matured Balloon"),1,0)</f>
        <v/>
      </c>
      <c r="CE794" s="76">
        <f>IF($AB794="Currently special serv","Currently Specially Serviced",IF($AB794="Returned to master serv","Previously Specially Serviced","Never Specially Serviced"))</f>
        <v/>
      </c>
      <c r="CF794" s="78">
        <f>IF($CE794="Currently Specially Serviced",1,0)</f>
        <v/>
      </c>
      <c r="CG794" s="76">
        <f>IF($AA794="Yes","Currently on Watchlist",IF($AA794="Previously","Previously on Watchlist","Never on Watchlist"))</f>
        <v/>
      </c>
      <c r="CH794" s="78">
        <f>IF($CG794="Currently on Watchlist",1,0)</f>
        <v/>
      </c>
      <c r="CI794" s="76">
        <f>IF($Z794="Full Defeasance","Fully Defeased",IF($Z794="Portion Of Loan Previously Defeased","Partially Defeased",IF($Z794="Defeasance Not Allowable","Not Defeased (Not Permitted)","Not Defeased")))</f>
        <v/>
      </c>
      <c r="CJ794" s="78">
        <f>IF($CI794="Fully Defeased",1,0)</f>
        <v/>
      </c>
      <c r="CK794" s="76">
        <f>IF($R794="IO","Full IO",IF(LEFT($R794&amp;"",7)="IO then","Partial IO","Amortizing"))</f>
        <v/>
      </c>
      <c r="CL794" s="78">
        <f>IF($CK794="Full IO",1,0)</f>
        <v/>
      </c>
      <c r="CM794" s="78">
        <f>IF($CK794="Partial IO",1,0)</f>
        <v/>
      </c>
      <c r="CN794" s="76">
        <f>IF(LEFT($F794&amp;"",10)="SPLIT_LOAN","Pari Passu Split","Standalone")</f>
        <v/>
      </c>
      <c r="CO794" s="78">
        <f>IF($CN794="Pari Passu Split",1,0)</f>
        <v/>
      </c>
      <c r="CP794" s="77">
        <f>IF(ISNUMBER($T794),YEAR($T794),"")</f>
        <v/>
      </c>
      <c r="CQ794" s="79">
        <f>IF(ISNUMBER($V794),$V794,IF(ISNUMBER($U794),$U794,""))</f>
        <v/>
      </c>
      <c r="CR794" s="77">
        <f>IF(ISNUMBER($CQ794),YEAR($CQ794),"")</f>
        <v/>
      </c>
      <c r="CS794" s="78">
        <f>IF(ISNUMBER($M794),MAX(0,$M794),IF(TRIM($M794&amp;"")="matured",0,""))</f>
        <v/>
      </c>
      <c r="CT794" s="78">
        <f>IF(AND(ISNUMBER($CS794),N($CS794)&lt;=mMatWindow),1,0)</f>
        <v/>
      </c>
      <c r="CU794" s="80">
        <f>IF(ISNUMBER($J794),$J794/100,"")</f>
        <v/>
      </c>
      <c r="CV794" s="81">
        <f>IF(ISNUMBER($AQ794),$AQ794,"")</f>
        <v/>
      </c>
      <c r="CW794" s="81">
        <f>IF(ISNUMBER($AR794),$AR794,"")</f>
        <v/>
      </c>
      <c r="CX794" s="82">
        <f>IF(ISNUMBER($AS794),$AS794/100,"")</f>
        <v/>
      </c>
      <c r="CY794" s="82">
        <f>IF(ISNUMBER($AT794),$AT794/100,"")</f>
        <v/>
      </c>
      <c r="CZ794" s="82">
        <f>IF(ISNUMBER($AU794),$AU794/100,"")</f>
        <v/>
      </c>
      <c r="DA794" s="82">
        <f>IF(ISNUMBER($AV794),$AV794/100,"")</f>
        <v/>
      </c>
      <c r="DB794" s="82">
        <f>IF(ISNUMBER($AW794),$AW794/100,"")</f>
        <v/>
      </c>
      <c r="DC794" s="82">
        <f>IF(ISNUMBER($AX794),$AX794/100,"")</f>
        <v/>
      </c>
      <c r="DD794" s="77">
        <f>IFERROR(VALUE(LEFT(TRIM($AO794&amp;""),4)),"")</f>
        <v/>
      </c>
      <c r="DE794" s="78">
        <f>IF(AND($BY794=1,$BX794=1,OR(fDeal="All Deals",$BU794=fDeal),OR(fEntity="All Entities",$BV794=fEntity),OR(fPType="All Property Types",$BZ794=fPType),OR(fDefeased="Include",$CJ794=0)),1,0)</f>
        <v/>
      </c>
      <c r="DF794" s="83">
        <f>$DE794*N($I794)</f>
        <v/>
      </c>
      <c r="DG794" s="78">
        <f>IF($DE794=1,IF(COUNTIFS($F$8:$F794,$F794,$DE$8:$DE794,1)=1,1,0),0)</f>
        <v/>
      </c>
      <c r="DH794" s="83">
        <f>IF($DG794=1,SUMIFS($DF$8:$DF$1600,$F$8:$F$1600,$F794),0)</f>
        <v/>
      </c>
      <c r="DI794" s="78">
        <f>IF($DG794=1,COUNTIFS($F$8:$F$1600,$F794,$DE$8:$DE$1600,1),0)</f>
        <v/>
      </c>
      <c r="DJ794" s="84">
        <f>IF($DG794=1,$DH794+(100000-ROW())/mTieBreak,0)</f>
        <v/>
      </c>
    </row>
    <row r="795">
      <c r="B795" s="68" t="n">
        <v>25</v>
      </c>
      <c r="C795" s="69" t="inlineStr">
        <is>
          <t>BCMK18B3</t>
        </is>
      </c>
      <c r="D795" s="69" t="inlineStr">
        <is>
          <t>25.000</t>
        </is>
      </c>
      <c r="E795" s="69" t="inlineStr">
        <is>
          <t>Cross Creek Apartments</t>
        </is>
      </c>
      <c r="F795" s="69" t="inlineStr">
        <is>
          <t>LNBCMK18B3-25.000</t>
        </is>
      </c>
      <c r="G795" s="70" t="n"/>
      <c r="H795" s="71" t="n">
        <v>18000000</v>
      </c>
      <c r="I795" s="71" t="n">
        <v>17034523.700004</v>
      </c>
      <c r="J795" s="72" t="n">
        <v>4.841</v>
      </c>
      <c r="K795" s="69" t="inlineStr">
        <is>
          <t>Fixed rate</t>
        </is>
      </c>
      <c r="L795" s="68" t="n">
        <v>120</v>
      </c>
      <c r="M795" s="68" t="n">
        <v>18</v>
      </c>
      <c r="N795" s="68" t="n">
        <v>420</v>
      </c>
      <c r="O795" s="68" t="n">
        <v>60</v>
      </c>
      <c r="P795" s="68" t="n">
        <v>0</v>
      </c>
      <c r="Q795" s="68" t="n">
        <v>102</v>
      </c>
      <c r="R795" s="69" t="inlineStr">
        <is>
          <t>IO then Amort</t>
        </is>
      </c>
      <c r="S795" s="69" t="inlineStr">
        <is>
          <t>No</t>
        </is>
      </c>
      <c r="T795" s="73" t="n">
        <v>43160</v>
      </c>
      <c r="U795" s="73" t="n">
        <v>46818</v>
      </c>
      <c r="V795" s="73" t="n"/>
      <c r="W795" s="69" t="n"/>
      <c r="X795" s="69" t="inlineStr">
        <is>
          <t>Late Payment But Less Than 30 Days Delinquent</t>
        </is>
      </c>
      <c r="Y795" s="68" t="n"/>
      <c r="Z795" s="69" t="inlineStr">
        <is>
          <t>No Defeasance Occurred</t>
        </is>
      </c>
      <c r="AA795" s="69" t="n"/>
      <c r="AB795" s="69" t="inlineStr">
        <is>
          <t>Never special serv</t>
        </is>
      </c>
      <c r="AC795" s="73" t="n"/>
      <c r="AD795" s="69" t="n"/>
      <c r="AE795" s="69" t="n"/>
      <c r="AF795" s="69" t="inlineStr">
        <is>
          <t>OH</t>
        </is>
      </c>
      <c r="AG795" s="69" t="inlineStr">
        <is>
          <t>Brunswick</t>
        </is>
      </c>
      <c r="AH795" s="69" t="inlineStr">
        <is>
          <t>Cleveland, OH</t>
        </is>
      </c>
      <c r="AI795" s="69" t="inlineStr">
        <is>
          <t>Midwest / Central East</t>
        </is>
      </c>
      <c r="AJ795" s="69" t="inlineStr">
        <is>
          <t>MF</t>
        </is>
      </c>
      <c r="AK795" s="69" t="inlineStr">
        <is>
          <t>Garden</t>
        </is>
      </c>
      <c r="AL795" s="68" t="n">
        <v>1</v>
      </c>
      <c r="AM795" s="68" t="n">
        <v>312</v>
      </c>
      <c r="AN795" s="68" t="n"/>
      <c r="AO795" s="69" t="inlineStr">
        <is>
          <t>1991-1994</t>
        </is>
      </c>
      <c r="AP795" s="70" t="n">
        <v>2017</v>
      </c>
      <c r="AQ795" s="74" t="n">
        <v>1.37</v>
      </c>
      <c r="AR795" s="74" t="n">
        <v>1.81</v>
      </c>
      <c r="AS795" s="74" t="n">
        <v>69.8</v>
      </c>
      <c r="AT795" s="74" t="n">
        <v>66.03</v>
      </c>
      <c r="AU795" s="74" t="n">
        <v>64.2</v>
      </c>
      <c r="AV795" s="74" t="n">
        <v>8.668867833</v>
      </c>
      <c r="AW795" s="74" t="n">
        <v>12.098596041</v>
      </c>
      <c r="AX795" s="75" t="n">
        <v>96</v>
      </c>
      <c r="AY795" s="71" t="n">
        <v>25800000</v>
      </c>
      <c r="AZ795" s="71" t="n">
        <v>25800000</v>
      </c>
      <c r="BA795" s="71" t="n">
        <v>1560396.21</v>
      </c>
      <c r="BB795" s="71" t="n">
        <v>2060938.21</v>
      </c>
      <c r="BC795" s="69" t="inlineStr">
        <is>
          <t>Refinance</t>
        </is>
      </c>
      <c r="BD795" s="69" t="inlineStr">
        <is>
          <t>N</t>
        </is>
      </c>
      <c r="BE795" s="71" t="n"/>
      <c r="BF795" s="71" t="n"/>
      <c r="BG795" s="71" t="n"/>
      <c r="BH795" s="71" t="n">
        <v>0</v>
      </c>
      <c r="BI795" s="71" t="n">
        <v>94555.86</v>
      </c>
      <c r="BJ795" s="69" t="inlineStr">
        <is>
          <t>N</t>
        </is>
      </c>
      <c r="BK795" s="69" t="n"/>
      <c r="BL795" s="75" t="n"/>
      <c r="BM795" s="73" t="n"/>
      <c r="BN795" s="69" t="inlineStr">
        <is>
          <t>Brenda G. Niederst</t>
        </is>
      </c>
      <c r="BO795" s="69" t="inlineStr">
        <is>
          <t>GACC</t>
        </is>
      </c>
      <c r="BP795" s="69" t="inlineStr">
        <is>
          <t>Midland Loan Services</t>
        </is>
      </c>
      <c r="BQ795" s="69" t="inlineStr">
        <is>
          <t>K-Star Asset Management LLC</t>
        </is>
      </c>
      <c r="BR795" s="69" t="n"/>
      <c r="BS795" s="73" t="n">
        <v>46273</v>
      </c>
      <c r="BU795" s="76">
        <f>IF($C795="","",IFERROR(INDEX(dmName,MATCH($C795,dmID,0)),"Unmapped"))</f>
        <v/>
      </c>
      <c r="BV795" s="76">
        <f>IF($C795="","",IFERROR(INDEX(dmEntity,MATCH($C795,dmID,0)),"Unmapped"))</f>
        <v/>
      </c>
      <c r="BW795" s="77">
        <f>IF($C795="","",IFERROR(INDEX(dmVintage,MATCH($C795,dmID,0)),""))</f>
        <v/>
      </c>
      <c r="BX795" s="78">
        <f>IFERROR(INDEX(dmInclude,MATCH($C795,dmID,0)),0)</f>
        <v/>
      </c>
      <c r="BY795" s="78">
        <f>IF(N($I795)&gt;0,1,0)</f>
        <v/>
      </c>
      <c r="BZ795" s="76">
        <f>IF($AJ795="","Other / Leased Fee",IFERROR(INDEX(mapPTGroup,MATCH(LEFT(TRIM($AJ795),2),mapPTCode,0)),"Other / Leased Fee"))</f>
        <v/>
      </c>
      <c r="CA795" s="76">
        <f>IF(TRIM($AF795&amp;"")="","NR",LEFT(TRIM($AF795),2))</f>
        <v/>
      </c>
      <c r="CB795" s="76">
        <f>IFERROR(LOOKUP(2,1/(LEFT(TRIM($AI795&amp;""),LEN(mapRegion))=mapRegion),mapRegion),"Not Reported")</f>
        <v/>
      </c>
      <c r="CC795" s="76">
        <f>IF($BY795=0,"",IF(TRIM($W795&amp;"")="REO","REO",IF(TRIM($W795&amp;"")="FC","Foreclosure",IF(TRIM($W795&amp;"")="90+","90+ Days Delinquent",IF(TRIM($W795&amp;"")="60","60 Days Delinquent",IF(TRIM($W795&amp;"")="30","30 Days Delinquent",IF($X795="Non-Performing Matured Balloon","Non-Performing Matured Balloon",IF(OR($X795="Late Payment But Less Than 30 Days Delinquent",LEFT($X795&amp;"",20)="Payment Not Received"),"Late / In Grace (&lt;30 Days)",IF($X795="Performing Matured Balloon","Performing Matured Balloon","Current")))))))))</f>
        <v/>
      </c>
      <c r="CD795" s="78">
        <f>IF(OR($CC795="REO",$CC795="Foreclosure",$CC795="90+ Days Delinquent",$CC795="60 Days Delinquent",$CC795="30 Days Delinquent",$CC795="Non-Performing Matured Balloon"),1,0)</f>
        <v/>
      </c>
      <c r="CE795" s="76">
        <f>IF($AB795="Currently special serv","Currently Specially Serviced",IF($AB795="Returned to master serv","Previously Specially Serviced","Never Specially Serviced"))</f>
        <v/>
      </c>
      <c r="CF795" s="78">
        <f>IF($CE795="Currently Specially Serviced",1,0)</f>
        <v/>
      </c>
      <c r="CG795" s="76">
        <f>IF($AA795="Yes","Currently on Watchlist",IF($AA795="Previously","Previously on Watchlist","Never on Watchlist"))</f>
        <v/>
      </c>
      <c r="CH795" s="78">
        <f>IF($CG795="Currently on Watchlist",1,0)</f>
        <v/>
      </c>
      <c r="CI795" s="76">
        <f>IF($Z795="Full Defeasance","Fully Defeased",IF($Z795="Portion Of Loan Previously Defeased","Partially Defeased",IF($Z795="Defeasance Not Allowable","Not Defeased (Not Permitted)","Not Defeased")))</f>
        <v/>
      </c>
      <c r="CJ795" s="78">
        <f>IF($CI795="Fully Defeased",1,0)</f>
        <v/>
      </c>
      <c r="CK795" s="76">
        <f>IF($R795="IO","Full IO",IF(LEFT($R795&amp;"",7)="IO then","Partial IO","Amortizing"))</f>
        <v/>
      </c>
      <c r="CL795" s="78">
        <f>IF($CK795="Full IO",1,0)</f>
        <v/>
      </c>
      <c r="CM795" s="78">
        <f>IF($CK795="Partial IO",1,0)</f>
        <v/>
      </c>
      <c r="CN795" s="76">
        <f>IF(LEFT($F795&amp;"",10)="SPLIT_LOAN","Pari Passu Split","Standalone")</f>
        <v/>
      </c>
      <c r="CO795" s="78">
        <f>IF($CN795="Pari Passu Split",1,0)</f>
        <v/>
      </c>
      <c r="CP795" s="77">
        <f>IF(ISNUMBER($T795),YEAR($T795),"")</f>
        <v/>
      </c>
      <c r="CQ795" s="79">
        <f>IF(ISNUMBER($V795),$V795,IF(ISNUMBER($U795),$U795,""))</f>
        <v/>
      </c>
      <c r="CR795" s="77">
        <f>IF(ISNUMBER($CQ795),YEAR($CQ795),"")</f>
        <v/>
      </c>
      <c r="CS795" s="78">
        <f>IF(ISNUMBER($M795),MAX(0,$M795),IF(TRIM($M795&amp;"")="matured",0,""))</f>
        <v/>
      </c>
      <c r="CT795" s="78">
        <f>IF(AND(ISNUMBER($CS795),N($CS795)&lt;=mMatWindow),1,0)</f>
        <v/>
      </c>
      <c r="CU795" s="80">
        <f>IF(ISNUMBER($J795),$J795/100,"")</f>
        <v/>
      </c>
      <c r="CV795" s="81">
        <f>IF(ISNUMBER($AQ795),$AQ795,"")</f>
        <v/>
      </c>
      <c r="CW795" s="81">
        <f>IF(ISNUMBER($AR795),$AR795,"")</f>
        <v/>
      </c>
      <c r="CX795" s="82">
        <f>IF(ISNUMBER($AS795),$AS795/100,"")</f>
        <v/>
      </c>
      <c r="CY795" s="82">
        <f>IF(ISNUMBER($AT795),$AT795/100,"")</f>
        <v/>
      </c>
      <c r="CZ795" s="82">
        <f>IF(ISNUMBER($AU795),$AU795/100,"")</f>
        <v/>
      </c>
      <c r="DA795" s="82">
        <f>IF(ISNUMBER($AV795),$AV795/100,"")</f>
        <v/>
      </c>
      <c r="DB795" s="82">
        <f>IF(ISNUMBER($AW795),$AW795/100,"")</f>
        <v/>
      </c>
      <c r="DC795" s="82">
        <f>IF(ISNUMBER($AX795),$AX795/100,"")</f>
        <v/>
      </c>
      <c r="DD795" s="77">
        <f>IFERROR(VALUE(LEFT(TRIM($AO795&amp;""),4)),"")</f>
        <v/>
      </c>
      <c r="DE795" s="78">
        <f>IF(AND($BY795=1,$BX795=1,OR(fDeal="All Deals",$BU795=fDeal),OR(fEntity="All Entities",$BV795=fEntity),OR(fPType="All Property Types",$BZ795=fPType),OR(fDefeased="Include",$CJ795=0)),1,0)</f>
        <v/>
      </c>
      <c r="DF795" s="83">
        <f>$DE795*N($I795)</f>
        <v/>
      </c>
      <c r="DG795" s="78">
        <f>IF($DE795=1,IF(COUNTIFS($F$8:$F795,$F795,$DE$8:$DE795,1)=1,1,0),0)</f>
        <v/>
      </c>
      <c r="DH795" s="83">
        <f>IF($DG795=1,SUMIFS($DF$8:$DF$1600,$F$8:$F$1600,$F795),0)</f>
        <v/>
      </c>
      <c r="DI795" s="78">
        <f>IF($DG795=1,COUNTIFS($F$8:$F$1600,$F795,$DE$8:$DE$1600,1),0)</f>
        <v/>
      </c>
      <c r="DJ795" s="84">
        <f>IF($DG795=1,$DH795+(100000-ROW())/mTieBreak,0)</f>
        <v/>
      </c>
    </row>
    <row r="796">
      <c r="B796" s="68" t="n">
        <v>26</v>
      </c>
      <c r="C796" s="69" t="inlineStr">
        <is>
          <t>BCMK18B3</t>
        </is>
      </c>
      <c r="D796" s="69" t="inlineStr">
        <is>
          <t>26.000</t>
        </is>
      </c>
      <c r="E796" s="69" t="inlineStr">
        <is>
          <t>Wade Green Crossing</t>
        </is>
      </c>
      <c r="F796" s="69" t="inlineStr">
        <is>
          <t>LNBCMK18B3-26.000</t>
        </is>
      </c>
      <c r="G796" s="70" t="n"/>
      <c r="H796" s="71" t="n">
        <v>17300000</v>
      </c>
      <c r="I796" s="71" t="n">
        <v>14667907.1099976</v>
      </c>
      <c r="J796" s="72" t="n">
        <v>4.69</v>
      </c>
      <c r="K796" s="69" t="inlineStr">
        <is>
          <t>Fixed rate</t>
        </is>
      </c>
      <c r="L796" s="68" t="n">
        <v>120</v>
      </c>
      <c r="M796" s="68" t="n">
        <v>18</v>
      </c>
      <c r="N796" s="68" t="n">
        <v>360</v>
      </c>
      <c r="O796" s="68" t="n"/>
      <c r="P796" s="68" t="n"/>
      <c r="Q796" s="68" t="n">
        <v>102</v>
      </c>
      <c r="R796" s="69" t="n"/>
      <c r="S796" s="69" t="inlineStr">
        <is>
          <t>No</t>
        </is>
      </c>
      <c r="T796" s="73" t="n">
        <v>43160</v>
      </c>
      <c r="U796" s="73" t="n">
        <v>46818</v>
      </c>
      <c r="V796" s="73" t="n"/>
      <c r="W796" s="69" t="n"/>
      <c r="X796" s="69" t="inlineStr">
        <is>
          <t>Current</t>
        </is>
      </c>
      <c r="Y796" s="68" t="n"/>
      <c r="Z796" s="69" t="inlineStr">
        <is>
          <t>No Defeasance Occurred</t>
        </is>
      </c>
      <c r="AA796" s="69" t="inlineStr">
        <is>
          <t>Previously</t>
        </is>
      </c>
      <c r="AB796" s="69" t="inlineStr">
        <is>
          <t>Never special serv</t>
        </is>
      </c>
      <c r="AC796" s="73" t="n"/>
      <c r="AD796" s="69" t="n"/>
      <c r="AE796" s="69" t="n"/>
      <c r="AF796" s="69" t="inlineStr">
        <is>
          <t>GA</t>
        </is>
      </c>
      <c r="AG796" s="69" t="inlineStr">
        <is>
          <t>Kennesaw</t>
        </is>
      </c>
      <c r="AH796" s="69" t="inlineStr">
        <is>
          <t>Atlanta-Sandy Springs-Roswell, GA</t>
        </is>
      </c>
      <c r="AI796" s="69" t="inlineStr">
        <is>
          <t>South / Atlantic</t>
        </is>
      </c>
      <c r="AJ796" s="69" t="inlineStr">
        <is>
          <t>RT</t>
        </is>
      </c>
      <c r="AK796" s="69" t="inlineStr">
        <is>
          <t>Anchored</t>
        </is>
      </c>
      <c r="AL796" s="68" t="n">
        <v>1</v>
      </c>
      <c r="AM796" s="68" t="n"/>
      <c r="AN796" s="68" t="n">
        <v>178654</v>
      </c>
      <c r="AO796" s="69" t="inlineStr">
        <is>
          <t>1986</t>
        </is>
      </c>
      <c r="AP796" s="70" t="n">
        <v>2010</v>
      </c>
      <c r="AQ796" s="74" t="n">
        <v>1.68</v>
      </c>
      <c r="AR796" s="74" t="n">
        <v>1.35</v>
      </c>
      <c r="AS796" s="74" t="n">
        <v>65.7</v>
      </c>
      <c r="AT796" s="74" t="n">
        <v>55.77</v>
      </c>
      <c r="AU796" s="74" t="n">
        <v>53.5</v>
      </c>
      <c r="AV796" s="74" t="n">
        <v>10.422770867</v>
      </c>
      <c r="AW796" s="74" t="n">
        <v>11.67566475</v>
      </c>
      <c r="AX796" s="75" t="n">
        <v>71</v>
      </c>
      <c r="AY796" s="71" t="n">
        <v>26300000</v>
      </c>
      <c r="AZ796" s="71" t="n">
        <v>26300000</v>
      </c>
      <c r="BA796" s="71" t="n">
        <v>1803139.36</v>
      </c>
      <c r="BB796" s="71" t="n">
        <v>1450372.88</v>
      </c>
      <c r="BC796" s="69" t="inlineStr">
        <is>
          <t>Refinance</t>
        </is>
      </c>
      <c r="BD796" s="69" t="inlineStr">
        <is>
          <t>N</t>
        </is>
      </c>
      <c r="BE796" s="71" t="n"/>
      <c r="BF796" s="71" t="n"/>
      <c r="BG796" s="71" t="n"/>
      <c r="BH796" s="71" t="n">
        <v>0</v>
      </c>
      <c r="BI796" s="71" t="n">
        <v>0</v>
      </c>
      <c r="BJ796" s="69" t="inlineStr">
        <is>
          <t>N</t>
        </is>
      </c>
      <c r="BK796" s="69" t="inlineStr">
        <is>
          <t>LA Fitness</t>
        </is>
      </c>
      <c r="BL796" s="75" t="n">
        <v>25.19</v>
      </c>
      <c r="BM796" s="73" t="n">
        <v>48944</v>
      </c>
      <c r="BN796" s="69" t="inlineStr">
        <is>
          <t>Robert T. Colley and Steven F. Shellenberger</t>
        </is>
      </c>
      <c r="BO796" s="69" t="inlineStr">
        <is>
          <t>GACC</t>
        </is>
      </c>
      <c r="BP796" s="69" t="inlineStr">
        <is>
          <t>Midland Loan Services</t>
        </is>
      </c>
      <c r="BQ796" s="69" t="inlineStr">
        <is>
          <t>K-Star Asset Management LLC</t>
        </is>
      </c>
      <c r="BR796" s="69" t="n"/>
      <c r="BS796" s="73" t="n">
        <v>46273</v>
      </c>
      <c r="BU796" s="76">
        <f>IF($C796="","",IFERROR(INDEX(dmName,MATCH($C796,dmID,0)),"Unmapped"))</f>
        <v/>
      </c>
      <c r="BV796" s="76">
        <f>IF($C796="","",IFERROR(INDEX(dmEntity,MATCH($C796,dmID,0)),"Unmapped"))</f>
        <v/>
      </c>
      <c r="BW796" s="77">
        <f>IF($C796="","",IFERROR(INDEX(dmVintage,MATCH($C796,dmID,0)),""))</f>
        <v/>
      </c>
      <c r="BX796" s="78">
        <f>IFERROR(INDEX(dmInclude,MATCH($C796,dmID,0)),0)</f>
        <v/>
      </c>
      <c r="BY796" s="78">
        <f>IF(N($I796)&gt;0,1,0)</f>
        <v/>
      </c>
      <c r="BZ796" s="76">
        <f>IF($AJ796="","Other / Leased Fee",IFERROR(INDEX(mapPTGroup,MATCH(LEFT(TRIM($AJ796),2),mapPTCode,0)),"Other / Leased Fee"))</f>
        <v/>
      </c>
      <c r="CA796" s="76">
        <f>IF(TRIM($AF796&amp;"")="","NR",LEFT(TRIM($AF796),2))</f>
        <v/>
      </c>
      <c r="CB796" s="76">
        <f>IFERROR(LOOKUP(2,1/(LEFT(TRIM($AI796&amp;""),LEN(mapRegion))=mapRegion),mapRegion),"Not Reported")</f>
        <v/>
      </c>
      <c r="CC796" s="76">
        <f>IF($BY796=0,"",IF(TRIM($W796&amp;"")="REO","REO",IF(TRIM($W796&amp;"")="FC","Foreclosure",IF(TRIM($W796&amp;"")="90+","90+ Days Delinquent",IF(TRIM($W796&amp;"")="60","60 Days Delinquent",IF(TRIM($W796&amp;"")="30","30 Days Delinquent",IF($X796="Non-Performing Matured Balloon","Non-Performing Matured Balloon",IF(OR($X796="Late Payment But Less Than 30 Days Delinquent",LEFT($X796&amp;"",20)="Payment Not Received"),"Late / In Grace (&lt;30 Days)",IF($X796="Performing Matured Balloon","Performing Matured Balloon","Current")))))))))</f>
        <v/>
      </c>
      <c r="CD796" s="78">
        <f>IF(OR($CC796="REO",$CC796="Foreclosure",$CC796="90+ Days Delinquent",$CC796="60 Days Delinquent",$CC796="30 Days Delinquent",$CC796="Non-Performing Matured Balloon"),1,0)</f>
        <v/>
      </c>
      <c r="CE796" s="76">
        <f>IF($AB796="Currently special serv","Currently Specially Serviced",IF($AB796="Returned to master serv","Previously Specially Serviced","Never Specially Serviced"))</f>
        <v/>
      </c>
      <c r="CF796" s="78">
        <f>IF($CE796="Currently Specially Serviced",1,0)</f>
        <v/>
      </c>
      <c r="CG796" s="76">
        <f>IF($AA796="Yes","Currently on Watchlist",IF($AA796="Previously","Previously on Watchlist","Never on Watchlist"))</f>
        <v/>
      </c>
      <c r="CH796" s="78">
        <f>IF($CG796="Currently on Watchlist",1,0)</f>
        <v/>
      </c>
      <c r="CI796" s="76">
        <f>IF($Z796="Full Defeasance","Fully Defeased",IF($Z796="Portion Of Loan Previously Defeased","Partially Defeased",IF($Z796="Defeasance Not Allowable","Not Defeased (Not Permitted)","Not Defeased")))</f>
        <v/>
      </c>
      <c r="CJ796" s="78">
        <f>IF($CI796="Fully Defeased",1,0)</f>
        <v/>
      </c>
      <c r="CK796" s="76">
        <f>IF($R796="IO","Full IO",IF(LEFT($R796&amp;"",7)="IO then","Partial IO","Amortizing"))</f>
        <v/>
      </c>
      <c r="CL796" s="78">
        <f>IF($CK796="Full IO",1,0)</f>
        <v/>
      </c>
      <c r="CM796" s="78">
        <f>IF($CK796="Partial IO",1,0)</f>
        <v/>
      </c>
      <c r="CN796" s="76">
        <f>IF(LEFT($F796&amp;"",10)="SPLIT_LOAN","Pari Passu Split","Standalone")</f>
        <v/>
      </c>
      <c r="CO796" s="78">
        <f>IF($CN796="Pari Passu Split",1,0)</f>
        <v/>
      </c>
      <c r="CP796" s="77">
        <f>IF(ISNUMBER($T796),YEAR($T796),"")</f>
        <v/>
      </c>
      <c r="CQ796" s="79">
        <f>IF(ISNUMBER($V796),$V796,IF(ISNUMBER($U796),$U796,""))</f>
        <v/>
      </c>
      <c r="CR796" s="77">
        <f>IF(ISNUMBER($CQ796),YEAR($CQ796),"")</f>
        <v/>
      </c>
      <c r="CS796" s="78">
        <f>IF(ISNUMBER($M796),MAX(0,$M796),IF(TRIM($M796&amp;"")="matured",0,""))</f>
        <v/>
      </c>
      <c r="CT796" s="78">
        <f>IF(AND(ISNUMBER($CS796),N($CS796)&lt;=mMatWindow),1,0)</f>
        <v/>
      </c>
      <c r="CU796" s="80">
        <f>IF(ISNUMBER($J796),$J796/100,"")</f>
        <v/>
      </c>
      <c r="CV796" s="81">
        <f>IF(ISNUMBER($AQ796),$AQ796,"")</f>
        <v/>
      </c>
      <c r="CW796" s="81">
        <f>IF(ISNUMBER($AR796),$AR796,"")</f>
        <v/>
      </c>
      <c r="CX796" s="82">
        <f>IF(ISNUMBER($AS796),$AS796/100,"")</f>
        <v/>
      </c>
      <c r="CY796" s="82">
        <f>IF(ISNUMBER($AT796),$AT796/100,"")</f>
        <v/>
      </c>
      <c r="CZ796" s="82">
        <f>IF(ISNUMBER($AU796),$AU796/100,"")</f>
        <v/>
      </c>
      <c r="DA796" s="82">
        <f>IF(ISNUMBER($AV796),$AV796/100,"")</f>
        <v/>
      </c>
      <c r="DB796" s="82">
        <f>IF(ISNUMBER($AW796),$AW796/100,"")</f>
        <v/>
      </c>
      <c r="DC796" s="82">
        <f>IF(ISNUMBER($AX796),$AX796/100,"")</f>
        <v/>
      </c>
      <c r="DD796" s="77">
        <f>IFERROR(VALUE(LEFT(TRIM($AO796&amp;""),4)),"")</f>
        <v/>
      </c>
      <c r="DE796" s="78">
        <f>IF(AND($BY796=1,$BX796=1,OR(fDeal="All Deals",$BU796=fDeal),OR(fEntity="All Entities",$BV796=fEntity),OR(fPType="All Property Types",$BZ796=fPType),OR(fDefeased="Include",$CJ796=0)),1,0)</f>
        <v/>
      </c>
      <c r="DF796" s="83">
        <f>$DE796*N($I796)</f>
        <v/>
      </c>
      <c r="DG796" s="78">
        <f>IF($DE796=1,IF(COUNTIFS($F$8:$F796,$F796,$DE$8:$DE796,1)=1,1,0),0)</f>
        <v/>
      </c>
      <c r="DH796" s="83">
        <f>IF($DG796=1,SUMIFS($DF$8:$DF$1600,$F$8:$F$1600,$F796),0)</f>
        <v/>
      </c>
      <c r="DI796" s="78">
        <f>IF($DG796=1,COUNTIFS($F$8:$F$1600,$F796,$DE$8:$DE$1600,1),0)</f>
        <v/>
      </c>
      <c r="DJ796" s="84">
        <f>IF($DG796=1,$DH796+(100000-ROW())/mTieBreak,0)</f>
        <v/>
      </c>
    </row>
    <row r="797">
      <c r="B797" s="68" t="n">
        <v>27</v>
      </c>
      <c r="C797" s="69" t="inlineStr">
        <is>
          <t>BCMK18B3</t>
        </is>
      </c>
      <c r="D797" s="69" t="inlineStr">
        <is>
          <t>27.000</t>
        </is>
      </c>
      <c r="E797" s="69" t="inlineStr">
        <is>
          <t>Residence Inn Sacramento Airport Natomas</t>
        </is>
      </c>
      <c r="F797" s="69" t="inlineStr">
        <is>
          <t>LNBCMK18B3-27.000</t>
        </is>
      </c>
      <c r="G797" s="70" t="n"/>
      <c r="H797" s="71" t="n">
        <v>17000000</v>
      </c>
      <c r="I797" s="71" t="n">
        <v>14631661.119995</v>
      </c>
      <c r="J797" s="72" t="n">
        <v>5.24</v>
      </c>
      <c r="K797" s="69" t="inlineStr">
        <is>
          <t>Fixed rate</t>
        </is>
      </c>
      <c r="L797" s="68" t="n">
        <v>120</v>
      </c>
      <c r="M797" s="68" t="n">
        <v>18</v>
      </c>
      <c r="N797" s="68" t="n">
        <v>360</v>
      </c>
      <c r="O797" s="68" t="n"/>
      <c r="P797" s="68" t="n"/>
      <c r="Q797" s="68" t="n">
        <v>102</v>
      </c>
      <c r="R797" s="69" t="n"/>
      <c r="S797" s="69" t="inlineStr">
        <is>
          <t>No</t>
        </is>
      </c>
      <c r="T797" s="73" t="n">
        <v>43160</v>
      </c>
      <c r="U797" s="73" t="n">
        <v>46818</v>
      </c>
      <c r="V797" s="73" t="n"/>
      <c r="W797" s="69" t="n"/>
      <c r="X797" s="69" t="inlineStr">
        <is>
          <t>Current</t>
        </is>
      </c>
      <c r="Y797" s="68" t="n"/>
      <c r="Z797" s="69" t="inlineStr">
        <is>
          <t>No Defeasance Occurred</t>
        </is>
      </c>
      <c r="AA797" s="69" t="inlineStr">
        <is>
          <t>Yes</t>
        </is>
      </c>
      <c r="AB797" s="69" t="inlineStr">
        <is>
          <t>Never special serv</t>
        </is>
      </c>
      <c r="AC797" s="73" t="n"/>
      <c r="AD797" s="69" t="n"/>
      <c r="AE797" s="69" t="n"/>
      <c r="AF797" s="69" t="inlineStr">
        <is>
          <t>CA</t>
        </is>
      </c>
      <c r="AG797" s="69" t="inlineStr">
        <is>
          <t>Sacramento</t>
        </is>
      </c>
      <c r="AH797" s="69" t="inlineStr">
        <is>
          <t>Sacramento-Roseville-Folsom, CA</t>
        </is>
      </c>
      <c r="AI797" s="69" t="inlineStr">
        <is>
          <t>West / Pacific North</t>
        </is>
      </c>
      <c r="AJ797" s="69" t="inlineStr">
        <is>
          <t>HT</t>
        </is>
      </c>
      <c r="AK797" s="69" t="inlineStr">
        <is>
          <t>Extended Stay</t>
        </is>
      </c>
      <c r="AL797" s="68" t="n">
        <v>1</v>
      </c>
      <c r="AM797" s="68" t="n">
        <v>126</v>
      </c>
      <c r="AN797" s="68" t="n"/>
      <c r="AO797" s="69" t="inlineStr">
        <is>
          <t>1992</t>
        </is>
      </c>
      <c r="AP797" s="70" t="n">
        <v>2012</v>
      </c>
      <c r="AQ797" s="74" t="n">
        <v>1.62</v>
      </c>
      <c r="AR797" s="74" t="n">
        <v>1.09</v>
      </c>
      <c r="AS797" s="74" t="n">
        <v>62.9</v>
      </c>
      <c r="AT797" s="74" t="n">
        <v>54.19</v>
      </c>
      <c r="AU797" s="74" t="n">
        <v>52.18</v>
      </c>
      <c r="AV797" s="74" t="n">
        <v>10.70009</v>
      </c>
      <c r="AW797" s="74" t="n">
        <v>11.513232682</v>
      </c>
      <c r="AX797" s="75" t="n">
        <v>77</v>
      </c>
      <c r="AY797" s="71" t="n">
        <v>27000000</v>
      </c>
      <c r="AZ797" s="71" t="n">
        <v>27000000</v>
      </c>
      <c r="BA797" s="71" t="n">
        <v>1819015.3</v>
      </c>
      <c r="BB797" s="71" t="n">
        <v>1231282.37</v>
      </c>
      <c r="BC797" s="69" t="inlineStr">
        <is>
          <t>Acquisition</t>
        </is>
      </c>
      <c r="BD797" s="69" t="inlineStr">
        <is>
          <t>N</t>
        </is>
      </c>
      <c r="BE797" s="71" t="n"/>
      <c r="BF797" s="71" t="n"/>
      <c r="BG797" s="71" t="n"/>
      <c r="BH797" s="71" t="n">
        <v>0</v>
      </c>
      <c r="BI797" s="71" t="n">
        <v>0</v>
      </c>
      <c r="BJ797" s="69" t="inlineStr">
        <is>
          <t>Y</t>
        </is>
      </c>
      <c r="BK797" s="69" t="n"/>
      <c r="BL797" s="75" t="n"/>
      <c r="BM797" s="73" t="n"/>
      <c r="BN797" s="69" t="inlineStr">
        <is>
          <t>Amarjit Shokeen</t>
        </is>
      </c>
      <c r="BO797" s="69" t="inlineStr">
        <is>
          <t>Citigroup Global Markets</t>
        </is>
      </c>
      <c r="BP797" s="69" t="inlineStr">
        <is>
          <t>Midland Loan Services</t>
        </is>
      </c>
      <c r="BQ797" s="69" t="inlineStr">
        <is>
          <t>K-Star Asset Management LLC</t>
        </is>
      </c>
      <c r="BR797" s="69" t="n"/>
      <c r="BS797" s="73" t="n">
        <v>46273</v>
      </c>
      <c r="BU797" s="76">
        <f>IF($C797="","",IFERROR(INDEX(dmName,MATCH($C797,dmID,0)),"Unmapped"))</f>
        <v/>
      </c>
      <c r="BV797" s="76">
        <f>IF($C797="","",IFERROR(INDEX(dmEntity,MATCH($C797,dmID,0)),"Unmapped"))</f>
        <v/>
      </c>
      <c r="BW797" s="77">
        <f>IF($C797="","",IFERROR(INDEX(dmVintage,MATCH($C797,dmID,0)),""))</f>
        <v/>
      </c>
      <c r="BX797" s="78">
        <f>IFERROR(INDEX(dmInclude,MATCH($C797,dmID,0)),0)</f>
        <v/>
      </c>
      <c r="BY797" s="78">
        <f>IF(N($I797)&gt;0,1,0)</f>
        <v/>
      </c>
      <c r="BZ797" s="76">
        <f>IF($AJ797="","Other / Leased Fee",IFERROR(INDEX(mapPTGroup,MATCH(LEFT(TRIM($AJ797),2),mapPTCode,0)),"Other / Leased Fee"))</f>
        <v/>
      </c>
      <c r="CA797" s="76">
        <f>IF(TRIM($AF797&amp;"")="","NR",LEFT(TRIM($AF797),2))</f>
        <v/>
      </c>
      <c r="CB797" s="76">
        <f>IFERROR(LOOKUP(2,1/(LEFT(TRIM($AI797&amp;""),LEN(mapRegion))=mapRegion),mapRegion),"Not Reported")</f>
        <v/>
      </c>
      <c r="CC797" s="76">
        <f>IF($BY797=0,"",IF(TRIM($W797&amp;"")="REO","REO",IF(TRIM($W797&amp;"")="FC","Foreclosure",IF(TRIM($W797&amp;"")="90+","90+ Days Delinquent",IF(TRIM($W797&amp;"")="60","60 Days Delinquent",IF(TRIM($W797&amp;"")="30","30 Days Delinquent",IF($X797="Non-Performing Matured Balloon","Non-Performing Matured Balloon",IF(OR($X797="Late Payment But Less Than 30 Days Delinquent",LEFT($X797&amp;"",20)="Payment Not Received"),"Late / In Grace (&lt;30 Days)",IF($X797="Performing Matured Balloon","Performing Matured Balloon","Current")))))))))</f>
        <v/>
      </c>
      <c r="CD797" s="78">
        <f>IF(OR($CC797="REO",$CC797="Foreclosure",$CC797="90+ Days Delinquent",$CC797="60 Days Delinquent",$CC797="30 Days Delinquent",$CC797="Non-Performing Matured Balloon"),1,0)</f>
        <v/>
      </c>
      <c r="CE797" s="76">
        <f>IF($AB797="Currently special serv","Currently Specially Serviced",IF($AB797="Returned to master serv","Previously Specially Serviced","Never Specially Serviced"))</f>
        <v/>
      </c>
      <c r="CF797" s="78">
        <f>IF($CE797="Currently Specially Serviced",1,0)</f>
        <v/>
      </c>
      <c r="CG797" s="76">
        <f>IF($AA797="Yes","Currently on Watchlist",IF($AA797="Previously","Previously on Watchlist","Never on Watchlist"))</f>
        <v/>
      </c>
      <c r="CH797" s="78">
        <f>IF($CG797="Currently on Watchlist",1,0)</f>
        <v/>
      </c>
      <c r="CI797" s="76">
        <f>IF($Z797="Full Defeasance","Fully Defeased",IF($Z797="Portion Of Loan Previously Defeased","Partially Defeased",IF($Z797="Defeasance Not Allowable","Not Defeased (Not Permitted)","Not Defeased")))</f>
        <v/>
      </c>
      <c r="CJ797" s="78">
        <f>IF($CI797="Fully Defeased",1,0)</f>
        <v/>
      </c>
      <c r="CK797" s="76">
        <f>IF($R797="IO","Full IO",IF(LEFT($R797&amp;"",7)="IO then","Partial IO","Amortizing"))</f>
        <v/>
      </c>
      <c r="CL797" s="78">
        <f>IF($CK797="Full IO",1,0)</f>
        <v/>
      </c>
      <c r="CM797" s="78">
        <f>IF($CK797="Partial IO",1,0)</f>
        <v/>
      </c>
      <c r="CN797" s="76">
        <f>IF(LEFT($F797&amp;"",10)="SPLIT_LOAN","Pari Passu Split","Standalone")</f>
        <v/>
      </c>
      <c r="CO797" s="78">
        <f>IF($CN797="Pari Passu Split",1,0)</f>
        <v/>
      </c>
      <c r="CP797" s="77">
        <f>IF(ISNUMBER($T797),YEAR($T797),"")</f>
        <v/>
      </c>
      <c r="CQ797" s="79">
        <f>IF(ISNUMBER($V797),$V797,IF(ISNUMBER($U797),$U797,""))</f>
        <v/>
      </c>
      <c r="CR797" s="77">
        <f>IF(ISNUMBER($CQ797),YEAR($CQ797),"")</f>
        <v/>
      </c>
      <c r="CS797" s="78">
        <f>IF(ISNUMBER($M797),MAX(0,$M797),IF(TRIM($M797&amp;"")="matured",0,""))</f>
        <v/>
      </c>
      <c r="CT797" s="78">
        <f>IF(AND(ISNUMBER($CS797),N($CS797)&lt;=mMatWindow),1,0)</f>
        <v/>
      </c>
      <c r="CU797" s="80">
        <f>IF(ISNUMBER($J797),$J797/100,"")</f>
        <v/>
      </c>
      <c r="CV797" s="81">
        <f>IF(ISNUMBER($AQ797),$AQ797,"")</f>
        <v/>
      </c>
      <c r="CW797" s="81">
        <f>IF(ISNUMBER($AR797),$AR797,"")</f>
        <v/>
      </c>
      <c r="CX797" s="82">
        <f>IF(ISNUMBER($AS797),$AS797/100,"")</f>
        <v/>
      </c>
      <c r="CY797" s="82">
        <f>IF(ISNUMBER($AT797),$AT797/100,"")</f>
        <v/>
      </c>
      <c r="CZ797" s="82">
        <f>IF(ISNUMBER($AU797),$AU797/100,"")</f>
        <v/>
      </c>
      <c r="DA797" s="82">
        <f>IF(ISNUMBER($AV797),$AV797/100,"")</f>
        <v/>
      </c>
      <c r="DB797" s="82">
        <f>IF(ISNUMBER($AW797),$AW797/100,"")</f>
        <v/>
      </c>
      <c r="DC797" s="82">
        <f>IF(ISNUMBER($AX797),$AX797/100,"")</f>
        <v/>
      </c>
      <c r="DD797" s="77">
        <f>IFERROR(VALUE(LEFT(TRIM($AO797&amp;""),4)),"")</f>
        <v/>
      </c>
      <c r="DE797" s="78">
        <f>IF(AND($BY797=1,$BX797=1,OR(fDeal="All Deals",$BU797=fDeal),OR(fEntity="All Entities",$BV797=fEntity),OR(fPType="All Property Types",$BZ797=fPType),OR(fDefeased="Include",$CJ797=0)),1,0)</f>
        <v/>
      </c>
      <c r="DF797" s="83">
        <f>$DE797*N($I797)</f>
        <v/>
      </c>
      <c r="DG797" s="78">
        <f>IF($DE797=1,IF(COUNTIFS($F$8:$F797,$F797,$DE$8:$DE797,1)=1,1,0),0)</f>
        <v/>
      </c>
      <c r="DH797" s="83">
        <f>IF($DG797=1,SUMIFS($DF$8:$DF$1600,$F$8:$F$1600,$F797),0)</f>
        <v/>
      </c>
      <c r="DI797" s="78">
        <f>IF($DG797=1,COUNTIFS($F$8:$F$1600,$F797,$DE$8:$DE$1600,1),0)</f>
        <v/>
      </c>
      <c r="DJ797" s="84">
        <f>IF($DG797=1,$DH797+(100000-ROW())/mTieBreak,0)</f>
        <v/>
      </c>
    </row>
    <row r="798">
      <c r="B798" s="68" t="n">
        <v>28</v>
      </c>
      <c r="C798" s="69" t="inlineStr">
        <is>
          <t>BCMK18B3</t>
        </is>
      </c>
      <c r="D798" s="69" t="inlineStr">
        <is>
          <t>28.000</t>
        </is>
      </c>
      <c r="E798" s="69" t="inlineStr">
        <is>
          <t>One Mill Run</t>
        </is>
      </c>
      <c r="F798" s="69" t="inlineStr">
        <is>
          <t>LNBCMK18B3-28.000</t>
        </is>
      </c>
      <c r="G798" s="70" t="n"/>
      <c r="H798" s="71" t="n">
        <v>17000000</v>
      </c>
      <c r="I798" s="71" t="n">
        <v>13614263.269994</v>
      </c>
      <c r="J798" s="72" t="n">
        <v>5.269</v>
      </c>
      <c r="K798" s="69" t="inlineStr">
        <is>
          <t>Fixed rate</t>
        </is>
      </c>
      <c r="L798" s="68" t="n">
        <v>120</v>
      </c>
      <c r="M798" s="68" t="n">
        <v>18</v>
      </c>
      <c r="N798" s="68" t="n">
        <v>300</v>
      </c>
      <c r="O798" s="68" t="n"/>
      <c r="P798" s="68" t="n"/>
      <c r="Q798" s="68" t="n">
        <v>102</v>
      </c>
      <c r="R798" s="69" t="n"/>
      <c r="S798" s="69" t="inlineStr">
        <is>
          <t>No</t>
        </is>
      </c>
      <c r="T798" s="73" t="n">
        <v>43160</v>
      </c>
      <c r="U798" s="73" t="n">
        <v>46818</v>
      </c>
      <c r="V798" s="73" t="n"/>
      <c r="W798" s="69" t="n"/>
      <c r="X798" s="69" t="inlineStr">
        <is>
          <t>Current</t>
        </is>
      </c>
      <c r="Y798" s="68" t="n"/>
      <c r="Z798" s="69" t="inlineStr">
        <is>
          <t>No Defeasance Occurred</t>
        </is>
      </c>
      <c r="AA798" s="69" t="inlineStr">
        <is>
          <t>Yes</t>
        </is>
      </c>
      <c r="AB798" s="69" t="inlineStr">
        <is>
          <t>Never special serv</t>
        </is>
      </c>
      <c r="AC798" s="73" t="n"/>
      <c r="AD798" s="69" t="n"/>
      <c r="AE798" s="69" t="n"/>
      <c r="AF798" s="69" t="inlineStr">
        <is>
          <t>OH</t>
        </is>
      </c>
      <c r="AG798" s="69" t="inlineStr">
        <is>
          <t>Hilliard</t>
        </is>
      </c>
      <c r="AH798" s="69" t="inlineStr">
        <is>
          <t>Columbus, OH</t>
        </is>
      </c>
      <c r="AI798" s="69" t="inlineStr">
        <is>
          <t>Midwest / Central East</t>
        </is>
      </c>
      <c r="AJ798" s="69" t="inlineStr">
        <is>
          <t>OF</t>
        </is>
      </c>
      <c r="AK798" s="69" t="inlineStr">
        <is>
          <t>Suburban</t>
        </is>
      </c>
      <c r="AL798" s="68" t="n">
        <v>1</v>
      </c>
      <c r="AM798" s="68" t="n"/>
      <c r="AN798" s="68" t="n">
        <v>174323</v>
      </c>
      <c r="AO798" s="69" t="inlineStr">
        <is>
          <t>1989</t>
        </is>
      </c>
      <c r="AP798" s="70" t="n">
        <v>2017</v>
      </c>
      <c r="AQ798" s="74" t="n">
        <v>1.37</v>
      </c>
      <c r="AR798" s="74" t="n">
        <v>0.86</v>
      </c>
      <c r="AS798" s="74" t="n">
        <v>68.2</v>
      </c>
      <c r="AT798" s="74" t="n">
        <v>54.68</v>
      </c>
      <c r="AU798" s="74" t="n">
        <v>51.6</v>
      </c>
      <c r="AV798" s="74" t="n">
        <v>9.856386294</v>
      </c>
      <c r="AW798" s="74" t="n">
        <v>8.948766201</v>
      </c>
      <c r="AX798" s="75" t="n">
        <v>56</v>
      </c>
      <c r="AY798" s="71" t="n">
        <v>24900000</v>
      </c>
      <c r="AZ798" s="71" t="n">
        <v>24900000</v>
      </c>
      <c r="BA798" s="71" t="n">
        <v>1675585.67</v>
      </c>
      <c r="BB798" s="71" t="n">
        <v>1048705.5</v>
      </c>
      <c r="BC798" s="69" t="inlineStr">
        <is>
          <t>Refinance</t>
        </is>
      </c>
      <c r="BD798" s="69" t="inlineStr">
        <is>
          <t>N</t>
        </is>
      </c>
      <c r="BE798" s="71" t="n"/>
      <c r="BF798" s="71" t="n"/>
      <c r="BG798" s="71" t="n"/>
      <c r="BH798" s="71" t="n">
        <v>0</v>
      </c>
      <c r="BI798" s="71" t="n">
        <v>0</v>
      </c>
      <c r="BJ798" s="69" t="inlineStr">
        <is>
          <t>N</t>
        </is>
      </c>
      <c r="BK798" s="69" t="inlineStr">
        <is>
          <t>TALX UCM Services</t>
        </is>
      </c>
      <c r="BL798" s="75" t="n">
        <v>14.88</v>
      </c>
      <c r="BM798" s="73" t="n">
        <v>46387</v>
      </c>
      <c r="BN798" s="69" t="inlineStr">
        <is>
          <t>Thomas Marmaros</t>
        </is>
      </c>
      <c r="BO798" s="69" t="inlineStr">
        <is>
          <t>GACC</t>
        </is>
      </c>
      <c r="BP798" s="69" t="inlineStr">
        <is>
          <t>Midland Loan Services</t>
        </is>
      </c>
      <c r="BQ798" s="69" t="inlineStr">
        <is>
          <t>K-Star Asset Management LLC</t>
        </is>
      </c>
      <c r="BR798" s="69" t="n"/>
      <c r="BS798" s="73" t="n">
        <v>46273</v>
      </c>
      <c r="BU798" s="76">
        <f>IF($C798="","",IFERROR(INDEX(dmName,MATCH($C798,dmID,0)),"Unmapped"))</f>
        <v/>
      </c>
      <c r="BV798" s="76">
        <f>IF($C798="","",IFERROR(INDEX(dmEntity,MATCH($C798,dmID,0)),"Unmapped"))</f>
        <v/>
      </c>
      <c r="BW798" s="77">
        <f>IF($C798="","",IFERROR(INDEX(dmVintage,MATCH($C798,dmID,0)),""))</f>
        <v/>
      </c>
      <c r="BX798" s="78">
        <f>IFERROR(INDEX(dmInclude,MATCH($C798,dmID,0)),0)</f>
        <v/>
      </c>
      <c r="BY798" s="78">
        <f>IF(N($I798)&gt;0,1,0)</f>
        <v/>
      </c>
      <c r="BZ798" s="76">
        <f>IF($AJ798="","Other / Leased Fee",IFERROR(INDEX(mapPTGroup,MATCH(LEFT(TRIM($AJ798),2),mapPTCode,0)),"Other / Leased Fee"))</f>
        <v/>
      </c>
      <c r="CA798" s="76">
        <f>IF(TRIM($AF798&amp;"")="","NR",LEFT(TRIM($AF798),2))</f>
        <v/>
      </c>
      <c r="CB798" s="76">
        <f>IFERROR(LOOKUP(2,1/(LEFT(TRIM($AI798&amp;""),LEN(mapRegion))=mapRegion),mapRegion),"Not Reported")</f>
        <v/>
      </c>
      <c r="CC798" s="76">
        <f>IF($BY798=0,"",IF(TRIM($W798&amp;"")="REO","REO",IF(TRIM($W798&amp;"")="FC","Foreclosure",IF(TRIM($W798&amp;"")="90+","90+ Days Delinquent",IF(TRIM($W798&amp;"")="60","60 Days Delinquent",IF(TRIM($W798&amp;"")="30","30 Days Delinquent",IF($X798="Non-Performing Matured Balloon","Non-Performing Matured Balloon",IF(OR($X798="Late Payment But Less Than 30 Days Delinquent",LEFT($X798&amp;"",20)="Payment Not Received"),"Late / In Grace (&lt;30 Days)",IF($X798="Performing Matured Balloon","Performing Matured Balloon","Current")))))))))</f>
        <v/>
      </c>
      <c r="CD798" s="78">
        <f>IF(OR($CC798="REO",$CC798="Foreclosure",$CC798="90+ Days Delinquent",$CC798="60 Days Delinquent",$CC798="30 Days Delinquent",$CC798="Non-Performing Matured Balloon"),1,0)</f>
        <v/>
      </c>
      <c r="CE798" s="76">
        <f>IF($AB798="Currently special serv","Currently Specially Serviced",IF($AB798="Returned to master serv","Previously Specially Serviced","Never Specially Serviced"))</f>
        <v/>
      </c>
      <c r="CF798" s="78">
        <f>IF($CE798="Currently Specially Serviced",1,0)</f>
        <v/>
      </c>
      <c r="CG798" s="76">
        <f>IF($AA798="Yes","Currently on Watchlist",IF($AA798="Previously","Previously on Watchlist","Never on Watchlist"))</f>
        <v/>
      </c>
      <c r="CH798" s="78">
        <f>IF($CG798="Currently on Watchlist",1,0)</f>
        <v/>
      </c>
      <c r="CI798" s="76">
        <f>IF($Z798="Full Defeasance","Fully Defeased",IF($Z798="Portion Of Loan Previously Defeased","Partially Defeased",IF($Z798="Defeasance Not Allowable","Not Defeased (Not Permitted)","Not Defeased")))</f>
        <v/>
      </c>
      <c r="CJ798" s="78">
        <f>IF($CI798="Fully Defeased",1,0)</f>
        <v/>
      </c>
      <c r="CK798" s="76">
        <f>IF($R798="IO","Full IO",IF(LEFT($R798&amp;"",7)="IO then","Partial IO","Amortizing"))</f>
        <v/>
      </c>
      <c r="CL798" s="78">
        <f>IF($CK798="Full IO",1,0)</f>
        <v/>
      </c>
      <c r="CM798" s="78">
        <f>IF($CK798="Partial IO",1,0)</f>
        <v/>
      </c>
      <c r="CN798" s="76">
        <f>IF(LEFT($F798&amp;"",10)="SPLIT_LOAN","Pari Passu Split","Standalone")</f>
        <v/>
      </c>
      <c r="CO798" s="78">
        <f>IF($CN798="Pari Passu Split",1,0)</f>
        <v/>
      </c>
      <c r="CP798" s="77">
        <f>IF(ISNUMBER($T798),YEAR($T798),"")</f>
        <v/>
      </c>
      <c r="CQ798" s="79">
        <f>IF(ISNUMBER($V798),$V798,IF(ISNUMBER($U798),$U798,""))</f>
        <v/>
      </c>
      <c r="CR798" s="77">
        <f>IF(ISNUMBER($CQ798),YEAR($CQ798),"")</f>
        <v/>
      </c>
      <c r="CS798" s="78">
        <f>IF(ISNUMBER($M798),MAX(0,$M798),IF(TRIM($M798&amp;"")="matured",0,""))</f>
        <v/>
      </c>
      <c r="CT798" s="78">
        <f>IF(AND(ISNUMBER($CS798),N($CS798)&lt;=mMatWindow),1,0)</f>
        <v/>
      </c>
      <c r="CU798" s="80">
        <f>IF(ISNUMBER($J798),$J798/100,"")</f>
        <v/>
      </c>
      <c r="CV798" s="81">
        <f>IF(ISNUMBER($AQ798),$AQ798,"")</f>
        <v/>
      </c>
      <c r="CW798" s="81">
        <f>IF(ISNUMBER($AR798),$AR798,"")</f>
        <v/>
      </c>
      <c r="CX798" s="82">
        <f>IF(ISNUMBER($AS798),$AS798/100,"")</f>
        <v/>
      </c>
      <c r="CY798" s="82">
        <f>IF(ISNUMBER($AT798),$AT798/100,"")</f>
        <v/>
      </c>
      <c r="CZ798" s="82">
        <f>IF(ISNUMBER($AU798),$AU798/100,"")</f>
        <v/>
      </c>
      <c r="DA798" s="82">
        <f>IF(ISNUMBER($AV798),$AV798/100,"")</f>
        <v/>
      </c>
      <c r="DB798" s="82">
        <f>IF(ISNUMBER($AW798),$AW798/100,"")</f>
        <v/>
      </c>
      <c r="DC798" s="82">
        <f>IF(ISNUMBER($AX798),$AX798/100,"")</f>
        <v/>
      </c>
      <c r="DD798" s="77">
        <f>IFERROR(VALUE(LEFT(TRIM($AO798&amp;""),4)),"")</f>
        <v/>
      </c>
      <c r="DE798" s="78">
        <f>IF(AND($BY798=1,$BX798=1,OR(fDeal="All Deals",$BU798=fDeal),OR(fEntity="All Entities",$BV798=fEntity),OR(fPType="All Property Types",$BZ798=fPType),OR(fDefeased="Include",$CJ798=0)),1,0)</f>
        <v/>
      </c>
      <c r="DF798" s="83">
        <f>$DE798*N($I798)</f>
        <v/>
      </c>
      <c r="DG798" s="78">
        <f>IF($DE798=1,IF(COUNTIFS($F$8:$F798,$F798,$DE$8:$DE798,1)=1,1,0),0)</f>
        <v/>
      </c>
      <c r="DH798" s="83">
        <f>IF($DG798=1,SUMIFS($DF$8:$DF$1600,$F$8:$F$1600,$F798),0)</f>
        <v/>
      </c>
      <c r="DI798" s="78">
        <f>IF($DG798=1,COUNTIFS($F$8:$F$1600,$F798,$DE$8:$DE$1600,1),0)</f>
        <v/>
      </c>
      <c r="DJ798" s="84">
        <f>IF($DG798=1,$DH798+(100000-ROW())/mTieBreak,0)</f>
        <v/>
      </c>
    </row>
    <row r="799">
      <c r="B799" s="68" t="n">
        <v>29</v>
      </c>
      <c r="C799" s="69" t="inlineStr">
        <is>
          <t>BCMK18B3</t>
        </is>
      </c>
      <c r="D799" s="69" t="inlineStr">
        <is>
          <t>29.000</t>
        </is>
      </c>
      <c r="E799" s="69" t="inlineStr">
        <is>
          <t>Holiday Inn Miami West Airport Area</t>
        </is>
      </c>
      <c r="F799" s="69" t="inlineStr">
        <is>
          <t>LNBCMK18B3-29.000</t>
        </is>
      </c>
      <c r="G799" s="70" t="n"/>
      <c r="H799" s="71" t="n">
        <v>16000000</v>
      </c>
      <c r="I799" s="71" t="n">
        <v>0</v>
      </c>
      <c r="J799" s="72" t="n">
        <v>5.7875</v>
      </c>
      <c r="K799" s="69" t="inlineStr">
        <is>
          <t>Fixed rate</t>
        </is>
      </c>
      <c r="L799" s="68" t="n">
        <v>60</v>
      </c>
      <c r="M799" s="68" t="n"/>
      <c r="N799" s="68" t="n">
        <v>360</v>
      </c>
      <c r="O799" s="68" t="n"/>
      <c r="P799" s="68" t="n"/>
      <c r="Q799" s="68" t="n"/>
      <c r="R799" s="69" t="n"/>
      <c r="S799" s="69" t="inlineStr">
        <is>
          <t>No</t>
        </is>
      </c>
      <c r="T799" s="73" t="n">
        <v>43191</v>
      </c>
      <c r="U799" s="73" t="n">
        <v>45017</v>
      </c>
      <c r="V799" s="73" t="n"/>
      <c r="W799" s="69" t="n"/>
      <c r="X799" s="69" t="inlineStr">
        <is>
          <t>Current</t>
        </is>
      </c>
      <c r="Y799" s="68" t="n"/>
      <c r="Z799" s="69" t="inlineStr">
        <is>
          <t>Defeasance Not Allowable</t>
        </is>
      </c>
      <c r="AA799" s="69" t="inlineStr">
        <is>
          <t>Previously</t>
        </is>
      </c>
      <c r="AB799" s="69" t="inlineStr">
        <is>
          <t>Never special serv</t>
        </is>
      </c>
      <c r="AC799" s="73" t="n"/>
      <c r="AD799" s="69" t="n"/>
      <c r="AE799" s="69" t="n"/>
      <c r="AF799" s="69" t="inlineStr">
        <is>
          <t>FL</t>
        </is>
      </c>
      <c r="AG799" s="69" t="inlineStr">
        <is>
          <t>Hialeah</t>
        </is>
      </c>
      <c r="AH799" s="69" t="inlineStr">
        <is>
          <t>Miami-Fort Lauderdale-West Palm Beach, FL</t>
        </is>
      </c>
      <c r="AI799" s="69" t="inlineStr">
        <is>
          <t>South / Atlantic</t>
        </is>
      </c>
      <c r="AJ799" s="69" t="inlineStr">
        <is>
          <t>HT</t>
        </is>
      </c>
      <c r="AK799" s="69" t="inlineStr">
        <is>
          <t>Full Service</t>
        </is>
      </c>
      <c r="AL799" s="68" t="n">
        <v>1</v>
      </c>
      <c r="AM799" s="68" t="n">
        <v>263</v>
      </c>
      <c r="AN799" s="68" t="n"/>
      <c r="AO799" s="69" t="inlineStr">
        <is>
          <t>2015</t>
        </is>
      </c>
      <c r="AP799" s="70" t="n">
        <v>2016</v>
      </c>
      <c r="AQ799" s="74" t="n">
        <v>1.97</v>
      </c>
      <c r="AR799" s="74" t="n">
        <v>1.38</v>
      </c>
      <c r="AS799" s="74" t="n">
        <v>57.1</v>
      </c>
      <c r="AT799" s="74" t="n"/>
      <c r="AU799" s="74" t="n">
        <v>53.3</v>
      </c>
      <c r="AV799" s="74" t="n">
        <v>13.8363625</v>
      </c>
      <c r="AW799" s="74" t="n"/>
      <c r="AX799" s="75" t="n">
        <v>60</v>
      </c>
      <c r="AY799" s="71" t="n">
        <v>28000000</v>
      </c>
      <c r="AZ799" s="71" t="n">
        <v>28000000</v>
      </c>
      <c r="BA799" s="71" t="n">
        <v>2213818</v>
      </c>
      <c r="BB799" s="71" t="n">
        <v>1553323.85</v>
      </c>
      <c r="BC799" s="69" t="inlineStr">
        <is>
          <t>Refinance</t>
        </is>
      </c>
      <c r="BD799" s="69" t="inlineStr">
        <is>
          <t>N</t>
        </is>
      </c>
      <c r="BE799" s="71" t="n"/>
      <c r="BF799" s="71" t="n"/>
      <c r="BG799" s="71" t="n">
        <v>3000000</v>
      </c>
      <c r="BH799" s="71" t="n">
        <v>0</v>
      </c>
      <c r="BI799" s="71" t="n">
        <v>0</v>
      </c>
      <c r="BJ799" s="69" t="inlineStr">
        <is>
          <t>N</t>
        </is>
      </c>
      <c r="BK799" s="69" t="n"/>
      <c r="BL799" s="75" t="n"/>
      <c r="BM799" s="73" t="n"/>
      <c r="BN799" s="69" t="inlineStr">
        <is>
          <t>Linchris Hotel Corporation</t>
        </is>
      </c>
      <c r="BO799" s="69" t="inlineStr">
        <is>
          <t>JPMorgan Chase</t>
        </is>
      </c>
      <c r="BP799" s="69" t="inlineStr">
        <is>
          <t>Midland Loan Services</t>
        </is>
      </c>
      <c r="BQ799" s="69" t="inlineStr">
        <is>
          <t>Midland Loan Services</t>
        </is>
      </c>
      <c r="BR799" s="69" t="inlineStr">
        <is>
          <t>Payoff With Yield Maintenance</t>
        </is>
      </c>
      <c r="BS799" s="73" t="n">
        <v>44508</v>
      </c>
      <c r="BU799" s="76">
        <f>IF($C799="","",IFERROR(INDEX(dmName,MATCH($C799,dmID,0)),"Unmapped"))</f>
        <v/>
      </c>
      <c r="BV799" s="76">
        <f>IF($C799="","",IFERROR(INDEX(dmEntity,MATCH($C799,dmID,0)),"Unmapped"))</f>
        <v/>
      </c>
      <c r="BW799" s="77">
        <f>IF($C799="","",IFERROR(INDEX(dmVintage,MATCH($C799,dmID,0)),""))</f>
        <v/>
      </c>
      <c r="BX799" s="78">
        <f>IFERROR(INDEX(dmInclude,MATCH($C799,dmID,0)),0)</f>
        <v/>
      </c>
      <c r="BY799" s="78">
        <f>IF(N($I799)&gt;0,1,0)</f>
        <v/>
      </c>
      <c r="BZ799" s="76">
        <f>IF($AJ799="","Other / Leased Fee",IFERROR(INDEX(mapPTGroup,MATCH(LEFT(TRIM($AJ799),2),mapPTCode,0)),"Other / Leased Fee"))</f>
        <v/>
      </c>
      <c r="CA799" s="76">
        <f>IF(TRIM($AF799&amp;"")="","NR",LEFT(TRIM($AF799),2))</f>
        <v/>
      </c>
      <c r="CB799" s="76">
        <f>IFERROR(LOOKUP(2,1/(LEFT(TRIM($AI799&amp;""),LEN(mapRegion))=mapRegion),mapRegion),"Not Reported")</f>
        <v/>
      </c>
      <c r="CC799" s="76">
        <f>IF($BY799=0,"",IF(TRIM($W799&amp;"")="REO","REO",IF(TRIM($W799&amp;"")="FC","Foreclosure",IF(TRIM($W799&amp;"")="90+","90+ Days Delinquent",IF(TRIM($W799&amp;"")="60","60 Days Delinquent",IF(TRIM($W799&amp;"")="30","30 Days Delinquent",IF($X799="Non-Performing Matured Balloon","Non-Performing Matured Balloon",IF(OR($X799="Late Payment But Less Than 30 Days Delinquent",LEFT($X799&amp;"",20)="Payment Not Received"),"Late / In Grace (&lt;30 Days)",IF($X799="Performing Matured Balloon","Performing Matured Balloon","Current")))))))))</f>
        <v/>
      </c>
      <c r="CD799" s="78">
        <f>IF(OR($CC799="REO",$CC799="Foreclosure",$CC799="90+ Days Delinquent",$CC799="60 Days Delinquent",$CC799="30 Days Delinquent",$CC799="Non-Performing Matured Balloon"),1,0)</f>
        <v/>
      </c>
      <c r="CE799" s="76">
        <f>IF($AB799="Currently special serv","Currently Specially Serviced",IF($AB799="Returned to master serv","Previously Specially Serviced","Never Specially Serviced"))</f>
        <v/>
      </c>
      <c r="CF799" s="78">
        <f>IF($CE799="Currently Specially Serviced",1,0)</f>
        <v/>
      </c>
      <c r="CG799" s="76">
        <f>IF($AA799="Yes","Currently on Watchlist",IF($AA799="Previously","Previously on Watchlist","Never on Watchlist"))</f>
        <v/>
      </c>
      <c r="CH799" s="78">
        <f>IF($CG799="Currently on Watchlist",1,0)</f>
        <v/>
      </c>
      <c r="CI799" s="76">
        <f>IF($Z799="Full Defeasance","Fully Defeased",IF($Z799="Portion Of Loan Previously Defeased","Partially Defeased",IF($Z799="Defeasance Not Allowable","Not Defeased (Not Permitted)","Not Defeased")))</f>
        <v/>
      </c>
      <c r="CJ799" s="78">
        <f>IF($CI799="Fully Defeased",1,0)</f>
        <v/>
      </c>
      <c r="CK799" s="76">
        <f>IF($R799="IO","Full IO",IF(LEFT($R799&amp;"",7)="IO then","Partial IO","Amortizing"))</f>
        <v/>
      </c>
      <c r="CL799" s="78">
        <f>IF($CK799="Full IO",1,0)</f>
        <v/>
      </c>
      <c r="CM799" s="78">
        <f>IF($CK799="Partial IO",1,0)</f>
        <v/>
      </c>
      <c r="CN799" s="76">
        <f>IF(LEFT($F799&amp;"",10)="SPLIT_LOAN","Pari Passu Split","Standalone")</f>
        <v/>
      </c>
      <c r="CO799" s="78">
        <f>IF($CN799="Pari Passu Split",1,0)</f>
        <v/>
      </c>
      <c r="CP799" s="77">
        <f>IF(ISNUMBER($T799),YEAR($T799),"")</f>
        <v/>
      </c>
      <c r="CQ799" s="79">
        <f>IF(ISNUMBER($V799),$V799,IF(ISNUMBER($U799),$U799,""))</f>
        <v/>
      </c>
      <c r="CR799" s="77">
        <f>IF(ISNUMBER($CQ799),YEAR($CQ799),"")</f>
        <v/>
      </c>
      <c r="CS799" s="78">
        <f>IF(ISNUMBER($M799),MAX(0,$M799),IF(TRIM($M799&amp;"")="matured",0,""))</f>
        <v/>
      </c>
      <c r="CT799" s="78">
        <f>IF(AND(ISNUMBER($CS799),N($CS799)&lt;=mMatWindow),1,0)</f>
        <v/>
      </c>
      <c r="CU799" s="80">
        <f>IF(ISNUMBER($J799),$J799/100,"")</f>
        <v/>
      </c>
      <c r="CV799" s="81">
        <f>IF(ISNUMBER($AQ799),$AQ799,"")</f>
        <v/>
      </c>
      <c r="CW799" s="81">
        <f>IF(ISNUMBER($AR799),$AR799,"")</f>
        <v/>
      </c>
      <c r="CX799" s="82">
        <f>IF(ISNUMBER($AS799),$AS799/100,"")</f>
        <v/>
      </c>
      <c r="CY799" s="82">
        <f>IF(ISNUMBER($AT799),$AT799/100,"")</f>
        <v/>
      </c>
      <c r="CZ799" s="82">
        <f>IF(ISNUMBER($AU799),$AU799/100,"")</f>
        <v/>
      </c>
      <c r="DA799" s="82">
        <f>IF(ISNUMBER($AV799),$AV799/100,"")</f>
        <v/>
      </c>
      <c r="DB799" s="82">
        <f>IF(ISNUMBER($AW799),$AW799/100,"")</f>
        <v/>
      </c>
      <c r="DC799" s="82">
        <f>IF(ISNUMBER($AX799),$AX799/100,"")</f>
        <v/>
      </c>
      <c r="DD799" s="77">
        <f>IFERROR(VALUE(LEFT(TRIM($AO799&amp;""),4)),"")</f>
        <v/>
      </c>
      <c r="DE799" s="78">
        <f>IF(AND($BY799=1,$BX799=1,OR(fDeal="All Deals",$BU799=fDeal),OR(fEntity="All Entities",$BV799=fEntity),OR(fPType="All Property Types",$BZ799=fPType),OR(fDefeased="Include",$CJ799=0)),1,0)</f>
        <v/>
      </c>
      <c r="DF799" s="83">
        <f>$DE799*N($I799)</f>
        <v/>
      </c>
      <c r="DG799" s="78">
        <f>IF($DE799=1,IF(COUNTIFS($F$8:$F799,$F799,$DE$8:$DE799,1)=1,1,0),0)</f>
        <v/>
      </c>
      <c r="DH799" s="83">
        <f>IF($DG799=1,SUMIFS($DF$8:$DF$1600,$F$8:$F$1600,$F799),0)</f>
        <v/>
      </c>
      <c r="DI799" s="78">
        <f>IF($DG799=1,COUNTIFS($F$8:$F$1600,$F799,$DE$8:$DE$1600,1),0)</f>
        <v/>
      </c>
      <c r="DJ799" s="84">
        <f>IF($DG799=1,$DH799+(100000-ROW())/mTieBreak,0)</f>
        <v/>
      </c>
    </row>
    <row r="800">
      <c r="B800" s="68" t="n">
        <v>30</v>
      </c>
      <c r="C800" s="69" t="inlineStr">
        <is>
          <t>BCMK18B3</t>
        </is>
      </c>
      <c r="D800" s="69" t="inlineStr">
        <is>
          <t>30.000</t>
        </is>
      </c>
      <c r="E800" s="69" t="inlineStr">
        <is>
          <t>Patchwork Farms Shopping Center</t>
        </is>
      </c>
      <c r="F800" s="69" t="inlineStr">
        <is>
          <t>LNBCMK18B3-30.000</t>
        </is>
      </c>
      <c r="G800" s="70" t="n"/>
      <c r="H800" s="71" t="n">
        <v>14750000</v>
      </c>
      <c r="I800" s="71" t="n">
        <v>14750000</v>
      </c>
      <c r="J800" s="72" t="n">
        <v>4.516</v>
      </c>
      <c r="K800" s="69" t="inlineStr">
        <is>
          <t>Fixed rate</t>
        </is>
      </c>
      <c r="L800" s="68" t="n">
        <v>120</v>
      </c>
      <c r="M800" s="68" t="n">
        <v>18</v>
      </c>
      <c r="N800" s="68" t="n">
        <v>120</v>
      </c>
      <c r="O800" s="68" t="n">
        <v>120</v>
      </c>
      <c r="P800" s="68" t="n">
        <v>18</v>
      </c>
      <c r="Q800" s="68" t="n">
        <v>102</v>
      </c>
      <c r="R800" s="69" t="inlineStr">
        <is>
          <t>IO</t>
        </is>
      </c>
      <c r="S800" s="69" t="inlineStr">
        <is>
          <t>Yes</t>
        </is>
      </c>
      <c r="T800" s="73" t="n">
        <v>43160</v>
      </c>
      <c r="U800" s="73" t="n">
        <v>46813</v>
      </c>
      <c r="V800" s="73" t="n"/>
      <c r="W800" s="69" t="n"/>
      <c r="X800" s="69" t="inlineStr">
        <is>
          <t>Current</t>
        </is>
      </c>
      <c r="Y800" s="68" t="n"/>
      <c r="Z800" s="69" t="inlineStr">
        <is>
          <t>No Defeasance Occurred</t>
        </is>
      </c>
      <c r="AA800" s="69" t="inlineStr">
        <is>
          <t>Previously</t>
        </is>
      </c>
      <c r="AB800" s="69" t="inlineStr">
        <is>
          <t>Never special serv</t>
        </is>
      </c>
      <c r="AC800" s="73" t="n"/>
      <c r="AD800" s="69" t="n"/>
      <c r="AE800" s="69" t="n"/>
      <c r="AF800" s="69" t="inlineStr">
        <is>
          <t>AL</t>
        </is>
      </c>
      <c r="AG800" s="69" t="inlineStr">
        <is>
          <t>Birmingham</t>
        </is>
      </c>
      <c r="AH800" s="69" t="inlineStr">
        <is>
          <t>Birmingham, AL</t>
        </is>
      </c>
      <c r="AI800" s="69" t="inlineStr">
        <is>
          <t>South / Central East</t>
        </is>
      </c>
      <c r="AJ800" s="69" t="inlineStr">
        <is>
          <t>RT</t>
        </is>
      </c>
      <c r="AK800" s="69" t="inlineStr">
        <is>
          <t>Anchored</t>
        </is>
      </c>
      <c r="AL800" s="68" t="n">
        <v>1</v>
      </c>
      <c r="AM800" s="68" t="n"/>
      <c r="AN800" s="68" t="n">
        <v>81600</v>
      </c>
      <c r="AO800" s="69" t="inlineStr">
        <is>
          <t>2016-2017</t>
        </is>
      </c>
      <c r="AP800" s="70" t="n">
        <v>2017</v>
      </c>
      <c r="AQ800" s="74" t="n">
        <v>1.95</v>
      </c>
      <c r="AR800" s="74" t="n">
        <v>1.95</v>
      </c>
      <c r="AS800" s="74" t="n">
        <v>63.9</v>
      </c>
      <c r="AT800" s="74" t="n">
        <v>63.85</v>
      </c>
      <c r="AU800" s="74" t="n">
        <v>63.9</v>
      </c>
      <c r="AV800" s="74" t="n">
        <v>8.933450847</v>
      </c>
      <c r="AW800" s="74" t="n">
        <v>9.911006983</v>
      </c>
      <c r="AX800" s="75" t="n">
        <v>100</v>
      </c>
      <c r="AY800" s="71" t="n">
        <v>23100000</v>
      </c>
      <c r="AZ800" s="71" t="n">
        <v>23100000</v>
      </c>
      <c r="BA800" s="71" t="n">
        <v>1317684</v>
      </c>
      <c r="BB800" s="71" t="n">
        <v>1317459.2</v>
      </c>
      <c r="BC800" s="69" t="inlineStr">
        <is>
          <t>Acquisition</t>
        </is>
      </c>
      <c r="BD800" s="69" t="inlineStr">
        <is>
          <t>N</t>
        </is>
      </c>
      <c r="BE800" s="71" t="n"/>
      <c r="BF800" s="71" t="n"/>
      <c r="BG800" s="71" t="n"/>
      <c r="BH800" s="71" t="n">
        <v>0</v>
      </c>
      <c r="BI800" s="71" t="n">
        <v>0</v>
      </c>
      <c r="BJ800" s="69" t="inlineStr">
        <is>
          <t>N</t>
        </is>
      </c>
      <c r="BK800" s="69" t="inlineStr">
        <is>
          <t>Publix Supermarket #1545</t>
        </is>
      </c>
      <c r="BL800" s="75" t="n">
        <v>55.88</v>
      </c>
      <c r="BM800" s="73" t="n">
        <v>50040</v>
      </c>
      <c r="BN800" s="69" t="inlineStr">
        <is>
          <t>Manduley Investments, LLC</t>
        </is>
      </c>
      <c r="BO800" s="69" t="inlineStr">
        <is>
          <t>JPMorgan Chase</t>
        </is>
      </c>
      <c r="BP800" s="69" t="inlineStr">
        <is>
          <t>Midland Loan Services</t>
        </is>
      </c>
      <c r="BQ800" s="69" t="inlineStr">
        <is>
          <t>K-Star Asset Management LLC</t>
        </is>
      </c>
      <c r="BR800" s="69" t="n"/>
      <c r="BS800" s="73" t="n">
        <v>46273</v>
      </c>
      <c r="BU800" s="76">
        <f>IF($C800="","",IFERROR(INDEX(dmName,MATCH($C800,dmID,0)),"Unmapped"))</f>
        <v/>
      </c>
      <c r="BV800" s="76">
        <f>IF($C800="","",IFERROR(INDEX(dmEntity,MATCH($C800,dmID,0)),"Unmapped"))</f>
        <v/>
      </c>
      <c r="BW800" s="77">
        <f>IF($C800="","",IFERROR(INDEX(dmVintage,MATCH($C800,dmID,0)),""))</f>
        <v/>
      </c>
      <c r="BX800" s="78">
        <f>IFERROR(INDEX(dmInclude,MATCH($C800,dmID,0)),0)</f>
        <v/>
      </c>
      <c r="BY800" s="78">
        <f>IF(N($I800)&gt;0,1,0)</f>
        <v/>
      </c>
      <c r="BZ800" s="76">
        <f>IF($AJ800="","Other / Leased Fee",IFERROR(INDEX(mapPTGroup,MATCH(LEFT(TRIM($AJ800),2),mapPTCode,0)),"Other / Leased Fee"))</f>
        <v/>
      </c>
      <c r="CA800" s="76">
        <f>IF(TRIM($AF800&amp;"")="","NR",LEFT(TRIM($AF800),2))</f>
        <v/>
      </c>
      <c r="CB800" s="76">
        <f>IFERROR(LOOKUP(2,1/(LEFT(TRIM($AI800&amp;""),LEN(mapRegion))=mapRegion),mapRegion),"Not Reported")</f>
        <v/>
      </c>
      <c r="CC800" s="76">
        <f>IF($BY800=0,"",IF(TRIM($W800&amp;"")="REO","REO",IF(TRIM($W800&amp;"")="FC","Foreclosure",IF(TRIM($W800&amp;"")="90+","90+ Days Delinquent",IF(TRIM($W800&amp;"")="60","60 Days Delinquent",IF(TRIM($W800&amp;"")="30","30 Days Delinquent",IF($X800="Non-Performing Matured Balloon","Non-Performing Matured Balloon",IF(OR($X800="Late Payment But Less Than 30 Days Delinquent",LEFT($X800&amp;"",20)="Payment Not Received"),"Late / In Grace (&lt;30 Days)",IF($X800="Performing Matured Balloon","Performing Matured Balloon","Current")))))))))</f>
        <v/>
      </c>
      <c r="CD800" s="78">
        <f>IF(OR($CC800="REO",$CC800="Foreclosure",$CC800="90+ Days Delinquent",$CC800="60 Days Delinquent",$CC800="30 Days Delinquent",$CC800="Non-Performing Matured Balloon"),1,0)</f>
        <v/>
      </c>
      <c r="CE800" s="76">
        <f>IF($AB800="Currently special serv","Currently Specially Serviced",IF($AB800="Returned to master serv","Previously Specially Serviced","Never Specially Serviced"))</f>
        <v/>
      </c>
      <c r="CF800" s="78">
        <f>IF($CE800="Currently Specially Serviced",1,0)</f>
        <v/>
      </c>
      <c r="CG800" s="76">
        <f>IF($AA800="Yes","Currently on Watchlist",IF($AA800="Previously","Previously on Watchlist","Never on Watchlist"))</f>
        <v/>
      </c>
      <c r="CH800" s="78">
        <f>IF($CG800="Currently on Watchlist",1,0)</f>
        <v/>
      </c>
      <c r="CI800" s="76">
        <f>IF($Z800="Full Defeasance","Fully Defeased",IF($Z800="Portion Of Loan Previously Defeased","Partially Defeased",IF($Z800="Defeasance Not Allowable","Not Defeased (Not Permitted)","Not Defeased")))</f>
        <v/>
      </c>
      <c r="CJ800" s="78">
        <f>IF($CI800="Fully Defeased",1,0)</f>
        <v/>
      </c>
      <c r="CK800" s="76">
        <f>IF($R800="IO","Full IO",IF(LEFT($R800&amp;"",7)="IO then","Partial IO","Amortizing"))</f>
        <v/>
      </c>
      <c r="CL800" s="78">
        <f>IF($CK800="Full IO",1,0)</f>
        <v/>
      </c>
      <c r="CM800" s="78">
        <f>IF($CK800="Partial IO",1,0)</f>
        <v/>
      </c>
      <c r="CN800" s="76">
        <f>IF(LEFT($F800&amp;"",10)="SPLIT_LOAN","Pari Passu Split","Standalone")</f>
        <v/>
      </c>
      <c r="CO800" s="78">
        <f>IF($CN800="Pari Passu Split",1,0)</f>
        <v/>
      </c>
      <c r="CP800" s="77">
        <f>IF(ISNUMBER($T800),YEAR($T800),"")</f>
        <v/>
      </c>
      <c r="CQ800" s="79">
        <f>IF(ISNUMBER($V800),$V800,IF(ISNUMBER($U800),$U800,""))</f>
        <v/>
      </c>
      <c r="CR800" s="77">
        <f>IF(ISNUMBER($CQ800),YEAR($CQ800),"")</f>
        <v/>
      </c>
      <c r="CS800" s="78">
        <f>IF(ISNUMBER($M800),MAX(0,$M800),IF(TRIM($M800&amp;"")="matured",0,""))</f>
        <v/>
      </c>
      <c r="CT800" s="78">
        <f>IF(AND(ISNUMBER($CS800),N($CS800)&lt;=mMatWindow),1,0)</f>
        <v/>
      </c>
      <c r="CU800" s="80">
        <f>IF(ISNUMBER($J800),$J800/100,"")</f>
        <v/>
      </c>
      <c r="CV800" s="81">
        <f>IF(ISNUMBER($AQ800),$AQ800,"")</f>
        <v/>
      </c>
      <c r="CW800" s="81">
        <f>IF(ISNUMBER($AR800),$AR800,"")</f>
        <v/>
      </c>
      <c r="CX800" s="82">
        <f>IF(ISNUMBER($AS800),$AS800/100,"")</f>
        <v/>
      </c>
      <c r="CY800" s="82">
        <f>IF(ISNUMBER($AT800),$AT800/100,"")</f>
        <v/>
      </c>
      <c r="CZ800" s="82">
        <f>IF(ISNUMBER($AU800),$AU800/100,"")</f>
        <v/>
      </c>
      <c r="DA800" s="82">
        <f>IF(ISNUMBER($AV800),$AV800/100,"")</f>
        <v/>
      </c>
      <c r="DB800" s="82">
        <f>IF(ISNUMBER($AW800),$AW800/100,"")</f>
        <v/>
      </c>
      <c r="DC800" s="82">
        <f>IF(ISNUMBER($AX800),$AX800/100,"")</f>
        <v/>
      </c>
      <c r="DD800" s="77">
        <f>IFERROR(VALUE(LEFT(TRIM($AO800&amp;""),4)),"")</f>
        <v/>
      </c>
      <c r="DE800" s="78">
        <f>IF(AND($BY800=1,$BX800=1,OR(fDeal="All Deals",$BU800=fDeal),OR(fEntity="All Entities",$BV800=fEntity),OR(fPType="All Property Types",$BZ800=fPType),OR(fDefeased="Include",$CJ800=0)),1,0)</f>
        <v/>
      </c>
      <c r="DF800" s="83">
        <f>$DE800*N($I800)</f>
        <v/>
      </c>
      <c r="DG800" s="78">
        <f>IF($DE800=1,IF(COUNTIFS($F$8:$F800,$F800,$DE$8:$DE800,1)=1,1,0),0)</f>
        <v/>
      </c>
      <c r="DH800" s="83">
        <f>IF($DG800=1,SUMIFS($DF$8:$DF$1600,$F$8:$F$1600,$F800),0)</f>
        <v/>
      </c>
      <c r="DI800" s="78">
        <f>IF($DG800=1,COUNTIFS($F$8:$F$1600,$F800,$DE$8:$DE$1600,1),0)</f>
        <v/>
      </c>
      <c r="DJ800" s="84">
        <f>IF($DG800=1,$DH800+(100000-ROW())/mTieBreak,0)</f>
        <v/>
      </c>
    </row>
    <row r="801">
      <c r="B801" s="68" t="n">
        <v>31</v>
      </c>
      <c r="C801" s="69" t="inlineStr">
        <is>
          <t>BCMK18B3</t>
        </is>
      </c>
      <c r="D801" s="69" t="inlineStr">
        <is>
          <t>31.000</t>
        </is>
      </c>
      <c r="E801" s="69" t="inlineStr">
        <is>
          <t>Bay Tech North</t>
        </is>
      </c>
      <c r="F801" s="69" t="inlineStr">
        <is>
          <t>LNBCMK18B3-31.000</t>
        </is>
      </c>
      <c r="G801" s="70" t="n"/>
      <c r="H801" s="71" t="n">
        <v>13100000</v>
      </c>
      <c r="I801" s="71" t="n">
        <v>12241046.3899947</v>
      </c>
      <c r="J801" s="72" t="n">
        <v>4.035</v>
      </c>
      <c r="K801" s="69" t="inlineStr">
        <is>
          <t>Fixed rate</t>
        </is>
      </c>
      <c r="L801" s="68" t="n">
        <v>120</v>
      </c>
      <c r="M801" s="68" t="n">
        <v>16</v>
      </c>
      <c r="N801" s="68" t="n">
        <v>420</v>
      </c>
      <c r="O801" s="68" t="n">
        <v>60</v>
      </c>
      <c r="P801" s="68" t="n">
        <v>0</v>
      </c>
      <c r="Q801" s="68" t="n">
        <v>104</v>
      </c>
      <c r="R801" s="69" t="inlineStr">
        <is>
          <t>IO then Amort</t>
        </is>
      </c>
      <c r="S801" s="69" t="inlineStr">
        <is>
          <t>No</t>
        </is>
      </c>
      <c r="T801" s="73" t="n">
        <v>43101</v>
      </c>
      <c r="U801" s="73" t="n">
        <v>46758</v>
      </c>
      <c r="V801" s="73" t="n"/>
      <c r="W801" s="69" t="n"/>
      <c r="X801" s="69" t="inlineStr">
        <is>
          <t>Current</t>
        </is>
      </c>
      <c r="Y801" s="68" t="n"/>
      <c r="Z801" s="69" t="inlineStr">
        <is>
          <t>Full Defeasance</t>
        </is>
      </c>
      <c r="AA801" s="69" t="n"/>
      <c r="AB801" s="69" t="inlineStr">
        <is>
          <t>Never special serv</t>
        </is>
      </c>
      <c r="AC801" s="73" t="n"/>
      <c r="AD801" s="69" t="n"/>
      <c r="AE801" s="69" t="n"/>
      <c r="AF801" s="69" t="inlineStr">
        <is>
          <t>CA</t>
        </is>
      </c>
      <c r="AG801" s="69" t="inlineStr">
        <is>
          <t>Brisbane</t>
        </is>
      </c>
      <c r="AH801" s="69" t="inlineStr">
        <is>
          <t>San Francisco-Oakland-Fremont, CA</t>
        </is>
      </c>
      <c r="AI801" s="69" t="inlineStr">
        <is>
          <t>West / Pacific North</t>
        </is>
      </c>
      <c r="AJ801" s="69" t="inlineStr">
        <is>
          <t>OF</t>
        </is>
      </c>
      <c r="AK801" s="69" t="inlineStr">
        <is>
          <t>Suburban</t>
        </is>
      </c>
      <c r="AL801" s="68" t="n">
        <v>1</v>
      </c>
      <c r="AM801" s="68" t="n"/>
      <c r="AN801" s="68" t="n">
        <v>71404</v>
      </c>
      <c r="AO801" s="69" t="inlineStr">
        <is>
          <t>1983</t>
        </is>
      </c>
      <c r="AP801" s="70" t="n">
        <v>1983</v>
      </c>
      <c r="AQ801" s="74" t="n">
        <v>1.87</v>
      </c>
      <c r="AR801" s="74" t="n">
        <v>2.61</v>
      </c>
      <c r="AS801" s="74" t="n">
        <v>59.5</v>
      </c>
      <c r="AT801" s="74" t="n">
        <v>55.64</v>
      </c>
      <c r="AU801" s="74" t="n">
        <v>54.1</v>
      </c>
      <c r="AV801" s="74" t="n">
        <v>10.730114046</v>
      </c>
      <c r="AW801" s="74" t="n">
        <v>11.424167963</v>
      </c>
      <c r="AX801" s="75" t="n">
        <v>95</v>
      </c>
      <c r="AY801" s="71" t="n">
        <v>22000000</v>
      </c>
      <c r="AZ801" s="71" t="n">
        <v>22000000</v>
      </c>
      <c r="BA801" s="71" t="n">
        <v>1405644.94</v>
      </c>
      <c r="BB801" s="71" t="n">
        <v>1398437.7</v>
      </c>
      <c r="BC801" s="69" t="inlineStr">
        <is>
          <t>Acquisition</t>
        </is>
      </c>
      <c r="BD801" s="69" t="inlineStr">
        <is>
          <t>N</t>
        </is>
      </c>
      <c r="BE801" s="71" t="n"/>
      <c r="BF801" s="71" t="n"/>
      <c r="BG801" s="71" t="n"/>
      <c r="BH801" s="71" t="n">
        <v>0</v>
      </c>
      <c r="BI801" s="71" t="n">
        <v>0</v>
      </c>
      <c r="BJ801" s="69" t="inlineStr">
        <is>
          <t>N</t>
        </is>
      </c>
      <c r="BK801" s="69" t="inlineStr">
        <is>
          <t>State of California - Department of Health</t>
        </is>
      </c>
      <c r="BL801" s="75" t="n">
        <v>15.29</v>
      </c>
      <c r="BM801" s="73" t="n">
        <v>45291</v>
      </c>
      <c r="BN801" s="69" t="inlineStr">
        <is>
          <t>Cupertino Partners VI</t>
        </is>
      </c>
      <c r="BO801" s="69" t="inlineStr">
        <is>
          <t>GACC</t>
        </is>
      </c>
      <c r="BP801" s="69" t="inlineStr">
        <is>
          <t>Midland Loan Services</t>
        </is>
      </c>
      <c r="BQ801" s="69" t="inlineStr">
        <is>
          <t>K-Star Asset Management LLC</t>
        </is>
      </c>
      <c r="BR801" s="69" t="n"/>
      <c r="BS801" s="73" t="n">
        <v>46273</v>
      </c>
      <c r="BU801" s="76">
        <f>IF($C801="","",IFERROR(INDEX(dmName,MATCH($C801,dmID,0)),"Unmapped"))</f>
        <v/>
      </c>
      <c r="BV801" s="76">
        <f>IF($C801="","",IFERROR(INDEX(dmEntity,MATCH($C801,dmID,0)),"Unmapped"))</f>
        <v/>
      </c>
      <c r="BW801" s="77">
        <f>IF($C801="","",IFERROR(INDEX(dmVintage,MATCH($C801,dmID,0)),""))</f>
        <v/>
      </c>
      <c r="BX801" s="78">
        <f>IFERROR(INDEX(dmInclude,MATCH($C801,dmID,0)),0)</f>
        <v/>
      </c>
      <c r="BY801" s="78">
        <f>IF(N($I801)&gt;0,1,0)</f>
        <v/>
      </c>
      <c r="BZ801" s="76">
        <f>IF($AJ801="","Other / Leased Fee",IFERROR(INDEX(mapPTGroup,MATCH(LEFT(TRIM($AJ801),2),mapPTCode,0)),"Other / Leased Fee"))</f>
        <v/>
      </c>
      <c r="CA801" s="76">
        <f>IF(TRIM($AF801&amp;"")="","NR",LEFT(TRIM($AF801),2))</f>
        <v/>
      </c>
      <c r="CB801" s="76">
        <f>IFERROR(LOOKUP(2,1/(LEFT(TRIM($AI801&amp;""),LEN(mapRegion))=mapRegion),mapRegion),"Not Reported")</f>
        <v/>
      </c>
      <c r="CC801" s="76">
        <f>IF($BY801=0,"",IF(TRIM($W801&amp;"")="REO","REO",IF(TRIM($W801&amp;"")="FC","Foreclosure",IF(TRIM($W801&amp;"")="90+","90+ Days Delinquent",IF(TRIM($W801&amp;"")="60","60 Days Delinquent",IF(TRIM($W801&amp;"")="30","30 Days Delinquent",IF($X801="Non-Performing Matured Balloon","Non-Performing Matured Balloon",IF(OR($X801="Late Payment But Less Than 30 Days Delinquent",LEFT($X801&amp;"",20)="Payment Not Received"),"Late / In Grace (&lt;30 Days)",IF($X801="Performing Matured Balloon","Performing Matured Balloon","Current")))))))))</f>
        <v/>
      </c>
      <c r="CD801" s="78">
        <f>IF(OR($CC801="REO",$CC801="Foreclosure",$CC801="90+ Days Delinquent",$CC801="60 Days Delinquent",$CC801="30 Days Delinquent",$CC801="Non-Performing Matured Balloon"),1,0)</f>
        <v/>
      </c>
      <c r="CE801" s="76">
        <f>IF($AB801="Currently special serv","Currently Specially Serviced",IF($AB801="Returned to master serv","Previously Specially Serviced","Never Specially Serviced"))</f>
        <v/>
      </c>
      <c r="CF801" s="78">
        <f>IF($CE801="Currently Specially Serviced",1,0)</f>
        <v/>
      </c>
      <c r="CG801" s="76">
        <f>IF($AA801="Yes","Currently on Watchlist",IF($AA801="Previously","Previously on Watchlist","Never on Watchlist"))</f>
        <v/>
      </c>
      <c r="CH801" s="78">
        <f>IF($CG801="Currently on Watchlist",1,0)</f>
        <v/>
      </c>
      <c r="CI801" s="76">
        <f>IF($Z801="Full Defeasance","Fully Defeased",IF($Z801="Portion Of Loan Previously Defeased","Partially Defeased",IF($Z801="Defeasance Not Allowable","Not Defeased (Not Permitted)","Not Defeased")))</f>
        <v/>
      </c>
      <c r="CJ801" s="78">
        <f>IF($CI801="Fully Defeased",1,0)</f>
        <v/>
      </c>
      <c r="CK801" s="76">
        <f>IF($R801="IO","Full IO",IF(LEFT($R801&amp;"",7)="IO then","Partial IO","Amortizing"))</f>
        <v/>
      </c>
      <c r="CL801" s="78">
        <f>IF($CK801="Full IO",1,0)</f>
        <v/>
      </c>
      <c r="CM801" s="78">
        <f>IF($CK801="Partial IO",1,0)</f>
        <v/>
      </c>
      <c r="CN801" s="76">
        <f>IF(LEFT($F801&amp;"",10)="SPLIT_LOAN","Pari Passu Split","Standalone")</f>
        <v/>
      </c>
      <c r="CO801" s="78">
        <f>IF($CN801="Pari Passu Split",1,0)</f>
        <v/>
      </c>
      <c r="CP801" s="77">
        <f>IF(ISNUMBER($T801),YEAR($T801),"")</f>
        <v/>
      </c>
      <c r="CQ801" s="79">
        <f>IF(ISNUMBER($V801),$V801,IF(ISNUMBER($U801),$U801,""))</f>
        <v/>
      </c>
      <c r="CR801" s="77">
        <f>IF(ISNUMBER($CQ801),YEAR($CQ801),"")</f>
        <v/>
      </c>
      <c r="CS801" s="78">
        <f>IF(ISNUMBER($M801),MAX(0,$M801),IF(TRIM($M801&amp;"")="matured",0,""))</f>
        <v/>
      </c>
      <c r="CT801" s="78">
        <f>IF(AND(ISNUMBER($CS801),N($CS801)&lt;=mMatWindow),1,0)</f>
        <v/>
      </c>
      <c r="CU801" s="80">
        <f>IF(ISNUMBER($J801),$J801/100,"")</f>
        <v/>
      </c>
      <c r="CV801" s="81">
        <f>IF(ISNUMBER($AQ801),$AQ801,"")</f>
        <v/>
      </c>
      <c r="CW801" s="81">
        <f>IF(ISNUMBER($AR801),$AR801,"")</f>
        <v/>
      </c>
      <c r="CX801" s="82">
        <f>IF(ISNUMBER($AS801),$AS801/100,"")</f>
        <v/>
      </c>
      <c r="CY801" s="82">
        <f>IF(ISNUMBER($AT801),$AT801/100,"")</f>
        <v/>
      </c>
      <c r="CZ801" s="82">
        <f>IF(ISNUMBER($AU801),$AU801/100,"")</f>
        <v/>
      </c>
      <c r="DA801" s="82">
        <f>IF(ISNUMBER($AV801),$AV801/100,"")</f>
        <v/>
      </c>
      <c r="DB801" s="82">
        <f>IF(ISNUMBER($AW801),$AW801/100,"")</f>
        <v/>
      </c>
      <c r="DC801" s="82">
        <f>IF(ISNUMBER($AX801),$AX801/100,"")</f>
        <v/>
      </c>
      <c r="DD801" s="77">
        <f>IFERROR(VALUE(LEFT(TRIM($AO801&amp;""),4)),"")</f>
        <v/>
      </c>
      <c r="DE801" s="78">
        <f>IF(AND($BY801=1,$BX801=1,OR(fDeal="All Deals",$BU801=fDeal),OR(fEntity="All Entities",$BV801=fEntity),OR(fPType="All Property Types",$BZ801=fPType),OR(fDefeased="Include",$CJ801=0)),1,0)</f>
        <v/>
      </c>
      <c r="DF801" s="83">
        <f>$DE801*N($I801)</f>
        <v/>
      </c>
      <c r="DG801" s="78">
        <f>IF($DE801=1,IF(COUNTIFS($F$8:$F801,$F801,$DE$8:$DE801,1)=1,1,0),0)</f>
        <v/>
      </c>
      <c r="DH801" s="83">
        <f>IF($DG801=1,SUMIFS($DF$8:$DF$1600,$F$8:$F$1600,$F801),0)</f>
        <v/>
      </c>
      <c r="DI801" s="78">
        <f>IF($DG801=1,COUNTIFS($F$8:$F$1600,$F801,$DE$8:$DE$1600,1),0)</f>
        <v/>
      </c>
      <c r="DJ801" s="84">
        <f>IF($DG801=1,$DH801+(100000-ROW())/mTieBreak,0)</f>
        <v/>
      </c>
    </row>
    <row r="802">
      <c r="B802" s="68" t="n">
        <v>32</v>
      </c>
      <c r="C802" s="69" t="inlineStr">
        <is>
          <t>BCMK18B3</t>
        </is>
      </c>
      <c r="D802" s="69" t="inlineStr">
        <is>
          <t>32.000</t>
        </is>
      </c>
      <c r="E802" s="69" t="inlineStr">
        <is>
          <t>Berkeley Medical Office</t>
        </is>
      </c>
      <c r="F802" s="69" t="inlineStr">
        <is>
          <t>LNBCMK18B3-32.000</t>
        </is>
      </c>
      <c r="G802" s="70" t="n"/>
      <c r="H802" s="71" t="n">
        <v>12000000</v>
      </c>
      <c r="I802" s="71" t="n">
        <v>12000000</v>
      </c>
      <c r="J802" s="72" t="n">
        <v>4.698</v>
      </c>
      <c r="K802" s="69" t="inlineStr">
        <is>
          <t>Fixed rate</t>
        </is>
      </c>
      <c r="L802" s="68" t="n">
        <v>120</v>
      </c>
      <c r="M802" s="68" t="n">
        <v>17</v>
      </c>
      <c r="N802" s="68" t="n">
        <v>120</v>
      </c>
      <c r="O802" s="68" t="n">
        <v>120</v>
      </c>
      <c r="P802" s="68" t="n">
        <v>17</v>
      </c>
      <c r="Q802" s="68" t="n">
        <v>103</v>
      </c>
      <c r="R802" s="69" t="inlineStr">
        <is>
          <t>IO</t>
        </is>
      </c>
      <c r="S802" s="69" t="inlineStr">
        <is>
          <t>Yes</t>
        </is>
      </c>
      <c r="T802" s="73" t="n">
        <v>43132</v>
      </c>
      <c r="U802" s="73" t="n">
        <v>46789</v>
      </c>
      <c r="V802" s="73" t="n"/>
      <c r="W802" s="69" t="n"/>
      <c r="X802" s="69" t="inlineStr">
        <is>
          <t>Current</t>
        </is>
      </c>
      <c r="Y802" s="68" t="n"/>
      <c r="Z802" s="69" t="inlineStr">
        <is>
          <t>No Defeasance Occurred</t>
        </is>
      </c>
      <c r="AA802" s="69" t="inlineStr">
        <is>
          <t>Previously</t>
        </is>
      </c>
      <c r="AB802" s="69" t="inlineStr">
        <is>
          <t>Never special serv</t>
        </is>
      </c>
      <c r="AC802" s="73" t="n"/>
      <c r="AD802" s="69" t="n"/>
      <c r="AE802" s="69" t="n"/>
      <c r="AF802" s="69" t="inlineStr">
        <is>
          <t>CA</t>
        </is>
      </c>
      <c r="AG802" s="69" t="inlineStr">
        <is>
          <t>Berkeley</t>
        </is>
      </c>
      <c r="AH802" s="69" t="inlineStr">
        <is>
          <t>San Francisco-Oakland-Fremont, CA</t>
        </is>
      </c>
      <c r="AI802" s="69" t="inlineStr">
        <is>
          <t>West / Pacific North</t>
        </is>
      </c>
      <c r="AJ802" s="69" t="inlineStr">
        <is>
          <t>OF</t>
        </is>
      </c>
      <c r="AK802" s="69" t="inlineStr">
        <is>
          <t>Medical</t>
        </is>
      </c>
      <c r="AL802" s="68" t="n">
        <v>1</v>
      </c>
      <c r="AM802" s="68" t="n"/>
      <c r="AN802" s="68" t="n">
        <v>49429</v>
      </c>
      <c r="AO802" s="69" t="inlineStr">
        <is>
          <t>1974</t>
        </is>
      </c>
      <c r="AP802" s="70" t="n">
        <v>2017</v>
      </c>
      <c r="AQ802" s="74" t="n">
        <v>1.77</v>
      </c>
      <c r="AR802" s="74" t="n">
        <v>3.84</v>
      </c>
      <c r="AS802" s="74" t="n">
        <v>61.5</v>
      </c>
      <c r="AT802" s="74" t="n">
        <v>61.54</v>
      </c>
      <c r="AU802" s="74" t="n">
        <v>61.5</v>
      </c>
      <c r="AV802" s="74" t="n">
        <v>8.426115917000001</v>
      </c>
      <c r="AW802" s="74" t="n">
        <v>15.071405083</v>
      </c>
      <c r="AX802" s="75" t="n">
        <v>98</v>
      </c>
      <c r="AY802" s="71" t="n">
        <v>19500000</v>
      </c>
      <c r="AZ802" s="71" t="n">
        <v>19500000</v>
      </c>
      <c r="BA802" s="71" t="n">
        <v>1011133.91</v>
      </c>
      <c r="BB802" s="71" t="n">
        <v>2197654.46</v>
      </c>
      <c r="BC802" s="69" t="inlineStr">
        <is>
          <t>Refinance</t>
        </is>
      </c>
      <c r="BD802" s="69" t="inlineStr">
        <is>
          <t>N</t>
        </is>
      </c>
      <c r="BE802" s="71" t="n"/>
      <c r="BF802" s="71" t="n"/>
      <c r="BG802" s="71" t="n"/>
      <c r="BH802" s="71" t="n">
        <v>0</v>
      </c>
      <c r="BI802" s="71" t="n">
        <v>0</v>
      </c>
      <c r="BJ802" s="69" t="inlineStr">
        <is>
          <t>N</t>
        </is>
      </c>
      <c r="BK802" s="69" t="inlineStr">
        <is>
          <t>Sutter Bay Medical Foundation</t>
        </is>
      </c>
      <c r="BL802" s="75" t="n">
        <v>15.76</v>
      </c>
      <c r="BM802" s="73" t="n">
        <v>47118</v>
      </c>
      <c r="BN802" s="69" t="inlineStr">
        <is>
          <t>Elizabeth Frazier</t>
        </is>
      </c>
      <c r="BO802" s="69" t="inlineStr">
        <is>
          <t>GACC</t>
        </is>
      </c>
      <c r="BP802" s="69" t="inlineStr">
        <is>
          <t>Midland Loan Services</t>
        </is>
      </c>
      <c r="BQ802" s="69" t="inlineStr">
        <is>
          <t>K-Star Asset Management LLC</t>
        </is>
      </c>
      <c r="BR802" s="69" t="n"/>
      <c r="BS802" s="73" t="n">
        <v>46273</v>
      </c>
      <c r="BU802" s="76">
        <f>IF($C802="","",IFERROR(INDEX(dmName,MATCH($C802,dmID,0)),"Unmapped"))</f>
        <v/>
      </c>
      <c r="BV802" s="76">
        <f>IF($C802="","",IFERROR(INDEX(dmEntity,MATCH($C802,dmID,0)),"Unmapped"))</f>
        <v/>
      </c>
      <c r="BW802" s="77">
        <f>IF($C802="","",IFERROR(INDEX(dmVintage,MATCH($C802,dmID,0)),""))</f>
        <v/>
      </c>
      <c r="BX802" s="78">
        <f>IFERROR(INDEX(dmInclude,MATCH($C802,dmID,0)),0)</f>
        <v/>
      </c>
      <c r="BY802" s="78">
        <f>IF(N($I802)&gt;0,1,0)</f>
        <v/>
      </c>
      <c r="BZ802" s="76">
        <f>IF($AJ802="","Other / Leased Fee",IFERROR(INDEX(mapPTGroup,MATCH(LEFT(TRIM($AJ802),2),mapPTCode,0)),"Other / Leased Fee"))</f>
        <v/>
      </c>
      <c r="CA802" s="76">
        <f>IF(TRIM($AF802&amp;"")="","NR",LEFT(TRIM($AF802),2))</f>
        <v/>
      </c>
      <c r="CB802" s="76">
        <f>IFERROR(LOOKUP(2,1/(LEFT(TRIM($AI802&amp;""),LEN(mapRegion))=mapRegion),mapRegion),"Not Reported")</f>
        <v/>
      </c>
      <c r="CC802" s="76">
        <f>IF($BY802=0,"",IF(TRIM($W802&amp;"")="REO","REO",IF(TRIM($W802&amp;"")="FC","Foreclosure",IF(TRIM($W802&amp;"")="90+","90+ Days Delinquent",IF(TRIM($W802&amp;"")="60","60 Days Delinquent",IF(TRIM($W802&amp;"")="30","30 Days Delinquent",IF($X802="Non-Performing Matured Balloon","Non-Performing Matured Balloon",IF(OR($X802="Late Payment But Less Than 30 Days Delinquent",LEFT($X802&amp;"",20)="Payment Not Received"),"Late / In Grace (&lt;30 Days)",IF($X802="Performing Matured Balloon","Performing Matured Balloon","Current")))))))))</f>
        <v/>
      </c>
      <c r="CD802" s="78">
        <f>IF(OR($CC802="REO",$CC802="Foreclosure",$CC802="90+ Days Delinquent",$CC802="60 Days Delinquent",$CC802="30 Days Delinquent",$CC802="Non-Performing Matured Balloon"),1,0)</f>
        <v/>
      </c>
      <c r="CE802" s="76">
        <f>IF($AB802="Currently special serv","Currently Specially Serviced",IF($AB802="Returned to master serv","Previously Specially Serviced","Never Specially Serviced"))</f>
        <v/>
      </c>
      <c r="CF802" s="78">
        <f>IF($CE802="Currently Specially Serviced",1,0)</f>
        <v/>
      </c>
      <c r="CG802" s="76">
        <f>IF($AA802="Yes","Currently on Watchlist",IF($AA802="Previously","Previously on Watchlist","Never on Watchlist"))</f>
        <v/>
      </c>
      <c r="CH802" s="78">
        <f>IF($CG802="Currently on Watchlist",1,0)</f>
        <v/>
      </c>
      <c r="CI802" s="76">
        <f>IF($Z802="Full Defeasance","Fully Defeased",IF($Z802="Portion Of Loan Previously Defeased","Partially Defeased",IF($Z802="Defeasance Not Allowable","Not Defeased (Not Permitted)","Not Defeased")))</f>
        <v/>
      </c>
      <c r="CJ802" s="78">
        <f>IF($CI802="Fully Defeased",1,0)</f>
        <v/>
      </c>
      <c r="CK802" s="76">
        <f>IF($R802="IO","Full IO",IF(LEFT($R802&amp;"",7)="IO then","Partial IO","Amortizing"))</f>
        <v/>
      </c>
      <c r="CL802" s="78">
        <f>IF($CK802="Full IO",1,0)</f>
        <v/>
      </c>
      <c r="CM802" s="78">
        <f>IF($CK802="Partial IO",1,0)</f>
        <v/>
      </c>
      <c r="CN802" s="76">
        <f>IF(LEFT($F802&amp;"",10)="SPLIT_LOAN","Pari Passu Split","Standalone")</f>
        <v/>
      </c>
      <c r="CO802" s="78">
        <f>IF($CN802="Pari Passu Split",1,0)</f>
        <v/>
      </c>
      <c r="CP802" s="77">
        <f>IF(ISNUMBER($T802),YEAR($T802),"")</f>
        <v/>
      </c>
      <c r="CQ802" s="79">
        <f>IF(ISNUMBER($V802),$V802,IF(ISNUMBER($U802),$U802,""))</f>
        <v/>
      </c>
      <c r="CR802" s="77">
        <f>IF(ISNUMBER($CQ802),YEAR($CQ802),"")</f>
        <v/>
      </c>
      <c r="CS802" s="78">
        <f>IF(ISNUMBER($M802),MAX(0,$M802),IF(TRIM($M802&amp;"")="matured",0,""))</f>
        <v/>
      </c>
      <c r="CT802" s="78">
        <f>IF(AND(ISNUMBER($CS802),N($CS802)&lt;=mMatWindow),1,0)</f>
        <v/>
      </c>
      <c r="CU802" s="80">
        <f>IF(ISNUMBER($J802),$J802/100,"")</f>
        <v/>
      </c>
      <c r="CV802" s="81">
        <f>IF(ISNUMBER($AQ802),$AQ802,"")</f>
        <v/>
      </c>
      <c r="CW802" s="81">
        <f>IF(ISNUMBER($AR802),$AR802,"")</f>
        <v/>
      </c>
      <c r="CX802" s="82">
        <f>IF(ISNUMBER($AS802),$AS802/100,"")</f>
        <v/>
      </c>
      <c r="CY802" s="82">
        <f>IF(ISNUMBER($AT802),$AT802/100,"")</f>
        <v/>
      </c>
      <c r="CZ802" s="82">
        <f>IF(ISNUMBER($AU802),$AU802/100,"")</f>
        <v/>
      </c>
      <c r="DA802" s="82">
        <f>IF(ISNUMBER($AV802),$AV802/100,"")</f>
        <v/>
      </c>
      <c r="DB802" s="82">
        <f>IF(ISNUMBER($AW802),$AW802/100,"")</f>
        <v/>
      </c>
      <c r="DC802" s="82">
        <f>IF(ISNUMBER($AX802),$AX802/100,"")</f>
        <v/>
      </c>
      <c r="DD802" s="77">
        <f>IFERROR(VALUE(LEFT(TRIM($AO802&amp;""),4)),"")</f>
        <v/>
      </c>
      <c r="DE802" s="78">
        <f>IF(AND($BY802=1,$BX802=1,OR(fDeal="All Deals",$BU802=fDeal),OR(fEntity="All Entities",$BV802=fEntity),OR(fPType="All Property Types",$BZ802=fPType),OR(fDefeased="Include",$CJ802=0)),1,0)</f>
        <v/>
      </c>
      <c r="DF802" s="83">
        <f>$DE802*N($I802)</f>
        <v/>
      </c>
      <c r="DG802" s="78">
        <f>IF($DE802=1,IF(COUNTIFS($F$8:$F802,$F802,$DE$8:$DE802,1)=1,1,0),0)</f>
        <v/>
      </c>
      <c r="DH802" s="83">
        <f>IF($DG802=1,SUMIFS($DF$8:$DF$1600,$F$8:$F$1600,$F802),0)</f>
        <v/>
      </c>
      <c r="DI802" s="78">
        <f>IF($DG802=1,COUNTIFS($F$8:$F$1600,$F802,$DE$8:$DE$1600,1),0)</f>
        <v/>
      </c>
      <c r="DJ802" s="84">
        <f>IF($DG802=1,$DH802+(100000-ROW())/mTieBreak,0)</f>
        <v/>
      </c>
    </row>
    <row r="803">
      <c r="B803" s="68" t="n">
        <v>33</v>
      </c>
      <c r="C803" s="69" t="inlineStr">
        <is>
          <t>BCMK18B3</t>
        </is>
      </c>
      <c r="D803" s="69" t="inlineStr">
        <is>
          <t>33.000</t>
        </is>
      </c>
      <c r="E803" s="69" t="inlineStr">
        <is>
          <t>Towers at University Town Center</t>
        </is>
      </c>
      <c r="F803" s="69" t="inlineStr">
        <is>
          <t>SPLIT_LOAN_01174</t>
        </is>
      </c>
      <c r="G803" s="70" t="n">
        <v>1174</v>
      </c>
      <c r="H803" s="71" t="n">
        <v>11000000</v>
      </c>
      <c r="I803" s="71" t="n">
        <v>0</v>
      </c>
      <c r="J803" s="72" t="n">
        <v>4.775</v>
      </c>
      <c r="K803" s="69" t="inlineStr">
        <is>
          <t>Fixed rate</t>
        </is>
      </c>
      <c r="L803" s="68" t="n">
        <v>120</v>
      </c>
      <c r="M803" s="68" t="n"/>
      <c r="N803" s="68" t="n">
        <v>396</v>
      </c>
      <c r="O803" s="68" t="n">
        <v>36</v>
      </c>
      <c r="P803" s="68" t="n"/>
      <c r="Q803" s="68" t="n"/>
      <c r="R803" s="69" t="inlineStr">
        <is>
          <t>IO then Amort</t>
        </is>
      </c>
      <c r="S803" s="69" t="inlineStr">
        <is>
          <t>No</t>
        </is>
      </c>
      <c r="T803" s="73" t="n">
        <v>43101</v>
      </c>
      <c r="U803" s="73" t="n">
        <v>46753</v>
      </c>
      <c r="V803" s="73" t="n"/>
      <c r="W803" s="69" t="n"/>
      <c r="X803" s="69" t="inlineStr">
        <is>
          <t>Current</t>
        </is>
      </c>
      <c r="Y803" s="68" t="n"/>
      <c r="Z803" s="69" t="inlineStr">
        <is>
          <t>Defeasance Not Allowable</t>
        </is>
      </c>
      <c r="AA803" s="69" t="inlineStr">
        <is>
          <t>Previously</t>
        </is>
      </c>
      <c r="AB803" s="69" t="inlineStr">
        <is>
          <t>Never special serv</t>
        </is>
      </c>
      <c r="AC803" s="73" t="n"/>
      <c r="AD803" s="69" t="n"/>
      <c r="AE803" s="69" t="n"/>
      <c r="AF803" s="69" t="inlineStr">
        <is>
          <t>MD</t>
        </is>
      </c>
      <c r="AG803" s="69" t="inlineStr">
        <is>
          <t>Hyattsville</t>
        </is>
      </c>
      <c r="AH803" s="69" t="inlineStr">
        <is>
          <t>Washington-Arlington-Alexandria, DC-VA-MD-WV</t>
        </is>
      </c>
      <c r="AI803" s="69" t="inlineStr">
        <is>
          <t>South / Atlantic</t>
        </is>
      </c>
      <c r="AJ803" s="69" t="inlineStr">
        <is>
          <t>MF</t>
        </is>
      </c>
      <c r="AK803" s="69" t="inlineStr">
        <is>
          <t>Student</t>
        </is>
      </c>
      <c r="AL803" s="68" t="n">
        <v>1</v>
      </c>
      <c r="AM803" s="68" t="n">
        <v>910</v>
      </c>
      <c r="AN803" s="68" t="n"/>
      <c r="AO803" s="69" t="inlineStr">
        <is>
          <t>2006</t>
        </is>
      </c>
      <c r="AP803" s="70" t="n">
        <v>2006</v>
      </c>
      <c r="AQ803" s="74" t="n">
        <v>1.55</v>
      </c>
      <c r="AR803" s="74" t="n">
        <v>1.91</v>
      </c>
      <c r="AS803" s="74" t="n">
        <v>63.4</v>
      </c>
      <c r="AT803" s="74" t="n"/>
      <c r="AU803" s="74" t="n">
        <v>55.9</v>
      </c>
      <c r="AV803" s="74" t="n">
        <v>9.735871739</v>
      </c>
      <c r="AW803" s="74" t="n"/>
      <c r="AX803" s="75" t="n">
        <v>98</v>
      </c>
      <c r="AY803" s="71" t="n">
        <v>72500000</v>
      </c>
      <c r="AZ803" s="71" t="n">
        <v>72500000</v>
      </c>
      <c r="BA803" s="71" t="n">
        <v>4478501</v>
      </c>
      <c r="BB803" s="71" t="n">
        <v>5515667</v>
      </c>
      <c r="BC803" s="69" t="inlineStr">
        <is>
          <t>Acquisition</t>
        </is>
      </c>
      <c r="BD803" s="69" t="inlineStr">
        <is>
          <t>N</t>
        </is>
      </c>
      <c r="BE803" s="71" t="n">
        <v>0</v>
      </c>
      <c r="BF803" s="71" t="n"/>
      <c r="BG803" s="71" t="n"/>
      <c r="BH803" s="71" t="n">
        <v>0</v>
      </c>
      <c r="BI803" s="71" t="n">
        <v>0</v>
      </c>
      <c r="BJ803" s="69" t="inlineStr">
        <is>
          <t>N</t>
        </is>
      </c>
      <c r="BK803" s="69" t="n"/>
      <c r="BL803" s="75" t="n"/>
      <c r="BM803" s="73" t="n"/>
      <c r="BN803" s="69" t="inlineStr">
        <is>
          <t>Harold Rosenblum</t>
        </is>
      </c>
      <c r="BO803" s="69" t="inlineStr">
        <is>
          <t>JPMorgan Chase</t>
        </is>
      </c>
      <c r="BP803" s="69" t="inlineStr">
        <is>
          <t>Midland Loan Services</t>
        </is>
      </c>
      <c r="BQ803" s="69" t="inlineStr">
        <is>
          <t>CWCapital</t>
        </is>
      </c>
      <c r="BR803" s="69" t="inlineStr">
        <is>
          <t>Payoff With Penalty</t>
        </is>
      </c>
      <c r="BS803" s="73" t="n">
        <v>45236</v>
      </c>
      <c r="BU803" s="76">
        <f>IF($C803="","",IFERROR(INDEX(dmName,MATCH($C803,dmID,0)),"Unmapped"))</f>
        <v/>
      </c>
      <c r="BV803" s="76">
        <f>IF($C803="","",IFERROR(INDEX(dmEntity,MATCH($C803,dmID,0)),"Unmapped"))</f>
        <v/>
      </c>
      <c r="BW803" s="77">
        <f>IF($C803="","",IFERROR(INDEX(dmVintage,MATCH($C803,dmID,0)),""))</f>
        <v/>
      </c>
      <c r="BX803" s="78">
        <f>IFERROR(INDEX(dmInclude,MATCH($C803,dmID,0)),0)</f>
        <v/>
      </c>
      <c r="BY803" s="78">
        <f>IF(N($I803)&gt;0,1,0)</f>
        <v/>
      </c>
      <c r="BZ803" s="76">
        <f>IF($AJ803="","Other / Leased Fee",IFERROR(INDEX(mapPTGroup,MATCH(LEFT(TRIM($AJ803),2),mapPTCode,0)),"Other / Leased Fee"))</f>
        <v/>
      </c>
      <c r="CA803" s="76">
        <f>IF(TRIM($AF803&amp;"")="","NR",LEFT(TRIM($AF803),2))</f>
        <v/>
      </c>
      <c r="CB803" s="76">
        <f>IFERROR(LOOKUP(2,1/(LEFT(TRIM($AI803&amp;""),LEN(mapRegion))=mapRegion),mapRegion),"Not Reported")</f>
        <v/>
      </c>
      <c r="CC803" s="76">
        <f>IF($BY803=0,"",IF(TRIM($W803&amp;"")="REO","REO",IF(TRIM($W803&amp;"")="FC","Foreclosure",IF(TRIM($W803&amp;"")="90+","90+ Days Delinquent",IF(TRIM($W803&amp;"")="60","60 Days Delinquent",IF(TRIM($W803&amp;"")="30","30 Days Delinquent",IF($X803="Non-Performing Matured Balloon","Non-Performing Matured Balloon",IF(OR($X803="Late Payment But Less Than 30 Days Delinquent",LEFT($X803&amp;"",20)="Payment Not Received"),"Late / In Grace (&lt;30 Days)",IF($X803="Performing Matured Balloon","Performing Matured Balloon","Current")))))))))</f>
        <v/>
      </c>
      <c r="CD803" s="78">
        <f>IF(OR($CC803="REO",$CC803="Foreclosure",$CC803="90+ Days Delinquent",$CC803="60 Days Delinquent",$CC803="30 Days Delinquent",$CC803="Non-Performing Matured Balloon"),1,0)</f>
        <v/>
      </c>
      <c r="CE803" s="76">
        <f>IF($AB803="Currently special serv","Currently Specially Serviced",IF($AB803="Returned to master serv","Previously Specially Serviced","Never Specially Serviced"))</f>
        <v/>
      </c>
      <c r="CF803" s="78">
        <f>IF($CE803="Currently Specially Serviced",1,0)</f>
        <v/>
      </c>
      <c r="CG803" s="76">
        <f>IF($AA803="Yes","Currently on Watchlist",IF($AA803="Previously","Previously on Watchlist","Never on Watchlist"))</f>
        <v/>
      </c>
      <c r="CH803" s="78">
        <f>IF($CG803="Currently on Watchlist",1,0)</f>
        <v/>
      </c>
      <c r="CI803" s="76">
        <f>IF($Z803="Full Defeasance","Fully Defeased",IF($Z803="Portion Of Loan Previously Defeased","Partially Defeased",IF($Z803="Defeasance Not Allowable","Not Defeased (Not Permitted)","Not Defeased")))</f>
        <v/>
      </c>
      <c r="CJ803" s="78">
        <f>IF($CI803="Fully Defeased",1,0)</f>
        <v/>
      </c>
      <c r="CK803" s="76">
        <f>IF($R803="IO","Full IO",IF(LEFT($R803&amp;"",7)="IO then","Partial IO","Amortizing"))</f>
        <v/>
      </c>
      <c r="CL803" s="78">
        <f>IF($CK803="Full IO",1,0)</f>
        <v/>
      </c>
      <c r="CM803" s="78">
        <f>IF($CK803="Partial IO",1,0)</f>
        <v/>
      </c>
      <c r="CN803" s="76">
        <f>IF(LEFT($F803&amp;"",10)="SPLIT_LOAN","Pari Passu Split","Standalone")</f>
        <v/>
      </c>
      <c r="CO803" s="78">
        <f>IF($CN803="Pari Passu Split",1,0)</f>
        <v/>
      </c>
      <c r="CP803" s="77">
        <f>IF(ISNUMBER($T803),YEAR($T803),"")</f>
        <v/>
      </c>
      <c r="CQ803" s="79">
        <f>IF(ISNUMBER($V803),$V803,IF(ISNUMBER($U803),$U803,""))</f>
        <v/>
      </c>
      <c r="CR803" s="77">
        <f>IF(ISNUMBER($CQ803),YEAR($CQ803),"")</f>
        <v/>
      </c>
      <c r="CS803" s="78">
        <f>IF(ISNUMBER($M803),MAX(0,$M803),IF(TRIM($M803&amp;"")="matured",0,""))</f>
        <v/>
      </c>
      <c r="CT803" s="78">
        <f>IF(AND(ISNUMBER($CS803),N($CS803)&lt;=mMatWindow),1,0)</f>
        <v/>
      </c>
      <c r="CU803" s="80">
        <f>IF(ISNUMBER($J803),$J803/100,"")</f>
        <v/>
      </c>
      <c r="CV803" s="81">
        <f>IF(ISNUMBER($AQ803),$AQ803,"")</f>
        <v/>
      </c>
      <c r="CW803" s="81">
        <f>IF(ISNUMBER($AR803),$AR803,"")</f>
        <v/>
      </c>
      <c r="CX803" s="82">
        <f>IF(ISNUMBER($AS803),$AS803/100,"")</f>
        <v/>
      </c>
      <c r="CY803" s="82">
        <f>IF(ISNUMBER($AT803),$AT803/100,"")</f>
        <v/>
      </c>
      <c r="CZ803" s="82">
        <f>IF(ISNUMBER($AU803),$AU803/100,"")</f>
        <v/>
      </c>
      <c r="DA803" s="82">
        <f>IF(ISNUMBER($AV803),$AV803/100,"")</f>
        <v/>
      </c>
      <c r="DB803" s="82">
        <f>IF(ISNUMBER($AW803),$AW803/100,"")</f>
        <v/>
      </c>
      <c r="DC803" s="82">
        <f>IF(ISNUMBER($AX803),$AX803/100,"")</f>
        <v/>
      </c>
      <c r="DD803" s="77">
        <f>IFERROR(VALUE(LEFT(TRIM($AO803&amp;""),4)),"")</f>
        <v/>
      </c>
      <c r="DE803" s="78">
        <f>IF(AND($BY803=1,$BX803=1,OR(fDeal="All Deals",$BU803=fDeal),OR(fEntity="All Entities",$BV803=fEntity),OR(fPType="All Property Types",$BZ803=fPType),OR(fDefeased="Include",$CJ803=0)),1,0)</f>
        <v/>
      </c>
      <c r="DF803" s="83">
        <f>$DE803*N($I803)</f>
        <v/>
      </c>
      <c r="DG803" s="78">
        <f>IF($DE803=1,IF(COUNTIFS($F$8:$F803,$F803,$DE$8:$DE803,1)=1,1,0),0)</f>
        <v/>
      </c>
      <c r="DH803" s="83">
        <f>IF($DG803=1,SUMIFS($DF$8:$DF$1600,$F$8:$F$1600,$F803),0)</f>
        <v/>
      </c>
      <c r="DI803" s="78">
        <f>IF($DG803=1,COUNTIFS($F$8:$F$1600,$F803,$DE$8:$DE$1600,1),0)</f>
        <v/>
      </c>
      <c r="DJ803" s="84">
        <f>IF($DG803=1,$DH803+(100000-ROW())/mTieBreak,0)</f>
        <v/>
      </c>
    </row>
    <row r="804">
      <c r="B804" s="68" t="n">
        <v>34</v>
      </c>
      <c r="C804" s="69" t="inlineStr">
        <is>
          <t>BCMK18B3</t>
        </is>
      </c>
      <c r="D804" s="69" t="inlineStr">
        <is>
          <t>34.000</t>
        </is>
      </c>
      <c r="E804" s="69" t="inlineStr">
        <is>
          <t>San Juan Village</t>
        </is>
      </c>
      <c r="F804" s="69" t="inlineStr">
        <is>
          <t>LNBCMK18B3-34.000</t>
        </is>
      </c>
      <c r="G804" s="70" t="n"/>
      <c r="H804" s="71" t="n">
        <v>7350000</v>
      </c>
      <c r="I804" s="71" t="n">
        <v>6119749.770003451</v>
      </c>
      <c r="J804" s="72" t="n">
        <v>4.16</v>
      </c>
      <c r="K804" s="69" t="inlineStr">
        <is>
          <t>Fixed rate</t>
        </is>
      </c>
      <c r="L804" s="68" t="n">
        <v>120</v>
      </c>
      <c r="M804" s="68" t="n">
        <v>17</v>
      </c>
      <c r="N804" s="68" t="n">
        <v>360</v>
      </c>
      <c r="O804" s="68" t="n"/>
      <c r="P804" s="68" t="n"/>
      <c r="Q804" s="68" t="n">
        <v>103</v>
      </c>
      <c r="R804" s="69" t="n"/>
      <c r="S804" s="69" t="inlineStr">
        <is>
          <t>No</t>
        </is>
      </c>
      <c r="T804" s="73" t="n">
        <v>43132</v>
      </c>
      <c r="U804" s="73" t="n">
        <v>46789</v>
      </c>
      <c r="V804" s="73" t="n"/>
      <c r="W804" s="69" t="n"/>
      <c r="X804" s="69" t="inlineStr">
        <is>
          <t>Current</t>
        </is>
      </c>
      <c r="Y804" s="68" t="n"/>
      <c r="Z804" s="69" t="inlineStr">
        <is>
          <t>No Defeasance Occurred</t>
        </is>
      </c>
      <c r="AA804" s="69" t="inlineStr">
        <is>
          <t>Yes</t>
        </is>
      </c>
      <c r="AB804" s="69" t="inlineStr">
        <is>
          <t>Never special serv</t>
        </is>
      </c>
      <c r="AC804" s="73" t="n"/>
      <c r="AD804" s="69" t="n"/>
      <c r="AE804" s="69" t="n"/>
      <c r="AF804" s="69" t="inlineStr">
        <is>
          <t>CA</t>
        </is>
      </c>
      <c r="AG804" s="69" t="inlineStr">
        <is>
          <t>Sacramento</t>
        </is>
      </c>
      <c r="AH804" s="69" t="inlineStr">
        <is>
          <t>Sacramento-Roseville-Folsom, CA</t>
        </is>
      </c>
      <c r="AI804" s="69" t="inlineStr">
        <is>
          <t>West / Pacific North</t>
        </is>
      </c>
      <c r="AJ804" s="69" t="inlineStr">
        <is>
          <t>RT</t>
        </is>
      </c>
      <c r="AK804" s="69" t="inlineStr">
        <is>
          <t>Shadow Anchored</t>
        </is>
      </c>
      <c r="AL804" s="68" t="n">
        <v>1</v>
      </c>
      <c r="AM804" s="68" t="n"/>
      <c r="AN804" s="68" t="n">
        <v>55658</v>
      </c>
      <c r="AO804" s="69" t="inlineStr">
        <is>
          <t>1987</t>
        </is>
      </c>
      <c r="AP804" s="70" t="n">
        <v>1987</v>
      </c>
      <c r="AQ804" s="74" t="n">
        <v>1.76</v>
      </c>
      <c r="AR804" s="74" t="n">
        <v>2.41</v>
      </c>
      <c r="AS804" s="74" t="n">
        <v>73.3</v>
      </c>
      <c r="AT804" s="74" t="n">
        <v>61.2</v>
      </c>
      <c r="AU804" s="74" t="n">
        <v>58.7</v>
      </c>
      <c r="AV804" s="74" t="n">
        <v>10.289722313</v>
      </c>
      <c r="AW804" s="74" t="n">
        <v>14.348437649</v>
      </c>
      <c r="AX804" s="75" t="n">
        <v>100</v>
      </c>
      <c r="AY804" s="71" t="n">
        <v>10000000</v>
      </c>
      <c r="AZ804" s="71" t="n">
        <v>10000000</v>
      </c>
      <c r="BA804" s="71" t="n">
        <v>756294.59</v>
      </c>
      <c r="BB804" s="71" t="n">
        <v>1033434.91</v>
      </c>
      <c r="BC804" s="69" t="inlineStr">
        <is>
          <t>Acquisition</t>
        </is>
      </c>
      <c r="BD804" s="69" t="inlineStr">
        <is>
          <t>N</t>
        </is>
      </c>
      <c r="BE804" s="71" t="n"/>
      <c r="BF804" s="71" t="n"/>
      <c r="BG804" s="71" t="n"/>
      <c r="BH804" s="71" t="n">
        <v>0</v>
      </c>
      <c r="BI804" s="71" t="n">
        <v>0</v>
      </c>
      <c r="BJ804" s="69" t="inlineStr">
        <is>
          <t>N</t>
        </is>
      </c>
      <c r="BK804" s="69" t="inlineStr">
        <is>
          <t>Enchanted Elk Grove LLC</t>
        </is>
      </c>
      <c r="BL804" s="75" t="n">
        <v>13.05</v>
      </c>
      <c r="BM804" s="73" t="n">
        <v>47422</v>
      </c>
      <c r="BN804" s="69" t="inlineStr">
        <is>
          <t>Kenneth Levy</t>
        </is>
      </c>
      <c r="BO804" s="69" t="inlineStr">
        <is>
          <t>GACC</t>
        </is>
      </c>
      <c r="BP804" s="69" t="inlineStr">
        <is>
          <t>Midland Loan Services</t>
        </is>
      </c>
      <c r="BQ804" s="69" t="inlineStr">
        <is>
          <t>K-Star Asset Management LLC</t>
        </is>
      </c>
      <c r="BR804" s="69" t="n"/>
      <c r="BS804" s="73" t="n">
        <v>46273</v>
      </c>
      <c r="BU804" s="76">
        <f>IF($C804="","",IFERROR(INDEX(dmName,MATCH($C804,dmID,0)),"Unmapped"))</f>
        <v/>
      </c>
      <c r="BV804" s="76">
        <f>IF($C804="","",IFERROR(INDEX(dmEntity,MATCH($C804,dmID,0)),"Unmapped"))</f>
        <v/>
      </c>
      <c r="BW804" s="77">
        <f>IF($C804="","",IFERROR(INDEX(dmVintage,MATCH($C804,dmID,0)),""))</f>
        <v/>
      </c>
      <c r="BX804" s="78">
        <f>IFERROR(INDEX(dmInclude,MATCH($C804,dmID,0)),0)</f>
        <v/>
      </c>
      <c r="BY804" s="78">
        <f>IF(N($I804)&gt;0,1,0)</f>
        <v/>
      </c>
      <c r="BZ804" s="76">
        <f>IF($AJ804="","Other / Leased Fee",IFERROR(INDEX(mapPTGroup,MATCH(LEFT(TRIM($AJ804),2),mapPTCode,0)),"Other / Leased Fee"))</f>
        <v/>
      </c>
      <c r="CA804" s="76">
        <f>IF(TRIM($AF804&amp;"")="","NR",LEFT(TRIM($AF804),2))</f>
        <v/>
      </c>
      <c r="CB804" s="76">
        <f>IFERROR(LOOKUP(2,1/(LEFT(TRIM($AI804&amp;""),LEN(mapRegion))=mapRegion),mapRegion),"Not Reported")</f>
        <v/>
      </c>
      <c r="CC804" s="76">
        <f>IF($BY804=0,"",IF(TRIM($W804&amp;"")="REO","REO",IF(TRIM($W804&amp;"")="FC","Foreclosure",IF(TRIM($W804&amp;"")="90+","90+ Days Delinquent",IF(TRIM($W804&amp;"")="60","60 Days Delinquent",IF(TRIM($W804&amp;"")="30","30 Days Delinquent",IF($X804="Non-Performing Matured Balloon","Non-Performing Matured Balloon",IF(OR($X804="Late Payment But Less Than 30 Days Delinquent",LEFT($X804&amp;"",20)="Payment Not Received"),"Late / In Grace (&lt;30 Days)",IF($X804="Performing Matured Balloon","Performing Matured Balloon","Current")))))))))</f>
        <v/>
      </c>
      <c r="CD804" s="78">
        <f>IF(OR($CC804="REO",$CC804="Foreclosure",$CC804="90+ Days Delinquent",$CC804="60 Days Delinquent",$CC804="30 Days Delinquent",$CC804="Non-Performing Matured Balloon"),1,0)</f>
        <v/>
      </c>
      <c r="CE804" s="76">
        <f>IF($AB804="Currently special serv","Currently Specially Serviced",IF($AB804="Returned to master serv","Previously Specially Serviced","Never Specially Serviced"))</f>
        <v/>
      </c>
      <c r="CF804" s="78">
        <f>IF($CE804="Currently Specially Serviced",1,0)</f>
        <v/>
      </c>
      <c r="CG804" s="76">
        <f>IF($AA804="Yes","Currently on Watchlist",IF($AA804="Previously","Previously on Watchlist","Never on Watchlist"))</f>
        <v/>
      </c>
      <c r="CH804" s="78">
        <f>IF($CG804="Currently on Watchlist",1,0)</f>
        <v/>
      </c>
      <c r="CI804" s="76">
        <f>IF($Z804="Full Defeasance","Fully Defeased",IF($Z804="Portion Of Loan Previously Defeased","Partially Defeased",IF($Z804="Defeasance Not Allowable","Not Defeased (Not Permitted)","Not Defeased")))</f>
        <v/>
      </c>
      <c r="CJ804" s="78">
        <f>IF($CI804="Fully Defeased",1,0)</f>
        <v/>
      </c>
      <c r="CK804" s="76">
        <f>IF($R804="IO","Full IO",IF(LEFT($R804&amp;"",7)="IO then","Partial IO","Amortizing"))</f>
        <v/>
      </c>
      <c r="CL804" s="78">
        <f>IF($CK804="Full IO",1,0)</f>
        <v/>
      </c>
      <c r="CM804" s="78">
        <f>IF($CK804="Partial IO",1,0)</f>
        <v/>
      </c>
      <c r="CN804" s="76">
        <f>IF(LEFT($F804&amp;"",10)="SPLIT_LOAN","Pari Passu Split","Standalone")</f>
        <v/>
      </c>
      <c r="CO804" s="78">
        <f>IF($CN804="Pari Passu Split",1,0)</f>
        <v/>
      </c>
      <c r="CP804" s="77">
        <f>IF(ISNUMBER($T804),YEAR($T804),"")</f>
        <v/>
      </c>
      <c r="CQ804" s="79">
        <f>IF(ISNUMBER($V804),$V804,IF(ISNUMBER($U804),$U804,""))</f>
        <v/>
      </c>
      <c r="CR804" s="77">
        <f>IF(ISNUMBER($CQ804),YEAR($CQ804),"")</f>
        <v/>
      </c>
      <c r="CS804" s="78">
        <f>IF(ISNUMBER($M804),MAX(0,$M804),IF(TRIM($M804&amp;"")="matured",0,""))</f>
        <v/>
      </c>
      <c r="CT804" s="78">
        <f>IF(AND(ISNUMBER($CS804),N($CS804)&lt;=mMatWindow),1,0)</f>
        <v/>
      </c>
      <c r="CU804" s="80">
        <f>IF(ISNUMBER($J804),$J804/100,"")</f>
        <v/>
      </c>
      <c r="CV804" s="81">
        <f>IF(ISNUMBER($AQ804),$AQ804,"")</f>
        <v/>
      </c>
      <c r="CW804" s="81">
        <f>IF(ISNUMBER($AR804),$AR804,"")</f>
        <v/>
      </c>
      <c r="CX804" s="82">
        <f>IF(ISNUMBER($AS804),$AS804/100,"")</f>
        <v/>
      </c>
      <c r="CY804" s="82">
        <f>IF(ISNUMBER($AT804),$AT804/100,"")</f>
        <v/>
      </c>
      <c r="CZ804" s="82">
        <f>IF(ISNUMBER($AU804),$AU804/100,"")</f>
        <v/>
      </c>
      <c r="DA804" s="82">
        <f>IF(ISNUMBER($AV804),$AV804/100,"")</f>
        <v/>
      </c>
      <c r="DB804" s="82">
        <f>IF(ISNUMBER($AW804),$AW804/100,"")</f>
        <v/>
      </c>
      <c r="DC804" s="82">
        <f>IF(ISNUMBER($AX804),$AX804/100,"")</f>
        <v/>
      </c>
      <c r="DD804" s="77">
        <f>IFERROR(VALUE(LEFT(TRIM($AO804&amp;""),4)),"")</f>
        <v/>
      </c>
      <c r="DE804" s="78">
        <f>IF(AND($BY804=1,$BX804=1,OR(fDeal="All Deals",$BU804=fDeal),OR(fEntity="All Entities",$BV804=fEntity),OR(fPType="All Property Types",$BZ804=fPType),OR(fDefeased="Include",$CJ804=0)),1,0)</f>
        <v/>
      </c>
      <c r="DF804" s="83">
        <f>$DE804*N($I804)</f>
        <v/>
      </c>
      <c r="DG804" s="78">
        <f>IF($DE804=1,IF(COUNTIFS($F$8:$F804,$F804,$DE$8:$DE804,1)=1,1,0),0)</f>
        <v/>
      </c>
      <c r="DH804" s="83">
        <f>IF($DG804=1,SUMIFS($DF$8:$DF$1600,$F$8:$F$1600,$F804),0)</f>
        <v/>
      </c>
      <c r="DI804" s="78">
        <f>IF($DG804=1,COUNTIFS($F$8:$F$1600,$F804,$DE$8:$DE$1600,1),0)</f>
        <v/>
      </c>
      <c r="DJ804" s="84">
        <f>IF($DG804=1,$DH804+(100000-ROW())/mTieBreak,0)</f>
        <v/>
      </c>
    </row>
    <row r="805">
      <c r="B805" s="68" t="n">
        <v>35</v>
      </c>
      <c r="C805" s="69" t="inlineStr">
        <is>
          <t>BCMK18B3</t>
        </is>
      </c>
      <c r="D805" s="69" t="inlineStr">
        <is>
          <t>35.000</t>
        </is>
      </c>
      <c r="E805" s="69" t="inlineStr">
        <is>
          <t>Storage Elevated</t>
        </is>
      </c>
      <c r="F805" s="69" t="inlineStr">
        <is>
          <t>LNBCMK18B3-35.000</t>
        </is>
      </c>
      <c r="G805" s="70" t="n"/>
      <c r="H805" s="71" t="n">
        <v>7200000</v>
      </c>
      <c r="I805" s="71" t="n">
        <v>6307952.800003201</v>
      </c>
      <c r="J805" s="72" t="n">
        <v>5.125</v>
      </c>
      <c r="K805" s="69" t="inlineStr">
        <is>
          <t>Fixed rate</t>
        </is>
      </c>
      <c r="L805" s="68" t="n">
        <v>120</v>
      </c>
      <c r="M805" s="68" t="n">
        <v>17</v>
      </c>
      <c r="N805" s="68" t="n">
        <v>372</v>
      </c>
      <c r="O805" s="68" t="n">
        <v>12</v>
      </c>
      <c r="P805" s="68" t="n">
        <v>0</v>
      </c>
      <c r="Q805" s="68" t="n">
        <v>103</v>
      </c>
      <c r="R805" s="69" t="inlineStr">
        <is>
          <t>IO then Amort</t>
        </is>
      </c>
      <c r="S805" s="69" t="inlineStr">
        <is>
          <t>No</t>
        </is>
      </c>
      <c r="T805" s="73" t="n">
        <v>43132</v>
      </c>
      <c r="U805" s="73" t="n">
        <v>46789</v>
      </c>
      <c r="V805" s="73" t="n"/>
      <c r="W805" s="69" t="n"/>
      <c r="X805" s="69" t="inlineStr">
        <is>
          <t>Current</t>
        </is>
      </c>
      <c r="Y805" s="68" t="n"/>
      <c r="Z805" s="69" t="inlineStr">
        <is>
          <t>No Defeasance Occurred</t>
        </is>
      </c>
      <c r="AA805" s="69" t="n"/>
      <c r="AB805" s="69" t="inlineStr">
        <is>
          <t>Never special serv</t>
        </is>
      </c>
      <c r="AC805" s="73" t="n"/>
      <c r="AD805" s="69" t="n"/>
      <c r="AE805" s="69" t="n"/>
      <c r="AF805" s="69" t="inlineStr">
        <is>
          <t>UT</t>
        </is>
      </c>
      <c r="AG805" s="69" t="inlineStr">
        <is>
          <t>Park City</t>
        </is>
      </c>
      <c r="AH805" s="69" t="inlineStr">
        <is>
          <t>Heber, UT</t>
        </is>
      </c>
      <c r="AI805" s="69" t="inlineStr">
        <is>
          <t>West / Mountain</t>
        </is>
      </c>
      <c r="AJ805" s="69" t="inlineStr">
        <is>
          <t>SS</t>
        </is>
      </c>
      <c r="AK805" s="69" t="n"/>
      <c r="AL805" s="68" t="n">
        <v>1</v>
      </c>
      <c r="AM805" s="68" t="n"/>
      <c r="AN805" s="68" t="n">
        <v>69667</v>
      </c>
      <c r="AO805" s="69" t="inlineStr">
        <is>
          <t>2015</t>
        </is>
      </c>
      <c r="AP805" s="70" t="n">
        <v>2015</v>
      </c>
      <c r="AQ805" s="74" t="n">
        <v>1.35</v>
      </c>
      <c r="AR805" s="74" t="n">
        <v>2.76</v>
      </c>
      <c r="AS805" s="74" t="n">
        <v>68.59999999999999</v>
      </c>
      <c r="AT805" s="74" t="n">
        <v>60.08</v>
      </c>
      <c r="AU805" s="74" t="n">
        <v>58.1</v>
      </c>
      <c r="AV805" s="74" t="n">
        <v>8.832152499999999</v>
      </c>
      <c r="AW805" s="74" t="n">
        <v>19.94856477</v>
      </c>
      <c r="AX805" s="75" t="n">
        <v>91</v>
      </c>
      <c r="AY805" s="71" t="n">
        <v>10500000</v>
      </c>
      <c r="AZ805" s="71" t="n">
        <v>10500000</v>
      </c>
      <c r="BA805" s="71" t="n">
        <v>635914.98</v>
      </c>
      <c r="BB805" s="71" t="n">
        <v>1298994.2</v>
      </c>
      <c r="BC805" s="69" t="inlineStr">
        <is>
          <t>Refinance</t>
        </is>
      </c>
      <c r="BD805" s="69" t="inlineStr">
        <is>
          <t>N</t>
        </is>
      </c>
      <c r="BE805" s="71" t="n"/>
      <c r="BF805" s="71" t="n"/>
      <c r="BG805" s="71" t="n"/>
      <c r="BH805" s="71" t="n">
        <v>0</v>
      </c>
      <c r="BI805" s="71" t="n">
        <v>0</v>
      </c>
      <c r="BJ805" s="69" t="inlineStr">
        <is>
          <t>N</t>
        </is>
      </c>
      <c r="BK805" s="69" t="n"/>
      <c r="BL805" s="75" t="n"/>
      <c r="BM805" s="73" t="n"/>
      <c r="BN805" s="69" t="inlineStr">
        <is>
          <t>David E. Richards and Woolleyenterprises LLC</t>
        </is>
      </c>
      <c r="BO805" s="69" t="inlineStr">
        <is>
          <t>GACC</t>
        </is>
      </c>
      <c r="BP805" s="69" t="inlineStr">
        <is>
          <t>Midland Loan Services</t>
        </is>
      </c>
      <c r="BQ805" s="69" t="inlineStr">
        <is>
          <t>K-Star Asset Management LLC</t>
        </is>
      </c>
      <c r="BR805" s="69" t="n"/>
      <c r="BS805" s="73" t="n">
        <v>46273</v>
      </c>
      <c r="BU805" s="76">
        <f>IF($C805="","",IFERROR(INDEX(dmName,MATCH($C805,dmID,0)),"Unmapped"))</f>
        <v/>
      </c>
      <c r="BV805" s="76">
        <f>IF($C805="","",IFERROR(INDEX(dmEntity,MATCH($C805,dmID,0)),"Unmapped"))</f>
        <v/>
      </c>
      <c r="BW805" s="77">
        <f>IF($C805="","",IFERROR(INDEX(dmVintage,MATCH($C805,dmID,0)),""))</f>
        <v/>
      </c>
      <c r="BX805" s="78">
        <f>IFERROR(INDEX(dmInclude,MATCH($C805,dmID,0)),0)</f>
        <v/>
      </c>
      <c r="BY805" s="78">
        <f>IF(N($I805)&gt;0,1,0)</f>
        <v/>
      </c>
      <c r="BZ805" s="76">
        <f>IF($AJ805="","Other / Leased Fee",IFERROR(INDEX(mapPTGroup,MATCH(LEFT(TRIM($AJ805),2),mapPTCode,0)),"Other / Leased Fee"))</f>
        <v/>
      </c>
      <c r="CA805" s="76">
        <f>IF(TRIM($AF805&amp;"")="","NR",LEFT(TRIM($AF805),2))</f>
        <v/>
      </c>
      <c r="CB805" s="76">
        <f>IFERROR(LOOKUP(2,1/(LEFT(TRIM($AI805&amp;""),LEN(mapRegion))=mapRegion),mapRegion),"Not Reported")</f>
        <v/>
      </c>
      <c r="CC805" s="76">
        <f>IF($BY805=0,"",IF(TRIM($W805&amp;"")="REO","REO",IF(TRIM($W805&amp;"")="FC","Foreclosure",IF(TRIM($W805&amp;"")="90+","90+ Days Delinquent",IF(TRIM($W805&amp;"")="60","60 Days Delinquent",IF(TRIM($W805&amp;"")="30","30 Days Delinquent",IF($X805="Non-Performing Matured Balloon","Non-Performing Matured Balloon",IF(OR($X805="Late Payment But Less Than 30 Days Delinquent",LEFT($X805&amp;"",20)="Payment Not Received"),"Late / In Grace (&lt;30 Days)",IF($X805="Performing Matured Balloon","Performing Matured Balloon","Current")))))))))</f>
        <v/>
      </c>
      <c r="CD805" s="78">
        <f>IF(OR($CC805="REO",$CC805="Foreclosure",$CC805="90+ Days Delinquent",$CC805="60 Days Delinquent",$CC805="30 Days Delinquent",$CC805="Non-Performing Matured Balloon"),1,0)</f>
        <v/>
      </c>
      <c r="CE805" s="76">
        <f>IF($AB805="Currently special serv","Currently Specially Serviced",IF($AB805="Returned to master serv","Previously Specially Serviced","Never Specially Serviced"))</f>
        <v/>
      </c>
      <c r="CF805" s="78">
        <f>IF($CE805="Currently Specially Serviced",1,0)</f>
        <v/>
      </c>
      <c r="CG805" s="76">
        <f>IF($AA805="Yes","Currently on Watchlist",IF($AA805="Previously","Previously on Watchlist","Never on Watchlist"))</f>
        <v/>
      </c>
      <c r="CH805" s="78">
        <f>IF($CG805="Currently on Watchlist",1,0)</f>
        <v/>
      </c>
      <c r="CI805" s="76">
        <f>IF($Z805="Full Defeasance","Fully Defeased",IF($Z805="Portion Of Loan Previously Defeased","Partially Defeased",IF($Z805="Defeasance Not Allowable","Not Defeased (Not Permitted)","Not Defeased")))</f>
        <v/>
      </c>
      <c r="CJ805" s="78">
        <f>IF($CI805="Fully Defeased",1,0)</f>
        <v/>
      </c>
      <c r="CK805" s="76">
        <f>IF($R805="IO","Full IO",IF(LEFT($R805&amp;"",7)="IO then","Partial IO","Amortizing"))</f>
        <v/>
      </c>
      <c r="CL805" s="78">
        <f>IF($CK805="Full IO",1,0)</f>
        <v/>
      </c>
      <c r="CM805" s="78">
        <f>IF($CK805="Partial IO",1,0)</f>
        <v/>
      </c>
      <c r="CN805" s="76">
        <f>IF(LEFT($F805&amp;"",10)="SPLIT_LOAN","Pari Passu Split","Standalone")</f>
        <v/>
      </c>
      <c r="CO805" s="78">
        <f>IF($CN805="Pari Passu Split",1,0)</f>
        <v/>
      </c>
      <c r="CP805" s="77">
        <f>IF(ISNUMBER($T805),YEAR($T805),"")</f>
        <v/>
      </c>
      <c r="CQ805" s="79">
        <f>IF(ISNUMBER($V805),$V805,IF(ISNUMBER($U805),$U805,""))</f>
        <v/>
      </c>
      <c r="CR805" s="77">
        <f>IF(ISNUMBER($CQ805),YEAR($CQ805),"")</f>
        <v/>
      </c>
      <c r="CS805" s="78">
        <f>IF(ISNUMBER($M805),MAX(0,$M805),IF(TRIM($M805&amp;"")="matured",0,""))</f>
        <v/>
      </c>
      <c r="CT805" s="78">
        <f>IF(AND(ISNUMBER($CS805),N($CS805)&lt;=mMatWindow),1,0)</f>
        <v/>
      </c>
      <c r="CU805" s="80">
        <f>IF(ISNUMBER($J805),$J805/100,"")</f>
        <v/>
      </c>
      <c r="CV805" s="81">
        <f>IF(ISNUMBER($AQ805),$AQ805,"")</f>
        <v/>
      </c>
      <c r="CW805" s="81">
        <f>IF(ISNUMBER($AR805),$AR805,"")</f>
        <v/>
      </c>
      <c r="CX805" s="82">
        <f>IF(ISNUMBER($AS805),$AS805/100,"")</f>
        <v/>
      </c>
      <c r="CY805" s="82">
        <f>IF(ISNUMBER($AT805),$AT805/100,"")</f>
        <v/>
      </c>
      <c r="CZ805" s="82">
        <f>IF(ISNUMBER($AU805),$AU805/100,"")</f>
        <v/>
      </c>
      <c r="DA805" s="82">
        <f>IF(ISNUMBER($AV805),$AV805/100,"")</f>
        <v/>
      </c>
      <c r="DB805" s="82">
        <f>IF(ISNUMBER($AW805),$AW805/100,"")</f>
        <v/>
      </c>
      <c r="DC805" s="82">
        <f>IF(ISNUMBER($AX805),$AX805/100,"")</f>
        <v/>
      </c>
      <c r="DD805" s="77">
        <f>IFERROR(VALUE(LEFT(TRIM($AO805&amp;""),4)),"")</f>
        <v/>
      </c>
      <c r="DE805" s="78">
        <f>IF(AND($BY805=1,$BX805=1,OR(fDeal="All Deals",$BU805=fDeal),OR(fEntity="All Entities",$BV805=fEntity),OR(fPType="All Property Types",$BZ805=fPType),OR(fDefeased="Include",$CJ805=0)),1,0)</f>
        <v/>
      </c>
      <c r="DF805" s="83">
        <f>$DE805*N($I805)</f>
        <v/>
      </c>
      <c r="DG805" s="78">
        <f>IF($DE805=1,IF(COUNTIFS($F$8:$F805,$F805,$DE$8:$DE805,1)=1,1,0),0)</f>
        <v/>
      </c>
      <c r="DH805" s="83">
        <f>IF($DG805=1,SUMIFS($DF$8:$DF$1600,$F$8:$F$1600,$F805),0)</f>
        <v/>
      </c>
      <c r="DI805" s="78">
        <f>IF($DG805=1,COUNTIFS($F$8:$F$1600,$F805,$DE$8:$DE$1600,1),0)</f>
        <v/>
      </c>
      <c r="DJ805" s="84">
        <f>IF($DG805=1,$DH805+(100000-ROW())/mTieBreak,0)</f>
        <v/>
      </c>
    </row>
    <row r="806">
      <c r="B806" s="68" t="n">
        <v>36</v>
      </c>
      <c r="C806" s="69" t="inlineStr">
        <is>
          <t>BCMK18B3</t>
        </is>
      </c>
      <c r="D806" s="69" t="inlineStr">
        <is>
          <t>36.000</t>
        </is>
      </c>
      <c r="E806" s="69" t="inlineStr">
        <is>
          <t>Courtyard Marriott Indianapolis Northwest</t>
        </is>
      </c>
      <c r="F806" s="69" t="inlineStr">
        <is>
          <t>LNBCMK18B3-36.000</t>
        </is>
      </c>
      <c r="G806" s="70" t="n"/>
      <c r="H806" s="71" t="n">
        <v>7020000</v>
      </c>
      <c r="I806" s="71" t="n">
        <v>6435523.570001761</v>
      </c>
      <c r="J806" s="72" t="n">
        <v>5.21</v>
      </c>
      <c r="K806" s="69" t="inlineStr">
        <is>
          <t>Fixed rate</t>
        </is>
      </c>
      <c r="L806" s="68" t="n">
        <v>120</v>
      </c>
      <c r="M806" s="68" t="n">
        <v>18</v>
      </c>
      <c r="N806" s="68" t="n">
        <v>396</v>
      </c>
      <c r="O806" s="68" t="n">
        <v>36</v>
      </c>
      <c r="P806" s="68" t="n">
        <v>0</v>
      </c>
      <c r="Q806" s="68" t="n">
        <v>102</v>
      </c>
      <c r="R806" s="69" t="inlineStr">
        <is>
          <t>IO then Amort</t>
        </is>
      </c>
      <c r="S806" s="69" t="inlineStr">
        <is>
          <t>No</t>
        </is>
      </c>
      <c r="T806" s="73" t="n">
        <v>43160</v>
      </c>
      <c r="U806" s="73" t="n">
        <v>46818</v>
      </c>
      <c r="V806" s="73" t="n"/>
      <c r="W806" s="69" t="n"/>
      <c r="X806" s="69" t="inlineStr">
        <is>
          <t>Current</t>
        </is>
      </c>
      <c r="Y806" s="68" t="n"/>
      <c r="Z806" s="69" t="inlineStr">
        <is>
          <t>No Defeasance Occurred</t>
        </is>
      </c>
      <c r="AA806" s="69" t="inlineStr">
        <is>
          <t>Yes</t>
        </is>
      </c>
      <c r="AB806" s="69" t="inlineStr">
        <is>
          <t>Never special serv</t>
        </is>
      </c>
      <c r="AC806" s="73" t="n"/>
      <c r="AD806" s="69" t="n"/>
      <c r="AE806" s="69" t="n"/>
      <c r="AF806" s="69" t="inlineStr">
        <is>
          <t>IN</t>
        </is>
      </c>
      <c r="AG806" s="69" t="inlineStr">
        <is>
          <t>Indianapolis</t>
        </is>
      </c>
      <c r="AH806" s="69" t="inlineStr">
        <is>
          <t>Indianapolis-Carmel-Greenwood, IN</t>
        </is>
      </c>
      <c r="AI806" s="69" t="inlineStr">
        <is>
          <t>Midwest / Central East</t>
        </is>
      </c>
      <c r="AJ806" s="69" t="inlineStr">
        <is>
          <t>HT</t>
        </is>
      </c>
      <c r="AK806" s="69" t="inlineStr">
        <is>
          <t>Limited Service</t>
        </is>
      </c>
      <c r="AL806" s="68" t="n">
        <v>1</v>
      </c>
      <c r="AM806" s="68" t="n">
        <v>90</v>
      </c>
      <c r="AN806" s="68" t="n"/>
      <c r="AO806" s="69" t="inlineStr">
        <is>
          <t>1997</t>
        </is>
      </c>
      <c r="AP806" s="70" t="n">
        <v>2009</v>
      </c>
      <c r="AQ806" s="74" t="n">
        <v>1.95</v>
      </c>
      <c r="AR806" s="74" t="n">
        <v>1.3</v>
      </c>
      <c r="AS806" s="74" t="n">
        <v>54</v>
      </c>
      <c r="AT806" s="74" t="n">
        <v>49.5</v>
      </c>
      <c r="AU806" s="74" t="n">
        <v>48.03</v>
      </c>
      <c r="AV806" s="74" t="n">
        <v>12.884979487</v>
      </c>
      <c r="AW806" s="74" t="n">
        <v>9.793262243999999</v>
      </c>
      <c r="AX806" s="75" t="n">
        <v>72</v>
      </c>
      <c r="AY806" s="71" t="n">
        <v>13000000</v>
      </c>
      <c r="AZ806" s="71" t="n">
        <v>13000000</v>
      </c>
      <c r="BA806" s="71" t="n">
        <v>904525.5600000001</v>
      </c>
      <c r="BB806" s="71" t="n">
        <v>602500.8</v>
      </c>
      <c r="BC806" s="69" t="inlineStr">
        <is>
          <t>Acquisition</t>
        </is>
      </c>
      <c r="BD806" s="69" t="inlineStr">
        <is>
          <t>N</t>
        </is>
      </c>
      <c r="BE806" s="71" t="n"/>
      <c r="BF806" s="71" t="n"/>
      <c r="BG806" s="71" t="n"/>
      <c r="BH806" s="71" t="n">
        <v>0</v>
      </c>
      <c r="BI806" s="71" t="n">
        <v>0</v>
      </c>
      <c r="BJ806" s="69" t="inlineStr">
        <is>
          <t>Y</t>
        </is>
      </c>
      <c r="BK806" s="69" t="n"/>
      <c r="BL806" s="75" t="n"/>
      <c r="BM806" s="73" t="n"/>
      <c r="BN806" s="69" t="inlineStr">
        <is>
          <t>Vamsikrishna Bonthala, Sheenal Patel and SE-ALP Indy CY</t>
        </is>
      </c>
      <c r="BO806" s="69" t="inlineStr">
        <is>
          <t>Citigroup Global Markets</t>
        </is>
      </c>
      <c r="BP806" s="69" t="inlineStr">
        <is>
          <t>Midland Loan Services</t>
        </is>
      </c>
      <c r="BQ806" s="69" t="inlineStr">
        <is>
          <t>K-Star Asset Management LLC</t>
        </is>
      </c>
      <c r="BR806" s="69" t="n"/>
      <c r="BS806" s="73" t="n">
        <v>46273</v>
      </c>
      <c r="BU806" s="76">
        <f>IF($C806="","",IFERROR(INDEX(dmName,MATCH($C806,dmID,0)),"Unmapped"))</f>
        <v/>
      </c>
      <c r="BV806" s="76">
        <f>IF($C806="","",IFERROR(INDEX(dmEntity,MATCH($C806,dmID,0)),"Unmapped"))</f>
        <v/>
      </c>
      <c r="BW806" s="77">
        <f>IF($C806="","",IFERROR(INDEX(dmVintage,MATCH($C806,dmID,0)),""))</f>
        <v/>
      </c>
      <c r="BX806" s="78">
        <f>IFERROR(INDEX(dmInclude,MATCH($C806,dmID,0)),0)</f>
        <v/>
      </c>
      <c r="BY806" s="78">
        <f>IF(N($I806)&gt;0,1,0)</f>
        <v/>
      </c>
      <c r="BZ806" s="76">
        <f>IF($AJ806="","Other / Leased Fee",IFERROR(INDEX(mapPTGroup,MATCH(LEFT(TRIM($AJ806),2),mapPTCode,0)),"Other / Leased Fee"))</f>
        <v/>
      </c>
      <c r="CA806" s="76">
        <f>IF(TRIM($AF806&amp;"")="","NR",LEFT(TRIM($AF806),2))</f>
        <v/>
      </c>
      <c r="CB806" s="76">
        <f>IFERROR(LOOKUP(2,1/(LEFT(TRIM($AI806&amp;""),LEN(mapRegion))=mapRegion),mapRegion),"Not Reported")</f>
        <v/>
      </c>
      <c r="CC806" s="76">
        <f>IF($BY806=0,"",IF(TRIM($W806&amp;"")="REO","REO",IF(TRIM($W806&amp;"")="FC","Foreclosure",IF(TRIM($W806&amp;"")="90+","90+ Days Delinquent",IF(TRIM($W806&amp;"")="60","60 Days Delinquent",IF(TRIM($W806&amp;"")="30","30 Days Delinquent",IF($X806="Non-Performing Matured Balloon","Non-Performing Matured Balloon",IF(OR($X806="Late Payment But Less Than 30 Days Delinquent",LEFT($X806&amp;"",20)="Payment Not Received"),"Late / In Grace (&lt;30 Days)",IF($X806="Performing Matured Balloon","Performing Matured Balloon","Current")))))))))</f>
        <v/>
      </c>
      <c r="CD806" s="78">
        <f>IF(OR($CC806="REO",$CC806="Foreclosure",$CC806="90+ Days Delinquent",$CC806="60 Days Delinquent",$CC806="30 Days Delinquent",$CC806="Non-Performing Matured Balloon"),1,0)</f>
        <v/>
      </c>
      <c r="CE806" s="76">
        <f>IF($AB806="Currently special serv","Currently Specially Serviced",IF($AB806="Returned to master serv","Previously Specially Serviced","Never Specially Serviced"))</f>
        <v/>
      </c>
      <c r="CF806" s="78">
        <f>IF($CE806="Currently Specially Serviced",1,0)</f>
        <v/>
      </c>
      <c r="CG806" s="76">
        <f>IF($AA806="Yes","Currently on Watchlist",IF($AA806="Previously","Previously on Watchlist","Never on Watchlist"))</f>
        <v/>
      </c>
      <c r="CH806" s="78">
        <f>IF($CG806="Currently on Watchlist",1,0)</f>
        <v/>
      </c>
      <c r="CI806" s="76">
        <f>IF($Z806="Full Defeasance","Fully Defeased",IF($Z806="Portion Of Loan Previously Defeased","Partially Defeased",IF($Z806="Defeasance Not Allowable","Not Defeased (Not Permitted)","Not Defeased")))</f>
        <v/>
      </c>
      <c r="CJ806" s="78">
        <f>IF($CI806="Fully Defeased",1,0)</f>
        <v/>
      </c>
      <c r="CK806" s="76">
        <f>IF($R806="IO","Full IO",IF(LEFT($R806&amp;"",7)="IO then","Partial IO","Amortizing"))</f>
        <v/>
      </c>
      <c r="CL806" s="78">
        <f>IF($CK806="Full IO",1,0)</f>
        <v/>
      </c>
      <c r="CM806" s="78">
        <f>IF($CK806="Partial IO",1,0)</f>
        <v/>
      </c>
      <c r="CN806" s="76">
        <f>IF(LEFT($F806&amp;"",10)="SPLIT_LOAN","Pari Passu Split","Standalone")</f>
        <v/>
      </c>
      <c r="CO806" s="78">
        <f>IF($CN806="Pari Passu Split",1,0)</f>
        <v/>
      </c>
      <c r="CP806" s="77">
        <f>IF(ISNUMBER($T806),YEAR($T806),"")</f>
        <v/>
      </c>
      <c r="CQ806" s="79">
        <f>IF(ISNUMBER($V806),$V806,IF(ISNUMBER($U806),$U806,""))</f>
        <v/>
      </c>
      <c r="CR806" s="77">
        <f>IF(ISNUMBER($CQ806),YEAR($CQ806),"")</f>
        <v/>
      </c>
      <c r="CS806" s="78">
        <f>IF(ISNUMBER($M806),MAX(0,$M806),IF(TRIM($M806&amp;"")="matured",0,""))</f>
        <v/>
      </c>
      <c r="CT806" s="78">
        <f>IF(AND(ISNUMBER($CS806),N($CS806)&lt;=mMatWindow),1,0)</f>
        <v/>
      </c>
      <c r="CU806" s="80">
        <f>IF(ISNUMBER($J806),$J806/100,"")</f>
        <v/>
      </c>
      <c r="CV806" s="81">
        <f>IF(ISNUMBER($AQ806),$AQ806,"")</f>
        <v/>
      </c>
      <c r="CW806" s="81">
        <f>IF(ISNUMBER($AR806),$AR806,"")</f>
        <v/>
      </c>
      <c r="CX806" s="82">
        <f>IF(ISNUMBER($AS806),$AS806/100,"")</f>
        <v/>
      </c>
      <c r="CY806" s="82">
        <f>IF(ISNUMBER($AT806),$AT806/100,"")</f>
        <v/>
      </c>
      <c r="CZ806" s="82">
        <f>IF(ISNUMBER($AU806),$AU806/100,"")</f>
        <v/>
      </c>
      <c r="DA806" s="82">
        <f>IF(ISNUMBER($AV806),$AV806/100,"")</f>
        <v/>
      </c>
      <c r="DB806" s="82">
        <f>IF(ISNUMBER($AW806),$AW806/100,"")</f>
        <v/>
      </c>
      <c r="DC806" s="82">
        <f>IF(ISNUMBER($AX806),$AX806/100,"")</f>
        <v/>
      </c>
      <c r="DD806" s="77">
        <f>IFERROR(VALUE(LEFT(TRIM($AO806&amp;""),4)),"")</f>
        <v/>
      </c>
      <c r="DE806" s="78">
        <f>IF(AND($BY806=1,$BX806=1,OR(fDeal="All Deals",$BU806=fDeal),OR(fEntity="All Entities",$BV806=fEntity),OR(fPType="All Property Types",$BZ806=fPType),OR(fDefeased="Include",$CJ806=0)),1,0)</f>
        <v/>
      </c>
      <c r="DF806" s="83">
        <f>$DE806*N($I806)</f>
        <v/>
      </c>
      <c r="DG806" s="78">
        <f>IF($DE806=1,IF(COUNTIFS($F$8:$F806,$F806,$DE$8:$DE806,1)=1,1,0),0)</f>
        <v/>
      </c>
      <c r="DH806" s="83">
        <f>IF($DG806=1,SUMIFS($DF$8:$DF$1600,$F$8:$F$1600,$F806),0)</f>
        <v/>
      </c>
      <c r="DI806" s="78">
        <f>IF($DG806=1,COUNTIFS($F$8:$F$1600,$F806,$DE$8:$DE$1600,1),0)</f>
        <v/>
      </c>
      <c r="DJ806" s="84">
        <f>IF($DG806=1,$DH806+(100000-ROW())/mTieBreak,0)</f>
        <v/>
      </c>
    </row>
    <row r="807">
      <c r="B807" s="68" t="n">
        <v>37</v>
      </c>
      <c r="C807" s="69" t="inlineStr">
        <is>
          <t>BCMK18B3</t>
        </is>
      </c>
      <c r="D807" s="69" t="inlineStr">
        <is>
          <t>37.000</t>
        </is>
      </c>
      <c r="E807" s="69" t="inlineStr">
        <is>
          <t>1101-1109 West Randolph Street</t>
        </is>
      </c>
      <c r="F807" s="69" t="inlineStr">
        <is>
          <t>LNBCMK18B3-37.000</t>
        </is>
      </c>
      <c r="G807" s="70" t="n"/>
      <c r="H807" s="71" t="n">
        <v>7000000</v>
      </c>
      <c r="I807" s="71" t="n">
        <v>0</v>
      </c>
      <c r="J807" s="72" t="n">
        <v>5.26</v>
      </c>
      <c r="K807" s="69" t="inlineStr">
        <is>
          <t>Fixed rate</t>
        </is>
      </c>
      <c r="L807" s="68" t="n">
        <v>84</v>
      </c>
      <c r="M807" s="68" t="n"/>
      <c r="N807" s="68" t="n">
        <v>396</v>
      </c>
      <c r="O807" s="68" t="n">
        <v>36</v>
      </c>
      <c r="P807" s="68" t="n"/>
      <c r="Q807" s="68" t="n"/>
      <c r="R807" s="69" t="inlineStr">
        <is>
          <t>IO then Amort</t>
        </is>
      </c>
      <c r="S807" s="69" t="inlineStr">
        <is>
          <t>No</t>
        </is>
      </c>
      <c r="T807" s="73" t="n">
        <v>43132</v>
      </c>
      <c r="U807" s="73" t="n">
        <v>45694</v>
      </c>
      <c r="V807" s="73" t="n"/>
      <c r="W807" s="69" t="n"/>
      <c r="X807" s="69" t="inlineStr">
        <is>
          <t>Current</t>
        </is>
      </c>
      <c r="Y807" s="68" t="n"/>
      <c r="Z807" s="69" t="inlineStr">
        <is>
          <t>No Defeasance Occurred</t>
        </is>
      </c>
      <c r="AA807" s="69" t="inlineStr">
        <is>
          <t>Previously</t>
        </is>
      </c>
      <c r="AB807" s="69" t="inlineStr">
        <is>
          <t>Currently special serv</t>
        </is>
      </c>
      <c r="AC807" s="73" t="n">
        <v>45730</v>
      </c>
      <c r="AD807" s="69" t="inlineStr">
        <is>
          <t>Balloon Payment/Maturity Default</t>
        </is>
      </c>
      <c r="AE807" s="69" t="inlineStr">
        <is>
          <t>Other</t>
        </is>
      </c>
      <c r="AF807" s="69" t="inlineStr">
        <is>
          <t>IL</t>
        </is>
      </c>
      <c r="AG807" s="69" t="inlineStr">
        <is>
          <t>Chicago</t>
        </is>
      </c>
      <c r="AH807" s="69" t="inlineStr">
        <is>
          <t>Chicago-Naperville-Elgin, IL-IN</t>
        </is>
      </c>
      <c r="AI807" s="69" t="inlineStr">
        <is>
          <t>Midwest / Central East</t>
        </is>
      </c>
      <c r="AJ807" s="69" t="inlineStr">
        <is>
          <t>RT</t>
        </is>
      </c>
      <c r="AK807" s="69" t="inlineStr">
        <is>
          <t>Unanchored</t>
        </is>
      </c>
      <c r="AL807" s="68" t="n">
        <v>1</v>
      </c>
      <c r="AM807" s="68" t="n"/>
      <c r="AN807" s="68" t="n">
        <v>18630</v>
      </c>
      <c r="AO807" s="69" t="inlineStr">
        <is>
          <t>2017</t>
        </is>
      </c>
      <c r="AP807" s="70" t="n">
        <v>2017</v>
      </c>
      <c r="AQ807" s="74" t="n">
        <v>1.21</v>
      </c>
      <c r="AR807" s="74" t="n">
        <v>1.73</v>
      </c>
      <c r="AS807" s="74" t="n">
        <v>54.82</v>
      </c>
      <c r="AT807" s="74" t="n"/>
      <c r="AU807" s="74" t="n">
        <v>51.65</v>
      </c>
      <c r="AV807" s="74" t="n">
        <v>8.003085713999999</v>
      </c>
      <c r="AW807" s="74" t="n"/>
      <c r="AX807" s="75" t="n">
        <v>100</v>
      </c>
      <c r="AY807" s="71" t="n">
        <v>12770000</v>
      </c>
      <c r="AZ807" s="71" t="n">
        <v>12770000</v>
      </c>
      <c r="BA807" s="71" t="n">
        <v>560216</v>
      </c>
      <c r="BB807" s="71" t="n">
        <v>804861.22</v>
      </c>
      <c r="BC807" s="69" t="inlineStr">
        <is>
          <t>Refinance</t>
        </is>
      </c>
      <c r="BD807" s="69" t="inlineStr">
        <is>
          <t>N</t>
        </is>
      </c>
      <c r="BE807" s="71" t="n"/>
      <c r="BF807" s="71" t="n"/>
      <c r="BG807" s="71" t="n"/>
      <c r="BH807" s="71" t="n">
        <v>0</v>
      </c>
      <c r="BI807" s="71" t="n">
        <v>0</v>
      </c>
      <c r="BJ807" s="69" t="inlineStr">
        <is>
          <t>N</t>
        </is>
      </c>
      <c r="BK807" s="69" t="inlineStr">
        <is>
          <t>Urban Outfitters</t>
        </is>
      </c>
      <c r="BL807" s="75" t="n">
        <v>58.78</v>
      </c>
      <c r="BM807" s="73" t="n">
        <v>46783</v>
      </c>
      <c r="BN807" s="69" t="inlineStr">
        <is>
          <t>Isaac Shalom</t>
        </is>
      </c>
      <c r="BO807" s="69" t="inlineStr">
        <is>
          <t>Citigroup Global Markets</t>
        </is>
      </c>
      <c r="BP807" s="69" t="inlineStr">
        <is>
          <t>Midland Loan Services</t>
        </is>
      </c>
      <c r="BQ807" s="69" t="inlineStr">
        <is>
          <t>K-Star Asset Management LLC</t>
        </is>
      </c>
      <c r="BR807" s="69" t="inlineStr">
        <is>
          <t>Full Payoff At Maturity</t>
        </is>
      </c>
      <c r="BS807" s="73" t="n">
        <v>45754</v>
      </c>
      <c r="BU807" s="76">
        <f>IF($C807="","",IFERROR(INDEX(dmName,MATCH($C807,dmID,0)),"Unmapped"))</f>
        <v/>
      </c>
      <c r="BV807" s="76">
        <f>IF($C807="","",IFERROR(INDEX(dmEntity,MATCH($C807,dmID,0)),"Unmapped"))</f>
        <v/>
      </c>
      <c r="BW807" s="77">
        <f>IF($C807="","",IFERROR(INDEX(dmVintage,MATCH($C807,dmID,0)),""))</f>
        <v/>
      </c>
      <c r="BX807" s="78">
        <f>IFERROR(INDEX(dmInclude,MATCH($C807,dmID,0)),0)</f>
        <v/>
      </c>
      <c r="BY807" s="78">
        <f>IF(N($I807)&gt;0,1,0)</f>
        <v/>
      </c>
      <c r="BZ807" s="76">
        <f>IF($AJ807="","Other / Leased Fee",IFERROR(INDEX(mapPTGroup,MATCH(LEFT(TRIM($AJ807),2),mapPTCode,0)),"Other / Leased Fee"))</f>
        <v/>
      </c>
      <c r="CA807" s="76">
        <f>IF(TRIM($AF807&amp;"")="","NR",LEFT(TRIM($AF807),2))</f>
        <v/>
      </c>
      <c r="CB807" s="76">
        <f>IFERROR(LOOKUP(2,1/(LEFT(TRIM($AI807&amp;""),LEN(mapRegion))=mapRegion),mapRegion),"Not Reported")</f>
        <v/>
      </c>
      <c r="CC807" s="76">
        <f>IF($BY807=0,"",IF(TRIM($W807&amp;"")="REO","REO",IF(TRIM($W807&amp;"")="FC","Foreclosure",IF(TRIM($W807&amp;"")="90+","90+ Days Delinquent",IF(TRIM($W807&amp;"")="60","60 Days Delinquent",IF(TRIM($W807&amp;"")="30","30 Days Delinquent",IF($X807="Non-Performing Matured Balloon","Non-Performing Matured Balloon",IF(OR($X807="Late Payment But Less Than 30 Days Delinquent",LEFT($X807&amp;"",20)="Payment Not Received"),"Late / In Grace (&lt;30 Days)",IF($X807="Performing Matured Balloon","Performing Matured Balloon","Current")))))))))</f>
        <v/>
      </c>
      <c r="CD807" s="78">
        <f>IF(OR($CC807="REO",$CC807="Foreclosure",$CC807="90+ Days Delinquent",$CC807="60 Days Delinquent",$CC807="30 Days Delinquent",$CC807="Non-Performing Matured Balloon"),1,0)</f>
        <v/>
      </c>
      <c r="CE807" s="76">
        <f>IF($AB807="Currently special serv","Currently Specially Serviced",IF($AB807="Returned to master serv","Previously Specially Serviced","Never Specially Serviced"))</f>
        <v/>
      </c>
      <c r="CF807" s="78">
        <f>IF($CE807="Currently Specially Serviced",1,0)</f>
        <v/>
      </c>
      <c r="CG807" s="76">
        <f>IF($AA807="Yes","Currently on Watchlist",IF($AA807="Previously","Previously on Watchlist","Never on Watchlist"))</f>
        <v/>
      </c>
      <c r="CH807" s="78">
        <f>IF($CG807="Currently on Watchlist",1,0)</f>
        <v/>
      </c>
      <c r="CI807" s="76">
        <f>IF($Z807="Full Defeasance","Fully Defeased",IF($Z807="Portion Of Loan Previously Defeased","Partially Defeased",IF($Z807="Defeasance Not Allowable","Not Defeased (Not Permitted)","Not Defeased")))</f>
        <v/>
      </c>
      <c r="CJ807" s="78">
        <f>IF($CI807="Fully Defeased",1,0)</f>
        <v/>
      </c>
      <c r="CK807" s="76">
        <f>IF($R807="IO","Full IO",IF(LEFT($R807&amp;"",7)="IO then","Partial IO","Amortizing"))</f>
        <v/>
      </c>
      <c r="CL807" s="78">
        <f>IF($CK807="Full IO",1,0)</f>
        <v/>
      </c>
      <c r="CM807" s="78">
        <f>IF($CK807="Partial IO",1,0)</f>
        <v/>
      </c>
      <c r="CN807" s="76">
        <f>IF(LEFT($F807&amp;"",10)="SPLIT_LOAN","Pari Passu Split","Standalone")</f>
        <v/>
      </c>
      <c r="CO807" s="78">
        <f>IF($CN807="Pari Passu Split",1,0)</f>
        <v/>
      </c>
      <c r="CP807" s="77">
        <f>IF(ISNUMBER($T807),YEAR($T807),"")</f>
        <v/>
      </c>
      <c r="CQ807" s="79">
        <f>IF(ISNUMBER($V807),$V807,IF(ISNUMBER($U807),$U807,""))</f>
        <v/>
      </c>
      <c r="CR807" s="77">
        <f>IF(ISNUMBER($CQ807),YEAR($CQ807),"")</f>
        <v/>
      </c>
      <c r="CS807" s="78">
        <f>IF(ISNUMBER($M807),MAX(0,$M807),IF(TRIM($M807&amp;"")="matured",0,""))</f>
        <v/>
      </c>
      <c r="CT807" s="78">
        <f>IF(AND(ISNUMBER($CS807),N($CS807)&lt;=mMatWindow),1,0)</f>
        <v/>
      </c>
      <c r="CU807" s="80">
        <f>IF(ISNUMBER($J807),$J807/100,"")</f>
        <v/>
      </c>
      <c r="CV807" s="81">
        <f>IF(ISNUMBER($AQ807),$AQ807,"")</f>
        <v/>
      </c>
      <c r="CW807" s="81">
        <f>IF(ISNUMBER($AR807),$AR807,"")</f>
        <v/>
      </c>
      <c r="CX807" s="82">
        <f>IF(ISNUMBER($AS807),$AS807/100,"")</f>
        <v/>
      </c>
      <c r="CY807" s="82">
        <f>IF(ISNUMBER($AT807),$AT807/100,"")</f>
        <v/>
      </c>
      <c r="CZ807" s="82">
        <f>IF(ISNUMBER($AU807),$AU807/100,"")</f>
        <v/>
      </c>
      <c r="DA807" s="82">
        <f>IF(ISNUMBER($AV807),$AV807/100,"")</f>
        <v/>
      </c>
      <c r="DB807" s="82">
        <f>IF(ISNUMBER($AW807),$AW807/100,"")</f>
        <v/>
      </c>
      <c r="DC807" s="82">
        <f>IF(ISNUMBER($AX807),$AX807/100,"")</f>
        <v/>
      </c>
      <c r="DD807" s="77">
        <f>IFERROR(VALUE(LEFT(TRIM($AO807&amp;""),4)),"")</f>
        <v/>
      </c>
      <c r="DE807" s="78">
        <f>IF(AND($BY807=1,$BX807=1,OR(fDeal="All Deals",$BU807=fDeal),OR(fEntity="All Entities",$BV807=fEntity),OR(fPType="All Property Types",$BZ807=fPType),OR(fDefeased="Include",$CJ807=0)),1,0)</f>
        <v/>
      </c>
      <c r="DF807" s="83">
        <f>$DE807*N($I807)</f>
        <v/>
      </c>
      <c r="DG807" s="78">
        <f>IF($DE807=1,IF(COUNTIFS($F$8:$F807,$F807,$DE$8:$DE807,1)=1,1,0),0)</f>
        <v/>
      </c>
      <c r="DH807" s="83">
        <f>IF($DG807=1,SUMIFS($DF$8:$DF$1600,$F$8:$F$1600,$F807),0)</f>
        <v/>
      </c>
      <c r="DI807" s="78">
        <f>IF($DG807=1,COUNTIFS($F$8:$F$1600,$F807,$DE$8:$DE$1600,1),0)</f>
        <v/>
      </c>
      <c r="DJ807" s="84">
        <f>IF($DG807=1,$DH807+(100000-ROW())/mTieBreak,0)</f>
        <v/>
      </c>
    </row>
    <row r="808">
      <c r="B808" s="68" t="n">
        <v>38</v>
      </c>
      <c r="C808" s="69" t="inlineStr">
        <is>
          <t>BCMK18B3</t>
        </is>
      </c>
      <c r="D808" s="69" t="inlineStr">
        <is>
          <t>38.000</t>
        </is>
      </c>
      <c r="E808" s="69" t="inlineStr">
        <is>
          <t>Sherman Plaza Fee</t>
        </is>
      </c>
      <c r="F808" s="69" t="inlineStr">
        <is>
          <t>LNBCMK18B3-38.000</t>
        </is>
      </c>
      <c r="G808" s="70" t="n"/>
      <c r="H808" s="71" t="n">
        <v>7000000</v>
      </c>
      <c r="I808" s="71" t="n">
        <v>3494658.800003</v>
      </c>
      <c r="J808" s="72" t="n">
        <v>4.22</v>
      </c>
      <c r="K808" s="69" t="inlineStr">
        <is>
          <t>Fixed rate</t>
        </is>
      </c>
      <c r="L808" s="68" t="n">
        <v>120</v>
      </c>
      <c r="M808" s="68" t="n">
        <v>15</v>
      </c>
      <c r="N808" s="68" t="n">
        <v>180</v>
      </c>
      <c r="O808" s="68" t="n"/>
      <c r="P808" s="68" t="n"/>
      <c r="Q808" s="68" t="n">
        <v>105</v>
      </c>
      <c r="R808" s="69" t="n"/>
      <c r="S808" s="69" t="inlineStr">
        <is>
          <t>No</t>
        </is>
      </c>
      <c r="T808" s="73" t="n">
        <v>43070</v>
      </c>
      <c r="U808" s="73" t="n">
        <v>46727</v>
      </c>
      <c r="V808" s="73" t="n"/>
      <c r="W808" s="69" t="n"/>
      <c r="X808" s="69" t="inlineStr">
        <is>
          <t>Current</t>
        </is>
      </c>
      <c r="Y808" s="68" t="n"/>
      <c r="Z808" s="69" t="inlineStr">
        <is>
          <t>No Defeasance Occurred</t>
        </is>
      </c>
      <c r="AA808" s="69" t="inlineStr">
        <is>
          <t>Previously</t>
        </is>
      </c>
      <c r="AB808" s="69" t="inlineStr">
        <is>
          <t>Never special serv</t>
        </is>
      </c>
      <c r="AC808" s="73" t="n"/>
      <c r="AD808" s="69" t="n"/>
      <c r="AE808" s="69" t="n"/>
      <c r="AF808" s="69" t="inlineStr">
        <is>
          <t>IL</t>
        </is>
      </c>
      <c r="AG808" s="69" t="inlineStr">
        <is>
          <t>Chicago</t>
        </is>
      </c>
      <c r="AH808" s="69" t="inlineStr">
        <is>
          <t>Chicago-Naperville-Elgin, IL-IN</t>
        </is>
      </c>
      <c r="AI808" s="69" t="inlineStr">
        <is>
          <t>Midwest / Central East</t>
        </is>
      </c>
      <c r="AJ808" s="69" t="inlineStr">
        <is>
          <t>SP</t>
        </is>
      </c>
      <c r="AK808" s="69" t="n"/>
      <c r="AL808" s="68" t="n">
        <v>1</v>
      </c>
      <c r="AM808" s="68" t="n"/>
      <c r="AN808" s="68" t="n">
        <v>307916</v>
      </c>
      <c r="AO808" s="69" t="n"/>
      <c r="AP808" s="70" t="n"/>
      <c r="AQ808" s="74" t="n">
        <v>1.37</v>
      </c>
      <c r="AR808" s="74" t="n">
        <v>1.36</v>
      </c>
      <c r="AS808" s="74" t="n">
        <v>37.03</v>
      </c>
      <c r="AT808" s="74" t="n">
        <v>18.79</v>
      </c>
      <c r="AU808" s="74" t="n">
        <v>15.47</v>
      </c>
      <c r="AV808" s="74" t="n">
        <v>12.332871429</v>
      </c>
      <c r="AW808" s="74" t="n">
        <v>24.503720649</v>
      </c>
      <c r="AX808" s="75" t="n">
        <v>100</v>
      </c>
      <c r="AY808" s="71" t="n">
        <v>18600000</v>
      </c>
      <c r="AZ808" s="71" t="n">
        <v>18600000</v>
      </c>
      <c r="BA808" s="71" t="n">
        <v>863301</v>
      </c>
      <c r="BB808" s="71" t="n">
        <v>856321.4300000001</v>
      </c>
      <c r="BC808" s="69" t="inlineStr">
        <is>
          <t>Refinance</t>
        </is>
      </c>
      <c r="BD808" s="69" t="inlineStr">
        <is>
          <t>N</t>
        </is>
      </c>
      <c r="BE808" s="71" t="n"/>
      <c r="BF808" s="71" t="n"/>
      <c r="BG808" s="71" t="n"/>
      <c r="BH808" s="71" t="n">
        <v>0</v>
      </c>
      <c r="BI808" s="71" t="n">
        <v>0</v>
      </c>
      <c r="BJ808" s="69" t="inlineStr">
        <is>
          <t>N</t>
        </is>
      </c>
      <c r="BK808" s="69" t="n"/>
      <c r="BL808" s="75" t="n"/>
      <c r="BM808" s="73" t="n"/>
      <c r="BN808" s="69" t="inlineStr">
        <is>
          <t>Louis Silver</t>
        </is>
      </c>
      <c r="BO808" s="69" t="inlineStr">
        <is>
          <t>Citigroup Global Markets</t>
        </is>
      </c>
      <c r="BP808" s="69" t="inlineStr">
        <is>
          <t>Midland Loan Services</t>
        </is>
      </c>
      <c r="BQ808" s="69" t="inlineStr">
        <is>
          <t>K-Star Asset Management LLC</t>
        </is>
      </c>
      <c r="BR808" s="69" t="n"/>
      <c r="BS808" s="73" t="n">
        <v>46273</v>
      </c>
      <c r="BU808" s="76">
        <f>IF($C808="","",IFERROR(INDEX(dmName,MATCH($C808,dmID,0)),"Unmapped"))</f>
        <v/>
      </c>
      <c r="BV808" s="76">
        <f>IF($C808="","",IFERROR(INDEX(dmEntity,MATCH($C808,dmID,0)),"Unmapped"))</f>
        <v/>
      </c>
      <c r="BW808" s="77">
        <f>IF($C808="","",IFERROR(INDEX(dmVintage,MATCH($C808,dmID,0)),""))</f>
        <v/>
      </c>
      <c r="BX808" s="78">
        <f>IFERROR(INDEX(dmInclude,MATCH($C808,dmID,0)),0)</f>
        <v/>
      </c>
      <c r="BY808" s="78">
        <f>IF(N($I808)&gt;0,1,0)</f>
        <v/>
      </c>
      <c r="BZ808" s="76">
        <f>IF($AJ808="","Other / Leased Fee",IFERROR(INDEX(mapPTGroup,MATCH(LEFT(TRIM($AJ808),2),mapPTCode,0)),"Other / Leased Fee"))</f>
        <v/>
      </c>
      <c r="CA808" s="76">
        <f>IF(TRIM($AF808&amp;"")="","NR",LEFT(TRIM($AF808),2))</f>
        <v/>
      </c>
      <c r="CB808" s="76">
        <f>IFERROR(LOOKUP(2,1/(LEFT(TRIM($AI808&amp;""),LEN(mapRegion))=mapRegion),mapRegion),"Not Reported")</f>
        <v/>
      </c>
      <c r="CC808" s="76">
        <f>IF($BY808=0,"",IF(TRIM($W808&amp;"")="REO","REO",IF(TRIM($W808&amp;"")="FC","Foreclosure",IF(TRIM($W808&amp;"")="90+","90+ Days Delinquent",IF(TRIM($W808&amp;"")="60","60 Days Delinquent",IF(TRIM($W808&amp;"")="30","30 Days Delinquent",IF($X808="Non-Performing Matured Balloon","Non-Performing Matured Balloon",IF(OR($X808="Late Payment But Less Than 30 Days Delinquent",LEFT($X808&amp;"",20)="Payment Not Received"),"Late / In Grace (&lt;30 Days)",IF($X808="Performing Matured Balloon","Performing Matured Balloon","Current")))))))))</f>
        <v/>
      </c>
      <c r="CD808" s="78">
        <f>IF(OR($CC808="REO",$CC808="Foreclosure",$CC808="90+ Days Delinquent",$CC808="60 Days Delinquent",$CC808="30 Days Delinquent",$CC808="Non-Performing Matured Balloon"),1,0)</f>
        <v/>
      </c>
      <c r="CE808" s="76">
        <f>IF($AB808="Currently special serv","Currently Specially Serviced",IF($AB808="Returned to master serv","Previously Specially Serviced","Never Specially Serviced"))</f>
        <v/>
      </c>
      <c r="CF808" s="78">
        <f>IF($CE808="Currently Specially Serviced",1,0)</f>
        <v/>
      </c>
      <c r="CG808" s="76">
        <f>IF($AA808="Yes","Currently on Watchlist",IF($AA808="Previously","Previously on Watchlist","Never on Watchlist"))</f>
        <v/>
      </c>
      <c r="CH808" s="78">
        <f>IF($CG808="Currently on Watchlist",1,0)</f>
        <v/>
      </c>
      <c r="CI808" s="76">
        <f>IF($Z808="Full Defeasance","Fully Defeased",IF($Z808="Portion Of Loan Previously Defeased","Partially Defeased",IF($Z808="Defeasance Not Allowable","Not Defeased (Not Permitted)","Not Defeased")))</f>
        <v/>
      </c>
      <c r="CJ808" s="78">
        <f>IF($CI808="Fully Defeased",1,0)</f>
        <v/>
      </c>
      <c r="CK808" s="76">
        <f>IF($R808="IO","Full IO",IF(LEFT($R808&amp;"",7)="IO then","Partial IO","Amortizing"))</f>
        <v/>
      </c>
      <c r="CL808" s="78">
        <f>IF($CK808="Full IO",1,0)</f>
        <v/>
      </c>
      <c r="CM808" s="78">
        <f>IF($CK808="Partial IO",1,0)</f>
        <v/>
      </c>
      <c r="CN808" s="76">
        <f>IF(LEFT($F808&amp;"",10)="SPLIT_LOAN","Pari Passu Split","Standalone")</f>
        <v/>
      </c>
      <c r="CO808" s="78">
        <f>IF($CN808="Pari Passu Split",1,0)</f>
        <v/>
      </c>
      <c r="CP808" s="77">
        <f>IF(ISNUMBER($T808),YEAR($T808),"")</f>
        <v/>
      </c>
      <c r="CQ808" s="79">
        <f>IF(ISNUMBER($V808),$V808,IF(ISNUMBER($U808),$U808,""))</f>
        <v/>
      </c>
      <c r="CR808" s="77">
        <f>IF(ISNUMBER($CQ808),YEAR($CQ808),"")</f>
        <v/>
      </c>
      <c r="CS808" s="78">
        <f>IF(ISNUMBER($M808),MAX(0,$M808),IF(TRIM($M808&amp;"")="matured",0,""))</f>
        <v/>
      </c>
      <c r="CT808" s="78">
        <f>IF(AND(ISNUMBER($CS808),N($CS808)&lt;=mMatWindow),1,0)</f>
        <v/>
      </c>
      <c r="CU808" s="80">
        <f>IF(ISNUMBER($J808),$J808/100,"")</f>
        <v/>
      </c>
      <c r="CV808" s="81">
        <f>IF(ISNUMBER($AQ808),$AQ808,"")</f>
        <v/>
      </c>
      <c r="CW808" s="81">
        <f>IF(ISNUMBER($AR808),$AR808,"")</f>
        <v/>
      </c>
      <c r="CX808" s="82">
        <f>IF(ISNUMBER($AS808),$AS808/100,"")</f>
        <v/>
      </c>
      <c r="CY808" s="82">
        <f>IF(ISNUMBER($AT808),$AT808/100,"")</f>
        <v/>
      </c>
      <c r="CZ808" s="82">
        <f>IF(ISNUMBER($AU808),$AU808/100,"")</f>
        <v/>
      </c>
      <c r="DA808" s="82">
        <f>IF(ISNUMBER($AV808),$AV808/100,"")</f>
        <v/>
      </c>
      <c r="DB808" s="82">
        <f>IF(ISNUMBER($AW808),$AW808/100,"")</f>
        <v/>
      </c>
      <c r="DC808" s="82">
        <f>IF(ISNUMBER($AX808),$AX808/100,"")</f>
        <v/>
      </c>
      <c r="DD808" s="77">
        <f>IFERROR(VALUE(LEFT(TRIM($AO808&amp;""),4)),"")</f>
        <v/>
      </c>
      <c r="DE808" s="78">
        <f>IF(AND($BY808=1,$BX808=1,OR(fDeal="All Deals",$BU808=fDeal),OR(fEntity="All Entities",$BV808=fEntity),OR(fPType="All Property Types",$BZ808=fPType),OR(fDefeased="Include",$CJ808=0)),1,0)</f>
        <v/>
      </c>
      <c r="DF808" s="83">
        <f>$DE808*N($I808)</f>
        <v/>
      </c>
      <c r="DG808" s="78">
        <f>IF($DE808=1,IF(COUNTIFS($F$8:$F808,$F808,$DE$8:$DE808,1)=1,1,0),0)</f>
        <v/>
      </c>
      <c r="DH808" s="83">
        <f>IF($DG808=1,SUMIFS($DF$8:$DF$1600,$F$8:$F$1600,$F808),0)</f>
        <v/>
      </c>
      <c r="DI808" s="78">
        <f>IF($DG808=1,COUNTIFS($F$8:$F$1600,$F808,$DE$8:$DE$1600,1),0)</f>
        <v/>
      </c>
      <c r="DJ808" s="84">
        <f>IF($DG808=1,$DH808+(100000-ROW())/mTieBreak,0)</f>
        <v/>
      </c>
    </row>
    <row r="809">
      <c r="B809" s="68" t="n">
        <v>39</v>
      </c>
      <c r="C809" s="69" t="inlineStr">
        <is>
          <t>BCMK18B3</t>
        </is>
      </c>
      <c r="D809" s="69" t="inlineStr">
        <is>
          <t>39.000</t>
        </is>
      </c>
      <c r="E809" s="69" t="inlineStr">
        <is>
          <t>Village Park Storage Depot</t>
        </is>
      </c>
      <c r="F809" s="69" t="inlineStr">
        <is>
          <t>LNBCMK18B3-39.000</t>
        </is>
      </c>
      <c r="G809" s="70" t="n"/>
      <c r="H809" s="71" t="n">
        <v>4550000</v>
      </c>
      <c r="I809" s="71" t="n">
        <v>4166369.109998551</v>
      </c>
      <c r="J809" s="72" t="n">
        <v>5.14</v>
      </c>
      <c r="K809" s="69" t="inlineStr">
        <is>
          <t>Fixed rate</t>
        </is>
      </c>
      <c r="L809" s="68" t="n">
        <v>120</v>
      </c>
      <c r="M809" s="68" t="n">
        <v>18</v>
      </c>
      <c r="N809" s="68" t="n">
        <v>396</v>
      </c>
      <c r="O809" s="68" t="n">
        <v>36</v>
      </c>
      <c r="P809" s="68" t="n">
        <v>0</v>
      </c>
      <c r="Q809" s="68" t="n">
        <v>102</v>
      </c>
      <c r="R809" s="69" t="inlineStr">
        <is>
          <t>IO then Amort</t>
        </is>
      </c>
      <c r="S809" s="69" t="inlineStr">
        <is>
          <t>No</t>
        </is>
      </c>
      <c r="T809" s="73" t="n">
        <v>43160</v>
      </c>
      <c r="U809" s="73" t="n">
        <v>46818</v>
      </c>
      <c r="V809" s="73" t="n"/>
      <c r="W809" s="69" t="n"/>
      <c r="X809" s="69" t="inlineStr">
        <is>
          <t>Current</t>
        </is>
      </c>
      <c r="Y809" s="68" t="n"/>
      <c r="Z809" s="69" t="inlineStr">
        <is>
          <t>Full Defeasance</t>
        </is>
      </c>
      <c r="AA809" s="69" t="n"/>
      <c r="AB809" s="69" t="inlineStr">
        <is>
          <t>Never special serv</t>
        </is>
      </c>
      <c r="AC809" s="73" t="n"/>
      <c r="AD809" s="69" t="n"/>
      <c r="AE809" s="69" t="n"/>
      <c r="AF809" s="69" t="inlineStr">
        <is>
          <t>IN</t>
        </is>
      </c>
      <c r="AG809" s="69" t="inlineStr">
        <is>
          <t>Carmel</t>
        </is>
      </c>
      <c r="AH809" s="69" t="inlineStr">
        <is>
          <t>Indianapolis-Carmel-Greenwood, IN</t>
        </is>
      </c>
      <c r="AI809" s="69" t="inlineStr">
        <is>
          <t>Midwest / Central East</t>
        </is>
      </c>
      <c r="AJ809" s="69" t="inlineStr">
        <is>
          <t>SS</t>
        </is>
      </c>
      <c r="AK809" s="69" t="n"/>
      <c r="AL809" s="68" t="n">
        <v>1</v>
      </c>
      <c r="AM809" s="68" t="n"/>
      <c r="AN809" s="68" t="n">
        <v>52743</v>
      </c>
      <c r="AO809" s="69" t="inlineStr">
        <is>
          <t>2001</t>
        </is>
      </c>
      <c r="AP809" s="70" t="n">
        <v>2001</v>
      </c>
      <c r="AQ809" s="74" t="n">
        <v>1.24</v>
      </c>
      <c r="AR809" s="74" t="n">
        <v>1.49</v>
      </c>
      <c r="AS809" s="74" t="n">
        <v>67.40000000000001</v>
      </c>
      <c r="AT809" s="74" t="n">
        <v>65.3</v>
      </c>
      <c r="AU809" s="74" t="n">
        <v>63.33</v>
      </c>
      <c r="AV809" s="74" t="n">
        <v>8.095312967</v>
      </c>
      <c r="AW809" s="74" t="n">
        <v>8.460642125</v>
      </c>
      <c r="AX809" s="75" t="n">
        <v>81</v>
      </c>
      <c r="AY809" s="71" t="n">
        <v>6380000</v>
      </c>
      <c r="AZ809" s="71" t="n">
        <v>6380000</v>
      </c>
      <c r="BA809" s="71" t="n">
        <v>368336.74</v>
      </c>
      <c r="BB809" s="71" t="n">
        <v>352501.58</v>
      </c>
      <c r="BC809" s="69" t="inlineStr">
        <is>
          <t>Acquisition</t>
        </is>
      </c>
      <c r="BD809" s="69" t="inlineStr">
        <is>
          <t>N</t>
        </is>
      </c>
      <c r="BE809" s="71" t="n"/>
      <c r="BF809" s="71" t="n"/>
      <c r="BG809" s="71" t="n"/>
      <c r="BH809" s="71" t="n">
        <v>0</v>
      </c>
      <c r="BI809" s="71" t="n">
        <v>0</v>
      </c>
      <c r="BJ809" s="69" t="inlineStr">
        <is>
          <t>N</t>
        </is>
      </c>
      <c r="BK809" s="69" t="n"/>
      <c r="BL809" s="75" t="n"/>
      <c r="BM809" s="73" t="n"/>
      <c r="BN809" s="69" t="inlineStr">
        <is>
          <t>Jacob Ramage</t>
        </is>
      </c>
      <c r="BO809" s="69" t="inlineStr">
        <is>
          <t>Citigroup Global Markets</t>
        </is>
      </c>
      <c r="BP809" s="69" t="inlineStr">
        <is>
          <t>Midland Loan Services</t>
        </is>
      </c>
      <c r="BQ809" s="69" t="inlineStr">
        <is>
          <t>K-Star Asset Management LLC</t>
        </is>
      </c>
      <c r="BR809" s="69" t="n"/>
      <c r="BS809" s="73" t="n">
        <v>46273</v>
      </c>
      <c r="BU809" s="76">
        <f>IF($C809="","",IFERROR(INDEX(dmName,MATCH($C809,dmID,0)),"Unmapped"))</f>
        <v/>
      </c>
      <c r="BV809" s="76">
        <f>IF($C809="","",IFERROR(INDEX(dmEntity,MATCH($C809,dmID,0)),"Unmapped"))</f>
        <v/>
      </c>
      <c r="BW809" s="77">
        <f>IF($C809="","",IFERROR(INDEX(dmVintage,MATCH($C809,dmID,0)),""))</f>
        <v/>
      </c>
      <c r="BX809" s="78">
        <f>IFERROR(INDEX(dmInclude,MATCH($C809,dmID,0)),0)</f>
        <v/>
      </c>
      <c r="BY809" s="78">
        <f>IF(N($I809)&gt;0,1,0)</f>
        <v/>
      </c>
      <c r="BZ809" s="76">
        <f>IF($AJ809="","Other / Leased Fee",IFERROR(INDEX(mapPTGroup,MATCH(LEFT(TRIM($AJ809),2),mapPTCode,0)),"Other / Leased Fee"))</f>
        <v/>
      </c>
      <c r="CA809" s="76">
        <f>IF(TRIM($AF809&amp;"")="","NR",LEFT(TRIM($AF809),2))</f>
        <v/>
      </c>
      <c r="CB809" s="76">
        <f>IFERROR(LOOKUP(2,1/(LEFT(TRIM($AI809&amp;""),LEN(mapRegion))=mapRegion),mapRegion),"Not Reported")</f>
        <v/>
      </c>
      <c r="CC809" s="76">
        <f>IF($BY809=0,"",IF(TRIM($W809&amp;"")="REO","REO",IF(TRIM($W809&amp;"")="FC","Foreclosure",IF(TRIM($W809&amp;"")="90+","90+ Days Delinquent",IF(TRIM($W809&amp;"")="60","60 Days Delinquent",IF(TRIM($W809&amp;"")="30","30 Days Delinquent",IF($X809="Non-Performing Matured Balloon","Non-Performing Matured Balloon",IF(OR($X809="Late Payment But Less Than 30 Days Delinquent",LEFT($X809&amp;"",20)="Payment Not Received"),"Late / In Grace (&lt;30 Days)",IF($X809="Performing Matured Balloon","Performing Matured Balloon","Current")))))))))</f>
        <v/>
      </c>
      <c r="CD809" s="78">
        <f>IF(OR($CC809="REO",$CC809="Foreclosure",$CC809="90+ Days Delinquent",$CC809="60 Days Delinquent",$CC809="30 Days Delinquent",$CC809="Non-Performing Matured Balloon"),1,0)</f>
        <v/>
      </c>
      <c r="CE809" s="76">
        <f>IF($AB809="Currently special serv","Currently Specially Serviced",IF($AB809="Returned to master serv","Previously Specially Serviced","Never Specially Serviced"))</f>
        <v/>
      </c>
      <c r="CF809" s="78">
        <f>IF($CE809="Currently Specially Serviced",1,0)</f>
        <v/>
      </c>
      <c r="CG809" s="76">
        <f>IF($AA809="Yes","Currently on Watchlist",IF($AA809="Previously","Previously on Watchlist","Never on Watchlist"))</f>
        <v/>
      </c>
      <c r="CH809" s="78">
        <f>IF($CG809="Currently on Watchlist",1,0)</f>
        <v/>
      </c>
      <c r="CI809" s="76">
        <f>IF($Z809="Full Defeasance","Fully Defeased",IF($Z809="Portion Of Loan Previously Defeased","Partially Defeased",IF($Z809="Defeasance Not Allowable","Not Defeased (Not Permitted)","Not Defeased")))</f>
        <v/>
      </c>
      <c r="CJ809" s="78">
        <f>IF($CI809="Fully Defeased",1,0)</f>
        <v/>
      </c>
      <c r="CK809" s="76">
        <f>IF($R809="IO","Full IO",IF(LEFT($R809&amp;"",7)="IO then","Partial IO","Amortizing"))</f>
        <v/>
      </c>
      <c r="CL809" s="78">
        <f>IF($CK809="Full IO",1,0)</f>
        <v/>
      </c>
      <c r="CM809" s="78">
        <f>IF($CK809="Partial IO",1,0)</f>
        <v/>
      </c>
      <c r="CN809" s="76">
        <f>IF(LEFT($F809&amp;"",10)="SPLIT_LOAN","Pari Passu Split","Standalone")</f>
        <v/>
      </c>
      <c r="CO809" s="78">
        <f>IF($CN809="Pari Passu Split",1,0)</f>
        <v/>
      </c>
      <c r="CP809" s="77">
        <f>IF(ISNUMBER($T809),YEAR($T809),"")</f>
        <v/>
      </c>
      <c r="CQ809" s="79">
        <f>IF(ISNUMBER($V809),$V809,IF(ISNUMBER($U809),$U809,""))</f>
        <v/>
      </c>
      <c r="CR809" s="77">
        <f>IF(ISNUMBER($CQ809),YEAR($CQ809),"")</f>
        <v/>
      </c>
      <c r="CS809" s="78">
        <f>IF(ISNUMBER($M809),MAX(0,$M809),IF(TRIM($M809&amp;"")="matured",0,""))</f>
        <v/>
      </c>
      <c r="CT809" s="78">
        <f>IF(AND(ISNUMBER($CS809),N($CS809)&lt;=mMatWindow),1,0)</f>
        <v/>
      </c>
      <c r="CU809" s="80">
        <f>IF(ISNUMBER($J809),$J809/100,"")</f>
        <v/>
      </c>
      <c r="CV809" s="81">
        <f>IF(ISNUMBER($AQ809),$AQ809,"")</f>
        <v/>
      </c>
      <c r="CW809" s="81">
        <f>IF(ISNUMBER($AR809),$AR809,"")</f>
        <v/>
      </c>
      <c r="CX809" s="82">
        <f>IF(ISNUMBER($AS809),$AS809/100,"")</f>
        <v/>
      </c>
      <c r="CY809" s="82">
        <f>IF(ISNUMBER($AT809),$AT809/100,"")</f>
        <v/>
      </c>
      <c r="CZ809" s="82">
        <f>IF(ISNUMBER($AU809),$AU809/100,"")</f>
        <v/>
      </c>
      <c r="DA809" s="82">
        <f>IF(ISNUMBER($AV809),$AV809/100,"")</f>
        <v/>
      </c>
      <c r="DB809" s="82">
        <f>IF(ISNUMBER($AW809),$AW809/100,"")</f>
        <v/>
      </c>
      <c r="DC809" s="82">
        <f>IF(ISNUMBER($AX809),$AX809/100,"")</f>
        <v/>
      </c>
      <c r="DD809" s="77">
        <f>IFERROR(VALUE(LEFT(TRIM($AO809&amp;""),4)),"")</f>
        <v/>
      </c>
      <c r="DE809" s="78">
        <f>IF(AND($BY809=1,$BX809=1,OR(fDeal="All Deals",$BU809=fDeal),OR(fEntity="All Entities",$BV809=fEntity),OR(fPType="All Property Types",$BZ809=fPType),OR(fDefeased="Include",$CJ809=0)),1,0)</f>
        <v/>
      </c>
      <c r="DF809" s="83">
        <f>$DE809*N($I809)</f>
        <v/>
      </c>
      <c r="DG809" s="78">
        <f>IF($DE809=1,IF(COUNTIFS($F$8:$F809,$F809,$DE$8:$DE809,1)=1,1,0),0)</f>
        <v/>
      </c>
      <c r="DH809" s="83">
        <f>IF($DG809=1,SUMIFS($DF$8:$DF$1600,$F$8:$F$1600,$F809),0)</f>
        <v/>
      </c>
      <c r="DI809" s="78">
        <f>IF($DG809=1,COUNTIFS($F$8:$F$1600,$F809,$DE$8:$DE$1600,1),0)</f>
        <v/>
      </c>
      <c r="DJ809" s="84">
        <f>IF($DG809=1,$DH809+(100000-ROW())/mTieBreak,0)</f>
        <v/>
      </c>
    </row>
    <row r="810">
      <c r="B810" s="68" t="n">
        <v>40</v>
      </c>
      <c r="C810" s="69" t="inlineStr">
        <is>
          <t>BCMK18B3</t>
        </is>
      </c>
      <c r="D810" s="69" t="inlineStr">
        <is>
          <t>40.000</t>
        </is>
      </c>
      <c r="E810" s="69" t="inlineStr">
        <is>
          <t>The Stimson Building</t>
        </is>
      </c>
      <c r="F810" s="69" t="inlineStr">
        <is>
          <t>LNBCMK18B3-40.000</t>
        </is>
      </c>
      <c r="G810" s="70" t="n"/>
      <c r="H810" s="71" t="n">
        <v>4500000</v>
      </c>
      <c r="I810" s="71" t="n">
        <v>0</v>
      </c>
      <c r="J810" s="72" t="n">
        <v>4.64</v>
      </c>
      <c r="K810" s="69" t="inlineStr">
        <is>
          <t>Fixed rate</t>
        </is>
      </c>
      <c r="L810" s="68" t="n">
        <v>120</v>
      </c>
      <c r="M810" s="68" t="n"/>
      <c r="N810" s="68" t="n">
        <v>360</v>
      </c>
      <c r="O810" s="68" t="n"/>
      <c r="P810" s="68" t="n"/>
      <c r="Q810" s="68" t="n"/>
      <c r="R810" s="69" t="n"/>
      <c r="S810" s="69" t="inlineStr">
        <is>
          <t>No</t>
        </is>
      </c>
      <c r="T810" s="73" t="n">
        <v>43070</v>
      </c>
      <c r="U810" s="73" t="n">
        <v>46727</v>
      </c>
      <c r="V810" s="73" t="n"/>
      <c r="W810" s="69" t="n"/>
      <c r="X810" s="69" t="inlineStr">
        <is>
          <t>Current</t>
        </is>
      </c>
      <c r="Y810" s="68" t="n"/>
      <c r="Z810" s="69" t="inlineStr">
        <is>
          <t>Defeasance Not Allowable</t>
        </is>
      </c>
      <c r="AA810" s="69" t="inlineStr">
        <is>
          <t>Previously</t>
        </is>
      </c>
      <c r="AB810" s="69" t="inlineStr">
        <is>
          <t>Currently special serv</t>
        </is>
      </c>
      <c r="AC810" s="73" t="n">
        <v>43993</v>
      </c>
      <c r="AD810" s="69" t="inlineStr">
        <is>
          <t>Imminent Monetary Default (excluding Balloon/Maturity Default &amp; Single Tenant Bankruptcy/Vacate)</t>
        </is>
      </c>
      <c r="AE810" s="69" t="inlineStr">
        <is>
          <t>Other</t>
        </is>
      </c>
      <c r="AF810" s="69" t="inlineStr">
        <is>
          <t>MN</t>
        </is>
      </c>
      <c r="AG810" s="69" t="inlineStr">
        <is>
          <t>Minneapolis</t>
        </is>
      </c>
      <c r="AH810" s="69" t="inlineStr">
        <is>
          <t>Minneapolis-St. Paul-Bloomington, MN-WI</t>
        </is>
      </c>
      <c r="AI810" s="69" t="inlineStr">
        <is>
          <t>Midwest / Central West</t>
        </is>
      </c>
      <c r="AJ810" s="69" t="inlineStr">
        <is>
          <t>MX</t>
        </is>
      </c>
      <c r="AK810" s="69" t="n"/>
      <c r="AL810" s="68" t="n">
        <v>1</v>
      </c>
      <c r="AM810" s="68" t="n"/>
      <c r="AN810" s="68" t="n">
        <v>30977</v>
      </c>
      <c r="AO810" s="69" t="inlineStr">
        <is>
          <t>1916</t>
        </is>
      </c>
      <c r="AP810" s="70" t="n">
        <v>2007</v>
      </c>
      <c r="AQ810" s="74" t="n">
        <v>1.82</v>
      </c>
      <c r="AR810" s="74" t="n">
        <v>-1.25</v>
      </c>
      <c r="AS810" s="74" t="n">
        <v>57.04</v>
      </c>
      <c r="AT810" s="74" t="n"/>
      <c r="AU810" s="74" t="n">
        <v>46.56</v>
      </c>
      <c r="AV810" s="74" t="n">
        <v>11.228251333</v>
      </c>
      <c r="AW810" s="74" t="n"/>
      <c r="AX810" s="75" t="n">
        <v>12</v>
      </c>
      <c r="AY810" s="71" t="n">
        <v>7850000</v>
      </c>
      <c r="AZ810" s="71" t="n">
        <v>3210000</v>
      </c>
      <c r="BA810" s="71" t="n">
        <v>505271.31</v>
      </c>
      <c r="BB810" s="71" t="n">
        <v>-347887.54</v>
      </c>
      <c r="BC810" s="69" t="inlineStr">
        <is>
          <t>Acquisition</t>
        </is>
      </c>
      <c r="BD810" s="69" t="inlineStr">
        <is>
          <t>N</t>
        </is>
      </c>
      <c r="BE810" s="71" t="n"/>
      <c r="BF810" s="71" t="n"/>
      <c r="BG810" s="71" t="n"/>
      <c r="BH810" s="71" t="n">
        <v>0</v>
      </c>
      <c r="BI810" s="71" t="n">
        <v>0</v>
      </c>
      <c r="BJ810" s="69" t="inlineStr">
        <is>
          <t>N</t>
        </is>
      </c>
      <c r="BK810" s="69" t="inlineStr">
        <is>
          <t>Clear Channel</t>
        </is>
      </c>
      <c r="BL810" s="75" t="n">
        <v>12.05</v>
      </c>
      <c r="BM810" s="73" t="n">
        <v>46752</v>
      </c>
      <c r="BN810" s="69" t="inlineStr">
        <is>
          <t>Meyer Orbach</t>
        </is>
      </c>
      <c r="BO810" s="69" t="inlineStr">
        <is>
          <t>Citigroup Global Markets</t>
        </is>
      </c>
      <c r="BP810" s="69" t="inlineStr">
        <is>
          <t>Midland Loan Services</t>
        </is>
      </c>
      <c r="BQ810" s="69" t="inlineStr">
        <is>
          <t>K-Star Asset Management LLC</t>
        </is>
      </c>
      <c r="BR810" s="69" t="inlineStr">
        <is>
          <t>DPO</t>
        </is>
      </c>
      <c r="BS810" s="73" t="n">
        <v>46273</v>
      </c>
      <c r="BU810" s="76">
        <f>IF($C810="","",IFERROR(INDEX(dmName,MATCH($C810,dmID,0)),"Unmapped"))</f>
        <v/>
      </c>
      <c r="BV810" s="76">
        <f>IF($C810="","",IFERROR(INDEX(dmEntity,MATCH($C810,dmID,0)),"Unmapped"))</f>
        <v/>
      </c>
      <c r="BW810" s="77">
        <f>IF($C810="","",IFERROR(INDEX(dmVintage,MATCH($C810,dmID,0)),""))</f>
        <v/>
      </c>
      <c r="BX810" s="78">
        <f>IFERROR(INDEX(dmInclude,MATCH($C810,dmID,0)),0)</f>
        <v/>
      </c>
      <c r="BY810" s="78">
        <f>IF(N($I810)&gt;0,1,0)</f>
        <v/>
      </c>
      <c r="BZ810" s="76">
        <f>IF($AJ810="","Other / Leased Fee",IFERROR(INDEX(mapPTGroup,MATCH(LEFT(TRIM($AJ810),2),mapPTCode,0)),"Other / Leased Fee"))</f>
        <v/>
      </c>
      <c r="CA810" s="76">
        <f>IF(TRIM($AF810&amp;"")="","NR",LEFT(TRIM($AF810),2))</f>
        <v/>
      </c>
      <c r="CB810" s="76">
        <f>IFERROR(LOOKUP(2,1/(LEFT(TRIM($AI810&amp;""),LEN(mapRegion))=mapRegion),mapRegion),"Not Reported")</f>
        <v/>
      </c>
      <c r="CC810" s="76">
        <f>IF($BY810=0,"",IF(TRIM($W810&amp;"")="REO","REO",IF(TRIM($W810&amp;"")="FC","Foreclosure",IF(TRIM($W810&amp;"")="90+","90+ Days Delinquent",IF(TRIM($W810&amp;"")="60","60 Days Delinquent",IF(TRIM($W810&amp;"")="30","30 Days Delinquent",IF($X810="Non-Performing Matured Balloon","Non-Performing Matured Balloon",IF(OR($X810="Late Payment But Less Than 30 Days Delinquent",LEFT($X810&amp;"",20)="Payment Not Received"),"Late / In Grace (&lt;30 Days)",IF($X810="Performing Matured Balloon","Performing Matured Balloon","Current")))))))))</f>
        <v/>
      </c>
      <c r="CD810" s="78">
        <f>IF(OR($CC810="REO",$CC810="Foreclosure",$CC810="90+ Days Delinquent",$CC810="60 Days Delinquent",$CC810="30 Days Delinquent",$CC810="Non-Performing Matured Balloon"),1,0)</f>
        <v/>
      </c>
      <c r="CE810" s="76">
        <f>IF($AB810="Currently special serv","Currently Specially Serviced",IF($AB810="Returned to master serv","Previously Specially Serviced","Never Specially Serviced"))</f>
        <v/>
      </c>
      <c r="CF810" s="78">
        <f>IF($CE810="Currently Specially Serviced",1,0)</f>
        <v/>
      </c>
      <c r="CG810" s="76">
        <f>IF($AA810="Yes","Currently on Watchlist",IF($AA810="Previously","Previously on Watchlist","Never on Watchlist"))</f>
        <v/>
      </c>
      <c r="CH810" s="78">
        <f>IF($CG810="Currently on Watchlist",1,0)</f>
        <v/>
      </c>
      <c r="CI810" s="76">
        <f>IF($Z810="Full Defeasance","Fully Defeased",IF($Z810="Portion Of Loan Previously Defeased","Partially Defeased",IF($Z810="Defeasance Not Allowable","Not Defeased (Not Permitted)","Not Defeased")))</f>
        <v/>
      </c>
      <c r="CJ810" s="78">
        <f>IF($CI810="Fully Defeased",1,0)</f>
        <v/>
      </c>
      <c r="CK810" s="76">
        <f>IF($R810="IO","Full IO",IF(LEFT($R810&amp;"",7)="IO then","Partial IO","Amortizing"))</f>
        <v/>
      </c>
      <c r="CL810" s="78">
        <f>IF($CK810="Full IO",1,0)</f>
        <v/>
      </c>
      <c r="CM810" s="78">
        <f>IF($CK810="Partial IO",1,0)</f>
        <v/>
      </c>
      <c r="CN810" s="76">
        <f>IF(LEFT($F810&amp;"",10)="SPLIT_LOAN","Pari Passu Split","Standalone")</f>
        <v/>
      </c>
      <c r="CO810" s="78">
        <f>IF($CN810="Pari Passu Split",1,0)</f>
        <v/>
      </c>
      <c r="CP810" s="77">
        <f>IF(ISNUMBER($T810),YEAR($T810),"")</f>
        <v/>
      </c>
      <c r="CQ810" s="79">
        <f>IF(ISNUMBER($V810),$V810,IF(ISNUMBER($U810),$U810,""))</f>
        <v/>
      </c>
      <c r="CR810" s="77">
        <f>IF(ISNUMBER($CQ810),YEAR($CQ810),"")</f>
        <v/>
      </c>
      <c r="CS810" s="78">
        <f>IF(ISNUMBER($M810),MAX(0,$M810),IF(TRIM($M810&amp;"")="matured",0,""))</f>
        <v/>
      </c>
      <c r="CT810" s="78">
        <f>IF(AND(ISNUMBER($CS810),N($CS810)&lt;=mMatWindow),1,0)</f>
        <v/>
      </c>
      <c r="CU810" s="80">
        <f>IF(ISNUMBER($J810),$J810/100,"")</f>
        <v/>
      </c>
      <c r="CV810" s="81">
        <f>IF(ISNUMBER($AQ810),$AQ810,"")</f>
        <v/>
      </c>
      <c r="CW810" s="81">
        <f>IF(ISNUMBER($AR810),$AR810,"")</f>
        <v/>
      </c>
      <c r="CX810" s="82">
        <f>IF(ISNUMBER($AS810),$AS810/100,"")</f>
        <v/>
      </c>
      <c r="CY810" s="82">
        <f>IF(ISNUMBER($AT810),$AT810/100,"")</f>
        <v/>
      </c>
      <c r="CZ810" s="82">
        <f>IF(ISNUMBER($AU810),$AU810/100,"")</f>
        <v/>
      </c>
      <c r="DA810" s="82">
        <f>IF(ISNUMBER($AV810),$AV810/100,"")</f>
        <v/>
      </c>
      <c r="DB810" s="82">
        <f>IF(ISNUMBER($AW810),$AW810/100,"")</f>
        <v/>
      </c>
      <c r="DC810" s="82">
        <f>IF(ISNUMBER($AX810),$AX810/100,"")</f>
        <v/>
      </c>
      <c r="DD810" s="77">
        <f>IFERROR(VALUE(LEFT(TRIM($AO810&amp;""),4)),"")</f>
        <v/>
      </c>
      <c r="DE810" s="78">
        <f>IF(AND($BY810=1,$BX810=1,OR(fDeal="All Deals",$BU810=fDeal),OR(fEntity="All Entities",$BV810=fEntity),OR(fPType="All Property Types",$BZ810=fPType),OR(fDefeased="Include",$CJ810=0)),1,0)</f>
        <v/>
      </c>
      <c r="DF810" s="83">
        <f>$DE810*N($I810)</f>
        <v/>
      </c>
      <c r="DG810" s="78">
        <f>IF($DE810=1,IF(COUNTIFS($F$8:$F810,$F810,$DE$8:$DE810,1)=1,1,0),0)</f>
        <v/>
      </c>
      <c r="DH810" s="83">
        <f>IF($DG810=1,SUMIFS($DF$8:$DF$1600,$F$8:$F$1600,$F810),0)</f>
        <v/>
      </c>
      <c r="DI810" s="78">
        <f>IF($DG810=1,COUNTIFS($F$8:$F$1600,$F810,$DE$8:$DE$1600,1),0)</f>
        <v/>
      </c>
      <c r="DJ810" s="84">
        <f>IF($DG810=1,$DH810+(100000-ROW())/mTieBreak,0)</f>
        <v/>
      </c>
    </row>
    <row r="811">
      <c r="B811" s="68" t="n">
        <v>41</v>
      </c>
      <c r="C811" s="69" t="inlineStr">
        <is>
          <t>BCMK18B3</t>
        </is>
      </c>
      <c r="D811" s="69" t="inlineStr">
        <is>
          <t>41.000</t>
        </is>
      </c>
      <c r="E811" s="69" t="inlineStr">
        <is>
          <t>Pecan Ridge</t>
        </is>
      </c>
      <c r="F811" s="69" t="inlineStr">
        <is>
          <t>LNBCMK18B3-41.000</t>
        </is>
      </c>
      <c r="G811" s="70" t="n"/>
      <c r="H811" s="71" t="n">
        <v>4320000</v>
      </c>
      <c r="I811" s="71" t="n">
        <v>3711246.32999952</v>
      </c>
      <c r="J811" s="72" t="n">
        <v>5.17</v>
      </c>
      <c r="K811" s="69" t="inlineStr">
        <is>
          <t>Fixed rate</t>
        </is>
      </c>
      <c r="L811" s="68" t="n">
        <v>120</v>
      </c>
      <c r="M811" s="68" t="n">
        <v>18</v>
      </c>
      <c r="N811" s="68" t="n">
        <v>360</v>
      </c>
      <c r="O811" s="68" t="n"/>
      <c r="P811" s="68" t="n"/>
      <c r="Q811" s="68" t="n">
        <v>102</v>
      </c>
      <c r="R811" s="69" t="n"/>
      <c r="S811" s="69" t="inlineStr">
        <is>
          <t>No</t>
        </is>
      </c>
      <c r="T811" s="73" t="n">
        <v>43160</v>
      </c>
      <c r="U811" s="73" t="n">
        <v>46818</v>
      </c>
      <c r="V811" s="73" t="n"/>
      <c r="W811" s="69" t="n"/>
      <c r="X811" s="69" t="inlineStr">
        <is>
          <t>Current</t>
        </is>
      </c>
      <c r="Y811" s="68" t="n"/>
      <c r="Z811" s="69" t="inlineStr">
        <is>
          <t>Full Defeasance</t>
        </is>
      </c>
      <c r="AA811" s="69" t="n"/>
      <c r="AB811" s="69" t="inlineStr">
        <is>
          <t>Never special serv</t>
        </is>
      </c>
      <c r="AC811" s="73" t="n"/>
      <c r="AD811" s="69" t="n"/>
      <c r="AE811" s="69" t="n"/>
      <c r="AF811" s="69" t="inlineStr">
        <is>
          <t>MS</t>
        </is>
      </c>
      <c r="AG811" s="69" t="inlineStr">
        <is>
          <t>Vicksburg</t>
        </is>
      </c>
      <c r="AH811" s="69" t="inlineStr">
        <is>
          <t>Vicksburg, MS</t>
        </is>
      </c>
      <c r="AI811" s="69" t="inlineStr">
        <is>
          <t>South / Central East</t>
        </is>
      </c>
      <c r="AJ811" s="69" t="inlineStr">
        <is>
          <t>MF</t>
        </is>
      </c>
      <c r="AK811" s="69" t="inlineStr">
        <is>
          <t>Garden</t>
        </is>
      </c>
      <c r="AL811" s="68" t="n">
        <v>1</v>
      </c>
      <c r="AM811" s="68" t="n">
        <v>132</v>
      </c>
      <c r="AN811" s="68" t="n"/>
      <c r="AO811" s="69" t="inlineStr">
        <is>
          <t>1979</t>
        </is>
      </c>
      <c r="AP811" s="70" t="n">
        <v>1979</v>
      </c>
      <c r="AQ811" s="74" t="n">
        <v>1.57</v>
      </c>
      <c r="AR811" s="74" t="n">
        <v>1.79</v>
      </c>
      <c r="AS811" s="74" t="n">
        <v>68.61</v>
      </c>
      <c r="AT811" s="74" t="n">
        <v>59</v>
      </c>
      <c r="AU811" s="74" t="n">
        <v>56.79</v>
      </c>
      <c r="AV811" s="74" t="n">
        <v>10.295336343</v>
      </c>
      <c r="AW811" s="74" t="n">
        <v>11.430770212</v>
      </c>
      <c r="AX811" s="75" t="n">
        <v>100</v>
      </c>
      <c r="AY811" s="71" t="n">
        <v>6290000</v>
      </c>
      <c r="AZ811" s="71" t="n">
        <v>6290000</v>
      </c>
      <c r="BA811" s="71" t="n">
        <v>444758.53</v>
      </c>
      <c r="BB811" s="71" t="n">
        <v>126600.84</v>
      </c>
      <c r="BC811" s="69" t="inlineStr">
        <is>
          <t>Refinance</t>
        </is>
      </c>
      <c r="BD811" s="69" t="inlineStr">
        <is>
          <t>N</t>
        </is>
      </c>
      <c r="BE811" s="71" t="n"/>
      <c r="BF811" s="71" t="n"/>
      <c r="BG811" s="71" t="n"/>
      <c r="BH811" s="71" t="n">
        <v>0</v>
      </c>
      <c r="BI811" s="71" t="n">
        <v>0</v>
      </c>
      <c r="BJ811" s="69" t="inlineStr">
        <is>
          <t>N</t>
        </is>
      </c>
      <c r="BK811" s="69" t="n"/>
      <c r="BL811" s="75" t="n"/>
      <c r="BM811" s="73" t="n"/>
      <c r="BN811" s="69" t="inlineStr">
        <is>
          <t>Joseph P. Sullivan, Martin J. Ford and Stephen M. Stewart</t>
        </is>
      </c>
      <c r="BO811" s="69" t="inlineStr">
        <is>
          <t>Citigroup Global Markets</t>
        </is>
      </c>
      <c r="BP811" s="69" t="inlineStr">
        <is>
          <t>Midland Loan Services</t>
        </is>
      </c>
      <c r="BQ811" s="69" t="inlineStr">
        <is>
          <t>K-Star Asset Management LLC</t>
        </is>
      </c>
      <c r="BR811" s="69" t="n"/>
      <c r="BS811" s="73" t="n">
        <v>46273</v>
      </c>
      <c r="BU811" s="76">
        <f>IF($C811="","",IFERROR(INDEX(dmName,MATCH($C811,dmID,0)),"Unmapped"))</f>
        <v/>
      </c>
      <c r="BV811" s="76">
        <f>IF($C811="","",IFERROR(INDEX(dmEntity,MATCH($C811,dmID,0)),"Unmapped"))</f>
        <v/>
      </c>
      <c r="BW811" s="77">
        <f>IF($C811="","",IFERROR(INDEX(dmVintage,MATCH($C811,dmID,0)),""))</f>
        <v/>
      </c>
      <c r="BX811" s="78">
        <f>IFERROR(INDEX(dmInclude,MATCH($C811,dmID,0)),0)</f>
        <v/>
      </c>
      <c r="BY811" s="78">
        <f>IF(N($I811)&gt;0,1,0)</f>
        <v/>
      </c>
      <c r="BZ811" s="76">
        <f>IF($AJ811="","Other / Leased Fee",IFERROR(INDEX(mapPTGroup,MATCH(LEFT(TRIM($AJ811),2),mapPTCode,0)),"Other / Leased Fee"))</f>
        <v/>
      </c>
      <c r="CA811" s="76">
        <f>IF(TRIM($AF811&amp;"")="","NR",LEFT(TRIM($AF811),2))</f>
        <v/>
      </c>
      <c r="CB811" s="76">
        <f>IFERROR(LOOKUP(2,1/(LEFT(TRIM($AI811&amp;""),LEN(mapRegion))=mapRegion),mapRegion),"Not Reported")</f>
        <v/>
      </c>
      <c r="CC811" s="76">
        <f>IF($BY811=0,"",IF(TRIM($W811&amp;"")="REO","REO",IF(TRIM($W811&amp;"")="FC","Foreclosure",IF(TRIM($W811&amp;"")="90+","90+ Days Delinquent",IF(TRIM($W811&amp;"")="60","60 Days Delinquent",IF(TRIM($W811&amp;"")="30","30 Days Delinquent",IF($X811="Non-Performing Matured Balloon","Non-Performing Matured Balloon",IF(OR($X811="Late Payment But Less Than 30 Days Delinquent",LEFT($X811&amp;"",20)="Payment Not Received"),"Late / In Grace (&lt;30 Days)",IF($X811="Performing Matured Balloon","Performing Matured Balloon","Current")))))))))</f>
        <v/>
      </c>
      <c r="CD811" s="78">
        <f>IF(OR($CC811="REO",$CC811="Foreclosure",$CC811="90+ Days Delinquent",$CC811="60 Days Delinquent",$CC811="30 Days Delinquent",$CC811="Non-Performing Matured Balloon"),1,0)</f>
        <v/>
      </c>
      <c r="CE811" s="76">
        <f>IF($AB811="Currently special serv","Currently Specially Serviced",IF($AB811="Returned to master serv","Previously Specially Serviced","Never Specially Serviced"))</f>
        <v/>
      </c>
      <c r="CF811" s="78">
        <f>IF($CE811="Currently Specially Serviced",1,0)</f>
        <v/>
      </c>
      <c r="CG811" s="76">
        <f>IF($AA811="Yes","Currently on Watchlist",IF($AA811="Previously","Previously on Watchlist","Never on Watchlist"))</f>
        <v/>
      </c>
      <c r="CH811" s="78">
        <f>IF($CG811="Currently on Watchlist",1,0)</f>
        <v/>
      </c>
      <c r="CI811" s="76">
        <f>IF($Z811="Full Defeasance","Fully Defeased",IF($Z811="Portion Of Loan Previously Defeased","Partially Defeased",IF($Z811="Defeasance Not Allowable","Not Defeased (Not Permitted)","Not Defeased")))</f>
        <v/>
      </c>
      <c r="CJ811" s="78">
        <f>IF($CI811="Fully Defeased",1,0)</f>
        <v/>
      </c>
      <c r="CK811" s="76">
        <f>IF($R811="IO","Full IO",IF(LEFT($R811&amp;"",7)="IO then","Partial IO","Amortizing"))</f>
        <v/>
      </c>
      <c r="CL811" s="78">
        <f>IF($CK811="Full IO",1,0)</f>
        <v/>
      </c>
      <c r="CM811" s="78">
        <f>IF($CK811="Partial IO",1,0)</f>
        <v/>
      </c>
      <c r="CN811" s="76">
        <f>IF(LEFT($F811&amp;"",10)="SPLIT_LOAN","Pari Passu Split","Standalone")</f>
        <v/>
      </c>
      <c r="CO811" s="78">
        <f>IF($CN811="Pari Passu Split",1,0)</f>
        <v/>
      </c>
      <c r="CP811" s="77">
        <f>IF(ISNUMBER($T811),YEAR($T811),"")</f>
        <v/>
      </c>
      <c r="CQ811" s="79">
        <f>IF(ISNUMBER($V811),$V811,IF(ISNUMBER($U811),$U811,""))</f>
        <v/>
      </c>
      <c r="CR811" s="77">
        <f>IF(ISNUMBER($CQ811),YEAR($CQ811),"")</f>
        <v/>
      </c>
      <c r="CS811" s="78">
        <f>IF(ISNUMBER($M811),MAX(0,$M811),IF(TRIM($M811&amp;"")="matured",0,""))</f>
        <v/>
      </c>
      <c r="CT811" s="78">
        <f>IF(AND(ISNUMBER($CS811),N($CS811)&lt;=mMatWindow),1,0)</f>
        <v/>
      </c>
      <c r="CU811" s="80">
        <f>IF(ISNUMBER($J811),$J811/100,"")</f>
        <v/>
      </c>
      <c r="CV811" s="81">
        <f>IF(ISNUMBER($AQ811),$AQ811,"")</f>
        <v/>
      </c>
      <c r="CW811" s="81">
        <f>IF(ISNUMBER($AR811),$AR811,"")</f>
        <v/>
      </c>
      <c r="CX811" s="82">
        <f>IF(ISNUMBER($AS811),$AS811/100,"")</f>
        <v/>
      </c>
      <c r="CY811" s="82">
        <f>IF(ISNUMBER($AT811),$AT811/100,"")</f>
        <v/>
      </c>
      <c r="CZ811" s="82">
        <f>IF(ISNUMBER($AU811),$AU811/100,"")</f>
        <v/>
      </c>
      <c r="DA811" s="82">
        <f>IF(ISNUMBER($AV811),$AV811/100,"")</f>
        <v/>
      </c>
      <c r="DB811" s="82">
        <f>IF(ISNUMBER($AW811),$AW811/100,"")</f>
        <v/>
      </c>
      <c r="DC811" s="82">
        <f>IF(ISNUMBER($AX811),$AX811/100,"")</f>
        <v/>
      </c>
      <c r="DD811" s="77">
        <f>IFERROR(VALUE(LEFT(TRIM($AO811&amp;""),4)),"")</f>
        <v/>
      </c>
      <c r="DE811" s="78">
        <f>IF(AND($BY811=1,$BX811=1,OR(fDeal="All Deals",$BU811=fDeal),OR(fEntity="All Entities",$BV811=fEntity),OR(fPType="All Property Types",$BZ811=fPType),OR(fDefeased="Include",$CJ811=0)),1,0)</f>
        <v/>
      </c>
      <c r="DF811" s="83">
        <f>$DE811*N($I811)</f>
        <v/>
      </c>
      <c r="DG811" s="78">
        <f>IF($DE811=1,IF(COUNTIFS($F$8:$F811,$F811,$DE$8:$DE811,1)=1,1,0),0)</f>
        <v/>
      </c>
      <c r="DH811" s="83">
        <f>IF($DG811=1,SUMIFS($DF$8:$DF$1600,$F$8:$F$1600,$F811),0)</f>
        <v/>
      </c>
      <c r="DI811" s="78">
        <f>IF($DG811=1,COUNTIFS($F$8:$F$1600,$F811,$DE$8:$DE$1600,1),0)</f>
        <v/>
      </c>
      <c r="DJ811" s="84">
        <f>IF($DG811=1,$DH811+(100000-ROW())/mTieBreak,0)</f>
        <v/>
      </c>
    </row>
    <row r="812">
      <c r="B812" s="68" t="n">
        <v>42</v>
      </c>
      <c r="C812" s="69" t="inlineStr">
        <is>
          <t>BCMK18B3</t>
        </is>
      </c>
      <c r="D812" s="69" t="inlineStr">
        <is>
          <t>42.000</t>
        </is>
      </c>
      <c r="E812" s="69" t="inlineStr">
        <is>
          <t>CVS Lawton</t>
        </is>
      </c>
      <c r="F812" s="69" t="inlineStr">
        <is>
          <t>LNBCMK18B3-42.000</t>
        </is>
      </c>
      <c r="G812" s="70" t="n"/>
      <c r="H812" s="71" t="n">
        <v>3650000</v>
      </c>
      <c r="I812" s="71" t="n">
        <v>3132415.60000175</v>
      </c>
      <c r="J812" s="72" t="n">
        <v>5.23</v>
      </c>
      <c r="K812" s="69" t="inlineStr">
        <is>
          <t>Fixed rate</t>
        </is>
      </c>
      <c r="L812" s="68" t="n">
        <v>120</v>
      </c>
      <c r="M812" s="68" t="n">
        <v>17</v>
      </c>
      <c r="N812" s="68" t="n">
        <v>360</v>
      </c>
      <c r="O812" s="68" t="n"/>
      <c r="P812" s="68" t="n"/>
      <c r="Q812" s="68" t="n">
        <v>103</v>
      </c>
      <c r="R812" s="69" t="n"/>
      <c r="S812" s="69" t="inlineStr">
        <is>
          <t>No</t>
        </is>
      </c>
      <c r="T812" s="73" t="n">
        <v>43132</v>
      </c>
      <c r="U812" s="73" t="n">
        <v>46789</v>
      </c>
      <c r="V812" s="73" t="n"/>
      <c r="W812" s="69" t="n"/>
      <c r="X812" s="69" t="inlineStr">
        <is>
          <t>Current</t>
        </is>
      </c>
      <c r="Y812" s="68" t="n"/>
      <c r="Z812" s="69" t="inlineStr">
        <is>
          <t>Full Defeasance</t>
        </is>
      </c>
      <c r="AA812" s="69" t="n"/>
      <c r="AB812" s="69" t="inlineStr">
        <is>
          <t>Never special serv</t>
        </is>
      </c>
      <c r="AC812" s="73" t="n"/>
      <c r="AD812" s="69" t="n"/>
      <c r="AE812" s="69" t="n"/>
      <c r="AF812" s="69" t="inlineStr">
        <is>
          <t>OK</t>
        </is>
      </c>
      <c r="AG812" s="69" t="inlineStr">
        <is>
          <t>Lawton</t>
        </is>
      </c>
      <c r="AH812" s="69" t="inlineStr">
        <is>
          <t>Lawton, OK</t>
        </is>
      </c>
      <c r="AI812" s="69" t="inlineStr">
        <is>
          <t>South / Central West</t>
        </is>
      </c>
      <c r="AJ812" s="69" t="inlineStr">
        <is>
          <t>RT</t>
        </is>
      </c>
      <c r="AK812" s="69" t="inlineStr">
        <is>
          <t>Single Tenant</t>
        </is>
      </c>
      <c r="AL812" s="68" t="n">
        <v>1</v>
      </c>
      <c r="AM812" s="68" t="n"/>
      <c r="AN812" s="68" t="n">
        <v>13275</v>
      </c>
      <c r="AO812" s="69" t="inlineStr">
        <is>
          <t>2014</t>
        </is>
      </c>
      <c r="AP812" s="70" t="n">
        <v>2014</v>
      </c>
      <c r="AQ812" s="74" t="n">
        <v>1.36</v>
      </c>
      <c r="AR812" s="74" t="n">
        <v>1.37</v>
      </c>
      <c r="AS812" s="74" t="n">
        <v>55.59</v>
      </c>
      <c r="AT812" s="74" t="n">
        <v>47.82</v>
      </c>
      <c r="AU812" s="74" t="n">
        <v>46.14</v>
      </c>
      <c r="AV812" s="74" t="n">
        <v>8.998356164</v>
      </c>
      <c r="AW812" s="74" t="n">
        <v>10.561292058</v>
      </c>
      <c r="AX812" s="75" t="n">
        <v>100</v>
      </c>
      <c r="AY812" s="71" t="n">
        <v>6550000</v>
      </c>
      <c r="AZ812" s="71" t="n">
        <v>6550000</v>
      </c>
      <c r="BA812" s="71" t="n">
        <v>328440</v>
      </c>
      <c r="BB812" s="71" t="n">
        <v>330823.56</v>
      </c>
      <c r="BC812" s="69" t="inlineStr">
        <is>
          <t>Acquisition</t>
        </is>
      </c>
      <c r="BD812" s="69" t="inlineStr">
        <is>
          <t>N</t>
        </is>
      </c>
      <c r="BE812" s="71" t="n"/>
      <c r="BF812" s="71" t="n"/>
      <c r="BG812" s="71" t="n"/>
      <c r="BH812" s="71" t="n">
        <v>0</v>
      </c>
      <c r="BI812" s="71" t="n">
        <v>0</v>
      </c>
      <c r="BJ812" s="69" t="inlineStr">
        <is>
          <t>N</t>
        </is>
      </c>
      <c r="BK812" s="69" t="inlineStr">
        <is>
          <t>CVS</t>
        </is>
      </c>
      <c r="BL812" s="75" t="n">
        <v>100</v>
      </c>
      <c r="BM812" s="73" t="n">
        <v>51532</v>
      </c>
      <c r="BN812" s="69" t="inlineStr">
        <is>
          <t>Gregg C. Sindici</t>
        </is>
      </c>
      <c r="BO812" s="69" t="inlineStr">
        <is>
          <t>Citigroup Global Markets</t>
        </is>
      </c>
      <c r="BP812" s="69" t="inlineStr">
        <is>
          <t>Midland Loan Services</t>
        </is>
      </c>
      <c r="BQ812" s="69" t="inlineStr">
        <is>
          <t>K-Star Asset Management LLC</t>
        </is>
      </c>
      <c r="BR812" s="69" t="n"/>
      <c r="BS812" s="73" t="n">
        <v>46273</v>
      </c>
      <c r="BU812" s="76">
        <f>IF($C812="","",IFERROR(INDEX(dmName,MATCH($C812,dmID,0)),"Unmapped"))</f>
        <v/>
      </c>
      <c r="BV812" s="76">
        <f>IF($C812="","",IFERROR(INDEX(dmEntity,MATCH($C812,dmID,0)),"Unmapped"))</f>
        <v/>
      </c>
      <c r="BW812" s="77">
        <f>IF($C812="","",IFERROR(INDEX(dmVintage,MATCH($C812,dmID,0)),""))</f>
        <v/>
      </c>
      <c r="BX812" s="78">
        <f>IFERROR(INDEX(dmInclude,MATCH($C812,dmID,0)),0)</f>
        <v/>
      </c>
      <c r="BY812" s="78">
        <f>IF(N($I812)&gt;0,1,0)</f>
        <v/>
      </c>
      <c r="BZ812" s="76">
        <f>IF($AJ812="","Other / Leased Fee",IFERROR(INDEX(mapPTGroup,MATCH(LEFT(TRIM($AJ812),2),mapPTCode,0)),"Other / Leased Fee"))</f>
        <v/>
      </c>
      <c r="CA812" s="76">
        <f>IF(TRIM($AF812&amp;"")="","NR",LEFT(TRIM($AF812),2))</f>
        <v/>
      </c>
      <c r="CB812" s="76">
        <f>IFERROR(LOOKUP(2,1/(LEFT(TRIM($AI812&amp;""),LEN(mapRegion))=mapRegion),mapRegion),"Not Reported")</f>
        <v/>
      </c>
      <c r="CC812" s="76">
        <f>IF($BY812=0,"",IF(TRIM($W812&amp;"")="REO","REO",IF(TRIM($W812&amp;"")="FC","Foreclosure",IF(TRIM($W812&amp;"")="90+","90+ Days Delinquent",IF(TRIM($W812&amp;"")="60","60 Days Delinquent",IF(TRIM($W812&amp;"")="30","30 Days Delinquent",IF($X812="Non-Performing Matured Balloon","Non-Performing Matured Balloon",IF(OR($X812="Late Payment But Less Than 30 Days Delinquent",LEFT($X812&amp;"",20)="Payment Not Received"),"Late / In Grace (&lt;30 Days)",IF($X812="Performing Matured Balloon","Performing Matured Balloon","Current")))))))))</f>
        <v/>
      </c>
      <c r="CD812" s="78">
        <f>IF(OR($CC812="REO",$CC812="Foreclosure",$CC812="90+ Days Delinquent",$CC812="60 Days Delinquent",$CC812="30 Days Delinquent",$CC812="Non-Performing Matured Balloon"),1,0)</f>
        <v/>
      </c>
      <c r="CE812" s="76">
        <f>IF($AB812="Currently special serv","Currently Specially Serviced",IF($AB812="Returned to master serv","Previously Specially Serviced","Never Specially Serviced"))</f>
        <v/>
      </c>
      <c r="CF812" s="78">
        <f>IF($CE812="Currently Specially Serviced",1,0)</f>
        <v/>
      </c>
      <c r="CG812" s="76">
        <f>IF($AA812="Yes","Currently on Watchlist",IF($AA812="Previously","Previously on Watchlist","Never on Watchlist"))</f>
        <v/>
      </c>
      <c r="CH812" s="78">
        <f>IF($CG812="Currently on Watchlist",1,0)</f>
        <v/>
      </c>
      <c r="CI812" s="76">
        <f>IF($Z812="Full Defeasance","Fully Defeased",IF($Z812="Portion Of Loan Previously Defeased","Partially Defeased",IF($Z812="Defeasance Not Allowable","Not Defeased (Not Permitted)","Not Defeased")))</f>
        <v/>
      </c>
      <c r="CJ812" s="78">
        <f>IF($CI812="Fully Defeased",1,0)</f>
        <v/>
      </c>
      <c r="CK812" s="76">
        <f>IF($R812="IO","Full IO",IF(LEFT($R812&amp;"",7)="IO then","Partial IO","Amortizing"))</f>
        <v/>
      </c>
      <c r="CL812" s="78">
        <f>IF($CK812="Full IO",1,0)</f>
        <v/>
      </c>
      <c r="CM812" s="78">
        <f>IF($CK812="Partial IO",1,0)</f>
        <v/>
      </c>
      <c r="CN812" s="76">
        <f>IF(LEFT($F812&amp;"",10)="SPLIT_LOAN","Pari Passu Split","Standalone")</f>
        <v/>
      </c>
      <c r="CO812" s="78">
        <f>IF($CN812="Pari Passu Split",1,0)</f>
        <v/>
      </c>
      <c r="CP812" s="77">
        <f>IF(ISNUMBER($T812),YEAR($T812),"")</f>
        <v/>
      </c>
      <c r="CQ812" s="79">
        <f>IF(ISNUMBER($V812),$V812,IF(ISNUMBER($U812),$U812,""))</f>
        <v/>
      </c>
      <c r="CR812" s="77">
        <f>IF(ISNUMBER($CQ812),YEAR($CQ812),"")</f>
        <v/>
      </c>
      <c r="CS812" s="78">
        <f>IF(ISNUMBER($M812),MAX(0,$M812),IF(TRIM($M812&amp;"")="matured",0,""))</f>
        <v/>
      </c>
      <c r="CT812" s="78">
        <f>IF(AND(ISNUMBER($CS812),N($CS812)&lt;=mMatWindow),1,0)</f>
        <v/>
      </c>
      <c r="CU812" s="80">
        <f>IF(ISNUMBER($J812),$J812/100,"")</f>
        <v/>
      </c>
      <c r="CV812" s="81">
        <f>IF(ISNUMBER($AQ812),$AQ812,"")</f>
        <v/>
      </c>
      <c r="CW812" s="81">
        <f>IF(ISNUMBER($AR812),$AR812,"")</f>
        <v/>
      </c>
      <c r="CX812" s="82">
        <f>IF(ISNUMBER($AS812),$AS812/100,"")</f>
        <v/>
      </c>
      <c r="CY812" s="82">
        <f>IF(ISNUMBER($AT812),$AT812/100,"")</f>
        <v/>
      </c>
      <c r="CZ812" s="82">
        <f>IF(ISNUMBER($AU812),$AU812/100,"")</f>
        <v/>
      </c>
      <c r="DA812" s="82">
        <f>IF(ISNUMBER($AV812),$AV812/100,"")</f>
        <v/>
      </c>
      <c r="DB812" s="82">
        <f>IF(ISNUMBER($AW812),$AW812/100,"")</f>
        <v/>
      </c>
      <c r="DC812" s="82">
        <f>IF(ISNUMBER($AX812),$AX812/100,"")</f>
        <v/>
      </c>
      <c r="DD812" s="77">
        <f>IFERROR(VALUE(LEFT(TRIM($AO812&amp;""),4)),"")</f>
        <v/>
      </c>
      <c r="DE812" s="78">
        <f>IF(AND($BY812=1,$BX812=1,OR(fDeal="All Deals",$BU812=fDeal),OR(fEntity="All Entities",$BV812=fEntity),OR(fPType="All Property Types",$BZ812=fPType),OR(fDefeased="Include",$CJ812=0)),1,0)</f>
        <v/>
      </c>
      <c r="DF812" s="83">
        <f>$DE812*N($I812)</f>
        <v/>
      </c>
      <c r="DG812" s="78">
        <f>IF($DE812=1,IF(COUNTIFS($F$8:$F812,$F812,$DE$8:$DE812,1)=1,1,0),0)</f>
        <v/>
      </c>
      <c r="DH812" s="83">
        <f>IF($DG812=1,SUMIFS($DF$8:$DF$1600,$F$8:$F$1600,$F812),0)</f>
        <v/>
      </c>
      <c r="DI812" s="78">
        <f>IF($DG812=1,COUNTIFS($F$8:$F$1600,$F812,$DE$8:$DE$1600,1),0)</f>
        <v/>
      </c>
      <c r="DJ812" s="84">
        <f>IF($DG812=1,$DH812+(100000-ROW())/mTieBreak,0)</f>
        <v/>
      </c>
    </row>
    <row r="813">
      <c r="B813" s="68" t="n">
        <v>43</v>
      </c>
      <c r="C813" s="69" t="inlineStr">
        <is>
          <t>BCMK18B3</t>
        </is>
      </c>
      <c r="D813" s="69" t="inlineStr">
        <is>
          <t>43.000</t>
        </is>
      </c>
      <c r="E813" s="69" t="inlineStr">
        <is>
          <t>Lakeridge Pointe</t>
        </is>
      </c>
      <c r="F813" s="69" t="inlineStr">
        <is>
          <t>LNBCMK18B3-43.000</t>
        </is>
      </c>
      <c r="G813" s="70" t="n"/>
      <c r="H813" s="71" t="n">
        <v>3400000</v>
      </c>
      <c r="I813" s="71" t="n">
        <v>3094719.8999996</v>
      </c>
      <c r="J813" s="72" t="n">
        <v>4.785</v>
      </c>
      <c r="K813" s="69" t="inlineStr">
        <is>
          <t>Fixed rate</t>
        </is>
      </c>
      <c r="L813" s="68" t="n">
        <v>120</v>
      </c>
      <c r="M813" s="68" t="n">
        <v>18</v>
      </c>
      <c r="N813" s="68" t="n">
        <v>396</v>
      </c>
      <c r="O813" s="68" t="n">
        <v>36</v>
      </c>
      <c r="P813" s="68" t="n">
        <v>0</v>
      </c>
      <c r="Q813" s="68" t="n">
        <v>102</v>
      </c>
      <c r="R813" s="69" t="inlineStr">
        <is>
          <t>IO then Amort</t>
        </is>
      </c>
      <c r="S813" s="69" t="inlineStr">
        <is>
          <t>No</t>
        </is>
      </c>
      <c r="T813" s="73" t="n">
        <v>43160</v>
      </c>
      <c r="U813" s="73" t="n">
        <v>46818</v>
      </c>
      <c r="V813" s="73" t="n"/>
      <c r="W813" s="69" t="n"/>
      <c r="X813" s="69" t="inlineStr">
        <is>
          <t>Current</t>
        </is>
      </c>
      <c r="Y813" s="68" t="n"/>
      <c r="Z813" s="69" t="inlineStr">
        <is>
          <t>Full Defeasance</t>
        </is>
      </c>
      <c r="AA813" s="69" t="inlineStr">
        <is>
          <t>Previously</t>
        </is>
      </c>
      <c r="AB813" s="69" t="inlineStr">
        <is>
          <t>Never special serv</t>
        </is>
      </c>
      <c r="AC813" s="73" t="n"/>
      <c r="AD813" s="69" t="n"/>
      <c r="AE813" s="69" t="n"/>
      <c r="AF813" s="69" t="inlineStr">
        <is>
          <t>NV</t>
        </is>
      </c>
      <c r="AG813" s="69" t="inlineStr">
        <is>
          <t>Reno</t>
        </is>
      </c>
      <c r="AH813" s="69" t="inlineStr">
        <is>
          <t>Reno, NV</t>
        </is>
      </c>
      <c r="AI813" s="69" t="inlineStr">
        <is>
          <t>West / Mountain</t>
        </is>
      </c>
      <c r="AJ813" s="69" t="inlineStr">
        <is>
          <t>RT</t>
        </is>
      </c>
      <c r="AK813" s="69" t="inlineStr">
        <is>
          <t>Unanchored</t>
        </is>
      </c>
      <c r="AL813" s="68" t="n">
        <v>1</v>
      </c>
      <c r="AM813" s="68" t="n"/>
      <c r="AN813" s="68" t="n">
        <v>34464</v>
      </c>
      <c r="AO813" s="69" t="inlineStr">
        <is>
          <t>1998</t>
        </is>
      </c>
      <c r="AP813" s="70" t="n">
        <v>1998</v>
      </c>
      <c r="AQ813" s="74" t="n">
        <v>1.69</v>
      </c>
      <c r="AR813" s="74" t="n">
        <v>2.14</v>
      </c>
      <c r="AS813" s="74" t="n">
        <v>66.3</v>
      </c>
      <c r="AT813" s="74" t="n">
        <v>60.33</v>
      </c>
      <c r="AU813" s="74" t="n">
        <v>58.4</v>
      </c>
      <c r="AV813" s="74" t="n">
        <v>10.647797059</v>
      </c>
      <c r="AW813" s="74" t="n">
        <v>12.941320796</v>
      </c>
      <c r="AX813" s="75" t="n">
        <v>100</v>
      </c>
      <c r="AY813" s="71" t="n">
        <v>5130000</v>
      </c>
      <c r="AZ813" s="71" t="n">
        <v>5130000</v>
      </c>
      <c r="BA813" s="71" t="n">
        <v>362025.1</v>
      </c>
      <c r="BB813" s="71" t="n">
        <v>456589.76</v>
      </c>
      <c r="BC813" s="69" t="inlineStr">
        <is>
          <t>Acquisition</t>
        </is>
      </c>
      <c r="BD813" s="69" t="inlineStr">
        <is>
          <t>N</t>
        </is>
      </c>
      <c r="BE813" s="71" t="n"/>
      <c r="BF813" s="71" t="n"/>
      <c r="BG813" s="71" t="n"/>
      <c r="BH813" s="71" t="n">
        <v>0</v>
      </c>
      <c r="BI813" s="71" t="n">
        <v>0</v>
      </c>
      <c r="BJ813" s="69" t="inlineStr">
        <is>
          <t>N</t>
        </is>
      </c>
      <c r="BK813" s="69" t="inlineStr">
        <is>
          <t>Lakeside Market</t>
        </is>
      </c>
      <c r="BL813" s="75" t="n">
        <v>11.13</v>
      </c>
      <c r="BM813" s="73" t="n">
        <v>48091</v>
      </c>
      <c r="BN813" s="69" t="inlineStr">
        <is>
          <t>Scott Beggs, Scott Shanks and Dominic Brunetti</t>
        </is>
      </c>
      <c r="BO813" s="69" t="inlineStr">
        <is>
          <t>GACC</t>
        </is>
      </c>
      <c r="BP813" s="69" t="inlineStr">
        <is>
          <t>Midland Loan Services</t>
        </is>
      </c>
      <c r="BQ813" s="69" t="inlineStr">
        <is>
          <t>K-Star Asset Management LLC</t>
        </is>
      </c>
      <c r="BR813" s="69" t="n"/>
      <c r="BS813" s="73" t="n">
        <v>46273</v>
      </c>
      <c r="BU813" s="76">
        <f>IF($C813="","",IFERROR(INDEX(dmName,MATCH($C813,dmID,0)),"Unmapped"))</f>
        <v/>
      </c>
      <c r="BV813" s="76">
        <f>IF($C813="","",IFERROR(INDEX(dmEntity,MATCH($C813,dmID,0)),"Unmapped"))</f>
        <v/>
      </c>
      <c r="BW813" s="77">
        <f>IF($C813="","",IFERROR(INDEX(dmVintage,MATCH($C813,dmID,0)),""))</f>
        <v/>
      </c>
      <c r="BX813" s="78">
        <f>IFERROR(INDEX(dmInclude,MATCH($C813,dmID,0)),0)</f>
        <v/>
      </c>
      <c r="BY813" s="78">
        <f>IF(N($I813)&gt;0,1,0)</f>
        <v/>
      </c>
      <c r="BZ813" s="76">
        <f>IF($AJ813="","Other / Leased Fee",IFERROR(INDEX(mapPTGroup,MATCH(LEFT(TRIM($AJ813),2),mapPTCode,0)),"Other / Leased Fee"))</f>
        <v/>
      </c>
      <c r="CA813" s="76">
        <f>IF(TRIM($AF813&amp;"")="","NR",LEFT(TRIM($AF813),2))</f>
        <v/>
      </c>
      <c r="CB813" s="76">
        <f>IFERROR(LOOKUP(2,1/(LEFT(TRIM($AI813&amp;""),LEN(mapRegion))=mapRegion),mapRegion),"Not Reported")</f>
        <v/>
      </c>
      <c r="CC813" s="76">
        <f>IF($BY813=0,"",IF(TRIM($W813&amp;"")="REO","REO",IF(TRIM($W813&amp;"")="FC","Foreclosure",IF(TRIM($W813&amp;"")="90+","90+ Days Delinquent",IF(TRIM($W813&amp;"")="60","60 Days Delinquent",IF(TRIM($W813&amp;"")="30","30 Days Delinquent",IF($X813="Non-Performing Matured Balloon","Non-Performing Matured Balloon",IF(OR($X813="Late Payment But Less Than 30 Days Delinquent",LEFT($X813&amp;"",20)="Payment Not Received"),"Late / In Grace (&lt;30 Days)",IF($X813="Performing Matured Balloon","Performing Matured Balloon","Current")))))))))</f>
        <v/>
      </c>
      <c r="CD813" s="78">
        <f>IF(OR($CC813="REO",$CC813="Foreclosure",$CC813="90+ Days Delinquent",$CC813="60 Days Delinquent",$CC813="30 Days Delinquent",$CC813="Non-Performing Matured Balloon"),1,0)</f>
        <v/>
      </c>
      <c r="CE813" s="76">
        <f>IF($AB813="Currently special serv","Currently Specially Serviced",IF($AB813="Returned to master serv","Previously Specially Serviced","Never Specially Serviced"))</f>
        <v/>
      </c>
      <c r="CF813" s="78">
        <f>IF($CE813="Currently Specially Serviced",1,0)</f>
        <v/>
      </c>
      <c r="CG813" s="76">
        <f>IF($AA813="Yes","Currently on Watchlist",IF($AA813="Previously","Previously on Watchlist","Never on Watchlist"))</f>
        <v/>
      </c>
      <c r="CH813" s="78">
        <f>IF($CG813="Currently on Watchlist",1,0)</f>
        <v/>
      </c>
      <c r="CI813" s="76">
        <f>IF($Z813="Full Defeasance","Fully Defeased",IF($Z813="Portion Of Loan Previously Defeased","Partially Defeased",IF($Z813="Defeasance Not Allowable","Not Defeased (Not Permitted)","Not Defeased")))</f>
        <v/>
      </c>
      <c r="CJ813" s="78">
        <f>IF($CI813="Fully Defeased",1,0)</f>
        <v/>
      </c>
      <c r="CK813" s="76">
        <f>IF($R813="IO","Full IO",IF(LEFT($R813&amp;"",7)="IO then","Partial IO","Amortizing"))</f>
        <v/>
      </c>
      <c r="CL813" s="78">
        <f>IF($CK813="Full IO",1,0)</f>
        <v/>
      </c>
      <c r="CM813" s="78">
        <f>IF($CK813="Partial IO",1,0)</f>
        <v/>
      </c>
      <c r="CN813" s="76">
        <f>IF(LEFT($F813&amp;"",10)="SPLIT_LOAN","Pari Passu Split","Standalone")</f>
        <v/>
      </c>
      <c r="CO813" s="78">
        <f>IF($CN813="Pari Passu Split",1,0)</f>
        <v/>
      </c>
      <c r="CP813" s="77">
        <f>IF(ISNUMBER($T813),YEAR($T813),"")</f>
        <v/>
      </c>
      <c r="CQ813" s="79">
        <f>IF(ISNUMBER($V813),$V813,IF(ISNUMBER($U813),$U813,""))</f>
        <v/>
      </c>
      <c r="CR813" s="77">
        <f>IF(ISNUMBER($CQ813),YEAR($CQ813),"")</f>
        <v/>
      </c>
      <c r="CS813" s="78">
        <f>IF(ISNUMBER($M813),MAX(0,$M813),IF(TRIM($M813&amp;"")="matured",0,""))</f>
        <v/>
      </c>
      <c r="CT813" s="78">
        <f>IF(AND(ISNUMBER($CS813),N($CS813)&lt;=mMatWindow),1,0)</f>
        <v/>
      </c>
      <c r="CU813" s="80">
        <f>IF(ISNUMBER($J813),$J813/100,"")</f>
        <v/>
      </c>
      <c r="CV813" s="81">
        <f>IF(ISNUMBER($AQ813),$AQ813,"")</f>
        <v/>
      </c>
      <c r="CW813" s="81">
        <f>IF(ISNUMBER($AR813),$AR813,"")</f>
        <v/>
      </c>
      <c r="CX813" s="82">
        <f>IF(ISNUMBER($AS813),$AS813/100,"")</f>
        <v/>
      </c>
      <c r="CY813" s="82">
        <f>IF(ISNUMBER($AT813),$AT813/100,"")</f>
        <v/>
      </c>
      <c r="CZ813" s="82">
        <f>IF(ISNUMBER($AU813),$AU813/100,"")</f>
        <v/>
      </c>
      <c r="DA813" s="82">
        <f>IF(ISNUMBER($AV813),$AV813/100,"")</f>
        <v/>
      </c>
      <c r="DB813" s="82">
        <f>IF(ISNUMBER($AW813),$AW813/100,"")</f>
        <v/>
      </c>
      <c r="DC813" s="82">
        <f>IF(ISNUMBER($AX813),$AX813/100,"")</f>
        <v/>
      </c>
      <c r="DD813" s="77">
        <f>IFERROR(VALUE(LEFT(TRIM($AO813&amp;""),4)),"")</f>
        <v/>
      </c>
      <c r="DE813" s="78">
        <f>IF(AND($BY813=1,$BX813=1,OR(fDeal="All Deals",$BU813=fDeal),OR(fEntity="All Entities",$BV813=fEntity),OR(fPType="All Property Types",$BZ813=fPType),OR(fDefeased="Include",$CJ813=0)),1,0)</f>
        <v/>
      </c>
      <c r="DF813" s="83">
        <f>$DE813*N($I813)</f>
        <v/>
      </c>
      <c r="DG813" s="78">
        <f>IF($DE813=1,IF(COUNTIFS($F$8:$F813,$F813,$DE$8:$DE813,1)=1,1,0),0)</f>
        <v/>
      </c>
      <c r="DH813" s="83">
        <f>IF($DG813=1,SUMIFS($DF$8:$DF$1600,$F$8:$F$1600,$F813),0)</f>
        <v/>
      </c>
      <c r="DI813" s="78">
        <f>IF($DG813=1,COUNTIFS($F$8:$F$1600,$F813,$DE$8:$DE$1600,1),0)</f>
        <v/>
      </c>
      <c r="DJ813" s="84">
        <f>IF($DG813=1,$DH813+(100000-ROW())/mTieBreak,0)</f>
        <v/>
      </c>
    </row>
    <row r="814">
      <c r="B814" s="68" t="n">
        <v>44</v>
      </c>
      <c r="C814" s="69" t="inlineStr">
        <is>
          <t>BCMK18B3</t>
        </is>
      </c>
      <c r="D814" s="69" t="inlineStr">
        <is>
          <t>44.000</t>
        </is>
      </c>
      <c r="E814" s="69" t="inlineStr">
        <is>
          <t>Centro Retail Condo</t>
        </is>
      </c>
      <c r="F814" s="69" t="inlineStr">
        <is>
          <t>LNBCMK18B3-44.000</t>
        </is>
      </c>
      <c r="G814" s="70" t="n"/>
      <c r="H814" s="71" t="n">
        <v>2700000</v>
      </c>
      <c r="I814" s="71" t="n">
        <v>0</v>
      </c>
      <c r="J814" s="72" t="n">
        <v>5.53</v>
      </c>
      <c r="K814" s="69" t="inlineStr">
        <is>
          <t>Fixed rate</t>
        </is>
      </c>
      <c r="L814" s="68" t="n">
        <v>60</v>
      </c>
      <c r="M814" s="68" t="n"/>
      <c r="N814" s="68" t="n">
        <v>396</v>
      </c>
      <c r="O814" s="68" t="n">
        <v>36</v>
      </c>
      <c r="P814" s="68" t="n"/>
      <c r="Q814" s="68" t="n"/>
      <c r="R814" s="69" t="inlineStr">
        <is>
          <t>IO then Amort</t>
        </is>
      </c>
      <c r="S814" s="69" t="inlineStr">
        <is>
          <t>No</t>
        </is>
      </c>
      <c r="T814" s="73" t="n">
        <v>43160</v>
      </c>
      <c r="U814" s="73" t="n">
        <v>44991</v>
      </c>
      <c r="V814" s="73" t="n"/>
      <c r="W814" s="69" t="n"/>
      <c r="X814" s="69" t="inlineStr">
        <is>
          <t>Current</t>
        </is>
      </c>
      <c r="Y814" s="68" t="n"/>
      <c r="Z814" s="69" t="inlineStr">
        <is>
          <t>No Defeasance Occurred</t>
        </is>
      </c>
      <c r="AA814" s="69" t="inlineStr">
        <is>
          <t>Previously</t>
        </is>
      </c>
      <c r="AB814" s="69" t="inlineStr">
        <is>
          <t>Never special serv</t>
        </is>
      </c>
      <c r="AC814" s="73" t="n"/>
      <c r="AD814" s="69" t="n"/>
      <c r="AE814" s="69" t="n"/>
      <c r="AF814" s="69" t="inlineStr">
        <is>
          <t>FL</t>
        </is>
      </c>
      <c r="AG814" s="69" t="inlineStr">
        <is>
          <t>Miami</t>
        </is>
      </c>
      <c r="AH814" s="69" t="inlineStr">
        <is>
          <t>Miami-Fort Lauderdale-West Palm Beach, FL</t>
        </is>
      </c>
      <c r="AI814" s="69" t="inlineStr">
        <is>
          <t>South / Atlantic</t>
        </is>
      </c>
      <c r="AJ814" s="69" t="inlineStr">
        <is>
          <t>RT</t>
        </is>
      </c>
      <c r="AK814" s="69" t="inlineStr">
        <is>
          <t>Unanchored</t>
        </is>
      </c>
      <c r="AL814" s="68" t="n">
        <v>1</v>
      </c>
      <c r="AM814" s="68" t="n"/>
      <c r="AN814" s="68" t="n">
        <v>4350</v>
      </c>
      <c r="AO814" s="69" t="inlineStr">
        <is>
          <t>2016</t>
        </is>
      </c>
      <c r="AP814" s="70" t="n">
        <v>2016</v>
      </c>
      <c r="AQ814" s="74" t="n">
        <v>1.43</v>
      </c>
      <c r="AR814" s="74" t="n">
        <v>1.38</v>
      </c>
      <c r="AS814" s="74" t="n">
        <v>49.09</v>
      </c>
      <c r="AT814" s="74" t="n"/>
      <c r="AU814" s="74" t="n">
        <v>47.82</v>
      </c>
      <c r="AV814" s="74" t="n">
        <v>9.760777778</v>
      </c>
      <c r="AW814" s="74" t="n"/>
      <c r="AX814" s="75" t="n">
        <v>100</v>
      </c>
      <c r="AY814" s="71" t="n">
        <v>5500000</v>
      </c>
      <c r="AZ814" s="71" t="n">
        <v>5500000</v>
      </c>
      <c r="BA814" s="71" t="n">
        <v>263541</v>
      </c>
      <c r="BB814" s="71" t="n">
        <v>255283.59</v>
      </c>
      <c r="BC814" s="69" t="inlineStr">
        <is>
          <t>Recapitalization</t>
        </is>
      </c>
      <c r="BD814" s="69" t="inlineStr">
        <is>
          <t>N</t>
        </is>
      </c>
      <c r="BE814" s="71" t="n"/>
      <c r="BF814" s="71" t="n"/>
      <c r="BG814" s="71" t="n"/>
      <c r="BH814" s="71" t="n">
        <v>0</v>
      </c>
      <c r="BI814" s="71" t="n">
        <v>0</v>
      </c>
      <c r="BJ814" s="69" t="inlineStr">
        <is>
          <t>N</t>
        </is>
      </c>
      <c r="BK814" s="69" t="inlineStr">
        <is>
          <t>OCEAN BANK</t>
        </is>
      </c>
      <c r="BL814" s="75" t="n">
        <v>49.43</v>
      </c>
      <c r="BM814" s="73" t="n">
        <v>46691</v>
      </c>
      <c r="BN814" s="69" t="inlineStr">
        <is>
          <t>Mishorim USA Inc.</t>
        </is>
      </c>
      <c r="BO814" s="69" t="inlineStr">
        <is>
          <t>Citigroup Global Markets</t>
        </is>
      </c>
      <c r="BP814" s="69" t="inlineStr">
        <is>
          <t>Midland Loan Services</t>
        </is>
      </c>
      <c r="BQ814" s="69" t="inlineStr">
        <is>
          <t>Midland Loan Services</t>
        </is>
      </c>
      <c r="BR814" s="69" t="inlineStr">
        <is>
          <t>Full Payoff At Maturity</t>
        </is>
      </c>
      <c r="BS814" s="73" t="n">
        <v>44991</v>
      </c>
      <c r="BU814" s="76">
        <f>IF($C814="","",IFERROR(INDEX(dmName,MATCH($C814,dmID,0)),"Unmapped"))</f>
        <v/>
      </c>
      <c r="BV814" s="76">
        <f>IF($C814="","",IFERROR(INDEX(dmEntity,MATCH($C814,dmID,0)),"Unmapped"))</f>
        <v/>
      </c>
      <c r="BW814" s="77">
        <f>IF($C814="","",IFERROR(INDEX(dmVintage,MATCH($C814,dmID,0)),""))</f>
        <v/>
      </c>
      <c r="BX814" s="78">
        <f>IFERROR(INDEX(dmInclude,MATCH($C814,dmID,0)),0)</f>
        <v/>
      </c>
      <c r="BY814" s="78">
        <f>IF(N($I814)&gt;0,1,0)</f>
        <v/>
      </c>
      <c r="BZ814" s="76">
        <f>IF($AJ814="","Other / Leased Fee",IFERROR(INDEX(mapPTGroup,MATCH(LEFT(TRIM($AJ814),2),mapPTCode,0)),"Other / Leased Fee"))</f>
        <v/>
      </c>
      <c r="CA814" s="76">
        <f>IF(TRIM($AF814&amp;"")="","NR",LEFT(TRIM($AF814),2))</f>
        <v/>
      </c>
      <c r="CB814" s="76">
        <f>IFERROR(LOOKUP(2,1/(LEFT(TRIM($AI814&amp;""),LEN(mapRegion))=mapRegion),mapRegion),"Not Reported")</f>
        <v/>
      </c>
      <c r="CC814" s="76">
        <f>IF($BY814=0,"",IF(TRIM($W814&amp;"")="REO","REO",IF(TRIM($W814&amp;"")="FC","Foreclosure",IF(TRIM($W814&amp;"")="90+","90+ Days Delinquent",IF(TRIM($W814&amp;"")="60","60 Days Delinquent",IF(TRIM($W814&amp;"")="30","30 Days Delinquent",IF($X814="Non-Performing Matured Balloon","Non-Performing Matured Balloon",IF(OR($X814="Late Payment But Less Than 30 Days Delinquent",LEFT($X814&amp;"",20)="Payment Not Received"),"Late / In Grace (&lt;30 Days)",IF($X814="Performing Matured Balloon","Performing Matured Balloon","Current")))))))))</f>
        <v/>
      </c>
      <c r="CD814" s="78">
        <f>IF(OR($CC814="REO",$CC814="Foreclosure",$CC814="90+ Days Delinquent",$CC814="60 Days Delinquent",$CC814="30 Days Delinquent",$CC814="Non-Performing Matured Balloon"),1,0)</f>
        <v/>
      </c>
      <c r="CE814" s="76">
        <f>IF($AB814="Currently special serv","Currently Specially Serviced",IF($AB814="Returned to master serv","Previously Specially Serviced","Never Specially Serviced"))</f>
        <v/>
      </c>
      <c r="CF814" s="78">
        <f>IF($CE814="Currently Specially Serviced",1,0)</f>
        <v/>
      </c>
      <c r="CG814" s="76">
        <f>IF($AA814="Yes","Currently on Watchlist",IF($AA814="Previously","Previously on Watchlist","Never on Watchlist"))</f>
        <v/>
      </c>
      <c r="CH814" s="78">
        <f>IF($CG814="Currently on Watchlist",1,0)</f>
        <v/>
      </c>
      <c r="CI814" s="76">
        <f>IF($Z814="Full Defeasance","Fully Defeased",IF($Z814="Portion Of Loan Previously Defeased","Partially Defeased",IF($Z814="Defeasance Not Allowable","Not Defeased (Not Permitted)","Not Defeased")))</f>
        <v/>
      </c>
      <c r="CJ814" s="78">
        <f>IF($CI814="Fully Defeased",1,0)</f>
        <v/>
      </c>
      <c r="CK814" s="76">
        <f>IF($R814="IO","Full IO",IF(LEFT($R814&amp;"",7)="IO then","Partial IO","Amortizing"))</f>
        <v/>
      </c>
      <c r="CL814" s="78">
        <f>IF($CK814="Full IO",1,0)</f>
        <v/>
      </c>
      <c r="CM814" s="78">
        <f>IF($CK814="Partial IO",1,0)</f>
        <v/>
      </c>
      <c r="CN814" s="76">
        <f>IF(LEFT($F814&amp;"",10)="SPLIT_LOAN","Pari Passu Split","Standalone")</f>
        <v/>
      </c>
      <c r="CO814" s="78">
        <f>IF($CN814="Pari Passu Split",1,0)</f>
        <v/>
      </c>
      <c r="CP814" s="77">
        <f>IF(ISNUMBER($T814),YEAR($T814),"")</f>
        <v/>
      </c>
      <c r="CQ814" s="79">
        <f>IF(ISNUMBER($V814),$V814,IF(ISNUMBER($U814),$U814,""))</f>
        <v/>
      </c>
      <c r="CR814" s="77">
        <f>IF(ISNUMBER($CQ814),YEAR($CQ814),"")</f>
        <v/>
      </c>
      <c r="CS814" s="78">
        <f>IF(ISNUMBER($M814),MAX(0,$M814),IF(TRIM($M814&amp;"")="matured",0,""))</f>
        <v/>
      </c>
      <c r="CT814" s="78">
        <f>IF(AND(ISNUMBER($CS814),N($CS814)&lt;=mMatWindow),1,0)</f>
        <v/>
      </c>
      <c r="CU814" s="80">
        <f>IF(ISNUMBER($J814),$J814/100,"")</f>
        <v/>
      </c>
      <c r="CV814" s="81">
        <f>IF(ISNUMBER($AQ814),$AQ814,"")</f>
        <v/>
      </c>
      <c r="CW814" s="81">
        <f>IF(ISNUMBER($AR814),$AR814,"")</f>
        <v/>
      </c>
      <c r="CX814" s="82">
        <f>IF(ISNUMBER($AS814),$AS814/100,"")</f>
        <v/>
      </c>
      <c r="CY814" s="82">
        <f>IF(ISNUMBER($AT814),$AT814/100,"")</f>
        <v/>
      </c>
      <c r="CZ814" s="82">
        <f>IF(ISNUMBER($AU814),$AU814/100,"")</f>
        <v/>
      </c>
      <c r="DA814" s="82">
        <f>IF(ISNUMBER($AV814),$AV814/100,"")</f>
        <v/>
      </c>
      <c r="DB814" s="82">
        <f>IF(ISNUMBER($AW814),$AW814/100,"")</f>
        <v/>
      </c>
      <c r="DC814" s="82">
        <f>IF(ISNUMBER($AX814),$AX814/100,"")</f>
        <v/>
      </c>
      <c r="DD814" s="77">
        <f>IFERROR(VALUE(LEFT(TRIM($AO814&amp;""),4)),"")</f>
        <v/>
      </c>
      <c r="DE814" s="78">
        <f>IF(AND($BY814=1,$BX814=1,OR(fDeal="All Deals",$BU814=fDeal),OR(fEntity="All Entities",$BV814=fEntity),OR(fPType="All Property Types",$BZ814=fPType),OR(fDefeased="Include",$CJ814=0)),1,0)</f>
        <v/>
      </c>
      <c r="DF814" s="83">
        <f>$DE814*N($I814)</f>
        <v/>
      </c>
      <c r="DG814" s="78">
        <f>IF($DE814=1,IF(COUNTIFS($F$8:$F814,$F814,$DE$8:$DE814,1)=1,1,0),0)</f>
        <v/>
      </c>
      <c r="DH814" s="83">
        <f>IF($DG814=1,SUMIFS($DF$8:$DF$1600,$F$8:$F$1600,$F814),0)</f>
        <v/>
      </c>
      <c r="DI814" s="78">
        <f>IF($DG814=1,COUNTIFS($F$8:$F$1600,$F814,$DE$8:$DE$1600,1),0)</f>
        <v/>
      </c>
      <c r="DJ814" s="84">
        <f>IF($DG814=1,$DH814+(100000-ROW())/mTieBreak,0)</f>
        <v/>
      </c>
    </row>
    <row r="815">
      <c r="B815" s="68" t="n">
        <v>45</v>
      </c>
      <c r="C815" s="69" t="inlineStr">
        <is>
          <t>BCMK18B3</t>
        </is>
      </c>
      <c r="D815" s="69" t="inlineStr">
        <is>
          <t>45.000</t>
        </is>
      </c>
      <c r="E815" s="69" t="inlineStr">
        <is>
          <t>PNC Chicago Fee</t>
        </is>
      </c>
      <c r="F815" s="69" t="inlineStr">
        <is>
          <t>LNBCMK18B3-45.000</t>
        </is>
      </c>
      <c r="G815" s="70" t="n"/>
      <c r="H815" s="71" t="n">
        <v>2670000</v>
      </c>
      <c r="I815" s="71" t="n">
        <v>2302281.98999892</v>
      </c>
      <c r="J815" s="72" t="n">
        <v>5.31</v>
      </c>
      <c r="K815" s="69" t="inlineStr">
        <is>
          <t>Fixed rate</t>
        </is>
      </c>
      <c r="L815" s="68" t="n">
        <v>120</v>
      </c>
      <c r="M815" s="68" t="n">
        <v>18</v>
      </c>
      <c r="N815" s="68" t="n">
        <v>360</v>
      </c>
      <c r="O815" s="68" t="n"/>
      <c r="P815" s="68" t="n"/>
      <c r="Q815" s="68" t="n">
        <v>102</v>
      </c>
      <c r="R815" s="69" t="n"/>
      <c r="S815" s="69" t="inlineStr">
        <is>
          <t>No</t>
        </is>
      </c>
      <c r="T815" s="73" t="n">
        <v>43160</v>
      </c>
      <c r="U815" s="73" t="n">
        <v>46818</v>
      </c>
      <c r="V815" s="73" t="n"/>
      <c r="W815" s="69" t="n"/>
      <c r="X815" s="69" t="inlineStr">
        <is>
          <t>Current</t>
        </is>
      </c>
      <c r="Y815" s="68" t="n"/>
      <c r="Z815" s="69" t="inlineStr">
        <is>
          <t>Full Defeasance</t>
        </is>
      </c>
      <c r="AA815" s="69" t="n"/>
      <c r="AB815" s="69" t="inlineStr">
        <is>
          <t>Never special serv</t>
        </is>
      </c>
      <c r="AC815" s="73" t="n"/>
      <c r="AD815" s="69" t="n"/>
      <c r="AE815" s="69" t="n"/>
      <c r="AF815" s="69" t="inlineStr">
        <is>
          <t>IL</t>
        </is>
      </c>
      <c r="AG815" s="69" t="inlineStr">
        <is>
          <t>Chicago</t>
        </is>
      </c>
      <c r="AH815" s="69" t="inlineStr">
        <is>
          <t>Chicago-Naperville-Elgin, IL-IN</t>
        </is>
      </c>
      <c r="AI815" s="69" t="inlineStr">
        <is>
          <t>Midwest / Central East</t>
        </is>
      </c>
      <c r="AJ815" s="69" t="inlineStr">
        <is>
          <t>SP</t>
        </is>
      </c>
      <c r="AK815" s="69" t="n"/>
      <c r="AL815" s="68" t="n">
        <v>1</v>
      </c>
      <c r="AM815" s="68" t="n"/>
      <c r="AN815" s="68" t="n">
        <v>26000</v>
      </c>
      <c r="AO815" s="69" t="n"/>
      <c r="AP815" s="70" t="n"/>
      <c r="AQ815" s="74" t="n">
        <v>1.24</v>
      </c>
      <c r="AR815" s="74" t="n">
        <v>1.1</v>
      </c>
      <c r="AS815" s="74" t="n">
        <v>64.43000000000001</v>
      </c>
      <c r="AT815" s="74" t="n">
        <v>55.61</v>
      </c>
      <c r="AU815" s="74" t="n">
        <v>53.57</v>
      </c>
      <c r="AV815" s="74" t="n">
        <v>8.269513109</v>
      </c>
      <c r="AW815" s="74" t="n">
        <v>8.581895305</v>
      </c>
      <c r="AX815" s="75" t="n">
        <v>100</v>
      </c>
      <c r="AY815" s="71" t="n">
        <v>4140000</v>
      </c>
      <c r="AZ815" s="71" t="n">
        <v>4140000</v>
      </c>
      <c r="BA815" s="71" t="n">
        <v>220796</v>
      </c>
      <c r="BB815" s="71" t="n">
        <v>196246.61</v>
      </c>
      <c r="BC815" s="69" t="inlineStr">
        <is>
          <t>Acquisition</t>
        </is>
      </c>
      <c r="BD815" s="69" t="inlineStr">
        <is>
          <t>N</t>
        </is>
      </c>
      <c r="BE815" s="71" t="n"/>
      <c r="BF815" s="71" t="n"/>
      <c r="BG815" s="71" t="n"/>
      <c r="BH815" s="71" t="n">
        <v>0</v>
      </c>
      <c r="BI815" s="71" t="n">
        <v>0</v>
      </c>
      <c r="BJ815" s="69" t="inlineStr">
        <is>
          <t>N</t>
        </is>
      </c>
      <c r="BK815" s="69" t="n"/>
      <c r="BL815" s="75" t="n"/>
      <c r="BM815" s="73" t="n"/>
      <c r="BN815" s="69" t="inlineStr">
        <is>
          <t>Gregg C. Sindici</t>
        </is>
      </c>
      <c r="BO815" s="69" t="inlineStr">
        <is>
          <t>Citigroup Global Markets</t>
        </is>
      </c>
      <c r="BP815" s="69" t="inlineStr">
        <is>
          <t>Midland Loan Services</t>
        </is>
      </c>
      <c r="BQ815" s="69" t="inlineStr">
        <is>
          <t>K-Star Asset Management LLC</t>
        </is>
      </c>
      <c r="BR815" s="69" t="n"/>
      <c r="BS815" s="73" t="n">
        <v>46273</v>
      </c>
      <c r="BU815" s="76">
        <f>IF($C815="","",IFERROR(INDEX(dmName,MATCH($C815,dmID,0)),"Unmapped"))</f>
        <v/>
      </c>
      <c r="BV815" s="76">
        <f>IF($C815="","",IFERROR(INDEX(dmEntity,MATCH($C815,dmID,0)),"Unmapped"))</f>
        <v/>
      </c>
      <c r="BW815" s="77">
        <f>IF($C815="","",IFERROR(INDEX(dmVintage,MATCH($C815,dmID,0)),""))</f>
        <v/>
      </c>
      <c r="BX815" s="78">
        <f>IFERROR(INDEX(dmInclude,MATCH($C815,dmID,0)),0)</f>
        <v/>
      </c>
      <c r="BY815" s="78">
        <f>IF(N($I815)&gt;0,1,0)</f>
        <v/>
      </c>
      <c r="BZ815" s="76">
        <f>IF($AJ815="","Other / Leased Fee",IFERROR(INDEX(mapPTGroup,MATCH(LEFT(TRIM($AJ815),2),mapPTCode,0)),"Other / Leased Fee"))</f>
        <v/>
      </c>
      <c r="CA815" s="76">
        <f>IF(TRIM($AF815&amp;"")="","NR",LEFT(TRIM($AF815),2))</f>
        <v/>
      </c>
      <c r="CB815" s="76">
        <f>IFERROR(LOOKUP(2,1/(LEFT(TRIM($AI815&amp;""),LEN(mapRegion))=mapRegion),mapRegion),"Not Reported")</f>
        <v/>
      </c>
      <c r="CC815" s="76">
        <f>IF($BY815=0,"",IF(TRIM($W815&amp;"")="REO","REO",IF(TRIM($W815&amp;"")="FC","Foreclosure",IF(TRIM($W815&amp;"")="90+","90+ Days Delinquent",IF(TRIM($W815&amp;"")="60","60 Days Delinquent",IF(TRIM($W815&amp;"")="30","30 Days Delinquent",IF($X815="Non-Performing Matured Balloon","Non-Performing Matured Balloon",IF(OR($X815="Late Payment But Less Than 30 Days Delinquent",LEFT($X815&amp;"",20)="Payment Not Received"),"Late / In Grace (&lt;30 Days)",IF($X815="Performing Matured Balloon","Performing Matured Balloon","Current")))))))))</f>
        <v/>
      </c>
      <c r="CD815" s="78">
        <f>IF(OR($CC815="REO",$CC815="Foreclosure",$CC815="90+ Days Delinquent",$CC815="60 Days Delinquent",$CC815="30 Days Delinquent",$CC815="Non-Performing Matured Balloon"),1,0)</f>
        <v/>
      </c>
      <c r="CE815" s="76">
        <f>IF($AB815="Currently special serv","Currently Specially Serviced",IF($AB815="Returned to master serv","Previously Specially Serviced","Never Specially Serviced"))</f>
        <v/>
      </c>
      <c r="CF815" s="78">
        <f>IF($CE815="Currently Specially Serviced",1,0)</f>
        <v/>
      </c>
      <c r="CG815" s="76">
        <f>IF($AA815="Yes","Currently on Watchlist",IF($AA815="Previously","Previously on Watchlist","Never on Watchlist"))</f>
        <v/>
      </c>
      <c r="CH815" s="78">
        <f>IF($CG815="Currently on Watchlist",1,0)</f>
        <v/>
      </c>
      <c r="CI815" s="76">
        <f>IF($Z815="Full Defeasance","Fully Defeased",IF($Z815="Portion Of Loan Previously Defeased","Partially Defeased",IF($Z815="Defeasance Not Allowable","Not Defeased (Not Permitted)","Not Defeased")))</f>
        <v/>
      </c>
      <c r="CJ815" s="78">
        <f>IF($CI815="Fully Defeased",1,0)</f>
        <v/>
      </c>
      <c r="CK815" s="76">
        <f>IF($R815="IO","Full IO",IF(LEFT($R815&amp;"",7)="IO then","Partial IO","Amortizing"))</f>
        <v/>
      </c>
      <c r="CL815" s="78">
        <f>IF($CK815="Full IO",1,0)</f>
        <v/>
      </c>
      <c r="CM815" s="78">
        <f>IF($CK815="Partial IO",1,0)</f>
        <v/>
      </c>
      <c r="CN815" s="76">
        <f>IF(LEFT($F815&amp;"",10)="SPLIT_LOAN","Pari Passu Split","Standalone")</f>
        <v/>
      </c>
      <c r="CO815" s="78">
        <f>IF($CN815="Pari Passu Split",1,0)</f>
        <v/>
      </c>
      <c r="CP815" s="77">
        <f>IF(ISNUMBER($T815),YEAR($T815),"")</f>
        <v/>
      </c>
      <c r="CQ815" s="79">
        <f>IF(ISNUMBER($V815),$V815,IF(ISNUMBER($U815),$U815,""))</f>
        <v/>
      </c>
      <c r="CR815" s="77">
        <f>IF(ISNUMBER($CQ815),YEAR($CQ815),"")</f>
        <v/>
      </c>
      <c r="CS815" s="78">
        <f>IF(ISNUMBER($M815),MAX(0,$M815),IF(TRIM($M815&amp;"")="matured",0,""))</f>
        <v/>
      </c>
      <c r="CT815" s="78">
        <f>IF(AND(ISNUMBER($CS815),N($CS815)&lt;=mMatWindow),1,0)</f>
        <v/>
      </c>
      <c r="CU815" s="80">
        <f>IF(ISNUMBER($J815),$J815/100,"")</f>
        <v/>
      </c>
      <c r="CV815" s="81">
        <f>IF(ISNUMBER($AQ815),$AQ815,"")</f>
        <v/>
      </c>
      <c r="CW815" s="81">
        <f>IF(ISNUMBER($AR815),$AR815,"")</f>
        <v/>
      </c>
      <c r="CX815" s="82">
        <f>IF(ISNUMBER($AS815),$AS815/100,"")</f>
        <v/>
      </c>
      <c r="CY815" s="82">
        <f>IF(ISNUMBER($AT815),$AT815/100,"")</f>
        <v/>
      </c>
      <c r="CZ815" s="82">
        <f>IF(ISNUMBER($AU815),$AU815/100,"")</f>
        <v/>
      </c>
      <c r="DA815" s="82">
        <f>IF(ISNUMBER($AV815),$AV815/100,"")</f>
        <v/>
      </c>
      <c r="DB815" s="82">
        <f>IF(ISNUMBER($AW815),$AW815/100,"")</f>
        <v/>
      </c>
      <c r="DC815" s="82">
        <f>IF(ISNUMBER($AX815),$AX815/100,"")</f>
        <v/>
      </c>
      <c r="DD815" s="77">
        <f>IFERROR(VALUE(LEFT(TRIM($AO815&amp;""),4)),"")</f>
        <v/>
      </c>
      <c r="DE815" s="78">
        <f>IF(AND($BY815=1,$BX815=1,OR(fDeal="All Deals",$BU815=fDeal),OR(fEntity="All Entities",$BV815=fEntity),OR(fPType="All Property Types",$BZ815=fPType),OR(fDefeased="Include",$CJ815=0)),1,0)</f>
        <v/>
      </c>
      <c r="DF815" s="83">
        <f>$DE815*N($I815)</f>
        <v/>
      </c>
      <c r="DG815" s="78">
        <f>IF($DE815=1,IF(COUNTIFS($F$8:$F815,$F815,$DE$8:$DE815,1)=1,1,0),0)</f>
        <v/>
      </c>
      <c r="DH815" s="83">
        <f>IF($DG815=1,SUMIFS($DF$8:$DF$1600,$F$8:$F$1600,$F815),0)</f>
        <v/>
      </c>
      <c r="DI815" s="78">
        <f>IF($DG815=1,COUNTIFS($F$8:$F$1600,$F815,$DE$8:$DE$1600,1),0)</f>
        <v/>
      </c>
      <c r="DJ815" s="84">
        <f>IF($DG815=1,$DH815+(100000-ROW())/mTieBreak,0)</f>
        <v/>
      </c>
    </row>
    <row r="816">
      <c r="B816" s="68" t="n">
        <v>1</v>
      </c>
      <c r="C816" s="69" t="inlineStr">
        <is>
          <t>DBJ17C06</t>
        </is>
      </c>
      <c r="D816" s="69" t="inlineStr">
        <is>
          <t>1.TR</t>
        </is>
      </c>
      <c r="E816" s="69" t="inlineStr">
        <is>
          <t>245 Park Avenue - Trust</t>
        </is>
      </c>
      <c r="F816" s="69" t="inlineStr">
        <is>
          <t>SPLIT_LOAN_00983</t>
        </is>
      </c>
      <c r="G816" s="70" t="n">
        <v>983</v>
      </c>
      <c r="H816" s="71" t="n">
        <v>93750000</v>
      </c>
      <c r="I816" s="71" t="n">
        <v>93750000</v>
      </c>
      <c r="J816" s="72" t="n">
        <v>3.6694</v>
      </c>
      <c r="K816" s="69" t="inlineStr">
        <is>
          <t>Fixed rate</t>
        </is>
      </c>
      <c r="L816" s="68" t="n">
        <v>120</v>
      </c>
      <c r="M816" s="68" t="n">
        <v>9</v>
      </c>
      <c r="N816" s="68" t="n">
        <v>120</v>
      </c>
      <c r="O816" s="68" t="n">
        <v>120</v>
      </c>
      <c r="P816" s="68" t="n">
        <v>9</v>
      </c>
      <c r="Q816" s="68" t="n">
        <v>111</v>
      </c>
      <c r="R816" s="69" t="inlineStr">
        <is>
          <t>IO</t>
        </is>
      </c>
      <c r="S816" s="69" t="inlineStr">
        <is>
          <t>Yes</t>
        </is>
      </c>
      <c r="T816" s="73" t="n">
        <v>42887</v>
      </c>
      <c r="U816" s="73" t="n">
        <v>46539</v>
      </c>
      <c r="V816" s="73" t="n"/>
      <c r="W816" s="69" t="n"/>
      <c r="X816" s="69" t="inlineStr">
        <is>
          <t>Current</t>
        </is>
      </c>
      <c r="Y816" s="68" t="n"/>
      <c r="Z816" s="69" t="inlineStr">
        <is>
          <t>No Defeasance Occurred</t>
        </is>
      </c>
      <c r="AA816" s="69" t="inlineStr">
        <is>
          <t>Previously</t>
        </is>
      </c>
      <c r="AB816" s="69" t="inlineStr">
        <is>
          <t>Returned to master serv</t>
        </is>
      </c>
      <c r="AC816" s="73" t="n"/>
      <c r="AD816" s="69" t="inlineStr">
        <is>
          <t>Other</t>
        </is>
      </c>
      <c r="AE816" s="69" t="inlineStr">
        <is>
          <t>Resolved</t>
        </is>
      </c>
      <c r="AF816" s="69" t="inlineStr">
        <is>
          <t>NY</t>
        </is>
      </c>
      <c r="AG816" s="69" t="inlineStr">
        <is>
          <t>New York</t>
        </is>
      </c>
      <c r="AH816" s="69" t="inlineStr">
        <is>
          <t>New York-Newark-Jersey City, NY-NJ</t>
        </is>
      </c>
      <c r="AI816" s="69" t="inlineStr">
        <is>
          <t>Northeast / Mid-Atlantic</t>
        </is>
      </c>
      <c r="AJ816" s="69" t="inlineStr">
        <is>
          <t>OF</t>
        </is>
      </c>
      <c r="AK816" s="69" t="inlineStr">
        <is>
          <t>CBD</t>
        </is>
      </c>
      <c r="AL816" s="68" t="n">
        <v>1</v>
      </c>
      <c r="AM816" s="68" t="n"/>
      <c r="AN816" s="68" t="n">
        <v>1723993</v>
      </c>
      <c r="AO816" s="69" t="inlineStr">
        <is>
          <t>1965</t>
        </is>
      </c>
      <c r="AP816" s="70" t="n">
        <v>2006</v>
      </c>
      <c r="AQ816" s="74" t="n">
        <v>2.73</v>
      </c>
      <c r="AR816" s="74" t="n">
        <v>2.1</v>
      </c>
      <c r="AS816" s="74" t="n">
        <v>48.9</v>
      </c>
      <c r="AT816" s="74" t="n">
        <v>48.87</v>
      </c>
      <c r="AU816" s="74" t="n"/>
      <c r="AV816" s="74" t="n">
        <v>10.144898426</v>
      </c>
      <c r="AW816" s="74" t="n">
        <v>6.597072723</v>
      </c>
      <c r="AX816" s="75" t="n">
        <v>97</v>
      </c>
      <c r="AY816" s="71" t="n">
        <v>2210000000</v>
      </c>
      <c r="AZ816" s="71" t="n">
        <v>2210000000</v>
      </c>
      <c r="BA816" s="71" t="n">
        <v>109564903</v>
      </c>
      <c r="BB816" s="71" t="n">
        <v>18691699.69</v>
      </c>
      <c r="BC816" s="69" t="inlineStr">
        <is>
          <t>Acquisition</t>
        </is>
      </c>
      <c r="BD816" s="69" t="inlineStr">
        <is>
          <t>N</t>
        </is>
      </c>
      <c r="BE816" s="71" t="n">
        <v>986250000</v>
      </c>
      <c r="BF816" s="71" t="n">
        <v>120000000</v>
      </c>
      <c r="BG816" s="71" t="n">
        <v>688000000</v>
      </c>
      <c r="BH816" s="71" t="n">
        <v>0</v>
      </c>
      <c r="BI816" s="71" t="n">
        <v>0</v>
      </c>
      <c r="BJ816" s="69" t="inlineStr">
        <is>
          <t>N</t>
        </is>
      </c>
      <c r="BK816" s="69" t="inlineStr">
        <is>
          <t>Societe Generale</t>
        </is>
      </c>
      <c r="BL816" s="75" t="n">
        <v>30.86</v>
      </c>
      <c r="BM816" s="73" t="n">
        <v>48518</v>
      </c>
      <c r="BN816" s="69" t="inlineStr">
        <is>
          <t>181 West Madison Holding LLC</t>
        </is>
      </c>
      <c r="BO816" s="69" t="inlineStr">
        <is>
          <t>JPMorgan Chase / GACC</t>
        </is>
      </c>
      <c r="BP816" s="69" t="inlineStr">
        <is>
          <t>Midland Loan Services</t>
        </is>
      </c>
      <c r="BQ816" s="69" t="inlineStr">
        <is>
          <t>Aegon USA Realty</t>
        </is>
      </c>
      <c r="BR816" s="69" t="n"/>
      <c r="BS816" s="73" t="n">
        <v>46273</v>
      </c>
      <c r="BU816" s="76">
        <f>IF($C816="","",IFERROR(INDEX(dmName,MATCH($C816,dmID,0)),"Unmapped"))</f>
        <v/>
      </c>
      <c r="BV816" s="76">
        <f>IF($C816="","",IFERROR(INDEX(dmEntity,MATCH($C816,dmID,0)),"Unmapped"))</f>
        <v/>
      </c>
      <c r="BW816" s="77">
        <f>IF($C816="","",IFERROR(INDEX(dmVintage,MATCH($C816,dmID,0)),""))</f>
        <v/>
      </c>
      <c r="BX816" s="78">
        <f>IFERROR(INDEX(dmInclude,MATCH($C816,dmID,0)),0)</f>
        <v/>
      </c>
      <c r="BY816" s="78">
        <f>IF(N($I816)&gt;0,1,0)</f>
        <v/>
      </c>
      <c r="BZ816" s="76">
        <f>IF($AJ816="","Other / Leased Fee",IFERROR(INDEX(mapPTGroup,MATCH(LEFT(TRIM($AJ816),2),mapPTCode,0)),"Other / Leased Fee"))</f>
        <v/>
      </c>
      <c r="CA816" s="76">
        <f>IF(TRIM($AF816&amp;"")="","NR",LEFT(TRIM($AF816),2))</f>
        <v/>
      </c>
      <c r="CB816" s="76">
        <f>IFERROR(LOOKUP(2,1/(LEFT(TRIM($AI816&amp;""),LEN(mapRegion))=mapRegion),mapRegion),"Not Reported")</f>
        <v/>
      </c>
      <c r="CC816" s="76">
        <f>IF($BY816=0,"",IF(TRIM($W816&amp;"")="REO","REO",IF(TRIM($W816&amp;"")="FC","Foreclosure",IF(TRIM($W816&amp;"")="90+","90+ Days Delinquent",IF(TRIM($W816&amp;"")="60","60 Days Delinquent",IF(TRIM($W816&amp;"")="30","30 Days Delinquent",IF($X816="Non-Performing Matured Balloon","Non-Performing Matured Balloon",IF(OR($X816="Late Payment But Less Than 30 Days Delinquent",LEFT($X816&amp;"",20)="Payment Not Received"),"Late / In Grace (&lt;30 Days)",IF($X816="Performing Matured Balloon","Performing Matured Balloon","Current")))))))))</f>
        <v/>
      </c>
      <c r="CD816" s="78">
        <f>IF(OR($CC816="REO",$CC816="Foreclosure",$CC816="90+ Days Delinquent",$CC816="60 Days Delinquent",$CC816="30 Days Delinquent",$CC816="Non-Performing Matured Balloon"),1,0)</f>
        <v/>
      </c>
      <c r="CE816" s="76">
        <f>IF($AB816="Currently special serv","Currently Specially Serviced",IF($AB816="Returned to master serv","Previously Specially Serviced","Never Specially Serviced"))</f>
        <v/>
      </c>
      <c r="CF816" s="78">
        <f>IF($CE816="Currently Specially Serviced",1,0)</f>
        <v/>
      </c>
      <c r="CG816" s="76">
        <f>IF($AA816="Yes","Currently on Watchlist",IF($AA816="Previously","Previously on Watchlist","Never on Watchlist"))</f>
        <v/>
      </c>
      <c r="CH816" s="78">
        <f>IF($CG816="Currently on Watchlist",1,0)</f>
        <v/>
      </c>
      <c r="CI816" s="76">
        <f>IF($Z816="Full Defeasance","Fully Defeased",IF($Z816="Portion Of Loan Previously Defeased","Partially Defeased",IF($Z816="Defeasance Not Allowable","Not Defeased (Not Permitted)","Not Defeased")))</f>
        <v/>
      </c>
      <c r="CJ816" s="78">
        <f>IF($CI816="Fully Defeased",1,0)</f>
        <v/>
      </c>
      <c r="CK816" s="76">
        <f>IF($R816="IO","Full IO",IF(LEFT($R816&amp;"",7)="IO then","Partial IO","Amortizing"))</f>
        <v/>
      </c>
      <c r="CL816" s="78">
        <f>IF($CK816="Full IO",1,0)</f>
        <v/>
      </c>
      <c r="CM816" s="78">
        <f>IF($CK816="Partial IO",1,0)</f>
        <v/>
      </c>
      <c r="CN816" s="76">
        <f>IF(LEFT($F816&amp;"",10)="SPLIT_LOAN","Pari Passu Split","Standalone")</f>
        <v/>
      </c>
      <c r="CO816" s="78">
        <f>IF($CN816="Pari Passu Split",1,0)</f>
        <v/>
      </c>
      <c r="CP816" s="77">
        <f>IF(ISNUMBER($T816),YEAR($T816),"")</f>
        <v/>
      </c>
      <c r="CQ816" s="79">
        <f>IF(ISNUMBER($V816),$V816,IF(ISNUMBER($U816),$U816,""))</f>
        <v/>
      </c>
      <c r="CR816" s="77">
        <f>IF(ISNUMBER($CQ816),YEAR($CQ816),"")</f>
        <v/>
      </c>
      <c r="CS816" s="78">
        <f>IF(ISNUMBER($M816),MAX(0,$M816),IF(TRIM($M816&amp;"")="matured",0,""))</f>
        <v/>
      </c>
      <c r="CT816" s="78">
        <f>IF(AND(ISNUMBER($CS816),N($CS816)&lt;=mMatWindow),1,0)</f>
        <v/>
      </c>
      <c r="CU816" s="80">
        <f>IF(ISNUMBER($J816),$J816/100,"")</f>
        <v/>
      </c>
      <c r="CV816" s="81">
        <f>IF(ISNUMBER($AQ816),$AQ816,"")</f>
        <v/>
      </c>
      <c r="CW816" s="81">
        <f>IF(ISNUMBER($AR816),$AR816,"")</f>
        <v/>
      </c>
      <c r="CX816" s="82">
        <f>IF(ISNUMBER($AS816),$AS816/100,"")</f>
        <v/>
      </c>
      <c r="CY816" s="82">
        <f>IF(ISNUMBER($AT816),$AT816/100,"")</f>
        <v/>
      </c>
      <c r="CZ816" s="82">
        <f>IF(ISNUMBER($AU816),$AU816/100,"")</f>
        <v/>
      </c>
      <c r="DA816" s="82">
        <f>IF(ISNUMBER($AV816),$AV816/100,"")</f>
        <v/>
      </c>
      <c r="DB816" s="82">
        <f>IF(ISNUMBER($AW816),$AW816/100,"")</f>
        <v/>
      </c>
      <c r="DC816" s="82">
        <f>IF(ISNUMBER($AX816),$AX816/100,"")</f>
        <v/>
      </c>
      <c r="DD816" s="77">
        <f>IFERROR(VALUE(LEFT(TRIM($AO816&amp;""),4)),"")</f>
        <v/>
      </c>
      <c r="DE816" s="78">
        <f>IF(AND($BY816=1,$BX816=1,OR(fDeal="All Deals",$BU816=fDeal),OR(fEntity="All Entities",$BV816=fEntity),OR(fPType="All Property Types",$BZ816=fPType),OR(fDefeased="Include",$CJ816=0)),1,0)</f>
        <v/>
      </c>
      <c r="DF816" s="83">
        <f>$DE816*N($I816)</f>
        <v/>
      </c>
      <c r="DG816" s="78">
        <f>IF($DE816=1,IF(COUNTIFS($F$8:$F816,$F816,$DE$8:$DE816,1)=1,1,0),0)</f>
        <v/>
      </c>
      <c r="DH816" s="83">
        <f>IF($DG816=1,SUMIFS($DF$8:$DF$1600,$F$8:$F$1600,$F816),0)</f>
        <v/>
      </c>
      <c r="DI816" s="78">
        <f>IF($DG816=1,COUNTIFS($F$8:$F$1600,$F816,$DE$8:$DE$1600,1),0)</f>
        <v/>
      </c>
      <c r="DJ816" s="84">
        <f>IF($DG816=1,$DH816+(100000-ROW())/mTieBreak,0)</f>
        <v/>
      </c>
    </row>
    <row r="817">
      <c r="B817" s="68" t="n">
        <v>2</v>
      </c>
      <c r="C817" s="69" t="inlineStr">
        <is>
          <t>DBJ17C06</t>
        </is>
      </c>
      <c r="D817" s="69" t="inlineStr">
        <is>
          <t>2.TR</t>
        </is>
      </c>
      <c r="E817" s="69" t="inlineStr">
        <is>
          <t>Gateway Net Lease Portfolio - Trust</t>
        </is>
      </c>
      <c r="F817" s="69" t="inlineStr">
        <is>
          <t>SPLIT_LOAN_01004</t>
        </is>
      </c>
      <c r="G817" s="70" t="n">
        <v>1004</v>
      </c>
      <c r="H817" s="71" t="n">
        <v>85000000</v>
      </c>
      <c r="I817" s="71" t="n">
        <v>0</v>
      </c>
      <c r="J817" s="72" t="n">
        <v>3.56283</v>
      </c>
      <c r="K817" s="69" t="inlineStr">
        <is>
          <t>Fixed rate</t>
        </is>
      </c>
      <c r="L817" s="68" t="n">
        <v>84</v>
      </c>
      <c r="M817" s="68" t="n"/>
      <c r="N817" s="68" t="n">
        <v>84</v>
      </c>
      <c r="O817" s="68" t="n">
        <v>84</v>
      </c>
      <c r="P817" s="68" t="n"/>
      <c r="Q817" s="68" t="n"/>
      <c r="R817" s="69" t="inlineStr">
        <is>
          <t>IO</t>
        </is>
      </c>
      <c r="S817" s="69" t="inlineStr">
        <is>
          <t>Yes</t>
        </is>
      </c>
      <c r="T817" s="73" t="n">
        <v>42917</v>
      </c>
      <c r="U817" s="73" t="n">
        <v>45448</v>
      </c>
      <c r="V817" s="73" t="n"/>
      <c r="W817" s="69" t="n"/>
      <c r="X817" s="69" t="inlineStr">
        <is>
          <t>Current</t>
        </is>
      </c>
      <c r="Y817" s="68" t="n"/>
      <c r="Z817" s="69" t="inlineStr">
        <is>
          <t>No Defeasance Occurred</t>
        </is>
      </c>
      <c r="AA817" s="69" t="inlineStr">
        <is>
          <t>Previously</t>
        </is>
      </c>
      <c r="AB817" s="69" t="inlineStr">
        <is>
          <t>Never special serv</t>
        </is>
      </c>
      <c r="AC817" s="73" t="n"/>
      <c r="AD817" s="69" t="n"/>
      <c r="AE817" s="69" t="n"/>
      <c r="AF817" s="69" t="inlineStr">
        <is>
          <t>TX-18.862332692% IN-13.933078398% MI-10.703632881% CT-8.022944552% MD-7.386233270% WI-5.986615682% AZ-4.967495223% FL-4.915869976% MN-4.783938811% VA-4.774378588% MO-4.055449329% AL-2.938814541% OH-2.040152964% PA-1.550669212% SC-1.137667306% NV-0.942638623% NC-0.891013388% IA-0.841300188% LA-0.694072659% OK-0.571701718%</t>
        </is>
      </c>
      <c r="AG817" s="69" t="n"/>
      <c r="AH817" s="69" t="inlineStr">
        <is>
          <t>San Antonio-New Braunfels, TX-10.965583175% Detroit-Warren-Dearborn, MI-9.760994258% Fort Wayne, IN-8.328871893% Bridgeport-Stamford-Danbury, CT-8.022944552% Baltimore-Columbia-Towson, MD-7.386233270% Lafayette-West Lafayette, IN-5.604206505% Milwaukee-Waukesha, WI-5.068833658% Phoenix-Mesa-Chandler, AZ-4.967495223% Minneapolis-St. Paul-Bloomington, MN-WI-4.783938811% Houston-Pasadena-The Woodlands, TX-3.986615682% Dallas-Fort Worth-Arlington, TX-3.910133835% Staunton-Stuarts Draft, VA-3.043977058% Orlando-Kissimmee-Sanford, FL-2.369024859% Birmingham, AL-2.353728494% St. Louis, MO-IL-2.114722753% Cape Coral-Fort Myers, FL-1.896749517% Richmond, VA-1.730401529% Columbus, OH-1.470363294% Kansas City, MO-KS-1.049713188% Grand Rapids-Wyoming-Kentwood, MI-0.942638623% Las Vegas-Henderson-North Las Vegas, NV-0.942638623% Wausau, WI-0.917782023% Charlotte-Concord-Gastonia, NC-SC-0.891013388% Springfield, MO-0.891013388% Des Moines-West Des Moines, IA-0.841300188% New Orleans-Metairie, LA-0.694072659% Miami-Fort Lauderdale-West Palm Beach, FL-0.650095600% Russellville, AL-0.585086047% Columbia, SC-0.579349906% Oklahoma City, OK-0.571701718% Toledo, OH-0.569789671% Greenville-Anderson-Greer, SC-0.558317400%</t>
        </is>
      </c>
      <c r="AI817" s="69" t="inlineStr">
        <is>
          <t>Midwest / Central East-32.663479926% South / Central West-20.128107068% South / Atlantic-19.105162527% Midwest / Central West-9.680688328% Northeast / New England-8.022944552% West / Mountain-5.910133846% South / Central East-2.938814541% Northeast / Mid-Atlantic-1.550669212%</t>
        </is>
      </c>
      <c r="AJ817" s="69" t="inlineStr">
        <is>
          <t>MX</t>
        </is>
      </c>
      <c r="AK817" s="69" t="n"/>
      <c r="AL817" s="68" t="n">
        <v>1</v>
      </c>
      <c r="AM817" s="68" t="n"/>
      <c r="AN817" s="68" t="n">
        <v>5296943</v>
      </c>
      <c r="AO817" s="69" t="n"/>
      <c r="AP817" s="70" t="n">
        <v>2017</v>
      </c>
      <c r="AQ817" s="74" t="n">
        <v>3.54</v>
      </c>
      <c r="AR817" s="74" t="n">
        <v>3.8</v>
      </c>
      <c r="AS817" s="74" t="n">
        <v>45</v>
      </c>
      <c r="AT817" s="74" t="n"/>
      <c r="AU817" s="74" t="n"/>
      <c r="AV817" s="74" t="n">
        <v>12.770867422</v>
      </c>
      <c r="AW817" s="74" t="n"/>
      <c r="AX817" s="75" t="n">
        <v>100</v>
      </c>
      <c r="AY817" s="71" t="n">
        <v>785215000</v>
      </c>
      <c r="AZ817" s="71" t="n">
        <v>785215000</v>
      </c>
      <c r="BA817" s="71" t="n">
        <v>45081162</v>
      </c>
      <c r="BB817" s="71" t="n">
        <v>11214133.5</v>
      </c>
      <c r="BC817" s="69" t="inlineStr">
        <is>
          <t>Acquisition</t>
        </is>
      </c>
      <c r="BD817" s="69" t="inlineStr">
        <is>
          <t>Y</t>
        </is>
      </c>
      <c r="BE817" s="71" t="n">
        <v>0</v>
      </c>
      <c r="BF817" s="71" t="n">
        <v>0</v>
      </c>
      <c r="BG817" s="71" t="n">
        <v>170000000</v>
      </c>
      <c r="BH817" s="71" t="n">
        <v>0</v>
      </c>
      <c r="BI817" s="71" t="n">
        <v>0</v>
      </c>
      <c r="BJ817" s="69" t="inlineStr">
        <is>
          <t>Y</t>
        </is>
      </c>
      <c r="BK817" s="69" t="inlineStr">
        <is>
          <t>FedEx</t>
        </is>
      </c>
      <c r="BL817" s="75" t="n">
        <v>15.38</v>
      </c>
      <c r="BM817" s="73" t="n">
        <v>46203</v>
      </c>
      <c r="BN817" s="69" t="inlineStr">
        <is>
          <t>ETCL Venture LP</t>
        </is>
      </c>
      <c r="BO817" s="69" t="inlineStr">
        <is>
          <t>JPMorgan Chase</t>
        </is>
      </c>
      <c r="BP817" s="69" t="inlineStr">
        <is>
          <t>Midland Loan Services</t>
        </is>
      </c>
      <c r="BQ817" s="69" t="inlineStr">
        <is>
          <t>Midland Loan Services</t>
        </is>
      </c>
      <c r="BR817" s="69" t="inlineStr">
        <is>
          <t>Full Payoff At Maturity</t>
        </is>
      </c>
      <c r="BS817" s="73" t="n">
        <v>45754</v>
      </c>
      <c r="BU817" s="76">
        <f>IF($C817="","",IFERROR(INDEX(dmName,MATCH($C817,dmID,0)),"Unmapped"))</f>
        <v/>
      </c>
      <c r="BV817" s="76">
        <f>IF($C817="","",IFERROR(INDEX(dmEntity,MATCH($C817,dmID,0)),"Unmapped"))</f>
        <v/>
      </c>
      <c r="BW817" s="77">
        <f>IF($C817="","",IFERROR(INDEX(dmVintage,MATCH($C817,dmID,0)),""))</f>
        <v/>
      </c>
      <c r="BX817" s="78">
        <f>IFERROR(INDEX(dmInclude,MATCH($C817,dmID,0)),0)</f>
        <v/>
      </c>
      <c r="BY817" s="78">
        <f>IF(N($I817)&gt;0,1,0)</f>
        <v/>
      </c>
      <c r="BZ817" s="76">
        <f>IF($AJ817="","Other / Leased Fee",IFERROR(INDEX(mapPTGroup,MATCH(LEFT(TRIM($AJ817),2),mapPTCode,0)),"Other / Leased Fee"))</f>
        <v/>
      </c>
      <c r="CA817" s="76">
        <f>IF(TRIM($AF817&amp;"")="","NR",LEFT(TRIM($AF817),2))</f>
        <v/>
      </c>
      <c r="CB817" s="76">
        <f>IFERROR(LOOKUP(2,1/(LEFT(TRIM($AI817&amp;""),LEN(mapRegion))=mapRegion),mapRegion),"Not Reported")</f>
        <v/>
      </c>
      <c r="CC817" s="76">
        <f>IF($BY817=0,"",IF(TRIM($W817&amp;"")="REO","REO",IF(TRIM($W817&amp;"")="FC","Foreclosure",IF(TRIM($W817&amp;"")="90+","90+ Days Delinquent",IF(TRIM($W817&amp;"")="60","60 Days Delinquent",IF(TRIM($W817&amp;"")="30","30 Days Delinquent",IF($X817="Non-Performing Matured Balloon","Non-Performing Matured Balloon",IF(OR($X817="Late Payment But Less Than 30 Days Delinquent",LEFT($X817&amp;"",20)="Payment Not Received"),"Late / In Grace (&lt;30 Days)",IF($X817="Performing Matured Balloon","Performing Matured Balloon","Current")))))))))</f>
        <v/>
      </c>
      <c r="CD817" s="78">
        <f>IF(OR($CC817="REO",$CC817="Foreclosure",$CC817="90+ Days Delinquent",$CC817="60 Days Delinquent",$CC817="30 Days Delinquent",$CC817="Non-Performing Matured Balloon"),1,0)</f>
        <v/>
      </c>
      <c r="CE817" s="76">
        <f>IF($AB817="Currently special serv","Currently Specially Serviced",IF($AB817="Returned to master serv","Previously Specially Serviced","Never Specially Serviced"))</f>
        <v/>
      </c>
      <c r="CF817" s="78">
        <f>IF($CE817="Currently Specially Serviced",1,0)</f>
        <v/>
      </c>
      <c r="CG817" s="76">
        <f>IF($AA817="Yes","Currently on Watchlist",IF($AA817="Previously","Previously on Watchlist","Never on Watchlist"))</f>
        <v/>
      </c>
      <c r="CH817" s="78">
        <f>IF($CG817="Currently on Watchlist",1,0)</f>
        <v/>
      </c>
      <c r="CI817" s="76">
        <f>IF($Z817="Full Defeasance","Fully Defeased",IF($Z817="Portion Of Loan Previously Defeased","Partially Defeased",IF($Z817="Defeasance Not Allowable","Not Defeased (Not Permitted)","Not Defeased")))</f>
        <v/>
      </c>
      <c r="CJ817" s="78">
        <f>IF($CI817="Fully Defeased",1,0)</f>
        <v/>
      </c>
      <c r="CK817" s="76">
        <f>IF($R817="IO","Full IO",IF(LEFT($R817&amp;"",7)="IO then","Partial IO","Amortizing"))</f>
        <v/>
      </c>
      <c r="CL817" s="78">
        <f>IF($CK817="Full IO",1,0)</f>
        <v/>
      </c>
      <c r="CM817" s="78">
        <f>IF($CK817="Partial IO",1,0)</f>
        <v/>
      </c>
      <c r="CN817" s="76">
        <f>IF(LEFT($F817&amp;"",10)="SPLIT_LOAN","Pari Passu Split","Standalone")</f>
        <v/>
      </c>
      <c r="CO817" s="78">
        <f>IF($CN817="Pari Passu Split",1,0)</f>
        <v/>
      </c>
      <c r="CP817" s="77">
        <f>IF(ISNUMBER($T817),YEAR($T817),"")</f>
        <v/>
      </c>
      <c r="CQ817" s="79">
        <f>IF(ISNUMBER($V817),$V817,IF(ISNUMBER($U817),$U817,""))</f>
        <v/>
      </c>
      <c r="CR817" s="77">
        <f>IF(ISNUMBER($CQ817),YEAR($CQ817),"")</f>
        <v/>
      </c>
      <c r="CS817" s="78">
        <f>IF(ISNUMBER($M817),MAX(0,$M817),IF(TRIM($M817&amp;"")="matured",0,""))</f>
        <v/>
      </c>
      <c r="CT817" s="78">
        <f>IF(AND(ISNUMBER($CS817),N($CS817)&lt;=mMatWindow),1,0)</f>
        <v/>
      </c>
      <c r="CU817" s="80">
        <f>IF(ISNUMBER($J817),$J817/100,"")</f>
        <v/>
      </c>
      <c r="CV817" s="81">
        <f>IF(ISNUMBER($AQ817),$AQ817,"")</f>
        <v/>
      </c>
      <c r="CW817" s="81">
        <f>IF(ISNUMBER($AR817),$AR817,"")</f>
        <v/>
      </c>
      <c r="CX817" s="82">
        <f>IF(ISNUMBER($AS817),$AS817/100,"")</f>
        <v/>
      </c>
      <c r="CY817" s="82">
        <f>IF(ISNUMBER($AT817),$AT817/100,"")</f>
        <v/>
      </c>
      <c r="CZ817" s="82">
        <f>IF(ISNUMBER($AU817),$AU817/100,"")</f>
        <v/>
      </c>
      <c r="DA817" s="82">
        <f>IF(ISNUMBER($AV817),$AV817/100,"")</f>
        <v/>
      </c>
      <c r="DB817" s="82">
        <f>IF(ISNUMBER($AW817),$AW817/100,"")</f>
        <v/>
      </c>
      <c r="DC817" s="82">
        <f>IF(ISNUMBER($AX817),$AX817/100,"")</f>
        <v/>
      </c>
      <c r="DD817" s="77">
        <f>IFERROR(VALUE(LEFT(TRIM($AO817&amp;""),4)),"")</f>
        <v/>
      </c>
      <c r="DE817" s="78">
        <f>IF(AND($BY817=1,$BX817=1,OR(fDeal="All Deals",$BU817=fDeal),OR(fEntity="All Entities",$BV817=fEntity),OR(fPType="All Property Types",$BZ817=fPType),OR(fDefeased="Include",$CJ817=0)),1,0)</f>
        <v/>
      </c>
      <c r="DF817" s="83">
        <f>$DE817*N($I817)</f>
        <v/>
      </c>
      <c r="DG817" s="78">
        <f>IF($DE817=1,IF(COUNTIFS($F$8:$F817,$F817,$DE$8:$DE817,1)=1,1,0),0)</f>
        <v/>
      </c>
      <c r="DH817" s="83">
        <f>IF($DG817=1,SUMIFS($DF$8:$DF$1600,$F$8:$F$1600,$F817),0)</f>
        <v/>
      </c>
      <c r="DI817" s="78">
        <f>IF($DG817=1,COUNTIFS($F$8:$F$1600,$F817,$DE$8:$DE$1600,1),0)</f>
        <v/>
      </c>
      <c r="DJ817" s="84">
        <f>IF($DG817=1,$DH817+(100000-ROW())/mTieBreak,0)</f>
        <v/>
      </c>
    </row>
    <row r="818">
      <c r="B818" s="68" t="n">
        <v>3</v>
      </c>
      <c r="C818" s="69" t="inlineStr">
        <is>
          <t>DBJ17C06</t>
        </is>
      </c>
      <c r="D818" s="69" t="inlineStr">
        <is>
          <t>3.TR</t>
        </is>
      </c>
      <c r="E818" s="69" t="inlineStr">
        <is>
          <t>Olympic Tower - Trust</t>
        </is>
      </c>
      <c r="F818" s="69" t="inlineStr">
        <is>
          <t>SPLIT_LOAN_00978</t>
        </is>
      </c>
      <c r="G818" s="70" t="n">
        <v>978</v>
      </c>
      <c r="H818" s="71" t="n">
        <v>80000000</v>
      </c>
      <c r="I818" s="71" t="n">
        <v>80000000</v>
      </c>
      <c r="J818" s="72" t="n">
        <v>3.95394737</v>
      </c>
      <c r="K818" s="69" t="inlineStr">
        <is>
          <t>Fixed rate</t>
        </is>
      </c>
      <c r="L818" s="68" t="n">
        <v>120</v>
      </c>
      <c r="M818" s="68" t="n">
        <v>8</v>
      </c>
      <c r="N818" s="68" t="n">
        <v>120</v>
      </c>
      <c r="O818" s="68" t="n">
        <v>120</v>
      </c>
      <c r="P818" s="68" t="n">
        <v>8</v>
      </c>
      <c r="Q818" s="68" t="n">
        <v>112</v>
      </c>
      <c r="R818" s="69" t="inlineStr">
        <is>
          <t>IO</t>
        </is>
      </c>
      <c r="S818" s="69" t="inlineStr">
        <is>
          <t>Yes</t>
        </is>
      </c>
      <c r="T818" s="73" t="n">
        <v>42856</v>
      </c>
      <c r="U818" s="73" t="n">
        <v>46513</v>
      </c>
      <c r="V818" s="73" t="n"/>
      <c r="W818" s="69" t="n"/>
      <c r="X818" s="69" t="inlineStr">
        <is>
          <t>Current</t>
        </is>
      </c>
      <c r="Y818" s="68" t="n"/>
      <c r="Z818" s="69" t="inlineStr">
        <is>
          <t>No Defeasance Occurred</t>
        </is>
      </c>
      <c r="AA818" s="69" t="inlineStr">
        <is>
          <t>Previously</t>
        </is>
      </c>
      <c r="AB818" s="69" t="inlineStr">
        <is>
          <t>Never special serv</t>
        </is>
      </c>
      <c r="AC818" s="73" t="n"/>
      <c r="AD818" s="69" t="n"/>
      <c r="AE818" s="69" t="n"/>
      <c r="AF818" s="69" t="inlineStr">
        <is>
          <t>NY</t>
        </is>
      </c>
      <c r="AG818" s="69" t="inlineStr">
        <is>
          <t>New York</t>
        </is>
      </c>
      <c r="AH818" s="69" t="inlineStr">
        <is>
          <t>New York-Newark-Jersey City, NY-NJ</t>
        </is>
      </c>
      <c r="AI818" s="69" t="inlineStr">
        <is>
          <t>Northeast / Mid-Atlantic</t>
        </is>
      </c>
      <c r="AJ818" s="69" t="inlineStr">
        <is>
          <t>MX</t>
        </is>
      </c>
      <c r="AK818" s="69" t="inlineStr">
        <is>
          <t>Office/Retail</t>
        </is>
      </c>
      <c r="AL818" s="68" t="n">
        <v>1</v>
      </c>
      <c r="AM818" s="68" t="n"/>
      <c r="AN818" s="68" t="n">
        <v>525372</v>
      </c>
      <c r="AO818" s="69" t="inlineStr">
        <is>
          <t>1905, 1930, 1973</t>
        </is>
      </c>
      <c r="AP818" s="70" t="n">
        <v>1973</v>
      </c>
      <c r="AQ818" s="74" t="n">
        <v>2.7</v>
      </c>
      <c r="AR818" s="74" t="n">
        <v>2.36</v>
      </c>
      <c r="AS818" s="74" t="n">
        <v>32.2</v>
      </c>
      <c r="AT818" s="74" t="n">
        <v>32.16</v>
      </c>
      <c r="AU818" s="74" t="n"/>
      <c r="AV818" s="74" t="n">
        <v>10.824336101</v>
      </c>
      <c r="AW818" s="74" t="n">
        <v>9.441285597</v>
      </c>
      <c r="AX818" s="75" t="n">
        <v>100</v>
      </c>
      <c r="AY818" s="71" t="n">
        <v>1900000000</v>
      </c>
      <c r="AZ818" s="71" t="n">
        <v>1900000000</v>
      </c>
      <c r="BA818" s="71" t="n">
        <v>66136693.58</v>
      </c>
      <c r="BB818" s="71" t="n">
        <v>57686255</v>
      </c>
      <c r="BC818" s="69" t="inlineStr">
        <is>
          <t>Refinance</t>
        </is>
      </c>
      <c r="BD818" s="69" t="inlineStr">
        <is>
          <t>N</t>
        </is>
      </c>
      <c r="BE818" s="71" t="n">
        <v>531000000</v>
      </c>
      <c r="BF818" s="71" t="n">
        <v>149000000</v>
      </c>
      <c r="BG818" s="71" t="n"/>
      <c r="BH818" s="71" t="n">
        <v>0</v>
      </c>
      <c r="BI818" s="71" t="n">
        <v>0</v>
      </c>
      <c r="BJ818" s="69" t="inlineStr">
        <is>
          <t>N</t>
        </is>
      </c>
      <c r="BK818" s="69" t="inlineStr">
        <is>
          <t>RICHMONT NORTH AMERICA</t>
        </is>
      </c>
      <c r="BL818" s="75" t="n">
        <v>29.99</v>
      </c>
      <c r="BM818" s="73" t="n">
        <v>50252</v>
      </c>
      <c r="BN818" s="69" t="inlineStr">
        <is>
          <t>OMERS Administration Corporation; Crown Olympic Partners LLC</t>
        </is>
      </c>
      <c r="BO818" s="69" t="inlineStr">
        <is>
          <t>GACC</t>
        </is>
      </c>
      <c r="BP818" s="69" t="inlineStr">
        <is>
          <t>Midland Loan Services</t>
        </is>
      </c>
      <c r="BQ818" s="69" t="inlineStr">
        <is>
          <t>KeyBank National Association</t>
        </is>
      </c>
      <c r="BR818" s="69" t="n"/>
      <c r="BS818" s="73" t="n">
        <v>46273</v>
      </c>
      <c r="BU818" s="76">
        <f>IF($C818="","",IFERROR(INDEX(dmName,MATCH($C818,dmID,0)),"Unmapped"))</f>
        <v/>
      </c>
      <c r="BV818" s="76">
        <f>IF($C818="","",IFERROR(INDEX(dmEntity,MATCH($C818,dmID,0)),"Unmapped"))</f>
        <v/>
      </c>
      <c r="BW818" s="77">
        <f>IF($C818="","",IFERROR(INDEX(dmVintage,MATCH($C818,dmID,0)),""))</f>
        <v/>
      </c>
      <c r="BX818" s="78">
        <f>IFERROR(INDEX(dmInclude,MATCH($C818,dmID,0)),0)</f>
        <v/>
      </c>
      <c r="BY818" s="78">
        <f>IF(N($I818)&gt;0,1,0)</f>
        <v/>
      </c>
      <c r="BZ818" s="76">
        <f>IF($AJ818="","Other / Leased Fee",IFERROR(INDEX(mapPTGroup,MATCH(LEFT(TRIM($AJ818),2),mapPTCode,0)),"Other / Leased Fee"))</f>
        <v/>
      </c>
      <c r="CA818" s="76">
        <f>IF(TRIM($AF818&amp;"")="","NR",LEFT(TRIM($AF818),2))</f>
        <v/>
      </c>
      <c r="CB818" s="76">
        <f>IFERROR(LOOKUP(2,1/(LEFT(TRIM($AI818&amp;""),LEN(mapRegion))=mapRegion),mapRegion),"Not Reported")</f>
        <v/>
      </c>
      <c r="CC818" s="76">
        <f>IF($BY818=0,"",IF(TRIM($W818&amp;"")="REO","REO",IF(TRIM($W818&amp;"")="FC","Foreclosure",IF(TRIM($W818&amp;"")="90+","90+ Days Delinquent",IF(TRIM($W818&amp;"")="60","60 Days Delinquent",IF(TRIM($W818&amp;"")="30","30 Days Delinquent",IF($X818="Non-Performing Matured Balloon","Non-Performing Matured Balloon",IF(OR($X818="Late Payment But Less Than 30 Days Delinquent",LEFT($X818&amp;"",20)="Payment Not Received"),"Late / In Grace (&lt;30 Days)",IF($X818="Performing Matured Balloon","Performing Matured Balloon","Current")))))))))</f>
        <v/>
      </c>
      <c r="CD818" s="78">
        <f>IF(OR($CC818="REO",$CC818="Foreclosure",$CC818="90+ Days Delinquent",$CC818="60 Days Delinquent",$CC818="30 Days Delinquent",$CC818="Non-Performing Matured Balloon"),1,0)</f>
        <v/>
      </c>
      <c r="CE818" s="76">
        <f>IF($AB818="Currently special serv","Currently Specially Serviced",IF($AB818="Returned to master serv","Previously Specially Serviced","Never Specially Serviced"))</f>
        <v/>
      </c>
      <c r="CF818" s="78">
        <f>IF($CE818="Currently Specially Serviced",1,0)</f>
        <v/>
      </c>
      <c r="CG818" s="76">
        <f>IF($AA818="Yes","Currently on Watchlist",IF($AA818="Previously","Previously on Watchlist","Never on Watchlist"))</f>
        <v/>
      </c>
      <c r="CH818" s="78">
        <f>IF($CG818="Currently on Watchlist",1,0)</f>
        <v/>
      </c>
      <c r="CI818" s="76">
        <f>IF($Z818="Full Defeasance","Fully Defeased",IF($Z818="Portion Of Loan Previously Defeased","Partially Defeased",IF($Z818="Defeasance Not Allowable","Not Defeased (Not Permitted)","Not Defeased")))</f>
        <v/>
      </c>
      <c r="CJ818" s="78">
        <f>IF($CI818="Fully Defeased",1,0)</f>
        <v/>
      </c>
      <c r="CK818" s="76">
        <f>IF($R818="IO","Full IO",IF(LEFT($R818&amp;"",7)="IO then","Partial IO","Amortizing"))</f>
        <v/>
      </c>
      <c r="CL818" s="78">
        <f>IF($CK818="Full IO",1,0)</f>
        <v/>
      </c>
      <c r="CM818" s="78">
        <f>IF($CK818="Partial IO",1,0)</f>
        <v/>
      </c>
      <c r="CN818" s="76">
        <f>IF(LEFT($F818&amp;"",10)="SPLIT_LOAN","Pari Passu Split","Standalone")</f>
        <v/>
      </c>
      <c r="CO818" s="78">
        <f>IF($CN818="Pari Passu Split",1,0)</f>
        <v/>
      </c>
      <c r="CP818" s="77">
        <f>IF(ISNUMBER($T818),YEAR($T818),"")</f>
        <v/>
      </c>
      <c r="CQ818" s="79">
        <f>IF(ISNUMBER($V818),$V818,IF(ISNUMBER($U818),$U818,""))</f>
        <v/>
      </c>
      <c r="CR818" s="77">
        <f>IF(ISNUMBER($CQ818),YEAR($CQ818),"")</f>
        <v/>
      </c>
      <c r="CS818" s="78">
        <f>IF(ISNUMBER($M818),MAX(0,$M818),IF(TRIM($M818&amp;"")="matured",0,""))</f>
        <v/>
      </c>
      <c r="CT818" s="78">
        <f>IF(AND(ISNUMBER($CS818),N($CS818)&lt;=mMatWindow),1,0)</f>
        <v/>
      </c>
      <c r="CU818" s="80">
        <f>IF(ISNUMBER($J818),$J818/100,"")</f>
        <v/>
      </c>
      <c r="CV818" s="81">
        <f>IF(ISNUMBER($AQ818),$AQ818,"")</f>
        <v/>
      </c>
      <c r="CW818" s="81">
        <f>IF(ISNUMBER($AR818),$AR818,"")</f>
        <v/>
      </c>
      <c r="CX818" s="82">
        <f>IF(ISNUMBER($AS818),$AS818/100,"")</f>
        <v/>
      </c>
      <c r="CY818" s="82">
        <f>IF(ISNUMBER($AT818),$AT818/100,"")</f>
        <v/>
      </c>
      <c r="CZ818" s="82">
        <f>IF(ISNUMBER($AU818),$AU818/100,"")</f>
        <v/>
      </c>
      <c r="DA818" s="82">
        <f>IF(ISNUMBER($AV818),$AV818/100,"")</f>
        <v/>
      </c>
      <c r="DB818" s="82">
        <f>IF(ISNUMBER($AW818),$AW818/100,"")</f>
        <v/>
      </c>
      <c r="DC818" s="82">
        <f>IF(ISNUMBER($AX818),$AX818/100,"")</f>
        <v/>
      </c>
      <c r="DD818" s="77">
        <f>IFERROR(VALUE(LEFT(TRIM($AO818&amp;""),4)),"")</f>
        <v/>
      </c>
      <c r="DE818" s="78">
        <f>IF(AND($BY818=1,$BX818=1,OR(fDeal="All Deals",$BU818=fDeal),OR(fEntity="All Entities",$BV818=fEntity),OR(fPType="All Property Types",$BZ818=fPType),OR(fDefeased="Include",$CJ818=0)),1,0)</f>
        <v/>
      </c>
      <c r="DF818" s="83">
        <f>$DE818*N($I818)</f>
        <v/>
      </c>
      <c r="DG818" s="78">
        <f>IF($DE818=1,IF(COUNTIFS($F$8:$F818,$F818,$DE$8:$DE818,1)=1,1,0),0)</f>
        <v/>
      </c>
      <c r="DH818" s="83">
        <f>IF($DG818=1,SUMIFS($DF$8:$DF$1600,$F$8:$F$1600,$F818),0)</f>
        <v/>
      </c>
      <c r="DI818" s="78">
        <f>IF($DG818=1,COUNTIFS($F$8:$F$1600,$F818,$DE$8:$DE$1600,1),0)</f>
        <v/>
      </c>
      <c r="DJ818" s="84">
        <f>IF($DG818=1,$DH818+(100000-ROW())/mTieBreak,0)</f>
        <v/>
      </c>
    </row>
    <row r="819">
      <c r="B819" s="68" t="n">
        <v>4</v>
      </c>
      <c r="C819" s="69" t="inlineStr">
        <is>
          <t>DBJ17C06</t>
        </is>
      </c>
      <c r="D819" s="69" t="inlineStr">
        <is>
          <t>4.000</t>
        </is>
      </c>
      <c r="E819" s="69" t="inlineStr">
        <is>
          <t>Starwood Capital Group Hotel Portfolio</t>
        </is>
      </c>
      <c r="F819" s="69" t="inlineStr">
        <is>
          <t>SPLIT_LOAN_01005</t>
        </is>
      </c>
      <c r="G819" s="70" t="n">
        <v>1005</v>
      </c>
      <c r="H819" s="71" t="n">
        <v>80000000</v>
      </c>
      <c r="I819" s="71" t="n">
        <v>48857579.96000001</v>
      </c>
      <c r="J819" s="72" t="n">
        <v>4.486</v>
      </c>
      <c r="K819" s="69" t="inlineStr">
        <is>
          <t>Fixed rate</t>
        </is>
      </c>
      <c r="L819" s="68" t="n">
        <v>120</v>
      </c>
      <c r="M819" s="68" t="n">
        <v>9</v>
      </c>
      <c r="N819" s="68" t="n">
        <v>120</v>
      </c>
      <c r="O819" s="68" t="n">
        <v>120</v>
      </c>
      <c r="P819" s="68" t="n">
        <v>9</v>
      </c>
      <c r="Q819" s="68" t="n">
        <v>111</v>
      </c>
      <c r="R819" s="69" t="inlineStr">
        <is>
          <t>IO</t>
        </is>
      </c>
      <c r="S819" s="69" t="inlineStr">
        <is>
          <t>Yes</t>
        </is>
      </c>
      <c r="T819" s="73" t="n">
        <v>42887</v>
      </c>
      <c r="U819" s="73" t="n">
        <v>46539</v>
      </c>
      <c r="V819" s="73" t="n"/>
      <c r="W819" s="69" t="n"/>
      <c r="X819" s="69" t="inlineStr">
        <is>
          <t>Current</t>
        </is>
      </c>
      <c r="Y819" s="68" t="n"/>
      <c r="Z819" s="69" t="inlineStr">
        <is>
          <t>Defeasance Not Allowable</t>
        </is>
      </c>
      <c r="AA819" s="69" t="inlineStr">
        <is>
          <t>Previously</t>
        </is>
      </c>
      <c r="AB819" s="69" t="inlineStr">
        <is>
          <t>Currently special serv</t>
        </is>
      </c>
      <c r="AC819" s="73" t="n">
        <v>45707</v>
      </c>
      <c r="AD819" s="69" t="inlineStr">
        <is>
          <t>Imminent Monetary Default (excluding Balloon/Maturity Default &amp; Single Tenant Bankruptcy/Vacate)</t>
        </is>
      </c>
      <c r="AE819" s="69" t="inlineStr">
        <is>
          <t>Full Payoff</t>
        </is>
      </c>
      <c r="AF819" s="69" t="inlineStr">
        <is>
          <t>CA-35.325942705% TX-19.024881849% WA-6.013664355% MI-5.811947998% IN-5.168978207% OH-4.866404440% VA-3.883035963% PA-3.668713661% OR-2.546667050% MN-2.377576501% KY-2.080198940% NJ-2.042376845% AZ-1.979340076% NC-1.727195659% IL-1.323762947% WY-1.185082009% CT-0.974230796%</t>
        </is>
      </c>
      <c r="AG819" s="69" t="n"/>
      <c r="AH819" s="69" t="inlineStr">
        <is>
          <t>San Jose-Sunnyvale-Santa Clara, CA-16.969374514% San Francisco-Oakland-Fremont, CA-7.929967641% Seattle-Tacoma-Bellevue, WA-6.013664355% Chico, CA-5.320659052% Sacramento-Roseville-Folsom, CA-5.105941499% Dallas-Fort Worth-Arlington, TX-4.430817515% Virginia Beach-Chesapeake-Norfolk, VA-NC-3.883035963% Toledo, OH-3.706535735% Waco, TX-3.656104911% Grand Rapids-Wyoming-Kentwood, MI-3.265280948% Tyler, TX-2.950099762% Ann Arbor, MI-2.546667050% Portland-Vancouver-Hillsboro, OR-WA-2.546667050% Louisville/Jefferson County, KY-IN-2.080198940% New York-Newark-Jersey City, NY-NJ-2.042376845% Minneapolis-St. Paul-Bloomington, MN-WI-2.017162129% Phoenix-Mesa-Chandler, AZ-1.979340076% Kokomo, IN-1.865875205% South Bend-Mishawaka, IN-MI-1.865875205% Wichita Falls, TX-1.777623720% Paris, TX-1.765016382% Morehead City, NC-1.727195659% Lufkin, TX-1.601122079% Harrisburg-Carlisle, PA-1.588514701% Indianapolis-Carmel-Greenwood, IN-1.437227797% Chicago-Naperville-Elgin, IL-IN-1.323762947% Cheyenne, WY-1.185082009% Akron, OH-1.159868705% Sunbury, PA-1.084224557% Longview, TX-1.059009801% Selinsgrove, PA-0.995974403% Norwich-New London-Willimantic, CT-0.974230796% Houston-Pasadena-The Woodlands, TX-0.915186856% Huntsville, TX-0.869900823% Mankato, MN-0.360414372%</t>
        </is>
      </c>
      <c r="AI819" s="69" t="inlineStr">
        <is>
          <t>West / Pacific North-43.886274109% South / Central West-19.024881849% Midwest / Central East-17.171093592% Northeast / Mid-Atlantic-5.711090506% South / Atlantic-5.610231622% West / Mountain-3.164422085% Midwest / Central West-2.377576501% South / Central East-2.080198940% Northeast / New England-0.974230796%</t>
        </is>
      </c>
      <c r="AJ819" s="69" t="inlineStr">
        <is>
          <t>HT</t>
        </is>
      </c>
      <c r="AK819" s="69" t="n"/>
      <c r="AL819" s="68" t="n">
        <v>65</v>
      </c>
      <c r="AM819" s="68" t="n">
        <v>6370</v>
      </c>
      <c r="AN819" s="68" t="n"/>
      <c r="AO819" s="69" t="n"/>
      <c r="AP819" s="70" t="n">
        <v>2017</v>
      </c>
      <c r="AQ819" s="74" t="n">
        <v>2.72</v>
      </c>
      <c r="AR819" s="74" t="n">
        <v>1.11</v>
      </c>
      <c r="AS819" s="74" t="n">
        <v>60.4</v>
      </c>
      <c r="AT819" s="74" t="n">
        <v>36.88</v>
      </c>
      <c r="AU819" s="74" t="n">
        <v>60.4</v>
      </c>
      <c r="AV819" s="74" t="n">
        <v>12.356331006</v>
      </c>
      <c r="AW819" s="74" t="n">
        <v>10.304982738</v>
      </c>
      <c r="AX819" s="75" t="n">
        <v>63</v>
      </c>
      <c r="AY819" s="71" t="n">
        <v>956000000</v>
      </c>
      <c r="AZ819" s="71" t="n">
        <v>956000000</v>
      </c>
      <c r="BA819" s="71" t="n">
        <v>71329392</v>
      </c>
      <c r="BB819" s="71" t="n">
        <v>29252658.6</v>
      </c>
      <c r="BC819" s="69" t="inlineStr">
        <is>
          <t>Refinance</t>
        </is>
      </c>
      <c r="BD819" s="69" t="inlineStr">
        <is>
          <t>Y</t>
        </is>
      </c>
      <c r="BE819" s="71" t="n">
        <v>303692609.83</v>
      </c>
      <c r="BF819" s="71" t="n"/>
      <c r="BG819" s="71" t="n"/>
      <c r="BH819" s="71" t="n">
        <v>0</v>
      </c>
      <c r="BI819" s="71" t="n">
        <v>0</v>
      </c>
      <c r="BJ819" s="69" t="inlineStr">
        <is>
          <t>Y</t>
        </is>
      </c>
      <c r="BK819" s="69" t="n"/>
      <c r="BL819" s="75" t="n"/>
      <c r="BM819" s="73" t="n"/>
      <c r="BN819" s="69" t="inlineStr">
        <is>
          <t>SCG Hotel Investors Holdings, L.P.</t>
        </is>
      </c>
      <c r="BO819" s="69" t="inlineStr">
        <is>
          <t>JPMorgan Chase / GACC</t>
        </is>
      </c>
      <c r="BP819" s="69" t="inlineStr">
        <is>
          <t>Midland Loan Services</t>
        </is>
      </c>
      <c r="BQ819" s="69" t="inlineStr">
        <is>
          <t>K-Star Asset Management LLC</t>
        </is>
      </c>
      <c r="BR819" s="69" t="inlineStr">
        <is>
          <t>Partial Liquidation (Curtailment)</t>
        </is>
      </c>
      <c r="BS819" s="73" t="n">
        <v>46273</v>
      </c>
      <c r="BU819" s="76">
        <f>IF($C819="","",IFERROR(INDEX(dmName,MATCH($C819,dmID,0)),"Unmapped"))</f>
        <v/>
      </c>
      <c r="BV819" s="76">
        <f>IF($C819="","",IFERROR(INDEX(dmEntity,MATCH($C819,dmID,0)),"Unmapped"))</f>
        <v/>
      </c>
      <c r="BW819" s="77">
        <f>IF($C819="","",IFERROR(INDEX(dmVintage,MATCH($C819,dmID,0)),""))</f>
        <v/>
      </c>
      <c r="BX819" s="78">
        <f>IFERROR(INDEX(dmInclude,MATCH($C819,dmID,0)),0)</f>
        <v/>
      </c>
      <c r="BY819" s="78">
        <f>IF(N($I819)&gt;0,1,0)</f>
        <v/>
      </c>
      <c r="BZ819" s="76">
        <f>IF($AJ819="","Other / Leased Fee",IFERROR(INDEX(mapPTGroup,MATCH(LEFT(TRIM($AJ819),2),mapPTCode,0)),"Other / Leased Fee"))</f>
        <v/>
      </c>
      <c r="CA819" s="76">
        <f>IF(TRIM($AF819&amp;"")="","NR",LEFT(TRIM($AF819),2))</f>
        <v/>
      </c>
      <c r="CB819" s="76">
        <f>IFERROR(LOOKUP(2,1/(LEFT(TRIM($AI819&amp;""),LEN(mapRegion))=mapRegion),mapRegion),"Not Reported")</f>
        <v/>
      </c>
      <c r="CC819" s="76">
        <f>IF($BY819=0,"",IF(TRIM($W819&amp;"")="REO","REO",IF(TRIM($W819&amp;"")="FC","Foreclosure",IF(TRIM($W819&amp;"")="90+","90+ Days Delinquent",IF(TRIM($W819&amp;"")="60","60 Days Delinquent",IF(TRIM($W819&amp;"")="30","30 Days Delinquent",IF($X819="Non-Performing Matured Balloon","Non-Performing Matured Balloon",IF(OR($X819="Late Payment But Less Than 30 Days Delinquent",LEFT($X819&amp;"",20)="Payment Not Received"),"Late / In Grace (&lt;30 Days)",IF($X819="Performing Matured Balloon","Performing Matured Balloon","Current")))))))))</f>
        <v/>
      </c>
      <c r="CD819" s="78">
        <f>IF(OR($CC819="REO",$CC819="Foreclosure",$CC819="90+ Days Delinquent",$CC819="60 Days Delinquent",$CC819="30 Days Delinquent",$CC819="Non-Performing Matured Balloon"),1,0)</f>
        <v/>
      </c>
      <c r="CE819" s="76">
        <f>IF($AB819="Currently special serv","Currently Specially Serviced",IF($AB819="Returned to master serv","Previously Specially Serviced","Never Specially Serviced"))</f>
        <v/>
      </c>
      <c r="CF819" s="78">
        <f>IF($CE819="Currently Specially Serviced",1,0)</f>
        <v/>
      </c>
      <c r="CG819" s="76">
        <f>IF($AA819="Yes","Currently on Watchlist",IF($AA819="Previously","Previously on Watchlist","Never on Watchlist"))</f>
        <v/>
      </c>
      <c r="CH819" s="78">
        <f>IF($CG819="Currently on Watchlist",1,0)</f>
        <v/>
      </c>
      <c r="CI819" s="76">
        <f>IF($Z819="Full Defeasance","Fully Defeased",IF($Z819="Portion Of Loan Previously Defeased","Partially Defeased",IF($Z819="Defeasance Not Allowable","Not Defeased (Not Permitted)","Not Defeased")))</f>
        <v/>
      </c>
      <c r="CJ819" s="78">
        <f>IF($CI819="Fully Defeased",1,0)</f>
        <v/>
      </c>
      <c r="CK819" s="76">
        <f>IF($R819="IO","Full IO",IF(LEFT($R819&amp;"",7)="IO then","Partial IO","Amortizing"))</f>
        <v/>
      </c>
      <c r="CL819" s="78">
        <f>IF($CK819="Full IO",1,0)</f>
        <v/>
      </c>
      <c r="CM819" s="78">
        <f>IF($CK819="Partial IO",1,0)</f>
        <v/>
      </c>
      <c r="CN819" s="76">
        <f>IF(LEFT($F819&amp;"",10)="SPLIT_LOAN","Pari Passu Split","Standalone")</f>
        <v/>
      </c>
      <c r="CO819" s="78">
        <f>IF($CN819="Pari Passu Split",1,0)</f>
        <v/>
      </c>
      <c r="CP819" s="77">
        <f>IF(ISNUMBER($T819),YEAR($T819),"")</f>
        <v/>
      </c>
      <c r="CQ819" s="79">
        <f>IF(ISNUMBER($V819),$V819,IF(ISNUMBER($U819),$U819,""))</f>
        <v/>
      </c>
      <c r="CR819" s="77">
        <f>IF(ISNUMBER($CQ819),YEAR($CQ819),"")</f>
        <v/>
      </c>
      <c r="CS819" s="78">
        <f>IF(ISNUMBER($M819),MAX(0,$M819),IF(TRIM($M819&amp;"")="matured",0,""))</f>
        <v/>
      </c>
      <c r="CT819" s="78">
        <f>IF(AND(ISNUMBER($CS819),N($CS819)&lt;=mMatWindow),1,0)</f>
        <v/>
      </c>
      <c r="CU819" s="80">
        <f>IF(ISNUMBER($J819),$J819/100,"")</f>
        <v/>
      </c>
      <c r="CV819" s="81">
        <f>IF(ISNUMBER($AQ819),$AQ819,"")</f>
        <v/>
      </c>
      <c r="CW819" s="81">
        <f>IF(ISNUMBER($AR819),$AR819,"")</f>
        <v/>
      </c>
      <c r="CX819" s="82">
        <f>IF(ISNUMBER($AS819),$AS819/100,"")</f>
        <v/>
      </c>
      <c r="CY819" s="82">
        <f>IF(ISNUMBER($AT819),$AT819/100,"")</f>
        <v/>
      </c>
      <c r="CZ819" s="82">
        <f>IF(ISNUMBER($AU819),$AU819/100,"")</f>
        <v/>
      </c>
      <c r="DA819" s="82">
        <f>IF(ISNUMBER($AV819),$AV819/100,"")</f>
        <v/>
      </c>
      <c r="DB819" s="82">
        <f>IF(ISNUMBER($AW819),$AW819/100,"")</f>
        <v/>
      </c>
      <c r="DC819" s="82">
        <f>IF(ISNUMBER($AX819),$AX819/100,"")</f>
        <v/>
      </c>
      <c r="DD819" s="77">
        <f>IFERROR(VALUE(LEFT(TRIM($AO819&amp;""),4)),"")</f>
        <v/>
      </c>
      <c r="DE819" s="78">
        <f>IF(AND($BY819=1,$BX819=1,OR(fDeal="All Deals",$BU819=fDeal),OR(fEntity="All Entities",$BV819=fEntity),OR(fPType="All Property Types",$BZ819=fPType),OR(fDefeased="Include",$CJ819=0)),1,0)</f>
        <v/>
      </c>
      <c r="DF819" s="83">
        <f>$DE819*N($I819)</f>
        <v/>
      </c>
      <c r="DG819" s="78">
        <f>IF($DE819=1,IF(COUNTIFS($F$8:$F819,$F819,$DE$8:$DE819,1)=1,1,0),0)</f>
        <v/>
      </c>
      <c r="DH819" s="83">
        <f>IF($DG819=1,SUMIFS($DF$8:$DF$1600,$F$8:$F$1600,$F819),0)</f>
        <v/>
      </c>
      <c r="DI819" s="78">
        <f>IF($DG819=1,COUNTIFS($F$8:$F$1600,$F819,$DE$8:$DE$1600,1),0)</f>
        <v/>
      </c>
      <c r="DJ819" s="84">
        <f>IF($DG819=1,$DH819+(100000-ROW())/mTieBreak,0)</f>
        <v/>
      </c>
    </row>
    <row r="820">
      <c r="B820" s="68" t="n">
        <v>5</v>
      </c>
      <c r="C820" s="69" t="inlineStr">
        <is>
          <t>DBJ17C06</t>
        </is>
      </c>
      <c r="D820" s="69" t="inlineStr">
        <is>
          <t>5.000</t>
        </is>
      </c>
      <c r="E820" s="69" t="inlineStr">
        <is>
          <t>Vineyards at Forest Edge</t>
        </is>
      </c>
      <c r="F820" s="69" t="inlineStr">
        <is>
          <t>LNDBJ17C06-5.000</t>
        </is>
      </c>
      <c r="G820" s="70" t="n"/>
      <c r="H820" s="71" t="n">
        <v>68110000</v>
      </c>
      <c r="I820" s="71" t="n">
        <v>56637090.97997076</v>
      </c>
      <c r="J820" s="72" t="n">
        <v>4.71</v>
      </c>
      <c r="K820" s="69" t="inlineStr">
        <is>
          <t>Fixed rate</t>
        </is>
      </c>
      <c r="L820" s="68" t="n">
        <v>120</v>
      </c>
      <c r="M820" s="68" t="n">
        <v>9</v>
      </c>
      <c r="N820" s="68" t="n">
        <v>360</v>
      </c>
      <c r="O820" s="68" t="n"/>
      <c r="P820" s="68" t="n"/>
      <c r="Q820" s="68" t="n">
        <v>111</v>
      </c>
      <c r="R820" s="69" t="n"/>
      <c r="S820" s="69" t="inlineStr">
        <is>
          <t>No</t>
        </is>
      </c>
      <c r="T820" s="73" t="n">
        <v>42887</v>
      </c>
      <c r="U820" s="73" t="n">
        <v>46544</v>
      </c>
      <c r="V820" s="73" t="n"/>
      <c r="W820" s="69" t="n"/>
      <c r="X820" s="69" t="inlineStr">
        <is>
          <t>Current</t>
        </is>
      </c>
      <c r="Y820" s="68" t="n"/>
      <c r="Z820" s="69" t="inlineStr">
        <is>
          <t>Full Defeasance</t>
        </is>
      </c>
      <c r="AA820" s="69" t="inlineStr">
        <is>
          <t>Previously</t>
        </is>
      </c>
      <c r="AB820" s="69" t="inlineStr">
        <is>
          <t>Never special serv</t>
        </is>
      </c>
      <c r="AC820" s="73" t="n"/>
      <c r="AD820" s="69" t="n"/>
      <c r="AE820" s="69" t="n"/>
      <c r="AF820" s="69" t="inlineStr">
        <is>
          <t>TX</t>
        </is>
      </c>
      <c r="AG820" s="69" t="inlineStr">
        <is>
          <t>Dallas</t>
        </is>
      </c>
      <c r="AH820" s="69" t="inlineStr">
        <is>
          <t>Dallas-Fort Worth-Arlington, TX</t>
        </is>
      </c>
      <c r="AI820" s="69" t="inlineStr">
        <is>
          <t>South / Central West</t>
        </is>
      </c>
      <c r="AJ820" s="69" t="inlineStr">
        <is>
          <t>MF</t>
        </is>
      </c>
      <c r="AK820" s="69" t="inlineStr">
        <is>
          <t>Garden</t>
        </is>
      </c>
      <c r="AL820" s="68" t="n">
        <v>1</v>
      </c>
      <c r="AM820" s="68" t="n">
        <v>1218</v>
      </c>
      <c r="AN820" s="68" t="n"/>
      <c r="AO820" s="69" t="inlineStr">
        <is>
          <t>1984</t>
        </is>
      </c>
      <c r="AP820" s="70" t="n">
        <v>2015</v>
      </c>
      <c r="AQ820" s="74" t="n">
        <v>1.47</v>
      </c>
      <c r="AR820" s="74" t="n">
        <v>0.9399999999999999</v>
      </c>
      <c r="AS820" s="74" t="n">
        <v>69.5</v>
      </c>
      <c r="AT820" s="74" t="n">
        <v>57.79</v>
      </c>
      <c r="AU820" s="74" t="n">
        <v>56.6</v>
      </c>
      <c r="AV820" s="74" t="n">
        <v>9.152769534999999</v>
      </c>
      <c r="AW820" s="74" t="n">
        <v>6.887017293</v>
      </c>
      <c r="AX820" s="75" t="n">
        <v>87</v>
      </c>
      <c r="AY820" s="71" t="n">
        <v>98000000</v>
      </c>
      <c r="AZ820" s="71" t="n">
        <v>98000000</v>
      </c>
      <c r="BA820" s="71" t="n">
        <v>6233951.33</v>
      </c>
      <c r="BB820" s="71" t="n">
        <v>3992991.36</v>
      </c>
      <c r="BC820" s="69" t="inlineStr">
        <is>
          <t>Refinance</t>
        </is>
      </c>
      <c r="BD820" s="69" t="inlineStr">
        <is>
          <t>N</t>
        </is>
      </c>
      <c r="BE820" s="71" t="n"/>
      <c r="BF820" s="71" t="n"/>
      <c r="BG820" s="71" t="n"/>
      <c r="BH820" s="71" t="n">
        <v>0</v>
      </c>
      <c r="BI820" s="71" t="n">
        <v>0</v>
      </c>
      <c r="BJ820" s="69" t="inlineStr">
        <is>
          <t>N</t>
        </is>
      </c>
      <c r="BK820" s="69" t="n"/>
      <c r="BL820" s="75" t="n"/>
      <c r="BM820" s="73" t="n"/>
      <c r="BN820" s="69" t="inlineStr">
        <is>
          <t>Irving Langer; Barry J. Leon</t>
        </is>
      </c>
      <c r="BO820" s="69" t="inlineStr">
        <is>
          <t>GACC</t>
        </is>
      </c>
      <c r="BP820" s="69" t="inlineStr">
        <is>
          <t>Midland Loan Services</t>
        </is>
      </c>
      <c r="BQ820" s="69" t="inlineStr">
        <is>
          <t>K-Star Asset Management LLC</t>
        </is>
      </c>
      <c r="BR820" s="69" t="n"/>
      <c r="BS820" s="73" t="n">
        <v>46273</v>
      </c>
      <c r="BU820" s="76">
        <f>IF($C820="","",IFERROR(INDEX(dmName,MATCH($C820,dmID,0)),"Unmapped"))</f>
        <v/>
      </c>
      <c r="BV820" s="76">
        <f>IF($C820="","",IFERROR(INDEX(dmEntity,MATCH($C820,dmID,0)),"Unmapped"))</f>
        <v/>
      </c>
      <c r="BW820" s="77">
        <f>IF($C820="","",IFERROR(INDEX(dmVintage,MATCH($C820,dmID,0)),""))</f>
        <v/>
      </c>
      <c r="BX820" s="78">
        <f>IFERROR(INDEX(dmInclude,MATCH($C820,dmID,0)),0)</f>
        <v/>
      </c>
      <c r="BY820" s="78">
        <f>IF(N($I820)&gt;0,1,0)</f>
        <v/>
      </c>
      <c r="BZ820" s="76">
        <f>IF($AJ820="","Other / Leased Fee",IFERROR(INDEX(mapPTGroup,MATCH(LEFT(TRIM($AJ820),2),mapPTCode,0)),"Other / Leased Fee"))</f>
        <v/>
      </c>
      <c r="CA820" s="76">
        <f>IF(TRIM($AF820&amp;"")="","NR",LEFT(TRIM($AF820),2))</f>
        <v/>
      </c>
      <c r="CB820" s="76">
        <f>IFERROR(LOOKUP(2,1/(LEFT(TRIM($AI820&amp;""),LEN(mapRegion))=mapRegion),mapRegion),"Not Reported")</f>
        <v/>
      </c>
      <c r="CC820" s="76">
        <f>IF($BY820=0,"",IF(TRIM($W820&amp;"")="REO","REO",IF(TRIM($W820&amp;"")="FC","Foreclosure",IF(TRIM($W820&amp;"")="90+","90+ Days Delinquent",IF(TRIM($W820&amp;"")="60","60 Days Delinquent",IF(TRIM($W820&amp;"")="30","30 Days Delinquent",IF($X820="Non-Performing Matured Balloon","Non-Performing Matured Balloon",IF(OR($X820="Late Payment But Less Than 30 Days Delinquent",LEFT($X820&amp;"",20)="Payment Not Received"),"Late / In Grace (&lt;30 Days)",IF($X820="Performing Matured Balloon","Performing Matured Balloon","Current")))))))))</f>
        <v/>
      </c>
      <c r="CD820" s="78">
        <f>IF(OR($CC820="REO",$CC820="Foreclosure",$CC820="90+ Days Delinquent",$CC820="60 Days Delinquent",$CC820="30 Days Delinquent",$CC820="Non-Performing Matured Balloon"),1,0)</f>
        <v/>
      </c>
      <c r="CE820" s="76">
        <f>IF($AB820="Currently special serv","Currently Specially Serviced",IF($AB820="Returned to master serv","Previously Specially Serviced","Never Specially Serviced"))</f>
        <v/>
      </c>
      <c r="CF820" s="78">
        <f>IF($CE820="Currently Specially Serviced",1,0)</f>
        <v/>
      </c>
      <c r="CG820" s="76">
        <f>IF($AA820="Yes","Currently on Watchlist",IF($AA820="Previously","Previously on Watchlist","Never on Watchlist"))</f>
        <v/>
      </c>
      <c r="CH820" s="78">
        <f>IF($CG820="Currently on Watchlist",1,0)</f>
        <v/>
      </c>
      <c r="CI820" s="76">
        <f>IF($Z820="Full Defeasance","Fully Defeased",IF($Z820="Portion Of Loan Previously Defeased","Partially Defeased",IF($Z820="Defeasance Not Allowable","Not Defeased (Not Permitted)","Not Defeased")))</f>
        <v/>
      </c>
      <c r="CJ820" s="78">
        <f>IF($CI820="Fully Defeased",1,0)</f>
        <v/>
      </c>
      <c r="CK820" s="76">
        <f>IF($R820="IO","Full IO",IF(LEFT($R820&amp;"",7)="IO then","Partial IO","Amortizing"))</f>
        <v/>
      </c>
      <c r="CL820" s="78">
        <f>IF($CK820="Full IO",1,0)</f>
        <v/>
      </c>
      <c r="CM820" s="78">
        <f>IF($CK820="Partial IO",1,0)</f>
        <v/>
      </c>
      <c r="CN820" s="76">
        <f>IF(LEFT($F820&amp;"",10)="SPLIT_LOAN","Pari Passu Split","Standalone")</f>
        <v/>
      </c>
      <c r="CO820" s="78">
        <f>IF($CN820="Pari Passu Split",1,0)</f>
        <v/>
      </c>
      <c r="CP820" s="77">
        <f>IF(ISNUMBER($T820),YEAR($T820),"")</f>
        <v/>
      </c>
      <c r="CQ820" s="79">
        <f>IF(ISNUMBER($V820),$V820,IF(ISNUMBER($U820),$U820,""))</f>
        <v/>
      </c>
      <c r="CR820" s="77">
        <f>IF(ISNUMBER($CQ820),YEAR($CQ820),"")</f>
        <v/>
      </c>
      <c r="CS820" s="78">
        <f>IF(ISNUMBER($M820),MAX(0,$M820),IF(TRIM($M820&amp;"")="matured",0,""))</f>
        <v/>
      </c>
      <c r="CT820" s="78">
        <f>IF(AND(ISNUMBER($CS820),N($CS820)&lt;=mMatWindow),1,0)</f>
        <v/>
      </c>
      <c r="CU820" s="80">
        <f>IF(ISNUMBER($J820),$J820/100,"")</f>
        <v/>
      </c>
      <c r="CV820" s="81">
        <f>IF(ISNUMBER($AQ820),$AQ820,"")</f>
        <v/>
      </c>
      <c r="CW820" s="81">
        <f>IF(ISNUMBER($AR820),$AR820,"")</f>
        <v/>
      </c>
      <c r="CX820" s="82">
        <f>IF(ISNUMBER($AS820),$AS820/100,"")</f>
        <v/>
      </c>
      <c r="CY820" s="82">
        <f>IF(ISNUMBER($AT820),$AT820/100,"")</f>
        <v/>
      </c>
      <c r="CZ820" s="82">
        <f>IF(ISNUMBER($AU820),$AU820/100,"")</f>
        <v/>
      </c>
      <c r="DA820" s="82">
        <f>IF(ISNUMBER($AV820),$AV820/100,"")</f>
        <v/>
      </c>
      <c r="DB820" s="82">
        <f>IF(ISNUMBER($AW820),$AW820/100,"")</f>
        <v/>
      </c>
      <c r="DC820" s="82">
        <f>IF(ISNUMBER($AX820),$AX820/100,"")</f>
        <v/>
      </c>
      <c r="DD820" s="77">
        <f>IFERROR(VALUE(LEFT(TRIM($AO820&amp;""),4)),"")</f>
        <v/>
      </c>
      <c r="DE820" s="78">
        <f>IF(AND($BY820=1,$BX820=1,OR(fDeal="All Deals",$BU820=fDeal),OR(fEntity="All Entities",$BV820=fEntity),OR(fPType="All Property Types",$BZ820=fPType),OR(fDefeased="Include",$CJ820=0)),1,0)</f>
        <v/>
      </c>
      <c r="DF820" s="83">
        <f>$DE820*N($I820)</f>
        <v/>
      </c>
      <c r="DG820" s="78">
        <f>IF($DE820=1,IF(COUNTIFS($F$8:$F820,$F820,$DE$8:$DE820,1)=1,1,0),0)</f>
        <v/>
      </c>
      <c r="DH820" s="83">
        <f>IF($DG820=1,SUMIFS($DF$8:$DF$1600,$F$8:$F$1600,$F820),0)</f>
        <v/>
      </c>
      <c r="DI820" s="78">
        <f>IF($DG820=1,COUNTIFS($F$8:$F$1600,$F820,$DE$8:$DE$1600,1),0)</f>
        <v/>
      </c>
      <c r="DJ820" s="84">
        <f>IF($DG820=1,$DH820+(100000-ROW())/mTieBreak,0)</f>
        <v/>
      </c>
    </row>
    <row r="821">
      <c r="B821" s="68" t="n">
        <v>6</v>
      </c>
      <c r="C821" s="69" t="inlineStr">
        <is>
          <t>DBJ17C06</t>
        </is>
      </c>
      <c r="D821" s="69" t="inlineStr">
        <is>
          <t>6.TR</t>
        </is>
      </c>
      <c r="E821" s="69" t="inlineStr">
        <is>
          <t>211 Main Street - Trust</t>
        </is>
      </c>
      <c r="F821" s="69" t="inlineStr">
        <is>
          <t>SPLIT_LOAN_00991</t>
        </is>
      </c>
      <c r="G821" s="70" t="n">
        <v>991</v>
      </c>
      <c r="H821" s="71" t="n">
        <v>60000000</v>
      </c>
      <c r="I821" s="71" t="n">
        <v>57200399.47998001</v>
      </c>
      <c r="J821" s="72" t="n">
        <v>3.5547</v>
      </c>
      <c r="K821" s="69" t="inlineStr">
        <is>
          <t>Fixed rate</t>
        </is>
      </c>
      <c r="L821" s="68" t="n">
        <v>132</v>
      </c>
      <c r="M821" s="68" t="n">
        <v>19</v>
      </c>
      <c r="N821" s="68" t="n">
        <v>444</v>
      </c>
      <c r="O821" s="68" t="n">
        <v>86</v>
      </c>
      <c r="P821" s="68" t="n">
        <v>0</v>
      </c>
      <c r="Q821" s="68" t="n">
        <v>113</v>
      </c>
      <c r="R821" s="69" t="inlineStr">
        <is>
          <t>IO then Formula</t>
        </is>
      </c>
      <c r="S821" s="69" t="inlineStr">
        <is>
          <t>No</t>
        </is>
      </c>
      <c r="T821" s="73" t="n">
        <v>42826</v>
      </c>
      <c r="U821" s="73" t="n">
        <v>46849</v>
      </c>
      <c r="V821" s="73" t="n"/>
      <c r="W821" s="69" t="n"/>
      <c r="X821" s="69" t="inlineStr">
        <is>
          <t>Current</t>
        </is>
      </c>
      <c r="Y821" s="68" t="n"/>
      <c r="Z821" s="69" t="inlineStr">
        <is>
          <t>No Defeasance Occurred</t>
        </is>
      </c>
      <c r="AA821" s="69" t="inlineStr">
        <is>
          <t>Yes</t>
        </is>
      </c>
      <c r="AB821" s="69" t="inlineStr">
        <is>
          <t>Returned to master serv</t>
        </is>
      </c>
      <c r="AC821" s="73" t="n"/>
      <c r="AD821" s="69" t="inlineStr">
        <is>
          <t>Imminent Monetary Default (Balloon/Maturity Default)</t>
        </is>
      </c>
      <c r="AE821" s="69" t="inlineStr">
        <is>
          <t>Resolved</t>
        </is>
      </c>
      <c r="AF821" s="69" t="inlineStr">
        <is>
          <t>CA</t>
        </is>
      </c>
      <c r="AG821" s="69" t="inlineStr">
        <is>
          <t>San Francisco</t>
        </is>
      </c>
      <c r="AH821" s="69" t="inlineStr">
        <is>
          <t>San Francisco-Oakland-Fremont, CA</t>
        </is>
      </c>
      <c r="AI821" s="69" t="inlineStr">
        <is>
          <t>West / Pacific North</t>
        </is>
      </c>
      <c r="AJ821" s="69" t="inlineStr">
        <is>
          <t>OF</t>
        </is>
      </c>
      <c r="AK821" s="69" t="inlineStr">
        <is>
          <t>CBD</t>
        </is>
      </c>
      <c r="AL821" s="68" t="n">
        <v>1</v>
      </c>
      <c r="AM821" s="68" t="n"/>
      <c r="AN821" s="68" t="n">
        <v>417266</v>
      </c>
      <c r="AO821" s="69" t="inlineStr">
        <is>
          <t>1973</t>
        </is>
      </c>
      <c r="AP821" s="70" t="n">
        <v>1998</v>
      </c>
      <c r="AQ821" s="74" t="n">
        <v>2.49</v>
      </c>
      <c r="AR821" s="74" t="n">
        <v>2.01</v>
      </c>
      <c r="AS821" s="74" t="n">
        <v>57.9</v>
      </c>
      <c r="AT821" s="74" t="n">
        <v>106.76</v>
      </c>
      <c r="AU821" s="74" t="n"/>
      <c r="AV821" s="74" t="n">
        <v>8.982409719</v>
      </c>
      <c r="AW821" s="74" t="n">
        <v>11.237485817</v>
      </c>
      <c r="AX821" s="75" t="n">
        <v>100</v>
      </c>
      <c r="AY821" s="71" t="n">
        <v>294000000</v>
      </c>
      <c r="AZ821" s="71" t="n">
        <v>152000000</v>
      </c>
      <c r="BA821" s="71" t="n">
        <v>15289768</v>
      </c>
      <c r="BB821" s="71" t="n">
        <v>4665706.91</v>
      </c>
      <c r="BC821" s="69" t="inlineStr">
        <is>
          <t>Acquisition</t>
        </is>
      </c>
      <c r="BD821" s="69" t="inlineStr">
        <is>
          <t>N</t>
        </is>
      </c>
      <c r="BE821" s="71" t="n">
        <v>105076180.5</v>
      </c>
      <c r="BF821" s="71" t="n">
        <v>24074196.79</v>
      </c>
      <c r="BG821" s="71" t="n"/>
      <c r="BH821" s="71" t="n">
        <v>0</v>
      </c>
      <c r="BI821" s="71" t="n">
        <v>0</v>
      </c>
      <c r="BJ821" s="69" t="inlineStr">
        <is>
          <t>Y</t>
        </is>
      </c>
      <c r="BK821" s="69" t="inlineStr">
        <is>
          <t>Charles Schwab</t>
        </is>
      </c>
      <c r="BL821" s="75" t="n">
        <v>100</v>
      </c>
      <c r="BM821" s="73" t="n">
        <v>46873</v>
      </c>
      <c r="BN821" s="69" t="inlineStr">
        <is>
          <t>Blackstone Property Partners Lower Fund 1 L.P.</t>
        </is>
      </c>
      <c r="BO821" s="69" t="inlineStr">
        <is>
          <t>JPMorgan Chase</t>
        </is>
      </c>
      <c r="BP821" s="69" t="inlineStr">
        <is>
          <t>Midland Loan Services</t>
        </is>
      </c>
      <c r="BQ821" s="69" t="inlineStr">
        <is>
          <t>Midland Loan Services</t>
        </is>
      </c>
      <c r="BR821" s="69" t="n"/>
      <c r="BS821" s="73" t="n">
        <v>46273</v>
      </c>
      <c r="BU821" s="76">
        <f>IF($C821="","",IFERROR(INDEX(dmName,MATCH($C821,dmID,0)),"Unmapped"))</f>
        <v/>
      </c>
      <c r="BV821" s="76">
        <f>IF($C821="","",IFERROR(INDEX(dmEntity,MATCH($C821,dmID,0)),"Unmapped"))</f>
        <v/>
      </c>
      <c r="BW821" s="77">
        <f>IF($C821="","",IFERROR(INDEX(dmVintage,MATCH($C821,dmID,0)),""))</f>
        <v/>
      </c>
      <c r="BX821" s="78">
        <f>IFERROR(INDEX(dmInclude,MATCH($C821,dmID,0)),0)</f>
        <v/>
      </c>
      <c r="BY821" s="78">
        <f>IF(N($I821)&gt;0,1,0)</f>
        <v/>
      </c>
      <c r="BZ821" s="76">
        <f>IF($AJ821="","Other / Leased Fee",IFERROR(INDEX(mapPTGroup,MATCH(LEFT(TRIM($AJ821),2),mapPTCode,0)),"Other / Leased Fee"))</f>
        <v/>
      </c>
      <c r="CA821" s="76">
        <f>IF(TRIM($AF821&amp;"")="","NR",LEFT(TRIM($AF821),2))</f>
        <v/>
      </c>
      <c r="CB821" s="76">
        <f>IFERROR(LOOKUP(2,1/(LEFT(TRIM($AI821&amp;""),LEN(mapRegion))=mapRegion),mapRegion),"Not Reported")</f>
        <v/>
      </c>
      <c r="CC821" s="76">
        <f>IF($BY821=0,"",IF(TRIM($W821&amp;"")="REO","REO",IF(TRIM($W821&amp;"")="FC","Foreclosure",IF(TRIM($W821&amp;"")="90+","90+ Days Delinquent",IF(TRIM($W821&amp;"")="60","60 Days Delinquent",IF(TRIM($W821&amp;"")="30","30 Days Delinquent",IF($X821="Non-Performing Matured Balloon","Non-Performing Matured Balloon",IF(OR($X821="Late Payment But Less Than 30 Days Delinquent",LEFT($X821&amp;"",20)="Payment Not Received"),"Late / In Grace (&lt;30 Days)",IF($X821="Performing Matured Balloon","Performing Matured Balloon","Current")))))))))</f>
        <v/>
      </c>
      <c r="CD821" s="78">
        <f>IF(OR($CC821="REO",$CC821="Foreclosure",$CC821="90+ Days Delinquent",$CC821="60 Days Delinquent",$CC821="30 Days Delinquent",$CC821="Non-Performing Matured Balloon"),1,0)</f>
        <v/>
      </c>
      <c r="CE821" s="76">
        <f>IF($AB821="Currently special serv","Currently Specially Serviced",IF($AB821="Returned to master serv","Previously Specially Serviced","Never Specially Serviced"))</f>
        <v/>
      </c>
      <c r="CF821" s="78">
        <f>IF($CE821="Currently Specially Serviced",1,0)</f>
        <v/>
      </c>
      <c r="CG821" s="76">
        <f>IF($AA821="Yes","Currently on Watchlist",IF($AA821="Previously","Previously on Watchlist","Never on Watchlist"))</f>
        <v/>
      </c>
      <c r="CH821" s="78">
        <f>IF($CG821="Currently on Watchlist",1,0)</f>
        <v/>
      </c>
      <c r="CI821" s="76">
        <f>IF($Z821="Full Defeasance","Fully Defeased",IF($Z821="Portion Of Loan Previously Defeased","Partially Defeased",IF($Z821="Defeasance Not Allowable","Not Defeased (Not Permitted)","Not Defeased")))</f>
        <v/>
      </c>
      <c r="CJ821" s="78">
        <f>IF($CI821="Fully Defeased",1,0)</f>
        <v/>
      </c>
      <c r="CK821" s="76">
        <f>IF($R821="IO","Full IO",IF(LEFT($R821&amp;"",7)="IO then","Partial IO","Amortizing"))</f>
        <v/>
      </c>
      <c r="CL821" s="78">
        <f>IF($CK821="Full IO",1,0)</f>
        <v/>
      </c>
      <c r="CM821" s="78">
        <f>IF($CK821="Partial IO",1,0)</f>
        <v/>
      </c>
      <c r="CN821" s="76">
        <f>IF(LEFT($F821&amp;"",10)="SPLIT_LOAN","Pari Passu Split","Standalone")</f>
        <v/>
      </c>
      <c r="CO821" s="78">
        <f>IF($CN821="Pari Passu Split",1,0)</f>
        <v/>
      </c>
      <c r="CP821" s="77">
        <f>IF(ISNUMBER($T821),YEAR($T821),"")</f>
        <v/>
      </c>
      <c r="CQ821" s="79">
        <f>IF(ISNUMBER($V821),$V821,IF(ISNUMBER($U821),$U821,""))</f>
        <v/>
      </c>
      <c r="CR821" s="77">
        <f>IF(ISNUMBER($CQ821),YEAR($CQ821),"")</f>
        <v/>
      </c>
      <c r="CS821" s="78">
        <f>IF(ISNUMBER($M821),MAX(0,$M821),IF(TRIM($M821&amp;"")="matured",0,""))</f>
        <v/>
      </c>
      <c r="CT821" s="78">
        <f>IF(AND(ISNUMBER($CS821),N($CS821)&lt;=mMatWindow),1,0)</f>
        <v/>
      </c>
      <c r="CU821" s="80">
        <f>IF(ISNUMBER($J821),$J821/100,"")</f>
        <v/>
      </c>
      <c r="CV821" s="81">
        <f>IF(ISNUMBER($AQ821),$AQ821,"")</f>
        <v/>
      </c>
      <c r="CW821" s="81">
        <f>IF(ISNUMBER($AR821),$AR821,"")</f>
        <v/>
      </c>
      <c r="CX821" s="82">
        <f>IF(ISNUMBER($AS821),$AS821/100,"")</f>
        <v/>
      </c>
      <c r="CY821" s="82">
        <f>IF(ISNUMBER($AT821),$AT821/100,"")</f>
        <v/>
      </c>
      <c r="CZ821" s="82">
        <f>IF(ISNUMBER($AU821),$AU821/100,"")</f>
        <v/>
      </c>
      <c r="DA821" s="82">
        <f>IF(ISNUMBER($AV821),$AV821/100,"")</f>
        <v/>
      </c>
      <c r="DB821" s="82">
        <f>IF(ISNUMBER($AW821),$AW821/100,"")</f>
        <v/>
      </c>
      <c r="DC821" s="82">
        <f>IF(ISNUMBER($AX821),$AX821/100,"")</f>
        <v/>
      </c>
      <c r="DD821" s="77">
        <f>IFERROR(VALUE(LEFT(TRIM($AO821&amp;""),4)),"")</f>
        <v/>
      </c>
      <c r="DE821" s="78">
        <f>IF(AND($BY821=1,$BX821=1,OR(fDeal="All Deals",$BU821=fDeal),OR(fEntity="All Entities",$BV821=fEntity),OR(fPType="All Property Types",$BZ821=fPType),OR(fDefeased="Include",$CJ821=0)),1,0)</f>
        <v/>
      </c>
      <c r="DF821" s="83">
        <f>$DE821*N($I821)</f>
        <v/>
      </c>
      <c r="DG821" s="78">
        <f>IF($DE821=1,IF(COUNTIFS($F$8:$F821,$F821,$DE$8:$DE821,1)=1,1,0),0)</f>
        <v/>
      </c>
      <c r="DH821" s="83">
        <f>IF($DG821=1,SUMIFS($DF$8:$DF$1600,$F$8:$F$1600,$F821),0)</f>
        <v/>
      </c>
      <c r="DI821" s="78">
        <f>IF($DG821=1,COUNTIFS($F$8:$F$1600,$F821,$DE$8:$DE$1600,1),0)</f>
        <v/>
      </c>
      <c r="DJ821" s="84">
        <f>IF($DG821=1,$DH821+(100000-ROW())/mTieBreak,0)</f>
        <v/>
      </c>
    </row>
    <row r="822">
      <c r="B822" s="68" t="n">
        <v>7</v>
      </c>
      <c r="C822" s="69" t="inlineStr">
        <is>
          <t>DBJ17C06</t>
        </is>
      </c>
      <c r="D822" s="69" t="inlineStr">
        <is>
          <t>7.000</t>
        </is>
      </c>
      <c r="E822" s="69" t="inlineStr">
        <is>
          <t>740 Madison</t>
        </is>
      </c>
      <c r="F822" s="69" t="inlineStr">
        <is>
          <t>SPLIT_LOAN_00992</t>
        </is>
      </c>
      <c r="G822" s="70" t="n">
        <v>992</v>
      </c>
      <c r="H822" s="71" t="n">
        <v>50000000</v>
      </c>
      <c r="I822" s="71" t="n">
        <v>50000000</v>
      </c>
      <c r="J822" s="72" t="n">
        <v>4</v>
      </c>
      <c r="K822" s="69" t="inlineStr">
        <is>
          <t>Fixed rate</t>
        </is>
      </c>
      <c r="L822" s="68" t="n">
        <v>120</v>
      </c>
      <c r="M822" s="68" t="n">
        <v>8</v>
      </c>
      <c r="N822" s="68" t="n">
        <v>120</v>
      </c>
      <c r="O822" s="68" t="n">
        <v>120</v>
      </c>
      <c r="P822" s="68" t="n">
        <v>8</v>
      </c>
      <c r="Q822" s="68" t="n">
        <v>112</v>
      </c>
      <c r="R822" s="69" t="inlineStr">
        <is>
          <t>IO</t>
        </is>
      </c>
      <c r="S822" s="69" t="inlineStr">
        <is>
          <t>Yes</t>
        </is>
      </c>
      <c r="T822" s="73" t="n">
        <v>42856</v>
      </c>
      <c r="U822" s="73" t="n">
        <v>47239</v>
      </c>
      <c r="V822" s="73" t="n">
        <v>46508</v>
      </c>
      <c r="W822" s="69" t="n"/>
      <c r="X822" s="69" t="inlineStr">
        <is>
          <t>Current</t>
        </is>
      </c>
      <c r="Y822" s="68" t="n"/>
      <c r="Z822" s="69" t="inlineStr">
        <is>
          <t>Defeasance Not Allowable</t>
        </is>
      </c>
      <c r="AA822" s="69" t="inlineStr">
        <is>
          <t>Previously</t>
        </is>
      </c>
      <c r="AB822" s="69" t="inlineStr">
        <is>
          <t>Never special serv</t>
        </is>
      </c>
      <c r="AC822" s="73" t="n"/>
      <c r="AD822" s="69" t="n"/>
      <c r="AE822" s="69" t="n"/>
      <c r="AF822" s="69" t="inlineStr">
        <is>
          <t>NY</t>
        </is>
      </c>
      <c r="AG822" s="69" t="inlineStr">
        <is>
          <t>New York</t>
        </is>
      </c>
      <c r="AH822" s="69" t="inlineStr">
        <is>
          <t>New York-Newark-Jersey City, NY-NJ</t>
        </is>
      </c>
      <c r="AI822" s="69" t="inlineStr">
        <is>
          <t>Northeast / Mid-Atlantic</t>
        </is>
      </c>
      <c r="AJ822" s="69" t="inlineStr">
        <is>
          <t>RT</t>
        </is>
      </c>
      <c r="AK822" s="69" t="inlineStr">
        <is>
          <t>Single Tenant</t>
        </is>
      </c>
      <c r="AL822" s="68" t="n">
        <v>1</v>
      </c>
      <c r="AM822" s="68" t="n"/>
      <c r="AN822" s="68" t="n">
        <v>33176</v>
      </c>
      <c r="AO822" s="69" t="inlineStr">
        <is>
          <t>1920</t>
        </is>
      </c>
      <c r="AP822" s="70" t="n">
        <v>2017</v>
      </c>
      <c r="AQ822" s="74" t="n">
        <v>1.96</v>
      </c>
      <c r="AR822" s="74" t="n">
        <v>2.16</v>
      </c>
      <c r="AS822" s="74" t="n">
        <v>60</v>
      </c>
      <c r="AT822" s="74" t="n">
        <v>60</v>
      </c>
      <c r="AU822" s="74" t="n">
        <v>60</v>
      </c>
      <c r="AV822" s="74" t="n">
        <v>7.960068889</v>
      </c>
      <c r="AW822" s="74" t="n">
        <v>8.461795888999999</v>
      </c>
      <c r="AX822" s="75" t="n">
        <v>100</v>
      </c>
      <c r="AY822" s="71" t="n">
        <v>150000000</v>
      </c>
      <c r="AZ822" s="71" t="n">
        <v>150000000</v>
      </c>
      <c r="BA822" s="71" t="n">
        <v>7164062</v>
      </c>
      <c r="BB822" s="71" t="n">
        <v>7899064.6</v>
      </c>
      <c r="BC822" s="69" t="inlineStr">
        <is>
          <t>Refinance</t>
        </is>
      </c>
      <c r="BD822" s="69" t="inlineStr">
        <is>
          <t>N</t>
        </is>
      </c>
      <c r="BE822" s="71" t="n">
        <v>40000000</v>
      </c>
      <c r="BF822" s="71" t="n"/>
      <c r="BG822" s="71" t="n"/>
      <c r="BH822" s="71" t="n">
        <v>0</v>
      </c>
      <c r="BI822" s="71" t="n">
        <v>0</v>
      </c>
      <c r="BJ822" s="69" t="inlineStr">
        <is>
          <t>N</t>
        </is>
      </c>
      <c r="BK822" s="69" t="inlineStr">
        <is>
          <t>Bottega Veneta</t>
        </is>
      </c>
      <c r="BL822" s="75" t="n">
        <v>100</v>
      </c>
      <c r="BM822" s="73" t="n">
        <v>50739</v>
      </c>
      <c r="BN822" s="69" t="inlineStr">
        <is>
          <t>Wildenstein &amp; Co. Inc.</t>
        </is>
      </c>
      <c r="BO822" s="69" t="inlineStr">
        <is>
          <t>JPMorgan Chase</t>
        </is>
      </c>
      <c r="BP822" s="69" t="inlineStr">
        <is>
          <t>Midland Loan Services</t>
        </is>
      </c>
      <c r="BQ822" s="69" t="inlineStr">
        <is>
          <t>K-Star Asset Management LLC</t>
        </is>
      </c>
      <c r="BR822" s="69" t="n"/>
      <c r="BS822" s="73" t="n">
        <v>46273</v>
      </c>
      <c r="BU822" s="76">
        <f>IF($C822="","",IFERROR(INDEX(dmName,MATCH($C822,dmID,0)),"Unmapped"))</f>
        <v/>
      </c>
      <c r="BV822" s="76">
        <f>IF($C822="","",IFERROR(INDEX(dmEntity,MATCH($C822,dmID,0)),"Unmapped"))</f>
        <v/>
      </c>
      <c r="BW822" s="77">
        <f>IF($C822="","",IFERROR(INDEX(dmVintage,MATCH($C822,dmID,0)),""))</f>
        <v/>
      </c>
      <c r="BX822" s="78">
        <f>IFERROR(INDEX(dmInclude,MATCH($C822,dmID,0)),0)</f>
        <v/>
      </c>
      <c r="BY822" s="78">
        <f>IF(N($I822)&gt;0,1,0)</f>
        <v/>
      </c>
      <c r="BZ822" s="76">
        <f>IF($AJ822="","Other / Leased Fee",IFERROR(INDEX(mapPTGroup,MATCH(LEFT(TRIM($AJ822),2),mapPTCode,0)),"Other / Leased Fee"))</f>
        <v/>
      </c>
      <c r="CA822" s="76">
        <f>IF(TRIM($AF822&amp;"")="","NR",LEFT(TRIM($AF822),2))</f>
        <v/>
      </c>
      <c r="CB822" s="76">
        <f>IFERROR(LOOKUP(2,1/(LEFT(TRIM($AI822&amp;""),LEN(mapRegion))=mapRegion),mapRegion),"Not Reported")</f>
        <v/>
      </c>
      <c r="CC822" s="76">
        <f>IF($BY822=0,"",IF(TRIM($W822&amp;"")="REO","REO",IF(TRIM($W822&amp;"")="FC","Foreclosure",IF(TRIM($W822&amp;"")="90+","90+ Days Delinquent",IF(TRIM($W822&amp;"")="60","60 Days Delinquent",IF(TRIM($W822&amp;"")="30","30 Days Delinquent",IF($X822="Non-Performing Matured Balloon","Non-Performing Matured Balloon",IF(OR($X822="Late Payment But Less Than 30 Days Delinquent",LEFT($X822&amp;"",20)="Payment Not Received"),"Late / In Grace (&lt;30 Days)",IF($X822="Performing Matured Balloon","Performing Matured Balloon","Current")))))))))</f>
        <v/>
      </c>
      <c r="CD822" s="78">
        <f>IF(OR($CC822="REO",$CC822="Foreclosure",$CC822="90+ Days Delinquent",$CC822="60 Days Delinquent",$CC822="30 Days Delinquent",$CC822="Non-Performing Matured Balloon"),1,0)</f>
        <v/>
      </c>
      <c r="CE822" s="76">
        <f>IF($AB822="Currently special serv","Currently Specially Serviced",IF($AB822="Returned to master serv","Previously Specially Serviced","Never Specially Serviced"))</f>
        <v/>
      </c>
      <c r="CF822" s="78">
        <f>IF($CE822="Currently Specially Serviced",1,0)</f>
        <v/>
      </c>
      <c r="CG822" s="76">
        <f>IF($AA822="Yes","Currently on Watchlist",IF($AA822="Previously","Previously on Watchlist","Never on Watchlist"))</f>
        <v/>
      </c>
      <c r="CH822" s="78">
        <f>IF($CG822="Currently on Watchlist",1,0)</f>
        <v/>
      </c>
      <c r="CI822" s="76">
        <f>IF($Z822="Full Defeasance","Fully Defeased",IF($Z822="Portion Of Loan Previously Defeased","Partially Defeased",IF($Z822="Defeasance Not Allowable","Not Defeased (Not Permitted)","Not Defeased")))</f>
        <v/>
      </c>
      <c r="CJ822" s="78">
        <f>IF($CI822="Fully Defeased",1,0)</f>
        <v/>
      </c>
      <c r="CK822" s="76">
        <f>IF($R822="IO","Full IO",IF(LEFT($R822&amp;"",7)="IO then","Partial IO","Amortizing"))</f>
        <v/>
      </c>
      <c r="CL822" s="78">
        <f>IF($CK822="Full IO",1,0)</f>
        <v/>
      </c>
      <c r="CM822" s="78">
        <f>IF($CK822="Partial IO",1,0)</f>
        <v/>
      </c>
      <c r="CN822" s="76">
        <f>IF(LEFT($F822&amp;"",10)="SPLIT_LOAN","Pari Passu Split","Standalone")</f>
        <v/>
      </c>
      <c r="CO822" s="78">
        <f>IF($CN822="Pari Passu Split",1,0)</f>
        <v/>
      </c>
      <c r="CP822" s="77">
        <f>IF(ISNUMBER($T822),YEAR($T822),"")</f>
        <v/>
      </c>
      <c r="CQ822" s="79">
        <f>IF(ISNUMBER($V822),$V822,IF(ISNUMBER($U822),$U822,""))</f>
        <v/>
      </c>
      <c r="CR822" s="77">
        <f>IF(ISNUMBER($CQ822),YEAR($CQ822),"")</f>
        <v/>
      </c>
      <c r="CS822" s="78">
        <f>IF(ISNUMBER($M822),MAX(0,$M822),IF(TRIM($M822&amp;"")="matured",0,""))</f>
        <v/>
      </c>
      <c r="CT822" s="78">
        <f>IF(AND(ISNUMBER($CS822),N($CS822)&lt;=mMatWindow),1,0)</f>
        <v/>
      </c>
      <c r="CU822" s="80">
        <f>IF(ISNUMBER($J822),$J822/100,"")</f>
        <v/>
      </c>
      <c r="CV822" s="81">
        <f>IF(ISNUMBER($AQ822),$AQ822,"")</f>
        <v/>
      </c>
      <c r="CW822" s="81">
        <f>IF(ISNUMBER($AR822),$AR822,"")</f>
        <v/>
      </c>
      <c r="CX822" s="82">
        <f>IF(ISNUMBER($AS822),$AS822/100,"")</f>
        <v/>
      </c>
      <c r="CY822" s="82">
        <f>IF(ISNUMBER($AT822),$AT822/100,"")</f>
        <v/>
      </c>
      <c r="CZ822" s="82">
        <f>IF(ISNUMBER($AU822),$AU822/100,"")</f>
        <v/>
      </c>
      <c r="DA822" s="82">
        <f>IF(ISNUMBER($AV822),$AV822/100,"")</f>
        <v/>
      </c>
      <c r="DB822" s="82">
        <f>IF(ISNUMBER($AW822),$AW822/100,"")</f>
        <v/>
      </c>
      <c r="DC822" s="82">
        <f>IF(ISNUMBER($AX822),$AX822/100,"")</f>
        <v/>
      </c>
      <c r="DD822" s="77">
        <f>IFERROR(VALUE(LEFT(TRIM($AO822&amp;""),4)),"")</f>
        <v/>
      </c>
      <c r="DE822" s="78">
        <f>IF(AND($BY822=1,$BX822=1,OR(fDeal="All Deals",$BU822=fDeal),OR(fEntity="All Entities",$BV822=fEntity),OR(fPType="All Property Types",$BZ822=fPType),OR(fDefeased="Include",$CJ822=0)),1,0)</f>
        <v/>
      </c>
      <c r="DF822" s="83">
        <f>$DE822*N($I822)</f>
        <v/>
      </c>
      <c r="DG822" s="78">
        <f>IF($DE822=1,IF(COUNTIFS($F$8:$F822,$F822,$DE$8:$DE822,1)=1,1,0),0)</f>
        <v/>
      </c>
      <c r="DH822" s="83">
        <f>IF($DG822=1,SUMIFS($DF$8:$DF$1600,$F$8:$F$1600,$F822),0)</f>
        <v/>
      </c>
      <c r="DI822" s="78">
        <f>IF($DG822=1,COUNTIFS($F$8:$F$1600,$F822,$DE$8:$DE$1600,1),0)</f>
        <v/>
      </c>
      <c r="DJ822" s="84">
        <f>IF($DG822=1,$DH822+(100000-ROW())/mTieBreak,0)</f>
        <v/>
      </c>
    </row>
    <row r="823">
      <c r="B823" s="68" t="n">
        <v>8</v>
      </c>
      <c r="C823" s="69" t="inlineStr">
        <is>
          <t>DBJ17C06</t>
        </is>
      </c>
      <c r="D823" s="69" t="inlineStr">
        <is>
          <t>8.000</t>
        </is>
      </c>
      <c r="E823" s="69" t="inlineStr">
        <is>
          <t>Wilmont</t>
        </is>
      </c>
      <c r="F823" s="69" t="inlineStr">
        <is>
          <t>LNDBJ17C06-8.000</t>
        </is>
      </c>
      <c r="G823" s="70" t="n"/>
      <c r="H823" s="71" t="n">
        <v>47500000</v>
      </c>
      <c r="I823" s="71" t="n">
        <v>0</v>
      </c>
      <c r="J823" s="72" t="n">
        <v>4.47</v>
      </c>
      <c r="K823" s="69" t="inlineStr">
        <is>
          <t>Fixed rate</t>
        </is>
      </c>
      <c r="L823" s="68" t="n">
        <v>60</v>
      </c>
      <c r="M823" s="68" t="n"/>
      <c r="N823" s="68" t="n">
        <v>60</v>
      </c>
      <c r="O823" s="68" t="n">
        <v>60</v>
      </c>
      <c r="P823" s="68" t="n"/>
      <c r="Q823" s="68" t="n"/>
      <c r="R823" s="69" t="inlineStr">
        <is>
          <t>IO</t>
        </is>
      </c>
      <c r="S823" s="69" t="inlineStr">
        <is>
          <t>Yes</t>
        </is>
      </c>
      <c r="T823" s="73" t="n">
        <v>42917</v>
      </c>
      <c r="U823" s="73" t="n">
        <v>44718</v>
      </c>
      <c r="V823" s="73" t="n"/>
      <c r="W823" s="69" t="n"/>
      <c r="X823" s="69" t="inlineStr">
        <is>
          <t>Current</t>
        </is>
      </c>
      <c r="Y823" s="68" t="n"/>
      <c r="Z823" s="69" t="inlineStr">
        <is>
          <t>No Defeasance Occurred</t>
        </is>
      </c>
      <c r="AA823" s="69" t="inlineStr">
        <is>
          <t>Previously</t>
        </is>
      </c>
      <c r="AB823" s="69" t="inlineStr">
        <is>
          <t>Never special serv</t>
        </is>
      </c>
      <c r="AC823" s="73" t="n"/>
      <c r="AD823" s="69" t="n"/>
      <c r="AE823" s="69" t="n"/>
      <c r="AF823" s="69" t="inlineStr">
        <is>
          <t>CA</t>
        </is>
      </c>
      <c r="AG823" s="69" t="inlineStr">
        <is>
          <t>Los Angeles</t>
        </is>
      </c>
      <c r="AH823" s="69" t="inlineStr">
        <is>
          <t>Los Angeles-Long Beach-Anaheim, CA</t>
        </is>
      </c>
      <c r="AI823" s="69" t="inlineStr">
        <is>
          <t>West / Pacific South</t>
        </is>
      </c>
      <c r="AJ823" s="69" t="inlineStr">
        <is>
          <t>OF</t>
        </is>
      </c>
      <c r="AK823" s="69" t="inlineStr">
        <is>
          <t>CBD</t>
        </is>
      </c>
      <c r="AL823" s="68" t="n">
        <v>1</v>
      </c>
      <c r="AM823" s="68" t="n"/>
      <c r="AN823" s="68" t="n">
        <v>401860</v>
      </c>
      <c r="AO823" s="69" t="inlineStr">
        <is>
          <t>1961, 1971</t>
        </is>
      </c>
      <c r="AP823" s="70" t="n">
        <v>1971</v>
      </c>
      <c r="AQ823" s="74" t="n">
        <v>1.88</v>
      </c>
      <c r="AR823" s="74" t="n">
        <v>2.05</v>
      </c>
      <c r="AS823" s="74" t="n">
        <v>65.09999999999999</v>
      </c>
      <c r="AT823" s="74" t="n"/>
      <c r="AU823" s="74" t="n">
        <v>65.09999999999999</v>
      </c>
      <c r="AV823" s="74" t="n">
        <v>8.518536842</v>
      </c>
      <c r="AW823" s="74" t="n"/>
      <c r="AX823" s="75" t="n">
        <v>78</v>
      </c>
      <c r="AY823" s="71" t="n">
        <v>73000000</v>
      </c>
      <c r="AZ823" s="71" t="n">
        <v>73000000</v>
      </c>
      <c r="BA823" s="71" t="n">
        <v>4046305</v>
      </c>
      <c r="BB823" s="71" t="n">
        <v>4407689.49</v>
      </c>
      <c r="BC823" s="69" t="inlineStr">
        <is>
          <t>Refinance</t>
        </is>
      </c>
      <c r="BD823" s="69" t="inlineStr">
        <is>
          <t>N</t>
        </is>
      </c>
      <c r="BE823" s="71" t="n"/>
      <c r="BF823" s="71" t="n"/>
      <c r="BG823" s="71" t="n"/>
      <c r="BH823" s="71" t="n">
        <v>0</v>
      </c>
      <c r="BI823" s="71" t="n">
        <v>0</v>
      </c>
      <c r="BJ823" s="69" t="inlineStr">
        <is>
          <t>N</t>
        </is>
      </c>
      <c r="BK823" s="69" t="inlineStr">
        <is>
          <t>LADMH</t>
        </is>
      </c>
      <c r="BL823" s="75" t="n">
        <v>32.89</v>
      </c>
      <c r="BM823" s="73" t="n">
        <v>43861</v>
      </c>
      <c r="BN823" s="69" t="inlineStr">
        <is>
          <t>David Y. Lee</t>
        </is>
      </c>
      <c r="BO823" s="69" t="inlineStr">
        <is>
          <t>GACC</t>
        </is>
      </c>
      <c r="BP823" s="69" t="inlineStr">
        <is>
          <t>Midland Loan Services</t>
        </is>
      </c>
      <c r="BQ823" s="69" t="inlineStr">
        <is>
          <t>Midland Loan Services</t>
        </is>
      </c>
      <c r="BR823" s="69" t="inlineStr">
        <is>
          <t>Full Payoff At Maturity</t>
        </is>
      </c>
      <c r="BS823" s="73" t="n">
        <v>44718</v>
      </c>
      <c r="BU823" s="76">
        <f>IF($C823="","",IFERROR(INDEX(dmName,MATCH($C823,dmID,0)),"Unmapped"))</f>
        <v/>
      </c>
      <c r="BV823" s="76">
        <f>IF($C823="","",IFERROR(INDEX(dmEntity,MATCH($C823,dmID,0)),"Unmapped"))</f>
        <v/>
      </c>
      <c r="BW823" s="77">
        <f>IF($C823="","",IFERROR(INDEX(dmVintage,MATCH($C823,dmID,0)),""))</f>
        <v/>
      </c>
      <c r="BX823" s="78">
        <f>IFERROR(INDEX(dmInclude,MATCH($C823,dmID,0)),0)</f>
        <v/>
      </c>
      <c r="BY823" s="78">
        <f>IF(N($I823)&gt;0,1,0)</f>
        <v/>
      </c>
      <c r="BZ823" s="76">
        <f>IF($AJ823="","Other / Leased Fee",IFERROR(INDEX(mapPTGroup,MATCH(LEFT(TRIM($AJ823),2),mapPTCode,0)),"Other / Leased Fee"))</f>
        <v/>
      </c>
      <c r="CA823" s="76">
        <f>IF(TRIM($AF823&amp;"")="","NR",LEFT(TRIM($AF823),2))</f>
        <v/>
      </c>
      <c r="CB823" s="76">
        <f>IFERROR(LOOKUP(2,1/(LEFT(TRIM($AI823&amp;""),LEN(mapRegion))=mapRegion),mapRegion),"Not Reported")</f>
        <v/>
      </c>
      <c r="CC823" s="76">
        <f>IF($BY823=0,"",IF(TRIM($W823&amp;"")="REO","REO",IF(TRIM($W823&amp;"")="FC","Foreclosure",IF(TRIM($W823&amp;"")="90+","90+ Days Delinquent",IF(TRIM($W823&amp;"")="60","60 Days Delinquent",IF(TRIM($W823&amp;"")="30","30 Days Delinquent",IF($X823="Non-Performing Matured Balloon","Non-Performing Matured Balloon",IF(OR($X823="Late Payment But Less Than 30 Days Delinquent",LEFT($X823&amp;"",20)="Payment Not Received"),"Late / In Grace (&lt;30 Days)",IF($X823="Performing Matured Balloon","Performing Matured Balloon","Current")))))))))</f>
        <v/>
      </c>
      <c r="CD823" s="78">
        <f>IF(OR($CC823="REO",$CC823="Foreclosure",$CC823="90+ Days Delinquent",$CC823="60 Days Delinquent",$CC823="30 Days Delinquent",$CC823="Non-Performing Matured Balloon"),1,0)</f>
        <v/>
      </c>
      <c r="CE823" s="76">
        <f>IF($AB823="Currently special serv","Currently Specially Serviced",IF($AB823="Returned to master serv","Previously Specially Serviced","Never Specially Serviced"))</f>
        <v/>
      </c>
      <c r="CF823" s="78">
        <f>IF($CE823="Currently Specially Serviced",1,0)</f>
        <v/>
      </c>
      <c r="CG823" s="76">
        <f>IF($AA823="Yes","Currently on Watchlist",IF($AA823="Previously","Previously on Watchlist","Never on Watchlist"))</f>
        <v/>
      </c>
      <c r="CH823" s="78">
        <f>IF($CG823="Currently on Watchlist",1,0)</f>
        <v/>
      </c>
      <c r="CI823" s="76">
        <f>IF($Z823="Full Defeasance","Fully Defeased",IF($Z823="Portion Of Loan Previously Defeased","Partially Defeased",IF($Z823="Defeasance Not Allowable","Not Defeased (Not Permitted)","Not Defeased")))</f>
        <v/>
      </c>
      <c r="CJ823" s="78">
        <f>IF($CI823="Fully Defeased",1,0)</f>
        <v/>
      </c>
      <c r="CK823" s="76">
        <f>IF($R823="IO","Full IO",IF(LEFT($R823&amp;"",7)="IO then","Partial IO","Amortizing"))</f>
        <v/>
      </c>
      <c r="CL823" s="78">
        <f>IF($CK823="Full IO",1,0)</f>
        <v/>
      </c>
      <c r="CM823" s="78">
        <f>IF($CK823="Partial IO",1,0)</f>
        <v/>
      </c>
      <c r="CN823" s="76">
        <f>IF(LEFT($F823&amp;"",10)="SPLIT_LOAN","Pari Passu Split","Standalone")</f>
        <v/>
      </c>
      <c r="CO823" s="78">
        <f>IF($CN823="Pari Passu Split",1,0)</f>
        <v/>
      </c>
      <c r="CP823" s="77">
        <f>IF(ISNUMBER($T823),YEAR($T823),"")</f>
        <v/>
      </c>
      <c r="CQ823" s="79">
        <f>IF(ISNUMBER($V823),$V823,IF(ISNUMBER($U823),$U823,""))</f>
        <v/>
      </c>
      <c r="CR823" s="77">
        <f>IF(ISNUMBER($CQ823),YEAR($CQ823),"")</f>
        <v/>
      </c>
      <c r="CS823" s="78">
        <f>IF(ISNUMBER($M823),MAX(0,$M823),IF(TRIM($M823&amp;"")="matured",0,""))</f>
        <v/>
      </c>
      <c r="CT823" s="78">
        <f>IF(AND(ISNUMBER($CS823),N($CS823)&lt;=mMatWindow),1,0)</f>
        <v/>
      </c>
      <c r="CU823" s="80">
        <f>IF(ISNUMBER($J823),$J823/100,"")</f>
        <v/>
      </c>
      <c r="CV823" s="81">
        <f>IF(ISNUMBER($AQ823),$AQ823,"")</f>
        <v/>
      </c>
      <c r="CW823" s="81">
        <f>IF(ISNUMBER($AR823),$AR823,"")</f>
        <v/>
      </c>
      <c r="CX823" s="82">
        <f>IF(ISNUMBER($AS823),$AS823/100,"")</f>
        <v/>
      </c>
      <c r="CY823" s="82">
        <f>IF(ISNUMBER($AT823),$AT823/100,"")</f>
        <v/>
      </c>
      <c r="CZ823" s="82">
        <f>IF(ISNUMBER($AU823),$AU823/100,"")</f>
        <v/>
      </c>
      <c r="DA823" s="82">
        <f>IF(ISNUMBER($AV823),$AV823/100,"")</f>
        <v/>
      </c>
      <c r="DB823" s="82">
        <f>IF(ISNUMBER($AW823),$AW823/100,"")</f>
        <v/>
      </c>
      <c r="DC823" s="82">
        <f>IF(ISNUMBER($AX823),$AX823/100,"")</f>
        <v/>
      </c>
      <c r="DD823" s="77">
        <f>IFERROR(VALUE(LEFT(TRIM($AO823&amp;""),4)),"")</f>
        <v/>
      </c>
      <c r="DE823" s="78">
        <f>IF(AND($BY823=1,$BX823=1,OR(fDeal="All Deals",$BU823=fDeal),OR(fEntity="All Entities",$BV823=fEntity),OR(fPType="All Property Types",$BZ823=fPType),OR(fDefeased="Include",$CJ823=0)),1,0)</f>
        <v/>
      </c>
      <c r="DF823" s="83">
        <f>$DE823*N($I823)</f>
        <v/>
      </c>
      <c r="DG823" s="78">
        <f>IF($DE823=1,IF(COUNTIFS($F$8:$F823,$F823,$DE$8:$DE823,1)=1,1,0),0)</f>
        <v/>
      </c>
      <c r="DH823" s="83">
        <f>IF($DG823=1,SUMIFS($DF$8:$DF$1600,$F$8:$F$1600,$F823),0)</f>
        <v/>
      </c>
      <c r="DI823" s="78">
        <f>IF($DG823=1,COUNTIFS($F$8:$F$1600,$F823,$DE$8:$DE$1600,1),0)</f>
        <v/>
      </c>
      <c r="DJ823" s="84">
        <f>IF($DG823=1,$DH823+(100000-ROW())/mTieBreak,0)</f>
        <v/>
      </c>
    </row>
    <row r="824">
      <c r="B824" s="68" t="n">
        <v>9</v>
      </c>
      <c r="C824" s="69" t="inlineStr">
        <is>
          <t>DBJ17C06</t>
        </is>
      </c>
      <c r="D824" s="69" t="inlineStr">
        <is>
          <t>9.000</t>
        </is>
      </c>
      <c r="E824" s="69" t="inlineStr">
        <is>
          <t>iStar Leased Fee Portfolio</t>
        </is>
      </c>
      <c r="F824" s="69" t="inlineStr">
        <is>
          <t>SPLIT_LOAN_00987</t>
        </is>
      </c>
      <c r="G824" s="70" t="n">
        <v>987</v>
      </c>
      <c r="H824" s="71" t="n">
        <v>45400000</v>
      </c>
      <c r="I824" s="71" t="n">
        <v>45400000</v>
      </c>
      <c r="J824" s="72" t="n">
        <v>3.795</v>
      </c>
      <c r="K824" s="69" t="inlineStr">
        <is>
          <t>Fixed rate</t>
        </is>
      </c>
      <c r="L824" s="68" t="n">
        <v>120</v>
      </c>
      <c r="M824" s="68" t="n">
        <v>7</v>
      </c>
      <c r="N824" s="68" t="n">
        <v>120</v>
      </c>
      <c r="O824" s="68" t="n">
        <v>120</v>
      </c>
      <c r="P824" s="68" t="n">
        <v>7</v>
      </c>
      <c r="Q824" s="68" t="n">
        <v>113</v>
      </c>
      <c r="R824" s="69" t="inlineStr">
        <is>
          <t>IO</t>
        </is>
      </c>
      <c r="S824" s="69" t="inlineStr">
        <is>
          <t>Yes</t>
        </is>
      </c>
      <c r="T824" s="73" t="n">
        <v>42826</v>
      </c>
      <c r="U824" s="73" t="n">
        <v>46849</v>
      </c>
      <c r="V824" s="73" t="n">
        <v>46483</v>
      </c>
      <c r="W824" s="69" t="n"/>
      <c r="X824" s="69" t="inlineStr">
        <is>
          <t>Current</t>
        </is>
      </c>
      <c r="Y824" s="68" t="n"/>
      <c r="Z824" s="69" t="inlineStr">
        <is>
          <t>Full Defeasance</t>
        </is>
      </c>
      <c r="AA824" s="69" t="inlineStr">
        <is>
          <t>Previously</t>
        </is>
      </c>
      <c r="AB824" s="69" t="inlineStr">
        <is>
          <t>Never special serv</t>
        </is>
      </c>
      <c r="AC824" s="73" t="n"/>
      <c r="AD824" s="69" t="n"/>
      <c r="AE824" s="69" t="n"/>
      <c r="AF824" s="69" t="inlineStr">
        <is>
          <t>CA-25.279295154% UT-24.366519824% WA-17.621145374% MI-14.079735683% CO-7.314537445% TX-3.474449339% GA-3.337885463% MD-2.286343612% WI-1.600440529% MN-0.639647577%</t>
        </is>
      </c>
      <c r="AG824" s="69" t="n"/>
      <c r="AH824" s="69" t="inlineStr">
        <is>
          <t>Salt Lake City-Murray, UT-24.366519824% Seattle-Tacoma-Bellevue, WA-17.621145374% San Diego-Chula Vista-Carlsbad, CA-16.777092511% Detroit-Warren-Dearborn, MI-14.079735683% Santa Rosa-Petaluma, CA-8.502202643% Durango, CO-7.314537445% Dallas-Fort Worth-Arlington, TX-3.474449339% Atlanta-Sandy Springs-Roswell, GA-3.337885463% Washington-Arlington-Alexandria, DC-VA-MD-WV-2.286343612% Milwaukee-Waukesha, WI-1.600440529% Minneapolis-St. Paul-Bloomington, MN-WI-0.639647577%</t>
        </is>
      </c>
      <c r="AI824" s="69" t="inlineStr">
        <is>
          <t>West / Mountain-31.681057269% West / Pacific North-26.123348018% West / Pacific South-16.777092511% Midwest / Central East-15.680176211% South / Atlantic-5.624229075% South / Central West-3.474449339% Midwest / Central West-0.639647577%</t>
        </is>
      </c>
      <c r="AJ824" s="69" t="inlineStr">
        <is>
          <t>OT</t>
        </is>
      </c>
      <c r="AK824" s="69" t="n"/>
      <c r="AL824" s="68" t="n">
        <v>12</v>
      </c>
      <c r="AM824" s="68" t="n"/>
      <c r="AN824" s="68" t="n">
        <v>3410111</v>
      </c>
      <c r="AO824" s="69" t="n"/>
      <c r="AP824" s="70" t="n">
        <v>2017</v>
      </c>
      <c r="AQ824" s="74" t="n">
        <v>2.12</v>
      </c>
      <c r="AR824" s="74" t="n">
        <v>1.77</v>
      </c>
      <c r="AS824" s="74" t="n">
        <v>65.59999999999999</v>
      </c>
      <c r="AT824" s="74" t="n">
        <v>65.58</v>
      </c>
      <c r="AU824" s="74" t="n">
        <v>65.59999999999999</v>
      </c>
      <c r="AV824" s="74" t="n">
        <v>8.1548</v>
      </c>
      <c r="AW824" s="74" t="n">
        <v>6.475304969</v>
      </c>
      <c r="AX824" s="75" t="n">
        <v>100</v>
      </c>
      <c r="AY824" s="71" t="n">
        <v>346160000</v>
      </c>
      <c r="AZ824" s="71" t="n">
        <v>346160000</v>
      </c>
      <c r="BA824" s="71" t="n">
        <v>18511396</v>
      </c>
      <c r="BB824" s="71" t="n">
        <v>3775226.36</v>
      </c>
      <c r="BC824" s="69" t="inlineStr">
        <is>
          <t>Recapitalization</t>
        </is>
      </c>
      <c r="BD824" s="69" t="inlineStr">
        <is>
          <t>Y</t>
        </is>
      </c>
      <c r="BE824" s="71" t="n">
        <v>181600000</v>
      </c>
      <c r="BF824" s="71" t="n"/>
      <c r="BG824" s="71" t="n"/>
      <c r="BH824" s="71" t="n">
        <v>0</v>
      </c>
      <c r="BI824" s="71" t="n">
        <v>0</v>
      </c>
      <c r="BJ824" s="69" t="inlineStr">
        <is>
          <t>N</t>
        </is>
      </c>
      <c r="BK824" s="69" t="inlineStr">
        <is>
          <t>500 Webward LLC</t>
        </is>
      </c>
      <c r="BL824" s="75" t="n">
        <v>28.07</v>
      </c>
      <c r="BM824" s="73" t="n">
        <v>78253</v>
      </c>
      <c r="BN824" s="69" t="inlineStr">
        <is>
          <t>iStar Inc.</t>
        </is>
      </c>
      <c r="BO824" s="69" t="inlineStr">
        <is>
          <t>JPMorgan Chase</t>
        </is>
      </c>
      <c r="BP824" s="69" t="inlineStr">
        <is>
          <t>Midland Loan Services</t>
        </is>
      </c>
      <c r="BQ824" s="69" t="inlineStr">
        <is>
          <t>Argentic Services Company LP</t>
        </is>
      </c>
      <c r="BR824" s="69" t="n"/>
      <c r="BS824" s="73" t="n">
        <v>46273</v>
      </c>
      <c r="BU824" s="76">
        <f>IF($C824="","",IFERROR(INDEX(dmName,MATCH($C824,dmID,0)),"Unmapped"))</f>
        <v/>
      </c>
      <c r="BV824" s="76">
        <f>IF($C824="","",IFERROR(INDEX(dmEntity,MATCH($C824,dmID,0)),"Unmapped"))</f>
        <v/>
      </c>
      <c r="BW824" s="77">
        <f>IF($C824="","",IFERROR(INDEX(dmVintage,MATCH($C824,dmID,0)),""))</f>
        <v/>
      </c>
      <c r="BX824" s="78">
        <f>IFERROR(INDEX(dmInclude,MATCH($C824,dmID,0)),0)</f>
        <v/>
      </c>
      <c r="BY824" s="78">
        <f>IF(N($I824)&gt;0,1,0)</f>
        <v/>
      </c>
      <c r="BZ824" s="76">
        <f>IF($AJ824="","Other / Leased Fee",IFERROR(INDEX(mapPTGroup,MATCH(LEFT(TRIM($AJ824),2),mapPTCode,0)),"Other / Leased Fee"))</f>
        <v/>
      </c>
      <c r="CA824" s="76">
        <f>IF(TRIM($AF824&amp;"")="","NR",LEFT(TRIM($AF824),2))</f>
        <v/>
      </c>
      <c r="CB824" s="76">
        <f>IFERROR(LOOKUP(2,1/(LEFT(TRIM($AI824&amp;""),LEN(mapRegion))=mapRegion),mapRegion),"Not Reported")</f>
        <v/>
      </c>
      <c r="CC824" s="76">
        <f>IF($BY824=0,"",IF(TRIM($W824&amp;"")="REO","REO",IF(TRIM($W824&amp;"")="FC","Foreclosure",IF(TRIM($W824&amp;"")="90+","90+ Days Delinquent",IF(TRIM($W824&amp;"")="60","60 Days Delinquent",IF(TRIM($W824&amp;"")="30","30 Days Delinquent",IF($X824="Non-Performing Matured Balloon","Non-Performing Matured Balloon",IF(OR($X824="Late Payment But Less Than 30 Days Delinquent",LEFT($X824&amp;"",20)="Payment Not Received"),"Late / In Grace (&lt;30 Days)",IF($X824="Performing Matured Balloon","Performing Matured Balloon","Current")))))))))</f>
        <v/>
      </c>
      <c r="CD824" s="78">
        <f>IF(OR($CC824="REO",$CC824="Foreclosure",$CC824="90+ Days Delinquent",$CC824="60 Days Delinquent",$CC824="30 Days Delinquent",$CC824="Non-Performing Matured Balloon"),1,0)</f>
        <v/>
      </c>
      <c r="CE824" s="76">
        <f>IF($AB824="Currently special serv","Currently Specially Serviced",IF($AB824="Returned to master serv","Previously Specially Serviced","Never Specially Serviced"))</f>
        <v/>
      </c>
      <c r="CF824" s="78">
        <f>IF($CE824="Currently Specially Serviced",1,0)</f>
        <v/>
      </c>
      <c r="CG824" s="76">
        <f>IF($AA824="Yes","Currently on Watchlist",IF($AA824="Previously","Previously on Watchlist","Never on Watchlist"))</f>
        <v/>
      </c>
      <c r="CH824" s="78">
        <f>IF($CG824="Currently on Watchlist",1,0)</f>
        <v/>
      </c>
      <c r="CI824" s="76">
        <f>IF($Z824="Full Defeasance","Fully Defeased",IF($Z824="Portion Of Loan Previously Defeased","Partially Defeased",IF($Z824="Defeasance Not Allowable","Not Defeased (Not Permitted)","Not Defeased")))</f>
        <v/>
      </c>
      <c r="CJ824" s="78">
        <f>IF($CI824="Fully Defeased",1,0)</f>
        <v/>
      </c>
      <c r="CK824" s="76">
        <f>IF($R824="IO","Full IO",IF(LEFT($R824&amp;"",7)="IO then","Partial IO","Amortizing"))</f>
        <v/>
      </c>
      <c r="CL824" s="78">
        <f>IF($CK824="Full IO",1,0)</f>
        <v/>
      </c>
      <c r="CM824" s="78">
        <f>IF($CK824="Partial IO",1,0)</f>
        <v/>
      </c>
      <c r="CN824" s="76">
        <f>IF(LEFT($F824&amp;"",10)="SPLIT_LOAN","Pari Passu Split","Standalone")</f>
        <v/>
      </c>
      <c r="CO824" s="78">
        <f>IF($CN824="Pari Passu Split",1,0)</f>
        <v/>
      </c>
      <c r="CP824" s="77">
        <f>IF(ISNUMBER($T824),YEAR($T824),"")</f>
        <v/>
      </c>
      <c r="CQ824" s="79">
        <f>IF(ISNUMBER($V824),$V824,IF(ISNUMBER($U824),$U824,""))</f>
        <v/>
      </c>
      <c r="CR824" s="77">
        <f>IF(ISNUMBER($CQ824),YEAR($CQ824),"")</f>
        <v/>
      </c>
      <c r="CS824" s="78">
        <f>IF(ISNUMBER($M824),MAX(0,$M824),IF(TRIM($M824&amp;"")="matured",0,""))</f>
        <v/>
      </c>
      <c r="CT824" s="78">
        <f>IF(AND(ISNUMBER($CS824),N($CS824)&lt;=mMatWindow),1,0)</f>
        <v/>
      </c>
      <c r="CU824" s="80">
        <f>IF(ISNUMBER($J824),$J824/100,"")</f>
        <v/>
      </c>
      <c r="CV824" s="81">
        <f>IF(ISNUMBER($AQ824),$AQ824,"")</f>
        <v/>
      </c>
      <c r="CW824" s="81">
        <f>IF(ISNUMBER($AR824),$AR824,"")</f>
        <v/>
      </c>
      <c r="CX824" s="82">
        <f>IF(ISNUMBER($AS824),$AS824/100,"")</f>
        <v/>
      </c>
      <c r="CY824" s="82">
        <f>IF(ISNUMBER($AT824),$AT824/100,"")</f>
        <v/>
      </c>
      <c r="CZ824" s="82">
        <f>IF(ISNUMBER($AU824),$AU824/100,"")</f>
        <v/>
      </c>
      <c r="DA824" s="82">
        <f>IF(ISNUMBER($AV824),$AV824/100,"")</f>
        <v/>
      </c>
      <c r="DB824" s="82">
        <f>IF(ISNUMBER($AW824),$AW824/100,"")</f>
        <v/>
      </c>
      <c r="DC824" s="82">
        <f>IF(ISNUMBER($AX824),$AX824/100,"")</f>
        <v/>
      </c>
      <c r="DD824" s="77">
        <f>IFERROR(VALUE(LEFT(TRIM($AO824&amp;""),4)),"")</f>
        <v/>
      </c>
      <c r="DE824" s="78">
        <f>IF(AND($BY824=1,$BX824=1,OR(fDeal="All Deals",$BU824=fDeal),OR(fEntity="All Entities",$BV824=fEntity),OR(fPType="All Property Types",$BZ824=fPType),OR(fDefeased="Include",$CJ824=0)),1,0)</f>
        <v/>
      </c>
      <c r="DF824" s="83">
        <f>$DE824*N($I824)</f>
        <v/>
      </c>
      <c r="DG824" s="78">
        <f>IF($DE824=1,IF(COUNTIFS($F$8:$F824,$F824,$DE$8:$DE824,1)=1,1,0),0)</f>
        <v/>
      </c>
      <c r="DH824" s="83">
        <f>IF($DG824=1,SUMIFS($DF$8:$DF$1600,$F$8:$F$1600,$F824),0)</f>
        <v/>
      </c>
      <c r="DI824" s="78">
        <f>IF($DG824=1,COUNTIFS($F$8:$F$1600,$F824,$DE$8:$DE$1600,1),0)</f>
        <v/>
      </c>
      <c r="DJ824" s="84">
        <f>IF($DG824=1,$DH824+(100000-ROW())/mTieBreak,0)</f>
        <v/>
      </c>
    </row>
    <row r="825">
      <c r="B825" s="68" t="n">
        <v>10</v>
      </c>
      <c r="C825" s="69" t="inlineStr">
        <is>
          <t>DBJ17C06</t>
        </is>
      </c>
      <c r="D825" s="69" t="inlineStr">
        <is>
          <t>10.000</t>
        </is>
      </c>
      <c r="E825" s="69" t="inlineStr">
        <is>
          <t>Save Mart Portfolio</t>
        </is>
      </c>
      <c r="F825" s="69" t="inlineStr">
        <is>
          <t>SPLIT_LOAN_00994</t>
        </is>
      </c>
      <c r="G825" s="70" t="n">
        <v>994</v>
      </c>
      <c r="H825" s="71" t="n">
        <v>40000000</v>
      </c>
      <c r="I825" s="71" t="n">
        <v>0</v>
      </c>
      <c r="J825" s="72" t="n">
        <v>4.415376</v>
      </c>
      <c r="K825" s="69" t="inlineStr">
        <is>
          <t>Fixed rate</t>
        </is>
      </c>
      <c r="L825" s="68" t="n">
        <v>120</v>
      </c>
      <c r="M825" s="68" t="n"/>
      <c r="N825" s="68" t="n">
        <v>120</v>
      </c>
      <c r="O825" s="68" t="n">
        <v>120</v>
      </c>
      <c r="P825" s="68" t="n"/>
      <c r="Q825" s="68" t="n"/>
      <c r="R825" s="69" t="inlineStr">
        <is>
          <t>IO</t>
        </is>
      </c>
      <c r="S825" s="69" t="inlineStr">
        <is>
          <t>Yes</t>
        </is>
      </c>
      <c r="T825" s="73" t="n">
        <v>42887</v>
      </c>
      <c r="U825" s="73" t="n">
        <v>46544</v>
      </c>
      <c r="V825" s="73" t="n"/>
      <c r="W825" s="69" t="n"/>
      <c r="X825" s="69" t="inlineStr">
        <is>
          <t>Current</t>
        </is>
      </c>
      <c r="Y825" s="68" t="n"/>
      <c r="Z825" s="69" t="inlineStr">
        <is>
          <t>Defeasance Not Allowable</t>
        </is>
      </c>
      <c r="AA825" s="69" t="inlineStr">
        <is>
          <t>Previously</t>
        </is>
      </c>
      <c r="AB825" s="69" t="inlineStr">
        <is>
          <t>Never special serv</t>
        </is>
      </c>
      <c r="AC825" s="73" t="n"/>
      <c r="AD825" s="69" t="n"/>
      <c r="AE825" s="69" t="n"/>
      <c r="AF825" s="69" t="inlineStr">
        <is>
          <t>CA</t>
        </is>
      </c>
      <c r="AG825" s="69" t="n"/>
      <c r="AH825" s="69" t="inlineStr">
        <is>
          <t>San Francisco-Oakland-Fremont, CA-36.474338225% Sacramento-Roseville-Folsom, CA-15.358202325% San Jose-Sunnyvale-Santa Clara, CA-14.044011200% Fresno, CA-9.430425300% Salinas, CA-5.078564125% Stockton-Lodi, CA-5.067427050% Vallejo, CA-4.095706475% Modesto, CA-3.174102950% Truckee-Grass Valley, CA-3.071083525% Chico, CA-2.450184700% Santa Rosa-Petaluma, CA-1.355954125%</t>
        </is>
      </c>
      <c r="AI825" s="69" t="inlineStr">
        <is>
          <t>West / Pacific North-99.600000000% West / Pacific South-0.400000000%</t>
        </is>
      </c>
      <c r="AJ825" s="69" t="inlineStr">
        <is>
          <t>RT</t>
        </is>
      </c>
      <c r="AK825" s="69" t="inlineStr">
        <is>
          <t>Single Tenant</t>
        </is>
      </c>
      <c r="AL825" s="68" t="n">
        <v>33</v>
      </c>
      <c r="AM825" s="68" t="n"/>
      <c r="AN825" s="68" t="n">
        <v>1733239</v>
      </c>
      <c r="AO825" s="69" t="n"/>
      <c r="AP825" s="70" t="n">
        <v>2012</v>
      </c>
      <c r="AQ825" s="74" t="n">
        <v>3.02</v>
      </c>
      <c r="AR825" s="74" t="n">
        <v>2.76</v>
      </c>
      <c r="AS825" s="74" t="n">
        <v>38.1</v>
      </c>
      <c r="AT825" s="74" t="n"/>
      <c r="AU825" s="74" t="n">
        <v>38.1</v>
      </c>
      <c r="AV825" s="74" t="n">
        <v>13.497263768</v>
      </c>
      <c r="AW825" s="74" t="n"/>
      <c r="AX825" s="75" t="n">
        <v>100</v>
      </c>
      <c r="AY825" s="71" t="n">
        <v>361740000</v>
      </c>
      <c r="AZ825" s="71" t="n">
        <v>361740000</v>
      </c>
      <c r="BA825" s="71" t="n">
        <v>18626224</v>
      </c>
      <c r="BB825" s="71" t="n">
        <v>17085028</v>
      </c>
      <c r="BC825" s="69" t="inlineStr">
        <is>
          <t>Refinance</t>
        </is>
      </c>
      <c r="BD825" s="69" t="inlineStr">
        <is>
          <t>N</t>
        </is>
      </c>
      <c r="BE825" s="71" t="n">
        <v>0</v>
      </c>
      <c r="BF825" s="71" t="n">
        <v>0</v>
      </c>
      <c r="BG825" s="71" t="n"/>
      <c r="BH825" s="71" t="n">
        <v>0</v>
      </c>
      <c r="BI825" s="71" t="n">
        <v>0</v>
      </c>
      <c r="BJ825" s="69" t="inlineStr">
        <is>
          <t>N</t>
        </is>
      </c>
      <c r="BK825" s="69" t="inlineStr">
        <is>
          <t>Lucky's Grocery Store</t>
        </is>
      </c>
      <c r="BL825" s="75" t="n">
        <v>43.91</v>
      </c>
      <c r="BM825" s="73" t="n">
        <v>48334</v>
      </c>
      <c r="BN825" s="69" t="inlineStr">
        <is>
          <t>Standiford Partners, LLC</t>
        </is>
      </c>
      <c r="BO825" s="69" t="inlineStr">
        <is>
          <t>GACC</t>
        </is>
      </c>
      <c r="BP825" s="69" t="inlineStr">
        <is>
          <t>Midland Loan Services</t>
        </is>
      </c>
      <c r="BQ825" s="69" t="inlineStr">
        <is>
          <t>Aegon USA Realty</t>
        </is>
      </c>
      <c r="BR825" s="69" t="inlineStr">
        <is>
          <t>Payoff With Yield Maintenance</t>
        </is>
      </c>
      <c r="BS825" s="73" t="n">
        <v>44202</v>
      </c>
      <c r="BU825" s="76">
        <f>IF($C825="","",IFERROR(INDEX(dmName,MATCH($C825,dmID,0)),"Unmapped"))</f>
        <v/>
      </c>
      <c r="BV825" s="76">
        <f>IF($C825="","",IFERROR(INDEX(dmEntity,MATCH($C825,dmID,0)),"Unmapped"))</f>
        <v/>
      </c>
      <c r="BW825" s="77">
        <f>IF($C825="","",IFERROR(INDEX(dmVintage,MATCH($C825,dmID,0)),""))</f>
        <v/>
      </c>
      <c r="BX825" s="78">
        <f>IFERROR(INDEX(dmInclude,MATCH($C825,dmID,0)),0)</f>
        <v/>
      </c>
      <c r="BY825" s="78">
        <f>IF(N($I825)&gt;0,1,0)</f>
        <v/>
      </c>
      <c r="BZ825" s="76">
        <f>IF($AJ825="","Other / Leased Fee",IFERROR(INDEX(mapPTGroup,MATCH(LEFT(TRIM($AJ825),2),mapPTCode,0)),"Other / Leased Fee"))</f>
        <v/>
      </c>
      <c r="CA825" s="76">
        <f>IF(TRIM($AF825&amp;"")="","NR",LEFT(TRIM($AF825),2))</f>
        <v/>
      </c>
      <c r="CB825" s="76">
        <f>IFERROR(LOOKUP(2,1/(LEFT(TRIM($AI825&amp;""),LEN(mapRegion))=mapRegion),mapRegion),"Not Reported")</f>
        <v/>
      </c>
      <c r="CC825" s="76">
        <f>IF($BY825=0,"",IF(TRIM($W825&amp;"")="REO","REO",IF(TRIM($W825&amp;"")="FC","Foreclosure",IF(TRIM($W825&amp;"")="90+","90+ Days Delinquent",IF(TRIM($W825&amp;"")="60","60 Days Delinquent",IF(TRIM($W825&amp;"")="30","30 Days Delinquent",IF($X825="Non-Performing Matured Balloon","Non-Performing Matured Balloon",IF(OR($X825="Late Payment But Less Than 30 Days Delinquent",LEFT($X825&amp;"",20)="Payment Not Received"),"Late / In Grace (&lt;30 Days)",IF($X825="Performing Matured Balloon","Performing Matured Balloon","Current")))))))))</f>
        <v/>
      </c>
      <c r="CD825" s="78">
        <f>IF(OR($CC825="REO",$CC825="Foreclosure",$CC825="90+ Days Delinquent",$CC825="60 Days Delinquent",$CC825="30 Days Delinquent",$CC825="Non-Performing Matured Balloon"),1,0)</f>
        <v/>
      </c>
      <c r="CE825" s="76">
        <f>IF($AB825="Currently special serv","Currently Specially Serviced",IF($AB825="Returned to master serv","Previously Specially Serviced","Never Specially Serviced"))</f>
        <v/>
      </c>
      <c r="CF825" s="78">
        <f>IF($CE825="Currently Specially Serviced",1,0)</f>
        <v/>
      </c>
      <c r="CG825" s="76">
        <f>IF($AA825="Yes","Currently on Watchlist",IF($AA825="Previously","Previously on Watchlist","Never on Watchlist"))</f>
        <v/>
      </c>
      <c r="CH825" s="78">
        <f>IF($CG825="Currently on Watchlist",1,0)</f>
        <v/>
      </c>
      <c r="CI825" s="76">
        <f>IF($Z825="Full Defeasance","Fully Defeased",IF($Z825="Portion Of Loan Previously Defeased","Partially Defeased",IF($Z825="Defeasance Not Allowable","Not Defeased (Not Permitted)","Not Defeased")))</f>
        <v/>
      </c>
      <c r="CJ825" s="78">
        <f>IF($CI825="Fully Defeased",1,0)</f>
        <v/>
      </c>
      <c r="CK825" s="76">
        <f>IF($R825="IO","Full IO",IF(LEFT($R825&amp;"",7)="IO then","Partial IO","Amortizing"))</f>
        <v/>
      </c>
      <c r="CL825" s="78">
        <f>IF($CK825="Full IO",1,0)</f>
        <v/>
      </c>
      <c r="CM825" s="78">
        <f>IF($CK825="Partial IO",1,0)</f>
        <v/>
      </c>
      <c r="CN825" s="76">
        <f>IF(LEFT($F825&amp;"",10)="SPLIT_LOAN","Pari Passu Split","Standalone")</f>
        <v/>
      </c>
      <c r="CO825" s="78">
        <f>IF($CN825="Pari Passu Split",1,0)</f>
        <v/>
      </c>
      <c r="CP825" s="77">
        <f>IF(ISNUMBER($T825),YEAR($T825),"")</f>
        <v/>
      </c>
      <c r="CQ825" s="79">
        <f>IF(ISNUMBER($V825),$V825,IF(ISNUMBER($U825),$U825,""))</f>
        <v/>
      </c>
      <c r="CR825" s="77">
        <f>IF(ISNUMBER($CQ825),YEAR($CQ825),"")</f>
        <v/>
      </c>
      <c r="CS825" s="78">
        <f>IF(ISNUMBER($M825),MAX(0,$M825),IF(TRIM($M825&amp;"")="matured",0,""))</f>
        <v/>
      </c>
      <c r="CT825" s="78">
        <f>IF(AND(ISNUMBER($CS825),N($CS825)&lt;=mMatWindow),1,0)</f>
        <v/>
      </c>
      <c r="CU825" s="80">
        <f>IF(ISNUMBER($J825),$J825/100,"")</f>
        <v/>
      </c>
      <c r="CV825" s="81">
        <f>IF(ISNUMBER($AQ825),$AQ825,"")</f>
        <v/>
      </c>
      <c r="CW825" s="81">
        <f>IF(ISNUMBER($AR825),$AR825,"")</f>
        <v/>
      </c>
      <c r="CX825" s="82">
        <f>IF(ISNUMBER($AS825),$AS825/100,"")</f>
        <v/>
      </c>
      <c r="CY825" s="82">
        <f>IF(ISNUMBER($AT825),$AT825/100,"")</f>
        <v/>
      </c>
      <c r="CZ825" s="82">
        <f>IF(ISNUMBER($AU825),$AU825/100,"")</f>
        <v/>
      </c>
      <c r="DA825" s="82">
        <f>IF(ISNUMBER($AV825),$AV825/100,"")</f>
        <v/>
      </c>
      <c r="DB825" s="82">
        <f>IF(ISNUMBER($AW825),$AW825/100,"")</f>
        <v/>
      </c>
      <c r="DC825" s="82">
        <f>IF(ISNUMBER($AX825),$AX825/100,"")</f>
        <v/>
      </c>
      <c r="DD825" s="77">
        <f>IFERROR(VALUE(LEFT(TRIM($AO825&amp;""),4)),"")</f>
        <v/>
      </c>
      <c r="DE825" s="78">
        <f>IF(AND($BY825=1,$BX825=1,OR(fDeal="All Deals",$BU825=fDeal),OR(fEntity="All Entities",$BV825=fEntity),OR(fPType="All Property Types",$BZ825=fPType),OR(fDefeased="Include",$CJ825=0)),1,0)</f>
        <v/>
      </c>
      <c r="DF825" s="83">
        <f>$DE825*N($I825)</f>
        <v/>
      </c>
      <c r="DG825" s="78">
        <f>IF($DE825=1,IF(COUNTIFS($F$8:$F825,$F825,$DE$8:$DE825,1)=1,1,0),0)</f>
        <v/>
      </c>
      <c r="DH825" s="83">
        <f>IF($DG825=1,SUMIFS($DF$8:$DF$1600,$F$8:$F$1600,$F825),0)</f>
        <v/>
      </c>
      <c r="DI825" s="78">
        <f>IF($DG825=1,COUNTIFS($F$8:$F$1600,$F825,$DE$8:$DE$1600,1),0)</f>
        <v/>
      </c>
      <c r="DJ825" s="84">
        <f>IF($DG825=1,$DH825+(100000-ROW())/mTieBreak,0)</f>
        <v/>
      </c>
    </row>
    <row r="826">
      <c r="B826" s="68" t="n">
        <v>11</v>
      </c>
      <c r="C826" s="69" t="inlineStr">
        <is>
          <t>DBJ17C06</t>
        </is>
      </c>
      <c r="D826" s="69" t="inlineStr">
        <is>
          <t>11.000</t>
        </is>
      </c>
      <c r="E826" s="69" t="inlineStr">
        <is>
          <t>Lake Forest Gateway</t>
        </is>
      </c>
      <c r="F826" s="69" t="inlineStr">
        <is>
          <t>LNDBJ17C06-11.000</t>
        </is>
      </c>
      <c r="G826" s="70" t="n"/>
      <c r="H826" s="71" t="n">
        <v>36100000</v>
      </c>
      <c r="I826" s="71" t="n">
        <v>32209557.1899988</v>
      </c>
      <c r="J826" s="72" t="n">
        <v>4.67</v>
      </c>
      <c r="K826" s="69" t="inlineStr">
        <is>
          <t>Fixed rate</t>
        </is>
      </c>
      <c r="L826" s="68" t="n">
        <v>120</v>
      </c>
      <c r="M826" s="68" t="n">
        <v>8</v>
      </c>
      <c r="N826" s="68" t="n">
        <v>396</v>
      </c>
      <c r="O826" s="68" t="n">
        <v>36</v>
      </c>
      <c r="P826" s="68" t="n">
        <v>0</v>
      </c>
      <c r="Q826" s="68" t="n">
        <v>112</v>
      </c>
      <c r="R826" s="69" t="inlineStr">
        <is>
          <t>IO then Amort</t>
        </is>
      </c>
      <c r="S826" s="69" t="inlineStr">
        <is>
          <t>No</t>
        </is>
      </c>
      <c r="T826" s="73" t="n">
        <v>42856</v>
      </c>
      <c r="U826" s="73" t="n">
        <v>46513</v>
      </c>
      <c r="V826" s="73" t="n"/>
      <c r="W826" s="69" t="n"/>
      <c r="X826" s="69" t="inlineStr">
        <is>
          <t>Current</t>
        </is>
      </c>
      <c r="Y826" s="68" t="n"/>
      <c r="Z826" s="69" t="inlineStr">
        <is>
          <t>No Defeasance Occurred</t>
        </is>
      </c>
      <c r="AA826" s="69" t="inlineStr">
        <is>
          <t>Yes</t>
        </is>
      </c>
      <c r="AB826" s="69" t="inlineStr">
        <is>
          <t>Returned to master serv</t>
        </is>
      </c>
      <c r="AC826" s="73" t="n"/>
      <c r="AD826" s="69" t="inlineStr">
        <is>
          <t>Other</t>
        </is>
      </c>
      <c r="AE826" s="69" t="inlineStr">
        <is>
          <t>Resolved</t>
        </is>
      </c>
      <c r="AF826" s="69" t="inlineStr">
        <is>
          <t>CA</t>
        </is>
      </c>
      <c r="AG826" s="69" t="inlineStr">
        <is>
          <t>Lake Forest</t>
        </is>
      </c>
      <c r="AH826" s="69" t="inlineStr">
        <is>
          <t>Los Angeles-Long Beach-Anaheim, CA</t>
        </is>
      </c>
      <c r="AI826" s="69" t="inlineStr">
        <is>
          <t>West / Pacific South</t>
        </is>
      </c>
      <c r="AJ826" s="69" t="inlineStr">
        <is>
          <t>RT</t>
        </is>
      </c>
      <c r="AK826" s="69" t="inlineStr">
        <is>
          <t>Unanchored</t>
        </is>
      </c>
      <c r="AL826" s="68" t="n">
        <v>1</v>
      </c>
      <c r="AM826" s="68" t="n"/>
      <c r="AN826" s="68" t="n">
        <v>77710</v>
      </c>
      <c r="AO826" s="69" t="inlineStr">
        <is>
          <t>1973, 2010, 2015</t>
        </is>
      </c>
      <c r="AP826" s="70" t="n">
        <v>2016</v>
      </c>
      <c r="AQ826" s="74" t="n">
        <v>1.29</v>
      </c>
      <c r="AR826" s="74" t="n">
        <v>1.15</v>
      </c>
      <c r="AS826" s="74" t="n">
        <v>68.7</v>
      </c>
      <c r="AT826" s="74" t="n">
        <v>87.05</v>
      </c>
      <c r="AU826" s="74" t="n">
        <v>60.4</v>
      </c>
      <c r="AV826" s="74" t="n">
        <v>7.980858061</v>
      </c>
      <c r="AW826" s="74" t="n">
        <v>10.094369913</v>
      </c>
      <c r="AX826" s="75" t="n">
        <v>93</v>
      </c>
      <c r="AY826" s="71" t="n">
        <v>52540000</v>
      </c>
      <c r="AZ826" s="71" t="n">
        <v>37000000</v>
      </c>
      <c r="BA826" s="71" t="n">
        <v>2881089.76</v>
      </c>
      <c r="BB826" s="71" t="n">
        <v>644846.54</v>
      </c>
      <c r="BC826" s="69" t="inlineStr">
        <is>
          <t>Refinance</t>
        </is>
      </c>
      <c r="BD826" s="69" t="inlineStr">
        <is>
          <t>N</t>
        </is>
      </c>
      <c r="BE826" s="71" t="n"/>
      <c r="BF826" s="71" t="n"/>
      <c r="BG826" s="71" t="n"/>
      <c r="BH826" s="71" t="n">
        <v>0</v>
      </c>
      <c r="BI826" s="71" t="n">
        <v>0</v>
      </c>
      <c r="BJ826" s="69" t="inlineStr">
        <is>
          <t>Y</t>
        </is>
      </c>
      <c r="BK826" s="69" t="inlineStr">
        <is>
          <t>PHENIX SALON STUDIOS</t>
        </is>
      </c>
      <c r="BL826" s="75" t="n">
        <v>10.74</v>
      </c>
      <c r="BM826" s="73" t="n">
        <v>47726</v>
      </c>
      <c r="BN826" s="69" t="inlineStr">
        <is>
          <t>National Credit Tenant Investments, LLC; Diversified Partners, Inc.</t>
        </is>
      </c>
      <c r="BO826" s="69" t="inlineStr">
        <is>
          <t>GACC</t>
        </is>
      </c>
      <c r="BP826" s="69" t="inlineStr">
        <is>
          <t>Midland Loan Services</t>
        </is>
      </c>
      <c r="BQ826" s="69" t="inlineStr">
        <is>
          <t>K-Star Asset Management LLC</t>
        </is>
      </c>
      <c r="BR826" s="69" t="n"/>
      <c r="BS826" s="73" t="n">
        <v>46273</v>
      </c>
      <c r="BU826" s="76">
        <f>IF($C826="","",IFERROR(INDEX(dmName,MATCH($C826,dmID,0)),"Unmapped"))</f>
        <v/>
      </c>
      <c r="BV826" s="76">
        <f>IF($C826="","",IFERROR(INDEX(dmEntity,MATCH($C826,dmID,0)),"Unmapped"))</f>
        <v/>
      </c>
      <c r="BW826" s="77">
        <f>IF($C826="","",IFERROR(INDEX(dmVintage,MATCH($C826,dmID,0)),""))</f>
        <v/>
      </c>
      <c r="BX826" s="78">
        <f>IFERROR(INDEX(dmInclude,MATCH($C826,dmID,0)),0)</f>
        <v/>
      </c>
      <c r="BY826" s="78">
        <f>IF(N($I826)&gt;0,1,0)</f>
        <v/>
      </c>
      <c r="BZ826" s="76">
        <f>IF($AJ826="","Other / Leased Fee",IFERROR(INDEX(mapPTGroup,MATCH(LEFT(TRIM($AJ826),2),mapPTCode,0)),"Other / Leased Fee"))</f>
        <v/>
      </c>
      <c r="CA826" s="76">
        <f>IF(TRIM($AF826&amp;"")="","NR",LEFT(TRIM($AF826),2))</f>
        <v/>
      </c>
      <c r="CB826" s="76">
        <f>IFERROR(LOOKUP(2,1/(LEFT(TRIM($AI826&amp;""),LEN(mapRegion))=mapRegion),mapRegion),"Not Reported")</f>
        <v/>
      </c>
      <c r="CC826" s="76">
        <f>IF($BY826=0,"",IF(TRIM($W826&amp;"")="REO","REO",IF(TRIM($W826&amp;"")="FC","Foreclosure",IF(TRIM($W826&amp;"")="90+","90+ Days Delinquent",IF(TRIM($W826&amp;"")="60","60 Days Delinquent",IF(TRIM($W826&amp;"")="30","30 Days Delinquent",IF($X826="Non-Performing Matured Balloon","Non-Performing Matured Balloon",IF(OR($X826="Late Payment But Less Than 30 Days Delinquent",LEFT($X826&amp;"",20)="Payment Not Received"),"Late / In Grace (&lt;30 Days)",IF($X826="Performing Matured Balloon","Performing Matured Balloon","Current")))))))))</f>
        <v/>
      </c>
      <c r="CD826" s="78">
        <f>IF(OR($CC826="REO",$CC826="Foreclosure",$CC826="90+ Days Delinquent",$CC826="60 Days Delinquent",$CC826="30 Days Delinquent",$CC826="Non-Performing Matured Balloon"),1,0)</f>
        <v/>
      </c>
      <c r="CE826" s="76">
        <f>IF($AB826="Currently special serv","Currently Specially Serviced",IF($AB826="Returned to master serv","Previously Specially Serviced","Never Specially Serviced"))</f>
        <v/>
      </c>
      <c r="CF826" s="78">
        <f>IF($CE826="Currently Specially Serviced",1,0)</f>
        <v/>
      </c>
      <c r="CG826" s="76">
        <f>IF($AA826="Yes","Currently on Watchlist",IF($AA826="Previously","Previously on Watchlist","Never on Watchlist"))</f>
        <v/>
      </c>
      <c r="CH826" s="78">
        <f>IF($CG826="Currently on Watchlist",1,0)</f>
        <v/>
      </c>
      <c r="CI826" s="76">
        <f>IF($Z826="Full Defeasance","Fully Defeased",IF($Z826="Portion Of Loan Previously Defeased","Partially Defeased",IF($Z826="Defeasance Not Allowable","Not Defeased (Not Permitted)","Not Defeased")))</f>
        <v/>
      </c>
      <c r="CJ826" s="78">
        <f>IF($CI826="Fully Defeased",1,0)</f>
        <v/>
      </c>
      <c r="CK826" s="76">
        <f>IF($R826="IO","Full IO",IF(LEFT($R826&amp;"",7)="IO then","Partial IO","Amortizing"))</f>
        <v/>
      </c>
      <c r="CL826" s="78">
        <f>IF($CK826="Full IO",1,0)</f>
        <v/>
      </c>
      <c r="CM826" s="78">
        <f>IF($CK826="Partial IO",1,0)</f>
        <v/>
      </c>
      <c r="CN826" s="76">
        <f>IF(LEFT($F826&amp;"",10)="SPLIT_LOAN","Pari Passu Split","Standalone")</f>
        <v/>
      </c>
      <c r="CO826" s="78">
        <f>IF($CN826="Pari Passu Split",1,0)</f>
        <v/>
      </c>
      <c r="CP826" s="77">
        <f>IF(ISNUMBER($T826),YEAR($T826),"")</f>
        <v/>
      </c>
      <c r="CQ826" s="79">
        <f>IF(ISNUMBER($V826),$V826,IF(ISNUMBER($U826),$U826,""))</f>
        <v/>
      </c>
      <c r="CR826" s="77">
        <f>IF(ISNUMBER($CQ826),YEAR($CQ826),"")</f>
        <v/>
      </c>
      <c r="CS826" s="78">
        <f>IF(ISNUMBER($M826),MAX(0,$M826),IF(TRIM($M826&amp;"")="matured",0,""))</f>
        <v/>
      </c>
      <c r="CT826" s="78">
        <f>IF(AND(ISNUMBER($CS826),N($CS826)&lt;=mMatWindow),1,0)</f>
        <v/>
      </c>
      <c r="CU826" s="80">
        <f>IF(ISNUMBER($J826),$J826/100,"")</f>
        <v/>
      </c>
      <c r="CV826" s="81">
        <f>IF(ISNUMBER($AQ826),$AQ826,"")</f>
        <v/>
      </c>
      <c r="CW826" s="81">
        <f>IF(ISNUMBER($AR826),$AR826,"")</f>
        <v/>
      </c>
      <c r="CX826" s="82">
        <f>IF(ISNUMBER($AS826),$AS826/100,"")</f>
        <v/>
      </c>
      <c r="CY826" s="82">
        <f>IF(ISNUMBER($AT826),$AT826/100,"")</f>
        <v/>
      </c>
      <c r="CZ826" s="82">
        <f>IF(ISNUMBER($AU826),$AU826/100,"")</f>
        <v/>
      </c>
      <c r="DA826" s="82">
        <f>IF(ISNUMBER($AV826),$AV826/100,"")</f>
        <v/>
      </c>
      <c r="DB826" s="82">
        <f>IF(ISNUMBER($AW826),$AW826/100,"")</f>
        <v/>
      </c>
      <c r="DC826" s="82">
        <f>IF(ISNUMBER($AX826),$AX826/100,"")</f>
        <v/>
      </c>
      <c r="DD826" s="77">
        <f>IFERROR(VALUE(LEFT(TRIM($AO826&amp;""),4)),"")</f>
        <v/>
      </c>
      <c r="DE826" s="78">
        <f>IF(AND($BY826=1,$BX826=1,OR(fDeal="All Deals",$BU826=fDeal),OR(fEntity="All Entities",$BV826=fEntity),OR(fPType="All Property Types",$BZ826=fPType),OR(fDefeased="Include",$CJ826=0)),1,0)</f>
        <v/>
      </c>
      <c r="DF826" s="83">
        <f>$DE826*N($I826)</f>
        <v/>
      </c>
      <c r="DG826" s="78">
        <f>IF($DE826=1,IF(COUNTIFS($F$8:$F826,$F826,$DE$8:$DE826,1)=1,1,0),0)</f>
        <v/>
      </c>
      <c r="DH826" s="83">
        <f>IF($DG826=1,SUMIFS($DF$8:$DF$1600,$F$8:$F$1600,$F826),0)</f>
        <v/>
      </c>
      <c r="DI826" s="78">
        <f>IF($DG826=1,COUNTIFS($F$8:$F$1600,$F826,$DE$8:$DE$1600,1),0)</f>
        <v/>
      </c>
      <c r="DJ826" s="84">
        <f>IF($DG826=1,$DH826+(100000-ROW())/mTieBreak,0)</f>
        <v/>
      </c>
    </row>
    <row r="827">
      <c r="B827" s="68" t="n">
        <v>12</v>
      </c>
      <c r="C827" s="69" t="inlineStr">
        <is>
          <t>DBJ17C06</t>
        </is>
      </c>
      <c r="D827" s="69" t="inlineStr">
        <is>
          <t>12.000</t>
        </is>
      </c>
      <c r="E827" s="69" t="inlineStr">
        <is>
          <t>Portola Hotel &amp; Spa</t>
        </is>
      </c>
      <c r="F827" s="69" t="inlineStr">
        <is>
          <t>LNDBJ17C06-12.000</t>
        </is>
      </c>
      <c r="G827" s="70" t="n"/>
      <c r="H827" s="71" t="n">
        <v>35000000</v>
      </c>
      <c r="I827" s="71" t="n">
        <v>35000000</v>
      </c>
      <c r="J827" s="72" t="n">
        <v>4.063</v>
      </c>
      <c r="K827" s="69" t="inlineStr">
        <is>
          <t>Fixed rate</t>
        </is>
      </c>
      <c r="L827" s="68" t="n">
        <v>120</v>
      </c>
      <c r="M827" s="68" t="n">
        <v>8</v>
      </c>
      <c r="N827" s="68" t="n">
        <v>120</v>
      </c>
      <c r="O827" s="68" t="n">
        <v>120</v>
      </c>
      <c r="P827" s="68" t="n">
        <v>8</v>
      </c>
      <c r="Q827" s="68" t="n">
        <v>112</v>
      </c>
      <c r="R827" s="69" t="inlineStr">
        <is>
          <t>IO</t>
        </is>
      </c>
      <c r="S827" s="69" t="inlineStr">
        <is>
          <t>Yes</t>
        </is>
      </c>
      <c r="T827" s="73" t="n">
        <v>42856</v>
      </c>
      <c r="U827" s="73" t="n">
        <v>46508</v>
      </c>
      <c r="V827" s="73" t="n"/>
      <c r="W827" s="69" t="n"/>
      <c r="X827" s="69" t="inlineStr">
        <is>
          <t>Current</t>
        </is>
      </c>
      <c r="Y827" s="68" t="n"/>
      <c r="Z827" s="69" t="inlineStr">
        <is>
          <t>Defeasance Not Allowable</t>
        </is>
      </c>
      <c r="AA827" s="69" t="inlineStr">
        <is>
          <t>Previously</t>
        </is>
      </c>
      <c r="AB827" s="69" t="inlineStr">
        <is>
          <t>Never special serv</t>
        </is>
      </c>
      <c r="AC827" s="73" t="n"/>
      <c r="AD827" s="69" t="n"/>
      <c r="AE827" s="69" t="n"/>
      <c r="AF827" s="69" t="inlineStr">
        <is>
          <t>CA</t>
        </is>
      </c>
      <c r="AG827" s="69" t="inlineStr">
        <is>
          <t>Monterey</t>
        </is>
      </c>
      <c r="AH827" s="69" t="inlineStr">
        <is>
          <t>Salinas, CA</t>
        </is>
      </c>
      <c r="AI827" s="69" t="inlineStr">
        <is>
          <t>West / Pacific North</t>
        </is>
      </c>
      <c r="AJ827" s="69" t="inlineStr">
        <is>
          <t>HT</t>
        </is>
      </c>
      <c r="AK827" s="69" t="inlineStr">
        <is>
          <t>Full Service</t>
        </is>
      </c>
      <c r="AL827" s="68" t="n">
        <v>1</v>
      </c>
      <c r="AM827" s="68" t="n">
        <v>379</v>
      </c>
      <c r="AN827" s="68" t="n"/>
      <c r="AO827" s="69" t="inlineStr">
        <is>
          <t>1978</t>
        </is>
      </c>
      <c r="AP827" s="70" t="n">
        <v>2017</v>
      </c>
      <c r="AQ827" s="74" t="n">
        <v>3.92</v>
      </c>
      <c r="AR827" s="74" t="n">
        <v>0.52</v>
      </c>
      <c r="AS827" s="74" t="n">
        <v>34.5</v>
      </c>
      <c r="AT827" s="74" t="n">
        <v>34.52</v>
      </c>
      <c r="AU827" s="74" t="n">
        <v>34.5</v>
      </c>
      <c r="AV827" s="74" t="n">
        <v>16.137474286</v>
      </c>
      <c r="AW827" s="74" t="n">
        <v>21.506892714</v>
      </c>
      <c r="AX827" s="75" t="n">
        <v>68</v>
      </c>
      <c r="AY827" s="71" t="n">
        <v>101400000</v>
      </c>
      <c r="AZ827" s="71" t="n">
        <v>101400000</v>
      </c>
      <c r="BA827" s="71" t="n">
        <v>5648116</v>
      </c>
      <c r="BB827" s="71" t="n">
        <v>186070.15</v>
      </c>
      <c r="BC827" s="69" t="inlineStr">
        <is>
          <t>Refinance</t>
        </is>
      </c>
      <c r="BD827" s="69" t="inlineStr">
        <is>
          <t>N</t>
        </is>
      </c>
      <c r="BE827" s="71" t="n"/>
      <c r="BF827" s="71" t="n"/>
      <c r="BG827" s="71" t="n"/>
      <c r="BH827" s="71" t="n">
        <v>0</v>
      </c>
      <c r="BI827" s="71" t="n">
        <v>0</v>
      </c>
      <c r="BJ827" s="69" t="inlineStr">
        <is>
          <t>Y</t>
        </is>
      </c>
      <c r="BK827" s="69" t="n"/>
      <c r="BL827" s="75" t="n"/>
      <c r="BM827" s="73" t="n"/>
      <c r="BN827" s="69" t="inlineStr">
        <is>
          <t>James E. Grier</t>
        </is>
      </c>
      <c r="BO827" s="69" t="inlineStr">
        <is>
          <t>JPMorgan Chase</t>
        </is>
      </c>
      <c r="BP827" s="69" t="inlineStr">
        <is>
          <t>Midland Loan Services</t>
        </is>
      </c>
      <c r="BQ827" s="69" t="inlineStr">
        <is>
          <t>K-Star Asset Management LLC</t>
        </is>
      </c>
      <c r="BR827" s="69" t="n"/>
      <c r="BS827" s="73" t="n">
        <v>46273</v>
      </c>
      <c r="BU827" s="76">
        <f>IF($C827="","",IFERROR(INDEX(dmName,MATCH($C827,dmID,0)),"Unmapped"))</f>
        <v/>
      </c>
      <c r="BV827" s="76">
        <f>IF($C827="","",IFERROR(INDEX(dmEntity,MATCH($C827,dmID,0)),"Unmapped"))</f>
        <v/>
      </c>
      <c r="BW827" s="77">
        <f>IF($C827="","",IFERROR(INDEX(dmVintage,MATCH($C827,dmID,0)),""))</f>
        <v/>
      </c>
      <c r="BX827" s="78">
        <f>IFERROR(INDEX(dmInclude,MATCH($C827,dmID,0)),0)</f>
        <v/>
      </c>
      <c r="BY827" s="78">
        <f>IF(N($I827)&gt;0,1,0)</f>
        <v/>
      </c>
      <c r="BZ827" s="76">
        <f>IF($AJ827="","Other / Leased Fee",IFERROR(INDEX(mapPTGroup,MATCH(LEFT(TRIM($AJ827),2),mapPTCode,0)),"Other / Leased Fee"))</f>
        <v/>
      </c>
      <c r="CA827" s="76">
        <f>IF(TRIM($AF827&amp;"")="","NR",LEFT(TRIM($AF827),2))</f>
        <v/>
      </c>
      <c r="CB827" s="76">
        <f>IFERROR(LOOKUP(2,1/(LEFT(TRIM($AI827&amp;""),LEN(mapRegion))=mapRegion),mapRegion),"Not Reported")</f>
        <v/>
      </c>
      <c r="CC827" s="76">
        <f>IF($BY827=0,"",IF(TRIM($W827&amp;"")="REO","REO",IF(TRIM($W827&amp;"")="FC","Foreclosure",IF(TRIM($W827&amp;"")="90+","90+ Days Delinquent",IF(TRIM($W827&amp;"")="60","60 Days Delinquent",IF(TRIM($W827&amp;"")="30","30 Days Delinquent",IF($X827="Non-Performing Matured Balloon","Non-Performing Matured Balloon",IF(OR($X827="Late Payment But Less Than 30 Days Delinquent",LEFT($X827&amp;"",20)="Payment Not Received"),"Late / In Grace (&lt;30 Days)",IF($X827="Performing Matured Balloon","Performing Matured Balloon","Current")))))))))</f>
        <v/>
      </c>
      <c r="CD827" s="78">
        <f>IF(OR($CC827="REO",$CC827="Foreclosure",$CC827="90+ Days Delinquent",$CC827="60 Days Delinquent",$CC827="30 Days Delinquent",$CC827="Non-Performing Matured Balloon"),1,0)</f>
        <v/>
      </c>
      <c r="CE827" s="76">
        <f>IF($AB827="Currently special serv","Currently Specially Serviced",IF($AB827="Returned to master serv","Previously Specially Serviced","Never Specially Serviced"))</f>
        <v/>
      </c>
      <c r="CF827" s="78">
        <f>IF($CE827="Currently Specially Serviced",1,0)</f>
        <v/>
      </c>
      <c r="CG827" s="76">
        <f>IF($AA827="Yes","Currently on Watchlist",IF($AA827="Previously","Previously on Watchlist","Never on Watchlist"))</f>
        <v/>
      </c>
      <c r="CH827" s="78">
        <f>IF($CG827="Currently on Watchlist",1,0)</f>
        <v/>
      </c>
      <c r="CI827" s="76">
        <f>IF($Z827="Full Defeasance","Fully Defeased",IF($Z827="Portion Of Loan Previously Defeased","Partially Defeased",IF($Z827="Defeasance Not Allowable","Not Defeased (Not Permitted)","Not Defeased")))</f>
        <v/>
      </c>
      <c r="CJ827" s="78">
        <f>IF($CI827="Fully Defeased",1,0)</f>
        <v/>
      </c>
      <c r="CK827" s="76">
        <f>IF($R827="IO","Full IO",IF(LEFT($R827&amp;"",7)="IO then","Partial IO","Amortizing"))</f>
        <v/>
      </c>
      <c r="CL827" s="78">
        <f>IF($CK827="Full IO",1,0)</f>
        <v/>
      </c>
      <c r="CM827" s="78">
        <f>IF($CK827="Partial IO",1,0)</f>
        <v/>
      </c>
      <c r="CN827" s="76">
        <f>IF(LEFT($F827&amp;"",10)="SPLIT_LOAN","Pari Passu Split","Standalone")</f>
        <v/>
      </c>
      <c r="CO827" s="78">
        <f>IF($CN827="Pari Passu Split",1,0)</f>
        <v/>
      </c>
      <c r="CP827" s="77">
        <f>IF(ISNUMBER($T827),YEAR($T827),"")</f>
        <v/>
      </c>
      <c r="CQ827" s="79">
        <f>IF(ISNUMBER($V827),$V827,IF(ISNUMBER($U827),$U827,""))</f>
        <v/>
      </c>
      <c r="CR827" s="77">
        <f>IF(ISNUMBER($CQ827),YEAR($CQ827),"")</f>
        <v/>
      </c>
      <c r="CS827" s="78">
        <f>IF(ISNUMBER($M827),MAX(0,$M827),IF(TRIM($M827&amp;"")="matured",0,""))</f>
        <v/>
      </c>
      <c r="CT827" s="78">
        <f>IF(AND(ISNUMBER($CS827),N($CS827)&lt;=mMatWindow),1,0)</f>
        <v/>
      </c>
      <c r="CU827" s="80">
        <f>IF(ISNUMBER($J827),$J827/100,"")</f>
        <v/>
      </c>
      <c r="CV827" s="81">
        <f>IF(ISNUMBER($AQ827),$AQ827,"")</f>
        <v/>
      </c>
      <c r="CW827" s="81">
        <f>IF(ISNUMBER($AR827),$AR827,"")</f>
        <v/>
      </c>
      <c r="CX827" s="82">
        <f>IF(ISNUMBER($AS827),$AS827/100,"")</f>
        <v/>
      </c>
      <c r="CY827" s="82">
        <f>IF(ISNUMBER($AT827),$AT827/100,"")</f>
        <v/>
      </c>
      <c r="CZ827" s="82">
        <f>IF(ISNUMBER($AU827),$AU827/100,"")</f>
        <v/>
      </c>
      <c r="DA827" s="82">
        <f>IF(ISNUMBER($AV827),$AV827/100,"")</f>
        <v/>
      </c>
      <c r="DB827" s="82">
        <f>IF(ISNUMBER($AW827),$AW827/100,"")</f>
        <v/>
      </c>
      <c r="DC827" s="82">
        <f>IF(ISNUMBER($AX827),$AX827/100,"")</f>
        <v/>
      </c>
      <c r="DD827" s="77">
        <f>IFERROR(VALUE(LEFT(TRIM($AO827&amp;""),4)),"")</f>
        <v/>
      </c>
      <c r="DE827" s="78">
        <f>IF(AND($BY827=1,$BX827=1,OR(fDeal="All Deals",$BU827=fDeal),OR(fEntity="All Entities",$BV827=fEntity),OR(fPType="All Property Types",$BZ827=fPType),OR(fDefeased="Include",$CJ827=0)),1,0)</f>
        <v/>
      </c>
      <c r="DF827" s="83">
        <f>$DE827*N($I827)</f>
        <v/>
      </c>
      <c r="DG827" s="78">
        <f>IF($DE827=1,IF(COUNTIFS($F$8:$F827,$F827,$DE$8:$DE827,1)=1,1,0),0)</f>
        <v/>
      </c>
      <c r="DH827" s="83">
        <f>IF($DG827=1,SUMIFS($DF$8:$DF$1600,$F$8:$F$1600,$F827),0)</f>
        <v/>
      </c>
      <c r="DI827" s="78">
        <f>IF($DG827=1,COUNTIFS($F$8:$F$1600,$F827,$DE$8:$DE$1600,1),0)</f>
        <v/>
      </c>
      <c r="DJ827" s="84">
        <f>IF($DG827=1,$DH827+(100000-ROW())/mTieBreak,0)</f>
        <v/>
      </c>
    </row>
    <row r="828">
      <c r="B828" s="68" t="n">
        <v>13</v>
      </c>
      <c r="C828" s="69" t="inlineStr">
        <is>
          <t>DBJ17C06</t>
        </is>
      </c>
      <c r="D828" s="69" t="inlineStr">
        <is>
          <t>13.000</t>
        </is>
      </c>
      <c r="E828" s="69" t="inlineStr">
        <is>
          <t>50 West Liberty</t>
        </is>
      </c>
      <c r="F828" s="69" t="inlineStr">
        <is>
          <t>LNDBJ17C06-13.000</t>
        </is>
      </c>
      <c r="G828" s="70" t="n"/>
      <c r="H828" s="71" t="n">
        <v>34500000</v>
      </c>
      <c r="I828" s="71" t="n">
        <v>29962346.0099895</v>
      </c>
      <c r="J828" s="72" t="n">
        <v>4.58</v>
      </c>
      <c r="K828" s="69" t="inlineStr">
        <is>
          <t>Fixed rate</t>
        </is>
      </c>
      <c r="L828" s="68" t="n">
        <v>120</v>
      </c>
      <c r="M828" s="68" t="n">
        <v>7</v>
      </c>
      <c r="N828" s="68" t="n">
        <v>384</v>
      </c>
      <c r="O828" s="68" t="n">
        <v>24</v>
      </c>
      <c r="P828" s="68" t="n">
        <v>0</v>
      </c>
      <c r="Q828" s="68" t="n">
        <v>113</v>
      </c>
      <c r="R828" s="69" t="inlineStr">
        <is>
          <t>IO then Amort</t>
        </is>
      </c>
      <c r="S828" s="69" t="inlineStr">
        <is>
          <t>No</t>
        </is>
      </c>
      <c r="T828" s="73" t="n">
        <v>42826</v>
      </c>
      <c r="U828" s="73" t="n">
        <v>46483</v>
      </c>
      <c r="V828" s="73" t="n"/>
      <c r="W828" s="69" t="n"/>
      <c r="X828" s="69" t="inlineStr">
        <is>
          <t>Current</t>
        </is>
      </c>
      <c r="Y828" s="68" t="n"/>
      <c r="Z828" s="69" t="inlineStr">
        <is>
          <t>No Defeasance Occurred</t>
        </is>
      </c>
      <c r="AA828" s="69" t="n"/>
      <c r="AB828" s="69" t="inlineStr">
        <is>
          <t>Never special serv</t>
        </is>
      </c>
      <c r="AC828" s="73" t="n"/>
      <c r="AD828" s="69" t="n"/>
      <c r="AE828" s="69" t="n"/>
      <c r="AF828" s="69" t="inlineStr">
        <is>
          <t>NV</t>
        </is>
      </c>
      <c r="AG828" s="69" t="inlineStr">
        <is>
          <t>Reno</t>
        </is>
      </c>
      <c r="AH828" s="69" t="inlineStr">
        <is>
          <t>Reno, NV</t>
        </is>
      </c>
      <c r="AI828" s="69" t="inlineStr">
        <is>
          <t>West / Mountain</t>
        </is>
      </c>
      <c r="AJ828" s="69" t="inlineStr">
        <is>
          <t>OF</t>
        </is>
      </c>
      <c r="AK828" s="69" t="inlineStr">
        <is>
          <t>CBD</t>
        </is>
      </c>
      <c r="AL828" s="68" t="n">
        <v>1</v>
      </c>
      <c r="AM828" s="68" t="n"/>
      <c r="AN828" s="68" t="n">
        <v>244449</v>
      </c>
      <c r="AO828" s="69" t="inlineStr">
        <is>
          <t>1980</t>
        </is>
      </c>
      <c r="AP828" s="70" t="n">
        <v>2015</v>
      </c>
      <c r="AQ828" s="74" t="n">
        <v>1.44</v>
      </c>
      <c r="AR828" s="74" t="n">
        <v>1.46</v>
      </c>
      <c r="AS828" s="74" t="n">
        <v>72.5</v>
      </c>
      <c r="AT828" s="74" t="n">
        <v>62.99</v>
      </c>
      <c r="AU828" s="74" t="n">
        <v>62.1</v>
      </c>
      <c r="AV828" s="74" t="n">
        <v>8.855115739</v>
      </c>
      <c r="AW828" s="74" t="n">
        <v>9.879517041</v>
      </c>
      <c r="AX828" s="75" t="n">
        <v>92</v>
      </c>
      <c r="AY828" s="71" t="n">
        <v>47570000</v>
      </c>
      <c r="AZ828" s="71" t="n">
        <v>47570000</v>
      </c>
      <c r="BA828" s="71" t="n">
        <v>3055014.93</v>
      </c>
      <c r="BB828" s="71" t="n">
        <v>3097352.68</v>
      </c>
      <c r="BC828" s="69" t="inlineStr">
        <is>
          <t>Refinance</t>
        </is>
      </c>
      <c r="BD828" s="69" t="inlineStr">
        <is>
          <t>N</t>
        </is>
      </c>
      <c r="BE828" s="71" t="n"/>
      <c r="BF828" s="71" t="n"/>
      <c r="BG828" s="71" t="n"/>
      <c r="BH828" s="71" t="n">
        <v>0</v>
      </c>
      <c r="BI828" s="71" t="n">
        <v>0</v>
      </c>
      <c r="BJ828" s="69" t="inlineStr">
        <is>
          <t>N</t>
        </is>
      </c>
      <c r="BK828" s="69" t="inlineStr">
        <is>
          <t>ITS LOGISTICS 4- LLC t0001376</t>
        </is>
      </c>
      <c r="BL828" s="75" t="n">
        <v>17.1</v>
      </c>
      <c r="BM828" s="73" t="n">
        <v>48060</v>
      </c>
      <c r="BN828" s="69" t="inlineStr">
        <is>
          <t>Bruce Cardinal; Matthew T. White</t>
        </is>
      </c>
      <c r="BO828" s="69" t="inlineStr">
        <is>
          <t>GACC</t>
        </is>
      </c>
      <c r="BP828" s="69" t="inlineStr">
        <is>
          <t>Midland Loan Services</t>
        </is>
      </c>
      <c r="BQ828" s="69" t="inlineStr">
        <is>
          <t>K-Star Asset Management LLC</t>
        </is>
      </c>
      <c r="BR828" s="69" t="n"/>
      <c r="BS828" s="73" t="n">
        <v>46273</v>
      </c>
      <c r="BU828" s="76">
        <f>IF($C828="","",IFERROR(INDEX(dmName,MATCH($C828,dmID,0)),"Unmapped"))</f>
        <v/>
      </c>
      <c r="BV828" s="76">
        <f>IF($C828="","",IFERROR(INDEX(dmEntity,MATCH($C828,dmID,0)),"Unmapped"))</f>
        <v/>
      </c>
      <c r="BW828" s="77">
        <f>IF($C828="","",IFERROR(INDEX(dmVintage,MATCH($C828,dmID,0)),""))</f>
        <v/>
      </c>
      <c r="BX828" s="78">
        <f>IFERROR(INDEX(dmInclude,MATCH($C828,dmID,0)),0)</f>
        <v/>
      </c>
      <c r="BY828" s="78">
        <f>IF(N($I828)&gt;0,1,0)</f>
        <v/>
      </c>
      <c r="BZ828" s="76">
        <f>IF($AJ828="","Other / Leased Fee",IFERROR(INDEX(mapPTGroup,MATCH(LEFT(TRIM($AJ828),2),mapPTCode,0)),"Other / Leased Fee"))</f>
        <v/>
      </c>
      <c r="CA828" s="76">
        <f>IF(TRIM($AF828&amp;"")="","NR",LEFT(TRIM($AF828),2))</f>
        <v/>
      </c>
      <c r="CB828" s="76">
        <f>IFERROR(LOOKUP(2,1/(LEFT(TRIM($AI828&amp;""),LEN(mapRegion))=mapRegion),mapRegion),"Not Reported")</f>
        <v/>
      </c>
      <c r="CC828" s="76">
        <f>IF($BY828=0,"",IF(TRIM($W828&amp;"")="REO","REO",IF(TRIM($W828&amp;"")="FC","Foreclosure",IF(TRIM($W828&amp;"")="90+","90+ Days Delinquent",IF(TRIM($W828&amp;"")="60","60 Days Delinquent",IF(TRIM($W828&amp;"")="30","30 Days Delinquent",IF($X828="Non-Performing Matured Balloon","Non-Performing Matured Balloon",IF(OR($X828="Late Payment But Less Than 30 Days Delinquent",LEFT($X828&amp;"",20)="Payment Not Received"),"Late / In Grace (&lt;30 Days)",IF($X828="Performing Matured Balloon","Performing Matured Balloon","Current")))))))))</f>
        <v/>
      </c>
      <c r="CD828" s="78">
        <f>IF(OR($CC828="REO",$CC828="Foreclosure",$CC828="90+ Days Delinquent",$CC828="60 Days Delinquent",$CC828="30 Days Delinquent",$CC828="Non-Performing Matured Balloon"),1,0)</f>
        <v/>
      </c>
      <c r="CE828" s="76">
        <f>IF($AB828="Currently special serv","Currently Specially Serviced",IF($AB828="Returned to master serv","Previously Specially Serviced","Never Specially Serviced"))</f>
        <v/>
      </c>
      <c r="CF828" s="78">
        <f>IF($CE828="Currently Specially Serviced",1,0)</f>
        <v/>
      </c>
      <c r="CG828" s="76">
        <f>IF($AA828="Yes","Currently on Watchlist",IF($AA828="Previously","Previously on Watchlist","Never on Watchlist"))</f>
        <v/>
      </c>
      <c r="CH828" s="78">
        <f>IF($CG828="Currently on Watchlist",1,0)</f>
        <v/>
      </c>
      <c r="CI828" s="76">
        <f>IF($Z828="Full Defeasance","Fully Defeased",IF($Z828="Portion Of Loan Previously Defeased","Partially Defeased",IF($Z828="Defeasance Not Allowable","Not Defeased (Not Permitted)","Not Defeased")))</f>
        <v/>
      </c>
      <c r="CJ828" s="78">
        <f>IF($CI828="Fully Defeased",1,0)</f>
        <v/>
      </c>
      <c r="CK828" s="76">
        <f>IF($R828="IO","Full IO",IF(LEFT($R828&amp;"",7)="IO then","Partial IO","Amortizing"))</f>
        <v/>
      </c>
      <c r="CL828" s="78">
        <f>IF($CK828="Full IO",1,0)</f>
        <v/>
      </c>
      <c r="CM828" s="78">
        <f>IF($CK828="Partial IO",1,0)</f>
        <v/>
      </c>
      <c r="CN828" s="76">
        <f>IF(LEFT($F828&amp;"",10)="SPLIT_LOAN","Pari Passu Split","Standalone")</f>
        <v/>
      </c>
      <c r="CO828" s="78">
        <f>IF($CN828="Pari Passu Split",1,0)</f>
        <v/>
      </c>
      <c r="CP828" s="77">
        <f>IF(ISNUMBER($T828),YEAR($T828),"")</f>
        <v/>
      </c>
      <c r="CQ828" s="79">
        <f>IF(ISNUMBER($V828),$V828,IF(ISNUMBER($U828),$U828,""))</f>
        <v/>
      </c>
      <c r="CR828" s="77">
        <f>IF(ISNUMBER($CQ828),YEAR($CQ828),"")</f>
        <v/>
      </c>
      <c r="CS828" s="78">
        <f>IF(ISNUMBER($M828),MAX(0,$M828),IF(TRIM($M828&amp;"")="matured",0,""))</f>
        <v/>
      </c>
      <c r="CT828" s="78">
        <f>IF(AND(ISNUMBER($CS828),N($CS828)&lt;=mMatWindow),1,0)</f>
        <v/>
      </c>
      <c r="CU828" s="80">
        <f>IF(ISNUMBER($J828),$J828/100,"")</f>
        <v/>
      </c>
      <c r="CV828" s="81">
        <f>IF(ISNUMBER($AQ828),$AQ828,"")</f>
        <v/>
      </c>
      <c r="CW828" s="81">
        <f>IF(ISNUMBER($AR828),$AR828,"")</f>
        <v/>
      </c>
      <c r="CX828" s="82">
        <f>IF(ISNUMBER($AS828),$AS828/100,"")</f>
        <v/>
      </c>
      <c r="CY828" s="82">
        <f>IF(ISNUMBER($AT828),$AT828/100,"")</f>
        <v/>
      </c>
      <c r="CZ828" s="82">
        <f>IF(ISNUMBER($AU828),$AU828/100,"")</f>
        <v/>
      </c>
      <c r="DA828" s="82">
        <f>IF(ISNUMBER($AV828),$AV828/100,"")</f>
        <v/>
      </c>
      <c r="DB828" s="82">
        <f>IF(ISNUMBER($AW828),$AW828/100,"")</f>
        <v/>
      </c>
      <c r="DC828" s="82">
        <f>IF(ISNUMBER($AX828),$AX828/100,"")</f>
        <v/>
      </c>
      <c r="DD828" s="77">
        <f>IFERROR(VALUE(LEFT(TRIM($AO828&amp;""),4)),"")</f>
        <v/>
      </c>
      <c r="DE828" s="78">
        <f>IF(AND($BY828=1,$BX828=1,OR(fDeal="All Deals",$BU828=fDeal),OR(fEntity="All Entities",$BV828=fEntity),OR(fPType="All Property Types",$BZ828=fPType),OR(fDefeased="Include",$CJ828=0)),1,0)</f>
        <v/>
      </c>
      <c r="DF828" s="83">
        <f>$DE828*N($I828)</f>
        <v/>
      </c>
      <c r="DG828" s="78">
        <f>IF($DE828=1,IF(COUNTIFS($F$8:$F828,$F828,$DE$8:$DE828,1)=1,1,0),0)</f>
        <v/>
      </c>
      <c r="DH828" s="83">
        <f>IF($DG828=1,SUMIFS($DF$8:$DF$1600,$F$8:$F$1600,$F828),0)</f>
        <v/>
      </c>
      <c r="DI828" s="78">
        <f>IF($DG828=1,COUNTIFS($F$8:$F$1600,$F828,$DE$8:$DE$1600,1),0)</f>
        <v/>
      </c>
      <c r="DJ828" s="84">
        <f>IF($DG828=1,$DH828+(100000-ROW())/mTieBreak,0)</f>
        <v/>
      </c>
    </row>
    <row r="829">
      <c r="B829" s="68" t="n">
        <v>14</v>
      </c>
      <c r="C829" s="69" t="inlineStr">
        <is>
          <t>DBJ17C06</t>
        </is>
      </c>
      <c r="D829" s="69" t="inlineStr">
        <is>
          <t>14.000</t>
        </is>
      </c>
      <c r="E829" s="69" t="inlineStr">
        <is>
          <t>Columbus Park Crossing South</t>
        </is>
      </c>
      <c r="F829" s="69" t="inlineStr">
        <is>
          <t>LNDBJ17C06-14.000</t>
        </is>
      </c>
      <c r="G829" s="70" t="n"/>
      <c r="H829" s="71" t="n">
        <v>28500000</v>
      </c>
      <c r="I829" s="71" t="n">
        <v>24827426.2399995</v>
      </c>
      <c r="J829" s="72" t="n">
        <v>4.62</v>
      </c>
      <c r="K829" s="69" t="inlineStr">
        <is>
          <t>Fixed rate</t>
        </is>
      </c>
      <c r="L829" s="68" t="n">
        <v>120</v>
      </c>
      <c r="M829" s="68" t="n">
        <v>8</v>
      </c>
      <c r="N829" s="68" t="n">
        <v>384</v>
      </c>
      <c r="O829" s="68" t="n">
        <v>24</v>
      </c>
      <c r="P829" s="68" t="n">
        <v>0</v>
      </c>
      <c r="Q829" s="68" t="n">
        <v>112</v>
      </c>
      <c r="R829" s="69" t="inlineStr">
        <is>
          <t>IO then Amort</t>
        </is>
      </c>
      <c r="S829" s="69" t="inlineStr">
        <is>
          <t>No</t>
        </is>
      </c>
      <c r="T829" s="73" t="n">
        <v>42856</v>
      </c>
      <c r="U829" s="73" t="n">
        <v>46513</v>
      </c>
      <c r="V829" s="73" t="n"/>
      <c r="W829" s="69" t="n"/>
      <c r="X829" s="69" t="inlineStr">
        <is>
          <t>Current</t>
        </is>
      </c>
      <c r="Y829" s="68" t="n"/>
      <c r="Z829" s="69" t="inlineStr">
        <is>
          <t>No Defeasance Occurred</t>
        </is>
      </c>
      <c r="AA829" s="69" t="inlineStr">
        <is>
          <t>Yes</t>
        </is>
      </c>
      <c r="AB829" s="69" t="inlineStr">
        <is>
          <t>Returned to master serv</t>
        </is>
      </c>
      <c r="AC829" s="73" t="n"/>
      <c r="AD829" s="69" t="inlineStr">
        <is>
          <t>Other</t>
        </is>
      </c>
      <c r="AE829" s="69" t="inlineStr">
        <is>
          <t>Resolved</t>
        </is>
      </c>
      <c r="AF829" s="69" t="inlineStr">
        <is>
          <t>GA</t>
        </is>
      </c>
      <c r="AG829" s="69" t="inlineStr">
        <is>
          <t>Columbus</t>
        </is>
      </c>
      <c r="AH829" s="69" t="inlineStr">
        <is>
          <t>Columbus, GA-AL</t>
        </is>
      </c>
      <c r="AI829" s="69" t="inlineStr">
        <is>
          <t>South / Atlantic</t>
        </is>
      </c>
      <c r="AJ829" s="69" t="inlineStr">
        <is>
          <t>RT</t>
        </is>
      </c>
      <c r="AK829" s="69" t="inlineStr">
        <is>
          <t>Anchored</t>
        </is>
      </c>
      <c r="AL829" s="68" t="n">
        <v>1</v>
      </c>
      <c r="AM829" s="68" t="n"/>
      <c r="AN829" s="68" t="n">
        <v>225628</v>
      </c>
      <c r="AO829" s="69" t="inlineStr">
        <is>
          <t>2006</t>
        </is>
      </c>
      <c r="AP829" s="70" t="n">
        <v>2006</v>
      </c>
      <c r="AQ829" s="74" t="n">
        <v>1.4</v>
      </c>
      <c r="AR829" s="74" t="n">
        <v>1.63</v>
      </c>
      <c r="AS829" s="74" t="n">
        <v>75</v>
      </c>
      <c r="AT829" s="74" t="n">
        <v>65.34</v>
      </c>
      <c r="AU829" s="74" t="n">
        <v>64.3</v>
      </c>
      <c r="AV829" s="74" t="n">
        <v>8.621925859999999</v>
      </c>
      <c r="AW829" s="74" t="n">
        <v>11.507600636</v>
      </c>
      <c r="AX829" s="75" t="n">
        <v>98</v>
      </c>
      <c r="AY829" s="71" t="n">
        <v>38000000</v>
      </c>
      <c r="AZ829" s="71" t="n">
        <v>38000000</v>
      </c>
      <c r="BA829" s="71" t="n">
        <v>2457248.87</v>
      </c>
      <c r="BB829" s="71" t="n">
        <v>2857041.06</v>
      </c>
      <c r="BC829" s="69" t="inlineStr">
        <is>
          <t>Refinance</t>
        </is>
      </c>
      <c r="BD829" s="69" t="inlineStr">
        <is>
          <t>N</t>
        </is>
      </c>
      <c r="BE829" s="71" t="n"/>
      <c r="BF829" s="71" t="n"/>
      <c r="BG829" s="71" t="n"/>
      <c r="BH829" s="71" t="n">
        <v>0</v>
      </c>
      <c r="BI829" s="71" t="n">
        <v>0</v>
      </c>
      <c r="BJ829" s="69" t="inlineStr">
        <is>
          <t>N</t>
        </is>
      </c>
      <c r="BK829" s="69" t="inlineStr">
        <is>
          <t>Kohls t0000527</t>
        </is>
      </c>
      <c r="BL829" s="75" t="n">
        <v>38.81</v>
      </c>
      <c r="BM829" s="73" t="n">
        <v>46418</v>
      </c>
      <c r="BN829" s="69" t="inlineStr">
        <is>
          <t>Steven Cadranel</t>
        </is>
      </c>
      <c r="BO829" s="69" t="inlineStr">
        <is>
          <t>GACC</t>
        </is>
      </c>
      <c r="BP829" s="69" t="inlineStr">
        <is>
          <t>Midland Loan Services</t>
        </is>
      </c>
      <c r="BQ829" s="69" t="inlineStr">
        <is>
          <t>K-Star Asset Management LLC</t>
        </is>
      </c>
      <c r="BR829" s="69" t="n"/>
      <c r="BS829" s="73" t="n">
        <v>46273</v>
      </c>
      <c r="BU829" s="76">
        <f>IF($C829="","",IFERROR(INDEX(dmName,MATCH($C829,dmID,0)),"Unmapped"))</f>
        <v/>
      </c>
      <c r="BV829" s="76">
        <f>IF($C829="","",IFERROR(INDEX(dmEntity,MATCH($C829,dmID,0)),"Unmapped"))</f>
        <v/>
      </c>
      <c r="BW829" s="77">
        <f>IF($C829="","",IFERROR(INDEX(dmVintage,MATCH($C829,dmID,0)),""))</f>
        <v/>
      </c>
      <c r="BX829" s="78">
        <f>IFERROR(INDEX(dmInclude,MATCH($C829,dmID,0)),0)</f>
        <v/>
      </c>
      <c r="BY829" s="78">
        <f>IF(N($I829)&gt;0,1,0)</f>
        <v/>
      </c>
      <c r="BZ829" s="76">
        <f>IF($AJ829="","Other / Leased Fee",IFERROR(INDEX(mapPTGroup,MATCH(LEFT(TRIM($AJ829),2),mapPTCode,0)),"Other / Leased Fee"))</f>
        <v/>
      </c>
      <c r="CA829" s="76">
        <f>IF(TRIM($AF829&amp;"")="","NR",LEFT(TRIM($AF829),2))</f>
        <v/>
      </c>
      <c r="CB829" s="76">
        <f>IFERROR(LOOKUP(2,1/(LEFT(TRIM($AI829&amp;""),LEN(mapRegion))=mapRegion),mapRegion),"Not Reported")</f>
        <v/>
      </c>
      <c r="CC829" s="76">
        <f>IF($BY829=0,"",IF(TRIM($W829&amp;"")="REO","REO",IF(TRIM($W829&amp;"")="FC","Foreclosure",IF(TRIM($W829&amp;"")="90+","90+ Days Delinquent",IF(TRIM($W829&amp;"")="60","60 Days Delinquent",IF(TRIM($W829&amp;"")="30","30 Days Delinquent",IF($X829="Non-Performing Matured Balloon","Non-Performing Matured Balloon",IF(OR($X829="Late Payment But Less Than 30 Days Delinquent",LEFT($X829&amp;"",20)="Payment Not Received"),"Late / In Grace (&lt;30 Days)",IF($X829="Performing Matured Balloon","Performing Matured Balloon","Current")))))))))</f>
        <v/>
      </c>
      <c r="CD829" s="78">
        <f>IF(OR($CC829="REO",$CC829="Foreclosure",$CC829="90+ Days Delinquent",$CC829="60 Days Delinquent",$CC829="30 Days Delinquent",$CC829="Non-Performing Matured Balloon"),1,0)</f>
        <v/>
      </c>
      <c r="CE829" s="76">
        <f>IF($AB829="Currently special serv","Currently Specially Serviced",IF($AB829="Returned to master serv","Previously Specially Serviced","Never Specially Serviced"))</f>
        <v/>
      </c>
      <c r="CF829" s="78">
        <f>IF($CE829="Currently Specially Serviced",1,0)</f>
        <v/>
      </c>
      <c r="CG829" s="76">
        <f>IF($AA829="Yes","Currently on Watchlist",IF($AA829="Previously","Previously on Watchlist","Never on Watchlist"))</f>
        <v/>
      </c>
      <c r="CH829" s="78">
        <f>IF($CG829="Currently on Watchlist",1,0)</f>
        <v/>
      </c>
      <c r="CI829" s="76">
        <f>IF($Z829="Full Defeasance","Fully Defeased",IF($Z829="Portion Of Loan Previously Defeased","Partially Defeased",IF($Z829="Defeasance Not Allowable","Not Defeased (Not Permitted)","Not Defeased")))</f>
        <v/>
      </c>
      <c r="CJ829" s="78">
        <f>IF($CI829="Fully Defeased",1,0)</f>
        <v/>
      </c>
      <c r="CK829" s="76">
        <f>IF($R829="IO","Full IO",IF(LEFT($R829&amp;"",7)="IO then","Partial IO","Amortizing"))</f>
        <v/>
      </c>
      <c r="CL829" s="78">
        <f>IF($CK829="Full IO",1,0)</f>
        <v/>
      </c>
      <c r="CM829" s="78">
        <f>IF($CK829="Partial IO",1,0)</f>
        <v/>
      </c>
      <c r="CN829" s="76">
        <f>IF(LEFT($F829&amp;"",10)="SPLIT_LOAN","Pari Passu Split","Standalone")</f>
        <v/>
      </c>
      <c r="CO829" s="78">
        <f>IF($CN829="Pari Passu Split",1,0)</f>
        <v/>
      </c>
      <c r="CP829" s="77">
        <f>IF(ISNUMBER($T829),YEAR($T829),"")</f>
        <v/>
      </c>
      <c r="CQ829" s="79">
        <f>IF(ISNUMBER($V829),$V829,IF(ISNUMBER($U829),$U829,""))</f>
        <v/>
      </c>
      <c r="CR829" s="77">
        <f>IF(ISNUMBER($CQ829),YEAR($CQ829),"")</f>
        <v/>
      </c>
      <c r="CS829" s="78">
        <f>IF(ISNUMBER($M829),MAX(0,$M829),IF(TRIM($M829&amp;"")="matured",0,""))</f>
        <v/>
      </c>
      <c r="CT829" s="78">
        <f>IF(AND(ISNUMBER($CS829),N($CS829)&lt;=mMatWindow),1,0)</f>
        <v/>
      </c>
      <c r="CU829" s="80">
        <f>IF(ISNUMBER($J829),$J829/100,"")</f>
        <v/>
      </c>
      <c r="CV829" s="81">
        <f>IF(ISNUMBER($AQ829),$AQ829,"")</f>
        <v/>
      </c>
      <c r="CW829" s="81">
        <f>IF(ISNUMBER($AR829),$AR829,"")</f>
        <v/>
      </c>
      <c r="CX829" s="82">
        <f>IF(ISNUMBER($AS829),$AS829/100,"")</f>
        <v/>
      </c>
      <c r="CY829" s="82">
        <f>IF(ISNUMBER($AT829),$AT829/100,"")</f>
        <v/>
      </c>
      <c r="CZ829" s="82">
        <f>IF(ISNUMBER($AU829),$AU829/100,"")</f>
        <v/>
      </c>
      <c r="DA829" s="82">
        <f>IF(ISNUMBER($AV829),$AV829/100,"")</f>
        <v/>
      </c>
      <c r="DB829" s="82">
        <f>IF(ISNUMBER($AW829),$AW829/100,"")</f>
        <v/>
      </c>
      <c r="DC829" s="82">
        <f>IF(ISNUMBER($AX829),$AX829/100,"")</f>
        <v/>
      </c>
      <c r="DD829" s="77">
        <f>IFERROR(VALUE(LEFT(TRIM($AO829&amp;""),4)),"")</f>
        <v/>
      </c>
      <c r="DE829" s="78">
        <f>IF(AND($BY829=1,$BX829=1,OR(fDeal="All Deals",$BU829=fDeal),OR(fEntity="All Entities",$BV829=fEntity),OR(fPType="All Property Types",$BZ829=fPType),OR(fDefeased="Include",$CJ829=0)),1,0)</f>
        <v/>
      </c>
      <c r="DF829" s="83">
        <f>$DE829*N($I829)</f>
        <v/>
      </c>
      <c r="DG829" s="78">
        <f>IF($DE829=1,IF(COUNTIFS($F$8:$F829,$F829,$DE$8:$DE829,1)=1,1,0),0)</f>
        <v/>
      </c>
      <c r="DH829" s="83">
        <f>IF($DG829=1,SUMIFS($DF$8:$DF$1600,$F$8:$F$1600,$F829),0)</f>
        <v/>
      </c>
      <c r="DI829" s="78">
        <f>IF($DG829=1,COUNTIFS($F$8:$F$1600,$F829,$DE$8:$DE$1600,1),0)</f>
        <v/>
      </c>
      <c r="DJ829" s="84">
        <f>IF($DG829=1,$DH829+(100000-ROW())/mTieBreak,0)</f>
        <v/>
      </c>
    </row>
    <row r="830">
      <c r="B830" s="68" t="n">
        <v>15</v>
      </c>
      <c r="C830" s="69" t="inlineStr">
        <is>
          <t>DBJ17C06</t>
        </is>
      </c>
      <c r="D830" s="69" t="inlineStr">
        <is>
          <t>15.000</t>
        </is>
      </c>
      <c r="E830" s="69" t="inlineStr">
        <is>
          <t>El Paseo Square</t>
        </is>
      </c>
      <c r="F830" s="69" t="inlineStr">
        <is>
          <t>LNDBJ17C06-15.000</t>
        </is>
      </c>
      <c r="G830" s="70" t="n"/>
      <c r="H830" s="71" t="n">
        <v>27500000</v>
      </c>
      <c r="I830" s="71" t="n">
        <v>22574346.63</v>
      </c>
      <c r="J830" s="72" t="n">
        <v>4.37</v>
      </c>
      <c r="K830" s="69" t="inlineStr">
        <is>
          <t>Fixed rate</t>
        </is>
      </c>
      <c r="L830" s="68" t="n">
        <v>120</v>
      </c>
      <c r="M830" s="68" t="n">
        <v>8</v>
      </c>
      <c r="N830" s="68" t="n">
        <v>360</v>
      </c>
      <c r="O830" s="68" t="n"/>
      <c r="P830" s="68" t="n"/>
      <c r="Q830" s="68" t="n">
        <v>112</v>
      </c>
      <c r="R830" s="69" t="n"/>
      <c r="S830" s="69" t="inlineStr">
        <is>
          <t>No</t>
        </is>
      </c>
      <c r="T830" s="73" t="n">
        <v>42856</v>
      </c>
      <c r="U830" s="73" t="n">
        <v>46513</v>
      </c>
      <c r="V830" s="73" t="n"/>
      <c r="W830" s="69" t="n"/>
      <c r="X830" s="69" t="inlineStr">
        <is>
          <t>Current</t>
        </is>
      </c>
      <c r="Y830" s="68" t="n"/>
      <c r="Z830" s="69" t="inlineStr">
        <is>
          <t>No Defeasance Occurred</t>
        </is>
      </c>
      <c r="AA830" s="69" t="inlineStr">
        <is>
          <t>Yes</t>
        </is>
      </c>
      <c r="AB830" s="69" t="inlineStr">
        <is>
          <t>Never special serv</t>
        </is>
      </c>
      <c r="AC830" s="73" t="n"/>
      <c r="AD830" s="69" t="n"/>
      <c r="AE830" s="69" t="n"/>
      <c r="AF830" s="69" t="inlineStr">
        <is>
          <t>CA</t>
        </is>
      </c>
      <c r="AG830" s="69" t="inlineStr">
        <is>
          <t>Palm Desert</t>
        </is>
      </c>
      <c r="AH830" s="69" t="inlineStr">
        <is>
          <t>Riverside-San Bernardino-Ontario, CA</t>
        </is>
      </c>
      <c r="AI830" s="69" t="inlineStr">
        <is>
          <t>West / Pacific South</t>
        </is>
      </c>
      <c r="AJ830" s="69" t="inlineStr">
        <is>
          <t>RT</t>
        </is>
      </c>
      <c r="AK830" s="69" t="inlineStr">
        <is>
          <t>Anchored</t>
        </is>
      </c>
      <c r="AL830" s="68" t="n">
        <v>1</v>
      </c>
      <c r="AM830" s="68" t="n"/>
      <c r="AN830" s="68" t="n">
        <v>74821</v>
      </c>
      <c r="AO830" s="69" t="inlineStr">
        <is>
          <t>1973, 2002, 2003, 2016</t>
        </is>
      </c>
      <c r="AP830" s="70" t="n">
        <v>2016</v>
      </c>
      <c r="AQ830" s="74" t="n">
        <v>1.4</v>
      </c>
      <c r="AR830" s="74" t="n">
        <v>1.61</v>
      </c>
      <c r="AS830" s="74" t="n">
        <v>63.9</v>
      </c>
      <c r="AT830" s="74" t="n">
        <v>52.5</v>
      </c>
      <c r="AU830" s="74" t="n">
        <v>51.5</v>
      </c>
      <c r="AV830" s="74" t="n">
        <v>8.375965382</v>
      </c>
      <c r="AW830" s="74" t="n">
        <v>11.797272203</v>
      </c>
      <c r="AX830" s="75" t="n">
        <v>70</v>
      </c>
      <c r="AY830" s="71" t="n">
        <v>43000000</v>
      </c>
      <c r="AZ830" s="71" t="n">
        <v>43000000</v>
      </c>
      <c r="BA830" s="71" t="n">
        <v>2303390.48</v>
      </c>
      <c r="BB830" s="71" t="n">
        <v>661252.3</v>
      </c>
      <c r="BC830" s="69" t="inlineStr">
        <is>
          <t>Recapitalization</t>
        </is>
      </c>
      <c r="BD830" s="69" t="inlineStr">
        <is>
          <t>N</t>
        </is>
      </c>
      <c r="BE830" s="71" t="n"/>
      <c r="BF830" s="71" t="n"/>
      <c r="BG830" s="71" t="n"/>
      <c r="BH830" s="71" t="n">
        <v>0</v>
      </c>
      <c r="BI830" s="71" t="n">
        <v>0</v>
      </c>
      <c r="BJ830" s="69" t="inlineStr">
        <is>
          <t>N</t>
        </is>
      </c>
      <c r="BK830" s="69" t="inlineStr">
        <is>
          <t>DCK Inc - CODA Gallery</t>
        </is>
      </c>
      <c r="BL830" s="75" t="n">
        <v>11.73</v>
      </c>
      <c r="BM830" s="73" t="n">
        <v>46297</v>
      </c>
      <c r="BN830" s="69" t="inlineStr">
        <is>
          <t>Allied District Properties, L.P.</t>
        </is>
      </c>
      <c r="BO830" s="69" t="inlineStr">
        <is>
          <t>GACC</t>
        </is>
      </c>
      <c r="BP830" s="69" t="inlineStr">
        <is>
          <t>Midland Loan Services</t>
        </is>
      </c>
      <c r="BQ830" s="69" t="inlineStr">
        <is>
          <t>K-Star Asset Management LLC</t>
        </is>
      </c>
      <c r="BR830" s="69" t="n"/>
      <c r="BS830" s="73" t="n">
        <v>46273</v>
      </c>
      <c r="BU830" s="76">
        <f>IF($C830="","",IFERROR(INDEX(dmName,MATCH($C830,dmID,0)),"Unmapped"))</f>
        <v/>
      </c>
      <c r="BV830" s="76">
        <f>IF($C830="","",IFERROR(INDEX(dmEntity,MATCH($C830,dmID,0)),"Unmapped"))</f>
        <v/>
      </c>
      <c r="BW830" s="77">
        <f>IF($C830="","",IFERROR(INDEX(dmVintage,MATCH($C830,dmID,0)),""))</f>
        <v/>
      </c>
      <c r="BX830" s="78">
        <f>IFERROR(INDEX(dmInclude,MATCH($C830,dmID,0)),0)</f>
        <v/>
      </c>
      <c r="BY830" s="78">
        <f>IF(N($I830)&gt;0,1,0)</f>
        <v/>
      </c>
      <c r="BZ830" s="76">
        <f>IF($AJ830="","Other / Leased Fee",IFERROR(INDEX(mapPTGroup,MATCH(LEFT(TRIM($AJ830),2),mapPTCode,0)),"Other / Leased Fee"))</f>
        <v/>
      </c>
      <c r="CA830" s="76">
        <f>IF(TRIM($AF830&amp;"")="","NR",LEFT(TRIM($AF830),2))</f>
        <v/>
      </c>
      <c r="CB830" s="76">
        <f>IFERROR(LOOKUP(2,1/(LEFT(TRIM($AI830&amp;""),LEN(mapRegion))=mapRegion),mapRegion),"Not Reported")</f>
        <v/>
      </c>
      <c r="CC830" s="76">
        <f>IF($BY830=0,"",IF(TRIM($W830&amp;"")="REO","REO",IF(TRIM($W830&amp;"")="FC","Foreclosure",IF(TRIM($W830&amp;"")="90+","90+ Days Delinquent",IF(TRIM($W830&amp;"")="60","60 Days Delinquent",IF(TRIM($W830&amp;"")="30","30 Days Delinquent",IF($X830="Non-Performing Matured Balloon","Non-Performing Matured Balloon",IF(OR($X830="Late Payment But Less Than 30 Days Delinquent",LEFT($X830&amp;"",20)="Payment Not Received"),"Late / In Grace (&lt;30 Days)",IF($X830="Performing Matured Balloon","Performing Matured Balloon","Current")))))))))</f>
        <v/>
      </c>
      <c r="CD830" s="78">
        <f>IF(OR($CC830="REO",$CC830="Foreclosure",$CC830="90+ Days Delinquent",$CC830="60 Days Delinquent",$CC830="30 Days Delinquent",$CC830="Non-Performing Matured Balloon"),1,0)</f>
        <v/>
      </c>
      <c r="CE830" s="76">
        <f>IF($AB830="Currently special serv","Currently Specially Serviced",IF($AB830="Returned to master serv","Previously Specially Serviced","Never Specially Serviced"))</f>
        <v/>
      </c>
      <c r="CF830" s="78">
        <f>IF($CE830="Currently Specially Serviced",1,0)</f>
        <v/>
      </c>
      <c r="CG830" s="76">
        <f>IF($AA830="Yes","Currently on Watchlist",IF($AA830="Previously","Previously on Watchlist","Never on Watchlist"))</f>
        <v/>
      </c>
      <c r="CH830" s="78">
        <f>IF($CG830="Currently on Watchlist",1,0)</f>
        <v/>
      </c>
      <c r="CI830" s="76">
        <f>IF($Z830="Full Defeasance","Fully Defeased",IF($Z830="Portion Of Loan Previously Defeased","Partially Defeased",IF($Z830="Defeasance Not Allowable","Not Defeased (Not Permitted)","Not Defeased")))</f>
        <v/>
      </c>
      <c r="CJ830" s="78">
        <f>IF($CI830="Fully Defeased",1,0)</f>
        <v/>
      </c>
      <c r="CK830" s="76">
        <f>IF($R830="IO","Full IO",IF(LEFT($R830&amp;"",7)="IO then","Partial IO","Amortizing"))</f>
        <v/>
      </c>
      <c r="CL830" s="78">
        <f>IF($CK830="Full IO",1,0)</f>
        <v/>
      </c>
      <c r="CM830" s="78">
        <f>IF($CK830="Partial IO",1,0)</f>
        <v/>
      </c>
      <c r="CN830" s="76">
        <f>IF(LEFT($F830&amp;"",10)="SPLIT_LOAN","Pari Passu Split","Standalone")</f>
        <v/>
      </c>
      <c r="CO830" s="78">
        <f>IF($CN830="Pari Passu Split",1,0)</f>
        <v/>
      </c>
      <c r="CP830" s="77">
        <f>IF(ISNUMBER($T830),YEAR($T830),"")</f>
        <v/>
      </c>
      <c r="CQ830" s="79">
        <f>IF(ISNUMBER($V830),$V830,IF(ISNUMBER($U830),$U830,""))</f>
        <v/>
      </c>
      <c r="CR830" s="77">
        <f>IF(ISNUMBER($CQ830),YEAR($CQ830),"")</f>
        <v/>
      </c>
      <c r="CS830" s="78">
        <f>IF(ISNUMBER($M830),MAX(0,$M830),IF(TRIM($M830&amp;"")="matured",0,""))</f>
        <v/>
      </c>
      <c r="CT830" s="78">
        <f>IF(AND(ISNUMBER($CS830),N($CS830)&lt;=mMatWindow),1,0)</f>
        <v/>
      </c>
      <c r="CU830" s="80">
        <f>IF(ISNUMBER($J830),$J830/100,"")</f>
        <v/>
      </c>
      <c r="CV830" s="81">
        <f>IF(ISNUMBER($AQ830),$AQ830,"")</f>
        <v/>
      </c>
      <c r="CW830" s="81">
        <f>IF(ISNUMBER($AR830),$AR830,"")</f>
        <v/>
      </c>
      <c r="CX830" s="82">
        <f>IF(ISNUMBER($AS830),$AS830/100,"")</f>
        <v/>
      </c>
      <c r="CY830" s="82">
        <f>IF(ISNUMBER($AT830),$AT830/100,"")</f>
        <v/>
      </c>
      <c r="CZ830" s="82">
        <f>IF(ISNUMBER($AU830),$AU830/100,"")</f>
        <v/>
      </c>
      <c r="DA830" s="82">
        <f>IF(ISNUMBER($AV830),$AV830/100,"")</f>
        <v/>
      </c>
      <c r="DB830" s="82">
        <f>IF(ISNUMBER($AW830),$AW830/100,"")</f>
        <v/>
      </c>
      <c r="DC830" s="82">
        <f>IF(ISNUMBER($AX830),$AX830/100,"")</f>
        <v/>
      </c>
      <c r="DD830" s="77">
        <f>IFERROR(VALUE(LEFT(TRIM($AO830&amp;""),4)),"")</f>
        <v/>
      </c>
      <c r="DE830" s="78">
        <f>IF(AND($BY830=1,$BX830=1,OR(fDeal="All Deals",$BU830=fDeal),OR(fEntity="All Entities",$BV830=fEntity),OR(fPType="All Property Types",$BZ830=fPType),OR(fDefeased="Include",$CJ830=0)),1,0)</f>
        <v/>
      </c>
      <c r="DF830" s="83">
        <f>$DE830*N($I830)</f>
        <v/>
      </c>
      <c r="DG830" s="78">
        <f>IF($DE830=1,IF(COUNTIFS($F$8:$F830,$F830,$DE$8:$DE830,1)=1,1,0),0)</f>
        <v/>
      </c>
      <c r="DH830" s="83">
        <f>IF($DG830=1,SUMIFS($DF$8:$DF$1600,$F$8:$F$1600,$F830),0)</f>
        <v/>
      </c>
      <c r="DI830" s="78">
        <f>IF($DG830=1,COUNTIFS($F$8:$F$1600,$F830,$DE$8:$DE$1600,1),0)</f>
        <v/>
      </c>
      <c r="DJ830" s="84">
        <f>IF($DG830=1,$DH830+(100000-ROW())/mTieBreak,0)</f>
        <v/>
      </c>
    </row>
    <row r="831">
      <c r="B831" s="68" t="n">
        <v>16</v>
      </c>
      <c r="C831" s="69" t="inlineStr">
        <is>
          <t>DBJ17C06</t>
        </is>
      </c>
      <c r="D831" s="69" t="inlineStr">
        <is>
          <t>16.000</t>
        </is>
      </c>
      <c r="E831" s="69" t="inlineStr">
        <is>
          <t>Faudree Ranch</t>
        </is>
      </c>
      <c r="F831" s="69" t="inlineStr">
        <is>
          <t>LNDBJ17C06-16.000</t>
        </is>
      </c>
      <c r="G831" s="70" t="n"/>
      <c r="H831" s="71" t="n">
        <v>25125000</v>
      </c>
      <c r="I831" s="71" t="n">
        <v>0</v>
      </c>
      <c r="J831" s="72" t="n">
        <v>4.3</v>
      </c>
      <c r="K831" s="69" t="inlineStr">
        <is>
          <t>Fixed rate</t>
        </is>
      </c>
      <c r="L831" s="68" t="n">
        <v>60</v>
      </c>
      <c r="M831" s="68" t="n"/>
      <c r="N831" s="68" t="n">
        <v>384</v>
      </c>
      <c r="O831" s="68" t="n">
        <v>24</v>
      </c>
      <c r="P831" s="68" t="n"/>
      <c r="Q831" s="68" t="n"/>
      <c r="R831" s="69" t="inlineStr">
        <is>
          <t>IO then Amort</t>
        </is>
      </c>
      <c r="S831" s="69" t="inlineStr">
        <is>
          <t>No</t>
        </is>
      </c>
      <c r="T831" s="73" t="n">
        <v>42887</v>
      </c>
      <c r="U831" s="73" t="n">
        <v>44713</v>
      </c>
      <c r="V831" s="73" t="n"/>
      <c r="W831" s="69" t="n"/>
      <c r="X831" s="69" t="inlineStr">
        <is>
          <t>Current</t>
        </is>
      </c>
      <c r="Y831" s="68" t="n"/>
      <c r="Z831" s="69" t="inlineStr">
        <is>
          <t>No Defeasance Occurred</t>
        </is>
      </c>
      <c r="AA831" s="69" t="inlineStr">
        <is>
          <t>Previously</t>
        </is>
      </c>
      <c r="AB831" s="69" t="inlineStr">
        <is>
          <t>Never special serv</t>
        </is>
      </c>
      <c r="AC831" s="73" t="n"/>
      <c r="AD831" s="69" t="n"/>
      <c r="AE831" s="69" t="n"/>
      <c r="AF831" s="69" t="inlineStr">
        <is>
          <t>TX</t>
        </is>
      </c>
      <c r="AG831" s="69" t="inlineStr">
        <is>
          <t>Odessa</t>
        </is>
      </c>
      <c r="AH831" s="69" t="inlineStr">
        <is>
          <t>Odessa, TX</t>
        </is>
      </c>
      <c r="AI831" s="69" t="inlineStr">
        <is>
          <t>South / Central West</t>
        </is>
      </c>
      <c r="AJ831" s="69" t="inlineStr">
        <is>
          <t>MF</t>
        </is>
      </c>
      <c r="AK831" s="69" t="inlineStr">
        <is>
          <t>Garden</t>
        </is>
      </c>
      <c r="AL831" s="68" t="n">
        <v>1</v>
      </c>
      <c r="AM831" s="68" t="n">
        <v>300</v>
      </c>
      <c r="AN831" s="68" t="n"/>
      <c r="AO831" s="69" t="inlineStr">
        <is>
          <t>2014</t>
        </is>
      </c>
      <c r="AP831" s="70" t="n">
        <v>2014</v>
      </c>
      <c r="AQ831" s="74" t="n">
        <v>1.65</v>
      </c>
      <c r="AR831" s="74" t="n">
        <v>1.65</v>
      </c>
      <c r="AS831" s="74" t="n">
        <v>66.2</v>
      </c>
      <c r="AT831" s="74" t="n"/>
      <c r="AU831" s="74" t="n">
        <v>62.8</v>
      </c>
      <c r="AV831" s="74" t="n">
        <v>9.798137313</v>
      </c>
      <c r="AW831" s="74" t="n"/>
      <c r="AX831" s="75" t="n">
        <v>88</v>
      </c>
      <c r="AY831" s="71" t="n">
        <v>37980000</v>
      </c>
      <c r="AZ831" s="71" t="n">
        <v>37980000</v>
      </c>
      <c r="BA831" s="71" t="n">
        <v>2461782</v>
      </c>
      <c r="BB831" s="71" t="n">
        <v>2460273.25</v>
      </c>
      <c r="BC831" s="69" t="inlineStr">
        <is>
          <t>Acquisition</t>
        </is>
      </c>
      <c r="BD831" s="69" t="inlineStr">
        <is>
          <t>N</t>
        </is>
      </c>
      <c r="BE831" s="71" t="n"/>
      <c r="BF831" s="71" t="n"/>
      <c r="BG831" s="71" t="n"/>
      <c r="BH831" s="71" t="n">
        <v>0</v>
      </c>
      <c r="BI831" s="71" t="n">
        <v>0</v>
      </c>
      <c r="BJ831" s="69" t="inlineStr">
        <is>
          <t>N</t>
        </is>
      </c>
      <c r="BK831" s="69" t="n"/>
      <c r="BL831" s="75" t="n"/>
      <c r="BM831" s="73" t="n"/>
      <c r="BN831" s="69" t="inlineStr">
        <is>
          <t>Robert A. Blau; Adam H. Jacobson</t>
        </is>
      </c>
      <c r="BO831" s="69" t="inlineStr">
        <is>
          <t>JPMorgan Chase</t>
        </is>
      </c>
      <c r="BP831" s="69" t="inlineStr">
        <is>
          <t>Midland Loan Services</t>
        </is>
      </c>
      <c r="BQ831" s="69" t="inlineStr">
        <is>
          <t>Midland Loan Services</t>
        </is>
      </c>
      <c r="BR831" s="69" t="inlineStr">
        <is>
          <t>Full Payoff At Maturity</t>
        </is>
      </c>
      <c r="BS831" s="73" t="n">
        <v>44718</v>
      </c>
      <c r="BU831" s="76">
        <f>IF($C831="","",IFERROR(INDEX(dmName,MATCH($C831,dmID,0)),"Unmapped"))</f>
        <v/>
      </c>
      <c r="BV831" s="76">
        <f>IF($C831="","",IFERROR(INDEX(dmEntity,MATCH($C831,dmID,0)),"Unmapped"))</f>
        <v/>
      </c>
      <c r="BW831" s="77">
        <f>IF($C831="","",IFERROR(INDEX(dmVintage,MATCH($C831,dmID,0)),""))</f>
        <v/>
      </c>
      <c r="BX831" s="78">
        <f>IFERROR(INDEX(dmInclude,MATCH($C831,dmID,0)),0)</f>
        <v/>
      </c>
      <c r="BY831" s="78">
        <f>IF(N($I831)&gt;0,1,0)</f>
        <v/>
      </c>
      <c r="BZ831" s="76">
        <f>IF($AJ831="","Other / Leased Fee",IFERROR(INDEX(mapPTGroup,MATCH(LEFT(TRIM($AJ831),2),mapPTCode,0)),"Other / Leased Fee"))</f>
        <v/>
      </c>
      <c r="CA831" s="76">
        <f>IF(TRIM($AF831&amp;"")="","NR",LEFT(TRIM($AF831),2))</f>
        <v/>
      </c>
      <c r="CB831" s="76">
        <f>IFERROR(LOOKUP(2,1/(LEFT(TRIM($AI831&amp;""),LEN(mapRegion))=mapRegion),mapRegion),"Not Reported")</f>
        <v/>
      </c>
      <c r="CC831" s="76">
        <f>IF($BY831=0,"",IF(TRIM($W831&amp;"")="REO","REO",IF(TRIM($W831&amp;"")="FC","Foreclosure",IF(TRIM($W831&amp;"")="90+","90+ Days Delinquent",IF(TRIM($W831&amp;"")="60","60 Days Delinquent",IF(TRIM($W831&amp;"")="30","30 Days Delinquent",IF($X831="Non-Performing Matured Balloon","Non-Performing Matured Balloon",IF(OR($X831="Late Payment But Less Than 30 Days Delinquent",LEFT($X831&amp;"",20)="Payment Not Received"),"Late / In Grace (&lt;30 Days)",IF($X831="Performing Matured Balloon","Performing Matured Balloon","Current")))))))))</f>
        <v/>
      </c>
      <c r="CD831" s="78">
        <f>IF(OR($CC831="REO",$CC831="Foreclosure",$CC831="90+ Days Delinquent",$CC831="60 Days Delinquent",$CC831="30 Days Delinquent",$CC831="Non-Performing Matured Balloon"),1,0)</f>
        <v/>
      </c>
      <c r="CE831" s="76">
        <f>IF($AB831="Currently special serv","Currently Specially Serviced",IF($AB831="Returned to master serv","Previously Specially Serviced","Never Specially Serviced"))</f>
        <v/>
      </c>
      <c r="CF831" s="78">
        <f>IF($CE831="Currently Specially Serviced",1,0)</f>
        <v/>
      </c>
      <c r="CG831" s="76">
        <f>IF($AA831="Yes","Currently on Watchlist",IF($AA831="Previously","Previously on Watchlist","Never on Watchlist"))</f>
        <v/>
      </c>
      <c r="CH831" s="78">
        <f>IF($CG831="Currently on Watchlist",1,0)</f>
        <v/>
      </c>
      <c r="CI831" s="76">
        <f>IF($Z831="Full Defeasance","Fully Defeased",IF($Z831="Portion Of Loan Previously Defeased","Partially Defeased",IF($Z831="Defeasance Not Allowable","Not Defeased (Not Permitted)","Not Defeased")))</f>
        <v/>
      </c>
      <c r="CJ831" s="78">
        <f>IF($CI831="Fully Defeased",1,0)</f>
        <v/>
      </c>
      <c r="CK831" s="76">
        <f>IF($R831="IO","Full IO",IF(LEFT($R831&amp;"",7)="IO then","Partial IO","Amortizing"))</f>
        <v/>
      </c>
      <c r="CL831" s="78">
        <f>IF($CK831="Full IO",1,0)</f>
        <v/>
      </c>
      <c r="CM831" s="78">
        <f>IF($CK831="Partial IO",1,0)</f>
        <v/>
      </c>
      <c r="CN831" s="76">
        <f>IF(LEFT($F831&amp;"",10)="SPLIT_LOAN","Pari Passu Split","Standalone")</f>
        <v/>
      </c>
      <c r="CO831" s="78">
        <f>IF($CN831="Pari Passu Split",1,0)</f>
        <v/>
      </c>
      <c r="CP831" s="77">
        <f>IF(ISNUMBER($T831),YEAR($T831),"")</f>
        <v/>
      </c>
      <c r="CQ831" s="79">
        <f>IF(ISNUMBER($V831),$V831,IF(ISNUMBER($U831),$U831,""))</f>
        <v/>
      </c>
      <c r="CR831" s="77">
        <f>IF(ISNUMBER($CQ831),YEAR($CQ831),"")</f>
        <v/>
      </c>
      <c r="CS831" s="78">
        <f>IF(ISNUMBER($M831),MAX(0,$M831),IF(TRIM($M831&amp;"")="matured",0,""))</f>
        <v/>
      </c>
      <c r="CT831" s="78">
        <f>IF(AND(ISNUMBER($CS831),N($CS831)&lt;=mMatWindow),1,0)</f>
        <v/>
      </c>
      <c r="CU831" s="80">
        <f>IF(ISNUMBER($J831),$J831/100,"")</f>
        <v/>
      </c>
      <c r="CV831" s="81">
        <f>IF(ISNUMBER($AQ831),$AQ831,"")</f>
        <v/>
      </c>
      <c r="CW831" s="81">
        <f>IF(ISNUMBER($AR831),$AR831,"")</f>
        <v/>
      </c>
      <c r="CX831" s="82">
        <f>IF(ISNUMBER($AS831),$AS831/100,"")</f>
        <v/>
      </c>
      <c r="CY831" s="82">
        <f>IF(ISNUMBER($AT831),$AT831/100,"")</f>
        <v/>
      </c>
      <c r="CZ831" s="82">
        <f>IF(ISNUMBER($AU831),$AU831/100,"")</f>
        <v/>
      </c>
      <c r="DA831" s="82">
        <f>IF(ISNUMBER($AV831),$AV831/100,"")</f>
        <v/>
      </c>
      <c r="DB831" s="82">
        <f>IF(ISNUMBER($AW831),$AW831/100,"")</f>
        <v/>
      </c>
      <c r="DC831" s="82">
        <f>IF(ISNUMBER($AX831),$AX831/100,"")</f>
        <v/>
      </c>
      <c r="DD831" s="77">
        <f>IFERROR(VALUE(LEFT(TRIM($AO831&amp;""),4)),"")</f>
        <v/>
      </c>
      <c r="DE831" s="78">
        <f>IF(AND($BY831=1,$BX831=1,OR(fDeal="All Deals",$BU831=fDeal),OR(fEntity="All Entities",$BV831=fEntity),OR(fPType="All Property Types",$BZ831=fPType),OR(fDefeased="Include",$CJ831=0)),1,0)</f>
        <v/>
      </c>
      <c r="DF831" s="83">
        <f>$DE831*N($I831)</f>
        <v/>
      </c>
      <c r="DG831" s="78">
        <f>IF($DE831=1,IF(COUNTIFS($F$8:$F831,$F831,$DE$8:$DE831,1)=1,1,0),0)</f>
        <v/>
      </c>
      <c r="DH831" s="83">
        <f>IF($DG831=1,SUMIFS($DF$8:$DF$1600,$F$8:$F$1600,$F831),0)</f>
        <v/>
      </c>
      <c r="DI831" s="78">
        <f>IF($DG831=1,COUNTIFS($F$8:$F$1600,$F831,$DE$8:$DE$1600,1),0)</f>
        <v/>
      </c>
      <c r="DJ831" s="84">
        <f>IF($DG831=1,$DH831+(100000-ROW())/mTieBreak,0)</f>
        <v/>
      </c>
    </row>
    <row r="832">
      <c r="B832" s="68" t="n">
        <v>17</v>
      </c>
      <c r="C832" s="69" t="inlineStr">
        <is>
          <t>DBJ17C06</t>
        </is>
      </c>
      <c r="D832" s="69" t="inlineStr">
        <is>
          <t>17.000</t>
        </is>
      </c>
      <c r="E832" s="69" t="inlineStr">
        <is>
          <t>LC Hamburg Farms</t>
        </is>
      </c>
      <c r="F832" s="69" t="inlineStr">
        <is>
          <t>LNDBJ17C06-17.000</t>
        </is>
      </c>
      <c r="G832" s="70" t="n"/>
      <c r="H832" s="71" t="n">
        <v>25000000</v>
      </c>
      <c r="I832" s="71" t="n">
        <v>0</v>
      </c>
      <c r="J832" s="72" t="n">
        <v>4.75</v>
      </c>
      <c r="K832" s="69" t="inlineStr">
        <is>
          <t>Fixed rate</t>
        </is>
      </c>
      <c r="L832" s="68" t="n">
        <v>120</v>
      </c>
      <c r="M832" s="68" t="n"/>
      <c r="N832" s="68" t="n">
        <v>420</v>
      </c>
      <c r="O832" s="68" t="n">
        <v>60</v>
      </c>
      <c r="P832" s="68" t="n"/>
      <c r="Q832" s="68" t="n"/>
      <c r="R832" s="69" t="inlineStr">
        <is>
          <t>IO then Amort</t>
        </is>
      </c>
      <c r="S832" s="69" t="inlineStr">
        <is>
          <t>No</t>
        </is>
      </c>
      <c r="T832" s="73" t="n">
        <v>42856</v>
      </c>
      <c r="U832" s="73" t="n">
        <v>46508</v>
      </c>
      <c r="V832" s="73" t="n"/>
      <c r="W832" s="69" t="n"/>
      <c r="X832" s="69" t="inlineStr">
        <is>
          <t>Current</t>
        </is>
      </c>
      <c r="Y832" s="68" t="n"/>
      <c r="Z832" s="69" t="inlineStr">
        <is>
          <t>Defeasance Not Allowable</t>
        </is>
      </c>
      <c r="AA832" s="69" t="inlineStr">
        <is>
          <t>Previously</t>
        </is>
      </c>
      <c r="AB832" s="69" t="inlineStr">
        <is>
          <t>Never special serv</t>
        </is>
      </c>
      <c r="AC832" s="73" t="n"/>
      <c r="AD832" s="69" t="n"/>
      <c r="AE832" s="69" t="n"/>
      <c r="AF832" s="69" t="inlineStr">
        <is>
          <t>KY</t>
        </is>
      </c>
      <c r="AG832" s="69" t="inlineStr">
        <is>
          <t>Lexington</t>
        </is>
      </c>
      <c r="AH832" s="69" t="inlineStr">
        <is>
          <t>Lexington-Fayette, KY</t>
        </is>
      </c>
      <c r="AI832" s="69" t="inlineStr">
        <is>
          <t>South / Central East</t>
        </is>
      </c>
      <c r="AJ832" s="69" t="inlineStr">
        <is>
          <t>MF</t>
        </is>
      </c>
      <c r="AK832" s="69" t="inlineStr">
        <is>
          <t>Garden</t>
        </is>
      </c>
      <c r="AL832" s="68" t="n">
        <v>1</v>
      </c>
      <c r="AM832" s="68" t="n">
        <v>221</v>
      </c>
      <c r="AN832" s="68" t="n"/>
      <c r="AO832" s="69" t="inlineStr">
        <is>
          <t>2005</t>
        </is>
      </c>
      <c r="AP832" s="70" t="n">
        <v>2005</v>
      </c>
      <c r="AQ832" s="74" t="n">
        <v>1.26</v>
      </c>
      <c r="AR832" s="74" t="n">
        <v>1.8</v>
      </c>
      <c r="AS832" s="74" t="n">
        <v>75</v>
      </c>
      <c r="AT832" s="74" t="n"/>
      <c r="AU832" s="74" t="n">
        <v>68.90000000000001</v>
      </c>
      <c r="AV832" s="74" t="n">
        <v>7.85941888</v>
      </c>
      <c r="AW832" s="74" t="n"/>
      <c r="AX832" s="75" t="n">
        <v>92</v>
      </c>
      <c r="AY832" s="71" t="n">
        <v>33341250</v>
      </c>
      <c r="AZ832" s="71" t="n">
        <v>33341250</v>
      </c>
      <c r="BA832" s="71" t="n">
        <v>1964854.72</v>
      </c>
      <c r="BB832" s="71" t="n">
        <v>2817037.4</v>
      </c>
      <c r="BC832" s="69" t="inlineStr">
        <is>
          <t>Acquisition</t>
        </is>
      </c>
      <c r="BD832" s="69" t="inlineStr">
        <is>
          <t>N</t>
        </is>
      </c>
      <c r="BE832" s="71" t="n"/>
      <c r="BF832" s="71" t="n"/>
      <c r="BG832" s="71" t="n"/>
      <c r="BH832" s="71" t="n">
        <v>0</v>
      </c>
      <c r="BI832" s="71" t="n">
        <v>0</v>
      </c>
      <c r="BJ832" s="69" t="inlineStr">
        <is>
          <t>N</t>
        </is>
      </c>
      <c r="BK832" s="69" t="n"/>
      <c r="BL832" s="75" t="n"/>
      <c r="BM832" s="73" t="n"/>
      <c r="BN832" s="69" t="inlineStr">
        <is>
          <t>Steven P. Rosenthal; Lee E. Rosenthal</t>
        </is>
      </c>
      <c r="BO832" s="69" t="inlineStr">
        <is>
          <t>JPMorgan Chase</t>
        </is>
      </c>
      <c r="BP832" s="69" t="inlineStr">
        <is>
          <t>Midland Loan Services</t>
        </is>
      </c>
      <c r="BQ832" s="69" t="inlineStr">
        <is>
          <t>K-Star Asset Management LLC</t>
        </is>
      </c>
      <c r="BR832" s="69" t="inlineStr">
        <is>
          <t>Payoff With Yield Maintenance</t>
        </is>
      </c>
      <c r="BS832" s="73" t="n">
        <v>45967</v>
      </c>
      <c r="BU832" s="76">
        <f>IF($C832="","",IFERROR(INDEX(dmName,MATCH($C832,dmID,0)),"Unmapped"))</f>
        <v/>
      </c>
      <c r="BV832" s="76">
        <f>IF($C832="","",IFERROR(INDEX(dmEntity,MATCH($C832,dmID,0)),"Unmapped"))</f>
        <v/>
      </c>
      <c r="BW832" s="77">
        <f>IF($C832="","",IFERROR(INDEX(dmVintage,MATCH($C832,dmID,0)),""))</f>
        <v/>
      </c>
      <c r="BX832" s="78">
        <f>IFERROR(INDEX(dmInclude,MATCH($C832,dmID,0)),0)</f>
        <v/>
      </c>
      <c r="BY832" s="78">
        <f>IF(N($I832)&gt;0,1,0)</f>
        <v/>
      </c>
      <c r="BZ832" s="76">
        <f>IF($AJ832="","Other / Leased Fee",IFERROR(INDEX(mapPTGroup,MATCH(LEFT(TRIM($AJ832),2),mapPTCode,0)),"Other / Leased Fee"))</f>
        <v/>
      </c>
      <c r="CA832" s="76">
        <f>IF(TRIM($AF832&amp;"")="","NR",LEFT(TRIM($AF832),2))</f>
        <v/>
      </c>
      <c r="CB832" s="76">
        <f>IFERROR(LOOKUP(2,1/(LEFT(TRIM($AI832&amp;""),LEN(mapRegion))=mapRegion),mapRegion),"Not Reported")</f>
        <v/>
      </c>
      <c r="CC832" s="76">
        <f>IF($BY832=0,"",IF(TRIM($W832&amp;"")="REO","REO",IF(TRIM($W832&amp;"")="FC","Foreclosure",IF(TRIM($W832&amp;"")="90+","90+ Days Delinquent",IF(TRIM($W832&amp;"")="60","60 Days Delinquent",IF(TRIM($W832&amp;"")="30","30 Days Delinquent",IF($X832="Non-Performing Matured Balloon","Non-Performing Matured Balloon",IF(OR($X832="Late Payment But Less Than 30 Days Delinquent",LEFT($X832&amp;"",20)="Payment Not Received"),"Late / In Grace (&lt;30 Days)",IF($X832="Performing Matured Balloon","Performing Matured Balloon","Current")))))))))</f>
        <v/>
      </c>
      <c r="CD832" s="78">
        <f>IF(OR($CC832="REO",$CC832="Foreclosure",$CC832="90+ Days Delinquent",$CC832="60 Days Delinquent",$CC832="30 Days Delinquent",$CC832="Non-Performing Matured Balloon"),1,0)</f>
        <v/>
      </c>
      <c r="CE832" s="76">
        <f>IF($AB832="Currently special serv","Currently Specially Serviced",IF($AB832="Returned to master serv","Previously Specially Serviced","Never Specially Serviced"))</f>
        <v/>
      </c>
      <c r="CF832" s="78">
        <f>IF($CE832="Currently Specially Serviced",1,0)</f>
        <v/>
      </c>
      <c r="CG832" s="76">
        <f>IF($AA832="Yes","Currently on Watchlist",IF($AA832="Previously","Previously on Watchlist","Never on Watchlist"))</f>
        <v/>
      </c>
      <c r="CH832" s="78">
        <f>IF($CG832="Currently on Watchlist",1,0)</f>
        <v/>
      </c>
      <c r="CI832" s="76">
        <f>IF($Z832="Full Defeasance","Fully Defeased",IF($Z832="Portion Of Loan Previously Defeased","Partially Defeased",IF($Z832="Defeasance Not Allowable","Not Defeased (Not Permitted)","Not Defeased")))</f>
        <v/>
      </c>
      <c r="CJ832" s="78">
        <f>IF($CI832="Fully Defeased",1,0)</f>
        <v/>
      </c>
      <c r="CK832" s="76">
        <f>IF($R832="IO","Full IO",IF(LEFT($R832&amp;"",7)="IO then","Partial IO","Amortizing"))</f>
        <v/>
      </c>
      <c r="CL832" s="78">
        <f>IF($CK832="Full IO",1,0)</f>
        <v/>
      </c>
      <c r="CM832" s="78">
        <f>IF($CK832="Partial IO",1,0)</f>
        <v/>
      </c>
      <c r="CN832" s="76">
        <f>IF(LEFT($F832&amp;"",10)="SPLIT_LOAN","Pari Passu Split","Standalone")</f>
        <v/>
      </c>
      <c r="CO832" s="78">
        <f>IF($CN832="Pari Passu Split",1,0)</f>
        <v/>
      </c>
      <c r="CP832" s="77">
        <f>IF(ISNUMBER($T832),YEAR($T832),"")</f>
        <v/>
      </c>
      <c r="CQ832" s="79">
        <f>IF(ISNUMBER($V832),$V832,IF(ISNUMBER($U832),$U832,""))</f>
        <v/>
      </c>
      <c r="CR832" s="77">
        <f>IF(ISNUMBER($CQ832),YEAR($CQ832),"")</f>
        <v/>
      </c>
      <c r="CS832" s="78">
        <f>IF(ISNUMBER($M832),MAX(0,$M832),IF(TRIM($M832&amp;"")="matured",0,""))</f>
        <v/>
      </c>
      <c r="CT832" s="78">
        <f>IF(AND(ISNUMBER($CS832),N($CS832)&lt;=mMatWindow),1,0)</f>
        <v/>
      </c>
      <c r="CU832" s="80">
        <f>IF(ISNUMBER($J832),$J832/100,"")</f>
        <v/>
      </c>
      <c r="CV832" s="81">
        <f>IF(ISNUMBER($AQ832),$AQ832,"")</f>
        <v/>
      </c>
      <c r="CW832" s="81">
        <f>IF(ISNUMBER($AR832),$AR832,"")</f>
        <v/>
      </c>
      <c r="CX832" s="82">
        <f>IF(ISNUMBER($AS832),$AS832/100,"")</f>
        <v/>
      </c>
      <c r="CY832" s="82">
        <f>IF(ISNUMBER($AT832),$AT832/100,"")</f>
        <v/>
      </c>
      <c r="CZ832" s="82">
        <f>IF(ISNUMBER($AU832),$AU832/100,"")</f>
        <v/>
      </c>
      <c r="DA832" s="82">
        <f>IF(ISNUMBER($AV832),$AV832/100,"")</f>
        <v/>
      </c>
      <c r="DB832" s="82">
        <f>IF(ISNUMBER($AW832),$AW832/100,"")</f>
        <v/>
      </c>
      <c r="DC832" s="82">
        <f>IF(ISNUMBER($AX832),$AX832/100,"")</f>
        <v/>
      </c>
      <c r="DD832" s="77">
        <f>IFERROR(VALUE(LEFT(TRIM($AO832&amp;""),4)),"")</f>
        <v/>
      </c>
      <c r="DE832" s="78">
        <f>IF(AND($BY832=1,$BX832=1,OR(fDeal="All Deals",$BU832=fDeal),OR(fEntity="All Entities",$BV832=fEntity),OR(fPType="All Property Types",$BZ832=fPType),OR(fDefeased="Include",$CJ832=0)),1,0)</f>
        <v/>
      </c>
      <c r="DF832" s="83">
        <f>$DE832*N($I832)</f>
        <v/>
      </c>
      <c r="DG832" s="78">
        <f>IF($DE832=1,IF(COUNTIFS($F$8:$F832,$F832,$DE$8:$DE832,1)=1,1,0),0)</f>
        <v/>
      </c>
      <c r="DH832" s="83">
        <f>IF($DG832=1,SUMIFS($DF$8:$DF$1600,$F$8:$F$1600,$F832),0)</f>
        <v/>
      </c>
      <c r="DI832" s="78">
        <f>IF($DG832=1,COUNTIFS($F$8:$F$1600,$F832,$DE$8:$DE$1600,1),0)</f>
        <v/>
      </c>
      <c r="DJ832" s="84">
        <f>IF($DG832=1,$DH832+(100000-ROW())/mTieBreak,0)</f>
        <v/>
      </c>
    </row>
    <row r="833">
      <c r="B833" s="68" t="n">
        <v>18</v>
      </c>
      <c r="C833" s="69" t="inlineStr">
        <is>
          <t>DBJ17C06</t>
        </is>
      </c>
      <c r="D833" s="69" t="inlineStr">
        <is>
          <t>18.000</t>
        </is>
      </c>
      <c r="E833" s="69" t="inlineStr">
        <is>
          <t>Oregon City Shopping Center</t>
        </is>
      </c>
      <c r="F833" s="69" t="inlineStr">
        <is>
          <t>LNDBJ17C06-18.000</t>
        </is>
      </c>
      <c r="G833" s="70" t="n"/>
      <c r="H833" s="71" t="n">
        <v>22500000</v>
      </c>
      <c r="I833" s="71" t="n">
        <v>22500000</v>
      </c>
      <c r="J833" s="72" t="n">
        <v>4.3</v>
      </c>
      <c r="K833" s="69" t="inlineStr">
        <is>
          <t>Fixed rate</t>
        </is>
      </c>
      <c r="L833" s="68" t="n">
        <v>120</v>
      </c>
      <c r="M833" s="68" t="n">
        <v>9</v>
      </c>
      <c r="N833" s="68" t="n">
        <v>120</v>
      </c>
      <c r="O833" s="68" t="n">
        <v>120</v>
      </c>
      <c r="P833" s="68" t="n">
        <v>9</v>
      </c>
      <c r="Q833" s="68" t="n">
        <v>111</v>
      </c>
      <c r="R833" s="69" t="inlineStr">
        <is>
          <t>IO</t>
        </is>
      </c>
      <c r="S833" s="69" t="inlineStr">
        <is>
          <t>Yes</t>
        </is>
      </c>
      <c r="T833" s="73" t="n">
        <v>42887</v>
      </c>
      <c r="U833" s="73" t="n">
        <v>46544</v>
      </c>
      <c r="V833" s="73" t="n"/>
      <c r="W833" s="69" t="n"/>
      <c r="X833" s="69" t="inlineStr">
        <is>
          <t>Current</t>
        </is>
      </c>
      <c r="Y833" s="68" t="n"/>
      <c r="Z833" s="69" t="inlineStr">
        <is>
          <t>No Defeasance Occurred</t>
        </is>
      </c>
      <c r="AA833" s="69" t="inlineStr">
        <is>
          <t>Yes</t>
        </is>
      </c>
      <c r="AB833" s="69" t="inlineStr">
        <is>
          <t>Never special serv</t>
        </is>
      </c>
      <c r="AC833" s="73" t="n"/>
      <c r="AD833" s="69" t="n"/>
      <c r="AE833" s="69" t="n"/>
      <c r="AF833" s="69" t="inlineStr">
        <is>
          <t>OR</t>
        </is>
      </c>
      <c r="AG833" s="69" t="inlineStr">
        <is>
          <t>Oregon City</t>
        </is>
      </c>
      <c r="AH833" s="69" t="inlineStr">
        <is>
          <t>Portland-Vancouver-Hillsboro, OR-WA</t>
        </is>
      </c>
      <c r="AI833" s="69" t="inlineStr">
        <is>
          <t>West / Pacific North</t>
        </is>
      </c>
      <c r="AJ833" s="69" t="inlineStr">
        <is>
          <t>RT</t>
        </is>
      </c>
      <c r="AK833" s="69" t="inlineStr">
        <is>
          <t>Anchored</t>
        </is>
      </c>
      <c r="AL833" s="68" t="n">
        <v>1</v>
      </c>
      <c r="AM833" s="68" t="n"/>
      <c r="AN833" s="68" t="n">
        <v>247898</v>
      </c>
      <c r="AO833" s="69" t="inlineStr">
        <is>
          <t>1963</t>
        </is>
      </c>
      <c r="AP833" s="70" t="n">
        <v>2000</v>
      </c>
      <c r="AQ833" s="74" t="n">
        <v>2.53</v>
      </c>
      <c r="AR833" s="74" t="n">
        <v>1.69</v>
      </c>
      <c r="AS833" s="74" t="n">
        <v>52.6</v>
      </c>
      <c r="AT833" s="74" t="n">
        <v>52.63</v>
      </c>
      <c r="AU833" s="74" t="n">
        <v>52.6</v>
      </c>
      <c r="AV833" s="74" t="n">
        <v>11.015600444</v>
      </c>
      <c r="AW833" s="74" t="n">
        <v>5.103588222</v>
      </c>
      <c r="AX833" s="75" t="n">
        <v>80</v>
      </c>
      <c r="AY833" s="71" t="n">
        <v>42750000</v>
      </c>
      <c r="AZ833" s="71" t="n">
        <v>42750000</v>
      </c>
      <c r="BA833" s="71" t="n">
        <v>2478510.1</v>
      </c>
      <c r="BB833" s="71" t="n">
        <v>415023.82</v>
      </c>
      <c r="BC833" s="69" t="inlineStr">
        <is>
          <t>Refinance</t>
        </is>
      </c>
      <c r="BD833" s="69" t="inlineStr">
        <is>
          <t>N</t>
        </is>
      </c>
      <c r="BE833" s="71" t="n"/>
      <c r="BF833" s="71" t="n"/>
      <c r="BG833" s="71" t="n"/>
      <c r="BH833" s="71" t="n">
        <v>0</v>
      </c>
      <c r="BI833" s="71" t="n">
        <v>0</v>
      </c>
      <c r="BJ833" s="69" t="inlineStr">
        <is>
          <t>N</t>
        </is>
      </c>
      <c r="BK833" s="69" t="inlineStr">
        <is>
          <t>Coastal Farm &amp; Home Supply LLC</t>
        </is>
      </c>
      <c r="BL833" s="75" t="n">
        <v>33.74</v>
      </c>
      <c r="BM833" s="73" t="n">
        <v>47238</v>
      </c>
      <c r="BN833" s="69" t="inlineStr">
        <is>
          <t>Investment Concepts, Inc.</t>
        </is>
      </c>
      <c r="BO833" s="69" t="inlineStr">
        <is>
          <t>GACC</t>
        </is>
      </c>
      <c r="BP833" s="69" t="inlineStr">
        <is>
          <t>Midland Loan Services</t>
        </is>
      </c>
      <c r="BQ833" s="69" t="inlineStr">
        <is>
          <t>K-Star Asset Management LLC</t>
        </is>
      </c>
      <c r="BR833" s="69" t="n"/>
      <c r="BS833" s="73" t="n">
        <v>46273</v>
      </c>
      <c r="BU833" s="76">
        <f>IF($C833="","",IFERROR(INDEX(dmName,MATCH($C833,dmID,0)),"Unmapped"))</f>
        <v/>
      </c>
      <c r="BV833" s="76">
        <f>IF($C833="","",IFERROR(INDEX(dmEntity,MATCH($C833,dmID,0)),"Unmapped"))</f>
        <v/>
      </c>
      <c r="BW833" s="77">
        <f>IF($C833="","",IFERROR(INDEX(dmVintage,MATCH($C833,dmID,0)),""))</f>
        <v/>
      </c>
      <c r="BX833" s="78">
        <f>IFERROR(INDEX(dmInclude,MATCH($C833,dmID,0)),0)</f>
        <v/>
      </c>
      <c r="BY833" s="78">
        <f>IF(N($I833)&gt;0,1,0)</f>
        <v/>
      </c>
      <c r="BZ833" s="76">
        <f>IF($AJ833="","Other / Leased Fee",IFERROR(INDEX(mapPTGroup,MATCH(LEFT(TRIM($AJ833),2),mapPTCode,0)),"Other / Leased Fee"))</f>
        <v/>
      </c>
      <c r="CA833" s="76">
        <f>IF(TRIM($AF833&amp;"")="","NR",LEFT(TRIM($AF833),2))</f>
        <v/>
      </c>
      <c r="CB833" s="76">
        <f>IFERROR(LOOKUP(2,1/(LEFT(TRIM($AI833&amp;""),LEN(mapRegion))=mapRegion),mapRegion),"Not Reported")</f>
        <v/>
      </c>
      <c r="CC833" s="76">
        <f>IF($BY833=0,"",IF(TRIM($W833&amp;"")="REO","REO",IF(TRIM($W833&amp;"")="FC","Foreclosure",IF(TRIM($W833&amp;"")="90+","90+ Days Delinquent",IF(TRIM($W833&amp;"")="60","60 Days Delinquent",IF(TRIM($W833&amp;"")="30","30 Days Delinquent",IF($X833="Non-Performing Matured Balloon","Non-Performing Matured Balloon",IF(OR($X833="Late Payment But Less Than 30 Days Delinquent",LEFT($X833&amp;"",20)="Payment Not Received"),"Late / In Grace (&lt;30 Days)",IF($X833="Performing Matured Balloon","Performing Matured Balloon","Current")))))))))</f>
        <v/>
      </c>
      <c r="CD833" s="78">
        <f>IF(OR($CC833="REO",$CC833="Foreclosure",$CC833="90+ Days Delinquent",$CC833="60 Days Delinquent",$CC833="30 Days Delinquent",$CC833="Non-Performing Matured Balloon"),1,0)</f>
        <v/>
      </c>
      <c r="CE833" s="76">
        <f>IF($AB833="Currently special serv","Currently Specially Serviced",IF($AB833="Returned to master serv","Previously Specially Serviced","Never Specially Serviced"))</f>
        <v/>
      </c>
      <c r="CF833" s="78">
        <f>IF($CE833="Currently Specially Serviced",1,0)</f>
        <v/>
      </c>
      <c r="CG833" s="76">
        <f>IF($AA833="Yes","Currently on Watchlist",IF($AA833="Previously","Previously on Watchlist","Never on Watchlist"))</f>
        <v/>
      </c>
      <c r="CH833" s="78">
        <f>IF($CG833="Currently on Watchlist",1,0)</f>
        <v/>
      </c>
      <c r="CI833" s="76">
        <f>IF($Z833="Full Defeasance","Fully Defeased",IF($Z833="Portion Of Loan Previously Defeased","Partially Defeased",IF($Z833="Defeasance Not Allowable","Not Defeased (Not Permitted)","Not Defeased")))</f>
        <v/>
      </c>
      <c r="CJ833" s="78">
        <f>IF($CI833="Fully Defeased",1,0)</f>
        <v/>
      </c>
      <c r="CK833" s="76">
        <f>IF($R833="IO","Full IO",IF(LEFT($R833&amp;"",7)="IO then","Partial IO","Amortizing"))</f>
        <v/>
      </c>
      <c r="CL833" s="78">
        <f>IF($CK833="Full IO",1,0)</f>
        <v/>
      </c>
      <c r="CM833" s="78">
        <f>IF($CK833="Partial IO",1,0)</f>
        <v/>
      </c>
      <c r="CN833" s="76">
        <f>IF(LEFT($F833&amp;"",10)="SPLIT_LOAN","Pari Passu Split","Standalone")</f>
        <v/>
      </c>
      <c r="CO833" s="78">
        <f>IF($CN833="Pari Passu Split",1,0)</f>
        <v/>
      </c>
      <c r="CP833" s="77">
        <f>IF(ISNUMBER($T833),YEAR($T833),"")</f>
        <v/>
      </c>
      <c r="CQ833" s="79">
        <f>IF(ISNUMBER($V833),$V833,IF(ISNUMBER($U833),$U833,""))</f>
        <v/>
      </c>
      <c r="CR833" s="77">
        <f>IF(ISNUMBER($CQ833),YEAR($CQ833),"")</f>
        <v/>
      </c>
      <c r="CS833" s="78">
        <f>IF(ISNUMBER($M833),MAX(0,$M833),IF(TRIM($M833&amp;"")="matured",0,""))</f>
        <v/>
      </c>
      <c r="CT833" s="78">
        <f>IF(AND(ISNUMBER($CS833),N($CS833)&lt;=mMatWindow),1,0)</f>
        <v/>
      </c>
      <c r="CU833" s="80">
        <f>IF(ISNUMBER($J833),$J833/100,"")</f>
        <v/>
      </c>
      <c r="CV833" s="81">
        <f>IF(ISNUMBER($AQ833),$AQ833,"")</f>
        <v/>
      </c>
      <c r="CW833" s="81">
        <f>IF(ISNUMBER($AR833),$AR833,"")</f>
        <v/>
      </c>
      <c r="CX833" s="82">
        <f>IF(ISNUMBER($AS833),$AS833/100,"")</f>
        <v/>
      </c>
      <c r="CY833" s="82">
        <f>IF(ISNUMBER($AT833),$AT833/100,"")</f>
        <v/>
      </c>
      <c r="CZ833" s="82">
        <f>IF(ISNUMBER($AU833),$AU833/100,"")</f>
        <v/>
      </c>
      <c r="DA833" s="82">
        <f>IF(ISNUMBER($AV833),$AV833/100,"")</f>
        <v/>
      </c>
      <c r="DB833" s="82">
        <f>IF(ISNUMBER($AW833),$AW833/100,"")</f>
        <v/>
      </c>
      <c r="DC833" s="82">
        <f>IF(ISNUMBER($AX833),$AX833/100,"")</f>
        <v/>
      </c>
      <c r="DD833" s="77">
        <f>IFERROR(VALUE(LEFT(TRIM($AO833&amp;""),4)),"")</f>
        <v/>
      </c>
      <c r="DE833" s="78">
        <f>IF(AND($BY833=1,$BX833=1,OR(fDeal="All Deals",$BU833=fDeal),OR(fEntity="All Entities",$BV833=fEntity),OR(fPType="All Property Types",$BZ833=fPType),OR(fDefeased="Include",$CJ833=0)),1,0)</f>
        <v/>
      </c>
      <c r="DF833" s="83">
        <f>$DE833*N($I833)</f>
        <v/>
      </c>
      <c r="DG833" s="78">
        <f>IF($DE833=1,IF(COUNTIFS($F$8:$F833,$F833,$DE$8:$DE833,1)=1,1,0),0)</f>
        <v/>
      </c>
      <c r="DH833" s="83">
        <f>IF($DG833=1,SUMIFS($DF$8:$DF$1600,$F$8:$F$1600,$F833),0)</f>
        <v/>
      </c>
      <c r="DI833" s="78">
        <f>IF($DG833=1,COUNTIFS($F$8:$F$1600,$F833,$DE$8:$DE$1600,1),0)</f>
        <v/>
      </c>
      <c r="DJ833" s="84">
        <f>IF($DG833=1,$DH833+(100000-ROW())/mTieBreak,0)</f>
        <v/>
      </c>
    </row>
    <row r="834">
      <c r="B834" s="68" t="n">
        <v>19</v>
      </c>
      <c r="C834" s="69" t="inlineStr">
        <is>
          <t>DBJ17C06</t>
        </is>
      </c>
      <c r="D834" s="69" t="inlineStr">
        <is>
          <t>19.000</t>
        </is>
      </c>
      <c r="E834" s="69" t="inlineStr">
        <is>
          <t>City Crossing</t>
        </is>
      </c>
      <c r="F834" s="69" t="inlineStr">
        <is>
          <t>LNDBJ17C06-19.000</t>
        </is>
      </c>
      <c r="G834" s="70" t="n"/>
      <c r="H834" s="71" t="n">
        <v>20362500</v>
      </c>
      <c r="I834" s="71" t="n">
        <v>0</v>
      </c>
      <c r="J834" s="72" t="n">
        <v>4.75</v>
      </c>
      <c r="K834" s="69" t="inlineStr">
        <is>
          <t>Fixed rate</t>
        </is>
      </c>
      <c r="L834" s="68" t="n">
        <v>120</v>
      </c>
      <c r="M834" s="68" t="n"/>
      <c r="N834" s="68" t="n">
        <v>360</v>
      </c>
      <c r="O834" s="68" t="n"/>
      <c r="P834" s="68" t="n"/>
      <c r="Q834" s="68" t="n"/>
      <c r="R834" s="69" t="n"/>
      <c r="S834" s="69" t="inlineStr">
        <is>
          <t>No</t>
        </is>
      </c>
      <c r="T834" s="73" t="n">
        <v>42826</v>
      </c>
      <c r="U834" s="73" t="n">
        <v>46478</v>
      </c>
      <c r="V834" s="73" t="n"/>
      <c r="W834" s="69" t="n"/>
      <c r="X834" s="69" t="inlineStr">
        <is>
          <t>Current</t>
        </is>
      </c>
      <c r="Y834" s="68" t="n"/>
      <c r="Z834" s="69" t="inlineStr">
        <is>
          <t>Defeasance Not Allowable</t>
        </is>
      </c>
      <c r="AA834" s="69" t="inlineStr">
        <is>
          <t>Previously</t>
        </is>
      </c>
      <c r="AB834" s="69" t="inlineStr">
        <is>
          <t>Never special serv</t>
        </is>
      </c>
      <c r="AC834" s="73" t="n"/>
      <c r="AD834" s="69" t="n"/>
      <c r="AE834" s="69" t="n"/>
      <c r="AF834" s="69" t="inlineStr">
        <is>
          <t>GA</t>
        </is>
      </c>
      <c r="AG834" s="69" t="inlineStr">
        <is>
          <t>Warner Robins</t>
        </is>
      </c>
      <c r="AH834" s="69" t="inlineStr">
        <is>
          <t>Warner Robins, GA</t>
        </is>
      </c>
      <c r="AI834" s="69" t="inlineStr">
        <is>
          <t>South / Atlantic</t>
        </is>
      </c>
      <c r="AJ834" s="69" t="inlineStr">
        <is>
          <t>RT</t>
        </is>
      </c>
      <c r="AK834" s="69" t="inlineStr">
        <is>
          <t>Anchored</t>
        </is>
      </c>
      <c r="AL834" s="68" t="n">
        <v>1</v>
      </c>
      <c r="AM834" s="68" t="n"/>
      <c r="AN834" s="68" t="n">
        <v>190851</v>
      </c>
      <c r="AO834" s="69" t="inlineStr">
        <is>
          <t>2002</t>
        </is>
      </c>
      <c r="AP834" s="70" t="n">
        <v>2002</v>
      </c>
      <c r="AQ834" s="74" t="n">
        <v>1.41</v>
      </c>
      <c r="AR834" s="74" t="n">
        <v>1.34</v>
      </c>
      <c r="AS834" s="74" t="n">
        <v>74.8</v>
      </c>
      <c r="AT834" s="74" t="n"/>
      <c r="AU834" s="74" t="n">
        <v>61.2</v>
      </c>
      <c r="AV834" s="74" t="n">
        <v>8.835997545</v>
      </c>
      <c r="AW834" s="74" t="n"/>
      <c r="AX834" s="75" t="n">
        <v>97</v>
      </c>
      <c r="AY834" s="71" t="n">
        <v>27150000</v>
      </c>
      <c r="AZ834" s="71" t="n">
        <v>27150000</v>
      </c>
      <c r="BA834" s="71" t="n">
        <v>1799230</v>
      </c>
      <c r="BB834" s="71" t="n">
        <v>425720.94</v>
      </c>
      <c r="BC834" s="69" t="inlineStr">
        <is>
          <t>Refinance</t>
        </is>
      </c>
      <c r="BD834" s="69" t="inlineStr">
        <is>
          <t>N</t>
        </is>
      </c>
      <c r="BE834" s="71" t="n"/>
      <c r="BF834" s="71" t="n"/>
      <c r="BG834" s="71" t="n"/>
      <c r="BH834" s="71" t="n">
        <v>0</v>
      </c>
      <c r="BI834" s="71" t="n">
        <v>0</v>
      </c>
      <c r="BJ834" s="69" t="inlineStr">
        <is>
          <t>N</t>
        </is>
      </c>
      <c r="BK834" s="69" t="inlineStr">
        <is>
          <t>Ross Dress for Less #566</t>
        </is>
      </c>
      <c r="BL834" s="75" t="n">
        <v>15.75</v>
      </c>
      <c r="BM834" s="73" t="n">
        <v>46783</v>
      </c>
      <c r="BN834" s="69" t="inlineStr">
        <is>
          <t>Isaac Sidaoui; David Sedgh; Jeffrey Brandler</t>
        </is>
      </c>
      <c r="BO834" s="69" t="inlineStr">
        <is>
          <t>JPMorgan Chase</t>
        </is>
      </c>
      <c r="BP834" s="69" t="inlineStr">
        <is>
          <t>Midland Loan Services</t>
        </is>
      </c>
      <c r="BQ834" s="69" t="inlineStr">
        <is>
          <t>K-Star Asset Management LLC</t>
        </is>
      </c>
      <c r="BR834" s="69" t="inlineStr">
        <is>
          <t>Payoff With Yield Maintenance</t>
        </is>
      </c>
      <c r="BS834" s="73" t="n">
        <v>45936</v>
      </c>
      <c r="BU834" s="76">
        <f>IF($C834="","",IFERROR(INDEX(dmName,MATCH($C834,dmID,0)),"Unmapped"))</f>
        <v/>
      </c>
      <c r="BV834" s="76">
        <f>IF($C834="","",IFERROR(INDEX(dmEntity,MATCH($C834,dmID,0)),"Unmapped"))</f>
        <v/>
      </c>
      <c r="BW834" s="77">
        <f>IF($C834="","",IFERROR(INDEX(dmVintage,MATCH($C834,dmID,0)),""))</f>
        <v/>
      </c>
      <c r="BX834" s="78">
        <f>IFERROR(INDEX(dmInclude,MATCH($C834,dmID,0)),0)</f>
        <v/>
      </c>
      <c r="BY834" s="78">
        <f>IF(N($I834)&gt;0,1,0)</f>
        <v/>
      </c>
      <c r="BZ834" s="76">
        <f>IF($AJ834="","Other / Leased Fee",IFERROR(INDEX(mapPTGroup,MATCH(LEFT(TRIM($AJ834),2),mapPTCode,0)),"Other / Leased Fee"))</f>
        <v/>
      </c>
      <c r="CA834" s="76">
        <f>IF(TRIM($AF834&amp;"")="","NR",LEFT(TRIM($AF834),2))</f>
        <v/>
      </c>
      <c r="CB834" s="76">
        <f>IFERROR(LOOKUP(2,1/(LEFT(TRIM($AI834&amp;""),LEN(mapRegion))=mapRegion),mapRegion),"Not Reported")</f>
        <v/>
      </c>
      <c r="CC834" s="76">
        <f>IF($BY834=0,"",IF(TRIM($W834&amp;"")="REO","REO",IF(TRIM($W834&amp;"")="FC","Foreclosure",IF(TRIM($W834&amp;"")="90+","90+ Days Delinquent",IF(TRIM($W834&amp;"")="60","60 Days Delinquent",IF(TRIM($W834&amp;"")="30","30 Days Delinquent",IF($X834="Non-Performing Matured Balloon","Non-Performing Matured Balloon",IF(OR($X834="Late Payment But Less Than 30 Days Delinquent",LEFT($X834&amp;"",20)="Payment Not Received"),"Late / In Grace (&lt;30 Days)",IF($X834="Performing Matured Balloon","Performing Matured Balloon","Current")))))))))</f>
        <v/>
      </c>
      <c r="CD834" s="78">
        <f>IF(OR($CC834="REO",$CC834="Foreclosure",$CC834="90+ Days Delinquent",$CC834="60 Days Delinquent",$CC834="30 Days Delinquent",$CC834="Non-Performing Matured Balloon"),1,0)</f>
        <v/>
      </c>
      <c r="CE834" s="76">
        <f>IF($AB834="Currently special serv","Currently Specially Serviced",IF($AB834="Returned to master serv","Previously Specially Serviced","Never Specially Serviced"))</f>
        <v/>
      </c>
      <c r="CF834" s="78">
        <f>IF($CE834="Currently Specially Serviced",1,0)</f>
        <v/>
      </c>
      <c r="CG834" s="76">
        <f>IF($AA834="Yes","Currently on Watchlist",IF($AA834="Previously","Previously on Watchlist","Never on Watchlist"))</f>
        <v/>
      </c>
      <c r="CH834" s="78">
        <f>IF($CG834="Currently on Watchlist",1,0)</f>
        <v/>
      </c>
      <c r="CI834" s="76">
        <f>IF($Z834="Full Defeasance","Fully Defeased",IF($Z834="Portion Of Loan Previously Defeased","Partially Defeased",IF($Z834="Defeasance Not Allowable","Not Defeased (Not Permitted)","Not Defeased")))</f>
        <v/>
      </c>
      <c r="CJ834" s="78">
        <f>IF($CI834="Fully Defeased",1,0)</f>
        <v/>
      </c>
      <c r="CK834" s="76">
        <f>IF($R834="IO","Full IO",IF(LEFT($R834&amp;"",7)="IO then","Partial IO","Amortizing"))</f>
        <v/>
      </c>
      <c r="CL834" s="78">
        <f>IF($CK834="Full IO",1,0)</f>
        <v/>
      </c>
      <c r="CM834" s="78">
        <f>IF($CK834="Partial IO",1,0)</f>
        <v/>
      </c>
      <c r="CN834" s="76">
        <f>IF(LEFT($F834&amp;"",10)="SPLIT_LOAN","Pari Passu Split","Standalone")</f>
        <v/>
      </c>
      <c r="CO834" s="78">
        <f>IF($CN834="Pari Passu Split",1,0)</f>
        <v/>
      </c>
      <c r="CP834" s="77">
        <f>IF(ISNUMBER($T834),YEAR($T834),"")</f>
        <v/>
      </c>
      <c r="CQ834" s="79">
        <f>IF(ISNUMBER($V834),$V834,IF(ISNUMBER($U834),$U834,""))</f>
        <v/>
      </c>
      <c r="CR834" s="77">
        <f>IF(ISNUMBER($CQ834),YEAR($CQ834),"")</f>
        <v/>
      </c>
      <c r="CS834" s="78">
        <f>IF(ISNUMBER($M834),MAX(0,$M834),IF(TRIM($M834&amp;"")="matured",0,""))</f>
        <v/>
      </c>
      <c r="CT834" s="78">
        <f>IF(AND(ISNUMBER($CS834),N($CS834)&lt;=mMatWindow),1,0)</f>
        <v/>
      </c>
      <c r="CU834" s="80">
        <f>IF(ISNUMBER($J834),$J834/100,"")</f>
        <v/>
      </c>
      <c r="CV834" s="81">
        <f>IF(ISNUMBER($AQ834),$AQ834,"")</f>
        <v/>
      </c>
      <c r="CW834" s="81">
        <f>IF(ISNUMBER($AR834),$AR834,"")</f>
        <v/>
      </c>
      <c r="CX834" s="82">
        <f>IF(ISNUMBER($AS834),$AS834/100,"")</f>
        <v/>
      </c>
      <c r="CY834" s="82">
        <f>IF(ISNUMBER($AT834),$AT834/100,"")</f>
        <v/>
      </c>
      <c r="CZ834" s="82">
        <f>IF(ISNUMBER($AU834),$AU834/100,"")</f>
        <v/>
      </c>
      <c r="DA834" s="82">
        <f>IF(ISNUMBER($AV834),$AV834/100,"")</f>
        <v/>
      </c>
      <c r="DB834" s="82">
        <f>IF(ISNUMBER($AW834),$AW834/100,"")</f>
        <v/>
      </c>
      <c r="DC834" s="82">
        <f>IF(ISNUMBER($AX834),$AX834/100,"")</f>
        <v/>
      </c>
      <c r="DD834" s="77">
        <f>IFERROR(VALUE(LEFT(TRIM($AO834&amp;""),4)),"")</f>
        <v/>
      </c>
      <c r="DE834" s="78">
        <f>IF(AND($BY834=1,$BX834=1,OR(fDeal="All Deals",$BU834=fDeal),OR(fEntity="All Entities",$BV834=fEntity),OR(fPType="All Property Types",$BZ834=fPType),OR(fDefeased="Include",$CJ834=0)),1,0)</f>
        <v/>
      </c>
      <c r="DF834" s="83">
        <f>$DE834*N($I834)</f>
        <v/>
      </c>
      <c r="DG834" s="78">
        <f>IF($DE834=1,IF(COUNTIFS($F$8:$F834,$F834,$DE$8:$DE834,1)=1,1,0),0)</f>
        <v/>
      </c>
      <c r="DH834" s="83">
        <f>IF($DG834=1,SUMIFS($DF$8:$DF$1600,$F$8:$F$1600,$F834),0)</f>
        <v/>
      </c>
      <c r="DI834" s="78">
        <f>IF($DG834=1,COUNTIFS($F$8:$F$1600,$F834,$DE$8:$DE$1600,1),0)</f>
        <v/>
      </c>
      <c r="DJ834" s="84">
        <f>IF($DG834=1,$DH834+(100000-ROW())/mTieBreak,0)</f>
        <v/>
      </c>
    </row>
    <row r="835">
      <c r="B835" s="68" t="n">
        <v>20</v>
      </c>
      <c r="C835" s="69" t="inlineStr">
        <is>
          <t>DBJ17C06</t>
        </is>
      </c>
      <c r="D835" s="69" t="inlineStr">
        <is>
          <t>20.000</t>
        </is>
      </c>
      <c r="E835" s="69" t="inlineStr">
        <is>
          <t>The Tides Building</t>
        </is>
      </c>
      <c r="F835" s="69" t="inlineStr">
        <is>
          <t>LNDBJ17C06-20.000</t>
        </is>
      </c>
      <c r="G835" s="70" t="n"/>
      <c r="H835" s="71" t="n">
        <v>19995000</v>
      </c>
      <c r="I835" s="71" t="n">
        <v>19995000</v>
      </c>
      <c r="J835" s="72" t="n">
        <v>4.18</v>
      </c>
      <c r="K835" s="69" t="inlineStr">
        <is>
          <t>Fixed rate</t>
        </is>
      </c>
      <c r="L835" s="68" t="n">
        <v>120</v>
      </c>
      <c r="M835" s="68" t="n">
        <v>9</v>
      </c>
      <c r="N835" s="68" t="n">
        <v>120</v>
      </c>
      <c r="O835" s="68" t="n">
        <v>120</v>
      </c>
      <c r="P835" s="68" t="n">
        <v>9</v>
      </c>
      <c r="Q835" s="68" t="n">
        <v>111</v>
      </c>
      <c r="R835" s="69" t="inlineStr">
        <is>
          <t>IO</t>
        </is>
      </c>
      <c r="S835" s="69" t="inlineStr">
        <is>
          <t>Yes</t>
        </is>
      </c>
      <c r="T835" s="73" t="n">
        <v>42887</v>
      </c>
      <c r="U835" s="73" t="n">
        <v>46544</v>
      </c>
      <c r="V835" s="73" t="n"/>
      <c r="W835" s="69" t="n"/>
      <c r="X835" s="69" t="inlineStr">
        <is>
          <t>Current</t>
        </is>
      </c>
      <c r="Y835" s="68" t="n"/>
      <c r="Z835" s="69" t="inlineStr">
        <is>
          <t>No Defeasance Occurred</t>
        </is>
      </c>
      <c r="AA835" s="69" t="inlineStr">
        <is>
          <t>Previously</t>
        </is>
      </c>
      <c r="AB835" s="69" t="inlineStr">
        <is>
          <t>Never special serv</t>
        </is>
      </c>
      <c r="AC835" s="73" t="n"/>
      <c r="AD835" s="69" t="n"/>
      <c r="AE835" s="69" t="n"/>
      <c r="AF835" s="69" t="inlineStr">
        <is>
          <t>CA</t>
        </is>
      </c>
      <c r="AG835" s="69" t="inlineStr">
        <is>
          <t>Santa Monica</t>
        </is>
      </c>
      <c r="AH835" s="69" t="inlineStr">
        <is>
          <t>Los Angeles-Long Beach-Anaheim, CA</t>
        </is>
      </c>
      <c r="AI835" s="69" t="inlineStr">
        <is>
          <t>West / Pacific South</t>
        </is>
      </c>
      <c r="AJ835" s="69" t="inlineStr">
        <is>
          <t>MX</t>
        </is>
      </c>
      <c r="AK835" s="69" t="inlineStr">
        <is>
          <t>Retail/Multifamily</t>
        </is>
      </c>
      <c r="AL835" s="68" t="n">
        <v>1</v>
      </c>
      <c r="AM835" s="68" t="n"/>
      <c r="AN835" s="68" t="n">
        <v>36535</v>
      </c>
      <c r="AO835" s="69" t="inlineStr">
        <is>
          <t>2003</t>
        </is>
      </c>
      <c r="AP835" s="70" t="n">
        <v>2003</v>
      </c>
      <c r="AQ835" s="74" t="n">
        <v>1.95</v>
      </c>
      <c r="AR835" s="74" t="n">
        <v>1.71</v>
      </c>
      <c r="AS835" s="74" t="n">
        <v>51.3</v>
      </c>
      <c r="AT835" s="74" t="n">
        <v>51.27</v>
      </c>
      <c r="AU835" s="74" t="n">
        <v>51.3</v>
      </c>
      <c r="AV835" s="74" t="n">
        <v>8.268259414999999</v>
      </c>
      <c r="AW835" s="74" t="n">
        <v>7.23375934</v>
      </c>
      <c r="AX835" s="75" t="n">
        <v>100</v>
      </c>
      <c r="AY835" s="71" t="n">
        <v>39000000</v>
      </c>
      <c r="AZ835" s="71" t="n">
        <v>39000000</v>
      </c>
      <c r="BA835" s="71" t="n">
        <v>1653238.47</v>
      </c>
      <c r="BB835" s="71" t="n">
        <v>1446390.18</v>
      </c>
      <c r="BC835" s="69" t="inlineStr">
        <is>
          <t>Refinance</t>
        </is>
      </c>
      <c r="BD835" s="69" t="inlineStr">
        <is>
          <t>N</t>
        </is>
      </c>
      <c r="BE835" s="71" t="n"/>
      <c r="BF835" s="71" t="n"/>
      <c r="BG835" s="71" t="n"/>
      <c r="BH835" s="71" t="n">
        <v>0</v>
      </c>
      <c r="BI835" s="71" t="n">
        <v>0</v>
      </c>
      <c r="BJ835" s="69" t="inlineStr">
        <is>
          <t>N</t>
        </is>
      </c>
      <c r="BK835" s="69" t="inlineStr">
        <is>
          <t>BURKE WILLIAMS II LP</t>
        </is>
      </c>
      <c r="BL835" s="75" t="n">
        <v>56.79</v>
      </c>
      <c r="BM835" s="73" t="n">
        <v>49674</v>
      </c>
      <c r="BN835" s="69" t="inlineStr">
        <is>
          <t>Donald Passman</t>
        </is>
      </c>
      <c r="BO835" s="69" t="inlineStr">
        <is>
          <t>GACC</t>
        </is>
      </c>
      <c r="BP835" s="69" t="inlineStr">
        <is>
          <t>Midland Loan Services</t>
        </is>
      </c>
      <c r="BQ835" s="69" t="inlineStr">
        <is>
          <t>K-Star Asset Management LLC</t>
        </is>
      </c>
      <c r="BR835" s="69" t="n"/>
      <c r="BS835" s="73" t="n">
        <v>46273</v>
      </c>
      <c r="BU835" s="76">
        <f>IF($C835="","",IFERROR(INDEX(dmName,MATCH($C835,dmID,0)),"Unmapped"))</f>
        <v/>
      </c>
      <c r="BV835" s="76">
        <f>IF($C835="","",IFERROR(INDEX(dmEntity,MATCH($C835,dmID,0)),"Unmapped"))</f>
        <v/>
      </c>
      <c r="BW835" s="77">
        <f>IF($C835="","",IFERROR(INDEX(dmVintage,MATCH($C835,dmID,0)),""))</f>
        <v/>
      </c>
      <c r="BX835" s="78">
        <f>IFERROR(INDEX(dmInclude,MATCH($C835,dmID,0)),0)</f>
        <v/>
      </c>
      <c r="BY835" s="78">
        <f>IF(N($I835)&gt;0,1,0)</f>
        <v/>
      </c>
      <c r="BZ835" s="76">
        <f>IF($AJ835="","Other / Leased Fee",IFERROR(INDEX(mapPTGroup,MATCH(LEFT(TRIM($AJ835),2),mapPTCode,0)),"Other / Leased Fee"))</f>
        <v/>
      </c>
      <c r="CA835" s="76">
        <f>IF(TRIM($AF835&amp;"")="","NR",LEFT(TRIM($AF835),2))</f>
        <v/>
      </c>
      <c r="CB835" s="76">
        <f>IFERROR(LOOKUP(2,1/(LEFT(TRIM($AI835&amp;""),LEN(mapRegion))=mapRegion),mapRegion),"Not Reported")</f>
        <v/>
      </c>
      <c r="CC835" s="76">
        <f>IF($BY835=0,"",IF(TRIM($W835&amp;"")="REO","REO",IF(TRIM($W835&amp;"")="FC","Foreclosure",IF(TRIM($W835&amp;"")="90+","90+ Days Delinquent",IF(TRIM($W835&amp;"")="60","60 Days Delinquent",IF(TRIM($W835&amp;"")="30","30 Days Delinquent",IF($X835="Non-Performing Matured Balloon","Non-Performing Matured Balloon",IF(OR($X835="Late Payment But Less Than 30 Days Delinquent",LEFT($X835&amp;"",20)="Payment Not Received"),"Late / In Grace (&lt;30 Days)",IF($X835="Performing Matured Balloon","Performing Matured Balloon","Current")))))))))</f>
        <v/>
      </c>
      <c r="CD835" s="78">
        <f>IF(OR($CC835="REO",$CC835="Foreclosure",$CC835="90+ Days Delinquent",$CC835="60 Days Delinquent",$CC835="30 Days Delinquent",$CC835="Non-Performing Matured Balloon"),1,0)</f>
        <v/>
      </c>
      <c r="CE835" s="76">
        <f>IF($AB835="Currently special serv","Currently Specially Serviced",IF($AB835="Returned to master serv","Previously Specially Serviced","Never Specially Serviced"))</f>
        <v/>
      </c>
      <c r="CF835" s="78">
        <f>IF($CE835="Currently Specially Serviced",1,0)</f>
        <v/>
      </c>
      <c r="CG835" s="76">
        <f>IF($AA835="Yes","Currently on Watchlist",IF($AA835="Previously","Previously on Watchlist","Never on Watchlist"))</f>
        <v/>
      </c>
      <c r="CH835" s="78">
        <f>IF($CG835="Currently on Watchlist",1,0)</f>
        <v/>
      </c>
      <c r="CI835" s="76">
        <f>IF($Z835="Full Defeasance","Fully Defeased",IF($Z835="Portion Of Loan Previously Defeased","Partially Defeased",IF($Z835="Defeasance Not Allowable","Not Defeased (Not Permitted)","Not Defeased")))</f>
        <v/>
      </c>
      <c r="CJ835" s="78">
        <f>IF($CI835="Fully Defeased",1,0)</f>
        <v/>
      </c>
      <c r="CK835" s="76">
        <f>IF($R835="IO","Full IO",IF(LEFT($R835&amp;"",7)="IO then","Partial IO","Amortizing"))</f>
        <v/>
      </c>
      <c r="CL835" s="78">
        <f>IF($CK835="Full IO",1,0)</f>
        <v/>
      </c>
      <c r="CM835" s="78">
        <f>IF($CK835="Partial IO",1,0)</f>
        <v/>
      </c>
      <c r="CN835" s="76">
        <f>IF(LEFT($F835&amp;"",10)="SPLIT_LOAN","Pari Passu Split","Standalone")</f>
        <v/>
      </c>
      <c r="CO835" s="78">
        <f>IF($CN835="Pari Passu Split",1,0)</f>
        <v/>
      </c>
      <c r="CP835" s="77">
        <f>IF(ISNUMBER($T835),YEAR($T835),"")</f>
        <v/>
      </c>
      <c r="CQ835" s="79">
        <f>IF(ISNUMBER($V835),$V835,IF(ISNUMBER($U835),$U835,""))</f>
        <v/>
      </c>
      <c r="CR835" s="77">
        <f>IF(ISNUMBER($CQ835),YEAR($CQ835),"")</f>
        <v/>
      </c>
      <c r="CS835" s="78">
        <f>IF(ISNUMBER($M835),MAX(0,$M835),IF(TRIM($M835&amp;"")="matured",0,""))</f>
        <v/>
      </c>
      <c r="CT835" s="78">
        <f>IF(AND(ISNUMBER($CS835),N($CS835)&lt;=mMatWindow),1,0)</f>
        <v/>
      </c>
      <c r="CU835" s="80">
        <f>IF(ISNUMBER($J835),$J835/100,"")</f>
        <v/>
      </c>
      <c r="CV835" s="81">
        <f>IF(ISNUMBER($AQ835),$AQ835,"")</f>
        <v/>
      </c>
      <c r="CW835" s="81">
        <f>IF(ISNUMBER($AR835),$AR835,"")</f>
        <v/>
      </c>
      <c r="CX835" s="82">
        <f>IF(ISNUMBER($AS835),$AS835/100,"")</f>
        <v/>
      </c>
      <c r="CY835" s="82">
        <f>IF(ISNUMBER($AT835),$AT835/100,"")</f>
        <v/>
      </c>
      <c r="CZ835" s="82">
        <f>IF(ISNUMBER($AU835),$AU835/100,"")</f>
        <v/>
      </c>
      <c r="DA835" s="82">
        <f>IF(ISNUMBER($AV835),$AV835/100,"")</f>
        <v/>
      </c>
      <c r="DB835" s="82">
        <f>IF(ISNUMBER($AW835),$AW835/100,"")</f>
        <v/>
      </c>
      <c r="DC835" s="82">
        <f>IF(ISNUMBER($AX835),$AX835/100,"")</f>
        <v/>
      </c>
      <c r="DD835" s="77">
        <f>IFERROR(VALUE(LEFT(TRIM($AO835&amp;""),4)),"")</f>
        <v/>
      </c>
      <c r="DE835" s="78">
        <f>IF(AND($BY835=1,$BX835=1,OR(fDeal="All Deals",$BU835=fDeal),OR(fEntity="All Entities",$BV835=fEntity),OR(fPType="All Property Types",$BZ835=fPType),OR(fDefeased="Include",$CJ835=0)),1,0)</f>
        <v/>
      </c>
      <c r="DF835" s="83">
        <f>$DE835*N($I835)</f>
        <v/>
      </c>
      <c r="DG835" s="78">
        <f>IF($DE835=1,IF(COUNTIFS($F$8:$F835,$F835,$DE$8:$DE835,1)=1,1,0),0)</f>
        <v/>
      </c>
      <c r="DH835" s="83">
        <f>IF($DG835=1,SUMIFS($DF$8:$DF$1600,$F$8:$F$1600,$F835),0)</f>
        <v/>
      </c>
      <c r="DI835" s="78">
        <f>IF($DG835=1,COUNTIFS($F$8:$F$1600,$F835,$DE$8:$DE$1600,1),0)</f>
        <v/>
      </c>
      <c r="DJ835" s="84">
        <f>IF($DG835=1,$DH835+(100000-ROW())/mTieBreak,0)</f>
        <v/>
      </c>
    </row>
    <row r="836">
      <c r="B836" s="68" t="n">
        <v>21</v>
      </c>
      <c r="C836" s="69" t="inlineStr">
        <is>
          <t>DBJ17C06</t>
        </is>
      </c>
      <c r="D836" s="69" t="inlineStr">
        <is>
          <t>21.000</t>
        </is>
      </c>
      <c r="E836" s="69" t="inlineStr">
        <is>
          <t>El Paso Industrial Portfolio</t>
        </is>
      </c>
      <c r="F836" s="69" t="inlineStr">
        <is>
          <t>LNDBJ17C06-21.000</t>
        </is>
      </c>
      <c r="G836" s="70" t="n"/>
      <c r="H836" s="71" t="n">
        <v>18000000</v>
      </c>
      <c r="I836" s="71" t="n">
        <v>16074996.949998</v>
      </c>
      <c r="J836" s="72" t="n">
        <v>4.63</v>
      </c>
      <c r="K836" s="69" t="inlineStr">
        <is>
          <t>Fixed rate</t>
        </is>
      </c>
      <c r="L836" s="68" t="n">
        <v>120</v>
      </c>
      <c r="M836" s="68" t="n">
        <v>9</v>
      </c>
      <c r="N836" s="68" t="n">
        <v>396</v>
      </c>
      <c r="O836" s="68" t="n">
        <v>36</v>
      </c>
      <c r="P836" s="68" t="n">
        <v>0</v>
      </c>
      <c r="Q836" s="68" t="n">
        <v>111</v>
      </c>
      <c r="R836" s="69" t="inlineStr">
        <is>
          <t>IO then Amort</t>
        </is>
      </c>
      <c r="S836" s="69" t="inlineStr">
        <is>
          <t>No</t>
        </is>
      </c>
      <c r="T836" s="73" t="n">
        <v>42887</v>
      </c>
      <c r="U836" s="73" t="n">
        <v>46544</v>
      </c>
      <c r="V836" s="73" t="n"/>
      <c r="W836" s="69" t="n"/>
      <c r="X836" s="69" t="inlineStr">
        <is>
          <t>Current</t>
        </is>
      </c>
      <c r="Y836" s="68" t="n"/>
      <c r="Z836" s="69" t="inlineStr">
        <is>
          <t>Full Defeasance</t>
        </is>
      </c>
      <c r="AA836" s="69" t="inlineStr">
        <is>
          <t>Previously</t>
        </is>
      </c>
      <c r="AB836" s="69" t="inlineStr">
        <is>
          <t>Never special serv</t>
        </is>
      </c>
      <c r="AC836" s="73" t="n"/>
      <c r="AD836" s="69" t="n"/>
      <c r="AE836" s="69" t="n"/>
      <c r="AF836" s="69" t="inlineStr">
        <is>
          <t>TX</t>
        </is>
      </c>
      <c r="AG836" s="69" t="inlineStr">
        <is>
          <t>El Paso</t>
        </is>
      </c>
      <c r="AH836" s="69" t="inlineStr">
        <is>
          <t>El Paso, TX</t>
        </is>
      </c>
      <c r="AI836" s="69" t="inlineStr">
        <is>
          <t>South / Central West</t>
        </is>
      </c>
      <c r="AJ836" s="69" t="inlineStr">
        <is>
          <t>IN</t>
        </is>
      </c>
      <c r="AK836" s="69" t="inlineStr">
        <is>
          <t>Warehouse/Distribution</t>
        </is>
      </c>
      <c r="AL836" s="68" t="n">
        <v>9</v>
      </c>
      <c r="AM836" s="68" t="n"/>
      <c r="AN836" s="68" t="n">
        <v>658540</v>
      </c>
      <c r="AO836" s="69" t="n"/>
      <c r="AP836" s="70" t="n">
        <v>1997</v>
      </c>
      <c r="AQ836" s="74" t="n">
        <v>1.41</v>
      </c>
      <c r="AR836" s="74" t="n">
        <v>2.02</v>
      </c>
      <c r="AS836" s="74" t="n">
        <v>71.40000000000001</v>
      </c>
      <c r="AT836" s="74" t="n">
        <v>63.79</v>
      </c>
      <c r="AU836" s="74" t="n">
        <v>62.7</v>
      </c>
      <c r="AV836" s="74" t="n">
        <v>8.712377721999999</v>
      </c>
      <c r="AW836" s="74" t="n">
        <v>10.974658381</v>
      </c>
      <c r="AX836" s="75" t="n">
        <v>89.47</v>
      </c>
      <c r="AY836" s="71" t="n">
        <v>25200000</v>
      </c>
      <c r="AZ836" s="71" t="n">
        <v>25200000</v>
      </c>
      <c r="BA836" s="71" t="n">
        <v>1568227.99</v>
      </c>
      <c r="BB836" s="71" t="n">
        <v>2239508.48</v>
      </c>
      <c r="BC836" s="69" t="inlineStr">
        <is>
          <t>Refinance</t>
        </is>
      </c>
      <c r="BD836" s="69" t="inlineStr">
        <is>
          <t>N</t>
        </is>
      </c>
      <c r="BE836" s="71" t="n"/>
      <c r="BF836" s="71" t="n"/>
      <c r="BG836" s="71" t="n"/>
      <c r="BH836" s="71" t="n">
        <v>0</v>
      </c>
      <c r="BI836" s="71" t="n">
        <v>0</v>
      </c>
      <c r="BJ836" s="69" t="inlineStr">
        <is>
          <t>N</t>
        </is>
      </c>
      <c r="BK836" s="69" t="inlineStr">
        <is>
          <t>GE Aviation</t>
        </is>
      </c>
      <c r="BL836" s="75" t="n">
        <v>51.22</v>
      </c>
      <c r="BM836" s="73" t="n">
        <v>44787</v>
      </c>
      <c r="BN836" s="69" t="inlineStr">
        <is>
          <t>Stonelake Opportunity Partners III, L.P.</t>
        </is>
      </c>
      <c r="BO836" s="69" t="inlineStr">
        <is>
          <t>GACC</t>
        </is>
      </c>
      <c r="BP836" s="69" t="inlineStr">
        <is>
          <t>Midland Loan Services</t>
        </is>
      </c>
      <c r="BQ836" s="69" t="inlineStr">
        <is>
          <t>K-Star Asset Management LLC</t>
        </is>
      </c>
      <c r="BR836" s="69" t="n"/>
      <c r="BS836" s="73" t="n">
        <v>46273</v>
      </c>
      <c r="BU836" s="76">
        <f>IF($C836="","",IFERROR(INDEX(dmName,MATCH($C836,dmID,0)),"Unmapped"))</f>
        <v/>
      </c>
      <c r="BV836" s="76">
        <f>IF($C836="","",IFERROR(INDEX(dmEntity,MATCH($C836,dmID,0)),"Unmapped"))</f>
        <v/>
      </c>
      <c r="BW836" s="77">
        <f>IF($C836="","",IFERROR(INDEX(dmVintage,MATCH($C836,dmID,0)),""))</f>
        <v/>
      </c>
      <c r="BX836" s="78">
        <f>IFERROR(INDEX(dmInclude,MATCH($C836,dmID,0)),0)</f>
        <v/>
      </c>
      <c r="BY836" s="78">
        <f>IF(N($I836)&gt;0,1,0)</f>
        <v/>
      </c>
      <c r="BZ836" s="76">
        <f>IF($AJ836="","Other / Leased Fee",IFERROR(INDEX(mapPTGroup,MATCH(LEFT(TRIM($AJ836),2),mapPTCode,0)),"Other / Leased Fee"))</f>
        <v/>
      </c>
      <c r="CA836" s="76">
        <f>IF(TRIM($AF836&amp;"")="","NR",LEFT(TRIM($AF836),2))</f>
        <v/>
      </c>
      <c r="CB836" s="76">
        <f>IFERROR(LOOKUP(2,1/(LEFT(TRIM($AI836&amp;""),LEN(mapRegion))=mapRegion),mapRegion),"Not Reported")</f>
        <v/>
      </c>
      <c r="CC836" s="76">
        <f>IF($BY836=0,"",IF(TRIM($W836&amp;"")="REO","REO",IF(TRIM($W836&amp;"")="FC","Foreclosure",IF(TRIM($W836&amp;"")="90+","90+ Days Delinquent",IF(TRIM($W836&amp;"")="60","60 Days Delinquent",IF(TRIM($W836&amp;"")="30","30 Days Delinquent",IF($X836="Non-Performing Matured Balloon","Non-Performing Matured Balloon",IF(OR($X836="Late Payment But Less Than 30 Days Delinquent",LEFT($X836&amp;"",20)="Payment Not Received"),"Late / In Grace (&lt;30 Days)",IF($X836="Performing Matured Balloon","Performing Matured Balloon","Current")))))))))</f>
        <v/>
      </c>
      <c r="CD836" s="78">
        <f>IF(OR($CC836="REO",$CC836="Foreclosure",$CC836="90+ Days Delinquent",$CC836="60 Days Delinquent",$CC836="30 Days Delinquent",$CC836="Non-Performing Matured Balloon"),1,0)</f>
        <v/>
      </c>
      <c r="CE836" s="76">
        <f>IF($AB836="Currently special serv","Currently Specially Serviced",IF($AB836="Returned to master serv","Previously Specially Serviced","Never Specially Serviced"))</f>
        <v/>
      </c>
      <c r="CF836" s="78">
        <f>IF($CE836="Currently Specially Serviced",1,0)</f>
        <v/>
      </c>
      <c r="CG836" s="76">
        <f>IF($AA836="Yes","Currently on Watchlist",IF($AA836="Previously","Previously on Watchlist","Never on Watchlist"))</f>
        <v/>
      </c>
      <c r="CH836" s="78">
        <f>IF($CG836="Currently on Watchlist",1,0)</f>
        <v/>
      </c>
      <c r="CI836" s="76">
        <f>IF($Z836="Full Defeasance","Fully Defeased",IF($Z836="Portion Of Loan Previously Defeased","Partially Defeased",IF($Z836="Defeasance Not Allowable","Not Defeased (Not Permitted)","Not Defeased")))</f>
        <v/>
      </c>
      <c r="CJ836" s="78">
        <f>IF($CI836="Fully Defeased",1,0)</f>
        <v/>
      </c>
      <c r="CK836" s="76">
        <f>IF($R836="IO","Full IO",IF(LEFT($R836&amp;"",7)="IO then","Partial IO","Amortizing"))</f>
        <v/>
      </c>
      <c r="CL836" s="78">
        <f>IF($CK836="Full IO",1,0)</f>
        <v/>
      </c>
      <c r="CM836" s="78">
        <f>IF($CK836="Partial IO",1,0)</f>
        <v/>
      </c>
      <c r="CN836" s="76">
        <f>IF(LEFT($F836&amp;"",10)="SPLIT_LOAN","Pari Passu Split","Standalone")</f>
        <v/>
      </c>
      <c r="CO836" s="78">
        <f>IF($CN836="Pari Passu Split",1,0)</f>
        <v/>
      </c>
      <c r="CP836" s="77">
        <f>IF(ISNUMBER($T836),YEAR($T836),"")</f>
        <v/>
      </c>
      <c r="CQ836" s="79">
        <f>IF(ISNUMBER($V836),$V836,IF(ISNUMBER($U836),$U836,""))</f>
        <v/>
      </c>
      <c r="CR836" s="77">
        <f>IF(ISNUMBER($CQ836),YEAR($CQ836),"")</f>
        <v/>
      </c>
      <c r="CS836" s="78">
        <f>IF(ISNUMBER($M836),MAX(0,$M836),IF(TRIM($M836&amp;"")="matured",0,""))</f>
        <v/>
      </c>
      <c r="CT836" s="78">
        <f>IF(AND(ISNUMBER($CS836),N($CS836)&lt;=mMatWindow),1,0)</f>
        <v/>
      </c>
      <c r="CU836" s="80">
        <f>IF(ISNUMBER($J836),$J836/100,"")</f>
        <v/>
      </c>
      <c r="CV836" s="81">
        <f>IF(ISNUMBER($AQ836),$AQ836,"")</f>
        <v/>
      </c>
      <c r="CW836" s="81">
        <f>IF(ISNUMBER($AR836),$AR836,"")</f>
        <v/>
      </c>
      <c r="CX836" s="82">
        <f>IF(ISNUMBER($AS836),$AS836/100,"")</f>
        <v/>
      </c>
      <c r="CY836" s="82">
        <f>IF(ISNUMBER($AT836),$AT836/100,"")</f>
        <v/>
      </c>
      <c r="CZ836" s="82">
        <f>IF(ISNUMBER($AU836),$AU836/100,"")</f>
        <v/>
      </c>
      <c r="DA836" s="82">
        <f>IF(ISNUMBER($AV836),$AV836/100,"")</f>
        <v/>
      </c>
      <c r="DB836" s="82">
        <f>IF(ISNUMBER($AW836),$AW836/100,"")</f>
        <v/>
      </c>
      <c r="DC836" s="82">
        <f>IF(ISNUMBER($AX836),$AX836/100,"")</f>
        <v/>
      </c>
      <c r="DD836" s="77">
        <f>IFERROR(VALUE(LEFT(TRIM($AO836&amp;""),4)),"")</f>
        <v/>
      </c>
      <c r="DE836" s="78">
        <f>IF(AND($BY836=1,$BX836=1,OR(fDeal="All Deals",$BU836=fDeal),OR(fEntity="All Entities",$BV836=fEntity),OR(fPType="All Property Types",$BZ836=fPType),OR(fDefeased="Include",$CJ836=0)),1,0)</f>
        <v/>
      </c>
      <c r="DF836" s="83">
        <f>$DE836*N($I836)</f>
        <v/>
      </c>
      <c r="DG836" s="78">
        <f>IF($DE836=1,IF(COUNTIFS($F$8:$F836,$F836,$DE$8:$DE836,1)=1,1,0),0)</f>
        <v/>
      </c>
      <c r="DH836" s="83">
        <f>IF($DG836=1,SUMIFS($DF$8:$DF$1600,$F$8:$F$1600,$F836),0)</f>
        <v/>
      </c>
      <c r="DI836" s="78">
        <f>IF($DG836=1,COUNTIFS($F$8:$F$1600,$F836,$DE$8:$DE$1600,1),0)</f>
        <v/>
      </c>
      <c r="DJ836" s="84">
        <f>IF($DG836=1,$DH836+(100000-ROW())/mTieBreak,0)</f>
        <v/>
      </c>
    </row>
    <row r="837">
      <c r="B837" s="68" t="n">
        <v>22</v>
      </c>
      <c r="C837" s="69" t="inlineStr">
        <is>
          <t>DBJ17C06</t>
        </is>
      </c>
      <c r="D837" s="69" t="inlineStr">
        <is>
          <t>22.000</t>
        </is>
      </c>
      <c r="E837" s="69" t="inlineStr">
        <is>
          <t>University Shopping Center</t>
        </is>
      </c>
      <c r="F837" s="69" t="inlineStr">
        <is>
          <t>LNDBJ17C06-22.000</t>
        </is>
      </c>
      <c r="G837" s="70" t="n"/>
      <c r="H837" s="71" t="n">
        <v>16875000</v>
      </c>
      <c r="I837" s="71" t="n">
        <v>0</v>
      </c>
      <c r="J837" s="72" t="n">
        <v>4.54</v>
      </c>
      <c r="K837" s="69" t="inlineStr">
        <is>
          <t>Fixed rate</t>
        </is>
      </c>
      <c r="L837" s="68" t="n">
        <v>120</v>
      </c>
      <c r="M837" s="68" t="n"/>
      <c r="N837" s="68" t="n">
        <v>396</v>
      </c>
      <c r="O837" s="68" t="n">
        <v>36</v>
      </c>
      <c r="P837" s="68" t="n"/>
      <c r="Q837" s="68" t="n"/>
      <c r="R837" s="69" t="inlineStr">
        <is>
          <t>IO then Amort</t>
        </is>
      </c>
      <c r="S837" s="69" t="inlineStr">
        <is>
          <t>No</t>
        </is>
      </c>
      <c r="T837" s="73" t="n">
        <v>42795</v>
      </c>
      <c r="U837" s="73" t="n">
        <v>46447</v>
      </c>
      <c r="V837" s="73" t="n"/>
      <c r="W837" s="69" t="n"/>
      <c r="X837" s="69" t="inlineStr">
        <is>
          <t>Current</t>
        </is>
      </c>
      <c r="Y837" s="68" t="n"/>
      <c r="Z837" s="69" t="inlineStr">
        <is>
          <t>Defeasance Not Allowable</t>
        </is>
      </c>
      <c r="AA837" s="69" t="inlineStr">
        <is>
          <t>Previously</t>
        </is>
      </c>
      <c r="AB837" s="69" t="inlineStr">
        <is>
          <t>Never special serv</t>
        </is>
      </c>
      <c r="AC837" s="73" t="n"/>
      <c r="AD837" s="69" t="n"/>
      <c r="AE837" s="69" t="n"/>
      <c r="AF837" s="69" t="inlineStr">
        <is>
          <t>TX</t>
        </is>
      </c>
      <c r="AG837" s="69" t="inlineStr">
        <is>
          <t>College Station</t>
        </is>
      </c>
      <c r="AH837" s="69" t="inlineStr">
        <is>
          <t>College Station-Bryan, TX</t>
        </is>
      </c>
      <c r="AI837" s="69" t="inlineStr">
        <is>
          <t>South / Central West</t>
        </is>
      </c>
      <c r="AJ837" s="69" t="inlineStr">
        <is>
          <t>RT</t>
        </is>
      </c>
      <c r="AK837" s="69" t="inlineStr">
        <is>
          <t>Anchored</t>
        </is>
      </c>
      <c r="AL837" s="68" t="n">
        <v>1</v>
      </c>
      <c r="AM837" s="68" t="n"/>
      <c r="AN837" s="68" t="n">
        <v>170225</v>
      </c>
      <c r="AO837" s="69" t="inlineStr">
        <is>
          <t>2001</t>
        </is>
      </c>
      <c r="AP837" s="70" t="n">
        <v>2001</v>
      </c>
      <c r="AQ837" s="74" t="n">
        <v>1.41</v>
      </c>
      <c r="AR837" s="74" t="n">
        <v>1.11</v>
      </c>
      <c r="AS837" s="74" t="n">
        <v>66.8</v>
      </c>
      <c r="AT837" s="74" t="n"/>
      <c r="AU837" s="74" t="n">
        <v>58.6</v>
      </c>
      <c r="AV837" s="74" t="n">
        <v>8.611182222</v>
      </c>
      <c r="AW837" s="74" t="n"/>
      <c r="AX837" s="75" t="n">
        <v>84</v>
      </c>
      <c r="AY837" s="71" t="n">
        <v>25250000</v>
      </c>
      <c r="AZ837" s="71" t="n">
        <v>25250000</v>
      </c>
      <c r="BA837" s="71" t="n">
        <v>1453137</v>
      </c>
      <c r="BB837" s="71" t="n">
        <v>286291.68</v>
      </c>
      <c r="BC837" s="69" t="inlineStr">
        <is>
          <t>Acquisition</t>
        </is>
      </c>
      <c r="BD837" s="69" t="inlineStr">
        <is>
          <t>N</t>
        </is>
      </c>
      <c r="BE837" s="71" t="n"/>
      <c r="BF837" s="71" t="n"/>
      <c r="BG837" s="71" t="n"/>
      <c r="BH837" s="71" t="n">
        <v>0</v>
      </c>
      <c r="BI837" s="71" t="n">
        <v>0</v>
      </c>
      <c r="BJ837" s="69" t="inlineStr">
        <is>
          <t>N</t>
        </is>
      </c>
      <c r="BK837" s="69" t="inlineStr">
        <is>
          <t>Hobby Lobby #65</t>
        </is>
      </c>
      <c r="BL837" s="75" t="n">
        <v>35.25</v>
      </c>
      <c r="BM837" s="73" t="n">
        <v>46265</v>
      </c>
      <c r="BN837" s="69" t="inlineStr">
        <is>
          <t>Kenneth D. Lawrence; Brent A. Martin</t>
        </is>
      </c>
      <c r="BO837" s="69" t="inlineStr">
        <is>
          <t>JPMorgan Chase</t>
        </is>
      </c>
      <c r="BP837" s="69" t="inlineStr">
        <is>
          <t>Midland Loan Services</t>
        </is>
      </c>
      <c r="BQ837" s="69" t="inlineStr">
        <is>
          <t>K-Star Asset Management LLC</t>
        </is>
      </c>
      <c r="BR837" s="69" t="inlineStr">
        <is>
          <t>Payoff With Yield Maintenance</t>
        </is>
      </c>
      <c r="BS837" s="73" t="n">
        <v>45936</v>
      </c>
      <c r="BU837" s="76">
        <f>IF($C837="","",IFERROR(INDEX(dmName,MATCH($C837,dmID,0)),"Unmapped"))</f>
        <v/>
      </c>
      <c r="BV837" s="76">
        <f>IF($C837="","",IFERROR(INDEX(dmEntity,MATCH($C837,dmID,0)),"Unmapped"))</f>
        <v/>
      </c>
      <c r="BW837" s="77">
        <f>IF($C837="","",IFERROR(INDEX(dmVintage,MATCH($C837,dmID,0)),""))</f>
        <v/>
      </c>
      <c r="BX837" s="78">
        <f>IFERROR(INDEX(dmInclude,MATCH($C837,dmID,0)),0)</f>
        <v/>
      </c>
      <c r="BY837" s="78">
        <f>IF(N($I837)&gt;0,1,0)</f>
        <v/>
      </c>
      <c r="BZ837" s="76">
        <f>IF($AJ837="","Other / Leased Fee",IFERROR(INDEX(mapPTGroup,MATCH(LEFT(TRIM($AJ837),2),mapPTCode,0)),"Other / Leased Fee"))</f>
        <v/>
      </c>
      <c r="CA837" s="76">
        <f>IF(TRIM($AF837&amp;"")="","NR",LEFT(TRIM($AF837),2))</f>
        <v/>
      </c>
      <c r="CB837" s="76">
        <f>IFERROR(LOOKUP(2,1/(LEFT(TRIM($AI837&amp;""),LEN(mapRegion))=mapRegion),mapRegion),"Not Reported")</f>
        <v/>
      </c>
      <c r="CC837" s="76">
        <f>IF($BY837=0,"",IF(TRIM($W837&amp;"")="REO","REO",IF(TRIM($W837&amp;"")="FC","Foreclosure",IF(TRIM($W837&amp;"")="90+","90+ Days Delinquent",IF(TRIM($W837&amp;"")="60","60 Days Delinquent",IF(TRIM($W837&amp;"")="30","30 Days Delinquent",IF($X837="Non-Performing Matured Balloon","Non-Performing Matured Balloon",IF(OR($X837="Late Payment But Less Than 30 Days Delinquent",LEFT($X837&amp;"",20)="Payment Not Received"),"Late / In Grace (&lt;30 Days)",IF($X837="Performing Matured Balloon","Performing Matured Balloon","Current")))))))))</f>
        <v/>
      </c>
      <c r="CD837" s="78">
        <f>IF(OR($CC837="REO",$CC837="Foreclosure",$CC837="90+ Days Delinquent",$CC837="60 Days Delinquent",$CC837="30 Days Delinquent",$CC837="Non-Performing Matured Balloon"),1,0)</f>
        <v/>
      </c>
      <c r="CE837" s="76">
        <f>IF($AB837="Currently special serv","Currently Specially Serviced",IF($AB837="Returned to master serv","Previously Specially Serviced","Never Specially Serviced"))</f>
        <v/>
      </c>
      <c r="CF837" s="78">
        <f>IF($CE837="Currently Specially Serviced",1,0)</f>
        <v/>
      </c>
      <c r="CG837" s="76">
        <f>IF($AA837="Yes","Currently on Watchlist",IF($AA837="Previously","Previously on Watchlist","Never on Watchlist"))</f>
        <v/>
      </c>
      <c r="CH837" s="78">
        <f>IF($CG837="Currently on Watchlist",1,0)</f>
        <v/>
      </c>
      <c r="CI837" s="76">
        <f>IF($Z837="Full Defeasance","Fully Defeased",IF($Z837="Portion Of Loan Previously Defeased","Partially Defeased",IF($Z837="Defeasance Not Allowable","Not Defeased (Not Permitted)","Not Defeased")))</f>
        <v/>
      </c>
      <c r="CJ837" s="78">
        <f>IF($CI837="Fully Defeased",1,0)</f>
        <v/>
      </c>
      <c r="CK837" s="76">
        <f>IF($R837="IO","Full IO",IF(LEFT($R837&amp;"",7)="IO then","Partial IO","Amortizing"))</f>
        <v/>
      </c>
      <c r="CL837" s="78">
        <f>IF($CK837="Full IO",1,0)</f>
        <v/>
      </c>
      <c r="CM837" s="78">
        <f>IF($CK837="Partial IO",1,0)</f>
        <v/>
      </c>
      <c r="CN837" s="76">
        <f>IF(LEFT($F837&amp;"",10)="SPLIT_LOAN","Pari Passu Split","Standalone")</f>
        <v/>
      </c>
      <c r="CO837" s="78">
        <f>IF($CN837="Pari Passu Split",1,0)</f>
        <v/>
      </c>
      <c r="CP837" s="77">
        <f>IF(ISNUMBER($T837),YEAR($T837),"")</f>
        <v/>
      </c>
      <c r="CQ837" s="79">
        <f>IF(ISNUMBER($V837),$V837,IF(ISNUMBER($U837),$U837,""))</f>
        <v/>
      </c>
      <c r="CR837" s="77">
        <f>IF(ISNUMBER($CQ837),YEAR($CQ837),"")</f>
        <v/>
      </c>
      <c r="CS837" s="78">
        <f>IF(ISNUMBER($M837),MAX(0,$M837),IF(TRIM($M837&amp;"")="matured",0,""))</f>
        <v/>
      </c>
      <c r="CT837" s="78">
        <f>IF(AND(ISNUMBER($CS837),N($CS837)&lt;=mMatWindow),1,0)</f>
        <v/>
      </c>
      <c r="CU837" s="80">
        <f>IF(ISNUMBER($J837),$J837/100,"")</f>
        <v/>
      </c>
      <c r="CV837" s="81">
        <f>IF(ISNUMBER($AQ837),$AQ837,"")</f>
        <v/>
      </c>
      <c r="CW837" s="81">
        <f>IF(ISNUMBER($AR837),$AR837,"")</f>
        <v/>
      </c>
      <c r="CX837" s="82">
        <f>IF(ISNUMBER($AS837),$AS837/100,"")</f>
        <v/>
      </c>
      <c r="CY837" s="82">
        <f>IF(ISNUMBER($AT837),$AT837/100,"")</f>
        <v/>
      </c>
      <c r="CZ837" s="82">
        <f>IF(ISNUMBER($AU837),$AU837/100,"")</f>
        <v/>
      </c>
      <c r="DA837" s="82">
        <f>IF(ISNUMBER($AV837),$AV837/100,"")</f>
        <v/>
      </c>
      <c r="DB837" s="82">
        <f>IF(ISNUMBER($AW837),$AW837/100,"")</f>
        <v/>
      </c>
      <c r="DC837" s="82">
        <f>IF(ISNUMBER($AX837),$AX837/100,"")</f>
        <v/>
      </c>
      <c r="DD837" s="77">
        <f>IFERROR(VALUE(LEFT(TRIM($AO837&amp;""),4)),"")</f>
        <v/>
      </c>
      <c r="DE837" s="78">
        <f>IF(AND($BY837=1,$BX837=1,OR(fDeal="All Deals",$BU837=fDeal),OR(fEntity="All Entities",$BV837=fEntity),OR(fPType="All Property Types",$BZ837=fPType),OR(fDefeased="Include",$CJ837=0)),1,0)</f>
        <v/>
      </c>
      <c r="DF837" s="83">
        <f>$DE837*N($I837)</f>
        <v/>
      </c>
      <c r="DG837" s="78">
        <f>IF($DE837=1,IF(COUNTIFS($F$8:$F837,$F837,$DE$8:$DE837,1)=1,1,0),0)</f>
        <v/>
      </c>
      <c r="DH837" s="83">
        <f>IF($DG837=1,SUMIFS($DF$8:$DF$1600,$F$8:$F$1600,$F837),0)</f>
        <v/>
      </c>
      <c r="DI837" s="78">
        <f>IF($DG837=1,COUNTIFS($F$8:$F$1600,$F837,$DE$8:$DE$1600,1),0)</f>
        <v/>
      </c>
      <c r="DJ837" s="84">
        <f>IF($DG837=1,$DH837+(100000-ROW())/mTieBreak,0)</f>
        <v/>
      </c>
    </row>
    <row r="838">
      <c r="B838" s="68" t="n">
        <v>23</v>
      </c>
      <c r="C838" s="69" t="inlineStr">
        <is>
          <t>DBJ17C06</t>
        </is>
      </c>
      <c r="D838" s="69" t="inlineStr">
        <is>
          <t>23.000</t>
        </is>
      </c>
      <c r="E838" s="69" t="inlineStr">
        <is>
          <t>Santa Barbara Corporate Center</t>
        </is>
      </c>
      <c r="F838" s="69" t="inlineStr">
        <is>
          <t>LNDBJ17C06-23.000</t>
        </is>
      </c>
      <c r="G838" s="70" t="n"/>
      <c r="H838" s="71" t="n">
        <v>16000000</v>
      </c>
      <c r="I838" s="71" t="n">
        <v>14835804.33</v>
      </c>
      <c r="J838" s="72" t="n">
        <v>4.46</v>
      </c>
      <c r="K838" s="69" t="inlineStr">
        <is>
          <t>Fixed rate</t>
        </is>
      </c>
      <c r="L838" s="68" t="n">
        <v>120</v>
      </c>
      <c r="M838" s="68" t="n">
        <v>8</v>
      </c>
      <c r="N838" s="68" t="n">
        <v>420</v>
      </c>
      <c r="O838" s="68" t="n">
        <v>60</v>
      </c>
      <c r="P838" s="68" t="n">
        <v>0</v>
      </c>
      <c r="Q838" s="68" t="n">
        <v>112</v>
      </c>
      <c r="R838" s="69" t="inlineStr">
        <is>
          <t>IO then Amort</t>
        </is>
      </c>
      <c r="S838" s="69" t="inlineStr">
        <is>
          <t>No</t>
        </is>
      </c>
      <c r="T838" s="73" t="n">
        <v>42856</v>
      </c>
      <c r="U838" s="73" t="n">
        <v>46513</v>
      </c>
      <c r="V838" s="73" t="n"/>
      <c r="W838" s="69" t="n"/>
      <c r="X838" s="69" t="inlineStr">
        <is>
          <t>Current</t>
        </is>
      </c>
      <c r="Y838" s="68" t="n"/>
      <c r="Z838" s="69" t="inlineStr">
        <is>
          <t>No Defeasance Occurred</t>
        </is>
      </c>
      <c r="AA838" s="69" t="inlineStr">
        <is>
          <t>Yes</t>
        </is>
      </c>
      <c r="AB838" s="69" t="inlineStr">
        <is>
          <t>Never special serv</t>
        </is>
      </c>
      <c r="AC838" s="73" t="n"/>
      <c r="AD838" s="69" t="n"/>
      <c r="AE838" s="69" t="n"/>
      <c r="AF838" s="69" t="inlineStr">
        <is>
          <t>CA</t>
        </is>
      </c>
      <c r="AG838" s="69" t="inlineStr">
        <is>
          <t>Goleta</t>
        </is>
      </c>
      <c r="AH838" s="69" t="inlineStr">
        <is>
          <t>Santa Maria-Santa Barbara, CA</t>
        </is>
      </c>
      <c r="AI838" s="69" t="inlineStr">
        <is>
          <t>West / Pacific South</t>
        </is>
      </c>
      <c r="AJ838" s="69" t="inlineStr">
        <is>
          <t>OF</t>
        </is>
      </c>
      <c r="AK838" s="69" t="inlineStr">
        <is>
          <t>Suburban</t>
        </is>
      </c>
      <c r="AL838" s="68" t="n">
        <v>1</v>
      </c>
      <c r="AM838" s="68" t="n"/>
      <c r="AN838" s="68" t="n">
        <v>81871</v>
      </c>
      <c r="AO838" s="69" t="inlineStr">
        <is>
          <t>1996</t>
        </is>
      </c>
      <c r="AP838" s="70" t="n">
        <v>1996</v>
      </c>
      <c r="AQ838" s="74" t="n">
        <v>1.34</v>
      </c>
      <c r="AR838" s="74" t="n">
        <v>1.6</v>
      </c>
      <c r="AS838" s="74" t="n">
        <v>69.59999999999999</v>
      </c>
      <c r="AT838" s="74" t="n">
        <v>64.5</v>
      </c>
      <c r="AU838" s="74" t="n">
        <v>63.6</v>
      </c>
      <c r="AV838" s="74" t="n">
        <v>8.129327812</v>
      </c>
      <c r="AW838" s="74" t="n">
        <v>10.231462793</v>
      </c>
      <c r="AX838" s="75" t="n">
        <v>98</v>
      </c>
      <c r="AY838" s="71" t="n">
        <v>23000000</v>
      </c>
      <c r="AZ838" s="71" t="n">
        <v>23000000</v>
      </c>
      <c r="BA838" s="71" t="n">
        <v>1300692.45</v>
      </c>
      <c r="BB838" s="71" t="n">
        <v>1548951.96</v>
      </c>
      <c r="BC838" s="69" t="inlineStr">
        <is>
          <t>Refinance</t>
        </is>
      </c>
      <c r="BD838" s="69" t="inlineStr">
        <is>
          <t>N</t>
        </is>
      </c>
      <c r="BE838" s="71" t="n"/>
      <c r="BF838" s="71" t="n"/>
      <c r="BG838" s="71" t="n"/>
      <c r="BH838" s="71" t="n">
        <v>0</v>
      </c>
      <c r="BI838" s="71" t="n">
        <v>0</v>
      </c>
      <c r="BJ838" s="69" t="inlineStr">
        <is>
          <t>N</t>
        </is>
      </c>
      <c r="BK838" s="69" t="inlineStr">
        <is>
          <t>SANSUM</t>
        </is>
      </c>
      <c r="BL838" s="75" t="n">
        <v>41.87</v>
      </c>
      <c r="BM838" s="73" t="n">
        <v>49156</v>
      </c>
      <c r="BN838" s="69" t="inlineStr">
        <is>
          <t>Jeffrey C. Bermant</t>
        </is>
      </c>
      <c r="BO838" s="69" t="inlineStr">
        <is>
          <t>GACC</t>
        </is>
      </c>
      <c r="BP838" s="69" t="inlineStr">
        <is>
          <t>Midland Loan Services</t>
        </is>
      </c>
      <c r="BQ838" s="69" t="inlineStr">
        <is>
          <t>K-Star Asset Management LLC</t>
        </is>
      </c>
      <c r="BR838" s="69" t="n"/>
      <c r="BS838" s="73" t="n">
        <v>46273</v>
      </c>
      <c r="BU838" s="76">
        <f>IF($C838="","",IFERROR(INDEX(dmName,MATCH($C838,dmID,0)),"Unmapped"))</f>
        <v/>
      </c>
      <c r="BV838" s="76">
        <f>IF($C838="","",IFERROR(INDEX(dmEntity,MATCH($C838,dmID,0)),"Unmapped"))</f>
        <v/>
      </c>
      <c r="BW838" s="77">
        <f>IF($C838="","",IFERROR(INDEX(dmVintage,MATCH($C838,dmID,0)),""))</f>
        <v/>
      </c>
      <c r="BX838" s="78">
        <f>IFERROR(INDEX(dmInclude,MATCH($C838,dmID,0)),0)</f>
        <v/>
      </c>
      <c r="BY838" s="78">
        <f>IF(N($I838)&gt;0,1,0)</f>
        <v/>
      </c>
      <c r="BZ838" s="76">
        <f>IF($AJ838="","Other / Leased Fee",IFERROR(INDEX(mapPTGroup,MATCH(LEFT(TRIM($AJ838),2),mapPTCode,0)),"Other / Leased Fee"))</f>
        <v/>
      </c>
      <c r="CA838" s="76">
        <f>IF(TRIM($AF838&amp;"")="","NR",LEFT(TRIM($AF838),2))</f>
        <v/>
      </c>
      <c r="CB838" s="76">
        <f>IFERROR(LOOKUP(2,1/(LEFT(TRIM($AI838&amp;""),LEN(mapRegion))=mapRegion),mapRegion),"Not Reported")</f>
        <v/>
      </c>
      <c r="CC838" s="76">
        <f>IF($BY838=0,"",IF(TRIM($W838&amp;"")="REO","REO",IF(TRIM($W838&amp;"")="FC","Foreclosure",IF(TRIM($W838&amp;"")="90+","90+ Days Delinquent",IF(TRIM($W838&amp;"")="60","60 Days Delinquent",IF(TRIM($W838&amp;"")="30","30 Days Delinquent",IF($X838="Non-Performing Matured Balloon","Non-Performing Matured Balloon",IF(OR($X838="Late Payment But Less Than 30 Days Delinquent",LEFT($X838&amp;"",20)="Payment Not Received"),"Late / In Grace (&lt;30 Days)",IF($X838="Performing Matured Balloon","Performing Matured Balloon","Current")))))))))</f>
        <v/>
      </c>
      <c r="CD838" s="78">
        <f>IF(OR($CC838="REO",$CC838="Foreclosure",$CC838="90+ Days Delinquent",$CC838="60 Days Delinquent",$CC838="30 Days Delinquent",$CC838="Non-Performing Matured Balloon"),1,0)</f>
        <v/>
      </c>
      <c r="CE838" s="76">
        <f>IF($AB838="Currently special serv","Currently Specially Serviced",IF($AB838="Returned to master serv","Previously Specially Serviced","Never Specially Serviced"))</f>
        <v/>
      </c>
      <c r="CF838" s="78">
        <f>IF($CE838="Currently Specially Serviced",1,0)</f>
        <v/>
      </c>
      <c r="CG838" s="76">
        <f>IF($AA838="Yes","Currently on Watchlist",IF($AA838="Previously","Previously on Watchlist","Never on Watchlist"))</f>
        <v/>
      </c>
      <c r="CH838" s="78">
        <f>IF($CG838="Currently on Watchlist",1,0)</f>
        <v/>
      </c>
      <c r="CI838" s="76">
        <f>IF($Z838="Full Defeasance","Fully Defeased",IF($Z838="Portion Of Loan Previously Defeased","Partially Defeased",IF($Z838="Defeasance Not Allowable","Not Defeased (Not Permitted)","Not Defeased")))</f>
        <v/>
      </c>
      <c r="CJ838" s="78">
        <f>IF($CI838="Fully Defeased",1,0)</f>
        <v/>
      </c>
      <c r="CK838" s="76">
        <f>IF($R838="IO","Full IO",IF(LEFT($R838&amp;"",7)="IO then","Partial IO","Amortizing"))</f>
        <v/>
      </c>
      <c r="CL838" s="78">
        <f>IF($CK838="Full IO",1,0)</f>
        <v/>
      </c>
      <c r="CM838" s="78">
        <f>IF($CK838="Partial IO",1,0)</f>
        <v/>
      </c>
      <c r="CN838" s="76">
        <f>IF(LEFT($F838&amp;"",10)="SPLIT_LOAN","Pari Passu Split","Standalone")</f>
        <v/>
      </c>
      <c r="CO838" s="78">
        <f>IF($CN838="Pari Passu Split",1,0)</f>
        <v/>
      </c>
      <c r="CP838" s="77">
        <f>IF(ISNUMBER($T838),YEAR($T838),"")</f>
        <v/>
      </c>
      <c r="CQ838" s="79">
        <f>IF(ISNUMBER($V838),$V838,IF(ISNUMBER($U838),$U838,""))</f>
        <v/>
      </c>
      <c r="CR838" s="77">
        <f>IF(ISNUMBER($CQ838),YEAR($CQ838),"")</f>
        <v/>
      </c>
      <c r="CS838" s="78">
        <f>IF(ISNUMBER($M838),MAX(0,$M838),IF(TRIM($M838&amp;"")="matured",0,""))</f>
        <v/>
      </c>
      <c r="CT838" s="78">
        <f>IF(AND(ISNUMBER($CS838),N($CS838)&lt;=mMatWindow),1,0)</f>
        <v/>
      </c>
      <c r="CU838" s="80">
        <f>IF(ISNUMBER($J838),$J838/100,"")</f>
        <v/>
      </c>
      <c r="CV838" s="81">
        <f>IF(ISNUMBER($AQ838),$AQ838,"")</f>
        <v/>
      </c>
      <c r="CW838" s="81">
        <f>IF(ISNUMBER($AR838),$AR838,"")</f>
        <v/>
      </c>
      <c r="CX838" s="82">
        <f>IF(ISNUMBER($AS838),$AS838/100,"")</f>
        <v/>
      </c>
      <c r="CY838" s="82">
        <f>IF(ISNUMBER($AT838),$AT838/100,"")</f>
        <v/>
      </c>
      <c r="CZ838" s="82">
        <f>IF(ISNUMBER($AU838),$AU838/100,"")</f>
        <v/>
      </c>
      <c r="DA838" s="82">
        <f>IF(ISNUMBER($AV838),$AV838/100,"")</f>
        <v/>
      </c>
      <c r="DB838" s="82">
        <f>IF(ISNUMBER($AW838),$AW838/100,"")</f>
        <v/>
      </c>
      <c r="DC838" s="82">
        <f>IF(ISNUMBER($AX838),$AX838/100,"")</f>
        <v/>
      </c>
      <c r="DD838" s="77">
        <f>IFERROR(VALUE(LEFT(TRIM($AO838&amp;""),4)),"")</f>
        <v/>
      </c>
      <c r="DE838" s="78">
        <f>IF(AND($BY838=1,$BX838=1,OR(fDeal="All Deals",$BU838=fDeal),OR(fEntity="All Entities",$BV838=fEntity),OR(fPType="All Property Types",$BZ838=fPType),OR(fDefeased="Include",$CJ838=0)),1,0)</f>
        <v/>
      </c>
      <c r="DF838" s="83">
        <f>$DE838*N($I838)</f>
        <v/>
      </c>
      <c r="DG838" s="78">
        <f>IF($DE838=1,IF(COUNTIFS($F$8:$F838,$F838,$DE$8:$DE838,1)=1,1,0),0)</f>
        <v/>
      </c>
      <c r="DH838" s="83">
        <f>IF($DG838=1,SUMIFS($DF$8:$DF$1600,$F$8:$F$1600,$F838),0)</f>
        <v/>
      </c>
      <c r="DI838" s="78">
        <f>IF($DG838=1,COUNTIFS($F$8:$F$1600,$F838,$DE$8:$DE$1600,1),0)</f>
        <v/>
      </c>
      <c r="DJ838" s="84">
        <f>IF($DG838=1,$DH838+(100000-ROW())/mTieBreak,0)</f>
        <v/>
      </c>
    </row>
    <row r="839">
      <c r="B839" s="68" t="n">
        <v>24</v>
      </c>
      <c r="C839" s="69" t="inlineStr">
        <is>
          <t>DBJ17C06</t>
        </is>
      </c>
      <c r="D839" s="69" t="inlineStr">
        <is>
          <t>24.000</t>
        </is>
      </c>
      <c r="E839" s="69" t="inlineStr">
        <is>
          <t>Hampton Inn Braintree</t>
        </is>
      </c>
      <c r="F839" s="69" t="inlineStr">
        <is>
          <t>LNDBJ17C06-24.000</t>
        </is>
      </c>
      <c r="G839" s="70" t="n"/>
      <c r="H839" s="71" t="n">
        <v>15100000</v>
      </c>
      <c r="I839" s="71" t="n">
        <v>12571905.7999946</v>
      </c>
      <c r="J839" s="72" t="n">
        <v>4.75</v>
      </c>
      <c r="K839" s="69" t="inlineStr">
        <is>
          <t>Fixed rate</t>
        </is>
      </c>
      <c r="L839" s="68" t="n">
        <v>120</v>
      </c>
      <c r="M839" s="68" t="n">
        <v>9</v>
      </c>
      <c r="N839" s="68" t="n">
        <v>360</v>
      </c>
      <c r="O839" s="68" t="n"/>
      <c r="P839" s="68" t="n"/>
      <c r="Q839" s="68" t="n">
        <v>111</v>
      </c>
      <c r="R839" s="69" t="n"/>
      <c r="S839" s="69" t="inlineStr">
        <is>
          <t>No</t>
        </is>
      </c>
      <c r="T839" s="73" t="n">
        <v>42887</v>
      </c>
      <c r="U839" s="73" t="n">
        <v>46544</v>
      </c>
      <c r="V839" s="73" t="n"/>
      <c r="W839" s="69" t="n"/>
      <c r="X839" s="69" t="inlineStr">
        <is>
          <t>Current</t>
        </is>
      </c>
      <c r="Y839" s="68" t="n"/>
      <c r="Z839" s="69" t="inlineStr">
        <is>
          <t>Defeasance Not Allowable</t>
        </is>
      </c>
      <c r="AA839" s="69" t="inlineStr">
        <is>
          <t>Yes</t>
        </is>
      </c>
      <c r="AB839" s="69" t="inlineStr">
        <is>
          <t>Never special serv</t>
        </is>
      </c>
      <c r="AC839" s="73" t="n"/>
      <c r="AD839" s="69" t="n"/>
      <c r="AE839" s="69" t="n"/>
      <c r="AF839" s="69" t="inlineStr">
        <is>
          <t>MA</t>
        </is>
      </c>
      <c r="AG839" s="69" t="inlineStr">
        <is>
          <t>Braintree</t>
        </is>
      </c>
      <c r="AH839" s="69" t="inlineStr">
        <is>
          <t>Boston-Cambridge-Newton, MA-NH</t>
        </is>
      </c>
      <c r="AI839" s="69" t="inlineStr">
        <is>
          <t>Northeast / New England</t>
        </is>
      </c>
      <c r="AJ839" s="69" t="inlineStr">
        <is>
          <t>HT</t>
        </is>
      </c>
      <c r="AK839" s="69" t="inlineStr">
        <is>
          <t>Limited Service</t>
        </is>
      </c>
      <c r="AL839" s="68" t="n">
        <v>1</v>
      </c>
      <c r="AM839" s="68" t="n">
        <v>103</v>
      </c>
      <c r="AN839" s="68" t="n"/>
      <c r="AO839" s="69" t="inlineStr">
        <is>
          <t>2001</t>
        </is>
      </c>
      <c r="AP839" s="70" t="n">
        <v>2013</v>
      </c>
      <c r="AQ839" s="74" t="n">
        <v>1.67</v>
      </c>
      <c r="AR839" s="74" t="n">
        <v>0.92</v>
      </c>
      <c r="AS839" s="74" t="n">
        <v>65.7</v>
      </c>
      <c r="AT839" s="74" t="n">
        <v>54.66</v>
      </c>
      <c r="AU839" s="74" t="n">
        <v>53.5</v>
      </c>
      <c r="AV839" s="74" t="n">
        <v>10.446167748</v>
      </c>
      <c r="AW839" s="74" t="n">
        <v>7.797710988</v>
      </c>
      <c r="AX839" s="75" t="n">
        <v>82</v>
      </c>
      <c r="AY839" s="71" t="n">
        <v>23000000</v>
      </c>
      <c r="AZ839" s="71" t="n">
        <v>23000000</v>
      </c>
      <c r="BA839" s="71" t="n">
        <v>1577371.33</v>
      </c>
      <c r="BB839" s="71" t="n">
        <v>867458.97</v>
      </c>
      <c r="BC839" s="69" t="inlineStr">
        <is>
          <t>Acquisition</t>
        </is>
      </c>
      <c r="BD839" s="69" t="inlineStr">
        <is>
          <t>N</t>
        </is>
      </c>
      <c r="BE839" s="71" t="n"/>
      <c r="BF839" s="71" t="n"/>
      <c r="BG839" s="71" t="n"/>
      <c r="BH839" s="71" t="n">
        <v>0</v>
      </c>
      <c r="BI839" s="71" t="n">
        <v>0</v>
      </c>
      <c r="BJ839" s="69" t="inlineStr">
        <is>
          <t>N</t>
        </is>
      </c>
      <c r="BK839" s="69" t="n"/>
      <c r="BL839" s="75" t="n"/>
      <c r="BM839" s="73" t="n"/>
      <c r="BN839" s="69" t="inlineStr">
        <is>
          <t>Encore Enterprises, Inc.</t>
        </is>
      </c>
      <c r="BO839" s="69" t="inlineStr">
        <is>
          <t>GACC</t>
        </is>
      </c>
      <c r="BP839" s="69" t="inlineStr">
        <is>
          <t>Midland Loan Services</t>
        </is>
      </c>
      <c r="BQ839" s="69" t="inlineStr">
        <is>
          <t>K-Star Asset Management LLC</t>
        </is>
      </c>
      <c r="BR839" s="69" t="n"/>
      <c r="BS839" s="73" t="n">
        <v>46273</v>
      </c>
      <c r="BU839" s="76">
        <f>IF($C839="","",IFERROR(INDEX(dmName,MATCH($C839,dmID,0)),"Unmapped"))</f>
        <v/>
      </c>
      <c r="BV839" s="76">
        <f>IF($C839="","",IFERROR(INDEX(dmEntity,MATCH($C839,dmID,0)),"Unmapped"))</f>
        <v/>
      </c>
      <c r="BW839" s="77">
        <f>IF($C839="","",IFERROR(INDEX(dmVintage,MATCH($C839,dmID,0)),""))</f>
        <v/>
      </c>
      <c r="BX839" s="78">
        <f>IFERROR(INDEX(dmInclude,MATCH($C839,dmID,0)),0)</f>
        <v/>
      </c>
      <c r="BY839" s="78">
        <f>IF(N($I839)&gt;0,1,0)</f>
        <v/>
      </c>
      <c r="BZ839" s="76">
        <f>IF($AJ839="","Other / Leased Fee",IFERROR(INDEX(mapPTGroup,MATCH(LEFT(TRIM($AJ839),2),mapPTCode,0)),"Other / Leased Fee"))</f>
        <v/>
      </c>
      <c r="CA839" s="76">
        <f>IF(TRIM($AF839&amp;"")="","NR",LEFT(TRIM($AF839),2))</f>
        <v/>
      </c>
      <c r="CB839" s="76">
        <f>IFERROR(LOOKUP(2,1/(LEFT(TRIM($AI839&amp;""),LEN(mapRegion))=mapRegion),mapRegion),"Not Reported")</f>
        <v/>
      </c>
      <c r="CC839" s="76">
        <f>IF($BY839=0,"",IF(TRIM($W839&amp;"")="REO","REO",IF(TRIM($W839&amp;"")="FC","Foreclosure",IF(TRIM($W839&amp;"")="90+","90+ Days Delinquent",IF(TRIM($W839&amp;"")="60","60 Days Delinquent",IF(TRIM($W839&amp;"")="30","30 Days Delinquent",IF($X839="Non-Performing Matured Balloon","Non-Performing Matured Balloon",IF(OR($X839="Late Payment But Less Than 30 Days Delinquent",LEFT($X839&amp;"",20)="Payment Not Received"),"Late / In Grace (&lt;30 Days)",IF($X839="Performing Matured Balloon","Performing Matured Balloon","Current")))))))))</f>
        <v/>
      </c>
      <c r="CD839" s="78">
        <f>IF(OR($CC839="REO",$CC839="Foreclosure",$CC839="90+ Days Delinquent",$CC839="60 Days Delinquent",$CC839="30 Days Delinquent",$CC839="Non-Performing Matured Balloon"),1,0)</f>
        <v/>
      </c>
      <c r="CE839" s="76">
        <f>IF($AB839="Currently special serv","Currently Specially Serviced",IF($AB839="Returned to master serv","Previously Specially Serviced","Never Specially Serviced"))</f>
        <v/>
      </c>
      <c r="CF839" s="78">
        <f>IF($CE839="Currently Specially Serviced",1,0)</f>
        <v/>
      </c>
      <c r="CG839" s="76">
        <f>IF($AA839="Yes","Currently on Watchlist",IF($AA839="Previously","Previously on Watchlist","Never on Watchlist"))</f>
        <v/>
      </c>
      <c r="CH839" s="78">
        <f>IF($CG839="Currently on Watchlist",1,0)</f>
        <v/>
      </c>
      <c r="CI839" s="76">
        <f>IF($Z839="Full Defeasance","Fully Defeased",IF($Z839="Portion Of Loan Previously Defeased","Partially Defeased",IF($Z839="Defeasance Not Allowable","Not Defeased (Not Permitted)","Not Defeased")))</f>
        <v/>
      </c>
      <c r="CJ839" s="78">
        <f>IF($CI839="Fully Defeased",1,0)</f>
        <v/>
      </c>
      <c r="CK839" s="76">
        <f>IF($R839="IO","Full IO",IF(LEFT($R839&amp;"",7)="IO then","Partial IO","Amortizing"))</f>
        <v/>
      </c>
      <c r="CL839" s="78">
        <f>IF($CK839="Full IO",1,0)</f>
        <v/>
      </c>
      <c r="CM839" s="78">
        <f>IF($CK839="Partial IO",1,0)</f>
        <v/>
      </c>
      <c r="CN839" s="76">
        <f>IF(LEFT($F839&amp;"",10)="SPLIT_LOAN","Pari Passu Split","Standalone")</f>
        <v/>
      </c>
      <c r="CO839" s="78">
        <f>IF($CN839="Pari Passu Split",1,0)</f>
        <v/>
      </c>
      <c r="CP839" s="77">
        <f>IF(ISNUMBER($T839),YEAR($T839),"")</f>
        <v/>
      </c>
      <c r="CQ839" s="79">
        <f>IF(ISNUMBER($V839),$V839,IF(ISNUMBER($U839),$U839,""))</f>
        <v/>
      </c>
      <c r="CR839" s="77">
        <f>IF(ISNUMBER($CQ839),YEAR($CQ839),"")</f>
        <v/>
      </c>
      <c r="CS839" s="78">
        <f>IF(ISNUMBER($M839),MAX(0,$M839),IF(TRIM($M839&amp;"")="matured",0,""))</f>
        <v/>
      </c>
      <c r="CT839" s="78">
        <f>IF(AND(ISNUMBER($CS839),N($CS839)&lt;=mMatWindow),1,0)</f>
        <v/>
      </c>
      <c r="CU839" s="80">
        <f>IF(ISNUMBER($J839),$J839/100,"")</f>
        <v/>
      </c>
      <c r="CV839" s="81">
        <f>IF(ISNUMBER($AQ839),$AQ839,"")</f>
        <v/>
      </c>
      <c r="CW839" s="81">
        <f>IF(ISNUMBER($AR839),$AR839,"")</f>
        <v/>
      </c>
      <c r="CX839" s="82">
        <f>IF(ISNUMBER($AS839),$AS839/100,"")</f>
        <v/>
      </c>
      <c r="CY839" s="82">
        <f>IF(ISNUMBER($AT839),$AT839/100,"")</f>
        <v/>
      </c>
      <c r="CZ839" s="82">
        <f>IF(ISNUMBER($AU839),$AU839/100,"")</f>
        <v/>
      </c>
      <c r="DA839" s="82">
        <f>IF(ISNUMBER($AV839),$AV839/100,"")</f>
        <v/>
      </c>
      <c r="DB839" s="82">
        <f>IF(ISNUMBER($AW839),$AW839/100,"")</f>
        <v/>
      </c>
      <c r="DC839" s="82">
        <f>IF(ISNUMBER($AX839),$AX839/100,"")</f>
        <v/>
      </c>
      <c r="DD839" s="77">
        <f>IFERROR(VALUE(LEFT(TRIM($AO839&amp;""),4)),"")</f>
        <v/>
      </c>
      <c r="DE839" s="78">
        <f>IF(AND($BY839=1,$BX839=1,OR(fDeal="All Deals",$BU839=fDeal),OR(fEntity="All Entities",$BV839=fEntity),OR(fPType="All Property Types",$BZ839=fPType),OR(fDefeased="Include",$CJ839=0)),1,0)</f>
        <v/>
      </c>
      <c r="DF839" s="83">
        <f>$DE839*N($I839)</f>
        <v/>
      </c>
      <c r="DG839" s="78">
        <f>IF($DE839=1,IF(COUNTIFS($F$8:$F839,$F839,$DE$8:$DE839,1)=1,1,0),0)</f>
        <v/>
      </c>
      <c r="DH839" s="83">
        <f>IF($DG839=1,SUMIFS($DF$8:$DF$1600,$F$8:$F$1600,$F839),0)</f>
        <v/>
      </c>
      <c r="DI839" s="78">
        <f>IF($DG839=1,COUNTIFS($F$8:$F$1600,$F839,$DE$8:$DE$1600,1),0)</f>
        <v/>
      </c>
      <c r="DJ839" s="84">
        <f>IF($DG839=1,$DH839+(100000-ROW())/mTieBreak,0)</f>
        <v/>
      </c>
    </row>
    <row r="840">
      <c r="B840" s="68" t="n">
        <v>25</v>
      </c>
      <c r="C840" s="69" t="inlineStr">
        <is>
          <t>DBJ17C06</t>
        </is>
      </c>
      <c r="D840" s="69" t="inlineStr">
        <is>
          <t>25.000</t>
        </is>
      </c>
      <c r="E840" s="69" t="inlineStr">
        <is>
          <t>Cincinnati Eastgate Holiday Inn</t>
        </is>
      </c>
      <c r="F840" s="69" t="inlineStr">
        <is>
          <t>LNDBJ17C06-25.000</t>
        </is>
      </c>
      <c r="G840" s="70" t="n"/>
      <c r="H840" s="71" t="n">
        <v>13325000</v>
      </c>
      <c r="I840" s="71" t="n">
        <v>0</v>
      </c>
      <c r="J840" s="72" t="n">
        <v>4.82</v>
      </c>
      <c r="K840" s="69" t="inlineStr">
        <is>
          <t>Fixed rate</t>
        </is>
      </c>
      <c r="L840" s="68" t="n">
        <v>60</v>
      </c>
      <c r="M840" s="68" t="n"/>
      <c r="N840" s="68" t="n">
        <v>384</v>
      </c>
      <c r="O840" s="68" t="n">
        <v>24</v>
      </c>
      <c r="P840" s="68" t="n"/>
      <c r="Q840" s="68" t="n"/>
      <c r="R840" s="69" t="inlineStr">
        <is>
          <t>IO then Amort</t>
        </is>
      </c>
      <c r="S840" s="69" t="inlineStr">
        <is>
          <t>No</t>
        </is>
      </c>
      <c r="T840" s="73" t="n">
        <v>42856</v>
      </c>
      <c r="U840" s="73" t="n">
        <v>44682</v>
      </c>
      <c r="V840" s="73" t="n"/>
      <c r="W840" s="69" t="n"/>
      <c r="X840" s="69" t="inlineStr">
        <is>
          <t>Current</t>
        </is>
      </c>
      <c r="Y840" s="68" t="n"/>
      <c r="Z840" s="69" t="inlineStr">
        <is>
          <t>Defeasance Not Allowable</t>
        </is>
      </c>
      <c r="AA840" s="69" t="inlineStr">
        <is>
          <t>Previously</t>
        </is>
      </c>
      <c r="AB840" s="69" t="inlineStr">
        <is>
          <t>Currently special serv</t>
        </is>
      </c>
      <c r="AC840" s="73" t="n">
        <v>44025</v>
      </c>
      <c r="AD840" s="69" t="inlineStr">
        <is>
          <t>Other</t>
        </is>
      </c>
      <c r="AE840" s="69" t="inlineStr">
        <is>
          <t>Resolved</t>
        </is>
      </c>
      <c r="AF840" s="69" t="inlineStr">
        <is>
          <t>OH</t>
        </is>
      </c>
      <c r="AG840" s="69" t="inlineStr">
        <is>
          <t>Cincinnati</t>
        </is>
      </c>
      <c r="AH840" s="69" t="inlineStr">
        <is>
          <t>Cincinnati, OH-KY-IN</t>
        </is>
      </c>
      <c r="AI840" s="69" t="inlineStr">
        <is>
          <t>Midwest / Central East</t>
        </is>
      </c>
      <c r="AJ840" s="69" t="inlineStr">
        <is>
          <t>HT</t>
        </is>
      </c>
      <c r="AK840" s="69" t="inlineStr">
        <is>
          <t>Full Service</t>
        </is>
      </c>
      <c r="AL840" s="68" t="n">
        <v>1</v>
      </c>
      <c r="AM840" s="68" t="n">
        <v>212</v>
      </c>
      <c r="AN840" s="68" t="n"/>
      <c r="AO840" s="69" t="inlineStr">
        <is>
          <t>1983</t>
        </is>
      </c>
      <c r="AP840" s="70" t="n">
        <v>2010</v>
      </c>
      <c r="AQ840" s="74" t="n">
        <v>1.99</v>
      </c>
      <c r="AR840" s="74" t="n">
        <v>-0.1</v>
      </c>
      <c r="AS840" s="74" t="n">
        <v>65</v>
      </c>
      <c r="AT840" s="74" t="n"/>
      <c r="AU840" s="74" t="n">
        <v>62</v>
      </c>
      <c r="AV840" s="74" t="n">
        <v>12.569433396</v>
      </c>
      <c r="AW840" s="74" t="n"/>
      <c r="AX840" s="75" t="n">
        <v>54</v>
      </c>
      <c r="AY840" s="71" t="n">
        <v>20500000</v>
      </c>
      <c r="AZ840" s="71" t="n">
        <v>11600000</v>
      </c>
      <c r="BA840" s="71" t="n">
        <v>1674877</v>
      </c>
      <c r="BB840" s="71" t="n">
        <v>-35032.62</v>
      </c>
      <c r="BC840" s="69" t="inlineStr">
        <is>
          <t>Recapitalization</t>
        </is>
      </c>
      <c r="BD840" s="69" t="inlineStr">
        <is>
          <t>N</t>
        </is>
      </c>
      <c r="BE840" s="71" t="n"/>
      <c r="BF840" s="71" t="n"/>
      <c r="BG840" s="71" t="n"/>
      <c r="BH840" s="71" t="n">
        <v>0</v>
      </c>
      <c r="BI840" s="71" t="n">
        <v>0</v>
      </c>
      <c r="BJ840" s="69" t="inlineStr">
        <is>
          <t>N</t>
        </is>
      </c>
      <c r="BK840" s="69" t="n"/>
      <c r="BL840" s="75" t="n"/>
      <c r="BM840" s="73" t="n"/>
      <c r="BN840" s="69" t="inlineStr">
        <is>
          <t>Atrium Leveraged Loan Fund, LLC</t>
        </is>
      </c>
      <c r="BO840" s="69" t="inlineStr">
        <is>
          <t>JPMorgan Chase</t>
        </is>
      </c>
      <c r="BP840" s="69" t="inlineStr">
        <is>
          <t>Midland Loan Services</t>
        </is>
      </c>
      <c r="BQ840" s="69" t="inlineStr">
        <is>
          <t>Midland Loan Services</t>
        </is>
      </c>
      <c r="BR840" s="69" t="inlineStr">
        <is>
          <t>Partial Liquidation (Curtailment)</t>
        </is>
      </c>
      <c r="BS840" s="73" t="n">
        <v>46273</v>
      </c>
      <c r="BU840" s="76">
        <f>IF($C840="","",IFERROR(INDEX(dmName,MATCH($C840,dmID,0)),"Unmapped"))</f>
        <v/>
      </c>
      <c r="BV840" s="76">
        <f>IF($C840="","",IFERROR(INDEX(dmEntity,MATCH($C840,dmID,0)),"Unmapped"))</f>
        <v/>
      </c>
      <c r="BW840" s="77">
        <f>IF($C840="","",IFERROR(INDEX(dmVintage,MATCH($C840,dmID,0)),""))</f>
        <v/>
      </c>
      <c r="BX840" s="78">
        <f>IFERROR(INDEX(dmInclude,MATCH($C840,dmID,0)),0)</f>
        <v/>
      </c>
      <c r="BY840" s="78">
        <f>IF(N($I840)&gt;0,1,0)</f>
        <v/>
      </c>
      <c r="BZ840" s="76">
        <f>IF($AJ840="","Other / Leased Fee",IFERROR(INDEX(mapPTGroup,MATCH(LEFT(TRIM($AJ840),2),mapPTCode,0)),"Other / Leased Fee"))</f>
        <v/>
      </c>
      <c r="CA840" s="76">
        <f>IF(TRIM($AF840&amp;"")="","NR",LEFT(TRIM($AF840),2))</f>
        <v/>
      </c>
      <c r="CB840" s="76">
        <f>IFERROR(LOOKUP(2,1/(LEFT(TRIM($AI840&amp;""),LEN(mapRegion))=mapRegion),mapRegion),"Not Reported")</f>
        <v/>
      </c>
      <c r="CC840" s="76">
        <f>IF($BY840=0,"",IF(TRIM($W840&amp;"")="REO","REO",IF(TRIM($W840&amp;"")="FC","Foreclosure",IF(TRIM($W840&amp;"")="90+","90+ Days Delinquent",IF(TRIM($W840&amp;"")="60","60 Days Delinquent",IF(TRIM($W840&amp;"")="30","30 Days Delinquent",IF($X840="Non-Performing Matured Balloon","Non-Performing Matured Balloon",IF(OR($X840="Late Payment But Less Than 30 Days Delinquent",LEFT($X840&amp;"",20)="Payment Not Received"),"Late / In Grace (&lt;30 Days)",IF($X840="Performing Matured Balloon","Performing Matured Balloon","Current")))))))))</f>
        <v/>
      </c>
      <c r="CD840" s="78">
        <f>IF(OR($CC840="REO",$CC840="Foreclosure",$CC840="90+ Days Delinquent",$CC840="60 Days Delinquent",$CC840="30 Days Delinquent",$CC840="Non-Performing Matured Balloon"),1,0)</f>
        <v/>
      </c>
      <c r="CE840" s="76">
        <f>IF($AB840="Currently special serv","Currently Specially Serviced",IF($AB840="Returned to master serv","Previously Specially Serviced","Never Specially Serviced"))</f>
        <v/>
      </c>
      <c r="CF840" s="78">
        <f>IF($CE840="Currently Specially Serviced",1,0)</f>
        <v/>
      </c>
      <c r="CG840" s="76">
        <f>IF($AA840="Yes","Currently on Watchlist",IF($AA840="Previously","Previously on Watchlist","Never on Watchlist"))</f>
        <v/>
      </c>
      <c r="CH840" s="78">
        <f>IF($CG840="Currently on Watchlist",1,0)</f>
        <v/>
      </c>
      <c r="CI840" s="76">
        <f>IF($Z840="Full Defeasance","Fully Defeased",IF($Z840="Portion Of Loan Previously Defeased","Partially Defeased",IF($Z840="Defeasance Not Allowable","Not Defeased (Not Permitted)","Not Defeased")))</f>
        <v/>
      </c>
      <c r="CJ840" s="78">
        <f>IF($CI840="Fully Defeased",1,0)</f>
        <v/>
      </c>
      <c r="CK840" s="76">
        <f>IF($R840="IO","Full IO",IF(LEFT($R840&amp;"",7)="IO then","Partial IO","Amortizing"))</f>
        <v/>
      </c>
      <c r="CL840" s="78">
        <f>IF($CK840="Full IO",1,0)</f>
        <v/>
      </c>
      <c r="CM840" s="78">
        <f>IF($CK840="Partial IO",1,0)</f>
        <v/>
      </c>
      <c r="CN840" s="76">
        <f>IF(LEFT($F840&amp;"",10)="SPLIT_LOAN","Pari Passu Split","Standalone")</f>
        <v/>
      </c>
      <c r="CO840" s="78">
        <f>IF($CN840="Pari Passu Split",1,0)</f>
        <v/>
      </c>
      <c r="CP840" s="77">
        <f>IF(ISNUMBER($T840),YEAR($T840),"")</f>
        <v/>
      </c>
      <c r="CQ840" s="79">
        <f>IF(ISNUMBER($V840),$V840,IF(ISNUMBER($U840),$U840,""))</f>
        <v/>
      </c>
      <c r="CR840" s="77">
        <f>IF(ISNUMBER($CQ840),YEAR($CQ840),"")</f>
        <v/>
      </c>
      <c r="CS840" s="78">
        <f>IF(ISNUMBER($M840),MAX(0,$M840),IF(TRIM($M840&amp;"")="matured",0,""))</f>
        <v/>
      </c>
      <c r="CT840" s="78">
        <f>IF(AND(ISNUMBER($CS840),N($CS840)&lt;=mMatWindow),1,0)</f>
        <v/>
      </c>
      <c r="CU840" s="80">
        <f>IF(ISNUMBER($J840),$J840/100,"")</f>
        <v/>
      </c>
      <c r="CV840" s="81">
        <f>IF(ISNUMBER($AQ840),$AQ840,"")</f>
        <v/>
      </c>
      <c r="CW840" s="81">
        <f>IF(ISNUMBER($AR840),$AR840,"")</f>
        <v/>
      </c>
      <c r="CX840" s="82">
        <f>IF(ISNUMBER($AS840),$AS840/100,"")</f>
        <v/>
      </c>
      <c r="CY840" s="82">
        <f>IF(ISNUMBER($AT840),$AT840/100,"")</f>
        <v/>
      </c>
      <c r="CZ840" s="82">
        <f>IF(ISNUMBER($AU840),$AU840/100,"")</f>
        <v/>
      </c>
      <c r="DA840" s="82">
        <f>IF(ISNUMBER($AV840),$AV840/100,"")</f>
        <v/>
      </c>
      <c r="DB840" s="82">
        <f>IF(ISNUMBER($AW840),$AW840/100,"")</f>
        <v/>
      </c>
      <c r="DC840" s="82">
        <f>IF(ISNUMBER($AX840),$AX840/100,"")</f>
        <v/>
      </c>
      <c r="DD840" s="77">
        <f>IFERROR(VALUE(LEFT(TRIM($AO840&amp;""),4)),"")</f>
        <v/>
      </c>
      <c r="DE840" s="78">
        <f>IF(AND($BY840=1,$BX840=1,OR(fDeal="All Deals",$BU840=fDeal),OR(fEntity="All Entities",$BV840=fEntity),OR(fPType="All Property Types",$BZ840=fPType),OR(fDefeased="Include",$CJ840=0)),1,0)</f>
        <v/>
      </c>
      <c r="DF840" s="83">
        <f>$DE840*N($I840)</f>
        <v/>
      </c>
      <c r="DG840" s="78">
        <f>IF($DE840=1,IF(COUNTIFS($F$8:$F840,$F840,$DE$8:$DE840,1)=1,1,0),0)</f>
        <v/>
      </c>
      <c r="DH840" s="83">
        <f>IF($DG840=1,SUMIFS($DF$8:$DF$1600,$F$8:$F$1600,$F840),0)</f>
        <v/>
      </c>
      <c r="DI840" s="78">
        <f>IF($DG840=1,COUNTIFS($F$8:$F$1600,$F840,$DE$8:$DE$1600,1),0)</f>
        <v/>
      </c>
      <c r="DJ840" s="84">
        <f>IF($DG840=1,$DH840+(100000-ROW())/mTieBreak,0)</f>
        <v/>
      </c>
    </row>
    <row r="841">
      <c r="B841" s="68" t="n">
        <v>26</v>
      </c>
      <c r="C841" s="69" t="inlineStr">
        <is>
          <t>DBJ17C06</t>
        </is>
      </c>
      <c r="D841" s="69" t="inlineStr">
        <is>
          <t>26.000</t>
        </is>
      </c>
      <c r="E841" s="69" t="inlineStr">
        <is>
          <t>2121 Ella Boulevard</t>
        </is>
      </c>
      <c r="F841" s="69" t="inlineStr">
        <is>
          <t>LNDBJ17C06-26.000</t>
        </is>
      </c>
      <c r="G841" s="70" t="n"/>
      <c r="H841" s="71" t="n">
        <v>12650000</v>
      </c>
      <c r="I841" s="71" t="n">
        <v>0</v>
      </c>
      <c r="J841" s="72" t="n">
        <v>4.85</v>
      </c>
      <c r="K841" s="69" t="inlineStr">
        <is>
          <t>Fixed rate</t>
        </is>
      </c>
      <c r="L841" s="68" t="n">
        <v>60</v>
      </c>
      <c r="M841" s="68" t="n"/>
      <c r="N841" s="68" t="n">
        <v>384</v>
      </c>
      <c r="O841" s="68" t="n">
        <v>24</v>
      </c>
      <c r="P841" s="68" t="n"/>
      <c r="Q841" s="68" t="n"/>
      <c r="R841" s="69" t="inlineStr">
        <is>
          <t>IO then Amort</t>
        </is>
      </c>
      <c r="S841" s="69" t="inlineStr">
        <is>
          <t>No</t>
        </is>
      </c>
      <c r="T841" s="73" t="n">
        <v>42887</v>
      </c>
      <c r="U841" s="73" t="n">
        <v>44713</v>
      </c>
      <c r="V841" s="73" t="n"/>
      <c r="W841" s="69" t="n"/>
      <c r="X841" s="69" t="inlineStr">
        <is>
          <t>Current</t>
        </is>
      </c>
      <c r="Y841" s="68" t="n"/>
      <c r="Z841" s="69" t="inlineStr">
        <is>
          <t>No Defeasance Occurred</t>
        </is>
      </c>
      <c r="AA841" s="69" t="inlineStr">
        <is>
          <t>Previously</t>
        </is>
      </c>
      <c r="AB841" s="69" t="inlineStr">
        <is>
          <t>Never special serv</t>
        </is>
      </c>
      <c r="AC841" s="73" t="n"/>
      <c r="AD841" s="69" t="n"/>
      <c r="AE841" s="69" t="n"/>
      <c r="AF841" s="69" t="inlineStr">
        <is>
          <t>TX</t>
        </is>
      </c>
      <c r="AG841" s="69" t="inlineStr">
        <is>
          <t>Houston</t>
        </is>
      </c>
      <c r="AH841" s="69" t="inlineStr">
        <is>
          <t>Houston-Pasadena-The Woodlands, TX</t>
        </is>
      </c>
      <c r="AI841" s="69" t="inlineStr">
        <is>
          <t>South / Central West</t>
        </is>
      </c>
      <c r="AJ841" s="69" t="inlineStr">
        <is>
          <t>MF</t>
        </is>
      </c>
      <c r="AK841" s="69" t="inlineStr">
        <is>
          <t>Garden</t>
        </is>
      </c>
      <c r="AL841" s="68" t="n">
        <v>1</v>
      </c>
      <c r="AM841" s="68" t="n">
        <v>121</v>
      </c>
      <c r="AN841" s="68" t="n"/>
      <c r="AO841" s="69" t="inlineStr">
        <is>
          <t>2015</t>
        </is>
      </c>
      <c r="AP841" s="70" t="n">
        <v>2015</v>
      </c>
      <c r="AQ841" s="74" t="n">
        <v>1.31</v>
      </c>
      <c r="AR841" s="74" t="n">
        <v>1.02</v>
      </c>
      <c r="AS841" s="74" t="n">
        <v>65.89</v>
      </c>
      <c r="AT841" s="74" t="n"/>
      <c r="AU841" s="74" t="n">
        <v>62.9</v>
      </c>
      <c r="AV841" s="74" t="n">
        <v>8.308814228999999</v>
      </c>
      <c r="AW841" s="74" t="n"/>
      <c r="AX841" s="75" t="n">
        <v>76</v>
      </c>
      <c r="AY841" s="71" t="n">
        <v>19200000</v>
      </c>
      <c r="AZ841" s="71" t="n">
        <v>19200000</v>
      </c>
      <c r="BA841" s="71" t="n">
        <v>1051065</v>
      </c>
      <c r="BB841" s="71" t="n">
        <v>817705.4300000001</v>
      </c>
      <c r="BC841" s="69" t="inlineStr">
        <is>
          <t>Refinance</t>
        </is>
      </c>
      <c r="BD841" s="69" t="inlineStr">
        <is>
          <t>N</t>
        </is>
      </c>
      <c r="BE841" s="71" t="n"/>
      <c r="BF841" s="71" t="n"/>
      <c r="BG841" s="71" t="n"/>
      <c r="BH841" s="71" t="n">
        <v>0</v>
      </c>
      <c r="BI841" s="71" t="n">
        <v>0</v>
      </c>
      <c r="BJ841" s="69" t="inlineStr">
        <is>
          <t>N</t>
        </is>
      </c>
      <c r="BK841" s="69" t="inlineStr">
        <is>
          <t>LKQ Corporation</t>
        </is>
      </c>
      <c r="BL841" s="75" t="n"/>
      <c r="BM841" s="73" t="n">
        <v>46555</v>
      </c>
      <c r="BN841" s="69" t="inlineStr">
        <is>
          <t>Guillermo Guefen; Scott Leichtenberg</t>
        </is>
      </c>
      <c r="BO841" s="69" t="inlineStr">
        <is>
          <t>JPMorgan Chase</t>
        </is>
      </c>
      <c r="BP841" s="69" t="inlineStr">
        <is>
          <t>Midland Loan Services</t>
        </is>
      </c>
      <c r="BQ841" s="69" t="inlineStr">
        <is>
          <t>Midland Loan Services</t>
        </is>
      </c>
      <c r="BR841" s="69" t="inlineStr">
        <is>
          <t>Payoff Prior To Maturity</t>
        </is>
      </c>
      <c r="BS841" s="73" t="n">
        <v>44235</v>
      </c>
      <c r="BU841" s="76">
        <f>IF($C841="","",IFERROR(INDEX(dmName,MATCH($C841,dmID,0)),"Unmapped"))</f>
        <v/>
      </c>
      <c r="BV841" s="76">
        <f>IF($C841="","",IFERROR(INDEX(dmEntity,MATCH($C841,dmID,0)),"Unmapped"))</f>
        <v/>
      </c>
      <c r="BW841" s="77">
        <f>IF($C841="","",IFERROR(INDEX(dmVintage,MATCH($C841,dmID,0)),""))</f>
        <v/>
      </c>
      <c r="BX841" s="78">
        <f>IFERROR(INDEX(dmInclude,MATCH($C841,dmID,0)),0)</f>
        <v/>
      </c>
      <c r="BY841" s="78">
        <f>IF(N($I841)&gt;0,1,0)</f>
        <v/>
      </c>
      <c r="BZ841" s="76">
        <f>IF($AJ841="","Other / Leased Fee",IFERROR(INDEX(mapPTGroup,MATCH(LEFT(TRIM($AJ841),2),mapPTCode,0)),"Other / Leased Fee"))</f>
        <v/>
      </c>
      <c r="CA841" s="76">
        <f>IF(TRIM($AF841&amp;"")="","NR",LEFT(TRIM($AF841),2))</f>
        <v/>
      </c>
      <c r="CB841" s="76">
        <f>IFERROR(LOOKUP(2,1/(LEFT(TRIM($AI841&amp;""),LEN(mapRegion))=mapRegion),mapRegion),"Not Reported")</f>
        <v/>
      </c>
      <c r="CC841" s="76">
        <f>IF($BY841=0,"",IF(TRIM($W841&amp;"")="REO","REO",IF(TRIM($W841&amp;"")="FC","Foreclosure",IF(TRIM($W841&amp;"")="90+","90+ Days Delinquent",IF(TRIM($W841&amp;"")="60","60 Days Delinquent",IF(TRIM($W841&amp;"")="30","30 Days Delinquent",IF($X841="Non-Performing Matured Balloon","Non-Performing Matured Balloon",IF(OR($X841="Late Payment But Less Than 30 Days Delinquent",LEFT($X841&amp;"",20)="Payment Not Received"),"Late / In Grace (&lt;30 Days)",IF($X841="Performing Matured Balloon","Performing Matured Balloon","Current")))))))))</f>
        <v/>
      </c>
      <c r="CD841" s="78">
        <f>IF(OR($CC841="REO",$CC841="Foreclosure",$CC841="90+ Days Delinquent",$CC841="60 Days Delinquent",$CC841="30 Days Delinquent",$CC841="Non-Performing Matured Balloon"),1,0)</f>
        <v/>
      </c>
      <c r="CE841" s="76">
        <f>IF($AB841="Currently special serv","Currently Specially Serviced",IF($AB841="Returned to master serv","Previously Specially Serviced","Never Specially Serviced"))</f>
        <v/>
      </c>
      <c r="CF841" s="78">
        <f>IF($CE841="Currently Specially Serviced",1,0)</f>
        <v/>
      </c>
      <c r="CG841" s="76">
        <f>IF($AA841="Yes","Currently on Watchlist",IF($AA841="Previously","Previously on Watchlist","Never on Watchlist"))</f>
        <v/>
      </c>
      <c r="CH841" s="78">
        <f>IF($CG841="Currently on Watchlist",1,0)</f>
        <v/>
      </c>
      <c r="CI841" s="76">
        <f>IF($Z841="Full Defeasance","Fully Defeased",IF($Z841="Portion Of Loan Previously Defeased","Partially Defeased",IF($Z841="Defeasance Not Allowable","Not Defeased (Not Permitted)","Not Defeased")))</f>
        <v/>
      </c>
      <c r="CJ841" s="78">
        <f>IF($CI841="Fully Defeased",1,0)</f>
        <v/>
      </c>
      <c r="CK841" s="76">
        <f>IF($R841="IO","Full IO",IF(LEFT($R841&amp;"",7)="IO then","Partial IO","Amortizing"))</f>
        <v/>
      </c>
      <c r="CL841" s="78">
        <f>IF($CK841="Full IO",1,0)</f>
        <v/>
      </c>
      <c r="CM841" s="78">
        <f>IF($CK841="Partial IO",1,0)</f>
        <v/>
      </c>
      <c r="CN841" s="76">
        <f>IF(LEFT($F841&amp;"",10)="SPLIT_LOAN","Pari Passu Split","Standalone")</f>
        <v/>
      </c>
      <c r="CO841" s="78">
        <f>IF($CN841="Pari Passu Split",1,0)</f>
        <v/>
      </c>
      <c r="CP841" s="77">
        <f>IF(ISNUMBER($T841),YEAR($T841),"")</f>
        <v/>
      </c>
      <c r="CQ841" s="79">
        <f>IF(ISNUMBER($V841),$V841,IF(ISNUMBER($U841),$U841,""))</f>
        <v/>
      </c>
      <c r="CR841" s="77">
        <f>IF(ISNUMBER($CQ841),YEAR($CQ841),"")</f>
        <v/>
      </c>
      <c r="CS841" s="78">
        <f>IF(ISNUMBER($M841),MAX(0,$M841),IF(TRIM($M841&amp;"")="matured",0,""))</f>
        <v/>
      </c>
      <c r="CT841" s="78">
        <f>IF(AND(ISNUMBER($CS841),N($CS841)&lt;=mMatWindow),1,0)</f>
        <v/>
      </c>
      <c r="CU841" s="80">
        <f>IF(ISNUMBER($J841),$J841/100,"")</f>
        <v/>
      </c>
      <c r="CV841" s="81">
        <f>IF(ISNUMBER($AQ841),$AQ841,"")</f>
        <v/>
      </c>
      <c r="CW841" s="81">
        <f>IF(ISNUMBER($AR841),$AR841,"")</f>
        <v/>
      </c>
      <c r="CX841" s="82">
        <f>IF(ISNUMBER($AS841),$AS841/100,"")</f>
        <v/>
      </c>
      <c r="CY841" s="82">
        <f>IF(ISNUMBER($AT841),$AT841/100,"")</f>
        <v/>
      </c>
      <c r="CZ841" s="82">
        <f>IF(ISNUMBER($AU841),$AU841/100,"")</f>
        <v/>
      </c>
      <c r="DA841" s="82">
        <f>IF(ISNUMBER($AV841),$AV841/100,"")</f>
        <v/>
      </c>
      <c r="DB841" s="82">
        <f>IF(ISNUMBER($AW841),$AW841/100,"")</f>
        <v/>
      </c>
      <c r="DC841" s="82">
        <f>IF(ISNUMBER($AX841),$AX841/100,"")</f>
        <v/>
      </c>
      <c r="DD841" s="77">
        <f>IFERROR(VALUE(LEFT(TRIM($AO841&amp;""),4)),"")</f>
        <v/>
      </c>
      <c r="DE841" s="78">
        <f>IF(AND($BY841=1,$BX841=1,OR(fDeal="All Deals",$BU841=fDeal),OR(fEntity="All Entities",$BV841=fEntity),OR(fPType="All Property Types",$BZ841=fPType),OR(fDefeased="Include",$CJ841=0)),1,0)</f>
        <v/>
      </c>
      <c r="DF841" s="83">
        <f>$DE841*N($I841)</f>
        <v/>
      </c>
      <c r="DG841" s="78">
        <f>IF($DE841=1,IF(COUNTIFS($F$8:$F841,$F841,$DE$8:$DE841,1)=1,1,0),0)</f>
        <v/>
      </c>
      <c r="DH841" s="83">
        <f>IF($DG841=1,SUMIFS($DF$8:$DF$1600,$F$8:$F$1600,$F841),0)</f>
        <v/>
      </c>
      <c r="DI841" s="78">
        <f>IF($DG841=1,COUNTIFS($F$8:$F$1600,$F841,$DE$8:$DE$1600,1),0)</f>
        <v/>
      </c>
      <c r="DJ841" s="84">
        <f>IF($DG841=1,$DH841+(100000-ROW())/mTieBreak,0)</f>
        <v/>
      </c>
    </row>
    <row r="842">
      <c r="B842" s="68" t="n">
        <v>27</v>
      </c>
      <c r="C842" s="69" t="inlineStr">
        <is>
          <t>DBJ17C06</t>
        </is>
      </c>
      <c r="D842" s="69" t="inlineStr">
        <is>
          <t>27.000</t>
        </is>
      </c>
      <c r="E842" s="69" t="inlineStr">
        <is>
          <t>Chateau at Flamingo</t>
        </is>
      </c>
      <c r="F842" s="69" t="inlineStr">
        <is>
          <t>LNDBJ17C06-27.000</t>
        </is>
      </c>
      <c r="G842" s="70" t="n"/>
      <c r="H842" s="71" t="n">
        <v>12450000</v>
      </c>
      <c r="I842" s="71" t="n">
        <v>10304725.33999605</v>
      </c>
      <c r="J842" s="72" t="n">
        <v>4.56</v>
      </c>
      <c r="K842" s="69" t="inlineStr">
        <is>
          <t>Fixed rate</t>
        </is>
      </c>
      <c r="L842" s="68" t="n">
        <v>120</v>
      </c>
      <c r="M842" s="68" t="n">
        <v>9</v>
      </c>
      <c r="N842" s="68" t="n">
        <v>360</v>
      </c>
      <c r="O842" s="68" t="n"/>
      <c r="P842" s="68" t="n"/>
      <c r="Q842" s="68" t="n">
        <v>111</v>
      </c>
      <c r="R842" s="69" t="n"/>
      <c r="S842" s="69" t="inlineStr">
        <is>
          <t>No</t>
        </is>
      </c>
      <c r="T842" s="73" t="n">
        <v>42887</v>
      </c>
      <c r="U842" s="73" t="n">
        <v>46544</v>
      </c>
      <c r="V842" s="73" t="n"/>
      <c r="W842" s="69" t="n"/>
      <c r="X842" s="69" t="inlineStr">
        <is>
          <t>Current</t>
        </is>
      </c>
      <c r="Y842" s="68" t="n"/>
      <c r="Z842" s="69" t="inlineStr">
        <is>
          <t>No Defeasance Occurred</t>
        </is>
      </c>
      <c r="AA842" s="69" t="n"/>
      <c r="AB842" s="69" t="inlineStr">
        <is>
          <t>Never special serv</t>
        </is>
      </c>
      <c r="AC842" s="73" t="n"/>
      <c r="AD842" s="69" t="n"/>
      <c r="AE842" s="69" t="n"/>
      <c r="AF842" s="69" t="inlineStr">
        <is>
          <t>NV</t>
        </is>
      </c>
      <c r="AG842" s="69" t="inlineStr">
        <is>
          <t>Las Vegas</t>
        </is>
      </c>
      <c r="AH842" s="69" t="inlineStr">
        <is>
          <t>Las Vegas-Henderson-North Las Vegas, NV</t>
        </is>
      </c>
      <c r="AI842" s="69" t="inlineStr">
        <is>
          <t>West / Mountain</t>
        </is>
      </c>
      <c r="AJ842" s="69" t="inlineStr">
        <is>
          <t>MF</t>
        </is>
      </c>
      <c r="AK842" s="69" t="inlineStr">
        <is>
          <t>Garden</t>
        </is>
      </c>
      <c r="AL842" s="68" t="n">
        <v>1</v>
      </c>
      <c r="AM842" s="68" t="n">
        <v>136</v>
      </c>
      <c r="AN842" s="68" t="n"/>
      <c r="AO842" s="69" t="inlineStr">
        <is>
          <t>1992</t>
        </is>
      </c>
      <c r="AP842" s="70" t="n">
        <v>1992</v>
      </c>
      <c r="AQ842" s="74" t="n">
        <v>1.21</v>
      </c>
      <c r="AR842" s="74" t="n">
        <v>1.63</v>
      </c>
      <c r="AS842" s="74" t="n">
        <v>74.90000000000001</v>
      </c>
      <c r="AT842" s="74" t="n">
        <v>62</v>
      </c>
      <c r="AU842" s="74" t="n">
        <v>60.7</v>
      </c>
      <c r="AV842" s="74" t="n">
        <v>7.412199839</v>
      </c>
      <c r="AW842" s="74" t="n">
        <v>12.405136652</v>
      </c>
      <c r="AX842" s="75" t="n">
        <v>98</v>
      </c>
      <c r="AY842" s="71" t="n">
        <v>16620000</v>
      </c>
      <c r="AZ842" s="71" t="n">
        <v>16620000</v>
      </c>
      <c r="BA842" s="71" t="n">
        <v>922818.88</v>
      </c>
      <c r="BB842" s="71" t="n">
        <v>1243464.84</v>
      </c>
      <c r="BC842" s="69" t="inlineStr">
        <is>
          <t>Acquisition</t>
        </is>
      </c>
      <c r="BD842" s="69" t="inlineStr">
        <is>
          <t>N</t>
        </is>
      </c>
      <c r="BE842" s="71" t="n"/>
      <c r="BF842" s="71" t="n"/>
      <c r="BG842" s="71" t="n"/>
      <c r="BH842" s="71" t="n">
        <v>0</v>
      </c>
      <c r="BI842" s="71" t="n">
        <v>0</v>
      </c>
      <c r="BJ842" s="69" t="inlineStr">
        <is>
          <t>N</t>
        </is>
      </c>
      <c r="BK842" s="69" t="n"/>
      <c r="BL842" s="75" t="n"/>
      <c r="BM842" s="73" t="n"/>
      <c r="BN842" s="69" t="inlineStr">
        <is>
          <t>Investment Concepts, Inc.</t>
        </is>
      </c>
      <c r="BO842" s="69" t="inlineStr">
        <is>
          <t>GACC</t>
        </is>
      </c>
      <c r="BP842" s="69" t="inlineStr">
        <is>
          <t>Midland Loan Services</t>
        </is>
      </c>
      <c r="BQ842" s="69" t="inlineStr">
        <is>
          <t>K-Star Asset Management LLC</t>
        </is>
      </c>
      <c r="BR842" s="69" t="n"/>
      <c r="BS842" s="73" t="n">
        <v>46273</v>
      </c>
      <c r="BU842" s="76">
        <f>IF($C842="","",IFERROR(INDEX(dmName,MATCH($C842,dmID,0)),"Unmapped"))</f>
        <v/>
      </c>
      <c r="BV842" s="76">
        <f>IF($C842="","",IFERROR(INDEX(dmEntity,MATCH($C842,dmID,0)),"Unmapped"))</f>
        <v/>
      </c>
      <c r="BW842" s="77">
        <f>IF($C842="","",IFERROR(INDEX(dmVintage,MATCH($C842,dmID,0)),""))</f>
        <v/>
      </c>
      <c r="BX842" s="78">
        <f>IFERROR(INDEX(dmInclude,MATCH($C842,dmID,0)),0)</f>
        <v/>
      </c>
      <c r="BY842" s="78">
        <f>IF(N($I842)&gt;0,1,0)</f>
        <v/>
      </c>
      <c r="BZ842" s="76">
        <f>IF($AJ842="","Other / Leased Fee",IFERROR(INDEX(mapPTGroup,MATCH(LEFT(TRIM($AJ842),2),mapPTCode,0)),"Other / Leased Fee"))</f>
        <v/>
      </c>
      <c r="CA842" s="76">
        <f>IF(TRIM($AF842&amp;"")="","NR",LEFT(TRIM($AF842),2))</f>
        <v/>
      </c>
      <c r="CB842" s="76">
        <f>IFERROR(LOOKUP(2,1/(LEFT(TRIM($AI842&amp;""),LEN(mapRegion))=mapRegion),mapRegion),"Not Reported")</f>
        <v/>
      </c>
      <c r="CC842" s="76">
        <f>IF($BY842=0,"",IF(TRIM($W842&amp;"")="REO","REO",IF(TRIM($W842&amp;"")="FC","Foreclosure",IF(TRIM($W842&amp;"")="90+","90+ Days Delinquent",IF(TRIM($W842&amp;"")="60","60 Days Delinquent",IF(TRIM($W842&amp;"")="30","30 Days Delinquent",IF($X842="Non-Performing Matured Balloon","Non-Performing Matured Balloon",IF(OR($X842="Late Payment But Less Than 30 Days Delinquent",LEFT($X842&amp;"",20)="Payment Not Received"),"Late / In Grace (&lt;30 Days)",IF($X842="Performing Matured Balloon","Performing Matured Balloon","Current")))))))))</f>
        <v/>
      </c>
      <c r="CD842" s="78">
        <f>IF(OR($CC842="REO",$CC842="Foreclosure",$CC842="90+ Days Delinquent",$CC842="60 Days Delinquent",$CC842="30 Days Delinquent",$CC842="Non-Performing Matured Balloon"),1,0)</f>
        <v/>
      </c>
      <c r="CE842" s="76">
        <f>IF($AB842="Currently special serv","Currently Specially Serviced",IF($AB842="Returned to master serv","Previously Specially Serviced","Never Specially Serviced"))</f>
        <v/>
      </c>
      <c r="CF842" s="78">
        <f>IF($CE842="Currently Specially Serviced",1,0)</f>
        <v/>
      </c>
      <c r="CG842" s="76">
        <f>IF($AA842="Yes","Currently on Watchlist",IF($AA842="Previously","Previously on Watchlist","Never on Watchlist"))</f>
        <v/>
      </c>
      <c r="CH842" s="78">
        <f>IF($CG842="Currently on Watchlist",1,0)</f>
        <v/>
      </c>
      <c r="CI842" s="76">
        <f>IF($Z842="Full Defeasance","Fully Defeased",IF($Z842="Portion Of Loan Previously Defeased","Partially Defeased",IF($Z842="Defeasance Not Allowable","Not Defeased (Not Permitted)","Not Defeased")))</f>
        <v/>
      </c>
      <c r="CJ842" s="78">
        <f>IF($CI842="Fully Defeased",1,0)</f>
        <v/>
      </c>
      <c r="CK842" s="76">
        <f>IF($R842="IO","Full IO",IF(LEFT($R842&amp;"",7)="IO then","Partial IO","Amortizing"))</f>
        <v/>
      </c>
      <c r="CL842" s="78">
        <f>IF($CK842="Full IO",1,0)</f>
        <v/>
      </c>
      <c r="CM842" s="78">
        <f>IF($CK842="Partial IO",1,0)</f>
        <v/>
      </c>
      <c r="CN842" s="76">
        <f>IF(LEFT($F842&amp;"",10)="SPLIT_LOAN","Pari Passu Split","Standalone")</f>
        <v/>
      </c>
      <c r="CO842" s="78">
        <f>IF($CN842="Pari Passu Split",1,0)</f>
        <v/>
      </c>
      <c r="CP842" s="77">
        <f>IF(ISNUMBER($T842),YEAR($T842),"")</f>
        <v/>
      </c>
      <c r="CQ842" s="79">
        <f>IF(ISNUMBER($V842),$V842,IF(ISNUMBER($U842),$U842,""))</f>
        <v/>
      </c>
      <c r="CR842" s="77">
        <f>IF(ISNUMBER($CQ842),YEAR($CQ842),"")</f>
        <v/>
      </c>
      <c r="CS842" s="78">
        <f>IF(ISNUMBER($M842),MAX(0,$M842),IF(TRIM($M842&amp;"")="matured",0,""))</f>
        <v/>
      </c>
      <c r="CT842" s="78">
        <f>IF(AND(ISNUMBER($CS842),N($CS842)&lt;=mMatWindow),1,0)</f>
        <v/>
      </c>
      <c r="CU842" s="80">
        <f>IF(ISNUMBER($J842),$J842/100,"")</f>
        <v/>
      </c>
      <c r="CV842" s="81">
        <f>IF(ISNUMBER($AQ842),$AQ842,"")</f>
        <v/>
      </c>
      <c r="CW842" s="81">
        <f>IF(ISNUMBER($AR842),$AR842,"")</f>
        <v/>
      </c>
      <c r="CX842" s="82">
        <f>IF(ISNUMBER($AS842),$AS842/100,"")</f>
        <v/>
      </c>
      <c r="CY842" s="82">
        <f>IF(ISNUMBER($AT842),$AT842/100,"")</f>
        <v/>
      </c>
      <c r="CZ842" s="82">
        <f>IF(ISNUMBER($AU842),$AU842/100,"")</f>
        <v/>
      </c>
      <c r="DA842" s="82">
        <f>IF(ISNUMBER($AV842),$AV842/100,"")</f>
        <v/>
      </c>
      <c r="DB842" s="82">
        <f>IF(ISNUMBER($AW842),$AW842/100,"")</f>
        <v/>
      </c>
      <c r="DC842" s="82">
        <f>IF(ISNUMBER($AX842),$AX842/100,"")</f>
        <v/>
      </c>
      <c r="DD842" s="77">
        <f>IFERROR(VALUE(LEFT(TRIM($AO842&amp;""),4)),"")</f>
        <v/>
      </c>
      <c r="DE842" s="78">
        <f>IF(AND($BY842=1,$BX842=1,OR(fDeal="All Deals",$BU842=fDeal),OR(fEntity="All Entities",$BV842=fEntity),OR(fPType="All Property Types",$BZ842=fPType),OR(fDefeased="Include",$CJ842=0)),1,0)</f>
        <v/>
      </c>
      <c r="DF842" s="83">
        <f>$DE842*N($I842)</f>
        <v/>
      </c>
      <c r="DG842" s="78">
        <f>IF($DE842=1,IF(COUNTIFS($F$8:$F842,$F842,$DE$8:$DE842,1)=1,1,0),0)</f>
        <v/>
      </c>
      <c r="DH842" s="83">
        <f>IF($DG842=1,SUMIFS($DF$8:$DF$1600,$F$8:$F$1600,$F842),0)</f>
        <v/>
      </c>
      <c r="DI842" s="78">
        <f>IF($DG842=1,COUNTIFS($F$8:$F$1600,$F842,$DE$8:$DE$1600,1),0)</f>
        <v/>
      </c>
      <c r="DJ842" s="84">
        <f>IF($DG842=1,$DH842+(100000-ROW())/mTieBreak,0)</f>
        <v/>
      </c>
    </row>
    <row r="843">
      <c r="B843" s="68" t="n">
        <v>28</v>
      </c>
      <c r="C843" s="69" t="inlineStr">
        <is>
          <t>DBJ17C06</t>
        </is>
      </c>
      <c r="D843" s="69" t="inlineStr">
        <is>
          <t>28.000</t>
        </is>
      </c>
      <c r="E843" s="69" t="inlineStr">
        <is>
          <t>El Monte Self Storage</t>
        </is>
      </c>
      <c r="F843" s="69" t="inlineStr">
        <is>
          <t>LNDBJ17C06-28.000</t>
        </is>
      </c>
      <c r="G843" s="70" t="n"/>
      <c r="H843" s="71" t="n">
        <v>11900000</v>
      </c>
      <c r="I843" s="71" t="n">
        <v>9817144.090004301</v>
      </c>
      <c r="J843" s="72" t="n">
        <v>4.525</v>
      </c>
      <c r="K843" s="69" t="inlineStr">
        <is>
          <t>Fixed rate</t>
        </is>
      </c>
      <c r="L843" s="68" t="n">
        <v>120</v>
      </c>
      <c r="M843" s="68" t="n">
        <v>8</v>
      </c>
      <c r="N843" s="68" t="n">
        <v>360</v>
      </c>
      <c r="O843" s="68" t="n"/>
      <c r="P843" s="68" t="n"/>
      <c r="Q843" s="68" t="n">
        <v>112</v>
      </c>
      <c r="R843" s="69" t="n"/>
      <c r="S843" s="69" t="inlineStr">
        <is>
          <t>No</t>
        </is>
      </c>
      <c r="T843" s="73" t="n">
        <v>42856</v>
      </c>
      <c r="U843" s="73" t="n">
        <v>46513</v>
      </c>
      <c r="V843" s="73" t="n"/>
      <c r="W843" s="69" t="n"/>
      <c r="X843" s="69" t="inlineStr">
        <is>
          <t>Current</t>
        </is>
      </c>
      <c r="Y843" s="68" t="n"/>
      <c r="Z843" s="69" t="inlineStr">
        <is>
          <t>No Defeasance Occurred</t>
        </is>
      </c>
      <c r="AA843" s="69" t="inlineStr">
        <is>
          <t>Previously</t>
        </is>
      </c>
      <c r="AB843" s="69" t="inlineStr">
        <is>
          <t>Never special serv</t>
        </is>
      </c>
      <c r="AC843" s="73" t="n"/>
      <c r="AD843" s="69" t="n"/>
      <c r="AE843" s="69" t="n"/>
      <c r="AF843" s="69" t="inlineStr">
        <is>
          <t>CA</t>
        </is>
      </c>
      <c r="AG843" s="69" t="inlineStr">
        <is>
          <t>El Monte</t>
        </is>
      </c>
      <c r="AH843" s="69" t="inlineStr">
        <is>
          <t>Los Angeles-Long Beach-Anaheim, CA</t>
        </is>
      </c>
      <c r="AI843" s="69" t="inlineStr">
        <is>
          <t>West / Pacific South</t>
        </is>
      </c>
      <c r="AJ843" s="69" t="inlineStr">
        <is>
          <t>SS</t>
        </is>
      </c>
      <c r="AK843" s="69" t="n"/>
      <c r="AL843" s="68" t="n">
        <v>1</v>
      </c>
      <c r="AM843" s="68" t="n"/>
      <c r="AN843" s="68" t="n">
        <v>120946</v>
      </c>
      <c r="AO843" s="69" t="inlineStr">
        <is>
          <t>2007</t>
        </is>
      </c>
      <c r="AP843" s="70" t="n">
        <v>2007</v>
      </c>
      <c r="AQ843" s="74" t="n">
        <v>1.38</v>
      </c>
      <c r="AR843" s="74" t="n">
        <v>2.89</v>
      </c>
      <c r="AS843" s="74" t="n">
        <v>67.5</v>
      </c>
      <c r="AT843" s="74" t="n">
        <v>55.78</v>
      </c>
      <c r="AU843" s="74" t="n">
        <v>54.7</v>
      </c>
      <c r="AV843" s="74" t="n">
        <v>8.397586471</v>
      </c>
      <c r="AW843" s="74" t="n">
        <v>21.312284925</v>
      </c>
      <c r="AX843" s="75" t="n">
        <v>97</v>
      </c>
      <c r="AY843" s="71" t="n">
        <v>17600000</v>
      </c>
      <c r="AZ843" s="71" t="n">
        <v>17600000</v>
      </c>
      <c r="BA843" s="71" t="n">
        <v>999312.79</v>
      </c>
      <c r="BB843" s="71" t="n">
        <v>2093773.29</v>
      </c>
      <c r="BC843" s="69" t="inlineStr">
        <is>
          <t>Refinance</t>
        </is>
      </c>
      <c r="BD843" s="69" t="inlineStr">
        <is>
          <t>N</t>
        </is>
      </c>
      <c r="BE843" s="71" t="n"/>
      <c r="BF843" s="71" t="n"/>
      <c r="BG843" s="71" t="n"/>
      <c r="BH843" s="71" t="n">
        <v>0</v>
      </c>
      <c r="BI843" s="71" t="n">
        <v>0</v>
      </c>
      <c r="BJ843" s="69" t="inlineStr">
        <is>
          <t>N</t>
        </is>
      </c>
      <c r="BK843" s="69" t="n"/>
      <c r="BL843" s="75" t="n"/>
      <c r="BM843" s="73" t="n"/>
      <c r="BN843" s="69" t="inlineStr">
        <is>
          <t>A Company LLC Section 401(k) Profit Sharing Plan and Trust</t>
        </is>
      </c>
      <c r="BO843" s="69" t="inlineStr">
        <is>
          <t>GACC</t>
        </is>
      </c>
      <c r="BP843" s="69" t="inlineStr">
        <is>
          <t>Midland Loan Services</t>
        </is>
      </c>
      <c r="BQ843" s="69" t="inlineStr">
        <is>
          <t>K-Star Asset Management LLC</t>
        </is>
      </c>
      <c r="BR843" s="69" t="n"/>
      <c r="BS843" s="73" t="n">
        <v>46273</v>
      </c>
      <c r="BU843" s="76">
        <f>IF($C843="","",IFERROR(INDEX(dmName,MATCH($C843,dmID,0)),"Unmapped"))</f>
        <v/>
      </c>
      <c r="BV843" s="76">
        <f>IF($C843="","",IFERROR(INDEX(dmEntity,MATCH($C843,dmID,0)),"Unmapped"))</f>
        <v/>
      </c>
      <c r="BW843" s="77">
        <f>IF($C843="","",IFERROR(INDEX(dmVintage,MATCH($C843,dmID,0)),""))</f>
        <v/>
      </c>
      <c r="BX843" s="78">
        <f>IFERROR(INDEX(dmInclude,MATCH($C843,dmID,0)),0)</f>
        <v/>
      </c>
      <c r="BY843" s="78">
        <f>IF(N($I843)&gt;0,1,0)</f>
        <v/>
      </c>
      <c r="BZ843" s="76">
        <f>IF($AJ843="","Other / Leased Fee",IFERROR(INDEX(mapPTGroup,MATCH(LEFT(TRIM($AJ843),2),mapPTCode,0)),"Other / Leased Fee"))</f>
        <v/>
      </c>
      <c r="CA843" s="76">
        <f>IF(TRIM($AF843&amp;"")="","NR",LEFT(TRIM($AF843),2))</f>
        <v/>
      </c>
      <c r="CB843" s="76">
        <f>IFERROR(LOOKUP(2,1/(LEFT(TRIM($AI843&amp;""),LEN(mapRegion))=mapRegion),mapRegion),"Not Reported")</f>
        <v/>
      </c>
      <c r="CC843" s="76">
        <f>IF($BY843=0,"",IF(TRIM($W843&amp;"")="REO","REO",IF(TRIM($W843&amp;"")="FC","Foreclosure",IF(TRIM($W843&amp;"")="90+","90+ Days Delinquent",IF(TRIM($W843&amp;"")="60","60 Days Delinquent",IF(TRIM($W843&amp;"")="30","30 Days Delinquent",IF($X843="Non-Performing Matured Balloon","Non-Performing Matured Balloon",IF(OR($X843="Late Payment But Less Than 30 Days Delinquent",LEFT($X843&amp;"",20)="Payment Not Received"),"Late / In Grace (&lt;30 Days)",IF($X843="Performing Matured Balloon","Performing Matured Balloon","Current")))))))))</f>
        <v/>
      </c>
      <c r="CD843" s="78">
        <f>IF(OR($CC843="REO",$CC843="Foreclosure",$CC843="90+ Days Delinquent",$CC843="60 Days Delinquent",$CC843="30 Days Delinquent",$CC843="Non-Performing Matured Balloon"),1,0)</f>
        <v/>
      </c>
      <c r="CE843" s="76">
        <f>IF($AB843="Currently special serv","Currently Specially Serviced",IF($AB843="Returned to master serv","Previously Specially Serviced","Never Specially Serviced"))</f>
        <v/>
      </c>
      <c r="CF843" s="78">
        <f>IF($CE843="Currently Specially Serviced",1,0)</f>
        <v/>
      </c>
      <c r="CG843" s="76">
        <f>IF($AA843="Yes","Currently on Watchlist",IF($AA843="Previously","Previously on Watchlist","Never on Watchlist"))</f>
        <v/>
      </c>
      <c r="CH843" s="78">
        <f>IF($CG843="Currently on Watchlist",1,0)</f>
        <v/>
      </c>
      <c r="CI843" s="76">
        <f>IF($Z843="Full Defeasance","Fully Defeased",IF($Z843="Portion Of Loan Previously Defeased","Partially Defeased",IF($Z843="Defeasance Not Allowable","Not Defeased (Not Permitted)","Not Defeased")))</f>
        <v/>
      </c>
      <c r="CJ843" s="78">
        <f>IF($CI843="Fully Defeased",1,0)</f>
        <v/>
      </c>
      <c r="CK843" s="76">
        <f>IF($R843="IO","Full IO",IF(LEFT($R843&amp;"",7)="IO then","Partial IO","Amortizing"))</f>
        <v/>
      </c>
      <c r="CL843" s="78">
        <f>IF($CK843="Full IO",1,0)</f>
        <v/>
      </c>
      <c r="CM843" s="78">
        <f>IF($CK843="Partial IO",1,0)</f>
        <v/>
      </c>
      <c r="CN843" s="76">
        <f>IF(LEFT($F843&amp;"",10)="SPLIT_LOAN","Pari Passu Split","Standalone")</f>
        <v/>
      </c>
      <c r="CO843" s="78">
        <f>IF($CN843="Pari Passu Split",1,0)</f>
        <v/>
      </c>
      <c r="CP843" s="77">
        <f>IF(ISNUMBER($T843),YEAR($T843),"")</f>
        <v/>
      </c>
      <c r="CQ843" s="79">
        <f>IF(ISNUMBER($V843),$V843,IF(ISNUMBER($U843),$U843,""))</f>
        <v/>
      </c>
      <c r="CR843" s="77">
        <f>IF(ISNUMBER($CQ843),YEAR($CQ843),"")</f>
        <v/>
      </c>
      <c r="CS843" s="78">
        <f>IF(ISNUMBER($M843),MAX(0,$M843),IF(TRIM($M843&amp;"")="matured",0,""))</f>
        <v/>
      </c>
      <c r="CT843" s="78">
        <f>IF(AND(ISNUMBER($CS843),N($CS843)&lt;=mMatWindow),1,0)</f>
        <v/>
      </c>
      <c r="CU843" s="80">
        <f>IF(ISNUMBER($J843),$J843/100,"")</f>
        <v/>
      </c>
      <c r="CV843" s="81">
        <f>IF(ISNUMBER($AQ843),$AQ843,"")</f>
        <v/>
      </c>
      <c r="CW843" s="81">
        <f>IF(ISNUMBER($AR843),$AR843,"")</f>
        <v/>
      </c>
      <c r="CX843" s="82">
        <f>IF(ISNUMBER($AS843),$AS843/100,"")</f>
        <v/>
      </c>
      <c r="CY843" s="82">
        <f>IF(ISNUMBER($AT843),$AT843/100,"")</f>
        <v/>
      </c>
      <c r="CZ843" s="82">
        <f>IF(ISNUMBER($AU843),$AU843/100,"")</f>
        <v/>
      </c>
      <c r="DA843" s="82">
        <f>IF(ISNUMBER($AV843),$AV843/100,"")</f>
        <v/>
      </c>
      <c r="DB843" s="82">
        <f>IF(ISNUMBER($AW843),$AW843/100,"")</f>
        <v/>
      </c>
      <c r="DC843" s="82">
        <f>IF(ISNUMBER($AX843),$AX843/100,"")</f>
        <v/>
      </c>
      <c r="DD843" s="77">
        <f>IFERROR(VALUE(LEFT(TRIM($AO843&amp;""),4)),"")</f>
        <v/>
      </c>
      <c r="DE843" s="78">
        <f>IF(AND($BY843=1,$BX843=1,OR(fDeal="All Deals",$BU843=fDeal),OR(fEntity="All Entities",$BV843=fEntity),OR(fPType="All Property Types",$BZ843=fPType),OR(fDefeased="Include",$CJ843=0)),1,0)</f>
        <v/>
      </c>
      <c r="DF843" s="83">
        <f>$DE843*N($I843)</f>
        <v/>
      </c>
      <c r="DG843" s="78">
        <f>IF($DE843=1,IF(COUNTIFS($F$8:$F843,$F843,$DE$8:$DE843,1)=1,1,0),0)</f>
        <v/>
      </c>
      <c r="DH843" s="83">
        <f>IF($DG843=1,SUMIFS($DF$8:$DF$1600,$F$8:$F$1600,$F843),0)</f>
        <v/>
      </c>
      <c r="DI843" s="78">
        <f>IF($DG843=1,COUNTIFS($F$8:$F$1600,$F843,$DE$8:$DE$1600,1),0)</f>
        <v/>
      </c>
      <c r="DJ843" s="84">
        <f>IF($DG843=1,$DH843+(100000-ROW())/mTieBreak,0)</f>
        <v/>
      </c>
    </row>
    <row r="844">
      <c r="B844" s="68" t="n">
        <v>29</v>
      </c>
      <c r="C844" s="69" t="inlineStr">
        <is>
          <t>DBJ17C06</t>
        </is>
      </c>
      <c r="D844" s="69" t="inlineStr">
        <is>
          <t>29.000</t>
        </is>
      </c>
      <c r="E844" s="69" t="inlineStr">
        <is>
          <t>El Cajon Retail</t>
        </is>
      </c>
      <c r="F844" s="69" t="inlineStr">
        <is>
          <t>LNDBJ17C06-29.000</t>
        </is>
      </c>
      <c r="G844" s="70" t="n"/>
      <c r="H844" s="71" t="n">
        <v>11700000</v>
      </c>
      <c r="I844" s="71" t="n">
        <v>10857718.0700001</v>
      </c>
      <c r="J844" s="72" t="n">
        <v>4.52</v>
      </c>
      <c r="K844" s="69" t="inlineStr">
        <is>
          <t>Fixed rate</t>
        </is>
      </c>
      <c r="L844" s="68" t="n">
        <v>120</v>
      </c>
      <c r="M844" s="68" t="n">
        <v>8</v>
      </c>
      <c r="N844" s="68" t="n">
        <v>420</v>
      </c>
      <c r="O844" s="68" t="n">
        <v>60</v>
      </c>
      <c r="P844" s="68" t="n">
        <v>0</v>
      </c>
      <c r="Q844" s="68" t="n">
        <v>112</v>
      </c>
      <c r="R844" s="69" t="inlineStr">
        <is>
          <t>IO then Amort</t>
        </is>
      </c>
      <c r="S844" s="69" t="inlineStr">
        <is>
          <t>No</t>
        </is>
      </c>
      <c r="T844" s="73" t="n">
        <v>42856</v>
      </c>
      <c r="U844" s="73" t="n">
        <v>46513</v>
      </c>
      <c r="V844" s="73" t="n"/>
      <c r="W844" s="69" t="n"/>
      <c r="X844" s="69" t="inlineStr">
        <is>
          <t>Current</t>
        </is>
      </c>
      <c r="Y844" s="68" t="n"/>
      <c r="Z844" s="69" t="inlineStr">
        <is>
          <t>Full Defeasance</t>
        </is>
      </c>
      <c r="AA844" s="69" t="inlineStr">
        <is>
          <t>Yes</t>
        </is>
      </c>
      <c r="AB844" s="69" t="inlineStr">
        <is>
          <t>Never special serv</t>
        </is>
      </c>
      <c r="AC844" s="73" t="n"/>
      <c r="AD844" s="69" t="n"/>
      <c r="AE844" s="69" t="n"/>
      <c r="AF844" s="69" t="inlineStr">
        <is>
          <t>CA</t>
        </is>
      </c>
      <c r="AG844" s="69" t="inlineStr">
        <is>
          <t>El Cajon</t>
        </is>
      </c>
      <c r="AH844" s="69" t="inlineStr">
        <is>
          <t>San Diego-Chula Vista-Carlsbad, CA</t>
        </is>
      </c>
      <c r="AI844" s="69" t="inlineStr">
        <is>
          <t>West / Pacific South</t>
        </is>
      </c>
      <c r="AJ844" s="69" t="inlineStr">
        <is>
          <t>RT</t>
        </is>
      </c>
      <c r="AK844" s="69" t="inlineStr">
        <is>
          <t>Anchored</t>
        </is>
      </c>
      <c r="AL844" s="68" t="n">
        <v>1</v>
      </c>
      <c r="AM844" s="68" t="n"/>
      <c r="AN844" s="68" t="n">
        <v>75328</v>
      </c>
      <c r="AO844" s="69" t="inlineStr">
        <is>
          <t>1976</t>
        </is>
      </c>
      <c r="AP844" s="70" t="n">
        <v>1976</v>
      </c>
      <c r="AQ844" s="74" t="n">
        <v>1.33</v>
      </c>
      <c r="AR844" s="74" t="n">
        <v>0.97</v>
      </c>
      <c r="AS844" s="74" t="n">
        <v>66.90000000000001</v>
      </c>
      <c r="AT844" s="74" t="n">
        <v>62.04</v>
      </c>
      <c r="AU844" s="74" t="n">
        <v>61.2</v>
      </c>
      <c r="AV844" s="74" t="n">
        <v>8.121238889000001</v>
      </c>
      <c r="AW844" s="74" t="n">
        <v>5.375628804</v>
      </c>
      <c r="AX844" s="75" t="n">
        <v>95</v>
      </c>
      <c r="AY844" s="71" t="n">
        <v>17500000</v>
      </c>
      <c r="AZ844" s="71" t="n">
        <v>17500000</v>
      </c>
      <c r="BA844" s="71" t="n">
        <v>950184.95</v>
      </c>
      <c r="BB844" s="71" t="n">
        <v>172865.55</v>
      </c>
      <c r="BC844" s="69" t="inlineStr">
        <is>
          <t>Acquisition</t>
        </is>
      </c>
      <c r="BD844" s="69" t="inlineStr">
        <is>
          <t>N</t>
        </is>
      </c>
      <c r="BE844" s="71" t="n"/>
      <c r="BF844" s="71" t="n"/>
      <c r="BG844" s="71" t="n"/>
      <c r="BH844" s="71" t="n">
        <v>0</v>
      </c>
      <c r="BI844" s="71" t="n">
        <v>0</v>
      </c>
      <c r="BJ844" s="69" t="inlineStr">
        <is>
          <t>N</t>
        </is>
      </c>
      <c r="BK844" s="69" t="inlineStr">
        <is>
          <t>Ross Dress For Less</t>
        </is>
      </c>
      <c r="BL844" s="75" t="n">
        <v>33.85</v>
      </c>
      <c r="BM844" s="73" t="n">
        <v>50071</v>
      </c>
      <c r="BN844" s="69" t="inlineStr">
        <is>
          <t>Doerken Properties, Inc.</t>
        </is>
      </c>
      <c r="BO844" s="69" t="inlineStr">
        <is>
          <t>GACC</t>
        </is>
      </c>
      <c r="BP844" s="69" t="inlineStr">
        <is>
          <t>Midland Loan Services</t>
        </is>
      </c>
      <c r="BQ844" s="69" t="inlineStr">
        <is>
          <t>K-Star Asset Management LLC</t>
        </is>
      </c>
      <c r="BR844" s="69" t="n"/>
      <c r="BS844" s="73" t="n">
        <v>46273</v>
      </c>
      <c r="BU844" s="76">
        <f>IF($C844="","",IFERROR(INDEX(dmName,MATCH($C844,dmID,0)),"Unmapped"))</f>
        <v/>
      </c>
      <c r="BV844" s="76">
        <f>IF($C844="","",IFERROR(INDEX(dmEntity,MATCH($C844,dmID,0)),"Unmapped"))</f>
        <v/>
      </c>
      <c r="BW844" s="77">
        <f>IF($C844="","",IFERROR(INDEX(dmVintage,MATCH($C844,dmID,0)),""))</f>
        <v/>
      </c>
      <c r="BX844" s="78">
        <f>IFERROR(INDEX(dmInclude,MATCH($C844,dmID,0)),0)</f>
        <v/>
      </c>
      <c r="BY844" s="78">
        <f>IF(N($I844)&gt;0,1,0)</f>
        <v/>
      </c>
      <c r="BZ844" s="76">
        <f>IF($AJ844="","Other / Leased Fee",IFERROR(INDEX(mapPTGroup,MATCH(LEFT(TRIM($AJ844),2),mapPTCode,0)),"Other / Leased Fee"))</f>
        <v/>
      </c>
      <c r="CA844" s="76">
        <f>IF(TRIM($AF844&amp;"")="","NR",LEFT(TRIM($AF844),2))</f>
        <v/>
      </c>
      <c r="CB844" s="76">
        <f>IFERROR(LOOKUP(2,1/(LEFT(TRIM($AI844&amp;""),LEN(mapRegion))=mapRegion),mapRegion),"Not Reported")</f>
        <v/>
      </c>
      <c r="CC844" s="76">
        <f>IF($BY844=0,"",IF(TRIM($W844&amp;"")="REO","REO",IF(TRIM($W844&amp;"")="FC","Foreclosure",IF(TRIM($W844&amp;"")="90+","90+ Days Delinquent",IF(TRIM($W844&amp;"")="60","60 Days Delinquent",IF(TRIM($W844&amp;"")="30","30 Days Delinquent",IF($X844="Non-Performing Matured Balloon","Non-Performing Matured Balloon",IF(OR($X844="Late Payment But Less Than 30 Days Delinquent",LEFT($X844&amp;"",20)="Payment Not Received"),"Late / In Grace (&lt;30 Days)",IF($X844="Performing Matured Balloon","Performing Matured Balloon","Current")))))))))</f>
        <v/>
      </c>
      <c r="CD844" s="78">
        <f>IF(OR($CC844="REO",$CC844="Foreclosure",$CC844="90+ Days Delinquent",$CC844="60 Days Delinquent",$CC844="30 Days Delinquent",$CC844="Non-Performing Matured Balloon"),1,0)</f>
        <v/>
      </c>
      <c r="CE844" s="76">
        <f>IF($AB844="Currently special serv","Currently Specially Serviced",IF($AB844="Returned to master serv","Previously Specially Serviced","Never Specially Serviced"))</f>
        <v/>
      </c>
      <c r="CF844" s="78">
        <f>IF($CE844="Currently Specially Serviced",1,0)</f>
        <v/>
      </c>
      <c r="CG844" s="76">
        <f>IF($AA844="Yes","Currently on Watchlist",IF($AA844="Previously","Previously on Watchlist","Never on Watchlist"))</f>
        <v/>
      </c>
      <c r="CH844" s="78">
        <f>IF($CG844="Currently on Watchlist",1,0)</f>
        <v/>
      </c>
      <c r="CI844" s="76">
        <f>IF($Z844="Full Defeasance","Fully Defeased",IF($Z844="Portion Of Loan Previously Defeased","Partially Defeased",IF($Z844="Defeasance Not Allowable","Not Defeased (Not Permitted)","Not Defeased")))</f>
        <v/>
      </c>
      <c r="CJ844" s="78">
        <f>IF($CI844="Fully Defeased",1,0)</f>
        <v/>
      </c>
      <c r="CK844" s="76">
        <f>IF($R844="IO","Full IO",IF(LEFT($R844&amp;"",7)="IO then","Partial IO","Amortizing"))</f>
        <v/>
      </c>
      <c r="CL844" s="78">
        <f>IF($CK844="Full IO",1,0)</f>
        <v/>
      </c>
      <c r="CM844" s="78">
        <f>IF($CK844="Partial IO",1,0)</f>
        <v/>
      </c>
      <c r="CN844" s="76">
        <f>IF(LEFT($F844&amp;"",10)="SPLIT_LOAN","Pari Passu Split","Standalone")</f>
        <v/>
      </c>
      <c r="CO844" s="78">
        <f>IF($CN844="Pari Passu Split",1,0)</f>
        <v/>
      </c>
      <c r="CP844" s="77">
        <f>IF(ISNUMBER($T844),YEAR($T844),"")</f>
        <v/>
      </c>
      <c r="CQ844" s="79">
        <f>IF(ISNUMBER($V844),$V844,IF(ISNUMBER($U844),$U844,""))</f>
        <v/>
      </c>
      <c r="CR844" s="77">
        <f>IF(ISNUMBER($CQ844),YEAR($CQ844),"")</f>
        <v/>
      </c>
      <c r="CS844" s="78">
        <f>IF(ISNUMBER($M844),MAX(0,$M844),IF(TRIM($M844&amp;"")="matured",0,""))</f>
        <v/>
      </c>
      <c r="CT844" s="78">
        <f>IF(AND(ISNUMBER($CS844),N($CS844)&lt;=mMatWindow),1,0)</f>
        <v/>
      </c>
      <c r="CU844" s="80">
        <f>IF(ISNUMBER($J844),$J844/100,"")</f>
        <v/>
      </c>
      <c r="CV844" s="81">
        <f>IF(ISNUMBER($AQ844),$AQ844,"")</f>
        <v/>
      </c>
      <c r="CW844" s="81">
        <f>IF(ISNUMBER($AR844),$AR844,"")</f>
        <v/>
      </c>
      <c r="CX844" s="82">
        <f>IF(ISNUMBER($AS844),$AS844/100,"")</f>
        <v/>
      </c>
      <c r="CY844" s="82">
        <f>IF(ISNUMBER($AT844),$AT844/100,"")</f>
        <v/>
      </c>
      <c r="CZ844" s="82">
        <f>IF(ISNUMBER($AU844),$AU844/100,"")</f>
        <v/>
      </c>
      <c r="DA844" s="82">
        <f>IF(ISNUMBER($AV844),$AV844/100,"")</f>
        <v/>
      </c>
      <c r="DB844" s="82">
        <f>IF(ISNUMBER($AW844),$AW844/100,"")</f>
        <v/>
      </c>
      <c r="DC844" s="82">
        <f>IF(ISNUMBER($AX844),$AX844/100,"")</f>
        <v/>
      </c>
      <c r="DD844" s="77">
        <f>IFERROR(VALUE(LEFT(TRIM($AO844&amp;""),4)),"")</f>
        <v/>
      </c>
      <c r="DE844" s="78">
        <f>IF(AND($BY844=1,$BX844=1,OR(fDeal="All Deals",$BU844=fDeal),OR(fEntity="All Entities",$BV844=fEntity),OR(fPType="All Property Types",$BZ844=fPType),OR(fDefeased="Include",$CJ844=0)),1,0)</f>
        <v/>
      </c>
      <c r="DF844" s="83">
        <f>$DE844*N($I844)</f>
        <v/>
      </c>
      <c r="DG844" s="78">
        <f>IF($DE844=1,IF(COUNTIFS($F$8:$F844,$F844,$DE$8:$DE844,1)=1,1,0),0)</f>
        <v/>
      </c>
      <c r="DH844" s="83">
        <f>IF($DG844=1,SUMIFS($DF$8:$DF$1600,$F$8:$F$1600,$F844),0)</f>
        <v/>
      </c>
      <c r="DI844" s="78">
        <f>IF($DG844=1,COUNTIFS($F$8:$F$1600,$F844,$DE$8:$DE$1600,1),0)</f>
        <v/>
      </c>
      <c r="DJ844" s="84">
        <f>IF($DG844=1,$DH844+(100000-ROW())/mTieBreak,0)</f>
        <v/>
      </c>
    </row>
    <row r="845">
      <c r="B845" s="68" t="n">
        <v>30</v>
      </c>
      <c r="C845" s="69" t="inlineStr">
        <is>
          <t>DBJ17C06</t>
        </is>
      </c>
      <c r="D845" s="69" t="inlineStr">
        <is>
          <t>30.000</t>
        </is>
      </c>
      <c r="E845" s="69" t="inlineStr">
        <is>
          <t>Springhill Suites Wilmington Mayfaire</t>
        </is>
      </c>
      <c r="F845" s="69" t="inlineStr">
        <is>
          <t>LNDBJ17C06-30.000</t>
        </is>
      </c>
      <c r="G845" s="70" t="n"/>
      <c r="H845" s="71" t="n">
        <v>11268000</v>
      </c>
      <c r="I845" s="71" t="n">
        <v>0</v>
      </c>
      <c r="J845" s="72" t="n">
        <v>4.49</v>
      </c>
      <c r="K845" s="69" t="inlineStr">
        <is>
          <t>Fixed rate</t>
        </is>
      </c>
      <c r="L845" s="68" t="n">
        <v>84</v>
      </c>
      <c r="M845" s="68" t="n"/>
      <c r="N845" s="68" t="n">
        <v>396</v>
      </c>
      <c r="O845" s="68" t="n">
        <v>36</v>
      </c>
      <c r="P845" s="68" t="n"/>
      <c r="Q845" s="68" t="n"/>
      <c r="R845" s="69" t="inlineStr">
        <is>
          <t>IO then Amort</t>
        </is>
      </c>
      <c r="S845" s="69" t="inlineStr">
        <is>
          <t>No</t>
        </is>
      </c>
      <c r="T845" s="73" t="n">
        <v>42887</v>
      </c>
      <c r="U845" s="73" t="n">
        <v>45444</v>
      </c>
      <c r="V845" s="73" t="n"/>
      <c r="W845" s="69" t="n"/>
      <c r="X845" s="69" t="inlineStr">
        <is>
          <t>Current</t>
        </is>
      </c>
      <c r="Y845" s="68" t="n"/>
      <c r="Z845" s="69" t="inlineStr">
        <is>
          <t>Defeasance Not Allowable</t>
        </is>
      </c>
      <c r="AA845" s="69" t="inlineStr">
        <is>
          <t>Previously</t>
        </is>
      </c>
      <c r="AB845" s="69" t="inlineStr">
        <is>
          <t>Never special serv</t>
        </is>
      </c>
      <c r="AC845" s="73" t="n"/>
      <c r="AD845" s="69" t="n"/>
      <c r="AE845" s="69" t="n"/>
      <c r="AF845" s="69" t="inlineStr">
        <is>
          <t>NC</t>
        </is>
      </c>
      <c r="AG845" s="69" t="inlineStr">
        <is>
          <t>Wilmington</t>
        </is>
      </c>
      <c r="AH845" s="69" t="inlineStr">
        <is>
          <t>Wilmington, NC</t>
        </is>
      </c>
      <c r="AI845" s="69" t="inlineStr">
        <is>
          <t>South / Atlantic</t>
        </is>
      </c>
      <c r="AJ845" s="69" t="inlineStr">
        <is>
          <t>HT</t>
        </is>
      </c>
      <c r="AK845" s="69" t="inlineStr">
        <is>
          <t>Limited Service</t>
        </is>
      </c>
      <c r="AL845" s="68" t="n">
        <v>1</v>
      </c>
      <c r="AM845" s="68" t="n">
        <v>120</v>
      </c>
      <c r="AN845" s="68" t="n"/>
      <c r="AO845" s="69" t="inlineStr">
        <is>
          <t>2015</t>
        </is>
      </c>
      <c r="AP845" s="70" t="n">
        <v>2015</v>
      </c>
      <c r="AQ845" s="74" t="n">
        <v>2.05</v>
      </c>
      <c r="AR845" s="74" t="n">
        <v>1.9</v>
      </c>
      <c r="AS845" s="74" t="n">
        <v>62.6</v>
      </c>
      <c r="AT845" s="74" t="n"/>
      <c r="AU845" s="74" t="n">
        <v>58.4</v>
      </c>
      <c r="AV845" s="74" t="n">
        <v>12.429570465</v>
      </c>
      <c r="AW845" s="74" t="n"/>
      <c r="AX845" s="75" t="n">
        <v>68</v>
      </c>
      <c r="AY845" s="71" t="n">
        <v>18000000</v>
      </c>
      <c r="AZ845" s="71" t="n">
        <v>18000000</v>
      </c>
      <c r="BA845" s="71" t="n">
        <v>1400564</v>
      </c>
      <c r="BB845" s="71" t="n">
        <v>1301492.65</v>
      </c>
      <c r="BC845" s="69" t="inlineStr">
        <is>
          <t>Acquisition</t>
        </is>
      </c>
      <c r="BD845" s="69" t="inlineStr">
        <is>
          <t>N</t>
        </is>
      </c>
      <c r="BE845" s="71" t="n"/>
      <c r="BF845" s="71" t="n"/>
      <c r="BG845" s="71" t="n"/>
      <c r="BH845" s="71" t="n">
        <v>0</v>
      </c>
      <c r="BI845" s="71" t="n">
        <v>0</v>
      </c>
      <c r="BJ845" s="69" t="inlineStr">
        <is>
          <t>N</t>
        </is>
      </c>
      <c r="BK845" s="69" t="n"/>
      <c r="BL845" s="75" t="n"/>
      <c r="BM845" s="73" t="n"/>
      <c r="BN845" s="69" t="inlineStr">
        <is>
          <t>TH Investment Holdings II, LLC</t>
        </is>
      </c>
      <c r="BO845" s="69" t="inlineStr">
        <is>
          <t>JPMorgan Chase</t>
        </is>
      </c>
      <c r="BP845" s="69" t="inlineStr">
        <is>
          <t>Midland Loan Services</t>
        </is>
      </c>
      <c r="BQ845" s="69" t="inlineStr">
        <is>
          <t>K-Star Asset Management LLC</t>
        </is>
      </c>
      <c r="BR845" s="69" t="inlineStr">
        <is>
          <t>Payoff Prior To Maturity</t>
        </is>
      </c>
      <c r="BS845" s="73" t="n">
        <v>45418</v>
      </c>
      <c r="BU845" s="76">
        <f>IF($C845="","",IFERROR(INDEX(dmName,MATCH($C845,dmID,0)),"Unmapped"))</f>
        <v/>
      </c>
      <c r="BV845" s="76">
        <f>IF($C845="","",IFERROR(INDEX(dmEntity,MATCH($C845,dmID,0)),"Unmapped"))</f>
        <v/>
      </c>
      <c r="BW845" s="77">
        <f>IF($C845="","",IFERROR(INDEX(dmVintage,MATCH($C845,dmID,0)),""))</f>
        <v/>
      </c>
      <c r="BX845" s="78">
        <f>IFERROR(INDEX(dmInclude,MATCH($C845,dmID,0)),0)</f>
        <v/>
      </c>
      <c r="BY845" s="78">
        <f>IF(N($I845)&gt;0,1,0)</f>
        <v/>
      </c>
      <c r="BZ845" s="76">
        <f>IF($AJ845="","Other / Leased Fee",IFERROR(INDEX(mapPTGroup,MATCH(LEFT(TRIM($AJ845),2),mapPTCode,0)),"Other / Leased Fee"))</f>
        <v/>
      </c>
      <c r="CA845" s="76">
        <f>IF(TRIM($AF845&amp;"")="","NR",LEFT(TRIM($AF845),2))</f>
        <v/>
      </c>
      <c r="CB845" s="76">
        <f>IFERROR(LOOKUP(2,1/(LEFT(TRIM($AI845&amp;""),LEN(mapRegion))=mapRegion),mapRegion),"Not Reported")</f>
        <v/>
      </c>
      <c r="CC845" s="76">
        <f>IF($BY845=0,"",IF(TRIM($W845&amp;"")="REO","REO",IF(TRIM($W845&amp;"")="FC","Foreclosure",IF(TRIM($W845&amp;"")="90+","90+ Days Delinquent",IF(TRIM($W845&amp;"")="60","60 Days Delinquent",IF(TRIM($W845&amp;"")="30","30 Days Delinquent",IF($X845="Non-Performing Matured Balloon","Non-Performing Matured Balloon",IF(OR($X845="Late Payment But Less Than 30 Days Delinquent",LEFT($X845&amp;"",20)="Payment Not Received"),"Late / In Grace (&lt;30 Days)",IF($X845="Performing Matured Balloon","Performing Matured Balloon","Current")))))))))</f>
        <v/>
      </c>
      <c r="CD845" s="78">
        <f>IF(OR($CC845="REO",$CC845="Foreclosure",$CC845="90+ Days Delinquent",$CC845="60 Days Delinquent",$CC845="30 Days Delinquent",$CC845="Non-Performing Matured Balloon"),1,0)</f>
        <v/>
      </c>
      <c r="CE845" s="76">
        <f>IF($AB845="Currently special serv","Currently Specially Serviced",IF($AB845="Returned to master serv","Previously Specially Serviced","Never Specially Serviced"))</f>
        <v/>
      </c>
      <c r="CF845" s="78">
        <f>IF($CE845="Currently Specially Serviced",1,0)</f>
        <v/>
      </c>
      <c r="CG845" s="76">
        <f>IF($AA845="Yes","Currently on Watchlist",IF($AA845="Previously","Previously on Watchlist","Never on Watchlist"))</f>
        <v/>
      </c>
      <c r="CH845" s="78">
        <f>IF($CG845="Currently on Watchlist",1,0)</f>
        <v/>
      </c>
      <c r="CI845" s="76">
        <f>IF($Z845="Full Defeasance","Fully Defeased",IF($Z845="Portion Of Loan Previously Defeased","Partially Defeased",IF($Z845="Defeasance Not Allowable","Not Defeased (Not Permitted)","Not Defeased")))</f>
        <v/>
      </c>
      <c r="CJ845" s="78">
        <f>IF($CI845="Fully Defeased",1,0)</f>
        <v/>
      </c>
      <c r="CK845" s="76">
        <f>IF($R845="IO","Full IO",IF(LEFT($R845&amp;"",7)="IO then","Partial IO","Amortizing"))</f>
        <v/>
      </c>
      <c r="CL845" s="78">
        <f>IF($CK845="Full IO",1,0)</f>
        <v/>
      </c>
      <c r="CM845" s="78">
        <f>IF($CK845="Partial IO",1,0)</f>
        <v/>
      </c>
      <c r="CN845" s="76">
        <f>IF(LEFT($F845&amp;"",10)="SPLIT_LOAN","Pari Passu Split","Standalone")</f>
        <v/>
      </c>
      <c r="CO845" s="78">
        <f>IF($CN845="Pari Passu Split",1,0)</f>
        <v/>
      </c>
      <c r="CP845" s="77">
        <f>IF(ISNUMBER($T845),YEAR($T845),"")</f>
        <v/>
      </c>
      <c r="CQ845" s="79">
        <f>IF(ISNUMBER($V845),$V845,IF(ISNUMBER($U845),$U845,""))</f>
        <v/>
      </c>
      <c r="CR845" s="77">
        <f>IF(ISNUMBER($CQ845),YEAR($CQ845),"")</f>
        <v/>
      </c>
      <c r="CS845" s="78">
        <f>IF(ISNUMBER($M845),MAX(0,$M845),IF(TRIM($M845&amp;"")="matured",0,""))</f>
        <v/>
      </c>
      <c r="CT845" s="78">
        <f>IF(AND(ISNUMBER($CS845),N($CS845)&lt;=mMatWindow),1,0)</f>
        <v/>
      </c>
      <c r="CU845" s="80">
        <f>IF(ISNUMBER($J845),$J845/100,"")</f>
        <v/>
      </c>
      <c r="CV845" s="81">
        <f>IF(ISNUMBER($AQ845),$AQ845,"")</f>
        <v/>
      </c>
      <c r="CW845" s="81">
        <f>IF(ISNUMBER($AR845),$AR845,"")</f>
        <v/>
      </c>
      <c r="CX845" s="82">
        <f>IF(ISNUMBER($AS845),$AS845/100,"")</f>
        <v/>
      </c>
      <c r="CY845" s="82">
        <f>IF(ISNUMBER($AT845),$AT845/100,"")</f>
        <v/>
      </c>
      <c r="CZ845" s="82">
        <f>IF(ISNUMBER($AU845),$AU845/100,"")</f>
        <v/>
      </c>
      <c r="DA845" s="82">
        <f>IF(ISNUMBER($AV845),$AV845/100,"")</f>
        <v/>
      </c>
      <c r="DB845" s="82">
        <f>IF(ISNUMBER($AW845),$AW845/100,"")</f>
        <v/>
      </c>
      <c r="DC845" s="82">
        <f>IF(ISNUMBER($AX845),$AX845/100,"")</f>
        <v/>
      </c>
      <c r="DD845" s="77">
        <f>IFERROR(VALUE(LEFT(TRIM($AO845&amp;""),4)),"")</f>
        <v/>
      </c>
      <c r="DE845" s="78">
        <f>IF(AND($BY845=1,$BX845=1,OR(fDeal="All Deals",$BU845=fDeal),OR(fEntity="All Entities",$BV845=fEntity),OR(fPType="All Property Types",$BZ845=fPType),OR(fDefeased="Include",$CJ845=0)),1,0)</f>
        <v/>
      </c>
      <c r="DF845" s="83">
        <f>$DE845*N($I845)</f>
        <v/>
      </c>
      <c r="DG845" s="78">
        <f>IF($DE845=1,IF(COUNTIFS($F$8:$F845,$F845,$DE$8:$DE845,1)=1,1,0),0)</f>
        <v/>
      </c>
      <c r="DH845" s="83">
        <f>IF($DG845=1,SUMIFS($DF$8:$DF$1600,$F$8:$F$1600,$F845),0)</f>
        <v/>
      </c>
      <c r="DI845" s="78">
        <f>IF($DG845=1,COUNTIFS($F$8:$F$1600,$F845,$DE$8:$DE$1600,1),0)</f>
        <v/>
      </c>
      <c r="DJ845" s="84">
        <f>IF($DG845=1,$DH845+(100000-ROW())/mTieBreak,0)</f>
        <v/>
      </c>
    </row>
    <row r="846">
      <c r="B846" s="68" t="n">
        <v>31</v>
      </c>
      <c r="C846" s="69" t="inlineStr">
        <is>
          <t>DBJ17C06</t>
        </is>
      </c>
      <c r="D846" s="69" t="inlineStr">
        <is>
          <t>31.000</t>
        </is>
      </c>
      <c r="E846" s="69" t="inlineStr">
        <is>
          <t>Long Meadow Farms</t>
        </is>
      </c>
      <c r="F846" s="69" t="inlineStr">
        <is>
          <t>LNDBJ17C06-31.000</t>
        </is>
      </c>
      <c r="G846" s="70" t="n"/>
      <c r="H846" s="71" t="n">
        <v>10400000</v>
      </c>
      <c r="I846" s="71" t="n">
        <v>0</v>
      </c>
      <c r="J846" s="72" t="n">
        <v>4.73</v>
      </c>
      <c r="K846" s="69" t="inlineStr">
        <is>
          <t>Fixed rate</t>
        </is>
      </c>
      <c r="L846" s="68" t="n">
        <v>120</v>
      </c>
      <c r="M846" s="68" t="n"/>
      <c r="N846" s="68" t="n">
        <v>360</v>
      </c>
      <c r="O846" s="68" t="n"/>
      <c r="P846" s="68" t="n"/>
      <c r="Q846" s="68" t="n"/>
      <c r="R846" s="69" t="n"/>
      <c r="S846" s="69" t="inlineStr">
        <is>
          <t>No</t>
        </is>
      </c>
      <c r="T846" s="73" t="n">
        <v>42887</v>
      </c>
      <c r="U846" s="73" t="n">
        <v>46539</v>
      </c>
      <c r="V846" s="73" t="n"/>
      <c r="W846" s="69" t="n"/>
      <c r="X846" s="69" t="inlineStr">
        <is>
          <t>Current</t>
        </is>
      </c>
      <c r="Y846" s="68" t="n"/>
      <c r="Z846" s="69" t="inlineStr">
        <is>
          <t>No Defeasance Occurred</t>
        </is>
      </c>
      <c r="AA846" s="69" t="inlineStr">
        <is>
          <t>Previously</t>
        </is>
      </c>
      <c r="AB846" s="69" t="inlineStr">
        <is>
          <t>Currently special serv</t>
        </is>
      </c>
      <c r="AC846" s="73" t="n">
        <v>43956</v>
      </c>
      <c r="AD846" s="69" t="inlineStr">
        <is>
          <t>Payment Default (all payments excluding Balloon/Maturity Payment)</t>
        </is>
      </c>
      <c r="AE846" s="69" t="inlineStr">
        <is>
          <t>Resolved</t>
        </is>
      </c>
      <c r="AF846" s="69" t="inlineStr">
        <is>
          <t>TX</t>
        </is>
      </c>
      <c r="AG846" s="69" t="inlineStr">
        <is>
          <t>Richmond</t>
        </is>
      </c>
      <c r="AH846" s="69" t="inlineStr">
        <is>
          <t>Houston-Pasadena-The Woodlands, TX</t>
        </is>
      </c>
      <c r="AI846" s="69" t="inlineStr">
        <is>
          <t>South / Central West</t>
        </is>
      </c>
      <c r="AJ846" s="69" t="inlineStr">
        <is>
          <t>RT</t>
        </is>
      </c>
      <c r="AK846" s="69" t="inlineStr">
        <is>
          <t>Unanchored</t>
        </is>
      </c>
      <c r="AL846" s="68" t="n">
        <v>1</v>
      </c>
      <c r="AM846" s="68" t="n"/>
      <c r="AN846" s="68" t="n">
        <v>39175</v>
      </c>
      <c r="AO846" s="69" t="inlineStr">
        <is>
          <t>2015</t>
        </is>
      </c>
      <c r="AP846" s="70" t="n">
        <v>2015</v>
      </c>
      <c r="AQ846" s="74" t="n">
        <v>1.5</v>
      </c>
      <c r="AR846" s="74" t="n">
        <v>0.22</v>
      </c>
      <c r="AS846" s="74" t="n">
        <v>69.7</v>
      </c>
      <c r="AT846" s="74" t="n"/>
      <c r="AU846" s="74" t="n">
        <v>56.8</v>
      </c>
      <c r="AV846" s="74" t="n">
        <v>9.345567308</v>
      </c>
      <c r="AW846" s="74" t="n"/>
      <c r="AX846" s="75" t="n">
        <v>52</v>
      </c>
      <c r="AY846" s="71" t="n">
        <v>14930000</v>
      </c>
      <c r="AZ846" s="71" t="n">
        <v>11475000</v>
      </c>
      <c r="BA846" s="71" t="n">
        <v>971939</v>
      </c>
      <c r="BB846" s="71" t="n">
        <v>141166.36</v>
      </c>
      <c r="BC846" s="69" t="inlineStr">
        <is>
          <t>Refinance</t>
        </is>
      </c>
      <c r="BD846" s="69" t="inlineStr">
        <is>
          <t>N</t>
        </is>
      </c>
      <c r="BE846" s="71" t="n"/>
      <c r="BF846" s="71" t="n"/>
      <c r="BG846" s="71" t="n"/>
      <c r="BH846" s="71" t="n">
        <v>0</v>
      </c>
      <c r="BI846" s="71" t="n">
        <v>0</v>
      </c>
      <c r="BJ846" s="69" t="inlineStr">
        <is>
          <t>N</t>
        </is>
      </c>
      <c r="BK846" s="69" t="inlineStr">
        <is>
          <t>HC&amp;K LLC</t>
        </is>
      </c>
      <c r="BL846" s="75" t="n">
        <v>10.98</v>
      </c>
      <c r="BM846" s="73" t="n">
        <v>47299</v>
      </c>
      <c r="BN846" s="69" t="inlineStr">
        <is>
          <t>Patricia Hamilton</t>
        </is>
      </c>
      <c r="BO846" s="69" t="inlineStr">
        <is>
          <t>JPMorgan Chase</t>
        </is>
      </c>
      <c r="BP846" s="69" t="inlineStr">
        <is>
          <t>Midland Loan Services</t>
        </is>
      </c>
      <c r="BQ846" s="69" t="inlineStr">
        <is>
          <t>K-Star Asset Management LLC</t>
        </is>
      </c>
      <c r="BR846" s="69" t="inlineStr">
        <is>
          <t>Partial Liquidation (Curtailment)</t>
        </is>
      </c>
      <c r="BS846" s="73" t="n">
        <v>46273</v>
      </c>
      <c r="BU846" s="76">
        <f>IF($C846="","",IFERROR(INDEX(dmName,MATCH($C846,dmID,0)),"Unmapped"))</f>
        <v/>
      </c>
      <c r="BV846" s="76">
        <f>IF($C846="","",IFERROR(INDEX(dmEntity,MATCH($C846,dmID,0)),"Unmapped"))</f>
        <v/>
      </c>
      <c r="BW846" s="77">
        <f>IF($C846="","",IFERROR(INDEX(dmVintage,MATCH($C846,dmID,0)),""))</f>
        <v/>
      </c>
      <c r="BX846" s="78">
        <f>IFERROR(INDEX(dmInclude,MATCH($C846,dmID,0)),0)</f>
        <v/>
      </c>
      <c r="BY846" s="78">
        <f>IF(N($I846)&gt;0,1,0)</f>
        <v/>
      </c>
      <c r="BZ846" s="76">
        <f>IF($AJ846="","Other / Leased Fee",IFERROR(INDEX(mapPTGroup,MATCH(LEFT(TRIM($AJ846),2),mapPTCode,0)),"Other / Leased Fee"))</f>
        <v/>
      </c>
      <c r="CA846" s="76">
        <f>IF(TRIM($AF846&amp;"")="","NR",LEFT(TRIM($AF846),2))</f>
        <v/>
      </c>
      <c r="CB846" s="76">
        <f>IFERROR(LOOKUP(2,1/(LEFT(TRIM($AI846&amp;""),LEN(mapRegion))=mapRegion),mapRegion),"Not Reported")</f>
        <v/>
      </c>
      <c r="CC846" s="76">
        <f>IF($BY846=0,"",IF(TRIM($W846&amp;"")="REO","REO",IF(TRIM($W846&amp;"")="FC","Foreclosure",IF(TRIM($W846&amp;"")="90+","90+ Days Delinquent",IF(TRIM($W846&amp;"")="60","60 Days Delinquent",IF(TRIM($W846&amp;"")="30","30 Days Delinquent",IF($X846="Non-Performing Matured Balloon","Non-Performing Matured Balloon",IF(OR($X846="Late Payment But Less Than 30 Days Delinquent",LEFT($X846&amp;"",20)="Payment Not Received"),"Late / In Grace (&lt;30 Days)",IF($X846="Performing Matured Balloon","Performing Matured Balloon","Current")))))))))</f>
        <v/>
      </c>
      <c r="CD846" s="78">
        <f>IF(OR($CC846="REO",$CC846="Foreclosure",$CC846="90+ Days Delinquent",$CC846="60 Days Delinquent",$CC846="30 Days Delinquent",$CC846="Non-Performing Matured Balloon"),1,0)</f>
        <v/>
      </c>
      <c r="CE846" s="76">
        <f>IF($AB846="Currently special serv","Currently Specially Serviced",IF($AB846="Returned to master serv","Previously Specially Serviced","Never Specially Serviced"))</f>
        <v/>
      </c>
      <c r="CF846" s="78">
        <f>IF($CE846="Currently Specially Serviced",1,0)</f>
        <v/>
      </c>
      <c r="CG846" s="76">
        <f>IF($AA846="Yes","Currently on Watchlist",IF($AA846="Previously","Previously on Watchlist","Never on Watchlist"))</f>
        <v/>
      </c>
      <c r="CH846" s="78">
        <f>IF($CG846="Currently on Watchlist",1,0)</f>
        <v/>
      </c>
      <c r="CI846" s="76">
        <f>IF($Z846="Full Defeasance","Fully Defeased",IF($Z846="Portion Of Loan Previously Defeased","Partially Defeased",IF($Z846="Defeasance Not Allowable","Not Defeased (Not Permitted)","Not Defeased")))</f>
        <v/>
      </c>
      <c r="CJ846" s="78">
        <f>IF($CI846="Fully Defeased",1,0)</f>
        <v/>
      </c>
      <c r="CK846" s="76">
        <f>IF($R846="IO","Full IO",IF(LEFT($R846&amp;"",7)="IO then","Partial IO","Amortizing"))</f>
        <v/>
      </c>
      <c r="CL846" s="78">
        <f>IF($CK846="Full IO",1,0)</f>
        <v/>
      </c>
      <c r="CM846" s="78">
        <f>IF($CK846="Partial IO",1,0)</f>
        <v/>
      </c>
      <c r="CN846" s="76">
        <f>IF(LEFT($F846&amp;"",10)="SPLIT_LOAN","Pari Passu Split","Standalone")</f>
        <v/>
      </c>
      <c r="CO846" s="78">
        <f>IF($CN846="Pari Passu Split",1,0)</f>
        <v/>
      </c>
      <c r="CP846" s="77">
        <f>IF(ISNUMBER($T846),YEAR($T846),"")</f>
        <v/>
      </c>
      <c r="CQ846" s="79">
        <f>IF(ISNUMBER($V846),$V846,IF(ISNUMBER($U846),$U846,""))</f>
        <v/>
      </c>
      <c r="CR846" s="77">
        <f>IF(ISNUMBER($CQ846),YEAR($CQ846),"")</f>
        <v/>
      </c>
      <c r="CS846" s="78">
        <f>IF(ISNUMBER($M846),MAX(0,$M846),IF(TRIM($M846&amp;"")="matured",0,""))</f>
        <v/>
      </c>
      <c r="CT846" s="78">
        <f>IF(AND(ISNUMBER($CS846),N($CS846)&lt;=mMatWindow),1,0)</f>
        <v/>
      </c>
      <c r="CU846" s="80">
        <f>IF(ISNUMBER($J846),$J846/100,"")</f>
        <v/>
      </c>
      <c r="CV846" s="81">
        <f>IF(ISNUMBER($AQ846),$AQ846,"")</f>
        <v/>
      </c>
      <c r="CW846" s="81">
        <f>IF(ISNUMBER($AR846),$AR846,"")</f>
        <v/>
      </c>
      <c r="CX846" s="82">
        <f>IF(ISNUMBER($AS846),$AS846/100,"")</f>
        <v/>
      </c>
      <c r="CY846" s="82">
        <f>IF(ISNUMBER($AT846),$AT846/100,"")</f>
        <v/>
      </c>
      <c r="CZ846" s="82">
        <f>IF(ISNUMBER($AU846),$AU846/100,"")</f>
        <v/>
      </c>
      <c r="DA846" s="82">
        <f>IF(ISNUMBER($AV846),$AV846/100,"")</f>
        <v/>
      </c>
      <c r="DB846" s="82">
        <f>IF(ISNUMBER($AW846),$AW846/100,"")</f>
        <v/>
      </c>
      <c r="DC846" s="82">
        <f>IF(ISNUMBER($AX846),$AX846/100,"")</f>
        <v/>
      </c>
      <c r="DD846" s="77">
        <f>IFERROR(VALUE(LEFT(TRIM($AO846&amp;""),4)),"")</f>
        <v/>
      </c>
      <c r="DE846" s="78">
        <f>IF(AND($BY846=1,$BX846=1,OR(fDeal="All Deals",$BU846=fDeal),OR(fEntity="All Entities",$BV846=fEntity),OR(fPType="All Property Types",$BZ846=fPType),OR(fDefeased="Include",$CJ846=0)),1,0)</f>
        <v/>
      </c>
      <c r="DF846" s="83">
        <f>$DE846*N($I846)</f>
        <v/>
      </c>
      <c r="DG846" s="78">
        <f>IF($DE846=1,IF(COUNTIFS($F$8:$F846,$F846,$DE$8:$DE846,1)=1,1,0),0)</f>
        <v/>
      </c>
      <c r="DH846" s="83">
        <f>IF($DG846=1,SUMIFS($DF$8:$DF$1600,$F$8:$F$1600,$F846),0)</f>
        <v/>
      </c>
      <c r="DI846" s="78">
        <f>IF($DG846=1,COUNTIFS($F$8:$F$1600,$F846,$DE$8:$DE$1600,1),0)</f>
        <v/>
      </c>
      <c r="DJ846" s="84">
        <f>IF($DG846=1,$DH846+(100000-ROW())/mTieBreak,0)</f>
        <v/>
      </c>
    </row>
    <row r="847">
      <c r="B847" s="68" t="n">
        <v>32</v>
      </c>
      <c r="C847" s="69" t="inlineStr">
        <is>
          <t>DBJ17C06</t>
        </is>
      </c>
      <c r="D847" s="69" t="inlineStr">
        <is>
          <t>32.000</t>
        </is>
      </c>
      <c r="E847" s="69" t="inlineStr">
        <is>
          <t>2215 Broadway</t>
        </is>
      </c>
      <c r="F847" s="69" t="inlineStr">
        <is>
          <t>LNDBJ17C06-32.000</t>
        </is>
      </c>
      <c r="G847" s="70" t="n"/>
      <c r="H847" s="71" t="n">
        <v>10000000</v>
      </c>
      <c r="I847" s="71" t="n">
        <v>8386528.270000001</v>
      </c>
      <c r="J847" s="72" t="n">
        <v>4.99</v>
      </c>
      <c r="K847" s="69" t="inlineStr">
        <is>
          <t>Fixed rate</t>
        </is>
      </c>
      <c r="L847" s="68" t="n">
        <v>120</v>
      </c>
      <c r="M847" s="68" t="n">
        <v>9</v>
      </c>
      <c r="N847" s="68" t="n">
        <v>360</v>
      </c>
      <c r="O847" s="68" t="n"/>
      <c r="P847" s="68" t="n"/>
      <c r="Q847" s="68" t="n">
        <v>111</v>
      </c>
      <c r="R847" s="69" t="n"/>
      <c r="S847" s="69" t="inlineStr">
        <is>
          <t>No</t>
        </is>
      </c>
      <c r="T847" s="73" t="n">
        <v>42887</v>
      </c>
      <c r="U847" s="73" t="n">
        <v>46544</v>
      </c>
      <c r="V847" s="73" t="n"/>
      <c r="W847" s="69" t="n"/>
      <c r="X847" s="69" t="inlineStr">
        <is>
          <t>Current</t>
        </is>
      </c>
      <c r="Y847" s="68" t="n"/>
      <c r="Z847" s="69" t="inlineStr">
        <is>
          <t>No Defeasance Occurred</t>
        </is>
      </c>
      <c r="AA847" s="69" t="inlineStr">
        <is>
          <t>Yes</t>
        </is>
      </c>
      <c r="AB847" s="69" t="inlineStr">
        <is>
          <t>Never special serv</t>
        </is>
      </c>
      <c r="AC847" s="73" t="n"/>
      <c r="AD847" s="69" t="n"/>
      <c r="AE847" s="69" t="n"/>
      <c r="AF847" s="69" t="inlineStr">
        <is>
          <t>CA</t>
        </is>
      </c>
      <c r="AG847" s="69" t="inlineStr">
        <is>
          <t>Redwood City</t>
        </is>
      </c>
      <c r="AH847" s="69" t="inlineStr">
        <is>
          <t>San Francisco-Oakland-Fremont, CA</t>
        </is>
      </c>
      <c r="AI847" s="69" t="inlineStr">
        <is>
          <t>West / Pacific North</t>
        </is>
      </c>
      <c r="AJ847" s="69" t="inlineStr">
        <is>
          <t>MX</t>
        </is>
      </c>
      <c r="AK847" s="69" t="inlineStr">
        <is>
          <t>Office/Retail</t>
        </is>
      </c>
      <c r="AL847" s="68" t="n">
        <v>1</v>
      </c>
      <c r="AM847" s="68" t="n"/>
      <c r="AN847" s="68" t="n">
        <v>39662</v>
      </c>
      <c r="AO847" s="69" t="inlineStr">
        <is>
          <t>1928</t>
        </is>
      </c>
      <c r="AP847" s="70" t="n">
        <v>2014</v>
      </c>
      <c r="AQ847" s="74" t="n">
        <v>1.28</v>
      </c>
      <c r="AR847" s="74" t="n">
        <v>0.38</v>
      </c>
      <c r="AS847" s="74" t="n">
        <v>54.3</v>
      </c>
      <c r="AT847" s="74" t="n">
        <v>45.58</v>
      </c>
      <c r="AU847" s="74" t="n">
        <v>44.7</v>
      </c>
      <c r="AV847" s="74" t="n">
        <v>8.2183096</v>
      </c>
      <c r="AW847" s="74" t="n">
        <v>5.157973312</v>
      </c>
      <c r="AX847" s="75" t="n">
        <v>80</v>
      </c>
      <c r="AY847" s="71" t="n">
        <v>18400000</v>
      </c>
      <c r="AZ847" s="71" t="n">
        <v>18400000</v>
      </c>
      <c r="BA847" s="71" t="n">
        <v>821830.96</v>
      </c>
      <c r="BB847" s="71" t="n">
        <v>60634.03</v>
      </c>
      <c r="BC847" s="69" t="inlineStr">
        <is>
          <t>Refinance</t>
        </is>
      </c>
      <c r="BD847" s="69" t="inlineStr">
        <is>
          <t>N</t>
        </is>
      </c>
      <c r="BE847" s="71" t="n"/>
      <c r="BF847" s="71" t="n"/>
      <c r="BG847" s="71" t="n"/>
      <c r="BH847" s="71" t="n">
        <v>0</v>
      </c>
      <c r="BI847" s="71" t="n">
        <v>0</v>
      </c>
      <c r="BJ847" s="69" t="inlineStr">
        <is>
          <t>N</t>
        </is>
      </c>
      <c r="BK847" s="69" t="inlineStr">
        <is>
          <t>Fox Theatre Property LLC</t>
        </is>
      </c>
      <c r="BL847" s="75" t="n">
        <v>60.38</v>
      </c>
      <c r="BM847" s="73" t="n">
        <v>47483</v>
      </c>
      <c r="BN847" s="69" t="inlineStr">
        <is>
          <t>Peter Pau</t>
        </is>
      </c>
      <c r="BO847" s="69" t="inlineStr">
        <is>
          <t>GACC</t>
        </is>
      </c>
      <c r="BP847" s="69" t="inlineStr">
        <is>
          <t>Midland Loan Services</t>
        </is>
      </c>
      <c r="BQ847" s="69" t="inlineStr">
        <is>
          <t>K-Star Asset Management LLC</t>
        </is>
      </c>
      <c r="BR847" s="69" t="n"/>
      <c r="BS847" s="73" t="n">
        <v>46273</v>
      </c>
      <c r="BU847" s="76">
        <f>IF($C847="","",IFERROR(INDEX(dmName,MATCH($C847,dmID,0)),"Unmapped"))</f>
        <v/>
      </c>
      <c r="BV847" s="76">
        <f>IF($C847="","",IFERROR(INDEX(dmEntity,MATCH($C847,dmID,0)),"Unmapped"))</f>
        <v/>
      </c>
      <c r="BW847" s="77">
        <f>IF($C847="","",IFERROR(INDEX(dmVintage,MATCH($C847,dmID,0)),""))</f>
        <v/>
      </c>
      <c r="BX847" s="78">
        <f>IFERROR(INDEX(dmInclude,MATCH($C847,dmID,0)),0)</f>
        <v/>
      </c>
      <c r="BY847" s="78">
        <f>IF(N($I847)&gt;0,1,0)</f>
        <v/>
      </c>
      <c r="BZ847" s="76">
        <f>IF($AJ847="","Other / Leased Fee",IFERROR(INDEX(mapPTGroup,MATCH(LEFT(TRIM($AJ847),2),mapPTCode,0)),"Other / Leased Fee"))</f>
        <v/>
      </c>
      <c r="CA847" s="76">
        <f>IF(TRIM($AF847&amp;"")="","NR",LEFT(TRIM($AF847),2))</f>
        <v/>
      </c>
      <c r="CB847" s="76">
        <f>IFERROR(LOOKUP(2,1/(LEFT(TRIM($AI847&amp;""),LEN(mapRegion))=mapRegion),mapRegion),"Not Reported")</f>
        <v/>
      </c>
      <c r="CC847" s="76">
        <f>IF($BY847=0,"",IF(TRIM($W847&amp;"")="REO","REO",IF(TRIM($W847&amp;"")="FC","Foreclosure",IF(TRIM($W847&amp;"")="90+","90+ Days Delinquent",IF(TRIM($W847&amp;"")="60","60 Days Delinquent",IF(TRIM($W847&amp;"")="30","30 Days Delinquent",IF($X847="Non-Performing Matured Balloon","Non-Performing Matured Balloon",IF(OR($X847="Late Payment But Less Than 30 Days Delinquent",LEFT($X847&amp;"",20)="Payment Not Received"),"Late / In Grace (&lt;30 Days)",IF($X847="Performing Matured Balloon","Performing Matured Balloon","Current")))))))))</f>
        <v/>
      </c>
      <c r="CD847" s="78">
        <f>IF(OR($CC847="REO",$CC847="Foreclosure",$CC847="90+ Days Delinquent",$CC847="60 Days Delinquent",$CC847="30 Days Delinquent",$CC847="Non-Performing Matured Balloon"),1,0)</f>
        <v/>
      </c>
      <c r="CE847" s="76">
        <f>IF($AB847="Currently special serv","Currently Specially Serviced",IF($AB847="Returned to master serv","Previously Specially Serviced","Never Specially Serviced"))</f>
        <v/>
      </c>
      <c r="CF847" s="78">
        <f>IF($CE847="Currently Specially Serviced",1,0)</f>
        <v/>
      </c>
      <c r="CG847" s="76">
        <f>IF($AA847="Yes","Currently on Watchlist",IF($AA847="Previously","Previously on Watchlist","Never on Watchlist"))</f>
        <v/>
      </c>
      <c r="CH847" s="78">
        <f>IF($CG847="Currently on Watchlist",1,0)</f>
        <v/>
      </c>
      <c r="CI847" s="76">
        <f>IF($Z847="Full Defeasance","Fully Defeased",IF($Z847="Portion Of Loan Previously Defeased","Partially Defeased",IF($Z847="Defeasance Not Allowable","Not Defeased (Not Permitted)","Not Defeased")))</f>
        <v/>
      </c>
      <c r="CJ847" s="78">
        <f>IF($CI847="Fully Defeased",1,0)</f>
        <v/>
      </c>
      <c r="CK847" s="76">
        <f>IF($R847="IO","Full IO",IF(LEFT($R847&amp;"",7)="IO then","Partial IO","Amortizing"))</f>
        <v/>
      </c>
      <c r="CL847" s="78">
        <f>IF($CK847="Full IO",1,0)</f>
        <v/>
      </c>
      <c r="CM847" s="78">
        <f>IF($CK847="Partial IO",1,0)</f>
        <v/>
      </c>
      <c r="CN847" s="76">
        <f>IF(LEFT($F847&amp;"",10)="SPLIT_LOAN","Pari Passu Split","Standalone")</f>
        <v/>
      </c>
      <c r="CO847" s="78">
        <f>IF($CN847="Pari Passu Split",1,0)</f>
        <v/>
      </c>
      <c r="CP847" s="77">
        <f>IF(ISNUMBER($T847),YEAR($T847),"")</f>
        <v/>
      </c>
      <c r="CQ847" s="79">
        <f>IF(ISNUMBER($V847),$V847,IF(ISNUMBER($U847),$U847,""))</f>
        <v/>
      </c>
      <c r="CR847" s="77">
        <f>IF(ISNUMBER($CQ847),YEAR($CQ847),"")</f>
        <v/>
      </c>
      <c r="CS847" s="78">
        <f>IF(ISNUMBER($M847),MAX(0,$M847),IF(TRIM($M847&amp;"")="matured",0,""))</f>
        <v/>
      </c>
      <c r="CT847" s="78">
        <f>IF(AND(ISNUMBER($CS847),N($CS847)&lt;=mMatWindow),1,0)</f>
        <v/>
      </c>
      <c r="CU847" s="80">
        <f>IF(ISNUMBER($J847),$J847/100,"")</f>
        <v/>
      </c>
      <c r="CV847" s="81">
        <f>IF(ISNUMBER($AQ847),$AQ847,"")</f>
        <v/>
      </c>
      <c r="CW847" s="81">
        <f>IF(ISNUMBER($AR847),$AR847,"")</f>
        <v/>
      </c>
      <c r="CX847" s="82">
        <f>IF(ISNUMBER($AS847),$AS847/100,"")</f>
        <v/>
      </c>
      <c r="CY847" s="82">
        <f>IF(ISNUMBER($AT847),$AT847/100,"")</f>
        <v/>
      </c>
      <c r="CZ847" s="82">
        <f>IF(ISNUMBER($AU847),$AU847/100,"")</f>
        <v/>
      </c>
      <c r="DA847" s="82">
        <f>IF(ISNUMBER($AV847),$AV847/100,"")</f>
        <v/>
      </c>
      <c r="DB847" s="82">
        <f>IF(ISNUMBER($AW847),$AW847/100,"")</f>
        <v/>
      </c>
      <c r="DC847" s="82">
        <f>IF(ISNUMBER($AX847),$AX847/100,"")</f>
        <v/>
      </c>
      <c r="DD847" s="77">
        <f>IFERROR(VALUE(LEFT(TRIM($AO847&amp;""),4)),"")</f>
        <v/>
      </c>
      <c r="DE847" s="78">
        <f>IF(AND($BY847=1,$BX847=1,OR(fDeal="All Deals",$BU847=fDeal),OR(fEntity="All Entities",$BV847=fEntity),OR(fPType="All Property Types",$BZ847=fPType),OR(fDefeased="Include",$CJ847=0)),1,0)</f>
        <v/>
      </c>
      <c r="DF847" s="83">
        <f>$DE847*N($I847)</f>
        <v/>
      </c>
      <c r="DG847" s="78">
        <f>IF($DE847=1,IF(COUNTIFS($F$8:$F847,$F847,$DE$8:$DE847,1)=1,1,0),0)</f>
        <v/>
      </c>
      <c r="DH847" s="83">
        <f>IF($DG847=1,SUMIFS($DF$8:$DF$1600,$F$8:$F$1600,$F847),0)</f>
        <v/>
      </c>
      <c r="DI847" s="78">
        <f>IF($DG847=1,COUNTIFS($F$8:$F$1600,$F847,$DE$8:$DE$1600,1),0)</f>
        <v/>
      </c>
      <c r="DJ847" s="84">
        <f>IF($DG847=1,$DH847+(100000-ROW())/mTieBreak,0)</f>
        <v/>
      </c>
    </row>
    <row r="848">
      <c r="B848" s="68" t="n">
        <v>33</v>
      </c>
      <c r="C848" s="69" t="inlineStr">
        <is>
          <t>DBJ17C06</t>
        </is>
      </c>
      <c r="D848" s="69" t="inlineStr">
        <is>
          <t>33.000</t>
        </is>
      </c>
      <c r="E848" s="69" t="inlineStr">
        <is>
          <t>Main Street Square</t>
        </is>
      </c>
      <c r="F848" s="69" t="inlineStr">
        <is>
          <t>LNDBJ17C06-33.000</t>
        </is>
      </c>
      <c r="G848" s="70" t="n"/>
      <c r="H848" s="71" t="n">
        <v>7375000</v>
      </c>
      <c r="I848" s="71" t="n">
        <v>6115857.910003375</v>
      </c>
      <c r="J848" s="72" t="n">
        <v>4.69</v>
      </c>
      <c r="K848" s="69" t="inlineStr">
        <is>
          <t>Fixed rate</t>
        </is>
      </c>
      <c r="L848" s="68" t="n">
        <v>120</v>
      </c>
      <c r="M848" s="68" t="n">
        <v>8</v>
      </c>
      <c r="N848" s="68" t="n">
        <v>360</v>
      </c>
      <c r="O848" s="68" t="n"/>
      <c r="P848" s="68" t="n"/>
      <c r="Q848" s="68" t="n">
        <v>112</v>
      </c>
      <c r="R848" s="69" t="n"/>
      <c r="S848" s="69" t="inlineStr">
        <is>
          <t>No</t>
        </is>
      </c>
      <c r="T848" s="73" t="n">
        <v>42856</v>
      </c>
      <c r="U848" s="73" t="n">
        <v>46508</v>
      </c>
      <c r="V848" s="73" t="n"/>
      <c r="W848" s="69" t="n"/>
      <c r="X848" s="69" t="inlineStr">
        <is>
          <t>Current</t>
        </is>
      </c>
      <c r="Y848" s="68" t="n"/>
      <c r="Z848" s="69" t="inlineStr">
        <is>
          <t>No Defeasance Occurred</t>
        </is>
      </c>
      <c r="AA848" s="69" t="inlineStr">
        <is>
          <t>Previously</t>
        </is>
      </c>
      <c r="AB848" s="69" t="inlineStr">
        <is>
          <t>Never special serv</t>
        </is>
      </c>
      <c r="AC848" s="73" t="n"/>
      <c r="AD848" s="69" t="n"/>
      <c r="AE848" s="69" t="n"/>
      <c r="AF848" s="69" t="inlineStr">
        <is>
          <t>FL</t>
        </is>
      </c>
      <c r="AG848" s="69" t="inlineStr">
        <is>
          <t>Fern Park</t>
        </is>
      </c>
      <c r="AH848" s="69" t="inlineStr">
        <is>
          <t>Orlando-Kissimmee-Sanford, FL</t>
        </is>
      </c>
      <c r="AI848" s="69" t="inlineStr">
        <is>
          <t>South / Atlantic</t>
        </is>
      </c>
      <c r="AJ848" s="69" t="inlineStr">
        <is>
          <t>RT</t>
        </is>
      </c>
      <c r="AK848" s="69" t="inlineStr">
        <is>
          <t>Anchored</t>
        </is>
      </c>
      <c r="AL848" s="68" t="n">
        <v>1</v>
      </c>
      <c r="AM848" s="68" t="n"/>
      <c r="AN848" s="68" t="n">
        <v>108509</v>
      </c>
      <c r="AO848" s="69" t="inlineStr">
        <is>
          <t>1988</t>
        </is>
      </c>
      <c r="AP848" s="70" t="n">
        <v>2012</v>
      </c>
      <c r="AQ848" s="74" t="n">
        <v>1.47</v>
      </c>
      <c r="AR848" s="74" t="n">
        <v>1.64</v>
      </c>
      <c r="AS848" s="74" t="n">
        <v>72.90000000000001</v>
      </c>
      <c r="AT848" s="74" t="n">
        <v>60.55</v>
      </c>
      <c r="AU848" s="74" t="n">
        <v>59.4</v>
      </c>
      <c r="AV848" s="74" t="n">
        <v>9.141938982999999</v>
      </c>
      <c r="AW848" s="74" t="n">
        <v>12.311685148</v>
      </c>
      <c r="AX848" s="75" t="n">
        <v>99</v>
      </c>
      <c r="AY848" s="71" t="n">
        <v>10100000</v>
      </c>
      <c r="AZ848" s="71" t="n">
        <v>10100000</v>
      </c>
      <c r="BA848" s="71" t="n">
        <v>674218</v>
      </c>
      <c r="BB848" s="71" t="n">
        <v>752965.17</v>
      </c>
      <c r="BC848" s="69" t="inlineStr">
        <is>
          <t>Acquisition</t>
        </is>
      </c>
      <c r="BD848" s="69" t="inlineStr">
        <is>
          <t>N</t>
        </is>
      </c>
      <c r="BE848" s="71" t="n"/>
      <c r="BF848" s="71" t="n"/>
      <c r="BG848" s="71" t="n"/>
      <c r="BH848" s="71" t="n">
        <v>0</v>
      </c>
      <c r="BI848" s="71" t="n">
        <v>0</v>
      </c>
      <c r="BJ848" s="69" t="inlineStr">
        <is>
          <t>N</t>
        </is>
      </c>
      <c r="BK848" s="69" t="inlineStr">
        <is>
          <t>Winn Dixie</t>
        </is>
      </c>
      <c r="BL848" s="75" t="n">
        <v>52.83</v>
      </c>
      <c r="BM848" s="73" t="n">
        <v>47031</v>
      </c>
      <c r="BN848" s="69" t="inlineStr">
        <is>
          <t>Jon Goldberg</t>
        </is>
      </c>
      <c r="BO848" s="69" t="inlineStr">
        <is>
          <t>JPMorgan Chase</t>
        </is>
      </c>
      <c r="BP848" s="69" t="inlineStr">
        <is>
          <t>Midland Loan Services</t>
        </is>
      </c>
      <c r="BQ848" s="69" t="inlineStr">
        <is>
          <t>K-Star Asset Management LLC</t>
        </is>
      </c>
      <c r="BR848" s="69" t="n"/>
      <c r="BS848" s="73" t="n">
        <v>46273</v>
      </c>
      <c r="BU848" s="76">
        <f>IF($C848="","",IFERROR(INDEX(dmName,MATCH($C848,dmID,0)),"Unmapped"))</f>
        <v/>
      </c>
      <c r="BV848" s="76">
        <f>IF($C848="","",IFERROR(INDEX(dmEntity,MATCH($C848,dmID,0)),"Unmapped"))</f>
        <v/>
      </c>
      <c r="BW848" s="77">
        <f>IF($C848="","",IFERROR(INDEX(dmVintage,MATCH($C848,dmID,0)),""))</f>
        <v/>
      </c>
      <c r="BX848" s="78">
        <f>IFERROR(INDEX(dmInclude,MATCH($C848,dmID,0)),0)</f>
        <v/>
      </c>
      <c r="BY848" s="78">
        <f>IF(N($I848)&gt;0,1,0)</f>
        <v/>
      </c>
      <c r="BZ848" s="76">
        <f>IF($AJ848="","Other / Leased Fee",IFERROR(INDEX(mapPTGroup,MATCH(LEFT(TRIM($AJ848),2),mapPTCode,0)),"Other / Leased Fee"))</f>
        <v/>
      </c>
      <c r="CA848" s="76">
        <f>IF(TRIM($AF848&amp;"")="","NR",LEFT(TRIM($AF848),2))</f>
        <v/>
      </c>
      <c r="CB848" s="76">
        <f>IFERROR(LOOKUP(2,1/(LEFT(TRIM($AI848&amp;""),LEN(mapRegion))=mapRegion),mapRegion),"Not Reported")</f>
        <v/>
      </c>
      <c r="CC848" s="76">
        <f>IF($BY848=0,"",IF(TRIM($W848&amp;"")="REO","REO",IF(TRIM($W848&amp;"")="FC","Foreclosure",IF(TRIM($W848&amp;"")="90+","90+ Days Delinquent",IF(TRIM($W848&amp;"")="60","60 Days Delinquent",IF(TRIM($W848&amp;"")="30","30 Days Delinquent",IF($X848="Non-Performing Matured Balloon","Non-Performing Matured Balloon",IF(OR($X848="Late Payment But Less Than 30 Days Delinquent",LEFT($X848&amp;"",20)="Payment Not Received"),"Late / In Grace (&lt;30 Days)",IF($X848="Performing Matured Balloon","Performing Matured Balloon","Current")))))))))</f>
        <v/>
      </c>
      <c r="CD848" s="78">
        <f>IF(OR($CC848="REO",$CC848="Foreclosure",$CC848="90+ Days Delinquent",$CC848="60 Days Delinquent",$CC848="30 Days Delinquent",$CC848="Non-Performing Matured Balloon"),1,0)</f>
        <v/>
      </c>
      <c r="CE848" s="76">
        <f>IF($AB848="Currently special serv","Currently Specially Serviced",IF($AB848="Returned to master serv","Previously Specially Serviced","Never Specially Serviced"))</f>
        <v/>
      </c>
      <c r="CF848" s="78">
        <f>IF($CE848="Currently Specially Serviced",1,0)</f>
        <v/>
      </c>
      <c r="CG848" s="76">
        <f>IF($AA848="Yes","Currently on Watchlist",IF($AA848="Previously","Previously on Watchlist","Never on Watchlist"))</f>
        <v/>
      </c>
      <c r="CH848" s="78">
        <f>IF($CG848="Currently on Watchlist",1,0)</f>
        <v/>
      </c>
      <c r="CI848" s="76">
        <f>IF($Z848="Full Defeasance","Fully Defeased",IF($Z848="Portion Of Loan Previously Defeased","Partially Defeased",IF($Z848="Defeasance Not Allowable","Not Defeased (Not Permitted)","Not Defeased")))</f>
        <v/>
      </c>
      <c r="CJ848" s="78">
        <f>IF($CI848="Fully Defeased",1,0)</f>
        <v/>
      </c>
      <c r="CK848" s="76">
        <f>IF($R848="IO","Full IO",IF(LEFT($R848&amp;"",7)="IO then","Partial IO","Amortizing"))</f>
        <v/>
      </c>
      <c r="CL848" s="78">
        <f>IF($CK848="Full IO",1,0)</f>
        <v/>
      </c>
      <c r="CM848" s="78">
        <f>IF($CK848="Partial IO",1,0)</f>
        <v/>
      </c>
      <c r="CN848" s="76">
        <f>IF(LEFT($F848&amp;"",10)="SPLIT_LOAN","Pari Passu Split","Standalone")</f>
        <v/>
      </c>
      <c r="CO848" s="78">
        <f>IF($CN848="Pari Passu Split",1,0)</f>
        <v/>
      </c>
      <c r="CP848" s="77">
        <f>IF(ISNUMBER($T848),YEAR($T848),"")</f>
        <v/>
      </c>
      <c r="CQ848" s="79">
        <f>IF(ISNUMBER($V848),$V848,IF(ISNUMBER($U848),$U848,""))</f>
        <v/>
      </c>
      <c r="CR848" s="77">
        <f>IF(ISNUMBER($CQ848),YEAR($CQ848),"")</f>
        <v/>
      </c>
      <c r="CS848" s="78">
        <f>IF(ISNUMBER($M848),MAX(0,$M848),IF(TRIM($M848&amp;"")="matured",0,""))</f>
        <v/>
      </c>
      <c r="CT848" s="78">
        <f>IF(AND(ISNUMBER($CS848),N($CS848)&lt;=mMatWindow),1,0)</f>
        <v/>
      </c>
      <c r="CU848" s="80">
        <f>IF(ISNUMBER($J848),$J848/100,"")</f>
        <v/>
      </c>
      <c r="CV848" s="81">
        <f>IF(ISNUMBER($AQ848),$AQ848,"")</f>
        <v/>
      </c>
      <c r="CW848" s="81">
        <f>IF(ISNUMBER($AR848),$AR848,"")</f>
        <v/>
      </c>
      <c r="CX848" s="82">
        <f>IF(ISNUMBER($AS848),$AS848/100,"")</f>
        <v/>
      </c>
      <c r="CY848" s="82">
        <f>IF(ISNUMBER($AT848),$AT848/100,"")</f>
        <v/>
      </c>
      <c r="CZ848" s="82">
        <f>IF(ISNUMBER($AU848),$AU848/100,"")</f>
        <v/>
      </c>
      <c r="DA848" s="82">
        <f>IF(ISNUMBER($AV848),$AV848/100,"")</f>
        <v/>
      </c>
      <c r="DB848" s="82">
        <f>IF(ISNUMBER($AW848),$AW848/100,"")</f>
        <v/>
      </c>
      <c r="DC848" s="82">
        <f>IF(ISNUMBER($AX848),$AX848/100,"")</f>
        <v/>
      </c>
      <c r="DD848" s="77">
        <f>IFERROR(VALUE(LEFT(TRIM($AO848&amp;""),4)),"")</f>
        <v/>
      </c>
      <c r="DE848" s="78">
        <f>IF(AND($BY848=1,$BX848=1,OR(fDeal="All Deals",$BU848=fDeal),OR(fEntity="All Entities",$BV848=fEntity),OR(fPType="All Property Types",$BZ848=fPType),OR(fDefeased="Include",$CJ848=0)),1,0)</f>
        <v/>
      </c>
      <c r="DF848" s="83">
        <f>$DE848*N($I848)</f>
        <v/>
      </c>
      <c r="DG848" s="78">
        <f>IF($DE848=1,IF(COUNTIFS($F$8:$F848,$F848,$DE$8:$DE848,1)=1,1,0),0)</f>
        <v/>
      </c>
      <c r="DH848" s="83">
        <f>IF($DG848=1,SUMIFS($DF$8:$DF$1600,$F$8:$F$1600,$F848),0)</f>
        <v/>
      </c>
      <c r="DI848" s="78">
        <f>IF($DG848=1,COUNTIFS($F$8:$F$1600,$F848,$DE$8:$DE$1600,1),0)</f>
        <v/>
      </c>
      <c r="DJ848" s="84">
        <f>IF($DG848=1,$DH848+(100000-ROW())/mTieBreak,0)</f>
        <v/>
      </c>
    </row>
    <row r="849">
      <c r="B849" s="68" t="n">
        <v>34</v>
      </c>
      <c r="C849" s="69" t="inlineStr">
        <is>
          <t>DBJ17C06</t>
        </is>
      </c>
      <c r="D849" s="69" t="inlineStr">
        <is>
          <t>34.000</t>
        </is>
      </c>
      <c r="E849" s="69" t="inlineStr">
        <is>
          <t>Union Hotel - Brooklyn</t>
        </is>
      </c>
      <c r="F849" s="69" t="inlineStr">
        <is>
          <t>LNDBJ17C06-34.000</t>
        </is>
      </c>
      <c r="G849" s="70" t="n"/>
      <c r="H849" s="71" t="n">
        <v>7000000</v>
      </c>
      <c r="I849" s="71" t="n">
        <v>0</v>
      </c>
      <c r="J849" s="72" t="n">
        <v>4.9</v>
      </c>
      <c r="K849" s="69" t="inlineStr">
        <is>
          <t>Fixed rate</t>
        </is>
      </c>
      <c r="L849" s="68" t="n">
        <v>120</v>
      </c>
      <c r="M849" s="68" t="n"/>
      <c r="N849" s="68" t="n">
        <v>360</v>
      </c>
      <c r="O849" s="68" t="n"/>
      <c r="P849" s="68" t="n"/>
      <c r="Q849" s="68" t="n"/>
      <c r="R849" s="69" t="n"/>
      <c r="S849" s="69" t="inlineStr">
        <is>
          <t>No</t>
        </is>
      </c>
      <c r="T849" s="73" t="n">
        <v>42887</v>
      </c>
      <c r="U849" s="73" t="n">
        <v>46544</v>
      </c>
      <c r="V849" s="73" t="n"/>
      <c r="W849" s="69" t="n"/>
      <c r="X849" s="69" t="inlineStr">
        <is>
          <t>Current</t>
        </is>
      </c>
      <c r="Y849" s="68" t="n"/>
      <c r="Z849" s="69" t="inlineStr">
        <is>
          <t>No Defeasance Occurred</t>
        </is>
      </c>
      <c r="AA849" s="69" t="inlineStr">
        <is>
          <t>Previously</t>
        </is>
      </c>
      <c r="AB849" s="69" t="inlineStr">
        <is>
          <t>Currently special serv</t>
        </is>
      </c>
      <c r="AC849" s="73" t="n">
        <v>43990</v>
      </c>
      <c r="AD849" s="69" t="inlineStr">
        <is>
          <t>Other</t>
        </is>
      </c>
      <c r="AE849" s="69" t="inlineStr">
        <is>
          <t>Resolved</t>
        </is>
      </c>
      <c r="AF849" s="69" t="inlineStr">
        <is>
          <t>NY</t>
        </is>
      </c>
      <c r="AG849" s="69" t="inlineStr">
        <is>
          <t>Brooklyn</t>
        </is>
      </c>
      <c r="AH849" s="69" t="inlineStr">
        <is>
          <t>New York-Newark-Jersey City, NY-NJ</t>
        </is>
      </c>
      <c r="AI849" s="69" t="inlineStr">
        <is>
          <t>Northeast / Mid-Atlantic</t>
        </is>
      </c>
      <c r="AJ849" s="69" t="inlineStr">
        <is>
          <t>HT</t>
        </is>
      </c>
      <c r="AK849" s="69" t="inlineStr">
        <is>
          <t>Limited Service</t>
        </is>
      </c>
      <c r="AL849" s="68" t="n">
        <v>1</v>
      </c>
      <c r="AM849" s="68" t="n">
        <v>42</v>
      </c>
      <c r="AN849" s="68" t="n"/>
      <c r="AO849" s="69" t="inlineStr">
        <is>
          <t>2011</t>
        </is>
      </c>
      <c r="AP849" s="70" t="n">
        <v>2017</v>
      </c>
      <c r="AQ849" s="74" t="n">
        <v>1.83</v>
      </c>
      <c r="AR849" s="74" t="n">
        <v>0.14</v>
      </c>
      <c r="AS849" s="74" t="n">
        <v>70</v>
      </c>
      <c r="AT849" s="74" t="n"/>
      <c r="AU849" s="74" t="n">
        <v>57.4</v>
      </c>
      <c r="AV849" s="74" t="n">
        <v>11.670471429</v>
      </c>
      <c r="AW849" s="74" t="n"/>
      <c r="AX849" s="75" t="n">
        <v>71</v>
      </c>
      <c r="AY849" s="71" t="n">
        <v>10000000</v>
      </c>
      <c r="AZ849" s="71" t="n">
        <v>8550000</v>
      </c>
      <c r="BA849" s="71" t="n">
        <v>816933</v>
      </c>
      <c r="BB849" s="71" t="n">
        <v>-37794.75</v>
      </c>
      <c r="BC849" s="69" t="inlineStr">
        <is>
          <t>Refinance</t>
        </is>
      </c>
      <c r="BD849" s="69" t="inlineStr">
        <is>
          <t>N</t>
        </is>
      </c>
      <c r="BE849" s="71" t="n"/>
      <c r="BF849" s="71" t="n"/>
      <c r="BG849" s="71" t="n"/>
      <c r="BH849" s="71" t="n">
        <v>0</v>
      </c>
      <c r="BI849" s="71" t="n">
        <v>0</v>
      </c>
      <c r="BJ849" s="69" t="inlineStr">
        <is>
          <t>N</t>
        </is>
      </c>
      <c r="BK849" s="69" t="n"/>
      <c r="BL849" s="75" t="n"/>
      <c r="BM849" s="73" t="n"/>
      <c r="BN849" s="69" t="inlineStr">
        <is>
          <t>Alec Shtromandel</t>
        </is>
      </c>
      <c r="BO849" s="69" t="inlineStr">
        <is>
          <t>GACC</t>
        </is>
      </c>
      <c r="BP849" s="69" t="inlineStr">
        <is>
          <t>Midland Loan Services</t>
        </is>
      </c>
      <c r="BQ849" s="69" t="inlineStr">
        <is>
          <t>K-Star Asset Management LLC</t>
        </is>
      </c>
      <c r="BR849" s="69" t="inlineStr">
        <is>
          <t>Disposition / Liquidation</t>
        </is>
      </c>
      <c r="BS849" s="73" t="n">
        <v>46273</v>
      </c>
      <c r="BU849" s="76">
        <f>IF($C849="","",IFERROR(INDEX(dmName,MATCH($C849,dmID,0)),"Unmapped"))</f>
        <v/>
      </c>
      <c r="BV849" s="76">
        <f>IF($C849="","",IFERROR(INDEX(dmEntity,MATCH($C849,dmID,0)),"Unmapped"))</f>
        <v/>
      </c>
      <c r="BW849" s="77">
        <f>IF($C849="","",IFERROR(INDEX(dmVintage,MATCH($C849,dmID,0)),""))</f>
        <v/>
      </c>
      <c r="BX849" s="78">
        <f>IFERROR(INDEX(dmInclude,MATCH($C849,dmID,0)),0)</f>
        <v/>
      </c>
      <c r="BY849" s="78">
        <f>IF(N($I849)&gt;0,1,0)</f>
        <v/>
      </c>
      <c r="BZ849" s="76">
        <f>IF($AJ849="","Other / Leased Fee",IFERROR(INDEX(mapPTGroup,MATCH(LEFT(TRIM($AJ849),2),mapPTCode,0)),"Other / Leased Fee"))</f>
        <v/>
      </c>
      <c r="CA849" s="76">
        <f>IF(TRIM($AF849&amp;"")="","NR",LEFT(TRIM($AF849),2))</f>
        <v/>
      </c>
      <c r="CB849" s="76">
        <f>IFERROR(LOOKUP(2,1/(LEFT(TRIM($AI849&amp;""),LEN(mapRegion))=mapRegion),mapRegion),"Not Reported")</f>
        <v/>
      </c>
      <c r="CC849" s="76">
        <f>IF($BY849=0,"",IF(TRIM($W849&amp;"")="REO","REO",IF(TRIM($W849&amp;"")="FC","Foreclosure",IF(TRIM($W849&amp;"")="90+","90+ Days Delinquent",IF(TRIM($W849&amp;"")="60","60 Days Delinquent",IF(TRIM($W849&amp;"")="30","30 Days Delinquent",IF($X849="Non-Performing Matured Balloon","Non-Performing Matured Balloon",IF(OR($X849="Late Payment But Less Than 30 Days Delinquent",LEFT($X849&amp;"",20)="Payment Not Received"),"Late / In Grace (&lt;30 Days)",IF($X849="Performing Matured Balloon","Performing Matured Balloon","Current")))))))))</f>
        <v/>
      </c>
      <c r="CD849" s="78">
        <f>IF(OR($CC849="REO",$CC849="Foreclosure",$CC849="90+ Days Delinquent",$CC849="60 Days Delinquent",$CC849="30 Days Delinquent",$CC849="Non-Performing Matured Balloon"),1,0)</f>
        <v/>
      </c>
      <c r="CE849" s="76">
        <f>IF($AB849="Currently special serv","Currently Specially Serviced",IF($AB849="Returned to master serv","Previously Specially Serviced","Never Specially Serviced"))</f>
        <v/>
      </c>
      <c r="CF849" s="78">
        <f>IF($CE849="Currently Specially Serviced",1,0)</f>
        <v/>
      </c>
      <c r="CG849" s="76">
        <f>IF($AA849="Yes","Currently on Watchlist",IF($AA849="Previously","Previously on Watchlist","Never on Watchlist"))</f>
        <v/>
      </c>
      <c r="CH849" s="78">
        <f>IF($CG849="Currently on Watchlist",1,0)</f>
        <v/>
      </c>
      <c r="CI849" s="76">
        <f>IF($Z849="Full Defeasance","Fully Defeased",IF($Z849="Portion Of Loan Previously Defeased","Partially Defeased",IF($Z849="Defeasance Not Allowable","Not Defeased (Not Permitted)","Not Defeased")))</f>
        <v/>
      </c>
      <c r="CJ849" s="78">
        <f>IF($CI849="Fully Defeased",1,0)</f>
        <v/>
      </c>
      <c r="CK849" s="76">
        <f>IF($R849="IO","Full IO",IF(LEFT($R849&amp;"",7)="IO then","Partial IO","Amortizing"))</f>
        <v/>
      </c>
      <c r="CL849" s="78">
        <f>IF($CK849="Full IO",1,0)</f>
        <v/>
      </c>
      <c r="CM849" s="78">
        <f>IF($CK849="Partial IO",1,0)</f>
        <v/>
      </c>
      <c r="CN849" s="76">
        <f>IF(LEFT($F849&amp;"",10)="SPLIT_LOAN","Pari Passu Split","Standalone")</f>
        <v/>
      </c>
      <c r="CO849" s="78">
        <f>IF($CN849="Pari Passu Split",1,0)</f>
        <v/>
      </c>
      <c r="CP849" s="77">
        <f>IF(ISNUMBER($T849),YEAR($T849),"")</f>
        <v/>
      </c>
      <c r="CQ849" s="79">
        <f>IF(ISNUMBER($V849),$V849,IF(ISNUMBER($U849),$U849,""))</f>
        <v/>
      </c>
      <c r="CR849" s="77">
        <f>IF(ISNUMBER($CQ849),YEAR($CQ849),"")</f>
        <v/>
      </c>
      <c r="CS849" s="78">
        <f>IF(ISNUMBER($M849),MAX(0,$M849),IF(TRIM($M849&amp;"")="matured",0,""))</f>
        <v/>
      </c>
      <c r="CT849" s="78">
        <f>IF(AND(ISNUMBER($CS849),N($CS849)&lt;=mMatWindow),1,0)</f>
        <v/>
      </c>
      <c r="CU849" s="80">
        <f>IF(ISNUMBER($J849),$J849/100,"")</f>
        <v/>
      </c>
      <c r="CV849" s="81">
        <f>IF(ISNUMBER($AQ849),$AQ849,"")</f>
        <v/>
      </c>
      <c r="CW849" s="81">
        <f>IF(ISNUMBER($AR849),$AR849,"")</f>
        <v/>
      </c>
      <c r="CX849" s="82">
        <f>IF(ISNUMBER($AS849),$AS849/100,"")</f>
        <v/>
      </c>
      <c r="CY849" s="82">
        <f>IF(ISNUMBER($AT849),$AT849/100,"")</f>
        <v/>
      </c>
      <c r="CZ849" s="82">
        <f>IF(ISNUMBER($AU849),$AU849/100,"")</f>
        <v/>
      </c>
      <c r="DA849" s="82">
        <f>IF(ISNUMBER($AV849),$AV849/100,"")</f>
        <v/>
      </c>
      <c r="DB849" s="82">
        <f>IF(ISNUMBER($AW849),$AW849/100,"")</f>
        <v/>
      </c>
      <c r="DC849" s="82">
        <f>IF(ISNUMBER($AX849),$AX849/100,"")</f>
        <v/>
      </c>
      <c r="DD849" s="77">
        <f>IFERROR(VALUE(LEFT(TRIM($AO849&amp;""),4)),"")</f>
        <v/>
      </c>
      <c r="DE849" s="78">
        <f>IF(AND($BY849=1,$BX849=1,OR(fDeal="All Deals",$BU849=fDeal),OR(fEntity="All Entities",$BV849=fEntity),OR(fPType="All Property Types",$BZ849=fPType),OR(fDefeased="Include",$CJ849=0)),1,0)</f>
        <v/>
      </c>
      <c r="DF849" s="83">
        <f>$DE849*N($I849)</f>
        <v/>
      </c>
      <c r="DG849" s="78">
        <f>IF($DE849=1,IF(COUNTIFS($F$8:$F849,$F849,$DE$8:$DE849,1)=1,1,0),0)</f>
        <v/>
      </c>
      <c r="DH849" s="83">
        <f>IF($DG849=1,SUMIFS($DF$8:$DF$1600,$F$8:$F$1600,$F849),0)</f>
        <v/>
      </c>
      <c r="DI849" s="78">
        <f>IF($DG849=1,COUNTIFS($F$8:$F$1600,$F849,$DE$8:$DE$1600,1),0)</f>
        <v/>
      </c>
      <c r="DJ849" s="84">
        <f>IF($DG849=1,$DH849+(100000-ROW())/mTieBreak,0)</f>
        <v/>
      </c>
    </row>
    <row r="850">
      <c r="B850" s="68" t="n">
        <v>35</v>
      </c>
      <c r="C850" s="69" t="inlineStr">
        <is>
          <t>DBJ17C06</t>
        </is>
      </c>
      <c r="D850" s="69" t="inlineStr">
        <is>
          <t>35.000</t>
        </is>
      </c>
      <c r="E850" s="69" t="inlineStr">
        <is>
          <t>Aethercomm Building</t>
        </is>
      </c>
      <c r="F850" s="69" t="inlineStr">
        <is>
          <t>LNDBJ17C06-35.000</t>
        </is>
      </c>
      <c r="G850" s="70" t="n"/>
      <c r="H850" s="71" t="n">
        <v>6890000</v>
      </c>
      <c r="I850" s="71" t="n">
        <v>6890000</v>
      </c>
      <c r="J850" s="72" t="n">
        <v>4.59</v>
      </c>
      <c r="K850" s="69" t="inlineStr">
        <is>
          <t>Fixed rate</t>
        </is>
      </c>
      <c r="L850" s="68" t="n">
        <v>120</v>
      </c>
      <c r="M850" s="68" t="n">
        <v>9</v>
      </c>
      <c r="N850" s="68" t="n">
        <v>120</v>
      </c>
      <c r="O850" s="68" t="n">
        <v>120</v>
      </c>
      <c r="P850" s="68" t="n">
        <v>9</v>
      </c>
      <c r="Q850" s="68" t="n">
        <v>111</v>
      </c>
      <c r="R850" s="69" t="inlineStr">
        <is>
          <t>IO</t>
        </is>
      </c>
      <c r="S850" s="69" t="inlineStr">
        <is>
          <t>Yes</t>
        </is>
      </c>
      <c r="T850" s="73" t="n">
        <v>42887</v>
      </c>
      <c r="U850" s="73" t="n">
        <v>46544</v>
      </c>
      <c r="V850" s="73" t="n"/>
      <c r="W850" s="69" t="n"/>
      <c r="X850" s="69" t="inlineStr">
        <is>
          <t>Current</t>
        </is>
      </c>
      <c r="Y850" s="68" t="n"/>
      <c r="Z850" s="69" t="inlineStr">
        <is>
          <t>No Defeasance Occurred</t>
        </is>
      </c>
      <c r="AA850" s="69" t="inlineStr">
        <is>
          <t>Yes</t>
        </is>
      </c>
      <c r="AB850" s="69" t="inlineStr">
        <is>
          <t>Never special serv</t>
        </is>
      </c>
      <c r="AC850" s="73" t="n"/>
      <c r="AD850" s="69" t="n"/>
      <c r="AE850" s="69" t="n"/>
      <c r="AF850" s="69" t="inlineStr">
        <is>
          <t>CA</t>
        </is>
      </c>
      <c r="AG850" s="69" t="inlineStr">
        <is>
          <t>Carlsbad</t>
        </is>
      </c>
      <c r="AH850" s="69" t="inlineStr">
        <is>
          <t>San Diego-Chula Vista-Carlsbad, CA</t>
        </is>
      </c>
      <c r="AI850" s="69" t="inlineStr">
        <is>
          <t>West / Pacific South</t>
        </is>
      </c>
      <c r="AJ850" s="69" t="inlineStr">
        <is>
          <t>IN</t>
        </is>
      </c>
      <c r="AK850" s="69" t="inlineStr">
        <is>
          <t>Flex</t>
        </is>
      </c>
      <c r="AL850" s="68" t="n">
        <v>1</v>
      </c>
      <c r="AM850" s="68" t="n"/>
      <c r="AN850" s="68" t="n">
        <v>47850</v>
      </c>
      <c r="AO850" s="69" t="inlineStr">
        <is>
          <t>2009</t>
        </is>
      </c>
      <c r="AP850" s="70" t="n">
        <v>2009</v>
      </c>
      <c r="AQ850" s="74" t="n">
        <v>2</v>
      </c>
      <c r="AR850" s="74" t="n">
        <v>2.44</v>
      </c>
      <c r="AS850" s="74" t="n">
        <v>61.8</v>
      </c>
      <c r="AT850" s="74" t="n">
        <v>61.79</v>
      </c>
      <c r="AU850" s="74" t="n">
        <v>61.8</v>
      </c>
      <c r="AV850" s="74" t="n">
        <v>9.296952104000001</v>
      </c>
      <c r="AW850" s="74" t="n">
        <v>11.367651669</v>
      </c>
      <c r="AX850" s="75" t="n">
        <v>100</v>
      </c>
      <c r="AY850" s="71" t="n">
        <v>11150000</v>
      </c>
      <c r="AZ850" s="71" t="n">
        <v>11150000</v>
      </c>
      <c r="BA850" s="71" t="n">
        <v>640560</v>
      </c>
      <c r="BB850" s="71" t="n">
        <v>783231.2</v>
      </c>
      <c r="BC850" s="69" t="inlineStr">
        <is>
          <t>Acquisition</t>
        </is>
      </c>
      <c r="BD850" s="69" t="inlineStr">
        <is>
          <t>N</t>
        </is>
      </c>
      <c r="BE850" s="71" t="n"/>
      <c r="BF850" s="71" t="n"/>
      <c r="BG850" s="71" t="n"/>
      <c r="BH850" s="71" t="n">
        <v>0</v>
      </c>
      <c r="BI850" s="71" t="n">
        <v>0</v>
      </c>
      <c r="BJ850" s="69" t="inlineStr">
        <is>
          <t>N</t>
        </is>
      </c>
      <c r="BK850" s="69" t="inlineStr">
        <is>
          <t>Aethercomm Inc.</t>
        </is>
      </c>
      <c r="BL850" s="75" t="n">
        <v>100</v>
      </c>
      <c r="BM850" s="73" t="n">
        <v>48365</v>
      </c>
      <c r="BN850" s="69" t="inlineStr">
        <is>
          <t>Martin Landis</t>
        </is>
      </c>
      <c r="BO850" s="69" t="inlineStr">
        <is>
          <t>GACC</t>
        </is>
      </c>
      <c r="BP850" s="69" t="inlineStr">
        <is>
          <t>Midland Loan Services</t>
        </is>
      </c>
      <c r="BQ850" s="69" t="inlineStr">
        <is>
          <t>K-Star Asset Management LLC</t>
        </is>
      </c>
      <c r="BR850" s="69" t="n"/>
      <c r="BS850" s="73" t="n">
        <v>46273</v>
      </c>
      <c r="BU850" s="76">
        <f>IF($C850="","",IFERROR(INDEX(dmName,MATCH($C850,dmID,0)),"Unmapped"))</f>
        <v/>
      </c>
      <c r="BV850" s="76">
        <f>IF($C850="","",IFERROR(INDEX(dmEntity,MATCH($C850,dmID,0)),"Unmapped"))</f>
        <v/>
      </c>
      <c r="BW850" s="77">
        <f>IF($C850="","",IFERROR(INDEX(dmVintage,MATCH($C850,dmID,0)),""))</f>
        <v/>
      </c>
      <c r="BX850" s="78">
        <f>IFERROR(INDEX(dmInclude,MATCH($C850,dmID,0)),0)</f>
        <v/>
      </c>
      <c r="BY850" s="78">
        <f>IF(N($I850)&gt;0,1,0)</f>
        <v/>
      </c>
      <c r="BZ850" s="76">
        <f>IF($AJ850="","Other / Leased Fee",IFERROR(INDEX(mapPTGroup,MATCH(LEFT(TRIM($AJ850),2),mapPTCode,0)),"Other / Leased Fee"))</f>
        <v/>
      </c>
      <c r="CA850" s="76">
        <f>IF(TRIM($AF850&amp;"")="","NR",LEFT(TRIM($AF850),2))</f>
        <v/>
      </c>
      <c r="CB850" s="76">
        <f>IFERROR(LOOKUP(2,1/(LEFT(TRIM($AI850&amp;""),LEN(mapRegion))=mapRegion),mapRegion),"Not Reported")</f>
        <v/>
      </c>
      <c r="CC850" s="76">
        <f>IF($BY850=0,"",IF(TRIM($W850&amp;"")="REO","REO",IF(TRIM($W850&amp;"")="FC","Foreclosure",IF(TRIM($W850&amp;"")="90+","90+ Days Delinquent",IF(TRIM($W850&amp;"")="60","60 Days Delinquent",IF(TRIM($W850&amp;"")="30","30 Days Delinquent",IF($X850="Non-Performing Matured Balloon","Non-Performing Matured Balloon",IF(OR($X850="Late Payment But Less Than 30 Days Delinquent",LEFT($X850&amp;"",20)="Payment Not Received"),"Late / In Grace (&lt;30 Days)",IF($X850="Performing Matured Balloon","Performing Matured Balloon","Current")))))))))</f>
        <v/>
      </c>
      <c r="CD850" s="78">
        <f>IF(OR($CC850="REO",$CC850="Foreclosure",$CC850="90+ Days Delinquent",$CC850="60 Days Delinquent",$CC850="30 Days Delinquent",$CC850="Non-Performing Matured Balloon"),1,0)</f>
        <v/>
      </c>
      <c r="CE850" s="76">
        <f>IF($AB850="Currently special serv","Currently Specially Serviced",IF($AB850="Returned to master serv","Previously Specially Serviced","Never Specially Serviced"))</f>
        <v/>
      </c>
      <c r="CF850" s="78">
        <f>IF($CE850="Currently Specially Serviced",1,0)</f>
        <v/>
      </c>
      <c r="CG850" s="76">
        <f>IF($AA850="Yes","Currently on Watchlist",IF($AA850="Previously","Previously on Watchlist","Never on Watchlist"))</f>
        <v/>
      </c>
      <c r="CH850" s="78">
        <f>IF($CG850="Currently on Watchlist",1,0)</f>
        <v/>
      </c>
      <c r="CI850" s="76">
        <f>IF($Z850="Full Defeasance","Fully Defeased",IF($Z850="Portion Of Loan Previously Defeased","Partially Defeased",IF($Z850="Defeasance Not Allowable","Not Defeased (Not Permitted)","Not Defeased")))</f>
        <v/>
      </c>
      <c r="CJ850" s="78">
        <f>IF($CI850="Fully Defeased",1,0)</f>
        <v/>
      </c>
      <c r="CK850" s="76">
        <f>IF($R850="IO","Full IO",IF(LEFT($R850&amp;"",7)="IO then","Partial IO","Amortizing"))</f>
        <v/>
      </c>
      <c r="CL850" s="78">
        <f>IF($CK850="Full IO",1,0)</f>
        <v/>
      </c>
      <c r="CM850" s="78">
        <f>IF($CK850="Partial IO",1,0)</f>
        <v/>
      </c>
      <c r="CN850" s="76">
        <f>IF(LEFT($F850&amp;"",10)="SPLIT_LOAN","Pari Passu Split","Standalone")</f>
        <v/>
      </c>
      <c r="CO850" s="78">
        <f>IF($CN850="Pari Passu Split",1,0)</f>
        <v/>
      </c>
      <c r="CP850" s="77">
        <f>IF(ISNUMBER($T850),YEAR($T850),"")</f>
        <v/>
      </c>
      <c r="CQ850" s="79">
        <f>IF(ISNUMBER($V850),$V850,IF(ISNUMBER($U850),$U850,""))</f>
        <v/>
      </c>
      <c r="CR850" s="77">
        <f>IF(ISNUMBER($CQ850),YEAR($CQ850),"")</f>
        <v/>
      </c>
      <c r="CS850" s="78">
        <f>IF(ISNUMBER($M850),MAX(0,$M850),IF(TRIM($M850&amp;"")="matured",0,""))</f>
        <v/>
      </c>
      <c r="CT850" s="78">
        <f>IF(AND(ISNUMBER($CS850),N($CS850)&lt;=mMatWindow),1,0)</f>
        <v/>
      </c>
      <c r="CU850" s="80">
        <f>IF(ISNUMBER($J850),$J850/100,"")</f>
        <v/>
      </c>
      <c r="CV850" s="81">
        <f>IF(ISNUMBER($AQ850),$AQ850,"")</f>
        <v/>
      </c>
      <c r="CW850" s="81">
        <f>IF(ISNUMBER($AR850),$AR850,"")</f>
        <v/>
      </c>
      <c r="CX850" s="82">
        <f>IF(ISNUMBER($AS850),$AS850/100,"")</f>
        <v/>
      </c>
      <c r="CY850" s="82">
        <f>IF(ISNUMBER($AT850),$AT850/100,"")</f>
        <v/>
      </c>
      <c r="CZ850" s="82">
        <f>IF(ISNUMBER($AU850),$AU850/100,"")</f>
        <v/>
      </c>
      <c r="DA850" s="82">
        <f>IF(ISNUMBER($AV850),$AV850/100,"")</f>
        <v/>
      </c>
      <c r="DB850" s="82">
        <f>IF(ISNUMBER($AW850),$AW850/100,"")</f>
        <v/>
      </c>
      <c r="DC850" s="82">
        <f>IF(ISNUMBER($AX850),$AX850/100,"")</f>
        <v/>
      </c>
      <c r="DD850" s="77">
        <f>IFERROR(VALUE(LEFT(TRIM($AO850&amp;""),4)),"")</f>
        <v/>
      </c>
      <c r="DE850" s="78">
        <f>IF(AND($BY850=1,$BX850=1,OR(fDeal="All Deals",$BU850=fDeal),OR(fEntity="All Entities",$BV850=fEntity),OR(fPType="All Property Types",$BZ850=fPType),OR(fDefeased="Include",$CJ850=0)),1,0)</f>
        <v/>
      </c>
      <c r="DF850" s="83">
        <f>$DE850*N($I850)</f>
        <v/>
      </c>
      <c r="DG850" s="78">
        <f>IF($DE850=1,IF(COUNTIFS($F$8:$F850,$F850,$DE$8:$DE850,1)=1,1,0),0)</f>
        <v/>
      </c>
      <c r="DH850" s="83">
        <f>IF($DG850=1,SUMIFS($DF$8:$DF$1600,$F$8:$F$1600,$F850),0)</f>
        <v/>
      </c>
      <c r="DI850" s="78">
        <f>IF($DG850=1,COUNTIFS($F$8:$F$1600,$F850,$DE$8:$DE$1600,1),0)</f>
        <v/>
      </c>
      <c r="DJ850" s="84">
        <f>IF($DG850=1,$DH850+(100000-ROW())/mTieBreak,0)</f>
        <v/>
      </c>
    </row>
    <row r="851">
      <c r="B851" s="68" t="n">
        <v>36</v>
      </c>
      <c r="C851" s="69" t="inlineStr">
        <is>
          <t>DBJ17C06</t>
        </is>
      </c>
      <c r="D851" s="69" t="inlineStr">
        <is>
          <t>36.000</t>
        </is>
      </c>
      <c r="E851" s="69" t="inlineStr">
        <is>
          <t>436 Bryant</t>
        </is>
      </c>
      <c r="F851" s="69" t="inlineStr">
        <is>
          <t>LNDBJ17C06-36.000</t>
        </is>
      </c>
      <c r="G851" s="70" t="n"/>
      <c r="H851" s="71" t="n">
        <v>6250000</v>
      </c>
      <c r="I851" s="71" t="n">
        <v>6250000</v>
      </c>
      <c r="J851" s="72" t="n">
        <v>4.35</v>
      </c>
      <c r="K851" s="69" t="inlineStr">
        <is>
          <t>Fixed rate</t>
        </is>
      </c>
      <c r="L851" s="68" t="n">
        <v>120</v>
      </c>
      <c r="M851" s="68" t="n">
        <v>8</v>
      </c>
      <c r="N851" s="68" t="n">
        <v>120</v>
      </c>
      <c r="O851" s="68" t="n">
        <v>120</v>
      </c>
      <c r="P851" s="68" t="n">
        <v>8</v>
      </c>
      <c r="Q851" s="68" t="n">
        <v>112</v>
      </c>
      <c r="R851" s="69" t="inlineStr">
        <is>
          <t>IO</t>
        </is>
      </c>
      <c r="S851" s="69" t="inlineStr">
        <is>
          <t>Yes</t>
        </is>
      </c>
      <c r="T851" s="73" t="n">
        <v>42856</v>
      </c>
      <c r="U851" s="73" t="n">
        <v>46513</v>
      </c>
      <c r="V851" s="73" t="n"/>
      <c r="W851" s="69" t="n"/>
      <c r="X851" s="69" t="inlineStr">
        <is>
          <t>Current</t>
        </is>
      </c>
      <c r="Y851" s="68" t="n"/>
      <c r="Z851" s="69" t="inlineStr">
        <is>
          <t>No Defeasance Occurred</t>
        </is>
      </c>
      <c r="AA851" s="69" t="inlineStr">
        <is>
          <t>Yes</t>
        </is>
      </c>
      <c r="AB851" s="69" t="inlineStr">
        <is>
          <t>Never special serv</t>
        </is>
      </c>
      <c r="AC851" s="73" t="n"/>
      <c r="AD851" s="69" t="n"/>
      <c r="AE851" s="69" t="n"/>
      <c r="AF851" s="69" t="inlineStr">
        <is>
          <t>CA</t>
        </is>
      </c>
      <c r="AG851" s="69" t="inlineStr">
        <is>
          <t>San Francisco</t>
        </is>
      </c>
      <c r="AH851" s="69" t="inlineStr">
        <is>
          <t>San Francisco-Oakland-Fremont, CA</t>
        </is>
      </c>
      <c r="AI851" s="69" t="inlineStr">
        <is>
          <t>West / Pacific North</t>
        </is>
      </c>
      <c r="AJ851" s="69" t="inlineStr">
        <is>
          <t>OF</t>
        </is>
      </c>
      <c r="AK851" s="69" t="inlineStr">
        <is>
          <t>CBD</t>
        </is>
      </c>
      <c r="AL851" s="68" t="n">
        <v>1</v>
      </c>
      <c r="AM851" s="68" t="n"/>
      <c r="AN851" s="68" t="n">
        <v>8023</v>
      </c>
      <c r="AO851" s="69" t="inlineStr">
        <is>
          <t>1908</t>
        </is>
      </c>
      <c r="AP851" s="70" t="n">
        <v>2016</v>
      </c>
      <c r="AQ851" s="74" t="n">
        <v>2.32</v>
      </c>
      <c r="AR851" s="74" t="n">
        <v>1.83</v>
      </c>
      <c r="AS851" s="74" t="n">
        <v>58.5</v>
      </c>
      <c r="AT851" s="74" t="n">
        <v>58.52</v>
      </c>
      <c r="AU851" s="74" t="n">
        <v>58.5</v>
      </c>
      <c r="AV851" s="74" t="n">
        <v>10.22698208</v>
      </c>
      <c r="AW851" s="74" t="n">
        <v>5.35537888</v>
      </c>
      <c r="AX851" s="75" t="n">
        <v>100</v>
      </c>
      <c r="AY851" s="71" t="n">
        <v>10680000</v>
      </c>
      <c r="AZ851" s="71" t="n">
        <v>10680000</v>
      </c>
      <c r="BA851" s="71" t="n">
        <v>639186.38</v>
      </c>
      <c r="BB851" s="71" t="n">
        <v>504389.7</v>
      </c>
      <c r="BC851" s="69" t="inlineStr">
        <is>
          <t>Refinance</t>
        </is>
      </c>
      <c r="BD851" s="69" t="inlineStr">
        <is>
          <t>N</t>
        </is>
      </c>
      <c r="BE851" s="71" t="n"/>
      <c r="BF851" s="71" t="n"/>
      <c r="BG851" s="71" t="n"/>
      <c r="BH851" s="71" t="n">
        <v>0</v>
      </c>
      <c r="BI851" s="71" t="n">
        <v>0</v>
      </c>
      <c r="BJ851" s="69" t="inlineStr">
        <is>
          <t>N</t>
        </is>
      </c>
      <c r="BK851" s="69" t="inlineStr">
        <is>
          <t>AxiomBio Inc.</t>
        </is>
      </c>
      <c r="BL851" s="75" t="n">
        <v>33.99</v>
      </c>
      <c r="BM851" s="73" t="n">
        <v>46326</v>
      </c>
      <c r="BN851" s="69" t="inlineStr">
        <is>
          <t>Mackinnon Associates, LLC; Libertas Ventures, LLC</t>
        </is>
      </c>
      <c r="BO851" s="69" t="inlineStr">
        <is>
          <t>GACC</t>
        </is>
      </c>
      <c r="BP851" s="69" t="inlineStr">
        <is>
          <t>Midland Loan Services</t>
        </is>
      </c>
      <c r="BQ851" s="69" t="inlineStr">
        <is>
          <t>K-Star Asset Management LLC</t>
        </is>
      </c>
      <c r="BR851" s="69" t="n"/>
      <c r="BS851" s="73" t="n">
        <v>46273</v>
      </c>
      <c r="BU851" s="76">
        <f>IF($C851="","",IFERROR(INDEX(dmName,MATCH($C851,dmID,0)),"Unmapped"))</f>
        <v/>
      </c>
      <c r="BV851" s="76">
        <f>IF($C851="","",IFERROR(INDEX(dmEntity,MATCH($C851,dmID,0)),"Unmapped"))</f>
        <v/>
      </c>
      <c r="BW851" s="77">
        <f>IF($C851="","",IFERROR(INDEX(dmVintage,MATCH($C851,dmID,0)),""))</f>
        <v/>
      </c>
      <c r="BX851" s="78">
        <f>IFERROR(INDEX(dmInclude,MATCH($C851,dmID,0)),0)</f>
        <v/>
      </c>
      <c r="BY851" s="78">
        <f>IF(N($I851)&gt;0,1,0)</f>
        <v/>
      </c>
      <c r="BZ851" s="76">
        <f>IF($AJ851="","Other / Leased Fee",IFERROR(INDEX(mapPTGroup,MATCH(LEFT(TRIM($AJ851),2),mapPTCode,0)),"Other / Leased Fee"))</f>
        <v/>
      </c>
      <c r="CA851" s="76">
        <f>IF(TRIM($AF851&amp;"")="","NR",LEFT(TRIM($AF851),2))</f>
        <v/>
      </c>
      <c r="CB851" s="76">
        <f>IFERROR(LOOKUP(2,1/(LEFT(TRIM($AI851&amp;""),LEN(mapRegion))=mapRegion),mapRegion),"Not Reported")</f>
        <v/>
      </c>
      <c r="CC851" s="76">
        <f>IF($BY851=0,"",IF(TRIM($W851&amp;"")="REO","REO",IF(TRIM($W851&amp;"")="FC","Foreclosure",IF(TRIM($W851&amp;"")="90+","90+ Days Delinquent",IF(TRIM($W851&amp;"")="60","60 Days Delinquent",IF(TRIM($W851&amp;"")="30","30 Days Delinquent",IF($X851="Non-Performing Matured Balloon","Non-Performing Matured Balloon",IF(OR($X851="Late Payment But Less Than 30 Days Delinquent",LEFT($X851&amp;"",20)="Payment Not Received"),"Late / In Grace (&lt;30 Days)",IF($X851="Performing Matured Balloon","Performing Matured Balloon","Current")))))))))</f>
        <v/>
      </c>
      <c r="CD851" s="78">
        <f>IF(OR($CC851="REO",$CC851="Foreclosure",$CC851="90+ Days Delinquent",$CC851="60 Days Delinquent",$CC851="30 Days Delinquent",$CC851="Non-Performing Matured Balloon"),1,0)</f>
        <v/>
      </c>
      <c r="CE851" s="76">
        <f>IF($AB851="Currently special serv","Currently Specially Serviced",IF($AB851="Returned to master serv","Previously Specially Serviced","Never Specially Serviced"))</f>
        <v/>
      </c>
      <c r="CF851" s="78">
        <f>IF($CE851="Currently Specially Serviced",1,0)</f>
        <v/>
      </c>
      <c r="CG851" s="76">
        <f>IF($AA851="Yes","Currently on Watchlist",IF($AA851="Previously","Previously on Watchlist","Never on Watchlist"))</f>
        <v/>
      </c>
      <c r="CH851" s="78">
        <f>IF($CG851="Currently on Watchlist",1,0)</f>
        <v/>
      </c>
      <c r="CI851" s="76">
        <f>IF($Z851="Full Defeasance","Fully Defeased",IF($Z851="Portion Of Loan Previously Defeased","Partially Defeased",IF($Z851="Defeasance Not Allowable","Not Defeased (Not Permitted)","Not Defeased")))</f>
        <v/>
      </c>
      <c r="CJ851" s="78">
        <f>IF($CI851="Fully Defeased",1,0)</f>
        <v/>
      </c>
      <c r="CK851" s="76">
        <f>IF($R851="IO","Full IO",IF(LEFT($R851&amp;"",7)="IO then","Partial IO","Amortizing"))</f>
        <v/>
      </c>
      <c r="CL851" s="78">
        <f>IF($CK851="Full IO",1,0)</f>
        <v/>
      </c>
      <c r="CM851" s="78">
        <f>IF($CK851="Partial IO",1,0)</f>
        <v/>
      </c>
      <c r="CN851" s="76">
        <f>IF(LEFT($F851&amp;"",10)="SPLIT_LOAN","Pari Passu Split","Standalone")</f>
        <v/>
      </c>
      <c r="CO851" s="78">
        <f>IF($CN851="Pari Passu Split",1,0)</f>
        <v/>
      </c>
      <c r="CP851" s="77">
        <f>IF(ISNUMBER($T851),YEAR($T851),"")</f>
        <v/>
      </c>
      <c r="CQ851" s="79">
        <f>IF(ISNUMBER($V851),$V851,IF(ISNUMBER($U851),$U851,""))</f>
        <v/>
      </c>
      <c r="CR851" s="77">
        <f>IF(ISNUMBER($CQ851),YEAR($CQ851),"")</f>
        <v/>
      </c>
      <c r="CS851" s="78">
        <f>IF(ISNUMBER($M851),MAX(0,$M851),IF(TRIM($M851&amp;"")="matured",0,""))</f>
        <v/>
      </c>
      <c r="CT851" s="78">
        <f>IF(AND(ISNUMBER($CS851),N($CS851)&lt;=mMatWindow),1,0)</f>
        <v/>
      </c>
      <c r="CU851" s="80">
        <f>IF(ISNUMBER($J851),$J851/100,"")</f>
        <v/>
      </c>
      <c r="CV851" s="81">
        <f>IF(ISNUMBER($AQ851),$AQ851,"")</f>
        <v/>
      </c>
      <c r="CW851" s="81">
        <f>IF(ISNUMBER($AR851),$AR851,"")</f>
        <v/>
      </c>
      <c r="CX851" s="82">
        <f>IF(ISNUMBER($AS851),$AS851/100,"")</f>
        <v/>
      </c>
      <c r="CY851" s="82">
        <f>IF(ISNUMBER($AT851),$AT851/100,"")</f>
        <v/>
      </c>
      <c r="CZ851" s="82">
        <f>IF(ISNUMBER($AU851),$AU851/100,"")</f>
        <v/>
      </c>
      <c r="DA851" s="82">
        <f>IF(ISNUMBER($AV851),$AV851/100,"")</f>
        <v/>
      </c>
      <c r="DB851" s="82">
        <f>IF(ISNUMBER($AW851),$AW851/100,"")</f>
        <v/>
      </c>
      <c r="DC851" s="82">
        <f>IF(ISNUMBER($AX851),$AX851/100,"")</f>
        <v/>
      </c>
      <c r="DD851" s="77">
        <f>IFERROR(VALUE(LEFT(TRIM($AO851&amp;""),4)),"")</f>
        <v/>
      </c>
      <c r="DE851" s="78">
        <f>IF(AND($BY851=1,$BX851=1,OR(fDeal="All Deals",$BU851=fDeal),OR(fEntity="All Entities",$BV851=fEntity),OR(fPType="All Property Types",$BZ851=fPType),OR(fDefeased="Include",$CJ851=0)),1,0)</f>
        <v/>
      </c>
      <c r="DF851" s="83">
        <f>$DE851*N($I851)</f>
        <v/>
      </c>
      <c r="DG851" s="78">
        <f>IF($DE851=1,IF(COUNTIFS($F$8:$F851,$F851,$DE$8:$DE851,1)=1,1,0),0)</f>
        <v/>
      </c>
      <c r="DH851" s="83">
        <f>IF($DG851=1,SUMIFS($DF$8:$DF$1600,$F$8:$F$1600,$F851),0)</f>
        <v/>
      </c>
      <c r="DI851" s="78">
        <f>IF($DG851=1,COUNTIFS($F$8:$F$1600,$F851,$DE$8:$DE$1600,1),0)</f>
        <v/>
      </c>
      <c r="DJ851" s="84">
        <f>IF($DG851=1,$DH851+(100000-ROW())/mTieBreak,0)</f>
        <v/>
      </c>
    </row>
    <row r="852">
      <c r="B852" s="68" t="n">
        <v>37</v>
      </c>
      <c r="C852" s="69" t="inlineStr">
        <is>
          <t>DBJ17C06</t>
        </is>
      </c>
      <c r="D852" s="69" t="inlineStr">
        <is>
          <t>37.000</t>
        </is>
      </c>
      <c r="E852" s="69" t="inlineStr">
        <is>
          <t>Royal Palm Square</t>
        </is>
      </c>
      <c r="F852" s="69" t="inlineStr">
        <is>
          <t>LNDBJ17C06-37.000</t>
        </is>
      </c>
      <c r="G852" s="70" t="n"/>
      <c r="H852" s="71" t="n">
        <v>5000000</v>
      </c>
      <c r="I852" s="71" t="n">
        <v>0</v>
      </c>
      <c r="J852" s="72" t="n">
        <v>5.9</v>
      </c>
      <c r="K852" s="69" t="inlineStr">
        <is>
          <t>Fixed rate</t>
        </is>
      </c>
      <c r="L852" s="68" t="n">
        <v>120</v>
      </c>
      <c r="M852" s="68" t="n"/>
      <c r="N852" s="68" t="n">
        <v>360</v>
      </c>
      <c r="O852" s="68" t="n"/>
      <c r="P852" s="68" t="n"/>
      <c r="Q852" s="68" t="n"/>
      <c r="R852" s="69" t="n"/>
      <c r="S852" s="69" t="inlineStr">
        <is>
          <t>No</t>
        </is>
      </c>
      <c r="T852" s="73" t="n">
        <v>42887</v>
      </c>
      <c r="U852" s="73" t="n">
        <v>46539</v>
      </c>
      <c r="V852" s="73" t="n"/>
      <c r="W852" s="69" t="n"/>
      <c r="X852" s="69" t="inlineStr">
        <is>
          <t>Current</t>
        </is>
      </c>
      <c r="Y852" s="68" t="n"/>
      <c r="Z852" s="69" t="inlineStr">
        <is>
          <t>Defeasance Not Allowable</t>
        </is>
      </c>
      <c r="AA852" s="69" t="inlineStr">
        <is>
          <t>Previously</t>
        </is>
      </c>
      <c r="AB852" s="69" t="inlineStr">
        <is>
          <t>Never special serv</t>
        </is>
      </c>
      <c r="AC852" s="73" t="n"/>
      <c r="AD852" s="69" t="n"/>
      <c r="AE852" s="69" t="n"/>
      <c r="AF852" s="69" t="inlineStr">
        <is>
          <t>FL</t>
        </is>
      </c>
      <c r="AG852" s="69" t="inlineStr">
        <is>
          <t>Fort Myers</t>
        </is>
      </c>
      <c r="AH852" s="69" t="inlineStr">
        <is>
          <t>Cape Coral-Fort Myers, FL</t>
        </is>
      </c>
      <c r="AI852" s="69" t="inlineStr">
        <is>
          <t>South / Atlantic</t>
        </is>
      </c>
      <c r="AJ852" s="69" t="inlineStr">
        <is>
          <t>MX</t>
        </is>
      </c>
      <c r="AK852" s="69" t="inlineStr">
        <is>
          <t>Office/Retail</t>
        </is>
      </c>
      <c r="AL852" s="68" t="n">
        <v>1</v>
      </c>
      <c r="AM852" s="68" t="n"/>
      <c r="AN852" s="68" t="n">
        <v>144019</v>
      </c>
      <c r="AO852" s="69" t="inlineStr">
        <is>
          <t>1981</t>
        </is>
      </c>
      <c r="AP852" s="70" t="n">
        <v>216</v>
      </c>
      <c r="AQ852" s="74" t="n">
        <v>1.92</v>
      </c>
      <c r="AR852" s="74" t="n">
        <v>1.74</v>
      </c>
      <c r="AS852" s="74" t="n">
        <v>50</v>
      </c>
      <c r="AT852" s="74" t="n"/>
      <c r="AU852" s="74" t="n">
        <v>42.3</v>
      </c>
      <c r="AV852" s="74" t="n">
        <v>13.66874</v>
      </c>
      <c r="AW852" s="74" t="n"/>
      <c r="AX852" s="75" t="n">
        <v>98</v>
      </c>
      <c r="AY852" s="71" t="n">
        <v>10000000</v>
      </c>
      <c r="AZ852" s="71" t="n">
        <v>10000000</v>
      </c>
      <c r="BA852" s="71" t="n">
        <v>683437</v>
      </c>
      <c r="BB852" s="71" t="n">
        <v>154537.31</v>
      </c>
      <c r="BC852" s="69" t="inlineStr">
        <is>
          <t>Refinance</t>
        </is>
      </c>
      <c r="BD852" s="69" t="inlineStr">
        <is>
          <t>N</t>
        </is>
      </c>
      <c r="BE852" s="71" t="n"/>
      <c r="BF852" s="71" t="n"/>
      <c r="BG852" s="71" t="n"/>
      <c r="BH852" s="71" t="n">
        <v>0</v>
      </c>
      <c r="BI852" s="71" t="n">
        <v>0</v>
      </c>
      <c r="BJ852" s="69" t="inlineStr">
        <is>
          <t>N</t>
        </is>
      </c>
      <c r="BK852" s="69" t="inlineStr">
        <is>
          <t>Broadway Palm Dinner Theatre</t>
        </is>
      </c>
      <c r="BL852" s="75" t="n">
        <v>25.21</v>
      </c>
      <c r="BM852" s="73" t="n">
        <v>46843</v>
      </c>
      <c r="BN852" s="69" t="inlineStr">
        <is>
          <t>Daniel Kodsi</t>
        </is>
      </c>
      <c r="BO852" s="69" t="inlineStr">
        <is>
          <t>JPMorgan Chase</t>
        </is>
      </c>
      <c r="BP852" s="69" t="inlineStr">
        <is>
          <t>Midland Loan Services</t>
        </is>
      </c>
      <c r="BQ852" s="69" t="inlineStr">
        <is>
          <t>Midland Loan Services</t>
        </is>
      </c>
      <c r="BR852" s="69" t="inlineStr">
        <is>
          <t>Payoff With Yield Maintenance</t>
        </is>
      </c>
      <c r="BS852" s="73" t="n">
        <v>44748</v>
      </c>
      <c r="BU852" s="76">
        <f>IF($C852="","",IFERROR(INDEX(dmName,MATCH($C852,dmID,0)),"Unmapped"))</f>
        <v/>
      </c>
      <c r="BV852" s="76">
        <f>IF($C852="","",IFERROR(INDEX(dmEntity,MATCH($C852,dmID,0)),"Unmapped"))</f>
        <v/>
      </c>
      <c r="BW852" s="77">
        <f>IF($C852="","",IFERROR(INDEX(dmVintage,MATCH($C852,dmID,0)),""))</f>
        <v/>
      </c>
      <c r="BX852" s="78">
        <f>IFERROR(INDEX(dmInclude,MATCH($C852,dmID,0)),0)</f>
        <v/>
      </c>
      <c r="BY852" s="78">
        <f>IF(N($I852)&gt;0,1,0)</f>
        <v/>
      </c>
      <c r="BZ852" s="76">
        <f>IF($AJ852="","Other / Leased Fee",IFERROR(INDEX(mapPTGroup,MATCH(LEFT(TRIM($AJ852),2),mapPTCode,0)),"Other / Leased Fee"))</f>
        <v/>
      </c>
      <c r="CA852" s="76">
        <f>IF(TRIM($AF852&amp;"")="","NR",LEFT(TRIM($AF852),2))</f>
        <v/>
      </c>
      <c r="CB852" s="76">
        <f>IFERROR(LOOKUP(2,1/(LEFT(TRIM($AI852&amp;""),LEN(mapRegion))=mapRegion),mapRegion),"Not Reported")</f>
        <v/>
      </c>
      <c r="CC852" s="76">
        <f>IF($BY852=0,"",IF(TRIM($W852&amp;"")="REO","REO",IF(TRIM($W852&amp;"")="FC","Foreclosure",IF(TRIM($W852&amp;"")="90+","90+ Days Delinquent",IF(TRIM($W852&amp;"")="60","60 Days Delinquent",IF(TRIM($W852&amp;"")="30","30 Days Delinquent",IF($X852="Non-Performing Matured Balloon","Non-Performing Matured Balloon",IF(OR($X852="Late Payment But Less Than 30 Days Delinquent",LEFT($X852&amp;"",20)="Payment Not Received"),"Late / In Grace (&lt;30 Days)",IF($X852="Performing Matured Balloon","Performing Matured Balloon","Current")))))))))</f>
        <v/>
      </c>
      <c r="CD852" s="78">
        <f>IF(OR($CC852="REO",$CC852="Foreclosure",$CC852="90+ Days Delinquent",$CC852="60 Days Delinquent",$CC852="30 Days Delinquent",$CC852="Non-Performing Matured Balloon"),1,0)</f>
        <v/>
      </c>
      <c r="CE852" s="76">
        <f>IF($AB852="Currently special serv","Currently Specially Serviced",IF($AB852="Returned to master serv","Previously Specially Serviced","Never Specially Serviced"))</f>
        <v/>
      </c>
      <c r="CF852" s="78">
        <f>IF($CE852="Currently Specially Serviced",1,0)</f>
        <v/>
      </c>
      <c r="CG852" s="76">
        <f>IF($AA852="Yes","Currently on Watchlist",IF($AA852="Previously","Previously on Watchlist","Never on Watchlist"))</f>
        <v/>
      </c>
      <c r="CH852" s="78">
        <f>IF($CG852="Currently on Watchlist",1,0)</f>
        <v/>
      </c>
      <c r="CI852" s="76">
        <f>IF($Z852="Full Defeasance","Fully Defeased",IF($Z852="Portion Of Loan Previously Defeased","Partially Defeased",IF($Z852="Defeasance Not Allowable","Not Defeased (Not Permitted)","Not Defeased")))</f>
        <v/>
      </c>
      <c r="CJ852" s="78">
        <f>IF($CI852="Fully Defeased",1,0)</f>
        <v/>
      </c>
      <c r="CK852" s="76">
        <f>IF($R852="IO","Full IO",IF(LEFT($R852&amp;"",7)="IO then","Partial IO","Amortizing"))</f>
        <v/>
      </c>
      <c r="CL852" s="78">
        <f>IF($CK852="Full IO",1,0)</f>
        <v/>
      </c>
      <c r="CM852" s="78">
        <f>IF($CK852="Partial IO",1,0)</f>
        <v/>
      </c>
      <c r="CN852" s="76">
        <f>IF(LEFT($F852&amp;"",10)="SPLIT_LOAN","Pari Passu Split","Standalone")</f>
        <v/>
      </c>
      <c r="CO852" s="78">
        <f>IF($CN852="Pari Passu Split",1,0)</f>
        <v/>
      </c>
      <c r="CP852" s="77">
        <f>IF(ISNUMBER($T852),YEAR($T852),"")</f>
        <v/>
      </c>
      <c r="CQ852" s="79">
        <f>IF(ISNUMBER($V852),$V852,IF(ISNUMBER($U852),$U852,""))</f>
        <v/>
      </c>
      <c r="CR852" s="77">
        <f>IF(ISNUMBER($CQ852),YEAR($CQ852),"")</f>
        <v/>
      </c>
      <c r="CS852" s="78">
        <f>IF(ISNUMBER($M852),MAX(0,$M852),IF(TRIM($M852&amp;"")="matured",0,""))</f>
        <v/>
      </c>
      <c r="CT852" s="78">
        <f>IF(AND(ISNUMBER($CS852),N($CS852)&lt;=mMatWindow),1,0)</f>
        <v/>
      </c>
      <c r="CU852" s="80">
        <f>IF(ISNUMBER($J852),$J852/100,"")</f>
        <v/>
      </c>
      <c r="CV852" s="81">
        <f>IF(ISNUMBER($AQ852),$AQ852,"")</f>
        <v/>
      </c>
      <c r="CW852" s="81">
        <f>IF(ISNUMBER($AR852),$AR852,"")</f>
        <v/>
      </c>
      <c r="CX852" s="82">
        <f>IF(ISNUMBER($AS852),$AS852/100,"")</f>
        <v/>
      </c>
      <c r="CY852" s="82">
        <f>IF(ISNUMBER($AT852),$AT852/100,"")</f>
        <v/>
      </c>
      <c r="CZ852" s="82">
        <f>IF(ISNUMBER($AU852),$AU852/100,"")</f>
        <v/>
      </c>
      <c r="DA852" s="82">
        <f>IF(ISNUMBER($AV852),$AV852/100,"")</f>
        <v/>
      </c>
      <c r="DB852" s="82">
        <f>IF(ISNUMBER($AW852),$AW852/100,"")</f>
        <v/>
      </c>
      <c r="DC852" s="82">
        <f>IF(ISNUMBER($AX852),$AX852/100,"")</f>
        <v/>
      </c>
      <c r="DD852" s="77">
        <f>IFERROR(VALUE(LEFT(TRIM($AO852&amp;""),4)),"")</f>
        <v/>
      </c>
      <c r="DE852" s="78">
        <f>IF(AND($BY852=1,$BX852=1,OR(fDeal="All Deals",$BU852=fDeal),OR(fEntity="All Entities",$BV852=fEntity),OR(fPType="All Property Types",$BZ852=fPType),OR(fDefeased="Include",$CJ852=0)),1,0)</f>
        <v/>
      </c>
      <c r="DF852" s="83">
        <f>$DE852*N($I852)</f>
        <v/>
      </c>
      <c r="DG852" s="78">
        <f>IF($DE852=1,IF(COUNTIFS($F$8:$F852,$F852,$DE$8:$DE852,1)=1,1,0),0)</f>
        <v/>
      </c>
      <c r="DH852" s="83">
        <f>IF($DG852=1,SUMIFS($DF$8:$DF$1600,$F$8:$F$1600,$F852),0)</f>
        <v/>
      </c>
      <c r="DI852" s="78">
        <f>IF($DG852=1,COUNTIFS($F$8:$F$1600,$F852,$DE$8:$DE$1600,1),0)</f>
        <v/>
      </c>
      <c r="DJ852" s="84">
        <f>IF($DG852=1,$DH852+(100000-ROW())/mTieBreak,0)</f>
        <v/>
      </c>
    </row>
    <row r="853">
      <c r="B853" s="68" t="n">
        <v>38</v>
      </c>
      <c r="C853" s="69" t="inlineStr">
        <is>
          <t>DBJ17C06</t>
        </is>
      </c>
      <c r="D853" s="69" t="inlineStr">
        <is>
          <t>38.000</t>
        </is>
      </c>
      <c r="E853" s="69" t="inlineStr">
        <is>
          <t>Andover Bay Apartments</t>
        </is>
      </c>
      <c r="F853" s="69" t="inlineStr">
        <is>
          <t>LNDBJ17C06-38.000</t>
        </is>
      </c>
      <c r="G853" s="70" t="n"/>
      <c r="H853" s="71" t="n">
        <v>5000000</v>
      </c>
      <c r="I853" s="71" t="n">
        <v>4199895.080000001</v>
      </c>
      <c r="J853" s="72" t="n">
        <v>5.11</v>
      </c>
      <c r="K853" s="69" t="inlineStr">
        <is>
          <t>Fixed rate</t>
        </is>
      </c>
      <c r="L853" s="68" t="n">
        <v>120</v>
      </c>
      <c r="M853" s="68" t="n">
        <v>8</v>
      </c>
      <c r="N853" s="68" t="n">
        <v>360</v>
      </c>
      <c r="O853" s="68" t="n"/>
      <c r="P853" s="68" t="n"/>
      <c r="Q853" s="68" t="n">
        <v>112</v>
      </c>
      <c r="R853" s="69" t="n"/>
      <c r="S853" s="69" t="inlineStr">
        <is>
          <t>No</t>
        </is>
      </c>
      <c r="T853" s="73" t="n">
        <v>42856</v>
      </c>
      <c r="U853" s="73" t="n">
        <v>46513</v>
      </c>
      <c r="V853" s="73" t="n"/>
      <c r="W853" s="69" t="n"/>
      <c r="X853" s="69" t="inlineStr">
        <is>
          <t>Current</t>
        </is>
      </c>
      <c r="Y853" s="68" t="n"/>
      <c r="Z853" s="69" t="inlineStr">
        <is>
          <t>Full Defeasance</t>
        </is>
      </c>
      <c r="AA853" s="69" t="inlineStr">
        <is>
          <t>Previously</t>
        </is>
      </c>
      <c r="AB853" s="69" t="inlineStr">
        <is>
          <t>Never special serv</t>
        </is>
      </c>
      <c r="AC853" s="73" t="n"/>
      <c r="AD853" s="69" t="n"/>
      <c r="AE853" s="69" t="n"/>
      <c r="AF853" s="69" t="inlineStr">
        <is>
          <t>FL</t>
        </is>
      </c>
      <c r="AG853" s="69" t="inlineStr">
        <is>
          <t>St. Petersburg</t>
        </is>
      </c>
      <c r="AH853" s="69" t="inlineStr">
        <is>
          <t>Tampa-St. Petersburg-Clearwater, FL</t>
        </is>
      </c>
      <c r="AI853" s="69" t="inlineStr">
        <is>
          <t>South / Atlantic</t>
        </is>
      </c>
      <c r="AJ853" s="69" t="inlineStr">
        <is>
          <t>MF</t>
        </is>
      </c>
      <c r="AK853" s="69" t="inlineStr">
        <is>
          <t>Garden</t>
        </is>
      </c>
      <c r="AL853" s="68" t="n">
        <v>1</v>
      </c>
      <c r="AM853" s="68" t="n">
        <v>45</v>
      </c>
      <c r="AN853" s="68" t="n"/>
      <c r="AO853" s="69" t="inlineStr">
        <is>
          <t>2008, 2011, 2015, 2016</t>
        </is>
      </c>
      <c r="AP853" s="70" t="n">
        <v>2016</v>
      </c>
      <c r="AQ853" s="74" t="n">
        <v>1.37</v>
      </c>
      <c r="AR853" s="74" t="n">
        <v>1.39</v>
      </c>
      <c r="AS853" s="74" t="n">
        <v>71.40000000000001</v>
      </c>
      <c r="AT853" s="74" t="n">
        <v>60</v>
      </c>
      <c r="AU853" s="74" t="n">
        <v>58.9</v>
      </c>
      <c r="AV853" s="74" t="n">
        <v>8.962431799999999</v>
      </c>
      <c r="AW853" s="74" t="n">
        <v>11.886450744</v>
      </c>
      <c r="AX853" s="75" t="n">
        <v>93</v>
      </c>
      <c r="AY853" s="71" t="n">
        <v>7000000</v>
      </c>
      <c r="AZ853" s="71" t="n">
        <v>7000000</v>
      </c>
      <c r="BA853" s="71" t="n">
        <v>448121.59</v>
      </c>
      <c r="BB853" s="71" t="n">
        <v>452410.63</v>
      </c>
      <c r="BC853" s="69" t="inlineStr">
        <is>
          <t>Refinance</t>
        </is>
      </c>
      <c r="BD853" s="69" t="inlineStr">
        <is>
          <t>N</t>
        </is>
      </c>
      <c r="BE853" s="71" t="n"/>
      <c r="BF853" s="71" t="n"/>
      <c r="BG853" s="71" t="n"/>
      <c r="BH853" s="71" t="n">
        <v>0</v>
      </c>
      <c r="BI853" s="71" t="n">
        <v>0</v>
      </c>
      <c r="BJ853" s="69" t="inlineStr">
        <is>
          <t>N</t>
        </is>
      </c>
      <c r="BK853" s="69" t="n"/>
      <c r="BL853" s="75" t="n"/>
      <c r="BM853" s="73" t="n"/>
      <c r="BN853" s="69" t="inlineStr">
        <is>
          <t>Frank Mastandrea; Hillarie Mastrandrea; Andrea Bennett; Peter Bennett</t>
        </is>
      </c>
      <c r="BO853" s="69" t="inlineStr">
        <is>
          <t>GACC</t>
        </is>
      </c>
      <c r="BP853" s="69" t="inlineStr">
        <is>
          <t>Midland Loan Services</t>
        </is>
      </c>
      <c r="BQ853" s="69" t="inlineStr">
        <is>
          <t>K-Star Asset Management LLC</t>
        </is>
      </c>
      <c r="BR853" s="69" t="n"/>
      <c r="BS853" s="73" t="n">
        <v>46273</v>
      </c>
      <c r="BU853" s="76">
        <f>IF($C853="","",IFERROR(INDEX(dmName,MATCH($C853,dmID,0)),"Unmapped"))</f>
        <v/>
      </c>
      <c r="BV853" s="76">
        <f>IF($C853="","",IFERROR(INDEX(dmEntity,MATCH($C853,dmID,0)),"Unmapped"))</f>
        <v/>
      </c>
      <c r="BW853" s="77">
        <f>IF($C853="","",IFERROR(INDEX(dmVintage,MATCH($C853,dmID,0)),""))</f>
        <v/>
      </c>
      <c r="BX853" s="78">
        <f>IFERROR(INDEX(dmInclude,MATCH($C853,dmID,0)),0)</f>
        <v/>
      </c>
      <c r="BY853" s="78">
        <f>IF(N($I853)&gt;0,1,0)</f>
        <v/>
      </c>
      <c r="BZ853" s="76">
        <f>IF($AJ853="","Other / Leased Fee",IFERROR(INDEX(mapPTGroup,MATCH(LEFT(TRIM($AJ853),2),mapPTCode,0)),"Other / Leased Fee"))</f>
        <v/>
      </c>
      <c r="CA853" s="76">
        <f>IF(TRIM($AF853&amp;"")="","NR",LEFT(TRIM($AF853),2))</f>
        <v/>
      </c>
      <c r="CB853" s="76">
        <f>IFERROR(LOOKUP(2,1/(LEFT(TRIM($AI853&amp;""),LEN(mapRegion))=mapRegion),mapRegion),"Not Reported")</f>
        <v/>
      </c>
      <c r="CC853" s="76">
        <f>IF($BY853=0,"",IF(TRIM($W853&amp;"")="REO","REO",IF(TRIM($W853&amp;"")="FC","Foreclosure",IF(TRIM($W853&amp;"")="90+","90+ Days Delinquent",IF(TRIM($W853&amp;"")="60","60 Days Delinquent",IF(TRIM($W853&amp;"")="30","30 Days Delinquent",IF($X853="Non-Performing Matured Balloon","Non-Performing Matured Balloon",IF(OR($X853="Late Payment But Less Than 30 Days Delinquent",LEFT($X853&amp;"",20)="Payment Not Received"),"Late / In Grace (&lt;30 Days)",IF($X853="Performing Matured Balloon","Performing Matured Balloon","Current")))))))))</f>
        <v/>
      </c>
      <c r="CD853" s="78">
        <f>IF(OR($CC853="REO",$CC853="Foreclosure",$CC853="90+ Days Delinquent",$CC853="60 Days Delinquent",$CC853="30 Days Delinquent",$CC853="Non-Performing Matured Balloon"),1,0)</f>
        <v/>
      </c>
      <c r="CE853" s="76">
        <f>IF($AB853="Currently special serv","Currently Specially Serviced",IF($AB853="Returned to master serv","Previously Specially Serviced","Never Specially Serviced"))</f>
        <v/>
      </c>
      <c r="CF853" s="78">
        <f>IF($CE853="Currently Specially Serviced",1,0)</f>
        <v/>
      </c>
      <c r="CG853" s="76">
        <f>IF($AA853="Yes","Currently on Watchlist",IF($AA853="Previously","Previously on Watchlist","Never on Watchlist"))</f>
        <v/>
      </c>
      <c r="CH853" s="78">
        <f>IF($CG853="Currently on Watchlist",1,0)</f>
        <v/>
      </c>
      <c r="CI853" s="76">
        <f>IF($Z853="Full Defeasance","Fully Defeased",IF($Z853="Portion Of Loan Previously Defeased","Partially Defeased",IF($Z853="Defeasance Not Allowable","Not Defeased (Not Permitted)","Not Defeased")))</f>
        <v/>
      </c>
      <c r="CJ853" s="78">
        <f>IF($CI853="Fully Defeased",1,0)</f>
        <v/>
      </c>
      <c r="CK853" s="76">
        <f>IF($R853="IO","Full IO",IF(LEFT($R853&amp;"",7)="IO then","Partial IO","Amortizing"))</f>
        <v/>
      </c>
      <c r="CL853" s="78">
        <f>IF($CK853="Full IO",1,0)</f>
        <v/>
      </c>
      <c r="CM853" s="78">
        <f>IF($CK853="Partial IO",1,0)</f>
        <v/>
      </c>
      <c r="CN853" s="76">
        <f>IF(LEFT($F853&amp;"",10)="SPLIT_LOAN","Pari Passu Split","Standalone")</f>
        <v/>
      </c>
      <c r="CO853" s="78">
        <f>IF($CN853="Pari Passu Split",1,0)</f>
        <v/>
      </c>
      <c r="CP853" s="77">
        <f>IF(ISNUMBER($T853),YEAR($T853),"")</f>
        <v/>
      </c>
      <c r="CQ853" s="79">
        <f>IF(ISNUMBER($V853),$V853,IF(ISNUMBER($U853),$U853,""))</f>
        <v/>
      </c>
      <c r="CR853" s="77">
        <f>IF(ISNUMBER($CQ853),YEAR($CQ853),"")</f>
        <v/>
      </c>
      <c r="CS853" s="78">
        <f>IF(ISNUMBER($M853),MAX(0,$M853),IF(TRIM($M853&amp;"")="matured",0,""))</f>
        <v/>
      </c>
      <c r="CT853" s="78">
        <f>IF(AND(ISNUMBER($CS853),N($CS853)&lt;=mMatWindow),1,0)</f>
        <v/>
      </c>
      <c r="CU853" s="80">
        <f>IF(ISNUMBER($J853),$J853/100,"")</f>
        <v/>
      </c>
      <c r="CV853" s="81">
        <f>IF(ISNUMBER($AQ853),$AQ853,"")</f>
        <v/>
      </c>
      <c r="CW853" s="81">
        <f>IF(ISNUMBER($AR853),$AR853,"")</f>
        <v/>
      </c>
      <c r="CX853" s="82">
        <f>IF(ISNUMBER($AS853),$AS853/100,"")</f>
        <v/>
      </c>
      <c r="CY853" s="82">
        <f>IF(ISNUMBER($AT853),$AT853/100,"")</f>
        <v/>
      </c>
      <c r="CZ853" s="82">
        <f>IF(ISNUMBER($AU853),$AU853/100,"")</f>
        <v/>
      </c>
      <c r="DA853" s="82">
        <f>IF(ISNUMBER($AV853),$AV853/100,"")</f>
        <v/>
      </c>
      <c r="DB853" s="82">
        <f>IF(ISNUMBER($AW853),$AW853/100,"")</f>
        <v/>
      </c>
      <c r="DC853" s="82">
        <f>IF(ISNUMBER($AX853),$AX853/100,"")</f>
        <v/>
      </c>
      <c r="DD853" s="77">
        <f>IFERROR(VALUE(LEFT(TRIM($AO853&amp;""),4)),"")</f>
        <v/>
      </c>
      <c r="DE853" s="78">
        <f>IF(AND($BY853=1,$BX853=1,OR(fDeal="All Deals",$BU853=fDeal),OR(fEntity="All Entities",$BV853=fEntity),OR(fPType="All Property Types",$BZ853=fPType),OR(fDefeased="Include",$CJ853=0)),1,0)</f>
        <v/>
      </c>
      <c r="DF853" s="83">
        <f>$DE853*N($I853)</f>
        <v/>
      </c>
      <c r="DG853" s="78">
        <f>IF($DE853=1,IF(COUNTIFS($F$8:$F853,$F853,$DE$8:$DE853,1)=1,1,0),0)</f>
        <v/>
      </c>
      <c r="DH853" s="83">
        <f>IF($DG853=1,SUMIFS($DF$8:$DF$1600,$F$8:$F$1600,$F853),0)</f>
        <v/>
      </c>
      <c r="DI853" s="78">
        <f>IF($DG853=1,COUNTIFS($F$8:$F$1600,$F853,$DE$8:$DE$1600,1),0)</f>
        <v/>
      </c>
      <c r="DJ853" s="84">
        <f>IF($DG853=1,$DH853+(100000-ROW())/mTieBreak,0)</f>
        <v/>
      </c>
    </row>
    <row r="854">
      <c r="B854" s="68" t="n">
        <v>39</v>
      </c>
      <c r="C854" s="69" t="inlineStr">
        <is>
          <t>DBJ17C06</t>
        </is>
      </c>
      <c r="D854" s="69" t="inlineStr">
        <is>
          <t>39.000</t>
        </is>
      </c>
      <c r="E854" s="69" t="inlineStr">
        <is>
          <t>8333 Royal Ridge</t>
        </is>
      </c>
      <c r="F854" s="69" t="inlineStr">
        <is>
          <t>LNDBJ17C06-39.000</t>
        </is>
      </c>
      <c r="G854" s="70" t="n"/>
      <c r="H854" s="71" t="n">
        <v>4500000</v>
      </c>
      <c r="I854" s="71" t="n">
        <v>4010906.680001999</v>
      </c>
      <c r="J854" s="72" t="n">
        <v>4.9</v>
      </c>
      <c r="K854" s="69" t="inlineStr">
        <is>
          <t>Fixed rate</t>
        </is>
      </c>
      <c r="L854" s="68" t="n">
        <v>120</v>
      </c>
      <c r="M854" s="68" t="n">
        <v>5</v>
      </c>
      <c r="N854" s="68" t="n">
        <v>396</v>
      </c>
      <c r="O854" s="68" t="n">
        <v>36</v>
      </c>
      <c r="P854" s="68" t="n">
        <v>0</v>
      </c>
      <c r="Q854" s="68" t="n">
        <v>115</v>
      </c>
      <c r="R854" s="69" t="inlineStr">
        <is>
          <t>IO then Amort</t>
        </is>
      </c>
      <c r="S854" s="69" t="inlineStr">
        <is>
          <t>No</t>
        </is>
      </c>
      <c r="T854" s="73" t="n">
        <v>42767</v>
      </c>
      <c r="U854" s="73" t="n">
        <v>46424</v>
      </c>
      <c r="V854" s="73" t="n"/>
      <c r="W854" s="69" t="n"/>
      <c r="X854" s="69" t="inlineStr">
        <is>
          <t>Current</t>
        </is>
      </c>
      <c r="Y854" s="68" t="n"/>
      <c r="Z854" s="69" t="inlineStr">
        <is>
          <t>Full Defeasance</t>
        </is>
      </c>
      <c r="AA854" s="69" t="inlineStr">
        <is>
          <t>Previously</t>
        </is>
      </c>
      <c r="AB854" s="69" t="inlineStr">
        <is>
          <t>Never special serv</t>
        </is>
      </c>
      <c r="AC854" s="73" t="n"/>
      <c r="AD854" s="69" t="n"/>
      <c r="AE854" s="69" t="n"/>
      <c r="AF854" s="69" t="inlineStr">
        <is>
          <t>TX</t>
        </is>
      </c>
      <c r="AG854" s="69" t="inlineStr">
        <is>
          <t>Irving</t>
        </is>
      </c>
      <c r="AH854" s="69" t="inlineStr">
        <is>
          <t>Dallas-Fort Worth-Arlington, TX</t>
        </is>
      </c>
      <c r="AI854" s="69" t="inlineStr">
        <is>
          <t>South / Central West</t>
        </is>
      </c>
      <c r="AJ854" s="69" t="inlineStr">
        <is>
          <t>OF</t>
        </is>
      </c>
      <c r="AK854" s="69" t="inlineStr">
        <is>
          <t>Suburban</t>
        </is>
      </c>
      <c r="AL854" s="68" t="n">
        <v>1</v>
      </c>
      <c r="AM854" s="68" t="n"/>
      <c r="AN854" s="68" t="n">
        <v>44104</v>
      </c>
      <c r="AO854" s="69" t="inlineStr">
        <is>
          <t>2000</t>
        </is>
      </c>
      <c r="AP854" s="70" t="n">
        <v>2000</v>
      </c>
      <c r="AQ854" s="74" t="n">
        <v>1.6</v>
      </c>
      <c r="AR854" s="74" t="n">
        <v>2.48</v>
      </c>
      <c r="AS854" s="74" t="n">
        <v>68.7</v>
      </c>
      <c r="AT854" s="74" t="n">
        <v>61.24</v>
      </c>
      <c r="AU854" s="74" t="n">
        <v>60.7</v>
      </c>
      <c r="AV854" s="74" t="n">
        <v>10.189510444</v>
      </c>
      <c r="AW854" s="74" t="n">
        <v>17.710553415</v>
      </c>
      <c r="AX854" s="75" t="n">
        <v>100</v>
      </c>
      <c r="AY854" s="71" t="n">
        <v>6550000</v>
      </c>
      <c r="AZ854" s="71" t="n">
        <v>6550000</v>
      </c>
      <c r="BA854" s="71" t="n">
        <v>458527.97</v>
      </c>
      <c r="BB854" s="71" t="n">
        <v>710353.77</v>
      </c>
      <c r="BC854" s="69" t="inlineStr">
        <is>
          <t>Acquisition</t>
        </is>
      </c>
      <c r="BD854" s="69" t="inlineStr">
        <is>
          <t>N</t>
        </is>
      </c>
      <c r="BE854" s="71" t="n"/>
      <c r="BF854" s="71" t="n"/>
      <c r="BG854" s="71" t="n"/>
      <c r="BH854" s="71" t="n">
        <v>0</v>
      </c>
      <c r="BI854" s="71" t="n">
        <v>0</v>
      </c>
      <c r="BJ854" s="69" t="inlineStr">
        <is>
          <t>N</t>
        </is>
      </c>
      <c r="BK854" s="69" t="inlineStr">
        <is>
          <t>Berkshire Hathaway Automotive</t>
        </is>
      </c>
      <c r="BL854" s="75" t="n">
        <v>76.56</v>
      </c>
      <c r="BM854" s="73" t="n">
        <v>45747</v>
      </c>
      <c r="BN854" s="69" t="inlineStr">
        <is>
          <t>J. Tracy Fults</t>
        </is>
      </c>
      <c r="BO854" s="69" t="inlineStr">
        <is>
          <t>GACC</t>
        </is>
      </c>
      <c r="BP854" s="69" t="inlineStr">
        <is>
          <t>Midland Loan Services</t>
        </is>
      </c>
      <c r="BQ854" s="69" t="inlineStr">
        <is>
          <t>K-Star Asset Management LLC</t>
        </is>
      </c>
      <c r="BR854" s="69" t="n"/>
      <c r="BS854" s="73" t="n">
        <v>46273</v>
      </c>
      <c r="BU854" s="76">
        <f>IF($C854="","",IFERROR(INDEX(dmName,MATCH($C854,dmID,0)),"Unmapped"))</f>
        <v/>
      </c>
      <c r="BV854" s="76">
        <f>IF($C854="","",IFERROR(INDEX(dmEntity,MATCH($C854,dmID,0)),"Unmapped"))</f>
        <v/>
      </c>
      <c r="BW854" s="77">
        <f>IF($C854="","",IFERROR(INDEX(dmVintage,MATCH($C854,dmID,0)),""))</f>
        <v/>
      </c>
      <c r="BX854" s="78">
        <f>IFERROR(INDEX(dmInclude,MATCH($C854,dmID,0)),0)</f>
        <v/>
      </c>
      <c r="BY854" s="78">
        <f>IF(N($I854)&gt;0,1,0)</f>
        <v/>
      </c>
      <c r="BZ854" s="76">
        <f>IF($AJ854="","Other / Leased Fee",IFERROR(INDEX(mapPTGroup,MATCH(LEFT(TRIM($AJ854),2),mapPTCode,0)),"Other / Leased Fee"))</f>
        <v/>
      </c>
      <c r="CA854" s="76">
        <f>IF(TRIM($AF854&amp;"")="","NR",LEFT(TRIM($AF854),2))</f>
        <v/>
      </c>
      <c r="CB854" s="76">
        <f>IFERROR(LOOKUP(2,1/(LEFT(TRIM($AI854&amp;""),LEN(mapRegion))=mapRegion),mapRegion),"Not Reported")</f>
        <v/>
      </c>
      <c r="CC854" s="76">
        <f>IF($BY854=0,"",IF(TRIM($W854&amp;"")="REO","REO",IF(TRIM($W854&amp;"")="FC","Foreclosure",IF(TRIM($W854&amp;"")="90+","90+ Days Delinquent",IF(TRIM($W854&amp;"")="60","60 Days Delinquent",IF(TRIM($W854&amp;"")="30","30 Days Delinquent",IF($X854="Non-Performing Matured Balloon","Non-Performing Matured Balloon",IF(OR($X854="Late Payment But Less Than 30 Days Delinquent",LEFT($X854&amp;"",20)="Payment Not Received"),"Late / In Grace (&lt;30 Days)",IF($X854="Performing Matured Balloon","Performing Matured Balloon","Current")))))))))</f>
        <v/>
      </c>
      <c r="CD854" s="78">
        <f>IF(OR($CC854="REO",$CC854="Foreclosure",$CC854="90+ Days Delinquent",$CC854="60 Days Delinquent",$CC854="30 Days Delinquent",$CC854="Non-Performing Matured Balloon"),1,0)</f>
        <v/>
      </c>
      <c r="CE854" s="76">
        <f>IF($AB854="Currently special serv","Currently Specially Serviced",IF($AB854="Returned to master serv","Previously Specially Serviced","Never Specially Serviced"))</f>
        <v/>
      </c>
      <c r="CF854" s="78">
        <f>IF($CE854="Currently Specially Serviced",1,0)</f>
        <v/>
      </c>
      <c r="CG854" s="76">
        <f>IF($AA854="Yes","Currently on Watchlist",IF($AA854="Previously","Previously on Watchlist","Never on Watchlist"))</f>
        <v/>
      </c>
      <c r="CH854" s="78">
        <f>IF($CG854="Currently on Watchlist",1,0)</f>
        <v/>
      </c>
      <c r="CI854" s="76">
        <f>IF($Z854="Full Defeasance","Fully Defeased",IF($Z854="Portion Of Loan Previously Defeased","Partially Defeased",IF($Z854="Defeasance Not Allowable","Not Defeased (Not Permitted)","Not Defeased")))</f>
        <v/>
      </c>
      <c r="CJ854" s="78">
        <f>IF($CI854="Fully Defeased",1,0)</f>
        <v/>
      </c>
      <c r="CK854" s="76">
        <f>IF($R854="IO","Full IO",IF(LEFT($R854&amp;"",7)="IO then","Partial IO","Amortizing"))</f>
        <v/>
      </c>
      <c r="CL854" s="78">
        <f>IF($CK854="Full IO",1,0)</f>
        <v/>
      </c>
      <c r="CM854" s="78">
        <f>IF($CK854="Partial IO",1,0)</f>
        <v/>
      </c>
      <c r="CN854" s="76">
        <f>IF(LEFT($F854&amp;"",10)="SPLIT_LOAN","Pari Passu Split","Standalone")</f>
        <v/>
      </c>
      <c r="CO854" s="78">
        <f>IF($CN854="Pari Passu Split",1,0)</f>
        <v/>
      </c>
      <c r="CP854" s="77">
        <f>IF(ISNUMBER($T854),YEAR($T854),"")</f>
        <v/>
      </c>
      <c r="CQ854" s="79">
        <f>IF(ISNUMBER($V854),$V854,IF(ISNUMBER($U854),$U854,""))</f>
        <v/>
      </c>
      <c r="CR854" s="77">
        <f>IF(ISNUMBER($CQ854),YEAR($CQ854),"")</f>
        <v/>
      </c>
      <c r="CS854" s="78">
        <f>IF(ISNUMBER($M854),MAX(0,$M854),IF(TRIM($M854&amp;"")="matured",0,""))</f>
        <v/>
      </c>
      <c r="CT854" s="78">
        <f>IF(AND(ISNUMBER($CS854),N($CS854)&lt;=mMatWindow),1,0)</f>
        <v/>
      </c>
      <c r="CU854" s="80">
        <f>IF(ISNUMBER($J854),$J854/100,"")</f>
        <v/>
      </c>
      <c r="CV854" s="81">
        <f>IF(ISNUMBER($AQ854),$AQ854,"")</f>
        <v/>
      </c>
      <c r="CW854" s="81">
        <f>IF(ISNUMBER($AR854),$AR854,"")</f>
        <v/>
      </c>
      <c r="CX854" s="82">
        <f>IF(ISNUMBER($AS854),$AS854/100,"")</f>
        <v/>
      </c>
      <c r="CY854" s="82">
        <f>IF(ISNUMBER($AT854),$AT854/100,"")</f>
        <v/>
      </c>
      <c r="CZ854" s="82">
        <f>IF(ISNUMBER($AU854),$AU854/100,"")</f>
        <v/>
      </c>
      <c r="DA854" s="82">
        <f>IF(ISNUMBER($AV854),$AV854/100,"")</f>
        <v/>
      </c>
      <c r="DB854" s="82">
        <f>IF(ISNUMBER($AW854),$AW854/100,"")</f>
        <v/>
      </c>
      <c r="DC854" s="82">
        <f>IF(ISNUMBER($AX854),$AX854/100,"")</f>
        <v/>
      </c>
      <c r="DD854" s="77">
        <f>IFERROR(VALUE(LEFT(TRIM($AO854&amp;""),4)),"")</f>
        <v/>
      </c>
      <c r="DE854" s="78">
        <f>IF(AND($BY854=1,$BX854=1,OR(fDeal="All Deals",$BU854=fDeal),OR(fEntity="All Entities",$BV854=fEntity),OR(fPType="All Property Types",$BZ854=fPType),OR(fDefeased="Include",$CJ854=0)),1,0)</f>
        <v/>
      </c>
      <c r="DF854" s="83">
        <f>$DE854*N($I854)</f>
        <v/>
      </c>
      <c r="DG854" s="78">
        <f>IF($DE854=1,IF(COUNTIFS($F$8:$F854,$F854,$DE$8:$DE854,1)=1,1,0),0)</f>
        <v/>
      </c>
      <c r="DH854" s="83">
        <f>IF($DG854=1,SUMIFS($DF$8:$DF$1600,$F$8:$F$1600,$F854),0)</f>
        <v/>
      </c>
      <c r="DI854" s="78">
        <f>IF($DG854=1,COUNTIFS($F$8:$F$1600,$F854,$DE$8:$DE$1600,1),0)</f>
        <v/>
      </c>
      <c r="DJ854" s="84">
        <f>IF($DG854=1,$DH854+(100000-ROW())/mTieBreak,0)</f>
        <v/>
      </c>
    </row>
    <row r="855">
      <c r="B855" s="68" t="n">
        <v>40</v>
      </c>
      <c r="C855" s="69" t="inlineStr">
        <is>
          <t>DBJ17C06</t>
        </is>
      </c>
      <c r="D855" s="69" t="inlineStr">
        <is>
          <t>40.000</t>
        </is>
      </c>
      <c r="E855" s="69" t="inlineStr">
        <is>
          <t>Regency Apartments</t>
        </is>
      </c>
      <c r="F855" s="69" t="inlineStr">
        <is>
          <t>LNDBJ17C06-40.000</t>
        </is>
      </c>
      <c r="G855" s="70" t="n"/>
      <c r="H855" s="71" t="n">
        <v>3385000</v>
      </c>
      <c r="I855" s="71" t="n">
        <v>2857368.23999903</v>
      </c>
      <c r="J855" s="72" t="n">
        <v>5.21</v>
      </c>
      <c r="K855" s="69" t="inlineStr">
        <is>
          <t>Fixed rate</t>
        </is>
      </c>
      <c r="L855" s="68" t="n">
        <v>120</v>
      </c>
      <c r="M855" s="68" t="n">
        <v>9</v>
      </c>
      <c r="N855" s="68" t="n">
        <v>360</v>
      </c>
      <c r="O855" s="68" t="n"/>
      <c r="P855" s="68" t="n"/>
      <c r="Q855" s="68" t="n">
        <v>111</v>
      </c>
      <c r="R855" s="69" t="n"/>
      <c r="S855" s="69" t="inlineStr">
        <is>
          <t>No</t>
        </is>
      </c>
      <c r="T855" s="73" t="n">
        <v>42887</v>
      </c>
      <c r="U855" s="73" t="n">
        <v>46544</v>
      </c>
      <c r="V855" s="73" t="n"/>
      <c r="W855" s="69" t="n"/>
      <c r="X855" s="69" t="inlineStr">
        <is>
          <t>Current</t>
        </is>
      </c>
      <c r="Y855" s="68" t="n"/>
      <c r="Z855" s="69" t="inlineStr">
        <is>
          <t>No Defeasance Occurred</t>
        </is>
      </c>
      <c r="AA855" s="69" t="inlineStr">
        <is>
          <t>Previously</t>
        </is>
      </c>
      <c r="AB855" s="69" t="inlineStr">
        <is>
          <t>Never special serv</t>
        </is>
      </c>
      <c r="AC855" s="73" t="n"/>
      <c r="AD855" s="69" t="n"/>
      <c r="AE855" s="69" t="n"/>
      <c r="AF855" s="69" t="inlineStr">
        <is>
          <t>NY</t>
        </is>
      </c>
      <c r="AG855" s="69" t="inlineStr">
        <is>
          <t>Massena</t>
        </is>
      </c>
      <c r="AH855" s="69" t="inlineStr">
        <is>
          <t>Massena-Ogdensburg, NY</t>
        </is>
      </c>
      <c r="AI855" s="69" t="inlineStr">
        <is>
          <t>Northeast / Mid-Atlantic</t>
        </is>
      </c>
      <c r="AJ855" s="69" t="inlineStr">
        <is>
          <t>MF</t>
        </is>
      </c>
      <c r="AK855" s="69" t="inlineStr">
        <is>
          <t>Garden</t>
        </is>
      </c>
      <c r="AL855" s="68" t="n">
        <v>1</v>
      </c>
      <c r="AM855" s="68" t="n">
        <v>88</v>
      </c>
      <c r="AN855" s="68" t="n"/>
      <c r="AO855" s="69" t="inlineStr">
        <is>
          <t>1978</t>
        </is>
      </c>
      <c r="AP855" s="70" t="n">
        <v>2016</v>
      </c>
      <c r="AQ855" s="74" t="n">
        <v>1.57</v>
      </c>
      <c r="AR855" s="74" t="n">
        <v>1.41</v>
      </c>
      <c r="AS855" s="74" t="n">
        <v>69.09999999999999</v>
      </c>
      <c r="AT855" s="74" t="n">
        <v>58.31</v>
      </c>
      <c r="AU855" s="74" t="n">
        <v>57.2</v>
      </c>
      <c r="AV855" s="74" t="n">
        <v>10.347857903</v>
      </c>
      <c r="AW855" s="74" t="n">
        <v>11.314282684</v>
      </c>
      <c r="AX855" s="75" t="n">
        <v>99</v>
      </c>
      <c r="AY855" s="71" t="n">
        <v>4900000</v>
      </c>
      <c r="AZ855" s="71" t="n">
        <v>4900000</v>
      </c>
      <c r="BA855" s="71" t="n">
        <v>350274.99</v>
      </c>
      <c r="BB855" s="71" t="n">
        <v>315830.65</v>
      </c>
      <c r="BC855" s="69" t="inlineStr">
        <is>
          <t>Refinance</t>
        </is>
      </c>
      <c r="BD855" s="69" t="inlineStr">
        <is>
          <t>N</t>
        </is>
      </c>
      <c r="BE855" s="71" t="n"/>
      <c r="BF855" s="71" t="n"/>
      <c r="BG855" s="71" t="n"/>
      <c r="BH855" s="71" t="n">
        <v>0</v>
      </c>
      <c r="BI855" s="71" t="n">
        <v>0</v>
      </c>
      <c r="BJ855" s="69" t="inlineStr">
        <is>
          <t>N</t>
        </is>
      </c>
      <c r="BK855" s="69" t="n"/>
      <c r="BL855" s="75" t="n"/>
      <c r="BM855" s="73" t="n"/>
      <c r="BN855" s="69" t="inlineStr">
        <is>
          <t>Martin Tauber</t>
        </is>
      </c>
      <c r="BO855" s="69" t="inlineStr">
        <is>
          <t>GACC</t>
        </is>
      </c>
      <c r="BP855" s="69" t="inlineStr">
        <is>
          <t>Midland Loan Services</t>
        </is>
      </c>
      <c r="BQ855" s="69" t="inlineStr">
        <is>
          <t>K-Star Asset Management LLC</t>
        </is>
      </c>
      <c r="BR855" s="69" t="n"/>
      <c r="BS855" s="73" t="n">
        <v>46273</v>
      </c>
      <c r="BU855" s="76">
        <f>IF($C855="","",IFERROR(INDEX(dmName,MATCH($C855,dmID,0)),"Unmapped"))</f>
        <v/>
      </c>
      <c r="BV855" s="76">
        <f>IF($C855="","",IFERROR(INDEX(dmEntity,MATCH($C855,dmID,0)),"Unmapped"))</f>
        <v/>
      </c>
      <c r="BW855" s="77">
        <f>IF($C855="","",IFERROR(INDEX(dmVintage,MATCH($C855,dmID,0)),""))</f>
        <v/>
      </c>
      <c r="BX855" s="78">
        <f>IFERROR(INDEX(dmInclude,MATCH($C855,dmID,0)),0)</f>
        <v/>
      </c>
      <c r="BY855" s="78">
        <f>IF(N($I855)&gt;0,1,0)</f>
        <v/>
      </c>
      <c r="BZ855" s="76">
        <f>IF($AJ855="","Other / Leased Fee",IFERROR(INDEX(mapPTGroup,MATCH(LEFT(TRIM($AJ855),2),mapPTCode,0)),"Other / Leased Fee"))</f>
        <v/>
      </c>
      <c r="CA855" s="76">
        <f>IF(TRIM($AF855&amp;"")="","NR",LEFT(TRIM($AF855),2))</f>
        <v/>
      </c>
      <c r="CB855" s="76">
        <f>IFERROR(LOOKUP(2,1/(LEFT(TRIM($AI855&amp;""),LEN(mapRegion))=mapRegion),mapRegion),"Not Reported")</f>
        <v/>
      </c>
      <c r="CC855" s="76">
        <f>IF($BY855=0,"",IF(TRIM($W855&amp;"")="REO","REO",IF(TRIM($W855&amp;"")="FC","Foreclosure",IF(TRIM($W855&amp;"")="90+","90+ Days Delinquent",IF(TRIM($W855&amp;"")="60","60 Days Delinquent",IF(TRIM($W855&amp;"")="30","30 Days Delinquent",IF($X855="Non-Performing Matured Balloon","Non-Performing Matured Balloon",IF(OR($X855="Late Payment But Less Than 30 Days Delinquent",LEFT($X855&amp;"",20)="Payment Not Received"),"Late / In Grace (&lt;30 Days)",IF($X855="Performing Matured Balloon","Performing Matured Balloon","Current")))))))))</f>
        <v/>
      </c>
      <c r="CD855" s="78">
        <f>IF(OR($CC855="REO",$CC855="Foreclosure",$CC855="90+ Days Delinquent",$CC855="60 Days Delinquent",$CC855="30 Days Delinquent",$CC855="Non-Performing Matured Balloon"),1,0)</f>
        <v/>
      </c>
      <c r="CE855" s="76">
        <f>IF($AB855="Currently special serv","Currently Specially Serviced",IF($AB855="Returned to master serv","Previously Specially Serviced","Never Specially Serviced"))</f>
        <v/>
      </c>
      <c r="CF855" s="78">
        <f>IF($CE855="Currently Specially Serviced",1,0)</f>
        <v/>
      </c>
      <c r="CG855" s="76">
        <f>IF($AA855="Yes","Currently on Watchlist",IF($AA855="Previously","Previously on Watchlist","Never on Watchlist"))</f>
        <v/>
      </c>
      <c r="CH855" s="78">
        <f>IF($CG855="Currently on Watchlist",1,0)</f>
        <v/>
      </c>
      <c r="CI855" s="76">
        <f>IF($Z855="Full Defeasance","Fully Defeased",IF($Z855="Portion Of Loan Previously Defeased","Partially Defeased",IF($Z855="Defeasance Not Allowable","Not Defeased (Not Permitted)","Not Defeased")))</f>
        <v/>
      </c>
      <c r="CJ855" s="78">
        <f>IF($CI855="Fully Defeased",1,0)</f>
        <v/>
      </c>
      <c r="CK855" s="76">
        <f>IF($R855="IO","Full IO",IF(LEFT($R855&amp;"",7)="IO then","Partial IO","Amortizing"))</f>
        <v/>
      </c>
      <c r="CL855" s="78">
        <f>IF($CK855="Full IO",1,0)</f>
        <v/>
      </c>
      <c r="CM855" s="78">
        <f>IF($CK855="Partial IO",1,0)</f>
        <v/>
      </c>
      <c r="CN855" s="76">
        <f>IF(LEFT($F855&amp;"",10)="SPLIT_LOAN","Pari Passu Split","Standalone")</f>
        <v/>
      </c>
      <c r="CO855" s="78">
        <f>IF($CN855="Pari Passu Split",1,0)</f>
        <v/>
      </c>
      <c r="CP855" s="77">
        <f>IF(ISNUMBER($T855),YEAR($T855),"")</f>
        <v/>
      </c>
      <c r="CQ855" s="79">
        <f>IF(ISNUMBER($V855),$V855,IF(ISNUMBER($U855),$U855,""))</f>
        <v/>
      </c>
      <c r="CR855" s="77">
        <f>IF(ISNUMBER($CQ855),YEAR($CQ855),"")</f>
        <v/>
      </c>
      <c r="CS855" s="78">
        <f>IF(ISNUMBER($M855),MAX(0,$M855),IF(TRIM($M855&amp;"")="matured",0,""))</f>
        <v/>
      </c>
      <c r="CT855" s="78">
        <f>IF(AND(ISNUMBER($CS855),N($CS855)&lt;=mMatWindow),1,0)</f>
        <v/>
      </c>
      <c r="CU855" s="80">
        <f>IF(ISNUMBER($J855),$J855/100,"")</f>
        <v/>
      </c>
      <c r="CV855" s="81">
        <f>IF(ISNUMBER($AQ855),$AQ855,"")</f>
        <v/>
      </c>
      <c r="CW855" s="81">
        <f>IF(ISNUMBER($AR855),$AR855,"")</f>
        <v/>
      </c>
      <c r="CX855" s="82">
        <f>IF(ISNUMBER($AS855),$AS855/100,"")</f>
        <v/>
      </c>
      <c r="CY855" s="82">
        <f>IF(ISNUMBER($AT855),$AT855/100,"")</f>
        <v/>
      </c>
      <c r="CZ855" s="82">
        <f>IF(ISNUMBER($AU855),$AU855/100,"")</f>
        <v/>
      </c>
      <c r="DA855" s="82">
        <f>IF(ISNUMBER($AV855),$AV855/100,"")</f>
        <v/>
      </c>
      <c r="DB855" s="82">
        <f>IF(ISNUMBER($AW855),$AW855/100,"")</f>
        <v/>
      </c>
      <c r="DC855" s="82">
        <f>IF(ISNUMBER($AX855),$AX855/100,"")</f>
        <v/>
      </c>
      <c r="DD855" s="77">
        <f>IFERROR(VALUE(LEFT(TRIM($AO855&amp;""),4)),"")</f>
        <v/>
      </c>
      <c r="DE855" s="78">
        <f>IF(AND($BY855=1,$BX855=1,OR(fDeal="All Deals",$BU855=fDeal),OR(fEntity="All Entities",$BV855=fEntity),OR(fPType="All Property Types",$BZ855=fPType),OR(fDefeased="Include",$CJ855=0)),1,0)</f>
        <v/>
      </c>
      <c r="DF855" s="83">
        <f>$DE855*N($I855)</f>
        <v/>
      </c>
      <c r="DG855" s="78">
        <f>IF($DE855=1,IF(COUNTIFS($F$8:$F855,$F855,$DE$8:$DE855,1)=1,1,0),0)</f>
        <v/>
      </c>
      <c r="DH855" s="83">
        <f>IF($DG855=1,SUMIFS($DF$8:$DF$1600,$F$8:$F$1600,$F855),0)</f>
        <v/>
      </c>
      <c r="DI855" s="78">
        <f>IF($DG855=1,COUNTIFS($F$8:$F$1600,$F855,$DE$8:$DE$1600,1),0)</f>
        <v/>
      </c>
      <c r="DJ855" s="84">
        <f>IF($DG855=1,$DH855+(100000-ROW())/mTieBreak,0)</f>
        <v/>
      </c>
    </row>
    <row r="856">
      <c r="B856" s="68" t="n">
        <v>41</v>
      </c>
      <c r="C856" s="69" t="inlineStr">
        <is>
          <t>DBJ17C06</t>
        </is>
      </c>
      <c r="D856" s="69" t="inlineStr">
        <is>
          <t>41.000</t>
        </is>
      </c>
      <c r="E856" s="69" t="inlineStr">
        <is>
          <t>2800 Sprouse</t>
        </is>
      </c>
      <c r="F856" s="69" t="inlineStr">
        <is>
          <t>LNDBJ17C06-41.000</t>
        </is>
      </c>
      <c r="G856" s="70" t="n"/>
      <c r="H856" s="71" t="n">
        <v>3100000</v>
      </c>
      <c r="I856" s="71" t="n">
        <v>0</v>
      </c>
      <c r="J856" s="72" t="n">
        <v>5.07</v>
      </c>
      <c r="K856" s="69" t="inlineStr">
        <is>
          <t>Fixed rate</t>
        </is>
      </c>
      <c r="L856" s="68" t="n">
        <v>60</v>
      </c>
      <c r="M856" s="68" t="n"/>
      <c r="N856" s="68" t="n">
        <v>384</v>
      </c>
      <c r="O856" s="68" t="n">
        <v>24</v>
      </c>
      <c r="P856" s="68" t="n"/>
      <c r="Q856" s="68" t="n"/>
      <c r="R856" s="69" t="inlineStr">
        <is>
          <t>IO then Amort</t>
        </is>
      </c>
      <c r="S856" s="69" t="inlineStr">
        <is>
          <t>No</t>
        </is>
      </c>
      <c r="T856" s="73" t="n">
        <v>42887</v>
      </c>
      <c r="U856" s="73" t="n">
        <v>44718</v>
      </c>
      <c r="V856" s="73" t="n"/>
      <c r="W856" s="69" t="n"/>
      <c r="X856" s="69" t="inlineStr">
        <is>
          <t>Current</t>
        </is>
      </c>
      <c r="Y856" s="68" t="n"/>
      <c r="Z856" s="69" t="inlineStr">
        <is>
          <t>No Defeasance Occurred</t>
        </is>
      </c>
      <c r="AA856" s="69" t="inlineStr">
        <is>
          <t>Previously</t>
        </is>
      </c>
      <c r="AB856" s="69" t="inlineStr">
        <is>
          <t>Never special serv</t>
        </is>
      </c>
      <c r="AC856" s="73" t="n"/>
      <c r="AD856" s="69" t="n"/>
      <c r="AE856" s="69" t="n"/>
      <c r="AF856" s="69" t="inlineStr">
        <is>
          <t>VA</t>
        </is>
      </c>
      <c r="AG856" s="69" t="inlineStr">
        <is>
          <t>Richmond</t>
        </is>
      </c>
      <c r="AH856" s="69" t="inlineStr">
        <is>
          <t>Richmond, VA</t>
        </is>
      </c>
      <c r="AI856" s="69" t="inlineStr">
        <is>
          <t>South / Atlantic</t>
        </is>
      </c>
      <c r="AJ856" s="69" t="inlineStr">
        <is>
          <t>IN</t>
        </is>
      </c>
      <c r="AK856" s="69" t="inlineStr">
        <is>
          <t>Manufacturing</t>
        </is>
      </c>
      <c r="AL856" s="68" t="n">
        <v>1</v>
      </c>
      <c r="AM856" s="68" t="n"/>
      <c r="AN856" s="68" t="n">
        <v>148877</v>
      </c>
      <c r="AO856" s="69" t="inlineStr">
        <is>
          <t>1985</t>
        </is>
      </c>
      <c r="AP856" s="70" t="n">
        <v>1999</v>
      </c>
      <c r="AQ856" s="74" t="n">
        <v>1.91</v>
      </c>
      <c r="AR856" s="74" t="n">
        <v>2.32</v>
      </c>
      <c r="AS856" s="74" t="n">
        <v>57.4</v>
      </c>
      <c r="AT856" s="74" t="n"/>
      <c r="AU856" s="74" t="n">
        <v>54.9</v>
      </c>
      <c r="AV856" s="74" t="n">
        <v>12.430421935</v>
      </c>
      <c r="AW856" s="74" t="n"/>
      <c r="AX856" s="75" t="n">
        <v>100</v>
      </c>
      <c r="AY856" s="71" t="n">
        <v>5400000</v>
      </c>
      <c r="AZ856" s="71" t="n">
        <v>5400000</v>
      </c>
      <c r="BA856" s="71" t="n">
        <v>385343.08</v>
      </c>
      <c r="BB856" s="71" t="n">
        <v>466777.51</v>
      </c>
      <c r="BC856" s="69" t="inlineStr">
        <is>
          <t>Acquisition</t>
        </is>
      </c>
      <c r="BD856" s="69" t="inlineStr">
        <is>
          <t>N</t>
        </is>
      </c>
      <c r="BE856" s="71" t="n"/>
      <c r="BF856" s="71" t="n"/>
      <c r="BG856" s="71" t="n"/>
      <c r="BH856" s="71" t="n">
        <v>0</v>
      </c>
      <c r="BI856" s="71" t="n">
        <v>0</v>
      </c>
      <c r="BJ856" s="69" t="inlineStr">
        <is>
          <t>N</t>
        </is>
      </c>
      <c r="BK856" s="69" t="inlineStr">
        <is>
          <t>HILEX POLY CO</t>
        </is>
      </c>
      <c r="BL856" s="75" t="n">
        <v>100</v>
      </c>
      <c r="BM856" s="73" t="n">
        <v>46295</v>
      </c>
      <c r="BN856" s="69" t="inlineStr">
        <is>
          <t>Hackman Capital Partners, LLC; Michael D. Hackman</t>
        </is>
      </c>
      <c r="BO856" s="69" t="inlineStr">
        <is>
          <t>GACC</t>
        </is>
      </c>
      <c r="BP856" s="69" t="inlineStr">
        <is>
          <t>Midland Loan Services</t>
        </is>
      </c>
      <c r="BQ856" s="69" t="inlineStr">
        <is>
          <t>Midland Loan Services</t>
        </is>
      </c>
      <c r="BR856" s="69" t="inlineStr">
        <is>
          <t>Full Payoff At Maturity</t>
        </is>
      </c>
      <c r="BS856" s="73" t="n">
        <v>44718</v>
      </c>
      <c r="BU856" s="76">
        <f>IF($C856="","",IFERROR(INDEX(dmName,MATCH($C856,dmID,0)),"Unmapped"))</f>
        <v/>
      </c>
      <c r="BV856" s="76">
        <f>IF($C856="","",IFERROR(INDEX(dmEntity,MATCH($C856,dmID,0)),"Unmapped"))</f>
        <v/>
      </c>
      <c r="BW856" s="77">
        <f>IF($C856="","",IFERROR(INDEX(dmVintage,MATCH($C856,dmID,0)),""))</f>
        <v/>
      </c>
      <c r="BX856" s="78">
        <f>IFERROR(INDEX(dmInclude,MATCH($C856,dmID,0)),0)</f>
        <v/>
      </c>
      <c r="BY856" s="78">
        <f>IF(N($I856)&gt;0,1,0)</f>
        <v/>
      </c>
      <c r="BZ856" s="76">
        <f>IF($AJ856="","Other / Leased Fee",IFERROR(INDEX(mapPTGroup,MATCH(LEFT(TRIM($AJ856),2),mapPTCode,0)),"Other / Leased Fee"))</f>
        <v/>
      </c>
      <c r="CA856" s="76">
        <f>IF(TRIM($AF856&amp;"")="","NR",LEFT(TRIM($AF856),2))</f>
        <v/>
      </c>
      <c r="CB856" s="76">
        <f>IFERROR(LOOKUP(2,1/(LEFT(TRIM($AI856&amp;""),LEN(mapRegion))=mapRegion),mapRegion),"Not Reported")</f>
        <v/>
      </c>
      <c r="CC856" s="76">
        <f>IF($BY856=0,"",IF(TRIM($W856&amp;"")="REO","REO",IF(TRIM($W856&amp;"")="FC","Foreclosure",IF(TRIM($W856&amp;"")="90+","90+ Days Delinquent",IF(TRIM($W856&amp;"")="60","60 Days Delinquent",IF(TRIM($W856&amp;"")="30","30 Days Delinquent",IF($X856="Non-Performing Matured Balloon","Non-Performing Matured Balloon",IF(OR($X856="Late Payment But Less Than 30 Days Delinquent",LEFT($X856&amp;"",20)="Payment Not Received"),"Late / In Grace (&lt;30 Days)",IF($X856="Performing Matured Balloon","Performing Matured Balloon","Current")))))))))</f>
        <v/>
      </c>
      <c r="CD856" s="78">
        <f>IF(OR($CC856="REO",$CC856="Foreclosure",$CC856="90+ Days Delinquent",$CC856="60 Days Delinquent",$CC856="30 Days Delinquent",$CC856="Non-Performing Matured Balloon"),1,0)</f>
        <v/>
      </c>
      <c r="CE856" s="76">
        <f>IF($AB856="Currently special serv","Currently Specially Serviced",IF($AB856="Returned to master serv","Previously Specially Serviced","Never Specially Serviced"))</f>
        <v/>
      </c>
      <c r="CF856" s="78">
        <f>IF($CE856="Currently Specially Serviced",1,0)</f>
        <v/>
      </c>
      <c r="CG856" s="76">
        <f>IF($AA856="Yes","Currently on Watchlist",IF($AA856="Previously","Previously on Watchlist","Never on Watchlist"))</f>
        <v/>
      </c>
      <c r="CH856" s="78">
        <f>IF($CG856="Currently on Watchlist",1,0)</f>
        <v/>
      </c>
      <c r="CI856" s="76">
        <f>IF($Z856="Full Defeasance","Fully Defeased",IF($Z856="Portion Of Loan Previously Defeased","Partially Defeased",IF($Z856="Defeasance Not Allowable","Not Defeased (Not Permitted)","Not Defeased")))</f>
        <v/>
      </c>
      <c r="CJ856" s="78">
        <f>IF($CI856="Fully Defeased",1,0)</f>
        <v/>
      </c>
      <c r="CK856" s="76">
        <f>IF($R856="IO","Full IO",IF(LEFT($R856&amp;"",7)="IO then","Partial IO","Amortizing"))</f>
        <v/>
      </c>
      <c r="CL856" s="78">
        <f>IF($CK856="Full IO",1,0)</f>
        <v/>
      </c>
      <c r="CM856" s="78">
        <f>IF($CK856="Partial IO",1,0)</f>
        <v/>
      </c>
      <c r="CN856" s="76">
        <f>IF(LEFT($F856&amp;"",10)="SPLIT_LOAN","Pari Passu Split","Standalone")</f>
        <v/>
      </c>
      <c r="CO856" s="78">
        <f>IF($CN856="Pari Passu Split",1,0)</f>
        <v/>
      </c>
      <c r="CP856" s="77">
        <f>IF(ISNUMBER($T856),YEAR($T856),"")</f>
        <v/>
      </c>
      <c r="CQ856" s="79">
        <f>IF(ISNUMBER($V856),$V856,IF(ISNUMBER($U856),$U856,""))</f>
        <v/>
      </c>
      <c r="CR856" s="77">
        <f>IF(ISNUMBER($CQ856),YEAR($CQ856),"")</f>
        <v/>
      </c>
      <c r="CS856" s="78">
        <f>IF(ISNUMBER($M856),MAX(0,$M856),IF(TRIM($M856&amp;"")="matured",0,""))</f>
        <v/>
      </c>
      <c r="CT856" s="78">
        <f>IF(AND(ISNUMBER($CS856),N($CS856)&lt;=mMatWindow),1,0)</f>
        <v/>
      </c>
      <c r="CU856" s="80">
        <f>IF(ISNUMBER($J856),$J856/100,"")</f>
        <v/>
      </c>
      <c r="CV856" s="81">
        <f>IF(ISNUMBER($AQ856),$AQ856,"")</f>
        <v/>
      </c>
      <c r="CW856" s="81">
        <f>IF(ISNUMBER($AR856),$AR856,"")</f>
        <v/>
      </c>
      <c r="CX856" s="82">
        <f>IF(ISNUMBER($AS856),$AS856/100,"")</f>
        <v/>
      </c>
      <c r="CY856" s="82">
        <f>IF(ISNUMBER($AT856),$AT856/100,"")</f>
        <v/>
      </c>
      <c r="CZ856" s="82">
        <f>IF(ISNUMBER($AU856),$AU856/100,"")</f>
        <v/>
      </c>
      <c r="DA856" s="82">
        <f>IF(ISNUMBER($AV856),$AV856/100,"")</f>
        <v/>
      </c>
      <c r="DB856" s="82">
        <f>IF(ISNUMBER($AW856),$AW856/100,"")</f>
        <v/>
      </c>
      <c r="DC856" s="82">
        <f>IF(ISNUMBER($AX856),$AX856/100,"")</f>
        <v/>
      </c>
      <c r="DD856" s="77">
        <f>IFERROR(VALUE(LEFT(TRIM($AO856&amp;""),4)),"")</f>
        <v/>
      </c>
      <c r="DE856" s="78">
        <f>IF(AND($BY856=1,$BX856=1,OR(fDeal="All Deals",$BU856=fDeal),OR(fEntity="All Entities",$BV856=fEntity),OR(fPType="All Property Types",$BZ856=fPType),OR(fDefeased="Include",$CJ856=0)),1,0)</f>
        <v/>
      </c>
      <c r="DF856" s="83">
        <f>$DE856*N($I856)</f>
        <v/>
      </c>
      <c r="DG856" s="78">
        <f>IF($DE856=1,IF(COUNTIFS($F$8:$F856,$F856,$DE$8:$DE856,1)=1,1,0),0)</f>
        <v/>
      </c>
      <c r="DH856" s="83">
        <f>IF($DG856=1,SUMIFS($DF$8:$DF$1600,$F$8:$F$1600,$F856),0)</f>
        <v/>
      </c>
      <c r="DI856" s="78">
        <f>IF($DG856=1,COUNTIFS($F$8:$F$1600,$F856,$DE$8:$DE$1600,1),0)</f>
        <v/>
      </c>
      <c r="DJ856" s="84">
        <f>IF($DG856=1,$DH856+(100000-ROW())/mTieBreak,0)</f>
        <v/>
      </c>
    </row>
    <row r="857">
      <c r="B857" s="68" t="n">
        <v>1</v>
      </c>
      <c r="C857" s="69" t="inlineStr">
        <is>
          <t>MSC18L1</t>
        </is>
      </c>
      <c r="D857" s="69" t="inlineStr">
        <is>
          <t>1.TR</t>
        </is>
      </c>
      <c r="E857" s="69" t="inlineStr">
        <is>
          <t>Aventura Mall - Trust</t>
        </is>
      </c>
      <c r="F857" s="69" t="inlineStr">
        <is>
          <t>SPLIT_LOAN_01301</t>
        </is>
      </c>
      <c r="G857" s="70" t="n">
        <v>1301</v>
      </c>
      <c r="H857" s="71" t="n">
        <v>60000000</v>
      </c>
      <c r="I857" s="71" t="n">
        <v>60000000</v>
      </c>
      <c r="J857" s="72" t="n">
        <v>4.12125</v>
      </c>
      <c r="K857" s="69" t="inlineStr">
        <is>
          <t>Fixed rate</t>
        </is>
      </c>
      <c r="L857" s="68" t="n">
        <v>120</v>
      </c>
      <c r="M857" s="68" t="n">
        <v>22</v>
      </c>
      <c r="N857" s="68" t="n">
        <v>120</v>
      </c>
      <c r="O857" s="68" t="n">
        <v>120</v>
      </c>
      <c r="P857" s="68" t="n">
        <v>22</v>
      </c>
      <c r="Q857" s="68" t="n">
        <v>98</v>
      </c>
      <c r="R857" s="69" t="inlineStr">
        <is>
          <t>IO</t>
        </is>
      </c>
      <c r="S857" s="69" t="inlineStr">
        <is>
          <t>Yes</t>
        </is>
      </c>
      <c r="T857" s="73" t="n">
        <v>43282</v>
      </c>
      <c r="U857" s="73" t="n">
        <v>46935</v>
      </c>
      <c r="V857" s="73" t="n"/>
      <c r="W857" s="69" t="n"/>
      <c r="X857" s="69" t="inlineStr">
        <is>
          <t>Current</t>
        </is>
      </c>
      <c r="Y857" s="68" t="n"/>
      <c r="Z857" s="69" t="inlineStr">
        <is>
          <t>No Defeasance Occurred</t>
        </is>
      </c>
      <c r="AA857" s="69" t="n"/>
      <c r="AB857" s="69" t="inlineStr">
        <is>
          <t>Never special serv</t>
        </is>
      </c>
      <c r="AC857" s="73" t="n"/>
      <c r="AD857" s="69" t="n"/>
      <c r="AE857" s="69" t="n"/>
      <c r="AF857" s="69" t="inlineStr">
        <is>
          <t>FL</t>
        </is>
      </c>
      <c r="AG857" s="69" t="inlineStr">
        <is>
          <t>Aventura</t>
        </is>
      </c>
      <c r="AH857" s="69" t="inlineStr">
        <is>
          <t>Miami-Fort Lauderdale-West Palm Beach, FL</t>
        </is>
      </c>
      <c r="AI857" s="69" t="inlineStr">
        <is>
          <t>South / Atlantic</t>
        </is>
      </c>
      <c r="AJ857" s="69" t="inlineStr">
        <is>
          <t>RT</t>
        </is>
      </c>
      <c r="AK857" s="69" t="inlineStr">
        <is>
          <t>Super Regional Mall</t>
        </is>
      </c>
      <c r="AL857" s="68" t="n">
        <v>1</v>
      </c>
      <c r="AM857" s="68" t="n"/>
      <c r="AN857" s="68" t="n">
        <v>1217508</v>
      </c>
      <c r="AO857" s="69" t="inlineStr">
        <is>
          <t>1983</t>
        </is>
      </c>
      <c r="AP857" s="70" t="n">
        <v>2017</v>
      </c>
      <c r="AQ857" s="74" t="n">
        <v>2.58</v>
      </c>
      <c r="AR857" s="74" t="n">
        <v>2.38</v>
      </c>
      <c r="AS857" s="74" t="n">
        <v>40.8</v>
      </c>
      <c r="AT857" s="74" t="n">
        <v>40.77</v>
      </c>
      <c r="AU857" s="74" t="n">
        <v>40.8</v>
      </c>
      <c r="AV857" s="74" t="n">
        <v>10.774984574</v>
      </c>
      <c r="AW857" s="74" t="n">
        <v>12.381397138</v>
      </c>
      <c r="AX857" s="75" t="n">
        <v>98</v>
      </c>
      <c r="AY857" s="71" t="n">
        <v>3450000000</v>
      </c>
      <c r="AZ857" s="71" t="n">
        <v>3450000000</v>
      </c>
      <c r="BA857" s="71" t="n">
        <v>151571708</v>
      </c>
      <c r="BB857" s="71" t="n">
        <v>174169113.5</v>
      </c>
      <c r="BC857" s="69" t="inlineStr">
        <is>
          <t>Refinance</t>
        </is>
      </c>
      <c r="BD857" s="69" t="inlineStr">
        <is>
          <t>N</t>
        </is>
      </c>
      <c r="BE857" s="71" t="n">
        <v>1346700000</v>
      </c>
      <c r="BF857" s="71" t="n">
        <v>343300000</v>
      </c>
      <c r="BG857" s="71" t="n"/>
      <c r="BH857" s="71" t="n">
        <v>0</v>
      </c>
      <c r="BI857" s="71" t="n">
        <v>0</v>
      </c>
      <c r="BJ857" s="69" t="inlineStr">
        <is>
          <t>N</t>
        </is>
      </c>
      <c r="BK857" s="69" t="inlineStr">
        <is>
          <t>J. C. Penney Co. Post -Petition</t>
        </is>
      </c>
      <c r="BL857" s="75" t="n">
        <v>15.91</v>
      </c>
      <c r="BM857" s="73" t="n">
        <v>46873</v>
      </c>
      <c r="BN857" s="69" t="inlineStr">
        <is>
          <t>Simon Property Group, L.P.; Jacquelyn Soffer; Jeffrey Soffer</t>
        </is>
      </c>
      <c r="BO857" s="69" t="inlineStr">
        <is>
          <t>Morgan Stanley</t>
        </is>
      </c>
      <c r="BP857" s="69" t="inlineStr">
        <is>
          <t>Midland Loan Services</t>
        </is>
      </c>
      <c r="BQ857" s="69" t="inlineStr">
        <is>
          <t>CWCapital</t>
        </is>
      </c>
      <c r="BR857" s="69" t="n"/>
      <c r="BS857" s="73" t="n">
        <v>46276</v>
      </c>
      <c r="BU857" s="76">
        <f>IF($C857="","",IFERROR(INDEX(dmName,MATCH($C857,dmID,0)),"Unmapped"))</f>
        <v/>
      </c>
      <c r="BV857" s="76">
        <f>IF($C857="","",IFERROR(INDEX(dmEntity,MATCH($C857,dmID,0)),"Unmapped"))</f>
        <v/>
      </c>
      <c r="BW857" s="77">
        <f>IF($C857="","",IFERROR(INDEX(dmVintage,MATCH($C857,dmID,0)),""))</f>
        <v/>
      </c>
      <c r="BX857" s="78">
        <f>IFERROR(INDEX(dmInclude,MATCH($C857,dmID,0)),0)</f>
        <v/>
      </c>
      <c r="BY857" s="78">
        <f>IF(N($I857)&gt;0,1,0)</f>
        <v/>
      </c>
      <c r="BZ857" s="76">
        <f>IF($AJ857="","Other / Leased Fee",IFERROR(INDEX(mapPTGroup,MATCH(LEFT(TRIM($AJ857),2),mapPTCode,0)),"Other / Leased Fee"))</f>
        <v/>
      </c>
      <c r="CA857" s="76">
        <f>IF(TRIM($AF857&amp;"")="","NR",LEFT(TRIM($AF857),2))</f>
        <v/>
      </c>
      <c r="CB857" s="76">
        <f>IFERROR(LOOKUP(2,1/(LEFT(TRIM($AI857&amp;""),LEN(mapRegion))=mapRegion),mapRegion),"Not Reported")</f>
        <v/>
      </c>
      <c r="CC857" s="76">
        <f>IF($BY857=0,"",IF(TRIM($W857&amp;"")="REO","REO",IF(TRIM($W857&amp;"")="FC","Foreclosure",IF(TRIM($W857&amp;"")="90+","90+ Days Delinquent",IF(TRIM($W857&amp;"")="60","60 Days Delinquent",IF(TRIM($W857&amp;"")="30","30 Days Delinquent",IF($X857="Non-Performing Matured Balloon","Non-Performing Matured Balloon",IF(OR($X857="Late Payment But Less Than 30 Days Delinquent",LEFT($X857&amp;"",20)="Payment Not Received"),"Late / In Grace (&lt;30 Days)",IF($X857="Performing Matured Balloon","Performing Matured Balloon","Current")))))))))</f>
        <v/>
      </c>
      <c r="CD857" s="78">
        <f>IF(OR($CC857="REO",$CC857="Foreclosure",$CC857="90+ Days Delinquent",$CC857="60 Days Delinquent",$CC857="30 Days Delinquent",$CC857="Non-Performing Matured Balloon"),1,0)</f>
        <v/>
      </c>
      <c r="CE857" s="76">
        <f>IF($AB857="Currently special serv","Currently Specially Serviced",IF($AB857="Returned to master serv","Previously Specially Serviced","Never Specially Serviced"))</f>
        <v/>
      </c>
      <c r="CF857" s="78">
        <f>IF($CE857="Currently Specially Serviced",1,0)</f>
        <v/>
      </c>
      <c r="CG857" s="76">
        <f>IF($AA857="Yes","Currently on Watchlist",IF($AA857="Previously","Previously on Watchlist","Never on Watchlist"))</f>
        <v/>
      </c>
      <c r="CH857" s="78">
        <f>IF($CG857="Currently on Watchlist",1,0)</f>
        <v/>
      </c>
      <c r="CI857" s="76">
        <f>IF($Z857="Full Defeasance","Fully Defeased",IF($Z857="Portion Of Loan Previously Defeased","Partially Defeased",IF($Z857="Defeasance Not Allowable","Not Defeased (Not Permitted)","Not Defeased")))</f>
        <v/>
      </c>
      <c r="CJ857" s="78">
        <f>IF($CI857="Fully Defeased",1,0)</f>
        <v/>
      </c>
      <c r="CK857" s="76">
        <f>IF($R857="IO","Full IO",IF(LEFT($R857&amp;"",7)="IO then","Partial IO","Amortizing"))</f>
        <v/>
      </c>
      <c r="CL857" s="78">
        <f>IF($CK857="Full IO",1,0)</f>
        <v/>
      </c>
      <c r="CM857" s="78">
        <f>IF($CK857="Partial IO",1,0)</f>
        <v/>
      </c>
      <c r="CN857" s="76">
        <f>IF(LEFT($F857&amp;"",10)="SPLIT_LOAN","Pari Passu Split","Standalone")</f>
        <v/>
      </c>
      <c r="CO857" s="78">
        <f>IF($CN857="Pari Passu Split",1,0)</f>
        <v/>
      </c>
      <c r="CP857" s="77">
        <f>IF(ISNUMBER($T857),YEAR($T857),"")</f>
        <v/>
      </c>
      <c r="CQ857" s="79">
        <f>IF(ISNUMBER($V857),$V857,IF(ISNUMBER($U857),$U857,""))</f>
        <v/>
      </c>
      <c r="CR857" s="77">
        <f>IF(ISNUMBER($CQ857),YEAR($CQ857),"")</f>
        <v/>
      </c>
      <c r="CS857" s="78">
        <f>IF(ISNUMBER($M857),MAX(0,$M857),IF(TRIM($M857&amp;"")="matured",0,""))</f>
        <v/>
      </c>
      <c r="CT857" s="78">
        <f>IF(AND(ISNUMBER($CS857),N($CS857)&lt;=mMatWindow),1,0)</f>
        <v/>
      </c>
      <c r="CU857" s="80">
        <f>IF(ISNUMBER($J857),$J857/100,"")</f>
        <v/>
      </c>
      <c r="CV857" s="81">
        <f>IF(ISNUMBER($AQ857),$AQ857,"")</f>
        <v/>
      </c>
      <c r="CW857" s="81">
        <f>IF(ISNUMBER($AR857),$AR857,"")</f>
        <v/>
      </c>
      <c r="CX857" s="82">
        <f>IF(ISNUMBER($AS857),$AS857/100,"")</f>
        <v/>
      </c>
      <c r="CY857" s="82">
        <f>IF(ISNUMBER($AT857),$AT857/100,"")</f>
        <v/>
      </c>
      <c r="CZ857" s="82">
        <f>IF(ISNUMBER($AU857),$AU857/100,"")</f>
        <v/>
      </c>
      <c r="DA857" s="82">
        <f>IF(ISNUMBER($AV857),$AV857/100,"")</f>
        <v/>
      </c>
      <c r="DB857" s="82">
        <f>IF(ISNUMBER($AW857),$AW857/100,"")</f>
        <v/>
      </c>
      <c r="DC857" s="82">
        <f>IF(ISNUMBER($AX857),$AX857/100,"")</f>
        <v/>
      </c>
      <c r="DD857" s="77">
        <f>IFERROR(VALUE(LEFT(TRIM($AO857&amp;""),4)),"")</f>
        <v/>
      </c>
      <c r="DE857" s="78">
        <f>IF(AND($BY857=1,$BX857=1,OR(fDeal="All Deals",$BU857=fDeal),OR(fEntity="All Entities",$BV857=fEntity),OR(fPType="All Property Types",$BZ857=fPType),OR(fDefeased="Include",$CJ857=0)),1,0)</f>
        <v/>
      </c>
      <c r="DF857" s="83">
        <f>$DE857*N($I857)</f>
        <v/>
      </c>
      <c r="DG857" s="78">
        <f>IF($DE857=1,IF(COUNTIFS($F$8:$F857,$F857,$DE$8:$DE857,1)=1,1,0),0)</f>
        <v/>
      </c>
      <c r="DH857" s="83">
        <f>IF($DG857=1,SUMIFS($DF$8:$DF$1600,$F$8:$F$1600,$F857),0)</f>
        <v/>
      </c>
      <c r="DI857" s="78">
        <f>IF($DG857=1,COUNTIFS($F$8:$F$1600,$F857,$DE$8:$DE$1600,1),0)</f>
        <v/>
      </c>
      <c r="DJ857" s="84">
        <f>IF($DG857=1,$DH857+(100000-ROW())/mTieBreak,0)</f>
        <v/>
      </c>
    </row>
    <row r="858">
      <c r="B858" s="68" t="n">
        <v>2</v>
      </c>
      <c r="C858" s="69" t="inlineStr">
        <is>
          <t>MSC18L1</t>
        </is>
      </c>
      <c r="D858" s="69" t="inlineStr">
        <is>
          <t>2.000</t>
        </is>
      </c>
      <c r="E858" s="69" t="inlineStr">
        <is>
          <t>Griffin Portfolio II</t>
        </is>
      </c>
      <c r="F858" s="69" t="inlineStr">
        <is>
          <t>SPLIT_LOAN_01295</t>
        </is>
      </c>
      <c r="G858" s="70" t="n">
        <v>1295</v>
      </c>
      <c r="H858" s="71" t="n">
        <v>60000000</v>
      </c>
      <c r="I858" s="71" t="n">
        <v>0</v>
      </c>
      <c r="J858" s="72" t="n">
        <v>4.315</v>
      </c>
      <c r="K858" s="69" t="inlineStr">
        <is>
          <t>Fixed rate</t>
        </is>
      </c>
      <c r="L858" s="68" t="n">
        <v>120</v>
      </c>
      <c r="M858" s="68" t="n"/>
      <c r="N858" s="68" t="n">
        <v>120</v>
      </c>
      <c r="O858" s="68" t="n">
        <v>120</v>
      </c>
      <c r="P858" s="68" t="n"/>
      <c r="Q858" s="68" t="n"/>
      <c r="R858" s="69" t="inlineStr">
        <is>
          <t>IO</t>
        </is>
      </c>
      <c r="S858" s="69" t="inlineStr">
        <is>
          <t>Yes</t>
        </is>
      </c>
      <c r="T858" s="73" t="n">
        <v>43221</v>
      </c>
      <c r="U858" s="73" t="n">
        <v>46874</v>
      </c>
      <c r="V858" s="73" t="n"/>
      <c r="W858" s="69" t="n"/>
      <c r="X858" s="69" t="inlineStr">
        <is>
          <t>Current</t>
        </is>
      </c>
      <c r="Y858" s="68" t="n"/>
      <c r="Z858" s="69" t="inlineStr">
        <is>
          <t>Defeasance Not Allowable</t>
        </is>
      </c>
      <c r="AA858" s="69" t="inlineStr">
        <is>
          <t>Previously</t>
        </is>
      </c>
      <c r="AB858" s="69" t="inlineStr">
        <is>
          <t>Never special serv</t>
        </is>
      </c>
      <c r="AC858" s="73" t="n"/>
      <c r="AD858" s="69" t="n"/>
      <c r="AE858" s="69" t="n"/>
      <c r="AF858" s="69" t="inlineStr">
        <is>
          <t>AL-39.840000000% OH-24.600000000% NV-18.120000000% IL-17.440000000%</t>
        </is>
      </c>
      <c r="AG858" s="69" t="n"/>
      <c r="AH858" s="69" t="inlineStr">
        <is>
          <t>Birmingham, AL-39.840000000% Columbus, OH-24.600000000% Las Vegas-Henderson-North Las Vegas, NV-18.120000000% Chicago-Naperville-Elgin, IL-IN-17.440000000%</t>
        </is>
      </c>
      <c r="AI858" s="69" t="inlineStr">
        <is>
          <t>Midwest / Central East-42.040000000% South / Central East-39.840000000% West / Mountain-18.120000000%</t>
        </is>
      </c>
      <c r="AJ858" s="69" t="inlineStr">
        <is>
          <t>OF-57.960000000% IN-42.040000000%</t>
        </is>
      </c>
      <c r="AK858" s="69" t="n"/>
      <c r="AL858" s="68" t="n">
        <v>4</v>
      </c>
      <c r="AM858" s="68" t="n"/>
      <c r="AN858" s="68" t="n">
        <v>2726080</v>
      </c>
      <c r="AO858" s="69" t="n"/>
      <c r="AP858" s="70" t="n">
        <v>2018</v>
      </c>
      <c r="AQ858" s="74" t="n">
        <v>2.01</v>
      </c>
      <c r="AR858" s="74" t="n">
        <v>3.62</v>
      </c>
      <c r="AS858" s="74" t="n">
        <v>60.2</v>
      </c>
      <c r="AT858" s="74" t="n"/>
      <c r="AU858" s="74" t="n">
        <v>60.17</v>
      </c>
      <c r="AV858" s="74" t="n">
        <v>8.7835064</v>
      </c>
      <c r="AW858" s="74" t="n"/>
      <c r="AX858" s="75" t="n">
        <v>100</v>
      </c>
      <c r="AY858" s="71" t="n">
        <v>415500000</v>
      </c>
      <c r="AZ858" s="71" t="n">
        <v>395690000</v>
      </c>
      <c r="BA858" s="71" t="n">
        <v>21958766</v>
      </c>
      <c r="BB858" s="71" t="n">
        <v>5725830.19</v>
      </c>
      <c r="BC858" s="69" t="inlineStr">
        <is>
          <t>Refinance</t>
        </is>
      </c>
      <c r="BD858" s="69" t="inlineStr">
        <is>
          <t>N</t>
        </is>
      </c>
      <c r="BE858" s="71" t="n">
        <v>0</v>
      </c>
      <c r="BF858" s="71" t="n"/>
      <c r="BG858" s="71" t="n"/>
      <c r="BH858" s="71" t="n">
        <v>0</v>
      </c>
      <c r="BI858" s="71" t="n">
        <v>0</v>
      </c>
      <c r="BJ858" s="69" t="inlineStr">
        <is>
          <t>N</t>
        </is>
      </c>
      <c r="BK858" s="69" t="inlineStr">
        <is>
          <t>3M Company</t>
        </is>
      </c>
      <c r="BL858" s="75" t="n">
        <v>71.76000000000001</v>
      </c>
      <c r="BM858" s="73" t="n">
        <v>46326</v>
      </c>
      <c r="BN858" s="69" t="inlineStr">
        <is>
          <t>Griffin Capital Company, LLC</t>
        </is>
      </c>
      <c r="BO858" s="69" t="inlineStr">
        <is>
          <t>KeyBank</t>
        </is>
      </c>
      <c r="BP858" s="69" t="inlineStr">
        <is>
          <t>Midland Loan Services</t>
        </is>
      </c>
      <c r="BQ858" s="69" t="inlineStr">
        <is>
          <t>Argentic Services Company LP</t>
        </is>
      </c>
      <c r="BR858" s="69" t="inlineStr">
        <is>
          <t>Payoff With Penalty</t>
        </is>
      </c>
      <c r="BS858" s="73" t="n">
        <v>46184</v>
      </c>
      <c r="BU858" s="76">
        <f>IF($C858="","",IFERROR(INDEX(dmName,MATCH($C858,dmID,0)),"Unmapped"))</f>
        <v/>
      </c>
      <c r="BV858" s="76">
        <f>IF($C858="","",IFERROR(INDEX(dmEntity,MATCH($C858,dmID,0)),"Unmapped"))</f>
        <v/>
      </c>
      <c r="BW858" s="77">
        <f>IF($C858="","",IFERROR(INDEX(dmVintage,MATCH($C858,dmID,0)),""))</f>
        <v/>
      </c>
      <c r="BX858" s="78">
        <f>IFERROR(INDEX(dmInclude,MATCH($C858,dmID,0)),0)</f>
        <v/>
      </c>
      <c r="BY858" s="78">
        <f>IF(N($I858)&gt;0,1,0)</f>
        <v/>
      </c>
      <c r="BZ858" s="76">
        <f>IF($AJ858="","Other / Leased Fee",IFERROR(INDEX(mapPTGroup,MATCH(LEFT(TRIM($AJ858),2),mapPTCode,0)),"Other / Leased Fee"))</f>
        <v/>
      </c>
      <c r="CA858" s="76">
        <f>IF(TRIM($AF858&amp;"")="","NR",LEFT(TRIM($AF858),2))</f>
        <v/>
      </c>
      <c r="CB858" s="76">
        <f>IFERROR(LOOKUP(2,1/(LEFT(TRIM($AI858&amp;""),LEN(mapRegion))=mapRegion),mapRegion),"Not Reported")</f>
        <v/>
      </c>
      <c r="CC858" s="76">
        <f>IF($BY858=0,"",IF(TRIM($W858&amp;"")="REO","REO",IF(TRIM($W858&amp;"")="FC","Foreclosure",IF(TRIM($W858&amp;"")="90+","90+ Days Delinquent",IF(TRIM($W858&amp;"")="60","60 Days Delinquent",IF(TRIM($W858&amp;"")="30","30 Days Delinquent",IF($X858="Non-Performing Matured Balloon","Non-Performing Matured Balloon",IF(OR($X858="Late Payment But Less Than 30 Days Delinquent",LEFT($X858&amp;"",20)="Payment Not Received"),"Late / In Grace (&lt;30 Days)",IF($X858="Performing Matured Balloon","Performing Matured Balloon","Current")))))))))</f>
        <v/>
      </c>
      <c r="CD858" s="78">
        <f>IF(OR($CC858="REO",$CC858="Foreclosure",$CC858="90+ Days Delinquent",$CC858="60 Days Delinquent",$CC858="30 Days Delinquent",$CC858="Non-Performing Matured Balloon"),1,0)</f>
        <v/>
      </c>
      <c r="CE858" s="76">
        <f>IF($AB858="Currently special serv","Currently Specially Serviced",IF($AB858="Returned to master serv","Previously Specially Serviced","Never Specially Serviced"))</f>
        <v/>
      </c>
      <c r="CF858" s="78">
        <f>IF($CE858="Currently Specially Serviced",1,0)</f>
        <v/>
      </c>
      <c r="CG858" s="76">
        <f>IF($AA858="Yes","Currently on Watchlist",IF($AA858="Previously","Previously on Watchlist","Never on Watchlist"))</f>
        <v/>
      </c>
      <c r="CH858" s="78">
        <f>IF($CG858="Currently on Watchlist",1,0)</f>
        <v/>
      </c>
      <c r="CI858" s="76">
        <f>IF($Z858="Full Defeasance","Fully Defeased",IF($Z858="Portion Of Loan Previously Defeased","Partially Defeased",IF($Z858="Defeasance Not Allowable","Not Defeased (Not Permitted)","Not Defeased")))</f>
        <v/>
      </c>
      <c r="CJ858" s="78">
        <f>IF($CI858="Fully Defeased",1,0)</f>
        <v/>
      </c>
      <c r="CK858" s="76">
        <f>IF($R858="IO","Full IO",IF(LEFT($R858&amp;"",7)="IO then","Partial IO","Amortizing"))</f>
        <v/>
      </c>
      <c r="CL858" s="78">
        <f>IF($CK858="Full IO",1,0)</f>
        <v/>
      </c>
      <c r="CM858" s="78">
        <f>IF($CK858="Partial IO",1,0)</f>
        <v/>
      </c>
      <c r="CN858" s="76">
        <f>IF(LEFT($F858&amp;"",10)="SPLIT_LOAN","Pari Passu Split","Standalone")</f>
        <v/>
      </c>
      <c r="CO858" s="78">
        <f>IF($CN858="Pari Passu Split",1,0)</f>
        <v/>
      </c>
      <c r="CP858" s="77">
        <f>IF(ISNUMBER($T858),YEAR($T858),"")</f>
        <v/>
      </c>
      <c r="CQ858" s="79">
        <f>IF(ISNUMBER($V858),$V858,IF(ISNUMBER($U858),$U858,""))</f>
        <v/>
      </c>
      <c r="CR858" s="77">
        <f>IF(ISNUMBER($CQ858),YEAR($CQ858),"")</f>
        <v/>
      </c>
      <c r="CS858" s="78">
        <f>IF(ISNUMBER($M858),MAX(0,$M858),IF(TRIM($M858&amp;"")="matured",0,""))</f>
        <v/>
      </c>
      <c r="CT858" s="78">
        <f>IF(AND(ISNUMBER($CS858),N($CS858)&lt;=mMatWindow),1,0)</f>
        <v/>
      </c>
      <c r="CU858" s="80">
        <f>IF(ISNUMBER($J858),$J858/100,"")</f>
        <v/>
      </c>
      <c r="CV858" s="81">
        <f>IF(ISNUMBER($AQ858),$AQ858,"")</f>
        <v/>
      </c>
      <c r="CW858" s="81">
        <f>IF(ISNUMBER($AR858),$AR858,"")</f>
        <v/>
      </c>
      <c r="CX858" s="82">
        <f>IF(ISNUMBER($AS858),$AS858/100,"")</f>
        <v/>
      </c>
      <c r="CY858" s="82">
        <f>IF(ISNUMBER($AT858),$AT858/100,"")</f>
        <v/>
      </c>
      <c r="CZ858" s="82">
        <f>IF(ISNUMBER($AU858),$AU858/100,"")</f>
        <v/>
      </c>
      <c r="DA858" s="82">
        <f>IF(ISNUMBER($AV858),$AV858/100,"")</f>
        <v/>
      </c>
      <c r="DB858" s="82">
        <f>IF(ISNUMBER($AW858),$AW858/100,"")</f>
        <v/>
      </c>
      <c r="DC858" s="82">
        <f>IF(ISNUMBER($AX858),$AX858/100,"")</f>
        <v/>
      </c>
      <c r="DD858" s="77">
        <f>IFERROR(VALUE(LEFT(TRIM($AO858&amp;""),4)),"")</f>
        <v/>
      </c>
      <c r="DE858" s="78">
        <f>IF(AND($BY858=1,$BX858=1,OR(fDeal="All Deals",$BU858=fDeal),OR(fEntity="All Entities",$BV858=fEntity),OR(fPType="All Property Types",$BZ858=fPType),OR(fDefeased="Include",$CJ858=0)),1,0)</f>
        <v/>
      </c>
      <c r="DF858" s="83">
        <f>$DE858*N($I858)</f>
        <v/>
      </c>
      <c r="DG858" s="78">
        <f>IF($DE858=1,IF(COUNTIFS($F$8:$F858,$F858,$DE$8:$DE858,1)=1,1,0),0)</f>
        <v/>
      </c>
      <c r="DH858" s="83">
        <f>IF($DG858=1,SUMIFS($DF$8:$DF$1600,$F$8:$F$1600,$F858),0)</f>
        <v/>
      </c>
      <c r="DI858" s="78">
        <f>IF($DG858=1,COUNTIFS($F$8:$F$1600,$F858,$DE$8:$DE$1600,1),0)</f>
        <v/>
      </c>
      <c r="DJ858" s="84">
        <f>IF($DG858=1,$DH858+(100000-ROW())/mTieBreak,0)</f>
        <v/>
      </c>
    </row>
    <row r="859">
      <c r="B859" s="68" t="n">
        <v>3</v>
      </c>
      <c r="C859" s="69" t="inlineStr">
        <is>
          <t>MSC18L1</t>
        </is>
      </c>
      <c r="D859" s="69" t="inlineStr">
        <is>
          <t>3.TR</t>
        </is>
      </c>
      <c r="E859" s="69" t="inlineStr">
        <is>
          <t>Millennium Partners Portfolio - Trust</t>
        </is>
      </c>
      <c r="F859" s="69" t="inlineStr">
        <is>
          <t>SPLIT_LOAN_01311</t>
        </is>
      </c>
      <c r="G859" s="70" t="n">
        <v>1311</v>
      </c>
      <c r="H859" s="71" t="n">
        <v>55660526</v>
      </c>
      <c r="I859" s="71" t="n">
        <v>55660526</v>
      </c>
      <c r="J859" s="72" t="n">
        <v>4.285</v>
      </c>
      <c r="K859" s="69" t="inlineStr">
        <is>
          <t>Fixed rate</t>
        </is>
      </c>
      <c r="L859" s="68" t="n">
        <v>120</v>
      </c>
      <c r="M859" s="68" t="n">
        <v>22</v>
      </c>
      <c r="N859" s="68" t="n">
        <v>120</v>
      </c>
      <c r="O859" s="68" t="n">
        <v>120</v>
      </c>
      <c r="P859" s="68" t="n">
        <v>22</v>
      </c>
      <c r="Q859" s="68" t="n">
        <v>98</v>
      </c>
      <c r="R859" s="69" t="inlineStr">
        <is>
          <t>IO</t>
        </is>
      </c>
      <c r="S859" s="69" t="inlineStr">
        <is>
          <t>Yes</t>
        </is>
      </c>
      <c r="T859" s="73" t="n">
        <v>43282</v>
      </c>
      <c r="U859" s="73" t="n">
        <v>46941</v>
      </c>
      <c r="V859" s="73" t="n"/>
      <c r="W859" s="69" t="n"/>
      <c r="X859" s="69" t="inlineStr">
        <is>
          <t>Current</t>
        </is>
      </c>
      <c r="Y859" s="68" t="n"/>
      <c r="Z859" s="69" t="inlineStr">
        <is>
          <t>No Defeasance Occurred</t>
        </is>
      </c>
      <c r="AA859" s="69" t="inlineStr">
        <is>
          <t>Yes</t>
        </is>
      </c>
      <c r="AB859" s="69" t="inlineStr">
        <is>
          <t>Never special serv</t>
        </is>
      </c>
      <c r="AC859" s="73" t="n"/>
      <c r="AD859" s="69" t="n"/>
      <c r="AE859" s="69" t="n"/>
      <c r="AF859" s="69" t="inlineStr">
        <is>
          <t>NY-44.823944003% MA-25.760563237% CA-12.004225400% DC-9.171830317% FL-8.239437044%</t>
        </is>
      </c>
      <c r="AG859" s="69" t="n"/>
      <c r="AH859" s="69" t="inlineStr">
        <is>
          <t>New York-Newark-Jersey City, NY-NJ-44.823944003% Boston-Cambridge-Newton, MA-NH-25.760563237% San Francisco-Oakland-Fremont, CA-12.004225400% Washington-Arlington-Alexandria, DC-VA-MD-WV-9.171830317% Miami-Fort Lauderdale-West Palm Beach, FL-8.239437044%</t>
        </is>
      </c>
      <c r="AI859" s="69" t="inlineStr">
        <is>
          <t>Northeast / Mid-Atlantic-44.823944003% Northeast / New England-25.760563237% South / Atlantic-17.411267361% West / Pacific North-12.004225400%</t>
        </is>
      </c>
      <c r="AJ859" s="69" t="inlineStr">
        <is>
          <t>MX</t>
        </is>
      </c>
      <c r="AK859" s="69" t="n"/>
      <c r="AL859" s="68" t="n">
        <v>1</v>
      </c>
      <c r="AM859" s="68" t="n"/>
      <c r="AN859" s="68" t="n">
        <v>1549699</v>
      </c>
      <c r="AO859" s="69" t="n"/>
      <c r="AP859" s="70" t="n">
        <v>2003</v>
      </c>
      <c r="AQ859" s="74" t="n">
        <v>3.43</v>
      </c>
      <c r="AR859" s="74" t="n">
        <v>1.52</v>
      </c>
      <c r="AS859" s="74" t="n">
        <v>32.3</v>
      </c>
      <c r="AT859" s="74" t="n">
        <v>32.31</v>
      </c>
      <c r="AU859" s="74" t="n">
        <v>32.3</v>
      </c>
      <c r="AV859" s="74" t="n">
        <v>14.907463369</v>
      </c>
      <c r="AW859" s="74" t="n">
        <v>9.942541498000001</v>
      </c>
      <c r="AX859" s="75" t="n">
        <v>100</v>
      </c>
      <c r="AY859" s="71" t="n">
        <v>1460900000</v>
      </c>
      <c r="AZ859" s="71" t="n">
        <v>1460900000</v>
      </c>
      <c r="BA859" s="71" t="n">
        <v>70363227.09999999</v>
      </c>
      <c r="BB859" s="71" t="n">
        <v>46928795.87</v>
      </c>
      <c r="BC859" s="69" t="inlineStr">
        <is>
          <t>Refinance</t>
        </is>
      </c>
      <c r="BD859" s="69" t="inlineStr">
        <is>
          <t>N</t>
        </is>
      </c>
      <c r="BE859" s="71" t="n">
        <v>416339474</v>
      </c>
      <c r="BF859" s="71" t="n">
        <v>238000000</v>
      </c>
      <c r="BG859" s="71" t="n">
        <v>280150000</v>
      </c>
      <c r="BH859" s="71" t="n">
        <v>0</v>
      </c>
      <c r="BI859" s="71" t="n">
        <v>0</v>
      </c>
      <c r="BJ859" s="69" t="inlineStr">
        <is>
          <t>N</t>
        </is>
      </c>
      <c r="BK859" s="69" t="inlineStr">
        <is>
          <t>Equinox</t>
        </is>
      </c>
      <c r="BL859" s="75" t="n">
        <v>26.03</v>
      </c>
      <c r="BM859" s="73" t="n">
        <v>50951</v>
      </c>
      <c r="BN859" s="69" t="inlineStr">
        <is>
          <t>Millennium Partners</t>
        </is>
      </c>
      <c r="BO859" s="69" t="inlineStr">
        <is>
          <t>Morgan Stanley</t>
        </is>
      </c>
      <c r="BP859" s="69" t="inlineStr">
        <is>
          <t>Midland Loan Services</t>
        </is>
      </c>
      <c r="BQ859" s="69" t="inlineStr">
        <is>
          <t>Wells Fargo</t>
        </is>
      </c>
      <c r="BR859" s="69" t="n"/>
      <c r="BS859" s="73" t="n">
        <v>46276</v>
      </c>
      <c r="BU859" s="76">
        <f>IF($C859="","",IFERROR(INDEX(dmName,MATCH($C859,dmID,0)),"Unmapped"))</f>
        <v/>
      </c>
      <c r="BV859" s="76">
        <f>IF($C859="","",IFERROR(INDEX(dmEntity,MATCH($C859,dmID,0)),"Unmapped"))</f>
        <v/>
      </c>
      <c r="BW859" s="77">
        <f>IF($C859="","",IFERROR(INDEX(dmVintage,MATCH($C859,dmID,0)),""))</f>
        <v/>
      </c>
      <c r="BX859" s="78">
        <f>IFERROR(INDEX(dmInclude,MATCH($C859,dmID,0)),0)</f>
        <v/>
      </c>
      <c r="BY859" s="78">
        <f>IF(N($I859)&gt;0,1,0)</f>
        <v/>
      </c>
      <c r="BZ859" s="76">
        <f>IF($AJ859="","Other / Leased Fee",IFERROR(INDEX(mapPTGroup,MATCH(LEFT(TRIM($AJ859),2),mapPTCode,0)),"Other / Leased Fee"))</f>
        <v/>
      </c>
      <c r="CA859" s="76">
        <f>IF(TRIM($AF859&amp;"")="","NR",LEFT(TRIM($AF859),2))</f>
        <v/>
      </c>
      <c r="CB859" s="76">
        <f>IFERROR(LOOKUP(2,1/(LEFT(TRIM($AI859&amp;""),LEN(mapRegion))=mapRegion),mapRegion),"Not Reported")</f>
        <v/>
      </c>
      <c r="CC859" s="76">
        <f>IF($BY859=0,"",IF(TRIM($W859&amp;"")="REO","REO",IF(TRIM($W859&amp;"")="FC","Foreclosure",IF(TRIM($W859&amp;"")="90+","90+ Days Delinquent",IF(TRIM($W859&amp;"")="60","60 Days Delinquent",IF(TRIM($W859&amp;"")="30","30 Days Delinquent",IF($X859="Non-Performing Matured Balloon","Non-Performing Matured Balloon",IF(OR($X859="Late Payment But Less Than 30 Days Delinquent",LEFT($X859&amp;"",20)="Payment Not Received"),"Late / In Grace (&lt;30 Days)",IF($X859="Performing Matured Balloon","Performing Matured Balloon","Current")))))))))</f>
        <v/>
      </c>
      <c r="CD859" s="78">
        <f>IF(OR($CC859="REO",$CC859="Foreclosure",$CC859="90+ Days Delinquent",$CC859="60 Days Delinquent",$CC859="30 Days Delinquent",$CC859="Non-Performing Matured Balloon"),1,0)</f>
        <v/>
      </c>
      <c r="CE859" s="76">
        <f>IF($AB859="Currently special serv","Currently Specially Serviced",IF($AB859="Returned to master serv","Previously Specially Serviced","Never Specially Serviced"))</f>
        <v/>
      </c>
      <c r="CF859" s="78">
        <f>IF($CE859="Currently Specially Serviced",1,0)</f>
        <v/>
      </c>
      <c r="CG859" s="76">
        <f>IF($AA859="Yes","Currently on Watchlist",IF($AA859="Previously","Previously on Watchlist","Never on Watchlist"))</f>
        <v/>
      </c>
      <c r="CH859" s="78">
        <f>IF($CG859="Currently on Watchlist",1,0)</f>
        <v/>
      </c>
      <c r="CI859" s="76">
        <f>IF($Z859="Full Defeasance","Fully Defeased",IF($Z859="Portion Of Loan Previously Defeased","Partially Defeased",IF($Z859="Defeasance Not Allowable","Not Defeased (Not Permitted)","Not Defeased")))</f>
        <v/>
      </c>
      <c r="CJ859" s="78">
        <f>IF($CI859="Fully Defeased",1,0)</f>
        <v/>
      </c>
      <c r="CK859" s="76">
        <f>IF($R859="IO","Full IO",IF(LEFT($R859&amp;"",7)="IO then","Partial IO","Amortizing"))</f>
        <v/>
      </c>
      <c r="CL859" s="78">
        <f>IF($CK859="Full IO",1,0)</f>
        <v/>
      </c>
      <c r="CM859" s="78">
        <f>IF($CK859="Partial IO",1,0)</f>
        <v/>
      </c>
      <c r="CN859" s="76">
        <f>IF(LEFT($F859&amp;"",10)="SPLIT_LOAN","Pari Passu Split","Standalone")</f>
        <v/>
      </c>
      <c r="CO859" s="78">
        <f>IF($CN859="Pari Passu Split",1,0)</f>
        <v/>
      </c>
      <c r="CP859" s="77">
        <f>IF(ISNUMBER($T859),YEAR($T859),"")</f>
        <v/>
      </c>
      <c r="CQ859" s="79">
        <f>IF(ISNUMBER($V859),$V859,IF(ISNUMBER($U859),$U859,""))</f>
        <v/>
      </c>
      <c r="CR859" s="77">
        <f>IF(ISNUMBER($CQ859),YEAR($CQ859),"")</f>
        <v/>
      </c>
      <c r="CS859" s="78">
        <f>IF(ISNUMBER($M859),MAX(0,$M859),IF(TRIM($M859&amp;"")="matured",0,""))</f>
        <v/>
      </c>
      <c r="CT859" s="78">
        <f>IF(AND(ISNUMBER($CS859),N($CS859)&lt;=mMatWindow),1,0)</f>
        <v/>
      </c>
      <c r="CU859" s="80">
        <f>IF(ISNUMBER($J859),$J859/100,"")</f>
        <v/>
      </c>
      <c r="CV859" s="81">
        <f>IF(ISNUMBER($AQ859),$AQ859,"")</f>
        <v/>
      </c>
      <c r="CW859" s="81">
        <f>IF(ISNUMBER($AR859),$AR859,"")</f>
        <v/>
      </c>
      <c r="CX859" s="82">
        <f>IF(ISNUMBER($AS859),$AS859/100,"")</f>
        <v/>
      </c>
      <c r="CY859" s="82">
        <f>IF(ISNUMBER($AT859),$AT859/100,"")</f>
        <v/>
      </c>
      <c r="CZ859" s="82">
        <f>IF(ISNUMBER($AU859),$AU859/100,"")</f>
        <v/>
      </c>
      <c r="DA859" s="82">
        <f>IF(ISNUMBER($AV859),$AV859/100,"")</f>
        <v/>
      </c>
      <c r="DB859" s="82">
        <f>IF(ISNUMBER($AW859),$AW859/100,"")</f>
        <v/>
      </c>
      <c r="DC859" s="82">
        <f>IF(ISNUMBER($AX859),$AX859/100,"")</f>
        <v/>
      </c>
      <c r="DD859" s="77">
        <f>IFERROR(VALUE(LEFT(TRIM($AO859&amp;""),4)),"")</f>
        <v/>
      </c>
      <c r="DE859" s="78">
        <f>IF(AND($BY859=1,$BX859=1,OR(fDeal="All Deals",$BU859=fDeal),OR(fEntity="All Entities",$BV859=fEntity),OR(fPType="All Property Types",$BZ859=fPType),OR(fDefeased="Include",$CJ859=0)),1,0)</f>
        <v/>
      </c>
      <c r="DF859" s="83">
        <f>$DE859*N($I859)</f>
        <v/>
      </c>
      <c r="DG859" s="78">
        <f>IF($DE859=1,IF(COUNTIFS($F$8:$F859,$F859,$DE$8:$DE859,1)=1,1,0),0)</f>
        <v/>
      </c>
      <c r="DH859" s="83">
        <f>IF($DG859=1,SUMIFS($DF$8:$DF$1600,$F$8:$F$1600,$F859),0)</f>
        <v/>
      </c>
      <c r="DI859" s="78">
        <f>IF($DG859=1,COUNTIFS($F$8:$F$1600,$F859,$DE$8:$DE$1600,1),0)</f>
        <v/>
      </c>
      <c r="DJ859" s="84">
        <f>IF($DG859=1,$DH859+(100000-ROW())/mTieBreak,0)</f>
        <v/>
      </c>
    </row>
    <row r="860">
      <c r="B860" s="68" t="n">
        <v>4</v>
      </c>
      <c r="C860" s="69" t="inlineStr">
        <is>
          <t>MSC18L1</t>
        </is>
      </c>
      <c r="D860" s="69" t="inlineStr">
        <is>
          <t>4.000</t>
        </is>
      </c>
      <c r="E860" s="69" t="inlineStr">
        <is>
          <t>Navika Six Portfolio</t>
        </is>
      </c>
      <c r="F860" s="69" t="inlineStr">
        <is>
          <t>SPLIT_LOAN_01354</t>
        </is>
      </c>
      <c r="G860" s="70" t="n">
        <v>1354</v>
      </c>
      <c r="H860" s="71" t="n">
        <v>46000000</v>
      </c>
      <c r="I860" s="71" t="n">
        <v>39551580.759978</v>
      </c>
      <c r="J860" s="72" t="n">
        <v>4.755</v>
      </c>
      <c r="K860" s="69" t="inlineStr">
        <is>
          <t>Fixed rate</t>
        </is>
      </c>
      <c r="L860" s="68" t="n">
        <v>120</v>
      </c>
      <c r="M860" s="68" t="n">
        <v>24</v>
      </c>
      <c r="N860" s="68" t="n">
        <v>360</v>
      </c>
      <c r="O860" s="68" t="n"/>
      <c r="P860" s="68" t="n"/>
      <c r="Q860" s="68" t="n">
        <v>96</v>
      </c>
      <c r="R860" s="69" t="n"/>
      <c r="S860" s="69" t="inlineStr">
        <is>
          <t>No</t>
        </is>
      </c>
      <c r="T860" s="73" t="n">
        <v>43344</v>
      </c>
      <c r="U860" s="73" t="n">
        <v>46997</v>
      </c>
      <c r="V860" s="73" t="n"/>
      <c r="W860" s="69" t="n"/>
      <c r="X860" s="69" t="inlineStr">
        <is>
          <t>Current</t>
        </is>
      </c>
      <c r="Y860" s="68" t="n"/>
      <c r="Z860" s="69" t="inlineStr">
        <is>
          <t>No Defeasance Occurred</t>
        </is>
      </c>
      <c r="AA860" s="69" t="inlineStr">
        <is>
          <t>Yes</t>
        </is>
      </c>
      <c r="AB860" s="69" t="inlineStr">
        <is>
          <t>Returned to master serv</t>
        </is>
      </c>
      <c r="AC860" s="73" t="n"/>
      <c r="AD860" s="69" t="inlineStr">
        <is>
          <t>Payment Default (all payments excluding Balloon/Maturity Payment)</t>
        </is>
      </c>
      <c r="AE860" s="69" t="inlineStr">
        <is>
          <t>Resolved</t>
        </is>
      </c>
      <c r="AF860" s="69" t="inlineStr">
        <is>
          <t>CA-39.494468681% FL-21.327012589% TX-20.537123477% NJ-18.641395253%</t>
        </is>
      </c>
      <c r="AG860" s="69" t="n"/>
      <c r="AH860" s="69" t="inlineStr">
        <is>
          <t>Riverside-San Bernardino-Ontario, CA-39.494468681% Houston-Pasadena-The Woodlands, TX-20.537123477% Philadelphia-Camden-Wilmington, PA-NJ-DE-MD-18.641395253% Tampa-St. Petersburg-Clearwater, FL-12.638234510% Palm Bay-Melbourne-Titusville, FL-8.688778079%</t>
        </is>
      </c>
      <c r="AI860" s="69" t="inlineStr">
        <is>
          <t>West / Pacific South-39.494468681% South / Atlantic-21.327012589% South / Central West-20.537123477% Northeast / Mid-Atlantic-18.641395253%</t>
        </is>
      </c>
      <c r="AJ860" s="69" t="inlineStr">
        <is>
          <t>HT</t>
        </is>
      </c>
      <c r="AK860" s="69" t="n"/>
      <c r="AL860" s="68" t="n">
        <v>6</v>
      </c>
      <c r="AM860" s="68" t="n">
        <v>803</v>
      </c>
      <c r="AN860" s="68" t="n"/>
      <c r="AO860" s="69" t="n"/>
      <c r="AP860" s="70" t="n">
        <v>2018</v>
      </c>
      <c r="AQ860" s="74" t="n">
        <v>2.02</v>
      </c>
      <c r="AR860" s="74" t="n">
        <v>1.99</v>
      </c>
      <c r="AS860" s="74" t="n">
        <v>63.9</v>
      </c>
      <c r="AT860" s="74" t="n">
        <v>53.99</v>
      </c>
      <c r="AU860" s="74" t="n">
        <v>52.3</v>
      </c>
      <c r="AV860" s="74" t="n">
        <v>12.680548148</v>
      </c>
      <c r="AW860" s="74" t="n">
        <v>11.879248507</v>
      </c>
      <c r="AX860" s="75" t="n">
        <v>70</v>
      </c>
      <c r="AY860" s="71" t="n">
        <v>126600000</v>
      </c>
      <c r="AZ860" s="71" t="n">
        <v>129000000</v>
      </c>
      <c r="BA860" s="71" t="n">
        <v>10271244</v>
      </c>
      <c r="BB860" s="71" t="n">
        <v>2521575.83</v>
      </c>
      <c r="BC860" s="69" t="inlineStr">
        <is>
          <t>Refinance</t>
        </is>
      </c>
      <c r="BD860" s="69" t="inlineStr">
        <is>
          <t>N</t>
        </is>
      </c>
      <c r="BE860" s="71" t="n">
        <v>30093594.06</v>
      </c>
      <c r="BF860" s="71" t="n"/>
      <c r="BG860" s="71" t="n"/>
      <c r="BH860" s="71" t="n">
        <v>0</v>
      </c>
      <c r="BI860" s="71" t="n">
        <v>0</v>
      </c>
      <c r="BJ860" s="69" t="inlineStr">
        <is>
          <t>Y</t>
        </is>
      </c>
      <c r="BK860" s="69" t="n"/>
      <c r="BL860" s="75" t="n"/>
      <c r="BM860" s="73" t="n"/>
      <c r="BN860" s="69" t="inlineStr">
        <is>
          <t>Naveen Shah</t>
        </is>
      </c>
      <c r="BO860" s="69" t="inlineStr">
        <is>
          <t>Morgan Stanley</t>
        </is>
      </c>
      <c r="BP860" s="69" t="inlineStr">
        <is>
          <t>Midland Loan Services</t>
        </is>
      </c>
      <c r="BQ860" s="69" t="inlineStr">
        <is>
          <t>K-Star Asset Management LLC</t>
        </is>
      </c>
      <c r="BR860" s="69" t="n"/>
      <c r="BS860" s="73" t="n">
        <v>46276</v>
      </c>
      <c r="BU860" s="76">
        <f>IF($C860="","",IFERROR(INDEX(dmName,MATCH($C860,dmID,0)),"Unmapped"))</f>
        <v/>
      </c>
      <c r="BV860" s="76">
        <f>IF($C860="","",IFERROR(INDEX(dmEntity,MATCH($C860,dmID,0)),"Unmapped"))</f>
        <v/>
      </c>
      <c r="BW860" s="77">
        <f>IF($C860="","",IFERROR(INDEX(dmVintage,MATCH($C860,dmID,0)),""))</f>
        <v/>
      </c>
      <c r="BX860" s="78">
        <f>IFERROR(INDEX(dmInclude,MATCH($C860,dmID,0)),0)</f>
        <v/>
      </c>
      <c r="BY860" s="78">
        <f>IF(N($I860)&gt;0,1,0)</f>
        <v/>
      </c>
      <c r="BZ860" s="76">
        <f>IF($AJ860="","Other / Leased Fee",IFERROR(INDEX(mapPTGroup,MATCH(LEFT(TRIM($AJ860),2),mapPTCode,0)),"Other / Leased Fee"))</f>
        <v/>
      </c>
      <c r="CA860" s="76">
        <f>IF(TRIM($AF860&amp;"")="","NR",LEFT(TRIM($AF860),2))</f>
        <v/>
      </c>
      <c r="CB860" s="76">
        <f>IFERROR(LOOKUP(2,1/(LEFT(TRIM($AI860&amp;""),LEN(mapRegion))=mapRegion),mapRegion),"Not Reported")</f>
        <v/>
      </c>
      <c r="CC860" s="76">
        <f>IF($BY860=0,"",IF(TRIM($W860&amp;"")="REO","REO",IF(TRIM($W860&amp;"")="FC","Foreclosure",IF(TRIM($W860&amp;"")="90+","90+ Days Delinquent",IF(TRIM($W860&amp;"")="60","60 Days Delinquent",IF(TRIM($W860&amp;"")="30","30 Days Delinquent",IF($X860="Non-Performing Matured Balloon","Non-Performing Matured Balloon",IF(OR($X860="Late Payment But Less Than 30 Days Delinquent",LEFT($X860&amp;"",20)="Payment Not Received"),"Late / In Grace (&lt;30 Days)",IF($X860="Performing Matured Balloon","Performing Matured Balloon","Current")))))))))</f>
        <v/>
      </c>
      <c r="CD860" s="78">
        <f>IF(OR($CC860="REO",$CC860="Foreclosure",$CC860="90+ Days Delinquent",$CC860="60 Days Delinquent",$CC860="30 Days Delinquent",$CC860="Non-Performing Matured Balloon"),1,0)</f>
        <v/>
      </c>
      <c r="CE860" s="76">
        <f>IF($AB860="Currently special serv","Currently Specially Serviced",IF($AB860="Returned to master serv","Previously Specially Serviced","Never Specially Serviced"))</f>
        <v/>
      </c>
      <c r="CF860" s="78">
        <f>IF($CE860="Currently Specially Serviced",1,0)</f>
        <v/>
      </c>
      <c r="CG860" s="76">
        <f>IF($AA860="Yes","Currently on Watchlist",IF($AA860="Previously","Previously on Watchlist","Never on Watchlist"))</f>
        <v/>
      </c>
      <c r="CH860" s="78">
        <f>IF($CG860="Currently on Watchlist",1,0)</f>
        <v/>
      </c>
      <c r="CI860" s="76">
        <f>IF($Z860="Full Defeasance","Fully Defeased",IF($Z860="Portion Of Loan Previously Defeased","Partially Defeased",IF($Z860="Defeasance Not Allowable","Not Defeased (Not Permitted)","Not Defeased")))</f>
        <v/>
      </c>
      <c r="CJ860" s="78">
        <f>IF($CI860="Fully Defeased",1,0)</f>
        <v/>
      </c>
      <c r="CK860" s="76">
        <f>IF($R860="IO","Full IO",IF(LEFT($R860&amp;"",7)="IO then","Partial IO","Amortizing"))</f>
        <v/>
      </c>
      <c r="CL860" s="78">
        <f>IF($CK860="Full IO",1,0)</f>
        <v/>
      </c>
      <c r="CM860" s="78">
        <f>IF($CK860="Partial IO",1,0)</f>
        <v/>
      </c>
      <c r="CN860" s="76">
        <f>IF(LEFT($F860&amp;"",10)="SPLIT_LOAN","Pari Passu Split","Standalone")</f>
        <v/>
      </c>
      <c r="CO860" s="78">
        <f>IF($CN860="Pari Passu Split",1,0)</f>
        <v/>
      </c>
      <c r="CP860" s="77">
        <f>IF(ISNUMBER($T860),YEAR($T860),"")</f>
        <v/>
      </c>
      <c r="CQ860" s="79">
        <f>IF(ISNUMBER($V860),$V860,IF(ISNUMBER($U860),$U860,""))</f>
        <v/>
      </c>
      <c r="CR860" s="77">
        <f>IF(ISNUMBER($CQ860),YEAR($CQ860),"")</f>
        <v/>
      </c>
      <c r="CS860" s="78">
        <f>IF(ISNUMBER($M860),MAX(0,$M860),IF(TRIM($M860&amp;"")="matured",0,""))</f>
        <v/>
      </c>
      <c r="CT860" s="78">
        <f>IF(AND(ISNUMBER($CS860),N($CS860)&lt;=mMatWindow),1,0)</f>
        <v/>
      </c>
      <c r="CU860" s="80">
        <f>IF(ISNUMBER($J860),$J860/100,"")</f>
        <v/>
      </c>
      <c r="CV860" s="81">
        <f>IF(ISNUMBER($AQ860),$AQ860,"")</f>
        <v/>
      </c>
      <c r="CW860" s="81">
        <f>IF(ISNUMBER($AR860),$AR860,"")</f>
        <v/>
      </c>
      <c r="CX860" s="82">
        <f>IF(ISNUMBER($AS860),$AS860/100,"")</f>
        <v/>
      </c>
      <c r="CY860" s="82">
        <f>IF(ISNUMBER($AT860),$AT860/100,"")</f>
        <v/>
      </c>
      <c r="CZ860" s="82">
        <f>IF(ISNUMBER($AU860),$AU860/100,"")</f>
        <v/>
      </c>
      <c r="DA860" s="82">
        <f>IF(ISNUMBER($AV860),$AV860/100,"")</f>
        <v/>
      </c>
      <c r="DB860" s="82">
        <f>IF(ISNUMBER($AW860),$AW860/100,"")</f>
        <v/>
      </c>
      <c r="DC860" s="82">
        <f>IF(ISNUMBER($AX860),$AX860/100,"")</f>
        <v/>
      </c>
      <c r="DD860" s="77">
        <f>IFERROR(VALUE(LEFT(TRIM($AO860&amp;""),4)),"")</f>
        <v/>
      </c>
      <c r="DE860" s="78">
        <f>IF(AND($BY860=1,$BX860=1,OR(fDeal="All Deals",$BU860=fDeal),OR(fEntity="All Entities",$BV860=fEntity),OR(fPType="All Property Types",$BZ860=fPType),OR(fDefeased="Include",$CJ860=0)),1,0)</f>
        <v/>
      </c>
      <c r="DF860" s="83">
        <f>$DE860*N($I860)</f>
        <v/>
      </c>
      <c r="DG860" s="78">
        <f>IF($DE860=1,IF(COUNTIFS($F$8:$F860,$F860,$DE$8:$DE860,1)=1,1,0),0)</f>
        <v/>
      </c>
      <c r="DH860" s="83">
        <f>IF($DG860=1,SUMIFS($DF$8:$DF$1600,$F$8:$F$1600,$F860),0)</f>
        <v/>
      </c>
      <c r="DI860" s="78">
        <f>IF($DG860=1,COUNTIFS($F$8:$F$1600,$F860,$DE$8:$DE$1600,1),0)</f>
        <v/>
      </c>
      <c r="DJ860" s="84">
        <f>IF($DG860=1,$DH860+(100000-ROW())/mTieBreak,0)</f>
        <v/>
      </c>
    </row>
    <row r="861">
      <c r="B861" s="68" t="n">
        <v>5</v>
      </c>
      <c r="C861" s="69" t="inlineStr">
        <is>
          <t>MSC18L1</t>
        </is>
      </c>
      <c r="D861" s="69" t="inlineStr">
        <is>
          <t>5.000</t>
        </is>
      </c>
      <c r="E861" s="69" t="inlineStr">
        <is>
          <t>Offices at Mall of America</t>
        </is>
      </c>
      <c r="F861" s="69" t="inlineStr">
        <is>
          <t>LNMSC18L1-5.000</t>
        </is>
      </c>
      <c r="G861" s="70" t="n"/>
      <c r="H861" s="71" t="n">
        <v>42000000</v>
      </c>
      <c r="I861" s="71" t="n">
        <v>38811982.269984</v>
      </c>
      <c r="J861" s="72" t="n">
        <v>5.136</v>
      </c>
      <c r="K861" s="69" t="inlineStr">
        <is>
          <t>Fixed rate</t>
        </is>
      </c>
      <c r="L861" s="68" t="n">
        <v>120</v>
      </c>
      <c r="M861" s="68" t="n">
        <v>24</v>
      </c>
      <c r="N861" s="68" t="n">
        <v>396</v>
      </c>
      <c r="O861" s="68" t="n">
        <v>36</v>
      </c>
      <c r="P861" s="68" t="n">
        <v>0</v>
      </c>
      <c r="Q861" s="68" t="n">
        <v>96</v>
      </c>
      <c r="R861" s="69" t="inlineStr">
        <is>
          <t>IO then Amort</t>
        </is>
      </c>
      <c r="S861" s="69" t="inlineStr">
        <is>
          <t>No</t>
        </is>
      </c>
      <c r="T861" s="73" t="n">
        <v>43344</v>
      </c>
      <c r="U861" s="73" t="n">
        <v>47002</v>
      </c>
      <c r="V861" s="73" t="n"/>
      <c r="W861" s="69" t="n"/>
      <c r="X861" s="69" t="inlineStr">
        <is>
          <t>Current</t>
        </is>
      </c>
      <c r="Y861" s="68" t="n"/>
      <c r="Z861" s="69" t="inlineStr">
        <is>
          <t>No Defeasance Occurred</t>
        </is>
      </c>
      <c r="AA861" s="69" t="inlineStr">
        <is>
          <t>Previously</t>
        </is>
      </c>
      <c r="AB861" s="69" t="inlineStr">
        <is>
          <t>Never special serv</t>
        </is>
      </c>
      <c r="AC861" s="73" t="n"/>
      <c r="AD861" s="69" t="n"/>
      <c r="AE861" s="69" t="n"/>
      <c r="AF861" s="69" t="inlineStr">
        <is>
          <t>MN</t>
        </is>
      </c>
      <c r="AG861" s="69" t="inlineStr">
        <is>
          <t>Bloomington</t>
        </is>
      </c>
      <c r="AH861" s="69" t="inlineStr">
        <is>
          <t>Minneapolis-St. Paul-Bloomington, MN-WI</t>
        </is>
      </c>
      <c r="AI861" s="69" t="inlineStr">
        <is>
          <t>Midwest / Central West</t>
        </is>
      </c>
      <c r="AJ861" s="69" t="inlineStr">
        <is>
          <t>OF</t>
        </is>
      </c>
      <c r="AK861" s="69" t="inlineStr">
        <is>
          <t>Suburban</t>
        </is>
      </c>
      <c r="AL861" s="68" t="n">
        <v>1</v>
      </c>
      <c r="AM861" s="68" t="n"/>
      <c r="AN861" s="68" t="n">
        <v>169311</v>
      </c>
      <c r="AO861" s="69" t="inlineStr">
        <is>
          <t>2016</t>
        </is>
      </c>
      <c r="AP861" s="70" t="n">
        <v>2016</v>
      </c>
      <c r="AQ861" s="74" t="n">
        <v>1.3</v>
      </c>
      <c r="AR861" s="74" t="n">
        <v>1.51</v>
      </c>
      <c r="AS861" s="74" t="n">
        <v>64.59999999999999</v>
      </c>
      <c r="AT861" s="74" t="n">
        <v>59.71</v>
      </c>
      <c r="AU861" s="74" t="n">
        <v>57.5</v>
      </c>
      <c r="AV861" s="74" t="n">
        <v>8.506195929</v>
      </c>
      <c r="AW861" s="74" t="n">
        <v>9.751435146</v>
      </c>
      <c r="AX861" s="75" t="n">
        <v>89</v>
      </c>
      <c r="AY861" s="71" t="n">
        <v>65000000</v>
      </c>
      <c r="AZ861" s="71" t="n">
        <v>65000000</v>
      </c>
      <c r="BA861" s="71" t="n">
        <v>3572602.29</v>
      </c>
      <c r="BB861" s="71" t="n">
        <v>1037236.79</v>
      </c>
      <c r="BC861" s="69" t="inlineStr">
        <is>
          <t>Refinance</t>
        </is>
      </c>
      <c r="BD861" s="69" t="inlineStr">
        <is>
          <t>Y</t>
        </is>
      </c>
      <c r="BE861" s="71" t="n"/>
      <c r="BF861" s="71" t="n"/>
      <c r="BG861" s="71" t="n"/>
      <c r="BH861" s="71" t="n">
        <v>0</v>
      </c>
      <c r="BI861" s="71" t="n">
        <v>0</v>
      </c>
      <c r="BJ861" s="69" t="inlineStr">
        <is>
          <t>N</t>
        </is>
      </c>
      <c r="BK861" s="69" t="inlineStr">
        <is>
          <t>Hewlett Packard</t>
        </is>
      </c>
      <c r="BL861" s="75" t="n">
        <v>51.8</v>
      </c>
      <c r="BM861" s="73" t="n">
        <v>47514</v>
      </c>
      <c r="BN861" s="69" t="inlineStr">
        <is>
          <t>Triple Five Worldwide</t>
        </is>
      </c>
      <c r="BO861" s="69" t="inlineStr">
        <is>
          <t>Starwood</t>
        </is>
      </c>
      <c r="BP861" s="69" t="inlineStr">
        <is>
          <t>Midland Loan Services</t>
        </is>
      </c>
      <c r="BQ861" s="69" t="inlineStr">
        <is>
          <t>K-Star Asset Management LLC</t>
        </is>
      </c>
      <c r="BR861" s="69" t="n"/>
      <c r="BS861" s="73" t="n">
        <v>46276</v>
      </c>
      <c r="BU861" s="76">
        <f>IF($C861="","",IFERROR(INDEX(dmName,MATCH($C861,dmID,0)),"Unmapped"))</f>
        <v/>
      </c>
      <c r="BV861" s="76">
        <f>IF($C861="","",IFERROR(INDEX(dmEntity,MATCH($C861,dmID,0)),"Unmapped"))</f>
        <v/>
      </c>
      <c r="BW861" s="77">
        <f>IF($C861="","",IFERROR(INDEX(dmVintage,MATCH($C861,dmID,0)),""))</f>
        <v/>
      </c>
      <c r="BX861" s="78">
        <f>IFERROR(INDEX(dmInclude,MATCH($C861,dmID,0)),0)</f>
        <v/>
      </c>
      <c r="BY861" s="78">
        <f>IF(N($I861)&gt;0,1,0)</f>
        <v/>
      </c>
      <c r="BZ861" s="76">
        <f>IF($AJ861="","Other / Leased Fee",IFERROR(INDEX(mapPTGroup,MATCH(LEFT(TRIM($AJ861),2),mapPTCode,0)),"Other / Leased Fee"))</f>
        <v/>
      </c>
      <c r="CA861" s="76">
        <f>IF(TRIM($AF861&amp;"")="","NR",LEFT(TRIM($AF861),2))</f>
        <v/>
      </c>
      <c r="CB861" s="76">
        <f>IFERROR(LOOKUP(2,1/(LEFT(TRIM($AI861&amp;""),LEN(mapRegion))=mapRegion),mapRegion),"Not Reported")</f>
        <v/>
      </c>
      <c r="CC861" s="76">
        <f>IF($BY861=0,"",IF(TRIM($W861&amp;"")="REO","REO",IF(TRIM($W861&amp;"")="FC","Foreclosure",IF(TRIM($W861&amp;"")="90+","90+ Days Delinquent",IF(TRIM($W861&amp;"")="60","60 Days Delinquent",IF(TRIM($W861&amp;"")="30","30 Days Delinquent",IF($X861="Non-Performing Matured Balloon","Non-Performing Matured Balloon",IF(OR($X861="Late Payment But Less Than 30 Days Delinquent",LEFT($X861&amp;"",20)="Payment Not Received"),"Late / In Grace (&lt;30 Days)",IF($X861="Performing Matured Balloon","Performing Matured Balloon","Current")))))))))</f>
        <v/>
      </c>
      <c r="CD861" s="78">
        <f>IF(OR($CC861="REO",$CC861="Foreclosure",$CC861="90+ Days Delinquent",$CC861="60 Days Delinquent",$CC861="30 Days Delinquent",$CC861="Non-Performing Matured Balloon"),1,0)</f>
        <v/>
      </c>
      <c r="CE861" s="76">
        <f>IF($AB861="Currently special serv","Currently Specially Serviced",IF($AB861="Returned to master serv","Previously Specially Serviced","Never Specially Serviced"))</f>
        <v/>
      </c>
      <c r="CF861" s="78">
        <f>IF($CE861="Currently Specially Serviced",1,0)</f>
        <v/>
      </c>
      <c r="CG861" s="76">
        <f>IF($AA861="Yes","Currently on Watchlist",IF($AA861="Previously","Previously on Watchlist","Never on Watchlist"))</f>
        <v/>
      </c>
      <c r="CH861" s="78">
        <f>IF($CG861="Currently on Watchlist",1,0)</f>
        <v/>
      </c>
      <c r="CI861" s="76">
        <f>IF($Z861="Full Defeasance","Fully Defeased",IF($Z861="Portion Of Loan Previously Defeased","Partially Defeased",IF($Z861="Defeasance Not Allowable","Not Defeased (Not Permitted)","Not Defeased")))</f>
        <v/>
      </c>
      <c r="CJ861" s="78">
        <f>IF($CI861="Fully Defeased",1,0)</f>
        <v/>
      </c>
      <c r="CK861" s="76">
        <f>IF($R861="IO","Full IO",IF(LEFT($R861&amp;"",7)="IO then","Partial IO","Amortizing"))</f>
        <v/>
      </c>
      <c r="CL861" s="78">
        <f>IF($CK861="Full IO",1,0)</f>
        <v/>
      </c>
      <c r="CM861" s="78">
        <f>IF($CK861="Partial IO",1,0)</f>
        <v/>
      </c>
      <c r="CN861" s="76">
        <f>IF(LEFT($F861&amp;"",10)="SPLIT_LOAN","Pari Passu Split","Standalone")</f>
        <v/>
      </c>
      <c r="CO861" s="78">
        <f>IF($CN861="Pari Passu Split",1,0)</f>
        <v/>
      </c>
      <c r="CP861" s="77">
        <f>IF(ISNUMBER($T861),YEAR($T861),"")</f>
        <v/>
      </c>
      <c r="CQ861" s="79">
        <f>IF(ISNUMBER($V861),$V861,IF(ISNUMBER($U861),$U861,""))</f>
        <v/>
      </c>
      <c r="CR861" s="77">
        <f>IF(ISNUMBER($CQ861),YEAR($CQ861),"")</f>
        <v/>
      </c>
      <c r="CS861" s="78">
        <f>IF(ISNUMBER($M861),MAX(0,$M861),IF(TRIM($M861&amp;"")="matured",0,""))</f>
        <v/>
      </c>
      <c r="CT861" s="78">
        <f>IF(AND(ISNUMBER($CS861),N($CS861)&lt;=mMatWindow),1,0)</f>
        <v/>
      </c>
      <c r="CU861" s="80">
        <f>IF(ISNUMBER($J861),$J861/100,"")</f>
        <v/>
      </c>
      <c r="CV861" s="81">
        <f>IF(ISNUMBER($AQ861),$AQ861,"")</f>
        <v/>
      </c>
      <c r="CW861" s="81">
        <f>IF(ISNUMBER($AR861),$AR861,"")</f>
        <v/>
      </c>
      <c r="CX861" s="82">
        <f>IF(ISNUMBER($AS861),$AS861/100,"")</f>
        <v/>
      </c>
      <c r="CY861" s="82">
        <f>IF(ISNUMBER($AT861),$AT861/100,"")</f>
        <v/>
      </c>
      <c r="CZ861" s="82">
        <f>IF(ISNUMBER($AU861),$AU861/100,"")</f>
        <v/>
      </c>
      <c r="DA861" s="82">
        <f>IF(ISNUMBER($AV861),$AV861/100,"")</f>
        <v/>
      </c>
      <c r="DB861" s="82">
        <f>IF(ISNUMBER($AW861),$AW861/100,"")</f>
        <v/>
      </c>
      <c r="DC861" s="82">
        <f>IF(ISNUMBER($AX861),$AX861/100,"")</f>
        <v/>
      </c>
      <c r="DD861" s="77">
        <f>IFERROR(VALUE(LEFT(TRIM($AO861&amp;""),4)),"")</f>
        <v/>
      </c>
      <c r="DE861" s="78">
        <f>IF(AND($BY861=1,$BX861=1,OR(fDeal="All Deals",$BU861=fDeal),OR(fEntity="All Entities",$BV861=fEntity),OR(fPType="All Property Types",$BZ861=fPType),OR(fDefeased="Include",$CJ861=0)),1,0)</f>
        <v/>
      </c>
      <c r="DF861" s="83">
        <f>$DE861*N($I861)</f>
        <v/>
      </c>
      <c r="DG861" s="78">
        <f>IF($DE861=1,IF(COUNTIFS($F$8:$F861,$F861,$DE$8:$DE861,1)=1,1,0),0)</f>
        <v/>
      </c>
      <c r="DH861" s="83">
        <f>IF($DG861=1,SUMIFS($DF$8:$DF$1600,$F$8:$F$1600,$F861),0)</f>
        <v/>
      </c>
      <c r="DI861" s="78">
        <f>IF($DG861=1,COUNTIFS($F$8:$F$1600,$F861,$DE$8:$DE$1600,1),0)</f>
        <v/>
      </c>
      <c r="DJ861" s="84">
        <f>IF($DG861=1,$DH861+(100000-ROW())/mTieBreak,0)</f>
        <v/>
      </c>
    </row>
    <row r="862">
      <c r="B862" s="68" t="n">
        <v>6</v>
      </c>
      <c r="C862" s="69" t="inlineStr">
        <is>
          <t>MSC18L1</t>
        </is>
      </c>
      <c r="D862" s="69" t="inlineStr">
        <is>
          <t>6.TR</t>
        </is>
      </c>
      <c r="E862" s="69" t="inlineStr">
        <is>
          <t>The Gateway - Trust</t>
        </is>
      </c>
      <c r="F862" s="69" t="inlineStr">
        <is>
          <t>SPLIT_LOAN_01267</t>
        </is>
      </c>
      <c r="G862" s="70" t="n">
        <v>1267</v>
      </c>
      <c r="H862" s="71" t="n">
        <v>40000000</v>
      </c>
      <c r="I862" s="71" t="n">
        <v>40000000</v>
      </c>
      <c r="J862" s="72" t="n">
        <v>3.721818182</v>
      </c>
      <c r="K862" s="69" t="inlineStr">
        <is>
          <t>Fixed rate</t>
        </is>
      </c>
      <c r="L862" s="68" t="n">
        <v>120</v>
      </c>
      <c r="M862" s="68" t="n">
        <v>19</v>
      </c>
      <c r="N862" s="68" t="n">
        <v>120</v>
      </c>
      <c r="O862" s="68" t="n">
        <v>120</v>
      </c>
      <c r="P862" s="68" t="n">
        <v>19</v>
      </c>
      <c r="Q862" s="68" t="n">
        <v>101</v>
      </c>
      <c r="R862" s="69" t="inlineStr">
        <is>
          <t>IO</t>
        </is>
      </c>
      <c r="S862" s="69" t="inlineStr">
        <is>
          <t>Yes</t>
        </is>
      </c>
      <c r="T862" s="73" t="n">
        <v>43191</v>
      </c>
      <c r="U862" s="73" t="n">
        <v>46849</v>
      </c>
      <c r="V862" s="73" t="n"/>
      <c r="W862" s="69" t="n"/>
      <c r="X862" s="69" t="inlineStr">
        <is>
          <t>Current</t>
        </is>
      </c>
      <c r="Y862" s="68" t="n"/>
      <c r="Z862" s="69" t="inlineStr">
        <is>
          <t>No Defeasance Occurred</t>
        </is>
      </c>
      <c r="AA862" s="69" t="n"/>
      <c r="AB862" s="69" t="inlineStr">
        <is>
          <t>Never special serv</t>
        </is>
      </c>
      <c r="AC862" s="73" t="n"/>
      <c r="AD862" s="69" t="n"/>
      <c r="AE862" s="69" t="n"/>
      <c r="AF862" s="69" t="inlineStr">
        <is>
          <t>CA</t>
        </is>
      </c>
      <c r="AG862" s="69" t="inlineStr">
        <is>
          <t>San Francisco</t>
        </is>
      </c>
      <c r="AH862" s="69" t="inlineStr">
        <is>
          <t>San Francisco-Oakland-Fremont, CA</t>
        </is>
      </c>
      <c r="AI862" s="69" t="inlineStr">
        <is>
          <t>West / Pacific North</t>
        </is>
      </c>
      <c r="AJ862" s="69" t="inlineStr">
        <is>
          <t>MF</t>
        </is>
      </c>
      <c r="AK862" s="69" t="inlineStr">
        <is>
          <t>High Rise</t>
        </is>
      </c>
      <c r="AL862" s="68" t="n">
        <v>1</v>
      </c>
      <c r="AM862" s="68" t="n">
        <v>1254</v>
      </c>
      <c r="AN862" s="68" t="n"/>
      <c r="AO862" s="69" t="inlineStr">
        <is>
          <t>1965-1967</t>
        </is>
      </c>
      <c r="AP862" s="70" t="n">
        <v>2018</v>
      </c>
      <c r="AQ862" s="74" t="n">
        <v>2.98</v>
      </c>
      <c r="AR862" s="74" t="n">
        <v>2.89</v>
      </c>
      <c r="AS862" s="74" t="n">
        <v>38</v>
      </c>
      <c r="AT862" s="74" t="n">
        <v>37.98</v>
      </c>
      <c r="AU862" s="74" t="n">
        <v>38</v>
      </c>
      <c r="AV862" s="74" t="n">
        <v>11.243499779</v>
      </c>
      <c r="AW862" s="74" t="n">
        <v>8.94397223</v>
      </c>
      <c r="AX862" s="75" t="n">
        <v>95</v>
      </c>
      <c r="AY862" s="71" t="n">
        <v>868800000</v>
      </c>
      <c r="AZ862" s="71" t="n">
        <v>868800000</v>
      </c>
      <c r="BA862" s="71" t="n">
        <v>37103549.27</v>
      </c>
      <c r="BB862" s="71" t="n">
        <v>35958318.28</v>
      </c>
      <c r="BC862" s="69" t="inlineStr">
        <is>
          <t>Refinance</t>
        </is>
      </c>
      <c r="BD862" s="69" t="inlineStr">
        <is>
          <t>N</t>
        </is>
      </c>
      <c r="BE862" s="71" t="n">
        <v>290000000</v>
      </c>
      <c r="BF862" s="71" t="n">
        <v>220000000</v>
      </c>
      <c r="BG862" s="71" t="n"/>
      <c r="BH862" s="71" t="n">
        <v>0</v>
      </c>
      <c r="BI862" s="71" t="n">
        <v>0</v>
      </c>
      <c r="BJ862" s="69" t="inlineStr">
        <is>
          <t>N</t>
        </is>
      </c>
      <c r="BK862" s="69" t="n"/>
      <c r="BL862" s="75" t="n"/>
      <c r="BM862" s="73" t="n"/>
      <c r="BN862" s="69" t="inlineStr">
        <is>
          <t>Prime Property Fund II, L.P.; C M Golden Gate, Inc.; Oakhill Gateway Partners, L.P.</t>
        </is>
      </c>
      <c r="BO862" s="69" t="inlineStr">
        <is>
          <t>Cantor Commercial Real Estate Lending</t>
        </is>
      </c>
      <c r="BP862" s="69" t="inlineStr">
        <is>
          <t>Midland Loan Services</t>
        </is>
      </c>
      <c r="BQ862" s="69" t="inlineStr">
        <is>
          <t>Aegon USA Realty</t>
        </is>
      </c>
      <c r="BR862" s="69" t="n"/>
      <c r="BS862" s="73" t="n">
        <v>46276</v>
      </c>
      <c r="BU862" s="76">
        <f>IF($C862="","",IFERROR(INDEX(dmName,MATCH($C862,dmID,0)),"Unmapped"))</f>
        <v/>
      </c>
      <c r="BV862" s="76">
        <f>IF($C862="","",IFERROR(INDEX(dmEntity,MATCH($C862,dmID,0)),"Unmapped"))</f>
        <v/>
      </c>
      <c r="BW862" s="77">
        <f>IF($C862="","",IFERROR(INDEX(dmVintage,MATCH($C862,dmID,0)),""))</f>
        <v/>
      </c>
      <c r="BX862" s="78">
        <f>IFERROR(INDEX(dmInclude,MATCH($C862,dmID,0)),0)</f>
        <v/>
      </c>
      <c r="BY862" s="78">
        <f>IF(N($I862)&gt;0,1,0)</f>
        <v/>
      </c>
      <c r="BZ862" s="76">
        <f>IF($AJ862="","Other / Leased Fee",IFERROR(INDEX(mapPTGroup,MATCH(LEFT(TRIM($AJ862),2),mapPTCode,0)),"Other / Leased Fee"))</f>
        <v/>
      </c>
      <c r="CA862" s="76">
        <f>IF(TRIM($AF862&amp;"")="","NR",LEFT(TRIM($AF862),2))</f>
        <v/>
      </c>
      <c r="CB862" s="76">
        <f>IFERROR(LOOKUP(2,1/(LEFT(TRIM($AI862&amp;""),LEN(mapRegion))=mapRegion),mapRegion),"Not Reported")</f>
        <v/>
      </c>
      <c r="CC862" s="76">
        <f>IF($BY862=0,"",IF(TRIM($W862&amp;"")="REO","REO",IF(TRIM($W862&amp;"")="FC","Foreclosure",IF(TRIM($W862&amp;"")="90+","90+ Days Delinquent",IF(TRIM($W862&amp;"")="60","60 Days Delinquent",IF(TRIM($W862&amp;"")="30","30 Days Delinquent",IF($X862="Non-Performing Matured Balloon","Non-Performing Matured Balloon",IF(OR($X862="Late Payment But Less Than 30 Days Delinquent",LEFT($X862&amp;"",20)="Payment Not Received"),"Late / In Grace (&lt;30 Days)",IF($X862="Performing Matured Balloon","Performing Matured Balloon","Current")))))))))</f>
        <v/>
      </c>
      <c r="CD862" s="78">
        <f>IF(OR($CC862="REO",$CC862="Foreclosure",$CC862="90+ Days Delinquent",$CC862="60 Days Delinquent",$CC862="30 Days Delinquent",$CC862="Non-Performing Matured Balloon"),1,0)</f>
        <v/>
      </c>
      <c r="CE862" s="76">
        <f>IF($AB862="Currently special serv","Currently Specially Serviced",IF($AB862="Returned to master serv","Previously Specially Serviced","Never Specially Serviced"))</f>
        <v/>
      </c>
      <c r="CF862" s="78">
        <f>IF($CE862="Currently Specially Serviced",1,0)</f>
        <v/>
      </c>
      <c r="CG862" s="76">
        <f>IF($AA862="Yes","Currently on Watchlist",IF($AA862="Previously","Previously on Watchlist","Never on Watchlist"))</f>
        <v/>
      </c>
      <c r="CH862" s="78">
        <f>IF($CG862="Currently on Watchlist",1,0)</f>
        <v/>
      </c>
      <c r="CI862" s="76">
        <f>IF($Z862="Full Defeasance","Fully Defeased",IF($Z862="Portion Of Loan Previously Defeased","Partially Defeased",IF($Z862="Defeasance Not Allowable","Not Defeased (Not Permitted)","Not Defeased")))</f>
        <v/>
      </c>
      <c r="CJ862" s="78">
        <f>IF($CI862="Fully Defeased",1,0)</f>
        <v/>
      </c>
      <c r="CK862" s="76">
        <f>IF($R862="IO","Full IO",IF(LEFT($R862&amp;"",7)="IO then","Partial IO","Amortizing"))</f>
        <v/>
      </c>
      <c r="CL862" s="78">
        <f>IF($CK862="Full IO",1,0)</f>
        <v/>
      </c>
      <c r="CM862" s="78">
        <f>IF($CK862="Partial IO",1,0)</f>
        <v/>
      </c>
      <c r="CN862" s="76">
        <f>IF(LEFT($F862&amp;"",10)="SPLIT_LOAN","Pari Passu Split","Standalone")</f>
        <v/>
      </c>
      <c r="CO862" s="78">
        <f>IF($CN862="Pari Passu Split",1,0)</f>
        <v/>
      </c>
      <c r="CP862" s="77">
        <f>IF(ISNUMBER($T862),YEAR($T862),"")</f>
        <v/>
      </c>
      <c r="CQ862" s="79">
        <f>IF(ISNUMBER($V862),$V862,IF(ISNUMBER($U862),$U862,""))</f>
        <v/>
      </c>
      <c r="CR862" s="77">
        <f>IF(ISNUMBER($CQ862),YEAR($CQ862),"")</f>
        <v/>
      </c>
      <c r="CS862" s="78">
        <f>IF(ISNUMBER($M862),MAX(0,$M862),IF(TRIM($M862&amp;"")="matured",0,""))</f>
        <v/>
      </c>
      <c r="CT862" s="78">
        <f>IF(AND(ISNUMBER($CS862),N($CS862)&lt;=mMatWindow),1,0)</f>
        <v/>
      </c>
      <c r="CU862" s="80">
        <f>IF(ISNUMBER($J862),$J862/100,"")</f>
        <v/>
      </c>
      <c r="CV862" s="81">
        <f>IF(ISNUMBER($AQ862),$AQ862,"")</f>
        <v/>
      </c>
      <c r="CW862" s="81">
        <f>IF(ISNUMBER($AR862),$AR862,"")</f>
        <v/>
      </c>
      <c r="CX862" s="82">
        <f>IF(ISNUMBER($AS862),$AS862/100,"")</f>
        <v/>
      </c>
      <c r="CY862" s="82">
        <f>IF(ISNUMBER($AT862),$AT862/100,"")</f>
        <v/>
      </c>
      <c r="CZ862" s="82">
        <f>IF(ISNUMBER($AU862),$AU862/100,"")</f>
        <v/>
      </c>
      <c r="DA862" s="82">
        <f>IF(ISNUMBER($AV862),$AV862/100,"")</f>
        <v/>
      </c>
      <c r="DB862" s="82">
        <f>IF(ISNUMBER($AW862),$AW862/100,"")</f>
        <v/>
      </c>
      <c r="DC862" s="82">
        <f>IF(ISNUMBER($AX862),$AX862/100,"")</f>
        <v/>
      </c>
      <c r="DD862" s="77">
        <f>IFERROR(VALUE(LEFT(TRIM($AO862&amp;""),4)),"")</f>
        <v/>
      </c>
      <c r="DE862" s="78">
        <f>IF(AND($BY862=1,$BX862=1,OR(fDeal="All Deals",$BU862=fDeal),OR(fEntity="All Entities",$BV862=fEntity),OR(fPType="All Property Types",$BZ862=fPType),OR(fDefeased="Include",$CJ862=0)),1,0)</f>
        <v/>
      </c>
      <c r="DF862" s="83">
        <f>$DE862*N($I862)</f>
        <v/>
      </c>
      <c r="DG862" s="78">
        <f>IF($DE862=1,IF(COUNTIFS($F$8:$F862,$F862,$DE$8:$DE862,1)=1,1,0),0)</f>
        <v/>
      </c>
      <c r="DH862" s="83">
        <f>IF($DG862=1,SUMIFS($DF$8:$DF$1600,$F$8:$F$1600,$F862),0)</f>
        <v/>
      </c>
      <c r="DI862" s="78">
        <f>IF($DG862=1,COUNTIFS($F$8:$F$1600,$F862,$DE$8:$DE$1600,1),0)</f>
        <v/>
      </c>
      <c r="DJ862" s="84">
        <f>IF($DG862=1,$DH862+(100000-ROW())/mTieBreak,0)</f>
        <v/>
      </c>
    </row>
    <row r="863">
      <c r="B863" s="68" t="n">
        <v>7</v>
      </c>
      <c r="C863" s="69" t="inlineStr">
        <is>
          <t>MSC18L1</t>
        </is>
      </c>
      <c r="D863" s="69" t="inlineStr">
        <is>
          <t>7.000</t>
        </is>
      </c>
      <c r="E863" s="69" t="inlineStr">
        <is>
          <t>Plaza Frontenac</t>
        </is>
      </c>
      <c r="F863" s="69" t="inlineStr">
        <is>
          <t>SPLIT_LOAN_01321</t>
        </is>
      </c>
      <c r="G863" s="70" t="n">
        <v>1321</v>
      </c>
      <c r="H863" s="71" t="n">
        <v>40000000</v>
      </c>
      <c r="I863" s="71" t="n">
        <v>40000000</v>
      </c>
      <c r="J863" s="72" t="n">
        <v>4.433</v>
      </c>
      <c r="K863" s="69" t="inlineStr">
        <is>
          <t>Fixed rate</t>
        </is>
      </c>
      <c r="L863" s="68" t="n">
        <v>120</v>
      </c>
      <c r="M863" s="68" t="n">
        <v>23</v>
      </c>
      <c r="N863" s="68" t="n">
        <v>120</v>
      </c>
      <c r="O863" s="68" t="n">
        <v>120</v>
      </c>
      <c r="P863" s="68" t="n">
        <v>23</v>
      </c>
      <c r="Q863" s="68" t="n">
        <v>97</v>
      </c>
      <c r="R863" s="69" t="inlineStr">
        <is>
          <t>IO</t>
        </is>
      </c>
      <c r="S863" s="69" t="inlineStr">
        <is>
          <t>Yes</t>
        </is>
      </c>
      <c r="T863" s="73" t="n">
        <v>43313</v>
      </c>
      <c r="U863" s="73" t="n">
        <v>46966</v>
      </c>
      <c r="V863" s="73" t="n"/>
      <c r="W863" s="69" t="n"/>
      <c r="X863" s="69" t="inlineStr">
        <is>
          <t>Current</t>
        </is>
      </c>
      <c r="Y863" s="68" t="n"/>
      <c r="Z863" s="69" t="inlineStr">
        <is>
          <t>No Defeasance Occurred</t>
        </is>
      </c>
      <c r="AA863" s="69" t="inlineStr">
        <is>
          <t>Yes</t>
        </is>
      </c>
      <c r="AB863" s="69" t="inlineStr">
        <is>
          <t>Never special serv</t>
        </is>
      </c>
      <c r="AC863" s="73" t="n"/>
      <c r="AD863" s="69" t="n"/>
      <c r="AE863" s="69" t="n"/>
      <c r="AF863" s="69" t="inlineStr">
        <is>
          <t>MO</t>
        </is>
      </c>
      <c r="AG863" s="69" t="inlineStr">
        <is>
          <t>Frontenac</t>
        </is>
      </c>
      <c r="AH863" s="69" t="inlineStr">
        <is>
          <t>St. Louis, MO-IL</t>
        </is>
      </c>
      <c r="AI863" s="69" t="inlineStr">
        <is>
          <t>Midwest / Central West</t>
        </is>
      </c>
      <c r="AJ863" s="69" t="inlineStr">
        <is>
          <t>RT</t>
        </is>
      </c>
      <c r="AK863" s="69" t="inlineStr">
        <is>
          <t>Anchored</t>
        </is>
      </c>
      <c r="AL863" s="68" t="n">
        <v>1</v>
      </c>
      <c r="AM863" s="68" t="n"/>
      <c r="AN863" s="68" t="n">
        <v>351006</v>
      </c>
      <c r="AO863" s="69" t="inlineStr">
        <is>
          <t>1974</t>
        </is>
      </c>
      <c r="AP863" s="70" t="n">
        <v>1994</v>
      </c>
      <c r="AQ863" s="74" t="n">
        <v>2.09</v>
      </c>
      <c r="AR863" s="74" t="n">
        <v>3.15</v>
      </c>
      <c r="AS863" s="74" t="n">
        <v>47.6</v>
      </c>
      <c r="AT863" s="74" t="n">
        <v>47.62</v>
      </c>
      <c r="AU863" s="74" t="n">
        <v>47.6</v>
      </c>
      <c r="AV863" s="74" t="n">
        <v>9.391583300000001</v>
      </c>
      <c r="AW863" s="74" t="n">
        <v>14.1390637</v>
      </c>
      <c r="AX863" s="75" t="n">
        <v>60</v>
      </c>
      <c r="AY863" s="71" t="n">
        <v>210000000</v>
      </c>
      <c r="AZ863" s="71" t="n">
        <v>210000000</v>
      </c>
      <c r="BA863" s="71" t="n">
        <v>9391583.300000001</v>
      </c>
      <c r="BB863" s="71" t="n">
        <v>3544787.97</v>
      </c>
      <c r="BC863" s="69" t="inlineStr">
        <is>
          <t>Refinance</t>
        </is>
      </c>
      <c r="BD863" s="69" t="inlineStr">
        <is>
          <t>N</t>
        </is>
      </c>
      <c r="BE863" s="71" t="n">
        <v>60000000</v>
      </c>
      <c r="BF863" s="71" t="n"/>
      <c r="BG863" s="71" t="n"/>
      <c r="BH863" s="71" t="n">
        <v>0</v>
      </c>
      <c r="BI863" s="71" t="n">
        <v>0</v>
      </c>
      <c r="BJ863" s="69" t="inlineStr">
        <is>
          <t>N</t>
        </is>
      </c>
      <c r="BK863" s="69" t="inlineStr">
        <is>
          <t>Pottery Barn</t>
        </is>
      </c>
      <c r="BL863" s="75" t="n">
        <v>3.69</v>
      </c>
      <c r="BM863" s="73" t="n">
        <v>47149</v>
      </c>
      <c r="BN863" s="69" t="inlineStr">
        <is>
          <t>General Growth Properties; Canada Pension Plan Investment Board</t>
        </is>
      </c>
      <c r="BO863" s="69" t="inlineStr">
        <is>
          <t>Morgan Stanley</t>
        </is>
      </c>
      <c r="BP863" s="69" t="inlineStr">
        <is>
          <t>Midland Loan Services</t>
        </is>
      </c>
      <c r="BQ863" s="69" t="inlineStr">
        <is>
          <t>K-Star Asset Management LLC</t>
        </is>
      </c>
      <c r="BR863" s="69" t="n"/>
      <c r="BS863" s="73" t="n">
        <v>46276</v>
      </c>
      <c r="BU863" s="76">
        <f>IF($C863="","",IFERROR(INDEX(dmName,MATCH($C863,dmID,0)),"Unmapped"))</f>
        <v/>
      </c>
      <c r="BV863" s="76">
        <f>IF($C863="","",IFERROR(INDEX(dmEntity,MATCH($C863,dmID,0)),"Unmapped"))</f>
        <v/>
      </c>
      <c r="BW863" s="77">
        <f>IF($C863="","",IFERROR(INDEX(dmVintage,MATCH($C863,dmID,0)),""))</f>
        <v/>
      </c>
      <c r="BX863" s="78">
        <f>IFERROR(INDEX(dmInclude,MATCH($C863,dmID,0)),0)</f>
        <v/>
      </c>
      <c r="BY863" s="78">
        <f>IF(N($I863)&gt;0,1,0)</f>
        <v/>
      </c>
      <c r="BZ863" s="76">
        <f>IF($AJ863="","Other / Leased Fee",IFERROR(INDEX(mapPTGroup,MATCH(LEFT(TRIM($AJ863),2),mapPTCode,0)),"Other / Leased Fee"))</f>
        <v/>
      </c>
      <c r="CA863" s="76">
        <f>IF(TRIM($AF863&amp;"")="","NR",LEFT(TRIM($AF863),2))</f>
        <v/>
      </c>
      <c r="CB863" s="76">
        <f>IFERROR(LOOKUP(2,1/(LEFT(TRIM($AI863&amp;""),LEN(mapRegion))=mapRegion),mapRegion),"Not Reported")</f>
        <v/>
      </c>
      <c r="CC863" s="76">
        <f>IF($BY863=0,"",IF(TRIM($W863&amp;"")="REO","REO",IF(TRIM($W863&amp;"")="FC","Foreclosure",IF(TRIM($W863&amp;"")="90+","90+ Days Delinquent",IF(TRIM($W863&amp;"")="60","60 Days Delinquent",IF(TRIM($W863&amp;"")="30","30 Days Delinquent",IF($X863="Non-Performing Matured Balloon","Non-Performing Matured Balloon",IF(OR($X863="Late Payment But Less Than 30 Days Delinquent",LEFT($X863&amp;"",20)="Payment Not Received"),"Late / In Grace (&lt;30 Days)",IF($X863="Performing Matured Balloon","Performing Matured Balloon","Current")))))))))</f>
        <v/>
      </c>
      <c r="CD863" s="78">
        <f>IF(OR($CC863="REO",$CC863="Foreclosure",$CC863="90+ Days Delinquent",$CC863="60 Days Delinquent",$CC863="30 Days Delinquent",$CC863="Non-Performing Matured Balloon"),1,0)</f>
        <v/>
      </c>
      <c r="CE863" s="76">
        <f>IF($AB863="Currently special serv","Currently Specially Serviced",IF($AB863="Returned to master serv","Previously Specially Serviced","Never Specially Serviced"))</f>
        <v/>
      </c>
      <c r="CF863" s="78">
        <f>IF($CE863="Currently Specially Serviced",1,0)</f>
        <v/>
      </c>
      <c r="CG863" s="76">
        <f>IF($AA863="Yes","Currently on Watchlist",IF($AA863="Previously","Previously on Watchlist","Never on Watchlist"))</f>
        <v/>
      </c>
      <c r="CH863" s="78">
        <f>IF($CG863="Currently on Watchlist",1,0)</f>
        <v/>
      </c>
      <c r="CI863" s="76">
        <f>IF($Z863="Full Defeasance","Fully Defeased",IF($Z863="Portion Of Loan Previously Defeased","Partially Defeased",IF($Z863="Defeasance Not Allowable","Not Defeased (Not Permitted)","Not Defeased")))</f>
        <v/>
      </c>
      <c r="CJ863" s="78">
        <f>IF($CI863="Fully Defeased",1,0)</f>
        <v/>
      </c>
      <c r="CK863" s="76">
        <f>IF($R863="IO","Full IO",IF(LEFT($R863&amp;"",7)="IO then","Partial IO","Amortizing"))</f>
        <v/>
      </c>
      <c r="CL863" s="78">
        <f>IF($CK863="Full IO",1,0)</f>
        <v/>
      </c>
      <c r="CM863" s="78">
        <f>IF($CK863="Partial IO",1,0)</f>
        <v/>
      </c>
      <c r="CN863" s="76">
        <f>IF(LEFT($F863&amp;"",10)="SPLIT_LOAN","Pari Passu Split","Standalone")</f>
        <v/>
      </c>
      <c r="CO863" s="78">
        <f>IF($CN863="Pari Passu Split",1,0)</f>
        <v/>
      </c>
      <c r="CP863" s="77">
        <f>IF(ISNUMBER($T863),YEAR($T863),"")</f>
        <v/>
      </c>
      <c r="CQ863" s="79">
        <f>IF(ISNUMBER($V863),$V863,IF(ISNUMBER($U863),$U863,""))</f>
        <v/>
      </c>
      <c r="CR863" s="77">
        <f>IF(ISNUMBER($CQ863),YEAR($CQ863),"")</f>
        <v/>
      </c>
      <c r="CS863" s="78">
        <f>IF(ISNUMBER($M863),MAX(0,$M863),IF(TRIM($M863&amp;"")="matured",0,""))</f>
        <v/>
      </c>
      <c r="CT863" s="78">
        <f>IF(AND(ISNUMBER($CS863),N($CS863)&lt;=mMatWindow),1,0)</f>
        <v/>
      </c>
      <c r="CU863" s="80">
        <f>IF(ISNUMBER($J863),$J863/100,"")</f>
        <v/>
      </c>
      <c r="CV863" s="81">
        <f>IF(ISNUMBER($AQ863),$AQ863,"")</f>
        <v/>
      </c>
      <c r="CW863" s="81">
        <f>IF(ISNUMBER($AR863),$AR863,"")</f>
        <v/>
      </c>
      <c r="CX863" s="82">
        <f>IF(ISNUMBER($AS863),$AS863/100,"")</f>
        <v/>
      </c>
      <c r="CY863" s="82">
        <f>IF(ISNUMBER($AT863),$AT863/100,"")</f>
        <v/>
      </c>
      <c r="CZ863" s="82">
        <f>IF(ISNUMBER($AU863),$AU863/100,"")</f>
        <v/>
      </c>
      <c r="DA863" s="82">
        <f>IF(ISNUMBER($AV863),$AV863/100,"")</f>
        <v/>
      </c>
      <c r="DB863" s="82">
        <f>IF(ISNUMBER($AW863),$AW863/100,"")</f>
        <v/>
      </c>
      <c r="DC863" s="82">
        <f>IF(ISNUMBER($AX863),$AX863/100,"")</f>
        <v/>
      </c>
      <c r="DD863" s="77">
        <f>IFERROR(VALUE(LEFT(TRIM($AO863&amp;""),4)),"")</f>
        <v/>
      </c>
      <c r="DE863" s="78">
        <f>IF(AND($BY863=1,$BX863=1,OR(fDeal="All Deals",$BU863=fDeal),OR(fEntity="All Entities",$BV863=fEntity),OR(fPType="All Property Types",$BZ863=fPType),OR(fDefeased="Include",$CJ863=0)),1,0)</f>
        <v/>
      </c>
      <c r="DF863" s="83">
        <f>$DE863*N($I863)</f>
        <v/>
      </c>
      <c r="DG863" s="78">
        <f>IF($DE863=1,IF(COUNTIFS($F$8:$F863,$F863,$DE$8:$DE863,1)=1,1,0),0)</f>
        <v/>
      </c>
      <c r="DH863" s="83">
        <f>IF($DG863=1,SUMIFS($DF$8:$DF$1600,$F$8:$F$1600,$F863),0)</f>
        <v/>
      </c>
      <c r="DI863" s="78">
        <f>IF($DG863=1,COUNTIFS($F$8:$F$1600,$F863,$DE$8:$DE$1600,1),0)</f>
        <v/>
      </c>
      <c r="DJ863" s="84">
        <f>IF($DG863=1,$DH863+(100000-ROW())/mTieBreak,0)</f>
        <v/>
      </c>
    </row>
    <row r="864">
      <c r="B864" s="68" t="n">
        <v>8</v>
      </c>
      <c r="C864" s="69" t="inlineStr">
        <is>
          <t>MSC18L1</t>
        </is>
      </c>
      <c r="D864" s="69" t="inlineStr">
        <is>
          <t>8.000</t>
        </is>
      </c>
      <c r="E864" s="69" t="inlineStr">
        <is>
          <t>5 Cuba Hill Road</t>
        </is>
      </c>
      <c r="F864" s="69" t="inlineStr">
        <is>
          <t>LNMSC18L1-8.000</t>
        </is>
      </c>
      <c r="G864" s="70" t="n"/>
      <c r="H864" s="71" t="n">
        <v>38100000</v>
      </c>
      <c r="I864" s="71" t="n">
        <v>33189998.2600155</v>
      </c>
      <c r="J864" s="72" t="n">
        <v>5.19</v>
      </c>
      <c r="K864" s="69" t="inlineStr">
        <is>
          <t>Fixed rate</t>
        </is>
      </c>
      <c r="L864" s="68" t="n">
        <v>120</v>
      </c>
      <c r="M864" s="68" t="n">
        <v>25</v>
      </c>
      <c r="N864" s="68" t="n">
        <v>360</v>
      </c>
      <c r="O864" s="68" t="n"/>
      <c r="P864" s="68" t="n"/>
      <c r="Q864" s="68" t="n">
        <v>95</v>
      </c>
      <c r="R864" s="69" t="n"/>
      <c r="S864" s="69" t="inlineStr">
        <is>
          <t>No</t>
        </is>
      </c>
      <c r="T864" s="73" t="n">
        <v>43374</v>
      </c>
      <c r="U864" s="73" t="n">
        <v>47027</v>
      </c>
      <c r="V864" s="73" t="n"/>
      <c r="W864" s="69" t="n"/>
      <c r="X864" s="69" t="inlineStr">
        <is>
          <t>Current</t>
        </is>
      </c>
      <c r="Y864" s="68" t="n"/>
      <c r="Z864" s="69" t="inlineStr">
        <is>
          <t>No Defeasance Occurred</t>
        </is>
      </c>
      <c r="AA864" s="69" t="inlineStr">
        <is>
          <t>Previously</t>
        </is>
      </c>
      <c r="AB864" s="69" t="inlineStr">
        <is>
          <t>Never special serv</t>
        </is>
      </c>
      <c r="AC864" s="73" t="n"/>
      <c r="AD864" s="69" t="n"/>
      <c r="AE864" s="69" t="n"/>
      <c r="AF864" s="69" t="inlineStr">
        <is>
          <t>NY</t>
        </is>
      </c>
      <c r="AG864" s="69" t="inlineStr">
        <is>
          <t>Greenlawn</t>
        </is>
      </c>
      <c r="AH864" s="69" t="inlineStr">
        <is>
          <t>New York-Newark-Jersey City, NY-NJ</t>
        </is>
      </c>
      <c r="AI864" s="69" t="inlineStr">
        <is>
          <t>Northeast / Mid-Atlantic</t>
        </is>
      </c>
      <c r="AJ864" s="69" t="inlineStr">
        <is>
          <t>MX</t>
        </is>
      </c>
      <c r="AK864" s="69" t="n"/>
      <c r="AL864" s="68" t="n">
        <v>1</v>
      </c>
      <c r="AM864" s="68" t="n"/>
      <c r="AN864" s="68" t="n">
        <v>199128</v>
      </c>
      <c r="AO864" s="69" t="inlineStr">
        <is>
          <t>1954, 1962, 1966</t>
        </is>
      </c>
      <c r="AP864" s="70" t="n">
        <v>2018</v>
      </c>
      <c r="AQ864" s="74" t="n">
        <v>1.37</v>
      </c>
      <c r="AR864" s="74" t="n">
        <v>2</v>
      </c>
      <c r="AS864" s="74" t="n">
        <v>63.9</v>
      </c>
      <c r="AT864" s="74" t="n">
        <v>55.69</v>
      </c>
      <c r="AU864" s="74" t="n">
        <v>53.01</v>
      </c>
      <c r="AV864" s="74" t="n">
        <v>9.025419948</v>
      </c>
      <c r="AW864" s="74" t="n">
        <v>14.64631291</v>
      </c>
      <c r="AX864" s="75" t="n">
        <v>100</v>
      </c>
      <c r="AY864" s="71" t="n">
        <v>59600000</v>
      </c>
      <c r="AZ864" s="71" t="n">
        <v>59600000</v>
      </c>
      <c r="BA864" s="71" t="n">
        <v>3438685</v>
      </c>
      <c r="BB864" s="71" t="n">
        <v>5004946.84</v>
      </c>
      <c r="BC864" s="69" t="inlineStr">
        <is>
          <t>Refinance</t>
        </is>
      </c>
      <c r="BD864" s="69" t="inlineStr">
        <is>
          <t>N</t>
        </is>
      </c>
      <c r="BE864" s="71" t="n"/>
      <c r="BF864" s="71" t="n"/>
      <c r="BG864" s="71" t="n"/>
      <c r="BH864" s="71" t="n">
        <v>0</v>
      </c>
      <c r="BI864" s="71" t="n">
        <v>0</v>
      </c>
      <c r="BJ864" s="69" t="inlineStr">
        <is>
          <t>N</t>
        </is>
      </c>
      <c r="BK864" s="69" t="inlineStr">
        <is>
          <t>BAE Systems</t>
        </is>
      </c>
      <c r="BL864" s="75" t="n">
        <v>47.52</v>
      </c>
      <c r="BM864" s="73" t="n">
        <v>47817</v>
      </c>
      <c r="BN864" s="69" t="inlineStr">
        <is>
          <t>Joseph Simone</t>
        </is>
      </c>
      <c r="BO864" s="69" t="inlineStr">
        <is>
          <t>KeyBank</t>
        </is>
      </c>
      <c r="BP864" s="69" t="inlineStr">
        <is>
          <t>Midland Loan Services</t>
        </is>
      </c>
      <c r="BQ864" s="69" t="inlineStr">
        <is>
          <t>K-Star Asset Management LLC</t>
        </is>
      </c>
      <c r="BR864" s="69" t="n"/>
      <c r="BS864" s="73" t="n">
        <v>46276</v>
      </c>
      <c r="BU864" s="76">
        <f>IF($C864="","",IFERROR(INDEX(dmName,MATCH($C864,dmID,0)),"Unmapped"))</f>
        <v/>
      </c>
      <c r="BV864" s="76">
        <f>IF($C864="","",IFERROR(INDEX(dmEntity,MATCH($C864,dmID,0)),"Unmapped"))</f>
        <v/>
      </c>
      <c r="BW864" s="77">
        <f>IF($C864="","",IFERROR(INDEX(dmVintage,MATCH($C864,dmID,0)),""))</f>
        <v/>
      </c>
      <c r="BX864" s="78">
        <f>IFERROR(INDEX(dmInclude,MATCH($C864,dmID,0)),0)</f>
        <v/>
      </c>
      <c r="BY864" s="78">
        <f>IF(N($I864)&gt;0,1,0)</f>
        <v/>
      </c>
      <c r="BZ864" s="76">
        <f>IF($AJ864="","Other / Leased Fee",IFERROR(INDEX(mapPTGroup,MATCH(LEFT(TRIM($AJ864),2),mapPTCode,0)),"Other / Leased Fee"))</f>
        <v/>
      </c>
      <c r="CA864" s="76">
        <f>IF(TRIM($AF864&amp;"")="","NR",LEFT(TRIM($AF864),2))</f>
        <v/>
      </c>
      <c r="CB864" s="76">
        <f>IFERROR(LOOKUP(2,1/(LEFT(TRIM($AI864&amp;""),LEN(mapRegion))=mapRegion),mapRegion),"Not Reported")</f>
        <v/>
      </c>
      <c r="CC864" s="76">
        <f>IF($BY864=0,"",IF(TRIM($W864&amp;"")="REO","REO",IF(TRIM($W864&amp;"")="FC","Foreclosure",IF(TRIM($W864&amp;"")="90+","90+ Days Delinquent",IF(TRIM($W864&amp;"")="60","60 Days Delinquent",IF(TRIM($W864&amp;"")="30","30 Days Delinquent",IF($X864="Non-Performing Matured Balloon","Non-Performing Matured Balloon",IF(OR($X864="Late Payment But Less Than 30 Days Delinquent",LEFT($X864&amp;"",20)="Payment Not Received"),"Late / In Grace (&lt;30 Days)",IF($X864="Performing Matured Balloon","Performing Matured Balloon","Current")))))))))</f>
        <v/>
      </c>
      <c r="CD864" s="78">
        <f>IF(OR($CC864="REO",$CC864="Foreclosure",$CC864="90+ Days Delinquent",$CC864="60 Days Delinquent",$CC864="30 Days Delinquent",$CC864="Non-Performing Matured Balloon"),1,0)</f>
        <v/>
      </c>
      <c r="CE864" s="76">
        <f>IF($AB864="Currently special serv","Currently Specially Serviced",IF($AB864="Returned to master serv","Previously Specially Serviced","Never Specially Serviced"))</f>
        <v/>
      </c>
      <c r="CF864" s="78">
        <f>IF($CE864="Currently Specially Serviced",1,0)</f>
        <v/>
      </c>
      <c r="CG864" s="76">
        <f>IF($AA864="Yes","Currently on Watchlist",IF($AA864="Previously","Previously on Watchlist","Never on Watchlist"))</f>
        <v/>
      </c>
      <c r="CH864" s="78">
        <f>IF($CG864="Currently on Watchlist",1,0)</f>
        <v/>
      </c>
      <c r="CI864" s="76">
        <f>IF($Z864="Full Defeasance","Fully Defeased",IF($Z864="Portion Of Loan Previously Defeased","Partially Defeased",IF($Z864="Defeasance Not Allowable","Not Defeased (Not Permitted)","Not Defeased")))</f>
        <v/>
      </c>
      <c r="CJ864" s="78">
        <f>IF($CI864="Fully Defeased",1,0)</f>
        <v/>
      </c>
      <c r="CK864" s="76">
        <f>IF($R864="IO","Full IO",IF(LEFT($R864&amp;"",7)="IO then","Partial IO","Amortizing"))</f>
        <v/>
      </c>
      <c r="CL864" s="78">
        <f>IF($CK864="Full IO",1,0)</f>
        <v/>
      </c>
      <c r="CM864" s="78">
        <f>IF($CK864="Partial IO",1,0)</f>
        <v/>
      </c>
      <c r="CN864" s="76">
        <f>IF(LEFT($F864&amp;"",10)="SPLIT_LOAN","Pari Passu Split","Standalone")</f>
        <v/>
      </c>
      <c r="CO864" s="78">
        <f>IF($CN864="Pari Passu Split",1,0)</f>
        <v/>
      </c>
      <c r="CP864" s="77">
        <f>IF(ISNUMBER($T864),YEAR($T864),"")</f>
        <v/>
      </c>
      <c r="CQ864" s="79">
        <f>IF(ISNUMBER($V864),$V864,IF(ISNUMBER($U864),$U864,""))</f>
        <v/>
      </c>
      <c r="CR864" s="77">
        <f>IF(ISNUMBER($CQ864),YEAR($CQ864),"")</f>
        <v/>
      </c>
      <c r="CS864" s="78">
        <f>IF(ISNUMBER($M864),MAX(0,$M864),IF(TRIM($M864&amp;"")="matured",0,""))</f>
        <v/>
      </c>
      <c r="CT864" s="78">
        <f>IF(AND(ISNUMBER($CS864),N($CS864)&lt;=mMatWindow),1,0)</f>
        <v/>
      </c>
      <c r="CU864" s="80">
        <f>IF(ISNUMBER($J864),$J864/100,"")</f>
        <v/>
      </c>
      <c r="CV864" s="81">
        <f>IF(ISNUMBER($AQ864),$AQ864,"")</f>
        <v/>
      </c>
      <c r="CW864" s="81">
        <f>IF(ISNUMBER($AR864),$AR864,"")</f>
        <v/>
      </c>
      <c r="CX864" s="82">
        <f>IF(ISNUMBER($AS864),$AS864/100,"")</f>
        <v/>
      </c>
      <c r="CY864" s="82">
        <f>IF(ISNUMBER($AT864),$AT864/100,"")</f>
        <v/>
      </c>
      <c r="CZ864" s="82">
        <f>IF(ISNUMBER($AU864),$AU864/100,"")</f>
        <v/>
      </c>
      <c r="DA864" s="82">
        <f>IF(ISNUMBER($AV864),$AV864/100,"")</f>
        <v/>
      </c>
      <c r="DB864" s="82">
        <f>IF(ISNUMBER($AW864),$AW864/100,"")</f>
        <v/>
      </c>
      <c r="DC864" s="82">
        <f>IF(ISNUMBER($AX864),$AX864/100,"")</f>
        <v/>
      </c>
      <c r="DD864" s="77">
        <f>IFERROR(VALUE(LEFT(TRIM($AO864&amp;""),4)),"")</f>
        <v/>
      </c>
      <c r="DE864" s="78">
        <f>IF(AND($BY864=1,$BX864=1,OR(fDeal="All Deals",$BU864=fDeal),OR(fEntity="All Entities",$BV864=fEntity),OR(fPType="All Property Types",$BZ864=fPType),OR(fDefeased="Include",$CJ864=0)),1,0)</f>
        <v/>
      </c>
      <c r="DF864" s="83">
        <f>$DE864*N($I864)</f>
        <v/>
      </c>
      <c r="DG864" s="78">
        <f>IF($DE864=1,IF(COUNTIFS($F$8:$F864,$F864,$DE$8:$DE864,1)=1,1,0),0)</f>
        <v/>
      </c>
      <c r="DH864" s="83">
        <f>IF($DG864=1,SUMIFS($DF$8:$DF$1600,$F$8:$F$1600,$F864),0)</f>
        <v/>
      </c>
      <c r="DI864" s="78">
        <f>IF($DG864=1,COUNTIFS($F$8:$F$1600,$F864,$DE$8:$DE$1600,1),0)</f>
        <v/>
      </c>
      <c r="DJ864" s="84">
        <f>IF($DG864=1,$DH864+(100000-ROW())/mTieBreak,0)</f>
        <v/>
      </c>
    </row>
    <row r="865">
      <c r="B865" s="68" t="n">
        <v>9</v>
      </c>
      <c r="C865" s="69" t="inlineStr">
        <is>
          <t>MSC18L1</t>
        </is>
      </c>
      <c r="D865" s="69" t="inlineStr">
        <is>
          <t>9.000</t>
        </is>
      </c>
      <c r="E865" s="69" t="inlineStr">
        <is>
          <t>Market at Estrella Falls</t>
        </is>
      </c>
      <c r="F865" s="69" t="inlineStr">
        <is>
          <t>LNMSC18L1-9.000</t>
        </is>
      </c>
      <c r="G865" s="70" t="n"/>
      <c r="H865" s="71" t="n">
        <v>35325000</v>
      </c>
      <c r="I865" s="71" t="n">
        <v>31766523.61998532</v>
      </c>
      <c r="J865" s="72" t="n">
        <v>4.8</v>
      </c>
      <c r="K865" s="69" t="inlineStr">
        <is>
          <t>Fixed rate</t>
        </is>
      </c>
      <c r="L865" s="68" t="n">
        <v>120</v>
      </c>
      <c r="M865" s="68" t="n">
        <v>23</v>
      </c>
      <c r="N865" s="68" t="n">
        <v>384</v>
      </c>
      <c r="O865" s="68" t="n">
        <v>24</v>
      </c>
      <c r="P865" s="68" t="n">
        <v>0</v>
      </c>
      <c r="Q865" s="68" t="n">
        <v>97</v>
      </c>
      <c r="R865" s="69" t="inlineStr">
        <is>
          <t>IO then Amort</t>
        </is>
      </c>
      <c r="S865" s="69" t="inlineStr">
        <is>
          <t>No</t>
        </is>
      </c>
      <c r="T865" s="73" t="n">
        <v>43313</v>
      </c>
      <c r="U865" s="73" t="n">
        <v>46966</v>
      </c>
      <c r="V865" s="73" t="n"/>
      <c r="W865" s="69" t="n"/>
      <c r="X865" s="69" t="inlineStr">
        <is>
          <t>Current</t>
        </is>
      </c>
      <c r="Y865" s="68" t="n"/>
      <c r="Z865" s="69" t="inlineStr">
        <is>
          <t>No Defeasance Occurred</t>
        </is>
      </c>
      <c r="AA865" s="69" t="inlineStr">
        <is>
          <t>Previously</t>
        </is>
      </c>
      <c r="AB865" s="69" t="inlineStr">
        <is>
          <t>Never special serv</t>
        </is>
      </c>
      <c r="AC865" s="73" t="n"/>
      <c r="AD865" s="69" t="n"/>
      <c r="AE865" s="69" t="n"/>
      <c r="AF865" s="69" t="inlineStr">
        <is>
          <t>AZ</t>
        </is>
      </c>
      <c r="AG865" s="69" t="inlineStr">
        <is>
          <t>Goodyear</t>
        </is>
      </c>
      <c r="AH865" s="69" t="inlineStr">
        <is>
          <t>Phoenix-Mesa-Chandler, AZ</t>
        </is>
      </c>
      <c r="AI865" s="69" t="inlineStr">
        <is>
          <t>West / Mountain</t>
        </is>
      </c>
      <c r="AJ865" s="69" t="inlineStr">
        <is>
          <t>RT</t>
        </is>
      </c>
      <c r="AK865" s="69" t="inlineStr">
        <is>
          <t>Anchored</t>
        </is>
      </c>
      <c r="AL865" s="68" t="n">
        <v>1</v>
      </c>
      <c r="AM865" s="68" t="n"/>
      <c r="AN865" s="68" t="n">
        <v>292048</v>
      </c>
      <c r="AO865" s="69" t="inlineStr">
        <is>
          <t>2008, 2016, 2018</t>
        </is>
      </c>
      <c r="AP865" s="70" t="n">
        <v>2018</v>
      </c>
      <c r="AQ865" s="74" t="n">
        <v>1.45</v>
      </c>
      <c r="AR865" s="74" t="n">
        <v>2.06</v>
      </c>
      <c r="AS865" s="74" t="n">
        <v>75</v>
      </c>
      <c r="AT865" s="74" t="n">
        <v>67.44</v>
      </c>
      <c r="AU865" s="74" t="n">
        <v>64.69</v>
      </c>
      <c r="AV865" s="74" t="n">
        <v>9.145924982</v>
      </c>
      <c r="AW865" s="74" t="n">
        <v>14.434037715</v>
      </c>
      <c r="AX865" s="75" t="n">
        <v>95</v>
      </c>
      <c r="AY865" s="71" t="n">
        <v>47100000</v>
      </c>
      <c r="AZ865" s="71" t="n">
        <v>47100000</v>
      </c>
      <c r="BA865" s="71" t="n">
        <v>3230798</v>
      </c>
      <c r="BB865" s="71" t="n">
        <v>4585192</v>
      </c>
      <c r="BC865" s="69" t="inlineStr">
        <is>
          <t>Acquisition</t>
        </is>
      </c>
      <c r="BD865" s="69" t="inlineStr">
        <is>
          <t>N</t>
        </is>
      </c>
      <c r="BE865" s="71" t="n"/>
      <c r="BF865" s="71" t="n"/>
      <c r="BG865" s="71" t="n"/>
      <c r="BH865" s="71" t="n">
        <v>0</v>
      </c>
      <c r="BI865" s="71" t="n">
        <v>0</v>
      </c>
      <c r="BJ865" s="69" t="inlineStr">
        <is>
          <t>N</t>
        </is>
      </c>
      <c r="BK865" s="69" t="inlineStr">
        <is>
          <t>Burlington Coat Factory</t>
        </is>
      </c>
      <c r="BL865" s="75" t="n">
        <v>18.71</v>
      </c>
      <c r="BM865" s="73" t="n">
        <v>48610</v>
      </c>
      <c r="BN865" s="69" t="inlineStr">
        <is>
          <t>Robert L. Stark</t>
        </is>
      </c>
      <c r="BO865" s="69" t="inlineStr">
        <is>
          <t>KeyBank</t>
        </is>
      </c>
      <c r="BP865" s="69" t="inlineStr">
        <is>
          <t>Midland Loan Services</t>
        </is>
      </c>
      <c r="BQ865" s="69" t="inlineStr">
        <is>
          <t>K-Star Asset Management LLC</t>
        </is>
      </c>
      <c r="BR865" s="69" t="n"/>
      <c r="BS865" s="73" t="n">
        <v>46276</v>
      </c>
      <c r="BU865" s="76">
        <f>IF($C865="","",IFERROR(INDEX(dmName,MATCH($C865,dmID,0)),"Unmapped"))</f>
        <v/>
      </c>
      <c r="BV865" s="76">
        <f>IF($C865="","",IFERROR(INDEX(dmEntity,MATCH($C865,dmID,0)),"Unmapped"))</f>
        <v/>
      </c>
      <c r="BW865" s="77">
        <f>IF($C865="","",IFERROR(INDEX(dmVintage,MATCH($C865,dmID,0)),""))</f>
        <v/>
      </c>
      <c r="BX865" s="78">
        <f>IFERROR(INDEX(dmInclude,MATCH($C865,dmID,0)),0)</f>
        <v/>
      </c>
      <c r="BY865" s="78">
        <f>IF(N($I865)&gt;0,1,0)</f>
        <v/>
      </c>
      <c r="BZ865" s="76">
        <f>IF($AJ865="","Other / Leased Fee",IFERROR(INDEX(mapPTGroup,MATCH(LEFT(TRIM($AJ865),2),mapPTCode,0)),"Other / Leased Fee"))</f>
        <v/>
      </c>
      <c r="CA865" s="76">
        <f>IF(TRIM($AF865&amp;"")="","NR",LEFT(TRIM($AF865),2))</f>
        <v/>
      </c>
      <c r="CB865" s="76">
        <f>IFERROR(LOOKUP(2,1/(LEFT(TRIM($AI865&amp;""),LEN(mapRegion))=mapRegion),mapRegion),"Not Reported")</f>
        <v/>
      </c>
      <c r="CC865" s="76">
        <f>IF($BY865=0,"",IF(TRIM($W865&amp;"")="REO","REO",IF(TRIM($W865&amp;"")="FC","Foreclosure",IF(TRIM($W865&amp;"")="90+","90+ Days Delinquent",IF(TRIM($W865&amp;"")="60","60 Days Delinquent",IF(TRIM($W865&amp;"")="30","30 Days Delinquent",IF($X865="Non-Performing Matured Balloon","Non-Performing Matured Balloon",IF(OR($X865="Late Payment But Less Than 30 Days Delinquent",LEFT($X865&amp;"",20)="Payment Not Received"),"Late / In Grace (&lt;30 Days)",IF($X865="Performing Matured Balloon","Performing Matured Balloon","Current")))))))))</f>
        <v/>
      </c>
      <c r="CD865" s="78">
        <f>IF(OR($CC865="REO",$CC865="Foreclosure",$CC865="90+ Days Delinquent",$CC865="60 Days Delinquent",$CC865="30 Days Delinquent",$CC865="Non-Performing Matured Balloon"),1,0)</f>
        <v/>
      </c>
      <c r="CE865" s="76">
        <f>IF($AB865="Currently special serv","Currently Specially Serviced",IF($AB865="Returned to master serv","Previously Specially Serviced","Never Specially Serviced"))</f>
        <v/>
      </c>
      <c r="CF865" s="78">
        <f>IF($CE865="Currently Specially Serviced",1,0)</f>
        <v/>
      </c>
      <c r="CG865" s="76">
        <f>IF($AA865="Yes","Currently on Watchlist",IF($AA865="Previously","Previously on Watchlist","Never on Watchlist"))</f>
        <v/>
      </c>
      <c r="CH865" s="78">
        <f>IF($CG865="Currently on Watchlist",1,0)</f>
        <v/>
      </c>
      <c r="CI865" s="76">
        <f>IF($Z865="Full Defeasance","Fully Defeased",IF($Z865="Portion Of Loan Previously Defeased","Partially Defeased",IF($Z865="Defeasance Not Allowable","Not Defeased (Not Permitted)","Not Defeased")))</f>
        <v/>
      </c>
      <c r="CJ865" s="78">
        <f>IF($CI865="Fully Defeased",1,0)</f>
        <v/>
      </c>
      <c r="CK865" s="76">
        <f>IF($R865="IO","Full IO",IF(LEFT($R865&amp;"",7)="IO then","Partial IO","Amortizing"))</f>
        <v/>
      </c>
      <c r="CL865" s="78">
        <f>IF($CK865="Full IO",1,0)</f>
        <v/>
      </c>
      <c r="CM865" s="78">
        <f>IF($CK865="Partial IO",1,0)</f>
        <v/>
      </c>
      <c r="CN865" s="76">
        <f>IF(LEFT($F865&amp;"",10)="SPLIT_LOAN","Pari Passu Split","Standalone")</f>
        <v/>
      </c>
      <c r="CO865" s="78">
        <f>IF($CN865="Pari Passu Split",1,0)</f>
        <v/>
      </c>
      <c r="CP865" s="77">
        <f>IF(ISNUMBER($T865),YEAR($T865),"")</f>
        <v/>
      </c>
      <c r="CQ865" s="79">
        <f>IF(ISNUMBER($V865),$V865,IF(ISNUMBER($U865),$U865,""))</f>
        <v/>
      </c>
      <c r="CR865" s="77">
        <f>IF(ISNUMBER($CQ865),YEAR($CQ865),"")</f>
        <v/>
      </c>
      <c r="CS865" s="78">
        <f>IF(ISNUMBER($M865),MAX(0,$M865),IF(TRIM($M865&amp;"")="matured",0,""))</f>
        <v/>
      </c>
      <c r="CT865" s="78">
        <f>IF(AND(ISNUMBER($CS865),N($CS865)&lt;=mMatWindow),1,0)</f>
        <v/>
      </c>
      <c r="CU865" s="80">
        <f>IF(ISNUMBER($J865),$J865/100,"")</f>
        <v/>
      </c>
      <c r="CV865" s="81">
        <f>IF(ISNUMBER($AQ865),$AQ865,"")</f>
        <v/>
      </c>
      <c r="CW865" s="81">
        <f>IF(ISNUMBER($AR865),$AR865,"")</f>
        <v/>
      </c>
      <c r="CX865" s="82">
        <f>IF(ISNUMBER($AS865),$AS865/100,"")</f>
        <v/>
      </c>
      <c r="CY865" s="82">
        <f>IF(ISNUMBER($AT865),$AT865/100,"")</f>
        <v/>
      </c>
      <c r="CZ865" s="82">
        <f>IF(ISNUMBER($AU865),$AU865/100,"")</f>
        <v/>
      </c>
      <c r="DA865" s="82">
        <f>IF(ISNUMBER($AV865),$AV865/100,"")</f>
        <v/>
      </c>
      <c r="DB865" s="82">
        <f>IF(ISNUMBER($AW865),$AW865/100,"")</f>
        <v/>
      </c>
      <c r="DC865" s="82">
        <f>IF(ISNUMBER($AX865),$AX865/100,"")</f>
        <v/>
      </c>
      <c r="DD865" s="77">
        <f>IFERROR(VALUE(LEFT(TRIM($AO865&amp;""),4)),"")</f>
        <v/>
      </c>
      <c r="DE865" s="78">
        <f>IF(AND($BY865=1,$BX865=1,OR(fDeal="All Deals",$BU865=fDeal),OR(fEntity="All Entities",$BV865=fEntity),OR(fPType="All Property Types",$BZ865=fPType),OR(fDefeased="Include",$CJ865=0)),1,0)</f>
        <v/>
      </c>
      <c r="DF865" s="83">
        <f>$DE865*N($I865)</f>
        <v/>
      </c>
      <c r="DG865" s="78">
        <f>IF($DE865=1,IF(COUNTIFS($F$8:$F865,$F865,$DE$8:$DE865,1)=1,1,0),0)</f>
        <v/>
      </c>
      <c r="DH865" s="83">
        <f>IF($DG865=1,SUMIFS($DF$8:$DF$1600,$F$8:$F$1600,$F865),0)</f>
        <v/>
      </c>
      <c r="DI865" s="78">
        <f>IF($DG865=1,COUNTIFS($F$8:$F$1600,$F865,$DE$8:$DE$1600,1),0)</f>
        <v/>
      </c>
      <c r="DJ865" s="84">
        <f>IF($DG865=1,$DH865+(100000-ROW())/mTieBreak,0)</f>
        <v/>
      </c>
    </row>
    <row r="866">
      <c r="B866" s="68" t="n">
        <v>10</v>
      </c>
      <c r="C866" s="69" t="inlineStr">
        <is>
          <t>MSC18L1</t>
        </is>
      </c>
      <c r="D866" s="69" t="inlineStr">
        <is>
          <t>10.000</t>
        </is>
      </c>
      <c r="E866" s="69" t="inlineStr">
        <is>
          <t>Embassy Suites Atlanta Airport</t>
        </is>
      </c>
      <c r="F866" s="69" t="inlineStr">
        <is>
          <t>LNMSC18L1-10.000</t>
        </is>
      </c>
      <c r="G866" s="70" t="n"/>
      <c r="H866" s="71" t="n">
        <v>33000000</v>
      </c>
      <c r="I866" s="71" t="n">
        <v>29194729.159992</v>
      </c>
      <c r="J866" s="72" t="n">
        <v>4.97</v>
      </c>
      <c r="K866" s="69" t="inlineStr">
        <is>
          <t>Fixed rate</t>
        </is>
      </c>
      <c r="L866" s="68" t="n">
        <v>120</v>
      </c>
      <c r="M866" s="68" t="n">
        <v>24</v>
      </c>
      <c r="N866" s="68" t="n">
        <v>372</v>
      </c>
      <c r="O866" s="68" t="n">
        <v>12</v>
      </c>
      <c r="P866" s="68" t="n">
        <v>0</v>
      </c>
      <c r="Q866" s="68" t="n">
        <v>96</v>
      </c>
      <c r="R866" s="69" t="inlineStr">
        <is>
          <t>IO then Amort</t>
        </is>
      </c>
      <c r="S866" s="69" t="inlineStr">
        <is>
          <t>No</t>
        </is>
      </c>
      <c r="T866" s="73" t="n">
        <v>43344</v>
      </c>
      <c r="U866" s="73" t="n">
        <v>47002</v>
      </c>
      <c r="V866" s="73" t="n"/>
      <c r="W866" s="69" t="n"/>
      <c r="X866" s="69" t="inlineStr">
        <is>
          <t>Current</t>
        </is>
      </c>
      <c r="Y866" s="68" t="n"/>
      <c r="Z866" s="69" t="inlineStr">
        <is>
          <t>Defeasance Not Allowable</t>
        </is>
      </c>
      <c r="AA866" s="69" t="inlineStr">
        <is>
          <t>Yes</t>
        </is>
      </c>
      <c r="AB866" s="69" t="inlineStr">
        <is>
          <t>Never special serv</t>
        </is>
      </c>
      <c r="AC866" s="73" t="n"/>
      <c r="AD866" s="69" t="n"/>
      <c r="AE866" s="69" t="n"/>
      <c r="AF866" s="69" t="inlineStr">
        <is>
          <t>GA</t>
        </is>
      </c>
      <c r="AG866" s="69" t="inlineStr">
        <is>
          <t>Atlanta</t>
        </is>
      </c>
      <c r="AH866" s="69" t="inlineStr">
        <is>
          <t>Atlanta-Sandy Springs-Roswell, GA</t>
        </is>
      </c>
      <c r="AI866" s="69" t="inlineStr">
        <is>
          <t>South / Atlantic</t>
        </is>
      </c>
      <c r="AJ866" s="69" t="inlineStr">
        <is>
          <t>HT</t>
        </is>
      </c>
      <c r="AK866" s="69" t="inlineStr">
        <is>
          <t>Full Service</t>
        </is>
      </c>
      <c r="AL866" s="68" t="n">
        <v>1</v>
      </c>
      <c r="AM866" s="68" t="n">
        <v>236</v>
      </c>
      <c r="AN866" s="68" t="n"/>
      <c r="AO866" s="69" t="inlineStr">
        <is>
          <t>1989</t>
        </is>
      </c>
      <c r="AP866" s="70" t="n">
        <v>2015</v>
      </c>
      <c r="AQ866" s="74" t="n">
        <v>1.7</v>
      </c>
      <c r="AR866" s="74" t="n">
        <v>1.38</v>
      </c>
      <c r="AS866" s="74" t="n">
        <v>54.5</v>
      </c>
      <c r="AT866" s="74" t="n">
        <v>48.18</v>
      </c>
      <c r="AU866" s="74" t="n">
        <v>46</v>
      </c>
      <c r="AV866" s="74" t="n">
        <v>10.921527273</v>
      </c>
      <c r="AW866" s="74" t="n">
        <v>6.97334563</v>
      </c>
      <c r="AX866" s="75" t="n">
        <v>70</v>
      </c>
      <c r="AY866" s="71" t="n">
        <v>60600000</v>
      </c>
      <c r="AZ866" s="71" t="n">
        <v>60600000</v>
      </c>
      <c r="BA866" s="71" t="n">
        <v>3604104</v>
      </c>
      <c r="BB866" s="71" t="n">
        <v>2920823.63</v>
      </c>
      <c r="BC866" s="69" t="inlineStr">
        <is>
          <t>Refinance</t>
        </is>
      </c>
      <c r="BD866" s="69" t="inlineStr">
        <is>
          <t>N</t>
        </is>
      </c>
      <c r="BE866" s="71" t="n"/>
      <c r="BF866" s="71" t="n"/>
      <c r="BG866" s="71" t="n"/>
      <c r="BH866" s="71" t="n">
        <v>0</v>
      </c>
      <c r="BI866" s="71" t="n">
        <v>0</v>
      </c>
      <c r="BJ866" s="69" t="inlineStr">
        <is>
          <t>N</t>
        </is>
      </c>
      <c r="BK866" s="69" t="n"/>
      <c r="BL866" s="75" t="n"/>
      <c r="BM866" s="73" t="n"/>
      <c r="BN866" s="69" t="inlineStr">
        <is>
          <t>Wedge Hotels Corporation</t>
        </is>
      </c>
      <c r="BO866" s="69" t="inlineStr">
        <is>
          <t>Starwood</t>
        </is>
      </c>
      <c r="BP866" s="69" t="inlineStr">
        <is>
          <t>Midland Loan Services</t>
        </is>
      </c>
      <c r="BQ866" s="69" t="inlineStr">
        <is>
          <t>K-Star Asset Management LLC</t>
        </is>
      </c>
      <c r="BR866" s="69" t="n"/>
      <c r="BS866" s="73" t="n">
        <v>46276</v>
      </c>
      <c r="BU866" s="76">
        <f>IF($C866="","",IFERROR(INDEX(dmName,MATCH($C866,dmID,0)),"Unmapped"))</f>
        <v/>
      </c>
      <c r="BV866" s="76">
        <f>IF($C866="","",IFERROR(INDEX(dmEntity,MATCH($C866,dmID,0)),"Unmapped"))</f>
        <v/>
      </c>
      <c r="BW866" s="77">
        <f>IF($C866="","",IFERROR(INDEX(dmVintage,MATCH($C866,dmID,0)),""))</f>
        <v/>
      </c>
      <c r="BX866" s="78">
        <f>IFERROR(INDEX(dmInclude,MATCH($C866,dmID,0)),0)</f>
        <v/>
      </c>
      <c r="BY866" s="78">
        <f>IF(N($I866)&gt;0,1,0)</f>
        <v/>
      </c>
      <c r="BZ866" s="76">
        <f>IF($AJ866="","Other / Leased Fee",IFERROR(INDEX(mapPTGroup,MATCH(LEFT(TRIM($AJ866),2),mapPTCode,0)),"Other / Leased Fee"))</f>
        <v/>
      </c>
      <c r="CA866" s="76">
        <f>IF(TRIM($AF866&amp;"")="","NR",LEFT(TRIM($AF866),2))</f>
        <v/>
      </c>
      <c r="CB866" s="76">
        <f>IFERROR(LOOKUP(2,1/(LEFT(TRIM($AI866&amp;""),LEN(mapRegion))=mapRegion),mapRegion),"Not Reported")</f>
        <v/>
      </c>
      <c r="CC866" s="76">
        <f>IF($BY866=0,"",IF(TRIM($W866&amp;"")="REO","REO",IF(TRIM($W866&amp;"")="FC","Foreclosure",IF(TRIM($W866&amp;"")="90+","90+ Days Delinquent",IF(TRIM($W866&amp;"")="60","60 Days Delinquent",IF(TRIM($W866&amp;"")="30","30 Days Delinquent",IF($X866="Non-Performing Matured Balloon","Non-Performing Matured Balloon",IF(OR($X866="Late Payment But Less Than 30 Days Delinquent",LEFT($X866&amp;"",20)="Payment Not Received"),"Late / In Grace (&lt;30 Days)",IF($X866="Performing Matured Balloon","Performing Matured Balloon","Current")))))))))</f>
        <v/>
      </c>
      <c r="CD866" s="78">
        <f>IF(OR($CC866="REO",$CC866="Foreclosure",$CC866="90+ Days Delinquent",$CC866="60 Days Delinquent",$CC866="30 Days Delinquent",$CC866="Non-Performing Matured Balloon"),1,0)</f>
        <v/>
      </c>
      <c r="CE866" s="76">
        <f>IF($AB866="Currently special serv","Currently Specially Serviced",IF($AB866="Returned to master serv","Previously Specially Serviced","Never Specially Serviced"))</f>
        <v/>
      </c>
      <c r="CF866" s="78">
        <f>IF($CE866="Currently Specially Serviced",1,0)</f>
        <v/>
      </c>
      <c r="CG866" s="76">
        <f>IF($AA866="Yes","Currently on Watchlist",IF($AA866="Previously","Previously on Watchlist","Never on Watchlist"))</f>
        <v/>
      </c>
      <c r="CH866" s="78">
        <f>IF($CG866="Currently on Watchlist",1,0)</f>
        <v/>
      </c>
      <c r="CI866" s="76">
        <f>IF($Z866="Full Defeasance","Fully Defeased",IF($Z866="Portion Of Loan Previously Defeased","Partially Defeased",IF($Z866="Defeasance Not Allowable","Not Defeased (Not Permitted)","Not Defeased")))</f>
        <v/>
      </c>
      <c r="CJ866" s="78">
        <f>IF($CI866="Fully Defeased",1,0)</f>
        <v/>
      </c>
      <c r="CK866" s="76">
        <f>IF($R866="IO","Full IO",IF(LEFT($R866&amp;"",7)="IO then","Partial IO","Amortizing"))</f>
        <v/>
      </c>
      <c r="CL866" s="78">
        <f>IF($CK866="Full IO",1,0)</f>
        <v/>
      </c>
      <c r="CM866" s="78">
        <f>IF($CK866="Partial IO",1,0)</f>
        <v/>
      </c>
      <c r="CN866" s="76">
        <f>IF(LEFT($F866&amp;"",10)="SPLIT_LOAN","Pari Passu Split","Standalone")</f>
        <v/>
      </c>
      <c r="CO866" s="78">
        <f>IF($CN866="Pari Passu Split",1,0)</f>
        <v/>
      </c>
      <c r="CP866" s="77">
        <f>IF(ISNUMBER($T866),YEAR($T866),"")</f>
        <v/>
      </c>
      <c r="CQ866" s="79">
        <f>IF(ISNUMBER($V866),$V866,IF(ISNUMBER($U866),$U866,""))</f>
        <v/>
      </c>
      <c r="CR866" s="77">
        <f>IF(ISNUMBER($CQ866),YEAR($CQ866),"")</f>
        <v/>
      </c>
      <c r="CS866" s="78">
        <f>IF(ISNUMBER($M866),MAX(0,$M866),IF(TRIM($M866&amp;"")="matured",0,""))</f>
        <v/>
      </c>
      <c r="CT866" s="78">
        <f>IF(AND(ISNUMBER($CS866),N($CS866)&lt;=mMatWindow),1,0)</f>
        <v/>
      </c>
      <c r="CU866" s="80">
        <f>IF(ISNUMBER($J866),$J866/100,"")</f>
        <v/>
      </c>
      <c r="CV866" s="81">
        <f>IF(ISNUMBER($AQ866),$AQ866,"")</f>
        <v/>
      </c>
      <c r="CW866" s="81">
        <f>IF(ISNUMBER($AR866),$AR866,"")</f>
        <v/>
      </c>
      <c r="CX866" s="82">
        <f>IF(ISNUMBER($AS866),$AS866/100,"")</f>
        <v/>
      </c>
      <c r="CY866" s="82">
        <f>IF(ISNUMBER($AT866),$AT866/100,"")</f>
        <v/>
      </c>
      <c r="CZ866" s="82">
        <f>IF(ISNUMBER($AU866),$AU866/100,"")</f>
        <v/>
      </c>
      <c r="DA866" s="82">
        <f>IF(ISNUMBER($AV866),$AV866/100,"")</f>
        <v/>
      </c>
      <c r="DB866" s="82">
        <f>IF(ISNUMBER($AW866),$AW866/100,"")</f>
        <v/>
      </c>
      <c r="DC866" s="82">
        <f>IF(ISNUMBER($AX866),$AX866/100,"")</f>
        <v/>
      </c>
      <c r="DD866" s="77">
        <f>IFERROR(VALUE(LEFT(TRIM($AO866&amp;""),4)),"")</f>
        <v/>
      </c>
      <c r="DE866" s="78">
        <f>IF(AND($BY866=1,$BX866=1,OR(fDeal="All Deals",$BU866=fDeal),OR(fEntity="All Entities",$BV866=fEntity),OR(fPType="All Property Types",$BZ866=fPType),OR(fDefeased="Include",$CJ866=0)),1,0)</f>
        <v/>
      </c>
      <c r="DF866" s="83">
        <f>$DE866*N($I866)</f>
        <v/>
      </c>
      <c r="DG866" s="78">
        <f>IF($DE866=1,IF(COUNTIFS($F$8:$F866,$F866,$DE$8:$DE866,1)=1,1,0),0)</f>
        <v/>
      </c>
      <c r="DH866" s="83">
        <f>IF($DG866=1,SUMIFS($DF$8:$DF$1600,$F$8:$F$1600,$F866),0)</f>
        <v/>
      </c>
      <c r="DI866" s="78">
        <f>IF($DG866=1,COUNTIFS($F$8:$F$1600,$F866,$DE$8:$DE$1600,1),0)</f>
        <v/>
      </c>
      <c r="DJ866" s="84">
        <f>IF($DG866=1,$DH866+(100000-ROW())/mTieBreak,0)</f>
        <v/>
      </c>
    </row>
    <row r="867">
      <c r="B867" s="68" t="n">
        <v>11</v>
      </c>
      <c r="C867" s="69" t="inlineStr">
        <is>
          <t>MSC18L1</t>
        </is>
      </c>
      <c r="D867" s="69" t="inlineStr">
        <is>
          <t>11.000</t>
        </is>
      </c>
      <c r="E867" s="69" t="inlineStr">
        <is>
          <t>Regions Tower</t>
        </is>
      </c>
      <c r="F867" s="69" t="inlineStr">
        <is>
          <t>SPLIT_LOAN_01376</t>
        </is>
      </c>
      <c r="G867" s="70" t="n">
        <v>1376</v>
      </c>
      <c r="H867" s="71" t="n">
        <v>30000000</v>
      </c>
      <c r="I867" s="71" t="n">
        <v>30000000</v>
      </c>
      <c r="J867" s="72" t="n">
        <v>4.8974</v>
      </c>
      <c r="K867" s="69" t="inlineStr">
        <is>
          <t>Fixed rate</t>
        </is>
      </c>
      <c r="L867" s="68" t="n">
        <v>60</v>
      </c>
      <c r="M867" s="68" t="inlineStr">
        <is>
          <t>matured</t>
        </is>
      </c>
      <c r="N867" s="68" t="n">
        <v>60</v>
      </c>
      <c r="O867" s="68" t="n">
        <v>60</v>
      </c>
      <c r="P867" s="68" t="n">
        <v>0</v>
      </c>
      <c r="Q867" s="68" t="n">
        <v>95</v>
      </c>
      <c r="R867" s="69" t="inlineStr">
        <is>
          <t>IO</t>
        </is>
      </c>
      <c r="S867" s="69" t="inlineStr">
        <is>
          <t>Yes</t>
        </is>
      </c>
      <c r="T867" s="73" t="n">
        <v>43374</v>
      </c>
      <c r="U867" s="73" t="n">
        <v>45200</v>
      </c>
      <c r="V867" s="73" t="n"/>
      <c r="W867" s="69" t="inlineStr">
        <is>
          <t>30</t>
        </is>
      </c>
      <c r="X867" s="69" t="inlineStr">
        <is>
          <t>Non-Performing Matured Balloon</t>
        </is>
      </c>
      <c r="Y867" s="68" t="n">
        <v>1</v>
      </c>
      <c r="Z867" s="69" t="inlineStr">
        <is>
          <t>No Defeasance Occurred</t>
        </is>
      </c>
      <c r="AA867" s="69" t="inlineStr">
        <is>
          <t>Previously</t>
        </is>
      </c>
      <c r="AB867" s="69" t="inlineStr">
        <is>
          <t>Currently special serv</t>
        </is>
      </c>
      <c r="AC867" s="73" t="n">
        <v>45231</v>
      </c>
      <c r="AD867" s="69" t="inlineStr">
        <is>
          <t>Imminent Monetary Default (Balloon/Maturity Default)</t>
        </is>
      </c>
      <c r="AE867" s="69" t="inlineStr">
        <is>
          <t>Other</t>
        </is>
      </c>
      <c r="AF867" s="69" t="inlineStr">
        <is>
          <t>IN</t>
        </is>
      </c>
      <c r="AG867" s="69" t="inlineStr">
        <is>
          <t>Indianapolis</t>
        </is>
      </c>
      <c r="AH867" s="69" t="inlineStr">
        <is>
          <t>Indianapolis-Carmel-Greenwood, IN</t>
        </is>
      </c>
      <c r="AI867" s="69" t="inlineStr">
        <is>
          <t>Midwest / Central East</t>
        </is>
      </c>
      <c r="AJ867" s="69" t="inlineStr">
        <is>
          <t>OF</t>
        </is>
      </c>
      <c r="AK867" s="69" t="inlineStr">
        <is>
          <t>CBD</t>
        </is>
      </c>
      <c r="AL867" s="68" t="n">
        <v>1</v>
      </c>
      <c r="AM867" s="68" t="n"/>
      <c r="AN867" s="68" t="n">
        <v>687237</v>
      </c>
      <c r="AO867" s="69" t="inlineStr">
        <is>
          <t>1969</t>
        </is>
      </c>
      <c r="AP867" s="70" t="n">
        <v>2017</v>
      </c>
      <c r="AQ867" s="74" t="n">
        <v>1.85</v>
      </c>
      <c r="AR867" s="74" t="n">
        <v>1.59</v>
      </c>
      <c r="AS867" s="74" t="n">
        <v>58.7</v>
      </c>
      <c r="AT867" s="74" t="n">
        <v>139.31</v>
      </c>
      <c r="AU867" s="74" t="n">
        <v>58.7</v>
      </c>
      <c r="AV867" s="74" t="n">
        <v>9.169659492999999</v>
      </c>
      <c r="AW867" s="74" t="n">
        <v>6.983762699</v>
      </c>
      <c r="AX867" s="75" t="n">
        <v>92</v>
      </c>
      <c r="AY867" s="71" t="n">
        <v>124400000</v>
      </c>
      <c r="AZ867" s="71" t="n">
        <v>52400000</v>
      </c>
      <c r="BA867" s="71" t="n">
        <v>6693851.43</v>
      </c>
      <c r="BB867" s="71" t="n">
        <v>1419288.83</v>
      </c>
      <c r="BC867" s="69" t="inlineStr">
        <is>
          <t>Refinance</t>
        </is>
      </c>
      <c r="BD867" s="69" t="inlineStr">
        <is>
          <t>N</t>
        </is>
      </c>
      <c r="BE867" s="71" t="n">
        <v>43000000</v>
      </c>
      <c r="BF867" s="71" t="n"/>
      <c r="BG867" s="71" t="n">
        <v>11000000</v>
      </c>
      <c r="BH867" s="71" t="n">
        <v>9643046.050000001</v>
      </c>
      <c r="BI867" s="71" t="n">
        <v>206307.49</v>
      </c>
      <c r="BJ867" s="69" t="inlineStr">
        <is>
          <t>N</t>
        </is>
      </c>
      <c r="BK867" s="69" t="inlineStr">
        <is>
          <t>TAFT STETTINIUS &amp; HOLLISTER LLP</t>
        </is>
      </c>
      <c r="BL867" s="75" t="n">
        <v>16.8</v>
      </c>
      <c r="BM867" s="73" t="n">
        <v>49918</v>
      </c>
      <c r="BN867" s="69" t="inlineStr">
        <is>
          <t>Elchonon Schwartz; Simon Singer; Isaac Maleh</t>
        </is>
      </c>
      <c r="BO867" s="69" t="inlineStr">
        <is>
          <t>Morgan Stanley</t>
        </is>
      </c>
      <c r="BP867" s="69" t="inlineStr">
        <is>
          <t>Midland Loan Services</t>
        </is>
      </c>
      <c r="BQ867" s="69" t="inlineStr">
        <is>
          <t>KeyBank National Association</t>
        </is>
      </c>
      <c r="BR867" s="69" t="n"/>
      <c r="BS867" s="73" t="n">
        <v>46276</v>
      </c>
      <c r="BU867" s="76">
        <f>IF($C867="","",IFERROR(INDEX(dmName,MATCH($C867,dmID,0)),"Unmapped"))</f>
        <v/>
      </c>
      <c r="BV867" s="76">
        <f>IF($C867="","",IFERROR(INDEX(dmEntity,MATCH($C867,dmID,0)),"Unmapped"))</f>
        <v/>
      </c>
      <c r="BW867" s="77">
        <f>IF($C867="","",IFERROR(INDEX(dmVintage,MATCH($C867,dmID,0)),""))</f>
        <v/>
      </c>
      <c r="BX867" s="78">
        <f>IFERROR(INDEX(dmInclude,MATCH($C867,dmID,0)),0)</f>
        <v/>
      </c>
      <c r="BY867" s="78">
        <f>IF(N($I867)&gt;0,1,0)</f>
        <v/>
      </c>
      <c r="BZ867" s="76">
        <f>IF($AJ867="","Other / Leased Fee",IFERROR(INDEX(mapPTGroup,MATCH(LEFT(TRIM($AJ867),2),mapPTCode,0)),"Other / Leased Fee"))</f>
        <v/>
      </c>
      <c r="CA867" s="76">
        <f>IF(TRIM($AF867&amp;"")="","NR",LEFT(TRIM($AF867),2))</f>
        <v/>
      </c>
      <c r="CB867" s="76">
        <f>IFERROR(LOOKUP(2,1/(LEFT(TRIM($AI867&amp;""),LEN(mapRegion))=mapRegion),mapRegion),"Not Reported")</f>
        <v/>
      </c>
      <c r="CC867" s="76">
        <f>IF($BY867=0,"",IF(TRIM($W867&amp;"")="REO","REO",IF(TRIM($W867&amp;"")="FC","Foreclosure",IF(TRIM($W867&amp;"")="90+","90+ Days Delinquent",IF(TRIM($W867&amp;"")="60","60 Days Delinquent",IF(TRIM($W867&amp;"")="30","30 Days Delinquent",IF($X867="Non-Performing Matured Balloon","Non-Performing Matured Balloon",IF(OR($X867="Late Payment But Less Than 30 Days Delinquent",LEFT($X867&amp;"",20)="Payment Not Received"),"Late / In Grace (&lt;30 Days)",IF($X867="Performing Matured Balloon","Performing Matured Balloon","Current")))))))))</f>
        <v/>
      </c>
      <c r="CD867" s="78">
        <f>IF(OR($CC867="REO",$CC867="Foreclosure",$CC867="90+ Days Delinquent",$CC867="60 Days Delinquent",$CC867="30 Days Delinquent",$CC867="Non-Performing Matured Balloon"),1,0)</f>
        <v/>
      </c>
      <c r="CE867" s="76">
        <f>IF($AB867="Currently special serv","Currently Specially Serviced",IF($AB867="Returned to master serv","Previously Specially Serviced","Never Specially Serviced"))</f>
        <v/>
      </c>
      <c r="CF867" s="78">
        <f>IF($CE867="Currently Specially Serviced",1,0)</f>
        <v/>
      </c>
      <c r="CG867" s="76">
        <f>IF($AA867="Yes","Currently on Watchlist",IF($AA867="Previously","Previously on Watchlist","Never on Watchlist"))</f>
        <v/>
      </c>
      <c r="CH867" s="78">
        <f>IF($CG867="Currently on Watchlist",1,0)</f>
        <v/>
      </c>
      <c r="CI867" s="76">
        <f>IF($Z867="Full Defeasance","Fully Defeased",IF($Z867="Portion Of Loan Previously Defeased","Partially Defeased",IF($Z867="Defeasance Not Allowable","Not Defeased (Not Permitted)","Not Defeased")))</f>
        <v/>
      </c>
      <c r="CJ867" s="78">
        <f>IF($CI867="Fully Defeased",1,0)</f>
        <v/>
      </c>
      <c r="CK867" s="76">
        <f>IF($R867="IO","Full IO",IF(LEFT($R867&amp;"",7)="IO then","Partial IO","Amortizing"))</f>
        <v/>
      </c>
      <c r="CL867" s="78">
        <f>IF($CK867="Full IO",1,0)</f>
        <v/>
      </c>
      <c r="CM867" s="78">
        <f>IF($CK867="Partial IO",1,0)</f>
        <v/>
      </c>
      <c r="CN867" s="76">
        <f>IF(LEFT($F867&amp;"",10)="SPLIT_LOAN","Pari Passu Split","Standalone")</f>
        <v/>
      </c>
      <c r="CO867" s="78">
        <f>IF($CN867="Pari Passu Split",1,0)</f>
        <v/>
      </c>
      <c r="CP867" s="77">
        <f>IF(ISNUMBER($T867),YEAR($T867),"")</f>
        <v/>
      </c>
      <c r="CQ867" s="79">
        <f>IF(ISNUMBER($V867),$V867,IF(ISNUMBER($U867),$U867,""))</f>
        <v/>
      </c>
      <c r="CR867" s="77">
        <f>IF(ISNUMBER($CQ867),YEAR($CQ867),"")</f>
        <v/>
      </c>
      <c r="CS867" s="78">
        <f>IF(ISNUMBER($M867),MAX(0,$M867),IF(TRIM($M867&amp;"")="matured",0,""))</f>
        <v/>
      </c>
      <c r="CT867" s="78">
        <f>IF(AND(ISNUMBER($CS867),N($CS867)&lt;=mMatWindow),1,0)</f>
        <v/>
      </c>
      <c r="CU867" s="80">
        <f>IF(ISNUMBER($J867),$J867/100,"")</f>
        <v/>
      </c>
      <c r="CV867" s="81">
        <f>IF(ISNUMBER($AQ867),$AQ867,"")</f>
        <v/>
      </c>
      <c r="CW867" s="81">
        <f>IF(ISNUMBER($AR867),$AR867,"")</f>
        <v/>
      </c>
      <c r="CX867" s="82">
        <f>IF(ISNUMBER($AS867),$AS867/100,"")</f>
        <v/>
      </c>
      <c r="CY867" s="82">
        <f>IF(ISNUMBER($AT867),$AT867/100,"")</f>
        <v/>
      </c>
      <c r="CZ867" s="82">
        <f>IF(ISNUMBER($AU867),$AU867/100,"")</f>
        <v/>
      </c>
      <c r="DA867" s="82">
        <f>IF(ISNUMBER($AV867),$AV867/100,"")</f>
        <v/>
      </c>
      <c r="DB867" s="82">
        <f>IF(ISNUMBER($AW867),$AW867/100,"")</f>
        <v/>
      </c>
      <c r="DC867" s="82">
        <f>IF(ISNUMBER($AX867),$AX867/100,"")</f>
        <v/>
      </c>
      <c r="DD867" s="77">
        <f>IFERROR(VALUE(LEFT(TRIM($AO867&amp;""),4)),"")</f>
        <v/>
      </c>
      <c r="DE867" s="78">
        <f>IF(AND($BY867=1,$BX867=1,OR(fDeal="All Deals",$BU867=fDeal),OR(fEntity="All Entities",$BV867=fEntity),OR(fPType="All Property Types",$BZ867=fPType),OR(fDefeased="Include",$CJ867=0)),1,0)</f>
        <v/>
      </c>
      <c r="DF867" s="83">
        <f>$DE867*N($I867)</f>
        <v/>
      </c>
      <c r="DG867" s="78">
        <f>IF($DE867=1,IF(COUNTIFS($F$8:$F867,$F867,$DE$8:$DE867,1)=1,1,0),0)</f>
        <v/>
      </c>
      <c r="DH867" s="83">
        <f>IF($DG867=1,SUMIFS($DF$8:$DF$1600,$F$8:$F$1600,$F867),0)</f>
        <v/>
      </c>
      <c r="DI867" s="78">
        <f>IF($DG867=1,COUNTIFS($F$8:$F$1600,$F867,$DE$8:$DE$1600,1),0)</f>
        <v/>
      </c>
      <c r="DJ867" s="84">
        <f>IF($DG867=1,$DH867+(100000-ROW())/mTieBreak,0)</f>
        <v/>
      </c>
    </row>
    <row r="868">
      <c r="B868" s="68" t="n">
        <v>12</v>
      </c>
      <c r="C868" s="69" t="inlineStr">
        <is>
          <t>MSC18L1</t>
        </is>
      </c>
      <c r="D868" s="69" t="inlineStr">
        <is>
          <t>12.000</t>
        </is>
      </c>
      <c r="E868" s="69" t="inlineStr">
        <is>
          <t>Zenith Ridge</t>
        </is>
      </c>
      <c r="F868" s="69" t="inlineStr">
        <is>
          <t>SPLIT_LOAN_01328</t>
        </is>
      </c>
      <c r="G868" s="70" t="n">
        <v>1328</v>
      </c>
      <c r="H868" s="71" t="n">
        <v>30000000</v>
      </c>
      <c r="I868" s="71" t="n">
        <v>28556607.83001</v>
      </c>
      <c r="J868" s="72" t="n">
        <v>4.7</v>
      </c>
      <c r="K868" s="69" t="inlineStr">
        <is>
          <t>Fixed rate</t>
        </is>
      </c>
      <c r="L868" s="68" t="n">
        <v>120</v>
      </c>
      <c r="M868" s="68" t="n">
        <v>23</v>
      </c>
      <c r="N868" s="68" t="n">
        <v>420</v>
      </c>
      <c r="O868" s="68" t="n">
        <v>60</v>
      </c>
      <c r="P868" s="68" t="n">
        <v>0</v>
      </c>
      <c r="Q868" s="68" t="n">
        <v>97</v>
      </c>
      <c r="R868" s="69" t="inlineStr">
        <is>
          <t>IO then Amort</t>
        </is>
      </c>
      <c r="S868" s="69" t="inlineStr">
        <is>
          <t>No</t>
        </is>
      </c>
      <c r="T868" s="73" t="n">
        <v>43313</v>
      </c>
      <c r="U868" s="73" t="n">
        <v>46971</v>
      </c>
      <c r="V868" s="73" t="n"/>
      <c r="W868" s="69" t="n"/>
      <c r="X868" s="69" t="inlineStr">
        <is>
          <t>Current</t>
        </is>
      </c>
      <c r="Y868" s="68" t="n"/>
      <c r="Z868" s="69" t="inlineStr">
        <is>
          <t>No Defeasance Occurred</t>
        </is>
      </c>
      <c r="AA868" s="69" t="inlineStr">
        <is>
          <t>Previously</t>
        </is>
      </c>
      <c r="AB868" s="69" t="inlineStr">
        <is>
          <t>Never special serv</t>
        </is>
      </c>
      <c r="AC868" s="73" t="n"/>
      <c r="AD868" s="69" t="n"/>
      <c r="AE868" s="69" t="n"/>
      <c r="AF868" s="69" t="inlineStr">
        <is>
          <t>PA</t>
        </is>
      </c>
      <c r="AG868" s="69" t="inlineStr">
        <is>
          <t>Canonsburg</t>
        </is>
      </c>
      <c r="AH868" s="69" t="inlineStr">
        <is>
          <t>Pittsburgh, PA</t>
        </is>
      </c>
      <c r="AI868" s="69" t="inlineStr">
        <is>
          <t>Northeast / Mid-Atlantic</t>
        </is>
      </c>
      <c r="AJ868" s="69" t="inlineStr">
        <is>
          <t>OF</t>
        </is>
      </c>
      <c r="AK868" s="69" t="inlineStr">
        <is>
          <t>Suburban</t>
        </is>
      </c>
      <c r="AL868" s="68" t="n">
        <v>1</v>
      </c>
      <c r="AM868" s="68" t="n"/>
      <c r="AN868" s="68" t="n">
        <v>486000</v>
      </c>
      <c r="AO868" s="69" t="inlineStr">
        <is>
          <t>2014, 2015, 2016</t>
        </is>
      </c>
      <c r="AP868" s="70" t="n">
        <v>2016</v>
      </c>
      <c r="AQ868" s="74" t="n">
        <v>1.54</v>
      </c>
      <c r="AR868" s="74" t="n">
        <v>1.32</v>
      </c>
      <c r="AS868" s="74" t="n">
        <v>67.59999999999999</v>
      </c>
      <c r="AT868" s="74" t="n">
        <v>64.37</v>
      </c>
      <c r="AU868" s="74" t="n">
        <v>62.2</v>
      </c>
      <c r="AV868" s="74" t="n">
        <v>9.592339600000001</v>
      </c>
      <c r="AW868" s="74" t="n">
        <v>8.863857413</v>
      </c>
      <c r="AX868" s="75" t="n">
        <v>70</v>
      </c>
      <c r="AY868" s="71" t="n">
        <v>133100000</v>
      </c>
      <c r="AZ868" s="71" t="n">
        <v>133100000</v>
      </c>
      <c r="BA868" s="71" t="n">
        <v>8633105.640000001</v>
      </c>
      <c r="BB868" s="71" t="n">
        <v>7387035.4</v>
      </c>
      <c r="BC868" s="69" t="inlineStr">
        <is>
          <t>Refinance</t>
        </is>
      </c>
      <c r="BD868" s="69" t="inlineStr">
        <is>
          <t>N</t>
        </is>
      </c>
      <c r="BE868" s="71" t="n">
        <v>57113215.66</v>
      </c>
      <c r="BF868" s="71" t="n"/>
      <c r="BG868" s="71" t="n"/>
      <c r="BH868" s="71" t="n">
        <v>0</v>
      </c>
      <c r="BI868" s="71" t="n">
        <v>0</v>
      </c>
      <c r="BJ868" s="69" t="inlineStr">
        <is>
          <t>N</t>
        </is>
      </c>
      <c r="BK868" s="69" t="inlineStr">
        <is>
          <t>Bldg Ansys Inc</t>
        </is>
      </c>
      <c r="BL868" s="75" t="n">
        <v>38.27</v>
      </c>
      <c r="BM868" s="73" t="n">
        <v>47483</v>
      </c>
      <c r="BN868" s="69" t="inlineStr">
        <is>
          <t>James D. Scalo; John F. Scalo; Charles R. Zappala; John J. Verbanac</t>
        </is>
      </c>
      <c r="BO868" s="69" t="inlineStr">
        <is>
          <t>Starwood</t>
        </is>
      </c>
      <c r="BP868" s="69" t="inlineStr">
        <is>
          <t>Midland Loan Services</t>
        </is>
      </c>
      <c r="BQ868" s="69" t="inlineStr">
        <is>
          <t>Rialto Capital</t>
        </is>
      </c>
      <c r="BR868" s="69" t="n"/>
      <c r="BS868" s="73" t="n">
        <v>46276</v>
      </c>
      <c r="BU868" s="76">
        <f>IF($C868="","",IFERROR(INDEX(dmName,MATCH($C868,dmID,0)),"Unmapped"))</f>
        <v/>
      </c>
      <c r="BV868" s="76">
        <f>IF($C868="","",IFERROR(INDEX(dmEntity,MATCH($C868,dmID,0)),"Unmapped"))</f>
        <v/>
      </c>
      <c r="BW868" s="77">
        <f>IF($C868="","",IFERROR(INDEX(dmVintage,MATCH($C868,dmID,0)),""))</f>
        <v/>
      </c>
      <c r="BX868" s="78">
        <f>IFERROR(INDEX(dmInclude,MATCH($C868,dmID,0)),0)</f>
        <v/>
      </c>
      <c r="BY868" s="78">
        <f>IF(N($I868)&gt;0,1,0)</f>
        <v/>
      </c>
      <c r="BZ868" s="76">
        <f>IF($AJ868="","Other / Leased Fee",IFERROR(INDEX(mapPTGroup,MATCH(LEFT(TRIM($AJ868),2),mapPTCode,0)),"Other / Leased Fee"))</f>
        <v/>
      </c>
      <c r="CA868" s="76">
        <f>IF(TRIM($AF868&amp;"")="","NR",LEFT(TRIM($AF868),2))</f>
        <v/>
      </c>
      <c r="CB868" s="76">
        <f>IFERROR(LOOKUP(2,1/(LEFT(TRIM($AI868&amp;""),LEN(mapRegion))=mapRegion),mapRegion),"Not Reported")</f>
        <v/>
      </c>
      <c r="CC868" s="76">
        <f>IF($BY868=0,"",IF(TRIM($W868&amp;"")="REO","REO",IF(TRIM($W868&amp;"")="FC","Foreclosure",IF(TRIM($W868&amp;"")="90+","90+ Days Delinquent",IF(TRIM($W868&amp;"")="60","60 Days Delinquent",IF(TRIM($W868&amp;"")="30","30 Days Delinquent",IF($X868="Non-Performing Matured Balloon","Non-Performing Matured Balloon",IF(OR($X868="Late Payment But Less Than 30 Days Delinquent",LEFT($X868&amp;"",20)="Payment Not Received"),"Late / In Grace (&lt;30 Days)",IF($X868="Performing Matured Balloon","Performing Matured Balloon","Current")))))))))</f>
        <v/>
      </c>
      <c r="CD868" s="78">
        <f>IF(OR($CC868="REO",$CC868="Foreclosure",$CC868="90+ Days Delinquent",$CC868="60 Days Delinquent",$CC868="30 Days Delinquent",$CC868="Non-Performing Matured Balloon"),1,0)</f>
        <v/>
      </c>
      <c r="CE868" s="76">
        <f>IF($AB868="Currently special serv","Currently Specially Serviced",IF($AB868="Returned to master serv","Previously Specially Serviced","Never Specially Serviced"))</f>
        <v/>
      </c>
      <c r="CF868" s="78">
        <f>IF($CE868="Currently Specially Serviced",1,0)</f>
        <v/>
      </c>
      <c r="CG868" s="76">
        <f>IF($AA868="Yes","Currently on Watchlist",IF($AA868="Previously","Previously on Watchlist","Never on Watchlist"))</f>
        <v/>
      </c>
      <c r="CH868" s="78">
        <f>IF($CG868="Currently on Watchlist",1,0)</f>
        <v/>
      </c>
      <c r="CI868" s="76">
        <f>IF($Z868="Full Defeasance","Fully Defeased",IF($Z868="Portion Of Loan Previously Defeased","Partially Defeased",IF($Z868="Defeasance Not Allowable","Not Defeased (Not Permitted)","Not Defeased")))</f>
        <v/>
      </c>
      <c r="CJ868" s="78">
        <f>IF($CI868="Fully Defeased",1,0)</f>
        <v/>
      </c>
      <c r="CK868" s="76">
        <f>IF($R868="IO","Full IO",IF(LEFT($R868&amp;"",7)="IO then","Partial IO","Amortizing"))</f>
        <v/>
      </c>
      <c r="CL868" s="78">
        <f>IF($CK868="Full IO",1,0)</f>
        <v/>
      </c>
      <c r="CM868" s="78">
        <f>IF($CK868="Partial IO",1,0)</f>
        <v/>
      </c>
      <c r="CN868" s="76">
        <f>IF(LEFT($F868&amp;"",10)="SPLIT_LOAN","Pari Passu Split","Standalone")</f>
        <v/>
      </c>
      <c r="CO868" s="78">
        <f>IF($CN868="Pari Passu Split",1,0)</f>
        <v/>
      </c>
      <c r="CP868" s="77">
        <f>IF(ISNUMBER($T868),YEAR($T868),"")</f>
        <v/>
      </c>
      <c r="CQ868" s="79">
        <f>IF(ISNUMBER($V868),$V868,IF(ISNUMBER($U868),$U868,""))</f>
        <v/>
      </c>
      <c r="CR868" s="77">
        <f>IF(ISNUMBER($CQ868),YEAR($CQ868),"")</f>
        <v/>
      </c>
      <c r="CS868" s="78">
        <f>IF(ISNUMBER($M868),MAX(0,$M868),IF(TRIM($M868&amp;"")="matured",0,""))</f>
        <v/>
      </c>
      <c r="CT868" s="78">
        <f>IF(AND(ISNUMBER($CS868),N($CS868)&lt;=mMatWindow),1,0)</f>
        <v/>
      </c>
      <c r="CU868" s="80">
        <f>IF(ISNUMBER($J868),$J868/100,"")</f>
        <v/>
      </c>
      <c r="CV868" s="81">
        <f>IF(ISNUMBER($AQ868),$AQ868,"")</f>
        <v/>
      </c>
      <c r="CW868" s="81">
        <f>IF(ISNUMBER($AR868),$AR868,"")</f>
        <v/>
      </c>
      <c r="CX868" s="82">
        <f>IF(ISNUMBER($AS868),$AS868/100,"")</f>
        <v/>
      </c>
      <c r="CY868" s="82">
        <f>IF(ISNUMBER($AT868),$AT868/100,"")</f>
        <v/>
      </c>
      <c r="CZ868" s="82">
        <f>IF(ISNUMBER($AU868),$AU868/100,"")</f>
        <v/>
      </c>
      <c r="DA868" s="82">
        <f>IF(ISNUMBER($AV868),$AV868/100,"")</f>
        <v/>
      </c>
      <c r="DB868" s="82">
        <f>IF(ISNUMBER($AW868),$AW868/100,"")</f>
        <v/>
      </c>
      <c r="DC868" s="82">
        <f>IF(ISNUMBER($AX868),$AX868/100,"")</f>
        <v/>
      </c>
      <c r="DD868" s="77">
        <f>IFERROR(VALUE(LEFT(TRIM($AO868&amp;""),4)),"")</f>
        <v/>
      </c>
      <c r="DE868" s="78">
        <f>IF(AND($BY868=1,$BX868=1,OR(fDeal="All Deals",$BU868=fDeal),OR(fEntity="All Entities",$BV868=fEntity),OR(fPType="All Property Types",$BZ868=fPType),OR(fDefeased="Include",$CJ868=0)),1,0)</f>
        <v/>
      </c>
      <c r="DF868" s="83">
        <f>$DE868*N($I868)</f>
        <v/>
      </c>
      <c r="DG868" s="78">
        <f>IF($DE868=1,IF(COUNTIFS($F$8:$F868,$F868,$DE$8:$DE868,1)=1,1,0),0)</f>
        <v/>
      </c>
      <c r="DH868" s="83">
        <f>IF($DG868=1,SUMIFS($DF$8:$DF$1600,$F$8:$F$1600,$F868),0)</f>
        <v/>
      </c>
      <c r="DI868" s="78">
        <f>IF($DG868=1,COUNTIFS($F$8:$F$1600,$F868,$DE$8:$DE$1600,1),0)</f>
        <v/>
      </c>
      <c r="DJ868" s="84">
        <f>IF($DG868=1,$DH868+(100000-ROW())/mTieBreak,0)</f>
        <v/>
      </c>
    </row>
    <row r="869">
      <c r="B869" s="68" t="n">
        <v>13</v>
      </c>
      <c r="C869" s="69" t="inlineStr">
        <is>
          <t>MSC18L1</t>
        </is>
      </c>
      <c r="D869" s="69" t="inlineStr">
        <is>
          <t>13.000</t>
        </is>
      </c>
      <c r="E869" s="69" t="inlineStr">
        <is>
          <t>Alex Park South</t>
        </is>
      </c>
      <c r="F869" s="69" t="inlineStr">
        <is>
          <t>SPLIT_LOAN_01377</t>
        </is>
      </c>
      <c r="G869" s="70" t="n">
        <v>1377</v>
      </c>
      <c r="H869" s="71" t="n">
        <v>28000000</v>
      </c>
      <c r="I869" s="71" t="n">
        <v>25954355.600012</v>
      </c>
      <c r="J869" s="72" t="n">
        <v>5.44</v>
      </c>
      <c r="K869" s="69" t="inlineStr">
        <is>
          <t>Fixed rate</t>
        </is>
      </c>
      <c r="L869" s="68" t="n">
        <v>120</v>
      </c>
      <c r="M869" s="68" t="n">
        <v>23</v>
      </c>
      <c r="N869" s="68" t="n">
        <v>396</v>
      </c>
      <c r="O869" s="68" t="n">
        <v>36</v>
      </c>
      <c r="P869" s="68" t="n">
        <v>0</v>
      </c>
      <c r="Q869" s="68" t="n">
        <v>97</v>
      </c>
      <c r="R869" s="69" t="inlineStr">
        <is>
          <t>IO then Amort</t>
        </is>
      </c>
      <c r="S869" s="69" t="inlineStr">
        <is>
          <t>No</t>
        </is>
      </c>
      <c r="T869" s="73" t="n">
        <v>43313</v>
      </c>
      <c r="U869" s="73" t="n">
        <v>46966</v>
      </c>
      <c r="V869" s="73" t="n"/>
      <c r="W869" s="69" t="n"/>
      <c r="X869" s="69" t="inlineStr">
        <is>
          <t>Current</t>
        </is>
      </c>
      <c r="Y869" s="68" t="n"/>
      <c r="Z869" s="69" t="inlineStr">
        <is>
          <t>No Defeasance Occurred</t>
        </is>
      </c>
      <c r="AA869" s="69" t="inlineStr">
        <is>
          <t>Yes</t>
        </is>
      </c>
      <c r="AB869" s="69" t="inlineStr">
        <is>
          <t>Never special serv</t>
        </is>
      </c>
      <c r="AC869" s="73" t="n"/>
      <c r="AD869" s="69" t="n"/>
      <c r="AE869" s="69" t="n"/>
      <c r="AF869" s="69" t="inlineStr">
        <is>
          <t>NY</t>
        </is>
      </c>
      <c r="AG869" s="69" t="inlineStr">
        <is>
          <t>Rochester</t>
        </is>
      </c>
      <c r="AH869" s="69" t="inlineStr">
        <is>
          <t>Rochester, NY</t>
        </is>
      </c>
      <c r="AI869" s="69" t="inlineStr">
        <is>
          <t>Northeast / Mid-Atlantic</t>
        </is>
      </c>
      <c r="AJ869" s="69" t="inlineStr">
        <is>
          <t>OF</t>
        </is>
      </c>
      <c r="AK869" s="69" t="inlineStr">
        <is>
          <t>Suburban</t>
        </is>
      </c>
      <c r="AL869" s="68" t="n">
        <v>1</v>
      </c>
      <c r="AM869" s="68" t="n"/>
      <c r="AN869" s="68" t="n">
        <v>348872</v>
      </c>
      <c r="AO869" s="69" t="inlineStr">
        <is>
          <t>1969, 1992, 1993, 1998, 2009, 2010</t>
        </is>
      </c>
      <c r="AP869" s="70" t="n">
        <v>2010</v>
      </c>
      <c r="AQ869" s="74" t="n">
        <v>1.32</v>
      </c>
      <c r="AR869" s="74" t="n">
        <v>0.59</v>
      </c>
      <c r="AS869" s="74" t="n">
        <v>65</v>
      </c>
      <c r="AT869" s="74" t="n">
        <v>60.25</v>
      </c>
      <c r="AU869" s="74" t="n">
        <v>58.18</v>
      </c>
      <c r="AV869" s="74" t="n">
        <v>8.934452214</v>
      </c>
      <c r="AW869" s="74" t="n">
        <v>4.256815727</v>
      </c>
      <c r="AX869" s="75" t="n">
        <v>72</v>
      </c>
      <c r="AY869" s="71" t="n">
        <v>66000000</v>
      </c>
      <c r="AZ869" s="71" t="n">
        <v>66000000</v>
      </c>
      <c r="BA869" s="71" t="n">
        <v>3832880</v>
      </c>
      <c r="BB869" s="71" t="n">
        <v>1709874</v>
      </c>
      <c r="BC869" s="69" t="inlineStr">
        <is>
          <t>Refinance</t>
        </is>
      </c>
      <c r="BD869" s="69" t="inlineStr">
        <is>
          <t>N</t>
        </is>
      </c>
      <c r="BE869" s="71" t="n">
        <v>13811424.94</v>
      </c>
      <c r="BF869" s="71" t="n"/>
      <c r="BG869" s="71" t="n"/>
      <c r="BH869" s="71" t="n">
        <v>0</v>
      </c>
      <c r="BI869" s="71" t="n">
        <v>0</v>
      </c>
      <c r="BJ869" s="69" t="inlineStr">
        <is>
          <t>N</t>
        </is>
      </c>
      <c r="BK869" s="69" t="inlineStr">
        <is>
          <t>Rochester General Hospital</t>
        </is>
      </c>
      <c r="BL869" s="75" t="n">
        <v>30.54</v>
      </c>
      <c r="BM869" s="73" t="n">
        <v>49217</v>
      </c>
      <c r="BN869" s="69" t="inlineStr">
        <is>
          <t>Estate of Laurence C. Glazer</t>
        </is>
      </c>
      <c r="BO869" s="69" t="inlineStr">
        <is>
          <t>KeyBank</t>
        </is>
      </c>
      <c r="BP869" s="69" t="inlineStr">
        <is>
          <t>Midland Loan Services</t>
        </is>
      </c>
      <c r="BQ869" s="69" t="inlineStr">
        <is>
          <t>K-Star Asset Management LLC</t>
        </is>
      </c>
      <c r="BR869" s="69" t="n"/>
      <c r="BS869" s="73" t="n">
        <v>46276</v>
      </c>
      <c r="BU869" s="76">
        <f>IF($C869="","",IFERROR(INDEX(dmName,MATCH($C869,dmID,0)),"Unmapped"))</f>
        <v/>
      </c>
      <c r="BV869" s="76">
        <f>IF($C869="","",IFERROR(INDEX(dmEntity,MATCH($C869,dmID,0)),"Unmapped"))</f>
        <v/>
      </c>
      <c r="BW869" s="77">
        <f>IF($C869="","",IFERROR(INDEX(dmVintage,MATCH($C869,dmID,0)),""))</f>
        <v/>
      </c>
      <c r="BX869" s="78">
        <f>IFERROR(INDEX(dmInclude,MATCH($C869,dmID,0)),0)</f>
        <v/>
      </c>
      <c r="BY869" s="78">
        <f>IF(N($I869)&gt;0,1,0)</f>
        <v/>
      </c>
      <c r="BZ869" s="76">
        <f>IF($AJ869="","Other / Leased Fee",IFERROR(INDEX(mapPTGroup,MATCH(LEFT(TRIM($AJ869),2),mapPTCode,0)),"Other / Leased Fee"))</f>
        <v/>
      </c>
      <c r="CA869" s="76">
        <f>IF(TRIM($AF869&amp;"")="","NR",LEFT(TRIM($AF869),2))</f>
        <v/>
      </c>
      <c r="CB869" s="76">
        <f>IFERROR(LOOKUP(2,1/(LEFT(TRIM($AI869&amp;""),LEN(mapRegion))=mapRegion),mapRegion),"Not Reported")</f>
        <v/>
      </c>
      <c r="CC869" s="76">
        <f>IF($BY869=0,"",IF(TRIM($W869&amp;"")="REO","REO",IF(TRIM($W869&amp;"")="FC","Foreclosure",IF(TRIM($W869&amp;"")="90+","90+ Days Delinquent",IF(TRIM($W869&amp;"")="60","60 Days Delinquent",IF(TRIM($W869&amp;"")="30","30 Days Delinquent",IF($X869="Non-Performing Matured Balloon","Non-Performing Matured Balloon",IF(OR($X869="Late Payment But Less Than 30 Days Delinquent",LEFT($X869&amp;"",20)="Payment Not Received"),"Late / In Grace (&lt;30 Days)",IF($X869="Performing Matured Balloon","Performing Matured Balloon","Current")))))))))</f>
        <v/>
      </c>
      <c r="CD869" s="78">
        <f>IF(OR($CC869="REO",$CC869="Foreclosure",$CC869="90+ Days Delinquent",$CC869="60 Days Delinquent",$CC869="30 Days Delinquent",$CC869="Non-Performing Matured Balloon"),1,0)</f>
        <v/>
      </c>
      <c r="CE869" s="76">
        <f>IF($AB869="Currently special serv","Currently Specially Serviced",IF($AB869="Returned to master serv","Previously Specially Serviced","Never Specially Serviced"))</f>
        <v/>
      </c>
      <c r="CF869" s="78">
        <f>IF($CE869="Currently Specially Serviced",1,0)</f>
        <v/>
      </c>
      <c r="CG869" s="76">
        <f>IF($AA869="Yes","Currently on Watchlist",IF($AA869="Previously","Previously on Watchlist","Never on Watchlist"))</f>
        <v/>
      </c>
      <c r="CH869" s="78">
        <f>IF($CG869="Currently on Watchlist",1,0)</f>
        <v/>
      </c>
      <c r="CI869" s="76">
        <f>IF($Z869="Full Defeasance","Fully Defeased",IF($Z869="Portion Of Loan Previously Defeased","Partially Defeased",IF($Z869="Defeasance Not Allowable","Not Defeased (Not Permitted)","Not Defeased")))</f>
        <v/>
      </c>
      <c r="CJ869" s="78">
        <f>IF($CI869="Fully Defeased",1,0)</f>
        <v/>
      </c>
      <c r="CK869" s="76">
        <f>IF($R869="IO","Full IO",IF(LEFT($R869&amp;"",7)="IO then","Partial IO","Amortizing"))</f>
        <v/>
      </c>
      <c r="CL869" s="78">
        <f>IF($CK869="Full IO",1,0)</f>
        <v/>
      </c>
      <c r="CM869" s="78">
        <f>IF($CK869="Partial IO",1,0)</f>
        <v/>
      </c>
      <c r="CN869" s="76">
        <f>IF(LEFT($F869&amp;"",10)="SPLIT_LOAN","Pari Passu Split","Standalone")</f>
        <v/>
      </c>
      <c r="CO869" s="78">
        <f>IF($CN869="Pari Passu Split",1,0)</f>
        <v/>
      </c>
      <c r="CP869" s="77">
        <f>IF(ISNUMBER($T869),YEAR($T869),"")</f>
        <v/>
      </c>
      <c r="CQ869" s="79">
        <f>IF(ISNUMBER($V869),$V869,IF(ISNUMBER($U869),$U869,""))</f>
        <v/>
      </c>
      <c r="CR869" s="77">
        <f>IF(ISNUMBER($CQ869),YEAR($CQ869),"")</f>
        <v/>
      </c>
      <c r="CS869" s="78">
        <f>IF(ISNUMBER($M869),MAX(0,$M869),IF(TRIM($M869&amp;"")="matured",0,""))</f>
        <v/>
      </c>
      <c r="CT869" s="78">
        <f>IF(AND(ISNUMBER($CS869),N($CS869)&lt;=mMatWindow),1,0)</f>
        <v/>
      </c>
      <c r="CU869" s="80">
        <f>IF(ISNUMBER($J869),$J869/100,"")</f>
        <v/>
      </c>
      <c r="CV869" s="81">
        <f>IF(ISNUMBER($AQ869),$AQ869,"")</f>
        <v/>
      </c>
      <c r="CW869" s="81">
        <f>IF(ISNUMBER($AR869),$AR869,"")</f>
        <v/>
      </c>
      <c r="CX869" s="82">
        <f>IF(ISNUMBER($AS869),$AS869/100,"")</f>
        <v/>
      </c>
      <c r="CY869" s="82">
        <f>IF(ISNUMBER($AT869),$AT869/100,"")</f>
        <v/>
      </c>
      <c r="CZ869" s="82">
        <f>IF(ISNUMBER($AU869),$AU869/100,"")</f>
        <v/>
      </c>
      <c r="DA869" s="82">
        <f>IF(ISNUMBER($AV869),$AV869/100,"")</f>
        <v/>
      </c>
      <c r="DB869" s="82">
        <f>IF(ISNUMBER($AW869),$AW869/100,"")</f>
        <v/>
      </c>
      <c r="DC869" s="82">
        <f>IF(ISNUMBER($AX869),$AX869/100,"")</f>
        <v/>
      </c>
      <c r="DD869" s="77">
        <f>IFERROR(VALUE(LEFT(TRIM($AO869&amp;""),4)),"")</f>
        <v/>
      </c>
      <c r="DE869" s="78">
        <f>IF(AND($BY869=1,$BX869=1,OR(fDeal="All Deals",$BU869=fDeal),OR(fEntity="All Entities",$BV869=fEntity),OR(fPType="All Property Types",$BZ869=fPType),OR(fDefeased="Include",$CJ869=0)),1,0)</f>
        <v/>
      </c>
      <c r="DF869" s="83">
        <f>$DE869*N($I869)</f>
        <v/>
      </c>
      <c r="DG869" s="78">
        <f>IF($DE869=1,IF(COUNTIFS($F$8:$F869,$F869,$DE$8:$DE869,1)=1,1,0),0)</f>
        <v/>
      </c>
      <c r="DH869" s="83">
        <f>IF($DG869=1,SUMIFS($DF$8:$DF$1600,$F$8:$F$1600,$F869),0)</f>
        <v/>
      </c>
      <c r="DI869" s="78">
        <f>IF($DG869=1,COUNTIFS($F$8:$F$1600,$F869,$DE$8:$DE$1600,1),0)</f>
        <v/>
      </c>
      <c r="DJ869" s="84">
        <f>IF($DG869=1,$DH869+(100000-ROW())/mTieBreak,0)</f>
        <v/>
      </c>
    </row>
    <row r="870">
      <c r="B870" s="68" t="n">
        <v>14</v>
      </c>
      <c r="C870" s="69" t="inlineStr">
        <is>
          <t>MSC18L1</t>
        </is>
      </c>
      <c r="D870" s="69" t="inlineStr">
        <is>
          <t>14.000</t>
        </is>
      </c>
      <c r="E870" s="69" t="inlineStr">
        <is>
          <t>Alliance Data Systems</t>
        </is>
      </c>
      <c r="F870" s="69" t="inlineStr">
        <is>
          <t>LNMSC18L1-14.000</t>
        </is>
      </c>
      <c r="G870" s="70" t="n"/>
      <c r="H870" s="71" t="n">
        <v>26550000</v>
      </c>
      <c r="I870" s="71" t="n">
        <v>26550000</v>
      </c>
      <c r="J870" s="72" t="n">
        <v>4.9425</v>
      </c>
      <c r="K870" s="69" t="inlineStr">
        <is>
          <t>Fixed rate</t>
        </is>
      </c>
      <c r="L870" s="68" t="n">
        <v>120</v>
      </c>
      <c r="M870" s="68" t="n">
        <v>23</v>
      </c>
      <c r="N870" s="68" t="n">
        <v>120</v>
      </c>
      <c r="O870" s="68" t="n">
        <v>120</v>
      </c>
      <c r="P870" s="68" t="n">
        <v>23</v>
      </c>
      <c r="Q870" s="68" t="n">
        <v>97</v>
      </c>
      <c r="R870" s="69" t="inlineStr">
        <is>
          <t>IO</t>
        </is>
      </c>
      <c r="S870" s="69" t="inlineStr">
        <is>
          <t>Yes</t>
        </is>
      </c>
      <c r="T870" s="73" t="n">
        <v>43313</v>
      </c>
      <c r="U870" s="73" t="n">
        <v>46971</v>
      </c>
      <c r="V870" s="73" t="n">
        <v>46971</v>
      </c>
      <c r="W870" s="69" t="n"/>
      <c r="X870" s="69" t="inlineStr">
        <is>
          <t>Current</t>
        </is>
      </c>
      <c r="Y870" s="68" t="n"/>
      <c r="Z870" s="69" t="inlineStr">
        <is>
          <t>No Defeasance Occurred</t>
        </is>
      </c>
      <c r="AA870" s="69" t="n"/>
      <c r="AB870" s="69" t="inlineStr">
        <is>
          <t>Never special serv</t>
        </is>
      </c>
      <c r="AC870" s="73" t="n"/>
      <c r="AD870" s="69" t="n"/>
      <c r="AE870" s="69" t="n"/>
      <c r="AF870" s="69" t="inlineStr">
        <is>
          <t>OH</t>
        </is>
      </c>
      <c r="AG870" s="69" t="inlineStr">
        <is>
          <t>Columbus</t>
        </is>
      </c>
      <c r="AH870" s="69" t="inlineStr">
        <is>
          <t>Columbus, OH</t>
        </is>
      </c>
      <c r="AI870" s="69" t="inlineStr">
        <is>
          <t>Midwest / Central East</t>
        </is>
      </c>
      <c r="AJ870" s="69" t="inlineStr">
        <is>
          <t>OF</t>
        </is>
      </c>
      <c r="AK870" s="69" t="inlineStr">
        <is>
          <t>Suburban</t>
        </is>
      </c>
      <c r="AL870" s="68" t="n">
        <v>1</v>
      </c>
      <c r="AM870" s="68" t="n"/>
      <c r="AN870" s="68" t="n">
        <v>241493</v>
      </c>
      <c r="AO870" s="69" t="inlineStr">
        <is>
          <t>2017</t>
        </is>
      </c>
      <c r="AP870" s="70" t="n">
        <v>2017</v>
      </c>
      <c r="AQ870" s="74" t="n">
        <v>2.09</v>
      </c>
      <c r="AR870" s="74" t="n">
        <v>2.22</v>
      </c>
      <c r="AS870" s="74" t="n">
        <v>56.5</v>
      </c>
      <c r="AT870" s="74" t="n">
        <v>56.49</v>
      </c>
      <c r="AU870" s="74" t="n">
        <v>56.5</v>
      </c>
      <c r="AV870" s="74" t="n">
        <v>10.471483427</v>
      </c>
      <c r="AW870" s="74" t="n">
        <v>11.14674275</v>
      </c>
      <c r="AX870" s="75" t="n">
        <v>100</v>
      </c>
      <c r="AY870" s="71" t="n">
        <v>47000000</v>
      </c>
      <c r="AZ870" s="71" t="n">
        <v>47000000</v>
      </c>
      <c r="BA870" s="71" t="n">
        <v>2780178.85</v>
      </c>
      <c r="BB870" s="71" t="n">
        <v>2959460.2</v>
      </c>
      <c r="BC870" s="69" t="inlineStr">
        <is>
          <t>Acquisition</t>
        </is>
      </c>
      <c r="BD870" s="69" t="inlineStr">
        <is>
          <t>N</t>
        </is>
      </c>
      <c r="BE870" s="71" t="n"/>
      <c r="BF870" s="71" t="n"/>
      <c r="BG870" s="71" t="n"/>
      <c r="BH870" s="71" t="n">
        <v>0</v>
      </c>
      <c r="BI870" s="71" t="n">
        <v>0</v>
      </c>
      <c r="BJ870" s="69" t="inlineStr">
        <is>
          <t>N</t>
        </is>
      </c>
      <c r="BK870" s="69" t="inlineStr">
        <is>
          <t>Comenity Servicing LLC</t>
        </is>
      </c>
      <c r="BL870" s="75" t="n">
        <v>100</v>
      </c>
      <c r="BM870" s="73" t="n">
        <v>48487</v>
      </c>
      <c r="BN870" s="69" t="inlineStr">
        <is>
          <t>Rodin Global Property Trust, Inc.</t>
        </is>
      </c>
      <c r="BO870" s="69" t="inlineStr">
        <is>
          <t>Cantor Commercial Real Estate Lending</t>
        </is>
      </c>
      <c r="BP870" s="69" t="inlineStr">
        <is>
          <t>Midland Loan Services</t>
        </is>
      </c>
      <c r="BQ870" s="69" t="inlineStr">
        <is>
          <t>K-Star Asset Management LLC</t>
        </is>
      </c>
      <c r="BR870" s="69" t="n"/>
      <c r="BS870" s="73" t="n">
        <v>46276</v>
      </c>
      <c r="BU870" s="76">
        <f>IF($C870="","",IFERROR(INDEX(dmName,MATCH($C870,dmID,0)),"Unmapped"))</f>
        <v/>
      </c>
      <c r="BV870" s="76">
        <f>IF($C870="","",IFERROR(INDEX(dmEntity,MATCH($C870,dmID,0)),"Unmapped"))</f>
        <v/>
      </c>
      <c r="BW870" s="77">
        <f>IF($C870="","",IFERROR(INDEX(dmVintage,MATCH($C870,dmID,0)),""))</f>
        <v/>
      </c>
      <c r="BX870" s="78">
        <f>IFERROR(INDEX(dmInclude,MATCH($C870,dmID,0)),0)</f>
        <v/>
      </c>
      <c r="BY870" s="78">
        <f>IF(N($I870)&gt;0,1,0)</f>
        <v/>
      </c>
      <c r="BZ870" s="76">
        <f>IF($AJ870="","Other / Leased Fee",IFERROR(INDEX(mapPTGroup,MATCH(LEFT(TRIM($AJ870),2),mapPTCode,0)),"Other / Leased Fee"))</f>
        <v/>
      </c>
      <c r="CA870" s="76">
        <f>IF(TRIM($AF870&amp;"")="","NR",LEFT(TRIM($AF870),2))</f>
        <v/>
      </c>
      <c r="CB870" s="76">
        <f>IFERROR(LOOKUP(2,1/(LEFT(TRIM($AI870&amp;""),LEN(mapRegion))=mapRegion),mapRegion),"Not Reported")</f>
        <v/>
      </c>
      <c r="CC870" s="76">
        <f>IF($BY870=0,"",IF(TRIM($W870&amp;"")="REO","REO",IF(TRIM($W870&amp;"")="FC","Foreclosure",IF(TRIM($W870&amp;"")="90+","90+ Days Delinquent",IF(TRIM($W870&amp;"")="60","60 Days Delinquent",IF(TRIM($W870&amp;"")="30","30 Days Delinquent",IF($X870="Non-Performing Matured Balloon","Non-Performing Matured Balloon",IF(OR($X870="Late Payment But Less Than 30 Days Delinquent",LEFT($X870&amp;"",20)="Payment Not Received"),"Late / In Grace (&lt;30 Days)",IF($X870="Performing Matured Balloon","Performing Matured Balloon","Current")))))))))</f>
        <v/>
      </c>
      <c r="CD870" s="78">
        <f>IF(OR($CC870="REO",$CC870="Foreclosure",$CC870="90+ Days Delinquent",$CC870="60 Days Delinquent",$CC870="30 Days Delinquent",$CC870="Non-Performing Matured Balloon"),1,0)</f>
        <v/>
      </c>
      <c r="CE870" s="76">
        <f>IF($AB870="Currently special serv","Currently Specially Serviced",IF($AB870="Returned to master serv","Previously Specially Serviced","Never Specially Serviced"))</f>
        <v/>
      </c>
      <c r="CF870" s="78">
        <f>IF($CE870="Currently Specially Serviced",1,0)</f>
        <v/>
      </c>
      <c r="CG870" s="76">
        <f>IF($AA870="Yes","Currently on Watchlist",IF($AA870="Previously","Previously on Watchlist","Never on Watchlist"))</f>
        <v/>
      </c>
      <c r="CH870" s="78">
        <f>IF($CG870="Currently on Watchlist",1,0)</f>
        <v/>
      </c>
      <c r="CI870" s="76">
        <f>IF($Z870="Full Defeasance","Fully Defeased",IF($Z870="Portion Of Loan Previously Defeased","Partially Defeased",IF($Z870="Defeasance Not Allowable","Not Defeased (Not Permitted)","Not Defeased")))</f>
        <v/>
      </c>
      <c r="CJ870" s="78">
        <f>IF($CI870="Fully Defeased",1,0)</f>
        <v/>
      </c>
      <c r="CK870" s="76">
        <f>IF($R870="IO","Full IO",IF(LEFT($R870&amp;"",7)="IO then","Partial IO","Amortizing"))</f>
        <v/>
      </c>
      <c r="CL870" s="78">
        <f>IF($CK870="Full IO",1,0)</f>
        <v/>
      </c>
      <c r="CM870" s="78">
        <f>IF($CK870="Partial IO",1,0)</f>
        <v/>
      </c>
      <c r="CN870" s="76">
        <f>IF(LEFT($F870&amp;"",10)="SPLIT_LOAN","Pari Passu Split","Standalone")</f>
        <v/>
      </c>
      <c r="CO870" s="78">
        <f>IF($CN870="Pari Passu Split",1,0)</f>
        <v/>
      </c>
      <c r="CP870" s="77">
        <f>IF(ISNUMBER($T870),YEAR($T870),"")</f>
        <v/>
      </c>
      <c r="CQ870" s="79">
        <f>IF(ISNUMBER($V870),$V870,IF(ISNUMBER($U870),$U870,""))</f>
        <v/>
      </c>
      <c r="CR870" s="77">
        <f>IF(ISNUMBER($CQ870),YEAR($CQ870),"")</f>
        <v/>
      </c>
      <c r="CS870" s="78">
        <f>IF(ISNUMBER($M870),MAX(0,$M870),IF(TRIM($M870&amp;"")="matured",0,""))</f>
        <v/>
      </c>
      <c r="CT870" s="78">
        <f>IF(AND(ISNUMBER($CS870),N($CS870)&lt;=mMatWindow),1,0)</f>
        <v/>
      </c>
      <c r="CU870" s="80">
        <f>IF(ISNUMBER($J870),$J870/100,"")</f>
        <v/>
      </c>
      <c r="CV870" s="81">
        <f>IF(ISNUMBER($AQ870),$AQ870,"")</f>
        <v/>
      </c>
      <c r="CW870" s="81">
        <f>IF(ISNUMBER($AR870),$AR870,"")</f>
        <v/>
      </c>
      <c r="CX870" s="82">
        <f>IF(ISNUMBER($AS870),$AS870/100,"")</f>
        <v/>
      </c>
      <c r="CY870" s="82">
        <f>IF(ISNUMBER($AT870),$AT870/100,"")</f>
        <v/>
      </c>
      <c r="CZ870" s="82">
        <f>IF(ISNUMBER($AU870),$AU870/100,"")</f>
        <v/>
      </c>
      <c r="DA870" s="82">
        <f>IF(ISNUMBER($AV870),$AV870/100,"")</f>
        <v/>
      </c>
      <c r="DB870" s="82">
        <f>IF(ISNUMBER($AW870),$AW870/100,"")</f>
        <v/>
      </c>
      <c r="DC870" s="82">
        <f>IF(ISNUMBER($AX870),$AX870/100,"")</f>
        <v/>
      </c>
      <c r="DD870" s="77">
        <f>IFERROR(VALUE(LEFT(TRIM($AO870&amp;""),4)),"")</f>
        <v/>
      </c>
      <c r="DE870" s="78">
        <f>IF(AND($BY870=1,$BX870=1,OR(fDeal="All Deals",$BU870=fDeal),OR(fEntity="All Entities",$BV870=fEntity),OR(fPType="All Property Types",$BZ870=fPType),OR(fDefeased="Include",$CJ870=0)),1,0)</f>
        <v/>
      </c>
      <c r="DF870" s="83">
        <f>$DE870*N($I870)</f>
        <v/>
      </c>
      <c r="DG870" s="78">
        <f>IF($DE870=1,IF(COUNTIFS($F$8:$F870,$F870,$DE$8:$DE870,1)=1,1,0),0)</f>
        <v/>
      </c>
      <c r="DH870" s="83">
        <f>IF($DG870=1,SUMIFS($DF$8:$DF$1600,$F$8:$F$1600,$F870),0)</f>
        <v/>
      </c>
      <c r="DI870" s="78">
        <f>IF($DG870=1,COUNTIFS($F$8:$F$1600,$F870,$DE$8:$DE$1600,1),0)</f>
        <v/>
      </c>
      <c r="DJ870" s="84">
        <f>IF($DG870=1,$DH870+(100000-ROW())/mTieBreak,0)</f>
        <v/>
      </c>
    </row>
    <row r="871">
      <c r="B871" s="68" t="n">
        <v>15</v>
      </c>
      <c r="C871" s="69" t="inlineStr">
        <is>
          <t>MSC18L1</t>
        </is>
      </c>
      <c r="D871" s="69" t="inlineStr">
        <is>
          <t>15.000</t>
        </is>
      </c>
      <c r="E871" s="69" t="inlineStr">
        <is>
          <t>Playa Largo</t>
        </is>
      </c>
      <c r="F871" s="69" t="inlineStr">
        <is>
          <t>SPLIT_LOAN_01298</t>
        </is>
      </c>
      <c r="G871" s="70" t="n">
        <v>1298</v>
      </c>
      <c r="H871" s="71" t="n">
        <v>25000000</v>
      </c>
      <c r="I871" s="71" t="n">
        <v>22551658.13</v>
      </c>
      <c r="J871" s="72" t="n">
        <v>5.144</v>
      </c>
      <c r="K871" s="69" t="inlineStr">
        <is>
          <t>Fixed rate</t>
        </is>
      </c>
      <c r="L871" s="68" t="n">
        <v>120</v>
      </c>
      <c r="M871" s="68" t="n">
        <v>21</v>
      </c>
      <c r="N871" s="68" t="n">
        <v>384</v>
      </c>
      <c r="O871" s="68" t="n">
        <v>24</v>
      </c>
      <c r="P871" s="68" t="n">
        <v>0</v>
      </c>
      <c r="Q871" s="68" t="n">
        <v>99</v>
      </c>
      <c r="R871" s="69" t="inlineStr">
        <is>
          <t>IO then Amort</t>
        </is>
      </c>
      <c r="S871" s="69" t="inlineStr">
        <is>
          <t>No</t>
        </is>
      </c>
      <c r="T871" s="73" t="n">
        <v>43252</v>
      </c>
      <c r="U871" s="73" t="n">
        <v>46910</v>
      </c>
      <c r="V871" s="73" t="n"/>
      <c r="W871" s="69" t="n"/>
      <c r="X871" s="69" t="inlineStr">
        <is>
          <t>Current</t>
        </is>
      </c>
      <c r="Y871" s="68" t="n"/>
      <c r="Z871" s="69" t="inlineStr">
        <is>
          <t>No Defeasance Occurred</t>
        </is>
      </c>
      <c r="AA871" s="69" t="inlineStr">
        <is>
          <t>Yes</t>
        </is>
      </c>
      <c r="AB871" s="69" t="inlineStr">
        <is>
          <t>Never special serv</t>
        </is>
      </c>
      <c r="AC871" s="73" t="n"/>
      <c r="AD871" s="69" t="n"/>
      <c r="AE871" s="69" t="n"/>
      <c r="AF871" s="69" t="inlineStr">
        <is>
          <t>FL</t>
        </is>
      </c>
      <c r="AG871" s="69" t="inlineStr">
        <is>
          <t>Key Largo</t>
        </is>
      </c>
      <c r="AH871" s="69" t="inlineStr">
        <is>
          <t>Key West-Key Largo, FL</t>
        </is>
      </c>
      <c r="AI871" s="69" t="inlineStr">
        <is>
          <t>South / Atlantic</t>
        </is>
      </c>
      <c r="AJ871" s="69" t="inlineStr">
        <is>
          <t>HT</t>
        </is>
      </c>
      <c r="AK871" s="69" t="inlineStr">
        <is>
          <t>Full Service</t>
        </is>
      </c>
      <c r="AL871" s="68" t="n">
        <v>1</v>
      </c>
      <c r="AM871" s="68" t="n">
        <v>178</v>
      </c>
      <c r="AN871" s="68" t="n"/>
      <c r="AO871" s="69" t="inlineStr">
        <is>
          <t>2016</t>
        </is>
      </c>
      <c r="AP871" s="70" t="n">
        <v>2016</v>
      </c>
      <c r="AQ871" s="74" t="n">
        <v>1.69</v>
      </c>
      <c r="AR871" s="74" t="n">
        <v>1.75</v>
      </c>
      <c r="AS871" s="74" t="n">
        <v>47.7</v>
      </c>
      <c r="AT871" s="74" t="n">
        <v>43.05</v>
      </c>
      <c r="AU871" s="74" t="n">
        <v>41.5</v>
      </c>
      <c r="AV871" s="74" t="n">
        <v>11.0661346</v>
      </c>
      <c r="AW871" s="74" t="n">
        <v>12.920760575</v>
      </c>
      <c r="AX871" s="75" t="n">
        <v>71</v>
      </c>
      <c r="AY871" s="71" t="n">
        <v>188600000</v>
      </c>
      <c r="AZ871" s="71" t="n">
        <v>188600000</v>
      </c>
      <c r="BA871" s="71" t="n">
        <v>9959521.140000001</v>
      </c>
      <c r="BB871" s="71" t="n">
        <v>10321572.37</v>
      </c>
      <c r="BC871" s="69" t="inlineStr">
        <is>
          <t>Refinance</t>
        </is>
      </c>
      <c r="BD871" s="69" t="inlineStr">
        <is>
          <t>N</t>
        </is>
      </c>
      <c r="BE871" s="71" t="n">
        <v>58634311.14</v>
      </c>
      <c r="BF871" s="71" t="n"/>
      <c r="BG871" s="71" t="n"/>
      <c r="BH871" s="71" t="n">
        <v>0</v>
      </c>
      <c r="BI871" s="71" t="n">
        <v>0</v>
      </c>
      <c r="BJ871" s="69" t="inlineStr">
        <is>
          <t>N</t>
        </is>
      </c>
      <c r="BK871" s="69" t="n"/>
      <c r="BL871" s="75" t="n"/>
      <c r="BM871" s="73" t="n"/>
      <c r="BN871" s="69" t="inlineStr">
        <is>
          <t>Lance T. Shaner; Lance T. Shaner, as trustee of Lance T. Shaner Revocable Trust Dated December 5, 2012; Prime Hospitality Group, LLC</t>
        </is>
      </c>
      <c r="BO871" s="69" t="inlineStr">
        <is>
          <t>Starwood</t>
        </is>
      </c>
      <c r="BP871" s="69" t="inlineStr">
        <is>
          <t>Midland Loan Services</t>
        </is>
      </c>
      <c r="BQ871" s="69" t="inlineStr">
        <is>
          <t>LNR Partners</t>
        </is>
      </c>
      <c r="BR871" s="69" t="n"/>
      <c r="BS871" s="73" t="n">
        <v>46276</v>
      </c>
      <c r="BU871" s="76">
        <f>IF($C871="","",IFERROR(INDEX(dmName,MATCH($C871,dmID,0)),"Unmapped"))</f>
        <v/>
      </c>
      <c r="BV871" s="76">
        <f>IF($C871="","",IFERROR(INDEX(dmEntity,MATCH($C871,dmID,0)),"Unmapped"))</f>
        <v/>
      </c>
      <c r="BW871" s="77">
        <f>IF($C871="","",IFERROR(INDEX(dmVintage,MATCH($C871,dmID,0)),""))</f>
        <v/>
      </c>
      <c r="BX871" s="78">
        <f>IFERROR(INDEX(dmInclude,MATCH($C871,dmID,0)),0)</f>
        <v/>
      </c>
      <c r="BY871" s="78">
        <f>IF(N($I871)&gt;0,1,0)</f>
        <v/>
      </c>
      <c r="BZ871" s="76">
        <f>IF($AJ871="","Other / Leased Fee",IFERROR(INDEX(mapPTGroup,MATCH(LEFT(TRIM($AJ871),2),mapPTCode,0)),"Other / Leased Fee"))</f>
        <v/>
      </c>
      <c r="CA871" s="76">
        <f>IF(TRIM($AF871&amp;"")="","NR",LEFT(TRIM($AF871),2))</f>
        <v/>
      </c>
      <c r="CB871" s="76">
        <f>IFERROR(LOOKUP(2,1/(LEFT(TRIM($AI871&amp;""),LEN(mapRegion))=mapRegion),mapRegion),"Not Reported")</f>
        <v/>
      </c>
      <c r="CC871" s="76">
        <f>IF($BY871=0,"",IF(TRIM($W871&amp;"")="REO","REO",IF(TRIM($W871&amp;"")="FC","Foreclosure",IF(TRIM($W871&amp;"")="90+","90+ Days Delinquent",IF(TRIM($W871&amp;"")="60","60 Days Delinquent",IF(TRIM($W871&amp;"")="30","30 Days Delinquent",IF($X871="Non-Performing Matured Balloon","Non-Performing Matured Balloon",IF(OR($X871="Late Payment But Less Than 30 Days Delinquent",LEFT($X871&amp;"",20)="Payment Not Received"),"Late / In Grace (&lt;30 Days)",IF($X871="Performing Matured Balloon","Performing Matured Balloon","Current")))))))))</f>
        <v/>
      </c>
      <c r="CD871" s="78">
        <f>IF(OR($CC871="REO",$CC871="Foreclosure",$CC871="90+ Days Delinquent",$CC871="60 Days Delinquent",$CC871="30 Days Delinquent",$CC871="Non-Performing Matured Balloon"),1,0)</f>
        <v/>
      </c>
      <c r="CE871" s="76">
        <f>IF($AB871="Currently special serv","Currently Specially Serviced",IF($AB871="Returned to master serv","Previously Specially Serviced","Never Specially Serviced"))</f>
        <v/>
      </c>
      <c r="CF871" s="78">
        <f>IF($CE871="Currently Specially Serviced",1,0)</f>
        <v/>
      </c>
      <c r="CG871" s="76">
        <f>IF($AA871="Yes","Currently on Watchlist",IF($AA871="Previously","Previously on Watchlist","Never on Watchlist"))</f>
        <v/>
      </c>
      <c r="CH871" s="78">
        <f>IF($CG871="Currently on Watchlist",1,0)</f>
        <v/>
      </c>
      <c r="CI871" s="76">
        <f>IF($Z871="Full Defeasance","Fully Defeased",IF($Z871="Portion Of Loan Previously Defeased","Partially Defeased",IF($Z871="Defeasance Not Allowable","Not Defeased (Not Permitted)","Not Defeased")))</f>
        <v/>
      </c>
      <c r="CJ871" s="78">
        <f>IF($CI871="Fully Defeased",1,0)</f>
        <v/>
      </c>
      <c r="CK871" s="76">
        <f>IF($R871="IO","Full IO",IF(LEFT($R871&amp;"",7)="IO then","Partial IO","Amortizing"))</f>
        <v/>
      </c>
      <c r="CL871" s="78">
        <f>IF($CK871="Full IO",1,0)</f>
        <v/>
      </c>
      <c r="CM871" s="78">
        <f>IF($CK871="Partial IO",1,0)</f>
        <v/>
      </c>
      <c r="CN871" s="76">
        <f>IF(LEFT($F871&amp;"",10)="SPLIT_LOAN","Pari Passu Split","Standalone")</f>
        <v/>
      </c>
      <c r="CO871" s="78">
        <f>IF($CN871="Pari Passu Split",1,0)</f>
        <v/>
      </c>
      <c r="CP871" s="77">
        <f>IF(ISNUMBER($T871),YEAR($T871),"")</f>
        <v/>
      </c>
      <c r="CQ871" s="79">
        <f>IF(ISNUMBER($V871),$V871,IF(ISNUMBER($U871),$U871,""))</f>
        <v/>
      </c>
      <c r="CR871" s="77">
        <f>IF(ISNUMBER($CQ871),YEAR($CQ871),"")</f>
        <v/>
      </c>
      <c r="CS871" s="78">
        <f>IF(ISNUMBER($M871),MAX(0,$M871),IF(TRIM($M871&amp;"")="matured",0,""))</f>
        <v/>
      </c>
      <c r="CT871" s="78">
        <f>IF(AND(ISNUMBER($CS871),N($CS871)&lt;=mMatWindow),1,0)</f>
        <v/>
      </c>
      <c r="CU871" s="80">
        <f>IF(ISNUMBER($J871),$J871/100,"")</f>
        <v/>
      </c>
      <c r="CV871" s="81">
        <f>IF(ISNUMBER($AQ871),$AQ871,"")</f>
        <v/>
      </c>
      <c r="CW871" s="81">
        <f>IF(ISNUMBER($AR871),$AR871,"")</f>
        <v/>
      </c>
      <c r="CX871" s="82">
        <f>IF(ISNUMBER($AS871),$AS871/100,"")</f>
        <v/>
      </c>
      <c r="CY871" s="82">
        <f>IF(ISNUMBER($AT871),$AT871/100,"")</f>
        <v/>
      </c>
      <c r="CZ871" s="82">
        <f>IF(ISNUMBER($AU871),$AU871/100,"")</f>
        <v/>
      </c>
      <c r="DA871" s="82">
        <f>IF(ISNUMBER($AV871),$AV871/100,"")</f>
        <v/>
      </c>
      <c r="DB871" s="82">
        <f>IF(ISNUMBER($AW871),$AW871/100,"")</f>
        <v/>
      </c>
      <c r="DC871" s="82">
        <f>IF(ISNUMBER($AX871),$AX871/100,"")</f>
        <v/>
      </c>
      <c r="DD871" s="77">
        <f>IFERROR(VALUE(LEFT(TRIM($AO871&amp;""),4)),"")</f>
        <v/>
      </c>
      <c r="DE871" s="78">
        <f>IF(AND($BY871=1,$BX871=1,OR(fDeal="All Deals",$BU871=fDeal),OR(fEntity="All Entities",$BV871=fEntity),OR(fPType="All Property Types",$BZ871=fPType),OR(fDefeased="Include",$CJ871=0)),1,0)</f>
        <v/>
      </c>
      <c r="DF871" s="83">
        <f>$DE871*N($I871)</f>
        <v/>
      </c>
      <c r="DG871" s="78">
        <f>IF($DE871=1,IF(COUNTIFS($F$8:$F871,$F871,$DE$8:$DE871,1)=1,1,0),0)</f>
        <v/>
      </c>
      <c r="DH871" s="83">
        <f>IF($DG871=1,SUMIFS($DF$8:$DF$1600,$F$8:$F$1600,$F871),0)</f>
        <v/>
      </c>
      <c r="DI871" s="78">
        <f>IF($DG871=1,COUNTIFS($F$8:$F$1600,$F871,$DE$8:$DE$1600,1),0)</f>
        <v/>
      </c>
      <c r="DJ871" s="84">
        <f>IF($DG871=1,$DH871+(100000-ROW())/mTieBreak,0)</f>
        <v/>
      </c>
    </row>
    <row r="872">
      <c r="B872" s="68" t="n">
        <v>16</v>
      </c>
      <c r="C872" s="69" t="inlineStr">
        <is>
          <t>MSC18L1</t>
        </is>
      </c>
      <c r="D872" s="69" t="inlineStr">
        <is>
          <t>16.000</t>
        </is>
      </c>
      <c r="E872" s="69" t="inlineStr">
        <is>
          <t>Shelbourne Global Portfolio I</t>
        </is>
      </c>
      <c r="F872" s="69" t="inlineStr">
        <is>
          <t>SPLIT_LOAN_01361</t>
        </is>
      </c>
      <c r="G872" s="70" t="n">
        <v>1361</v>
      </c>
      <c r="H872" s="71" t="n">
        <v>25000000</v>
      </c>
      <c r="I872" s="71" t="n">
        <v>0</v>
      </c>
      <c r="J872" s="72" t="n">
        <v>5.853</v>
      </c>
      <c r="K872" s="69" t="inlineStr">
        <is>
          <t>Fixed rate</t>
        </is>
      </c>
      <c r="L872" s="68" t="n">
        <v>120</v>
      </c>
      <c r="M872" s="68" t="n"/>
      <c r="N872" s="68" t="n">
        <v>120</v>
      </c>
      <c r="O872" s="68" t="n">
        <v>120</v>
      </c>
      <c r="P872" s="68" t="n"/>
      <c r="Q872" s="68" t="n"/>
      <c r="R872" s="69" t="inlineStr">
        <is>
          <t>IO</t>
        </is>
      </c>
      <c r="S872" s="69" t="inlineStr">
        <is>
          <t>Yes</t>
        </is>
      </c>
      <c r="T872" s="73" t="n">
        <v>43374</v>
      </c>
      <c r="U872" s="73" t="n">
        <v>47032</v>
      </c>
      <c r="V872" s="73" t="n"/>
      <c r="W872" s="69" t="n"/>
      <c r="X872" s="69" t="inlineStr">
        <is>
          <t>Current</t>
        </is>
      </c>
      <c r="Y872" s="68" t="n"/>
      <c r="Z872" s="69" t="inlineStr">
        <is>
          <t>No Defeasance Occurred</t>
        </is>
      </c>
      <c r="AA872" s="69" t="n"/>
      <c r="AB872" s="69" t="inlineStr">
        <is>
          <t>Currently special serv</t>
        </is>
      </c>
      <c r="AC872" s="73" t="n">
        <v>44896</v>
      </c>
      <c r="AD872" s="69" t="inlineStr">
        <is>
          <t>Other</t>
        </is>
      </c>
      <c r="AE872" s="69" t="inlineStr">
        <is>
          <t>DPO</t>
        </is>
      </c>
      <c r="AF872" s="69" t="inlineStr">
        <is>
          <t>NJ</t>
        </is>
      </c>
      <c r="AG872" s="69" t="n"/>
      <c r="AH872" s="69" t="inlineStr">
        <is>
          <t>New York-Newark-Jersey City, NY-NJ</t>
        </is>
      </c>
      <c r="AI872" s="69" t="inlineStr">
        <is>
          <t>Northeast / Mid-Atlantic</t>
        </is>
      </c>
      <c r="AJ872" s="69" t="inlineStr">
        <is>
          <t>OF-68.817204308% IN-31.182795692%</t>
        </is>
      </c>
      <c r="AK872" s="69" t="n"/>
      <c r="AL872" s="68" t="n">
        <v>7</v>
      </c>
      <c r="AM872" s="68" t="n"/>
      <c r="AN872" s="68" t="n">
        <v>640983</v>
      </c>
      <c r="AO872" s="69" t="n"/>
      <c r="AP872" s="70" t="n">
        <v>2012</v>
      </c>
      <c r="AQ872" s="74" t="n">
        <v>1.45</v>
      </c>
      <c r="AR872" s="74" t="n">
        <v>1.61</v>
      </c>
      <c r="AS872" s="74" t="n">
        <v>65.09999999999999</v>
      </c>
      <c r="AT872" s="74" t="n"/>
      <c r="AU872" s="74" t="n">
        <v>65.09999999999999</v>
      </c>
      <c r="AV872" s="74" t="n">
        <v>8.584808032</v>
      </c>
      <c r="AW872" s="74" t="n"/>
      <c r="AX872" s="75" t="n">
        <v>94.58</v>
      </c>
      <c r="AY872" s="71" t="n">
        <v>142750000</v>
      </c>
      <c r="AZ872" s="71" t="n">
        <v>166800000</v>
      </c>
      <c r="BA872" s="71" t="n">
        <v>7983871.47</v>
      </c>
      <c r="BB872" s="71" t="n">
        <v>8892186.609999999</v>
      </c>
      <c r="BC872" s="69" t="inlineStr">
        <is>
          <t>Refinance</t>
        </is>
      </c>
      <c r="BD872" s="69" t="inlineStr">
        <is>
          <t>N</t>
        </is>
      </c>
      <c r="BE872" s="71" t="n">
        <v>0</v>
      </c>
      <c r="BF872" s="71" t="n"/>
      <c r="BG872" s="71" t="n"/>
      <c r="BH872" s="71" t="n">
        <v>0</v>
      </c>
      <c r="BI872" s="71" t="n">
        <v>0</v>
      </c>
      <c r="BJ872" s="69" t="inlineStr">
        <is>
          <t>N</t>
        </is>
      </c>
      <c r="BK872" s="69" t="inlineStr">
        <is>
          <t>Lummus Technology Inc.</t>
        </is>
      </c>
      <c r="BL872" s="75" t="n">
        <v>13.06</v>
      </c>
      <c r="BM872" s="73" t="n">
        <v>49095</v>
      </c>
      <c r="BN872" s="69" t="inlineStr">
        <is>
          <t>Barry Friedman; Benjamin Schlossberg</t>
        </is>
      </c>
      <c r="BO872" s="69" t="inlineStr">
        <is>
          <t>Cantor Commercial Real Estate Lending</t>
        </is>
      </c>
      <c r="BP872" s="69" t="inlineStr">
        <is>
          <t>Midland Loan Services</t>
        </is>
      </c>
      <c r="BQ872" s="69" t="inlineStr">
        <is>
          <t>Midland Loan Services</t>
        </is>
      </c>
      <c r="BR872" s="69" t="inlineStr">
        <is>
          <t>Payoff Prior To Maturity</t>
        </is>
      </c>
      <c r="BS872" s="73" t="n">
        <v>46064</v>
      </c>
      <c r="BU872" s="76">
        <f>IF($C872="","",IFERROR(INDEX(dmName,MATCH($C872,dmID,0)),"Unmapped"))</f>
        <v/>
      </c>
      <c r="BV872" s="76">
        <f>IF($C872="","",IFERROR(INDEX(dmEntity,MATCH($C872,dmID,0)),"Unmapped"))</f>
        <v/>
      </c>
      <c r="BW872" s="77">
        <f>IF($C872="","",IFERROR(INDEX(dmVintage,MATCH($C872,dmID,0)),""))</f>
        <v/>
      </c>
      <c r="BX872" s="78">
        <f>IFERROR(INDEX(dmInclude,MATCH($C872,dmID,0)),0)</f>
        <v/>
      </c>
      <c r="BY872" s="78">
        <f>IF(N($I872)&gt;0,1,0)</f>
        <v/>
      </c>
      <c r="BZ872" s="76">
        <f>IF($AJ872="","Other / Leased Fee",IFERROR(INDEX(mapPTGroup,MATCH(LEFT(TRIM($AJ872),2),mapPTCode,0)),"Other / Leased Fee"))</f>
        <v/>
      </c>
      <c r="CA872" s="76">
        <f>IF(TRIM($AF872&amp;"")="","NR",LEFT(TRIM($AF872),2))</f>
        <v/>
      </c>
      <c r="CB872" s="76">
        <f>IFERROR(LOOKUP(2,1/(LEFT(TRIM($AI872&amp;""),LEN(mapRegion))=mapRegion),mapRegion),"Not Reported")</f>
        <v/>
      </c>
      <c r="CC872" s="76">
        <f>IF($BY872=0,"",IF(TRIM($W872&amp;"")="REO","REO",IF(TRIM($W872&amp;"")="FC","Foreclosure",IF(TRIM($W872&amp;"")="90+","90+ Days Delinquent",IF(TRIM($W872&amp;"")="60","60 Days Delinquent",IF(TRIM($W872&amp;"")="30","30 Days Delinquent",IF($X872="Non-Performing Matured Balloon","Non-Performing Matured Balloon",IF(OR($X872="Late Payment But Less Than 30 Days Delinquent",LEFT($X872&amp;"",20)="Payment Not Received"),"Late / In Grace (&lt;30 Days)",IF($X872="Performing Matured Balloon","Performing Matured Balloon","Current")))))))))</f>
        <v/>
      </c>
      <c r="CD872" s="78">
        <f>IF(OR($CC872="REO",$CC872="Foreclosure",$CC872="90+ Days Delinquent",$CC872="60 Days Delinquent",$CC872="30 Days Delinquent",$CC872="Non-Performing Matured Balloon"),1,0)</f>
        <v/>
      </c>
      <c r="CE872" s="76">
        <f>IF($AB872="Currently special serv","Currently Specially Serviced",IF($AB872="Returned to master serv","Previously Specially Serviced","Never Specially Serviced"))</f>
        <v/>
      </c>
      <c r="CF872" s="78">
        <f>IF($CE872="Currently Specially Serviced",1,0)</f>
        <v/>
      </c>
      <c r="CG872" s="76">
        <f>IF($AA872="Yes","Currently on Watchlist",IF($AA872="Previously","Previously on Watchlist","Never on Watchlist"))</f>
        <v/>
      </c>
      <c r="CH872" s="78">
        <f>IF($CG872="Currently on Watchlist",1,0)</f>
        <v/>
      </c>
      <c r="CI872" s="76">
        <f>IF($Z872="Full Defeasance","Fully Defeased",IF($Z872="Portion Of Loan Previously Defeased","Partially Defeased",IF($Z872="Defeasance Not Allowable","Not Defeased (Not Permitted)","Not Defeased")))</f>
        <v/>
      </c>
      <c r="CJ872" s="78">
        <f>IF($CI872="Fully Defeased",1,0)</f>
        <v/>
      </c>
      <c r="CK872" s="76">
        <f>IF($R872="IO","Full IO",IF(LEFT($R872&amp;"",7)="IO then","Partial IO","Amortizing"))</f>
        <v/>
      </c>
      <c r="CL872" s="78">
        <f>IF($CK872="Full IO",1,0)</f>
        <v/>
      </c>
      <c r="CM872" s="78">
        <f>IF($CK872="Partial IO",1,0)</f>
        <v/>
      </c>
      <c r="CN872" s="76">
        <f>IF(LEFT($F872&amp;"",10)="SPLIT_LOAN","Pari Passu Split","Standalone")</f>
        <v/>
      </c>
      <c r="CO872" s="78">
        <f>IF($CN872="Pari Passu Split",1,0)</f>
        <v/>
      </c>
      <c r="CP872" s="77">
        <f>IF(ISNUMBER($T872),YEAR($T872),"")</f>
        <v/>
      </c>
      <c r="CQ872" s="79">
        <f>IF(ISNUMBER($V872),$V872,IF(ISNUMBER($U872),$U872,""))</f>
        <v/>
      </c>
      <c r="CR872" s="77">
        <f>IF(ISNUMBER($CQ872),YEAR($CQ872),"")</f>
        <v/>
      </c>
      <c r="CS872" s="78">
        <f>IF(ISNUMBER($M872),MAX(0,$M872),IF(TRIM($M872&amp;"")="matured",0,""))</f>
        <v/>
      </c>
      <c r="CT872" s="78">
        <f>IF(AND(ISNUMBER($CS872),N($CS872)&lt;=mMatWindow),1,0)</f>
        <v/>
      </c>
      <c r="CU872" s="80">
        <f>IF(ISNUMBER($J872),$J872/100,"")</f>
        <v/>
      </c>
      <c r="CV872" s="81">
        <f>IF(ISNUMBER($AQ872),$AQ872,"")</f>
        <v/>
      </c>
      <c r="CW872" s="81">
        <f>IF(ISNUMBER($AR872),$AR872,"")</f>
        <v/>
      </c>
      <c r="CX872" s="82">
        <f>IF(ISNUMBER($AS872),$AS872/100,"")</f>
        <v/>
      </c>
      <c r="CY872" s="82">
        <f>IF(ISNUMBER($AT872),$AT872/100,"")</f>
        <v/>
      </c>
      <c r="CZ872" s="82">
        <f>IF(ISNUMBER($AU872),$AU872/100,"")</f>
        <v/>
      </c>
      <c r="DA872" s="82">
        <f>IF(ISNUMBER($AV872),$AV872/100,"")</f>
        <v/>
      </c>
      <c r="DB872" s="82">
        <f>IF(ISNUMBER($AW872),$AW872/100,"")</f>
        <v/>
      </c>
      <c r="DC872" s="82">
        <f>IF(ISNUMBER($AX872),$AX872/100,"")</f>
        <v/>
      </c>
      <c r="DD872" s="77">
        <f>IFERROR(VALUE(LEFT(TRIM($AO872&amp;""),4)),"")</f>
        <v/>
      </c>
      <c r="DE872" s="78">
        <f>IF(AND($BY872=1,$BX872=1,OR(fDeal="All Deals",$BU872=fDeal),OR(fEntity="All Entities",$BV872=fEntity),OR(fPType="All Property Types",$BZ872=fPType),OR(fDefeased="Include",$CJ872=0)),1,0)</f>
        <v/>
      </c>
      <c r="DF872" s="83">
        <f>$DE872*N($I872)</f>
        <v/>
      </c>
      <c r="DG872" s="78">
        <f>IF($DE872=1,IF(COUNTIFS($F$8:$F872,$F872,$DE$8:$DE872,1)=1,1,0),0)</f>
        <v/>
      </c>
      <c r="DH872" s="83">
        <f>IF($DG872=1,SUMIFS($DF$8:$DF$1600,$F$8:$F$1600,$F872),0)</f>
        <v/>
      </c>
      <c r="DI872" s="78">
        <f>IF($DG872=1,COUNTIFS($F$8:$F$1600,$F872,$DE$8:$DE$1600,1),0)</f>
        <v/>
      </c>
      <c r="DJ872" s="84">
        <f>IF($DG872=1,$DH872+(100000-ROW())/mTieBreak,0)</f>
        <v/>
      </c>
    </row>
    <row r="873">
      <c r="B873" s="68" t="n">
        <v>17</v>
      </c>
      <c r="C873" s="69" t="inlineStr">
        <is>
          <t>MSC18L1</t>
        </is>
      </c>
      <c r="D873" s="69" t="inlineStr">
        <is>
          <t>17.000</t>
        </is>
      </c>
      <c r="E873" s="69" t="inlineStr">
        <is>
          <t>KVC Retail Portfolio</t>
        </is>
      </c>
      <c r="F873" s="69" t="inlineStr">
        <is>
          <t>LNMSC18L1-17.000</t>
        </is>
      </c>
      <c r="G873" s="70" t="n"/>
      <c r="H873" s="71" t="n">
        <v>22530000</v>
      </c>
      <c r="I873" s="71" t="n">
        <v>22530000</v>
      </c>
      <c r="J873" s="72" t="n">
        <v>4.9</v>
      </c>
      <c r="K873" s="69" t="inlineStr">
        <is>
          <t>Fixed rate</t>
        </is>
      </c>
      <c r="L873" s="68" t="n">
        <v>120</v>
      </c>
      <c r="M873" s="68" t="n">
        <v>25</v>
      </c>
      <c r="N873" s="68" t="n">
        <v>120</v>
      </c>
      <c r="O873" s="68" t="n">
        <v>120</v>
      </c>
      <c r="P873" s="68" t="n">
        <v>25</v>
      </c>
      <c r="Q873" s="68" t="n">
        <v>95</v>
      </c>
      <c r="R873" s="69" t="inlineStr">
        <is>
          <t>IO</t>
        </is>
      </c>
      <c r="S873" s="69" t="inlineStr">
        <is>
          <t>Yes</t>
        </is>
      </c>
      <c r="T873" s="73" t="n">
        <v>43374</v>
      </c>
      <c r="U873" s="73" t="n">
        <v>47027</v>
      </c>
      <c r="V873" s="73" t="n"/>
      <c r="W873" s="69" t="n"/>
      <c r="X873" s="69" t="inlineStr">
        <is>
          <t>Current</t>
        </is>
      </c>
      <c r="Y873" s="68" t="n"/>
      <c r="Z873" s="69" t="inlineStr">
        <is>
          <t>Defeasance Not Allowable</t>
        </is>
      </c>
      <c r="AA873" s="69" t="inlineStr">
        <is>
          <t>Yes</t>
        </is>
      </c>
      <c r="AB873" s="69" t="inlineStr">
        <is>
          <t>Never special serv</t>
        </is>
      </c>
      <c r="AC873" s="73" t="n"/>
      <c r="AD873" s="69" t="n"/>
      <c r="AE873" s="69" t="n"/>
      <c r="AF873" s="69" t="inlineStr">
        <is>
          <t>AZ</t>
        </is>
      </c>
      <c r="AG873" s="69" t="n"/>
      <c r="AH873" s="69" t="inlineStr">
        <is>
          <t>Phoenix-Mesa-Chandler, AZ</t>
        </is>
      </c>
      <c r="AI873" s="69" t="inlineStr">
        <is>
          <t>West / Mountain</t>
        </is>
      </c>
      <c r="AJ873" s="69" t="inlineStr">
        <is>
          <t>RT</t>
        </is>
      </c>
      <c r="AK873" s="69" t="inlineStr">
        <is>
          <t>Shadow Anchored</t>
        </is>
      </c>
      <c r="AL873" s="68" t="n">
        <v>5</v>
      </c>
      <c r="AM873" s="68" t="n"/>
      <c r="AN873" s="68" t="n">
        <v>121811</v>
      </c>
      <c r="AO873" s="69" t="n"/>
      <c r="AP873" s="70" t="n">
        <v>2008</v>
      </c>
      <c r="AQ873" s="74" t="n">
        <v>1.96</v>
      </c>
      <c r="AR873" s="74" t="n">
        <v>2.67</v>
      </c>
      <c r="AS873" s="74" t="n">
        <v>60</v>
      </c>
      <c r="AT873" s="74" t="n">
        <v>60</v>
      </c>
      <c r="AU873" s="74" t="n">
        <v>60</v>
      </c>
      <c r="AV873" s="74" t="n">
        <v>9.747273857</v>
      </c>
      <c r="AW873" s="74" t="n">
        <v>12.90572348</v>
      </c>
      <c r="AX873" s="75" t="n">
        <v>90.09</v>
      </c>
      <c r="AY873" s="71" t="n">
        <v>37550000</v>
      </c>
      <c r="AZ873" s="71" t="n">
        <v>37550000</v>
      </c>
      <c r="BA873" s="71" t="n">
        <v>2196060.8</v>
      </c>
      <c r="BB873" s="71" t="n">
        <v>2989005.48</v>
      </c>
      <c r="BC873" s="69" t="inlineStr">
        <is>
          <t>Refinance</t>
        </is>
      </c>
      <c r="BD873" s="69" t="inlineStr">
        <is>
          <t>N</t>
        </is>
      </c>
      <c r="BE873" s="71" t="n"/>
      <c r="BF873" s="71" t="n"/>
      <c r="BG873" s="71" t="n"/>
      <c r="BH873" s="71" t="n">
        <v>0</v>
      </c>
      <c r="BI873" s="71" t="n">
        <v>0</v>
      </c>
      <c r="BJ873" s="69" t="inlineStr">
        <is>
          <t>N</t>
        </is>
      </c>
      <c r="BK873" s="69" t="inlineStr">
        <is>
          <t>Peter Piper Pizza</t>
        </is>
      </c>
      <c r="BL873" s="75" t="n">
        <v>9.050000000000001</v>
      </c>
      <c r="BM873" s="73" t="n">
        <v>47848</v>
      </c>
      <c r="BN873" s="69" t="inlineStr">
        <is>
          <t>Joseph Cattaneo</t>
        </is>
      </c>
      <c r="BO873" s="69" t="inlineStr">
        <is>
          <t>Morgan Stanley</t>
        </is>
      </c>
      <c r="BP873" s="69" t="inlineStr">
        <is>
          <t>Midland Loan Services</t>
        </is>
      </c>
      <c r="BQ873" s="69" t="inlineStr">
        <is>
          <t>K-Star Asset Management LLC</t>
        </is>
      </c>
      <c r="BR873" s="69" t="n"/>
      <c r="BS873" s="73" t="n">
        <v>46276</v>
      </c>
      <c r="BU873" s="76">
        <f>IF($C873="","",IFERROR(INDEX(dmName,MATCH($C873,dmID,0)),"Unmapped"))</f>
        <v/>
      </c>
      <c r="BV873" s="76">
        <f>IF($C873="","",IFERROR(INDEX(dmEntity,MATCH($C873,dmID,0)),"Unmapped"))</f>
        <v/>
      </c>
      <c r="BW873" s="77">
        <f>IF($C873="","",IFERROR(INDEX(dmVintage,MATCH($C873,dmID,0)),""))</f>
        <v/>
      </c>
      <c r="BX873" s="78">
        <f>IFERROR(INDEX(dmInclude,MATCH($C873,dmID,0)),0)</f>
        <v/>
      </c>
      <c r="BY873" s="78">
        <f>IF(N($I873)&gt;0,1,0)</f>
        <v/>
      </c>
      <c r="BZ873" s="76">
        <f>IF($AJ873="","Other / Leased Fee",IFERROR(INDEX(mapPTGroup,MATCH(LEFT(TRIM($AJ873),2),mapPTCode,0)),"Other / Leased Fee"))</f>
        <v/>
      </c>
      <c r="CA873" s="76">
        <f>IF(TRIM($AF873&amp;"")="","NR",LEFT(TRIM($AF873),2))</f>
        <v/>
      </c>
      <c r="CB873" s="76">
        <f>IFERROR(LOOKUP(2,1/(LEFT(TRIM($AI873&amp;""),LEN(mapRegion))=mapRegion),mapRegion),"Not Reported")</f>
        <v/>
      </c>
      <c r="CC873" s="76">
        <f>IF($BY873=0,"",IF(TRIM($W873&amp;"")="REO","REO",IF(TRIM($W873&amp;"")="FC","Foreclosure",IF(TRIM($W873&amp;"")="90+","90+ Days Delinquent",IF(TRIM($W873&amp;"")="60","60 Days Delinquent",IF(TRIM($W873&amp;"")="30","30 Days Delinquent",IF($X873="Non-Performing Matured Balloon","Non-Performing Matured Balloon",IF(OR($X873="Late Payment But Less Than 30 Days Delinquent",LEFT($X873&amp;"",20)="Payment Not Received"),"Late / In Grace (&lt;30 Days)",IF($X873="Performing Matured Balloon","Performing Matured Balloon","Current")))))))))</f>
        <v/>
      </c>
      <c r="CD873" s="78">
        <f>IF(OR($CC873="REO",$CC873="Foreclosure",$CC873="90+ Days Delinquent",$CC873="60 Days Delinquent",$CC873="30 Days Delinquent",$CC873="Non-Performing Matured Balloon"),1,0)</f>
        <v/>
      </c>
      <c r="CE873" s="76">
        <f>IF($AB873="Currently special serv","Currently Specially Serviced",IF($AB873="Returned to master serv","Previously Specially Serviced","Never Specially Serviced"))</f>
        <v/>
      </c>
      <c r="CF873" s="78">
        <f>IF($CE873="Currently Specially Serviced",1,0)</f>
        <v/>
      </c>
      <c r="CG873" s="76">
        <f>IF($AA873="Yes","Currently on Watchlist",IF($AA873="Previously","Previously on Watchlist","Never on Watchlist"))</f>
        <v/>
      </c>
      <c r="CH873" s="78">
        <f>IF($CG873="Currently on Watchlist",1,0)</f>
        <v/>
      </c>
      <c r="CI873" s="76">
        <f>IF($Z873="Full Defeasance","Fully Defeased",IF($Z873="Portion Of Loan Previously Defeased","Partially Defeased",IF($Z873="Defeasance Not Allowable","Not Defeased (Not Permitted)","Not Defeased")))</f>
        <v/>
      </c>
      <c r="CJ873" s="78">
        <f>IF($CI873="Fully Defeased",1,0)</f>
        <v/>
      </c>
      <c r="CK873" s="76">
        <f>IF($R873="IO","Full IO",IF(LEFT($R873&amp;"",7)="IO then","Partial IO","Amortizing"))</f>
        <v/>
      </c>
      <c r="CL873" s="78">
        <f>IF($CK873="Full IO",1,0)</f>
        <v/>
      </c>
      <c r="CM873" s="78">
        <f>IF($CK873="Partial IO",1,0)</f>
        <v/>
      </c>
      <c r="CN873" s="76">
        <f>IF(LEFT($F873&amp;"",10)="SPLIT_LOAN","Pari Passu Split","Standalone")</f>
        <v/>
      </c>
      <c r="CO873" s="78">
        <f>IF($CN873="Pari Passu Split",1,0)</f>
        <v/>
      </c>
      <c r="CP873" s="77">
        <f>IF(ISNUMBER($T873),YEAR($T873),"")</f>
        <v/>
      </c>
      <c r="CQ873" s="79">
        <f>IF(ISNUMBER($V873),$V873,IF(ISNUMBER($U873),$U873,""))</f>
        <v/>
      </c>
      <c r="CR873" s="77">
        <f>IF(ISNUMBER($CQ873),YEAR($CQ873),"")</f>
        <v/>
      </c>
      <c r="CS873" s="78">
        <f>IF(ISNUMBER($M873),MAX(0,$M873),IF(TRIM($M873&amp;"")="matured",0,""))</f>
        <v/>
      </c>
      <c r="CT873" s="78">
        <f>IF(AND(ISNUMBER($CS873),N($CS873)&lt;=mMatWindow),1,0)</f>
        <v/>
      </c>
      <c r="CU873" s="80">
        <f>IF(ISNUMBER($J873),$J873/100,"")</f>
        <v/>
      </c>
      <c r="CV873" s="81">
        <f>IF(ISNUMBER($AQ873),$AQ873,"")</f>
        <v/>
      </c>
      <c r="CW873" s="81">
        <f>IF(ISNUMBER($AR873),$AR873,"")</f>
        <v/>
      </c>
      <c r="CX873" s="82">
        <f>IF(ISNUMBER($AS873),$AS873/100,"")</f>
        <v/>
      </c>
      <c r="CY873" s="82">
        <f>IF(ISNUMBER($AT873),$AT873/100,"")</f>
        <v/>
      </c>
      <c r="CZ873" s="82">
        <f>IF(ISNUMBER($AU873),$AU873/100,"")</f>
        <v/>
      </c>
      <c r="DA873" s="82">
        <f>IF(ISNUMBER($AV873),$AV873/100,"")</f>
        <v/>
      </c>
      <c r="DB873" s="82">
        <f>IF(ISNUMBER($AW873),$AW873/100,"")</f>
        <v/>
      </c>
      <c r="DC873" s="82">
        <f>IF(ISNUMBER($AX873),$AX873/100,"")</f>
        <v/>
      </c>
      <c r="DD873" s="77">
        <f>IFERROR(VALUE(LEFT(TRIM($AO873&amp;""),4)),"")</f>
        <v/>
      </c>
      <c r="DE873" s="78">
        <f>IF(AND($BY873=1,$BX873=1,OR(fDeal="All Deals",$BU873=fDeal),OR(fEntity="All Entities",$BV873=fEntity),OR(fPType="All Property Types",$BZ873=fPType),OR(fDefeased="Include",$CJ873=0)),1,0)</f>
        <v/>
      </c>
      <c r="DF873" s="83">
        <f>$DE873*N($I873)</f>
        <v/>
      </c>
      <c r="DG873" s="78">
        <f>IF($DE873=1,IF(COUNTIFS($F$8:$F873,$F873,$DE$8:$DE873,1)=1,1,0),0)</f>
        <v/>
      </c>
      <c r="DH873" s="83">
        <f>IF($DG873=1,SUMIFS($DF$8:$DF$1600,$F$8:$F$1600,$F873),0)</f>
        <v/>
      </c>
      <c r="DI873" s="78">
        <f>IF($DG873=1,COUNTIFS($F$8:$F$1600,$F873,$DE$8:$DE$1600,1),0)</f>
        <v/>
      </c>
      <c r="DJ873" s="84">
        <f>IF($DG873=1,$DH873+(100000-ROW())/mTieBreak,0)</f>
        <v/>
      </c>
    </row>
    <row r="874">
      <c r="B874" s="68" t="n">
        <v>18</v>
      </c>
      <c r="C874" s="69" t="inlineStr">
        <is>
          <t>MSC18L1</t>
        </is>
      </c>
      <c r="D874" s="69" t="inlineStr">
        <is>
          <t>18.000</t>
        </is>
      </c>
      <c r="E874" s="69" t="inlineStr">
        <is>
          <t>Highland Multifamily Portfolio</t>
        </is>
      </c>
      <c r="F874" s="69" t="inlineStr">
        <is>
          <t>LNMSC18L1-18.000</t>
        </is>
      </c>
      <c r="G874" s="70" t="n"/>
      <c r="H874" s="71" t="n">
        <v>20650000</v>
      </c>
      <c r="I874" s="71" t="n">
        <v>20650000</v>
      </c>
      <c r="J874" s="72" t="n">
        <v>5.21</v>
      </c>
      <c r="K874" s="69" t="inlineStr">
        <is>
          <t>Fixed rate</t>
        </is>
      </c>
      <c r="L874" s="68" t="n">
        <v>120</v>
      </c>
      <c r="M874" s="68" t="n">
        <v>24</v>
      </c>
      <c r="N874" s="68" t="n">
        <v>120</v>
      </c>
      <c r="O874" s="68" t="n">
        <v>120</v>
      </c>
      <c r="P874" s="68" t="n">
        <v>24</v>
      </c>
      <c r="Q874" s="68" t="n">
        <v>96</v>
      </c>
      <c r="R874" s="69" t="inlineStr">
        <is>
          <t>IO</t>
        </is>
      </c>
      <c r="S874" s="69" t="inlineStr">
        <is>
          <t>Yes</t>
        </is>
      </c>
      <c r="T874" s="73" t="n">
        <v>43344</v>
      </c>
      <c r="U874" s="73" t="n">
        <v>47002</v>
      </c>
      <c r="V874" s="73" t="n"/>
      <c r="W874" s="69" t="inlineStr">
        <is>
          <t>90+</t>
        </is>
      </c>
      <c r="X874" s="69" t="inlineStr">
        <is>
          <t>121+ Days Delinquent</t>
        </is>
      </c>
      <c r="Y874" s="68" t="n">
        <v>12</v>
      </c>
      <c r="Z874" s="69" t="inlineStr">
        <is>
          <t>No Defeasance Occurred</t>
        </is>
      </c>
      <c r="AA874" s="69" t="inlineStr">
        <is>
          <t>Previously</t>
        </is>
      </c>
      <c r="AB874" s="69" t="inlineStr">
        <is>
          <t>Currently special serv</t>
        </is>
      </c>
      <c r="AC874" s="73" t="n">
        <v>45965</v>
      </c>
      <c r="AD874" s="69" t="inlineStr">
        <is>
          <t>Imminent Monetary Default (excluding Balloon/Maturity Default &amp; Single Tenant Bankruptcy/Vacate)</t>
        </is>
      </c>
      <c r="AE874" s="69" t="inlineStr">
        <is>
          <t>Foreclosure</t>
        </is>
      </c>
      <c r="AF874" s="69" t="inlineStr">
        <is>
          <t>TN</t>
        </is>
      </c>
      <c r="AG874" s="69" t="n"/>
      <c r="AH874" s="69" t="inlineStr">
        <is>
          <t>Memphis, TN-MS-AR</t>
        </is>
      </c>
      <c r="AI874" s="69" t="inlineStr">
        <is>
          <t>South / Central East</t>
        </is>
      </c>
      <c r="AJ874" s="69" t="inlineStr">
        <is>
          <t>MF</t>
        </is>
      </c>
      <c r="AK874" s="69" t="inlineStr">
        <is>
          <t>Garden</t>
        </is>
      </c>
      <c r="AL874" s="68" t="n">
        <v>2</v>
      </c>
      <c r="AM874" s="68" t="n">
        <v>560</v>
      </c>
      <c r="AN874" s="68" t="n"/>
      <c r="AO874" s="69" t="n"/>
      <c r="AP874" s="70" t="n">
        <v>2016</v>
      </c>
      <c r="AQ874" s="74" t="n">
        <v>1.69</v>
      </c>
      <c r="AR874" s="74" t="n">
        <v>-0.03</v>
      </c>
      <c r="AS874" s="74" t="n">
        <v>61.8</v>
      </c>
      <c r="AT874" s="74" t="n">
        <v>52.68</v>
      </c>
      <c r="AU874" s="74" t="n">
        <v>61.8</v>
      </c>
      <c r="AV874" s="74" t="n">
        <v>8.950394867</v>
      </c>
      <c r="AW874" s="74" t="n">
        <v>-0.07960004800000001</v>
      </c>
      <c r="AX874" s="75" t="n">
        <v>70</v>
      </c>
      <c r="AY874" s="71" t="n">
        <v>33400000</v>
      </c>
      <c r="AZ874" s="71" t="n">
        <v>39200000</v>
      </c>
      <c r="BA874" s="71" t="n">
        <v>1848256.54</v>
      </c>
      <c r="BB874" s="71" t="n">
        <v>-16437.41</v>
      </c>
      <c r="BC874" s="69" t="inlineStr">
        <is>
          <t>Refinance</t>
        </is>
      </c>
      <c r="BD874" s="69" t="inlineStr">
        <is>
          <t>N</t>
        </is>
      </c>
      <c r="BE874" s="71" t="n"/>
      <c r="BF874" s="71" t="n"/>
      <c r="BG874" s="71" t="n"/>
      <c r="BH874" s="71" t="n">
        <v>0</v>
      </c>
      <c r="BI874" s="71" t="n">
        <v>1182315.76</v>
      </c>
      <c r="BJ874" s="69" t="inlineStr">
        <is>
          <t>N</t>
        </is>
      </c>
      <c r="BK874" s="69" t="n"/>
      <c r="BL874" s="75" t="n"/>
      <c r="BM874" s="73" t="n"/>
      <c r="BN874" s="69" t="inlineStr">
        <is>
          <t>Pinchos D. Shemano</t>
        </is>
      </c>
      <c r="BO874" s="69" t="inlineStr">
        <is>
          <t>Cantor Commercial Real Estate Lending</t>
        </is>
      </c>
      <c r="BP874" s="69" t="inlineStr">
        <is>
          <t>Midland Loan Services</t>
        </is>
      </c>
      <c r="BQ874" s="69" t="inlineStr">
        <is>
          <t>K-Star Asset Management LLC</t>
        </is>
      </c>
      <c r="BR874" s="69" t="n"/>
      <c r="BS874" s="73" t="n">
        <v>46276</v>
      </c>
      <c r="BU874" s="76">
        <f>IF($C874="","",IFERROR(INDEX(dmName,MATCH($C874,dmID,0)),"Unmapped"))</f>
        <v/>
      </c>
      <c r="BV874" s="76">
        <f>IF($C874="","",IFERROR(INDEX(dmEntity,MATCH($C874,dmID,0)),"Unmapped"))</f>
        <v/>
      </c>
      <c r="BW874" s="77">
        <f>IF($C874="","",IFERROR(INDEX(dmVintage,MATCH($C874,dmID,0)),""))</f>
        <v/>
      </c>
      <c r="BX874" s="78">
        <f>IFERROR(INDEX(dmInclude,MATCH($C874,dmID,0)),0)</f>
        <v/>
      </c>
      <c r="BY874" s="78">
        <f>IF(N($I874)&gt;0,1,0)</f>
        <v/>
      </c>
      <c r="BZ874" s="76">
        <f>IF($AJ874="","Other / Leased Fee",IFERROR(INDEX(mapPTGroup,MATCH(LEFT(TRIM($AJ874),2),mapPTCode,0)),"Other / Leased Fee"))</f>
        <v/>
      </c>
      <c r="CA874" s="76">
        <f>IF(TRIM($AF874&amp;"")="","NR",LEFT(TRIM($AF874),2))</f>
        <v/>
      </c>
      <c r="CB874" s="76">
        <f>IFERROR(LOOKUP(2,1/(LEFT(TRIM($AI874&amp;""),LEN(mapRegion))=mapRegion),mapRegion),"Not Reported")</f>
        <v/>
      </c>
      <c r="CC874" s="76">
        <f>IF($BY874=0,"",IF(TRIM($W874&amp;"")="REO","REO",IF(TRIM($W874&amp;"")="FC","Foreclosure",IF(TRIM($W874&amp;"")="90+","90+ Days Delinquent",IF(TRIM($W874&amp;"")="60","60 Days Delinquent",IF(TRIM($W874&amp;"")="30","30 Days Delinquent",IF($X874="Non-Performing Matured Balloon","Non-Performing Matured Balloon",IF(OR($X874="Late Payment But Less Than 30 Days Delinquent",LEFT($X874&amp;"",20)="Payment Not Received"),"Late / In Grace (&lt;30 Days)",IF($X874="Performing Matured Balloon","Performing Matured Balloon","Current")))))))))</f>
        <v/>
      </c>
      <c r="CD874" s="78">
        <f>IF(OR($CC874="REO",$CC874="Foreclosure",$CC874="90+ Days Delinquent",$CC874="60 Days Delinquent",$CC874="30 Days Delinquent",$CC874="Non-Performing Matured Balloon"),1,0)</f>
        <v/>
      </c>
      <c r="CE874" s="76">
        <f>IF($AB874="Currently special serv","Currently Specially Serviced",IF($AB874="Returned to master serv","Previously Specially Serviced","Never Specially Serviced"))</f>
        <v/>
      </c>
      <c r="CF874" s="78">
        <f>IF($CE874="Currently Specially Serviced",1,0)</f>
        <v/>
      </c>
      <c r="CG874" s="76">
        <f>IF($AA874="Yes","Currently on Watchlist",IF($AA874="Previously","Previously on Watchlist","Never on Watchlist"))</f>
        <v/>
      </c>
      <c r="CH874" s="78">
        <f>IF($CG874="Currently on Watchlist",1,0)</f>
        <v/>
      </c>
      <c r="CI874" s="76">
        <f>IF($Z874="Full Defeasance","Fully Defeased",IF($Z874="Portion Of Loan Previously Defeased","Partially Defeased",IF($Z874="Defeasance Not Allowable","Not Defeased (Not Permitted)","Not Defeased")))</f>
        <v/>
      </c>
      <c r="CJ874" s="78">
        <f>IF($CI874="Fully Defeased",1,0)</f>
        <v/>
      </c>
      <c r="CK874" s="76">
        <f>IF($R874="IO","Full IO",IF(LEFT($R874&amp;"",7)="IO then","Partial IO","Amortizing"))</f>
        <v/>
      </c>
      <c r="CL874" s="78">
        <f>IF($CK874="Full IO",1,0)</f>
        <v/>
      </c>
      <c r="CM874" s="78">
        <f>IF($CK874="Partial IO",1,0)</f>
        <v/>
      </c>
      <c r="CN874" s="76">
        <f>IF(LEFT($F874&amp;"",10)="SPLIT_LOAN","Pari Passu Split","Standalone")</f>
        <v/>
      </c>
      <c r="CO874" s="78">
        <f>IF($CN874="Pari Passu Split",1,0)</f>
        <v/>
      </c>
      <c r="CP874" s="77">
        <f>IF(ISNUMBER($T874),YEAR($T874),"")</f>
        <v/>
      </c>
      <c r="CQ874" s="79">
        <f>IF(ISNUMBER($V874),$V874,IF(ISNUMBER($U874),$U874,""))</f>
        <v/>
      </c>
      <c r="CR874" s="77">
        <f>IF(ISNUMBER($CQ874),YEAR($CQ874),"")</f>
        <v/>
      </c>
      <c r="CS874" s="78">
        <f>IF(ISNUMBER($M874),MAX(0,$M874),IF(TRIM($M874&amp;"")="matured",0,""))</f>
        <v/>
      </c>
      <c r="CT874" s="78">
        <f>IF(AND(ISNUMBER($CS874),N($CS874)&lt;=mMatWindow),1,0)</f>
        <v/>
      </c>
      <c r="CU874" s="80">
        <f>IF(ISNUMBER($J874),$J874/100,"")</f>
        <v/>
      </c>
      <c r="CV874" s="81">
        <f>IF(ISNUMBER($AQ874),$AQ874,"")</f>
        <v/>
      </c>
      <c r="CW874" s="81">
        <f>IF(ISNUMBER($AR874),$AR874,"")</f>
        <v/>
      </c>
      <c r="CX874" s="82">
        <f>IF(ISNUMBER($AS874),$AS874/100,"")</f>
        <v/>
      </c>
      <c r="CY874" s="82">
        <f>IF(ISNUMBER($AT874),$AT874/100,"")</f>
        <v/>
      </c>
      <c r="CZ874" s="82">
        <f>IF(ISNUMBER($AU874),$AU874/100,"")</f>
        <v/>
      </c>
      <c r="DA874" s="82">
        <f>IF(ISNUMBER($AV874),$AV874/100,"")</f>
        <v/>
      </c>
      <c r="DB874" s="82">
        <f>IF(ISNUMBER($AW874),$AW874/100,"")</f>
        <v/>
      </c>
      <c r="DC874" s="82">
        <f>IF(ISNUMBER($AX874),$AX874/100,"")</f>
        <v/>
      </c>
      <c r="DD874" s="77">
        <f>IFERROR(VALUE(LEFT(TRIM($AO874&amp;""),4)),"")</f>
        <v/>
      </c>
      <c r="DE874" s="78">
        <f>IF(AND($BY874=1,$BX874=1,OR(fDeal="All Deals",$BU874=fDeal),OR(fEntity="All Entities",$BV874=fEntity),OR(fPType="All Property Types",$BZ874=fPType),OR(fDefeased="Include",$CJ874=0)),1,0)</f>
        <v/>
      </c>
      <c r="DF874" s="83">
        <f>$DE874*N($I874)</f>
        <v/>
      </c>
      <c r="DG874" s="78">
        <f>IF($DE874=1,IF(COUNTIFS($F$8:$F874,$F874,$DE$8:$DE874,1)=1,1,0),0)</f>
        <v/>
      </c>
      <c r="DH874" s="83">
        <f>IF($DG874=1,SUMIFS($DF$8:$DF$1600,$F$8:$F$1600,$F874),0)</f>
        <v/>
      </c>
      <c r="DI874" s="78">
        <f>IF($DG874=1,COUNTIFS($F$8:$F$1600,$F874,$DE$8:$DE$1600,1),0)</f>
        <v/>
      </c>
      <c r="DJ874" s="84">
        <f>IF($DG874=1,$DH874+(100000-ROW())/mTieBreak,0)</f>
        <v/>
      </c>
    </row>
    <row r="875">
      <c r="B875" s="68" t="n">
        <v>19</v>
      </c>
      <c r="C875" s="69" t="inlineStr">
        <is>
          <t>MSC18L1</t>
        </is>
      </c>
      <c r="D875" s="69" t="inlineStr">
        <is>
          <t>19.000</t>
        </is>
      </c>
      <c r="E875" s="69" t="inlineStr">
        <is>
          <t>Westchester Self Storage Portfolio</t>
        </is>
      </c>
      <c r="F875" s="69" t="inlineStr">
        <is>
          <t>LNMSC18L1-19.000</t>
        </is>
      </c>
      <c r="G875" s="70" t="n"/>
      <c r="H875" s="71" t="n">
        <v>20225000</v>
      </c>
      <c r="I875" s="71" t="n">
        <v>20225000</v>
      </c>
      <c r="J875" s="72" t="n">
        <v>5</v>
      </c>
      <c r="K875" s="69" t="inlineStr">
        <is>
          <t>Fixed rate</t>
        </is>
      </c>
      <c r="L875" s="68" t="n">
        <v>120</v>
      </c>
      <c r="M875" s="68" t="n">
        <v>24</v>
      </c>
      <c r="N875" s="68" t="n">
        <v>120</v>
      </c>
      <c r="O875" s="68" t="n">
        <v>120</v>
      </c>
      <c r="P875" s="68" t="n">
        <v>24</v>
      </c>
      <c r="Q875" s="68" t="n">
        <v>96</v>
      </c>
      <c r="R875" s="69" t="inlineStr">
        <is>
          <t>IO</t>
        </is>
      </c>
      <c r="S875" s="69" t="inlineStr">
        <is>
          <t>Yes</t>
        </is>
      </c>
      <c r="T875" s="73" t="n">
        <v>43344</v>
      </c>
      <c r="U875" s="73" t="n">
        <v>46997</v>
      </c>
      <c r="V875" s="73" t="n"/>
      <c r="W875" s="69" t="n"/>
      <c r="X875" s="69" t="inlineStr">
        <is>
          <t>Current</t>
        </is>
      </c>
      <c r="Y875" s="68" t="n"/>
      <c r="Z875" s="69" t="inlineStr">
        <is>
          <t>No Defeasance Occurred</t>
        </is>
      </c>
      <c r="AA875" s="69" t="inlineStr">
        <is>
          <t>Previously</t>
        </is>
      </c>
      <c r="AB875" s="69" t="inlineStr">
        <is>
          <t>Never special serv</t>
        </is>
      </c>
      <c r="AC875" s="73" t="n"/>
      <c r="AD875" s="69" t="n"/>
      <c r="AE875" s="69" t="n"/>
      <c r="AF875" s="69" t="inlineStr">
        <is>
          <t>NY</t>
        </is>
      </c>
      <c r="AG875" s="69" t="n"/>
      <c r="AH875" s="69" t="inlineStr">
        <is>
          <t>New York-Newark-Jersey City, NY-NJ</t>
        </is>
      </c>
      <c r="AI875" s="69" t="inlineStr">
        <is>
          <t>Northeast / Mid-Atlantic</t>
        </is>
      </c>
      <c r="AJ875" s="69" t="inlineStr">
        <is>
          <t>SS</t>
        </is>
      </c>
      <c r="AK875" s="69" t="n"/>
      <c r="AL875" s="68" t="n">
        <v>2</v>
      </c>
      <c r="AM875" s="68" t="n"/>
      <c r="AN875" s="68" t="n">
        <v>114216</v>
      </c>
      <c r="AO875" s="69" t="n"/>
      <c r="AP875" s="70" t="n">
        <v>1994</v>
      </c>
      <c r="AQ875" s="74" t="n">
        <v>1.77</v>
      </c>
      <c r="AR875" s="74" t="n">
        <v>2.52</v>
      </c>
      <c r="AS875" s="74" t="n">
        <v>54.4</v>
      </c>
      <c r="AT875" s="74" t="n">
        <v>54.37</v>
      </c>
      <c r="AU875" s="74" t="n">
        <v>54.37</v>
      </c>
      <c r="AV875" s="74" t="n">
        <v>8.960286774</v>
      </c>
      <c r="AW875" s="74" t="n">
        <v>18.85774042</v>
      </c>
      <c r="AX875" s="75" t="n">
        <v>85</v>
      </c>
      <c r="AY875" s="71" t="n">
        <v>37200000</v>
      </c>
      <c r="AZ875" s="71" t="n">
        <v>37200000</v>
      </c>
      <c r="BA875" s="71" t="n">
        <v>1812218</v>
      </c>
      <c r="BB875" s="71" t="n">
        <v>3813978</v>
      </c>
      <c r="BC875" s="69" t="inlineStr">
        <is>
          <t>Refinance</t>
        </is>
      </c>
      <c r="BD875" s="69" t="inlineStr">
        <is>
          <t>N</t>
        </is>
      </c>
      <c r="BE875" s="71" t="n"/>
      <c r="BF875" s="71" t="n"/>
      <c r="BG875" s="71" t="n"/>
      <c r="BH875" s="71" t="n">
        <v>0</v>
      </c>
      <c r="BI875" s="71" t="n">
        <v>0</v>
      </c>
      <c r="BJ875" s="69" t="inlineStr">
        <is>
          <t>N</t>
        </is>
      </c>
      <c r="BK875" s="69" t="n"/>
      <c r="BL875" s="75" t="n"/>
      <c r="BM875" s="73" t="n"/>
      <c r="BN875" s="69" t="inlineStr">
        <is>
          <t>Peter Ferraro, Jr.</t>
        </is>
      </c>
      <c r="BO875" s="69" t="inlineStr">
        <is>
          <t>KeyBank</t>
        </is>
      </c>
      <c r="BP875" s="69" t="inlineStr">
        <is>
          <t>Midland Loan Services</t>
        </is>
      </c>
      <c r="BQ875" s="69" t="inlineStr">
        <is>
          <t>K-Star Asset Management LLC</t>
        </is>
      </c>
      <c r="BR875" s="69" t="n"/>
      <c r="BS875" s="73" t="n">
        <v>46276</v>
      </c>
      <c r="BU875" s="76">
        <f>IF($C875="","",IFERROR(INDEX(dmName,MATCH($C875,dmID,0)),"Unmapped"))</f>
        <v/>
      </c>
      <c r="BV875" s="76">
        <f>IF($C875="","",IFERROR(INDEX(dmEntity,MATCH($C875,dmID,0)),"Unmapped"))</f>
        <v/>
      </c>
      <c r="BW875" s="77">
        <f>IF($C875="","",IFERROR(INDEX(dmVintage,MATCH($C875,dmID,0)),""))</f>
        <v/>
      </c>
      <c r="BX875" s="78">
        <f>IFERROR(INDEX(dmInclude,MATCH($C875,dmID,0)),0)</f>
        <v/>
      </c>
      <c r="BY875" s="78">
        <f>IF(N($I875)&gt;0,1,0)</f>
        <v/>
      </c>
      <c r="BZ875" s="76">
        <f>IF($AJ875="","Other / Leased Fee",IFERROR(INDEX(mapPTGroup,MATCH(LEFT(TRIM($AJ875),2),mapPTCode,0)),"Other / Leased Fee"))</f>
        <v/>
      </c>
      <c r="CA875" s="76">
        <f>IF(TRIM($AF875&amp;"")="","NR",LEFT(TRIM($AF875),2))</f>
        <v/>
      </c>
      <c r="CB875" s="76">
        <f>IFERROR(LOOKUP(2,1/(LEFT(TRIM($AI875&amp;""),LEN(mapRegion))=mapRegion),mapRegion),"Not Reported")</f>
        <v/>
      </c>
      <c r="CC875" s="76">
        <f>IF($BY875=0,"",IF(TRIM($W875&amp;"")="REO","REO",IF(TRIM($W875&amp;"")="FC","Foreclosure",IF(TRIM($W875&amp;"")="90+","90+ Days Delinquent",IF(TRIM($W875&amp;"")="60","60 Days Delinquent",IF(TRIM($W875&amp;"")="30","30 Days Delinquent",IF($X875="Non-Performing Matured Balloon","Non-Performing Matured Balloon",IF(OR($X875="Late Payment But Less Than 30 Days Delinquent",LEFT($X875&amp;"",20)="Payment Not Received"),"Late / In Grace (&lt;30 Days)",IF($X875="Performing Matured Balloon","Performing Matured Balloon","Current")))))))))</f>
        <v/>
      </c>
      <c r="CD875" s="78">
        <f>IF(OR($CC875="REO",$CC875="Foreclosure",$CC875="90+ Days Delinquent",$CC875="60 Days Delinquent",$CC875="30 Days Delinquent",$CC875="Non-Performing Matured Balloon"),1,0)</f>
        <v/>
      </c>
      <c r="CE875" s="76">
        <f>IF($AB875="Currently special serv","Currently Specially Serviced",IF($AB875="Returned to master serv","Previously Specially Serviced","Never Specially Serviced"))</f>
        <v/>
      </c>
      <c r="CF875" s="78">
        <f>IF($CE875="Currently Specially Serviced",1,0)</f>
        <v/>
      </c>
      <c r="CG875" s="76">
        <f>IF($AA875="Yes","Currently on Watchlist",IF($AA875="Previously","Previously on Watchlist","Never on Watchlist"))</f>
        <v/>
      </c>
      <c r="CH875" s="78">
        <f>IF($CG875="Currently on Watchlist",1,0)</f>
        <v/>
      </c>
      <c r="CI875" s="76">
        <f>IF($Z875="Full Defeasance","Fully Defeased",IF($Z875="Portion Of Loan Previously Defeased","Partially Defeased",IF($Z875="Defeasance Not Allowable","Not Defeased (Not Permitted)","Not Defeased")))</f>
        <v/>
      </c>
      <c r="CJ875" s="78">
        <f>IF($CI875="Fully Defeased",1,0)</f>
        <v/>
      </c>
      <c r="CK875" s="76">
        <f>IF($R875="IO","Full IO",IF(LEFT($R875&amp;"",7)="IO then","Partial IO","Amortizing"))</f>
        <v/>
      </c>
      <c r="CL875" s="78">
        <f>IF($CK875="Full IO",1,0)</f>
        <v/>
      </c>
      <c r="CM875" s="78">
        <f>IF($CK875="Partial IO",1,0)</f>
        <v/>
      </c>
      <c r="CN875" s="76">
        <f>IF(LEFT($F875&amp;"",10)="SPLIT_LOAN","Pari Passu Split","Standalone")</f>
        <v/>
      </c>
      <c r="CO875" s="78">
        <f>IF($CN875="Pari Passu Split",1,0)</f>
        <v/>
      </c>
      <c r="CP875" s="77">
        <f>IF(ISNUMBER($T875),YEAR($T875),"")</f>
        <v/>
      </c>
      <c r="CQ875" s="79">
        <f>IF(ISNUMBER($V875),$V875,IF(ISNUMBER($U875),$U875,""))</f>
        <v/>
      </c>
      <c r="CR875" s="77">
        <f>IF(ISNUMBER($CQ875),YEAR($CQ875),"")</f>
        <v/>
      </c>
      <c r="CS875" s="78">
        <f>IF(ISNUMBER($M875),MAX(0,$M875),IF(TRIM($M875&amp;"")="matured",0,""))</f>
        <v/>
      </c>
      <c r="CT875" s="78">
        <f>IF(AND(ISNUMBER($CS875),N($CS875)&lt;=mMatWindow),1,0)</f>
        <v/>
      </c>
      <c r="CU875" s="80">
        <f>IF(ISNUMBER($J875),$J875/100,"")</f>
        <v/>
      </c>
      <c r="CV875" s="81">
        <f>IF(ISNUMBER($AQ875),$AQ875,"")</f>
        <v/>
      </c>
      <c r="CW875" s="81">
        <f>IF(ISNUMBER($AR875),$AR875,"")</f>
        <v/>
      </c>
      <c r="CX875" s="82">
        <f>IF(ISNUMBER($AS875),$AS875/100,"")</f>
        <v/>
      </c>
      <c r="CY875" s="82">
        <f>IF(ISNUMBER($AT875),$AT875/100,"")</f>
        <v/>
      </c>
      <c r="CZ875" s="82">
        <f>IF(ISNUMBER($AU875),$AU875/100,"")</f>
        <v/>
      </c>
      <c r="DA875" s="82">
        <f>IF(ISNUMBER($AV875),$AV875/100,"")</f>
        <v/>
      </c>
      <c r="DB875" s="82">
        <f>IF(ISNUMBER($AW875),$AW875/100,"")</f>
        <v/>
      </c>
      <c r="DC875" s="82">
        <f>IF(ISNUMBER($AX875),$AX875/100,"")</f>
        <v/>
      </c>
      <c r="DD875" s="77">
        <f>IFERROR(VALUE(LEFT(TRIM($AO875&amp;""),4)),"")</f>
        <v/>
      </c>
      <c r="DE875" s="78">
        <f>IF(AND($BY875=1,$BX875=1,OR(fDeal="All Deals",$BU875=fDeal),OR(fEntity="All Entities",$BV875=fEntity),OR(fPType="All Property Types",$BZ875=fPType),OR(fDefeased="Include",$CJ875=0)),1,0)</f>
        <v/>
      </c>
      <c r="DF875" s="83">
        <f>$DE875*N($I875)</f>
        <v/>
      </c>
      <c r="DG875" s="78">
        <f>IF($DE875=1,IF(COUNTIFS($F$8:$F875,$F875,$DE$8:$DE875,1)=1,1,0),0)</f>
        <v/>
      </c>
      <c r="DH875" s="83">
        <f>IF($DG875=1,SUMIFS($DF$8:$DF$1600,$F$8:$F$1600,$F875),0)</f>
        <v/>
      </c>
      <c r="DI875" s="78">
        <f>IF($DG875=1,COUNTIFS($F$8:$F$1600,$F875,$DE$8:$DE$1600,1),0)</f>
        <v/>
      </c>
      <c r="DJ875" s="84">
        <f>IF($DG875=1,$DH875+(100000-ROW())/mTieBreak,0)</f>
        <v/>
      </c>
    </row>
    <row r="876">
      <c r="B876" s="68" t="n">
        <v>20</v>
      </c>
      <c r="C876" s="69" t="inlineStr">
        <is>
          <t>MSC18L1</t>
        </is>
      </c>
      <c r="D876" s="69" t="inlineStr">
        <is>
          <t>20.000</t>
        </is>
      </c>
      <c r="E876" s="69" t="inlineStr">
        <is>
          <t>Village at Mammoth Lakes</t>
        </is>
      </c>
      <c r="F876" s="69" t="inlineStr">
        <is>
          <t>LNMSC18L1-20.000</t>
        </is>
      </c>
      <c r="G876" s="70" t="n"/>
      <c r="H876" s="71" t="n">
        <v>18200000</v>
      </c>
      <c r="I876" s="71" t="n">
        <v>18200000</v>
      </c>
      <c r="J876" s="72" t="n">
        <v>4.96</v>
      </c>
      <c r="K876" s="69" t="inlineStr">
        <is>
          <t>Fixed rate</t>
        </is>
      </c>
      <c r="L876" s="68" t="n">
        <v>120</v>
      </c>
      <c r="M876" s="68" t="n">
        <v>24</v>
      </c>
      <c r="N876" s="68" t="n">
        <v>120</v>
      </c>
      <c r="O876" s="68" t="n">
        <v>120</v>
      </c>
      <c r="P876" s="68" t="n">
        <v>24</v>
      </c>
      <c r="Q876" s="68" t="n">
        <v>96</v>
      </c>
      <c r="R876" s="69" t="inlineStr">
        <is>
          <t>IO</t>
        </is>
      </c>
      <c r="S876" s="69" t="inlineStr">
        <is>
          <t>Yes</t>
        </is>
      </c>
      <c r="T876" s="73" t="n">
        <v>43344</v>
      </c>
      <c r="U876" s="73" t="n">
        <v>47002</v>
      </c>
      <c r="V876" s="73" t="n"/>
      <c r="W876" s="69" t="n"/>
      <c r="X876" s="69" t="inlineStr">
        <is>
          <t>Current</t>
        </is>
      </c>
      <c r="Y876" s="68" t="n"/>
      <c r="Z876" s="69" t="inlineStr">
        <is>
          <t>No Defeasance Occurred</t>
        </is>
      </c>
      <c r="AA876" s="69" t="inlineStr">
        <is>
          <t>Previously</t>
        </is>
      </c>
      <c r="AB876" s="69" t="inlineStr">
        <is>
          <t>Never special serv</t>
        </is>
      </c>
      <c r="AC876" s="73" t="n"/>
      <c r="AD876" s="69" t="n"/>
      <c r="AE876" s="69" t="n"/>
      <c r="AF876" s="69" t="inlineStr">
        <is>
          <t>CA</t>
        </is>
      </c>
      <c r="AG876" s="69" t="inlineStr">
        <is>
          <t>Mammoth Lakes</t>
        </is>
      </c>
      <c r="AH876" s="69" t="n"/>
      <c r="AI876" s="69" t="inlineStr">
        <is>
          <t>West / Pacific South</t>
        </is>
      </c>
      <c r="AJ876" s="69" t="inlineStr">
        <is>
          <t>MX</t>
        </is>
      </c>
      <c r="AK876" s="69" t="n"/>
      <c r="AL876" s="68" t="n">
        <v>1</v>
      </c>
      <c r="AM876" s="68" t="n"/>
      <c r="AN876" s="68" t="n">
        <v>57925</v>
      </c>
      <c r="AO876" s="69" t="inlineStr">
        <is>
          <t>1999</t>
        </is>
      </c>
      <c r="AP876" s="70" t="n">
        <v>1999</v>
      </c>
      <c r="AQ876" s="74" t="n">
        <v>1.95</v>
      </c>
      <c r="AR876" s="74" t="n">
        <v>1.8</v>
      </c>
      <c r="AS876" s="74" t="n">
        <v>60.1</v>
      </c>
      <c r="AT876" s="74" t="n">
        <v>60.07</v>
      </c>
      <c r="AU876" s="74" t="n">
        <v>60.1</v>
      </c>
      <c r="AV876" s="74" t="n">
        <v>9.802675824</v>
      </c>
      <c r="AW876" s="74" t="n">
        <v>10.854686538</v>
      </c>
      <c r="AX876" s="75" t="n">
        <v>84</v>
      </c>
      <c r="AY876" s="71" t="n">
        <v>30300000</v>
      </c>
      <c r="AZ876" s="71" t="n">
        <v>30300000</v>
      </c>
      <c r="BA876" s="71" t="n">
        <v>1784087</v>
      </c>
      <c r="BB876" s="71" t="n">
        <v>1643727.48</v>
      </c>
      <c r="BC876" s="69" t="inlineStr">
        <is>
          <t>Acquisition</t>
        </is>
      </c>
      <c r="BD876" s="69" t="inlineStr">
        <is>
          <t>N</t>
        </is>
      </c>
      <c r="BE876" s="71" t="n"/>
      <c r="BF876" s="71" t="n"/>
      <c r="BG876" s="71" t="n"/>
      <c r="BH876" s="71" t="n">
        <v>0</v>
      </c>
      <c r="BI876" s="71" t="n">
        <v>0</v>
      </c>
      <c r="BJ876" s="69" t="inlineStr">
        <is>
          <t>N</t>
        </is>
      </c>
      <c r="BK876" s="69" t="inlineStr">
        <is>
          <t>CAMPO</t>
        </is>
      </c>
      <c r="BL876" s="75" t="n">
        <v>7.36</v>
      </c>
      <c r="BM876" s="73" t="n">
        <v>48426</v>
      </c>
      <c r="BN876" s="69" t="inlineStr">
        <is>
          <t>M. Peter Iacobelli</t>
        </is>
      </c>
      <c r="BO876" s="69" t="inlineStr">
        <is>
          <t>Starwood</t>
        </is>
      </c>
      <c r="BP876" s="69" t="inlineStr">
        <is>
          <t>Midland Loan Services</t>
        </is>
      </c>
      <c r="BQ876" s="69" t="inlineStr">
        <is>
          <t>K-Star Asset Management LLC</t>
        </is>
      </c>
      <c r="BR876" s="69" t="n"/>
      <c r="BS876" s="73" t="n">
        <v>46276</v>
      </c>
      <c r="BU876" s="76">
        <f>IF($C876="","",IFERROR(INDEX(dmName,MATCH($C876,dmID,0)),"Unmapped"))</f>
        <v/>
      </c>
      <c r="BV876" s="76">
        <f>IF($C876="","",IFERROR(INDEX(dmEntity,MATCH($C876,dmID,0)),"Unmapped"))</f>
        <v/>
      </c>
      <c r="BW876" s="77">
        <f>IF($C876="","",IFERROR(INDEX(dmVintage,MATCH($C876,dmID,0)),""))</f>
        <v/>
      </c>
      <c r="BX876" s="78">
        <f>IFERROR(INDEX(dmInclude,MATCH($C876,dmID,0)),0)</f>
        <v/>
      </c>
      <c r="BY876" s="78">
        <f>IF(N($I876)&gt;0,1,0)</f>
        <v/>
      </c>
      <c r="BZ876" s="76">
        <f>IF($AJ876="","Other / Leased Fee",IFERROR(INDEX(mapPTGroup,MATCH(LEFT(TRIM($AJ876),2),mapPTCode,0)),"Other / Leased Fee"))</f>
        <v/>
      </c>
      <c r="CA876" s="76">
        <f>IF(TRIM($AF876&amp;"")="","NR",LEFT(TRIM($AF876),2))</f>
        <v/>
      </c>
      <c r="CB876" s="76">
        <f>IFERROR(LOOKUP(2,1/(LEFT(TRIM($AI876&amp;""),LEN(mapRegion))=mapRegion),mapRegion),"Not Reported")</f>
        <v/>
      </c>
      <c r="CC876" s="76">
        <f>IF($BY876=0,"",IF(TRIM($W876&amp;"")="REO","REO",IF(TRIM($W876&amp;"")="FC","Foreclosure",IF(TRIM($W876&amp;"")="90+","90+ Days Delinquent",IF(TRIM($W876&amp;"")="60","60 Days Delinquent",IF(TRIM($W876&amp;"")="30","30 Days Delinquent",IF($X876="Non-Performing Matured Balloon","Non-Performing Matured Balloon",IF(OR($X876="Late Payment But Less Than 30 Days Delinquent",LEFT($X876&amp;"",20)="Payment Not Received"),"Late / In Grace (&lt;30 Days)",IF($X876="Performing Matured Balloon","Performing Matured Balloon","Current")))))))))</f>
        <v/>
      </c>
      <c r="CD876" s="78">
        <f>IF(OR($CC876="REO",$CC876="Foreclosure",$CC876="90+ Days Delinquent",$CC876="60 Days Delinquent",$CC876="30 Days Delinquent",$CC876="Non-Performing Matured Balloon"),1,0)</f>
        <v/>
      </c>
      <c r="CE876" s="76">
        <f>IF($AB876="Currently special serv","Currently Specially Serviced",IF($AB876="Returned to master serv","Previously Specially Serviced","Never Specially Serviced"))</f>
        <v/>
      </c>
      <c r="CF876" s="78">
        <f>IF($CE876="Currently Specially Serviced",1,0)</f>
        <v/>
      </c>
      <c r="CG876" s="76">
        <f>IF($AA876="Yes","Currently on Watchlist",IF($AA876="Previously","Previously on Watchlist","Never on Watchlist"))</f>
        <v/>
      </c>
      <c r="CH876" s="78">
        <f>IF($CG876="Currently on Watchlist",1,0)</f>
        <v/>
      </c>
      <c r="CI876" s="76">
        <f>IF($Z876="Full Defeasance","Fully Defeased",IF($Z876="Portion Of Loan Previously Defeased","Partially Defeased",IF($Z876="Defeasance Not Allowable","Not Defeased (Not Permitted)","Not Defeased")))</f>
        <v/>
      </c>
      <c r="CJ876" s="78">
        <f>IF($CI876="Fully Defeased",1,0)</f>
        <v/>
      </c>
      <c r="CK876" s="76">
        <f>IF($R876="IO","Full IO",IF(LEFT($R876&amp;"",7)="IO then","Partial IO","Amortizing"))</f>
        <v/>
      </c>
      <c r="CL876" s="78">
        <f>IF($CK876="Full IO",1,0)</f>
        <v/>
      </c>
      <c r="CM876" s="78">
        <f>IF($CK876="Partial IO",1,0)</f>
        <v/>
      </c>
      <c r="CN876" s="76">
        <f>IF(LEFT($F876&amp;"",10)="SPLIT_LOAN","Pari Passu Split","Standalone")</f>
        <v/>
      </c>
      <c r="CO876" s="78">
        <f>IF($CN876="Pari Passu Split",1,0)</f>
        <v/>
      </c>
      <c r="CP876" s="77">
        <f>IF(ISNUMBER($T876),YEAR($T876),"")</f>
        <v/>
      </c>
      <c r="CQ876" s="79">
        <f>IF(ISNUMBER($V876),$V876,IF(ISNUMBER($U876),$U876,""))</f>
        <v/>
      </c>
      <c r="CR876" s="77">
        <f>IF(ISNUMBER($CQ876),YEAR($CQ876),"")</f>
        <v/>
      </c>
      <c r="CS876" s="78">
        <f>IF(ISNUMBER($M876),MAX(0,$M876),IF(TRIM($M876&amp;"")="matured",0,""))</f>
        <v/>
      </c>
      <c r="CT876" s="78">
        <f>IF(AND(ISNUMBER($CS876),N($CS876)&lt;=mMatWindow),1,0)</f>
        <v/>
      </c>
      <c r="CU876" s="80">
        <f>IF(ISNUMBER($J876),$J876/100,"")</f>
        <v/>
      </c>
      <c r="CV876" s="81">
        <f>IF(ISNUMBER($AQ876),$AQ876,"")</f>
        <v/>
      </c>
      <c r="CW876" s="81">
        <f>IF(ISNUMBER($AR876),$AR876,"")</f>
        <v/>
      </c>
      <c r="CX876" s="82">
        <f>IF(ISNUMBER($AS876),$AS876/100,"")</f>
        <v/>
      </c>
      <c r="CY876" s="82">
        <f>IF(ISNUMBER($AT876),$AT876/100,"")</f>
        <v/>
      </c>
      <c r="CZ876" s="82">
        <f>IF(ISNUMBER($AU876),$AU876/100,"")</f>
        <v/>
      </c>
      <c r="DA876" s="82">
        <f>IF(ISNUMBER($AV876),$AV876/100,"")</f>
        <v/>
      </c>
      <c r="DB876" s="82">
        <f>IF(ISNUMBER($AW876),$AW876/100,"")</f>
        <v/>
      </c>
      <c r="DC876" s="82">
        <f>IF(ISNUMBER($AX876),$AX876/100,"")</f>
        <v/>
      </c>
      <c r="DD876" s="77">
        <f>IFERROR(VALUE(LEFT(TRIM($AO876&amp;""),4)),"")</f>
        <v/>
      </c>
      <c r="DE876" s="78">
        <f>IF(AND($BY876=1,$BX876=1,OR(fDeal="All Deals",$BU876=fDeal),OR(fEntity="All Entities",$BV876=fEntity),OR(fPType="All Property Types",$BZ876=fPType),OR(fDefeased="Include",$CJ876=0)),1,0)</f>
        <v/>
      </c>
      <c r="DF876" s="83">
        <f>$DE876*N($I876)</f>
        <v/>
      </c>
      <c r="DG876" s="78">
        <f>IF($DE876=1,IF(COUNTIFS($F$8:$F876,$F876,$DE$8:$DE876,1)=1,1,0),0)</f>
        <v/>
      </c>
      <c r="DH876" s="83">
        <f>IF($DG876=1,SUMIFS($DF$8:$DF$1600,$F$8:$F$1600,$F876),0)</f>
        <v/>
      </c>
      <c r="DI876" s="78">
        <f>IF($DG876=1,COUNTIFS($F$8:$F$1600,$F876,$DE$8:$DE$1600,1),0)</f>
        <v/>
      </c>
      <c r="DJ876" s="84">
        <f>IF($DG876=1,$DH876+(100000-ROW())/mTieBreak,0)</f>
        <v/>
      </c>
    </row>
    <row r="877">
      <c r="B877" s="68" t="n">
        <v>21</v>
      </c>
      <c r="C877" s="69" t="inlineStr">
        <is>
          <t>MSC18L1</t>
        </is>
      </c>
      <c r="D877" s="69" t="inlineStr">
        <is>
          <t>21.000</t>
        </is>
      </c>
      <c r="E877" s="69" t="inlineStr">
        <is>
          <t>De Soto Industrial</t>
        </is>
      </c>
      <c r="F877" s="69" t="inlineStr">
        <is>
          <t>LNMSC18L1-21.000</t>
        </is>
      </c>
      <c r="G877" s="70" t="n"/>
      <c r="H877" s="71" t="n">
        <v>17000000</v>
      </c>
      <c r="I877" s="71" t="n">
        <v>16251056.530005</v>
      </c>
      <c r="J877" s="72" t="n">
        <v>5.02</v>
      </c>
      <c r="K877" s="69" t="inlineStr">
        <is>
          <t>Fixed rate</t>
        </is>
      </c>
      <c r="L877" s="68" t="n">
        <v>120</v>
      </c>
      <c r="M877" s="68" t="n">
        <v>24</v>
      </c>
      <c r="N877" s="68" t="n">
        <v>420</v>
      </c>
      <c r="O877" s="68" t="n">
        <v>60</v>
      </c>
      <c r="P877" s="68" t="n">
        <v>0</v>
      </c>
      <c r="Q877" s="68" t="n">
        <v>96</v>
      </c>
      <c r="R877" s="69" t="inlineStr">
        <is>
          <t>IO then Amort</t>
        </is>
      </c>
      <c r="S877" s="69" t="inlineStr">
        <is>
          <t>No</t>
        </is>
      </c>
      <c r="T877" s="73" t="n">
        <v>43344</v>
      </c>
      <c r="U877" s="73" t="n">
        <v>46997</v>
      </c>
      <c r="V877" s="73" t="n"/>
      <c r="W877" s="69" t="n"/>
      <c r="X877" s="69" t="inlineStr">
        <is>
          <t>Current</t>
        </is>
      </c>
      <c r="Y877" s="68" t="n"/>
      <c r="Z877" s="69" t="inlineStr">
        <is>
          <t>Full Defeasance</t>
        </is>
      </c>
      <c r="AA877" s="69" t="inlineStr">
        <is>
          <t>Previously</t>
        </is>
      </c>
      <c r="AB877" s="69" t="inlineStr">
        <is>
          <t>Never special serv</t>
        </is>
      </c>
      <c r="AC877" s="73" t="n"/>
      <c r="AD877" s="69" t="n"/>
      <c r="AE877" s="69" t="n"/>
      <c r="AF877" s="69" t="inlineStr">
        <is>
          <t>CA</t>
        </is>
      </c>
      <c r="AG877" s="69" t="inlineStr">
        <is>
          <t>Chatsworth</t>
        </is>
      </c>
      <c r="AH877" s="69" t="inlineStr">
        <is>
          <t>Los Angeles-Long Beach-Anaheim, CA</t>
        </is>
      </c>
      <c r="AI877" s="69" t="inlineStr">
        <is>
          <t>West / Pacific South</t>
        </is>
      </c>
      <c r="AJ877" s="69" t="inlineStr">
        <is>
          <t>IN</t>
        </is>
      </c>
      <c r="AK877" s="69" t="inlineStr">
        <is>
          <t>Warehouse/Distribution</t>
        </is>
      </c>
      <c r="AL877" s="68" t="n">
        <v>1</v>
      </c>
      <c r="AM877" s="68" t="n"/>
      <c r="AN877" s="68" t="n">
        <v>150831</v>
      </c>
      <c r="AO877" s="69" t="inlineStr">
        <is>
          <t>1983</t>
        </is>
      </c>
      <c r="AP877" s="70" t="n">
        <v>2016</v>
      </c>
      <c r="AQ877" s="74" t="n">
        <v>1.28</v>
      </c>
      <c r="AR877" s="74" t="n">
        <v>1.86</v>
      </c>
      <c r="AS877" s="74" t="n">
        <v>60.5</v>
      </c>
      <c r="AT877" s="74" t="n">
        <v>57.81</v>
      </c>
      <c r="AU877" s="74" t="n">
        <v>55.88</v>
      </c>
      <c r="AV877" s="74" t="n">
        <v>8.262617647000001</v>
      </c>
      <c r="AW877" s="74" t="n">
        <v>10.584751809</v>
      </c>
      <c r="AX877" s="75" t="n">
        <v>100</v>
      </c>
      <c r="AY877" s="71" t="n">
        <v>28110000</v>
      </c>
      <c r="AZ877" s="71" t="n">
        <v>28110000</v>
      </c>
      <c r="BA877" s="71" t="n">
        <v>1404645</v>
      </c>
      <c r="BB877" s="71" t="n">
        <v>1720134</v>
      </c>
      <c r="BC877" s="69" t="inlineStr">
        <is>
          <t>Recapitalization</t>
        </is>
      </c>
      <c r="BD877" s="69" t="inlineStr">
        <is>
          <t>N</t>
        </is>
      </c>
      <c r="BE877" s="71" t="n"/>
      <c r="BF877" s="71" t="n"/>
      <c r="BG877" s="71" t="n"/>
      <c r="BH877" s="71" t="n">
        <v>0</v>
      </c>
      <c r="BI877" s="71" t="n">
        <v>0</v>
      </c>
      <c r="BJ877" s="69" t="inlineStr">
        <is>
          <t>N</t>
        </is>
      </c>
      <c r="BK877" s="69" t="inlineStr">
        <is>
          <t>BALL BEVERAGE CONTAINER CORP</t>
        </is>
      </c>
      <c r="BL877" s="75" t="n">
        <v>55.86</v>
      </c>
      <c r="BM877" s="73" t="n">
        <v>46203</v>
      </c>
      <c r="BN877" s="69" t="inlineStr">
        <is>
          <t>NBP Capital, LLC</t>
        </is>
      </c>
      <c r="BO877" s="69" t="inlineStr">
        <is>
          <t>KeyBank</t>
        </is>
      </c>
      <c r="BP877" s="69" t="inlineStr">
        <is>
          <t>Midland Loan Services</t>
        </is>
      </c>
      <c r="BQ877" s="69" t="inlineStr">
        <is>
          <t>K-Star Asset Management LLC</t>
        </is>
      </c>
      <c r="BR877" s="69" t="n"/>
      <c r="BS877" s="73" t="n">
        <v>46276</v>
      </c>
      <c r="BU877" s="76">
        <f>IF($C877="","",IFERROR(INDEX(dmName,MATCH($C877,dmID,0)),"Unmapped"))</f>
        <v/>
      </c>
      <c r="BV877" s="76">
        <f>IF($C877="","",IFERROR(INDEX(dmEntity,MATCH($C877,dmID,0)),"Unmapped"))</f>
        <v/>
      </c>
      <c r="BW877" s="77">
        <f>IF($C877="","",IFERROR(INDEX(dmVintage,MATCH($C877,dmID,0)),""))</f>
        <v/>
      </c>
      <c r="BX877" s="78">
        <f>IFERROR(INDEX(dmInclude,MATCH($C877,dmID,0)),0)</f>
        <v/>
      </c>
      <c r="BY877" s="78">
        <f>IF(N($I877)&gt;0,1,0)</f>
        <v/>
      </c>
      <c r="BZ877" s="76">
        <f>IF($AJ877="","Other / Leased Fee",IFERROR(INDEX(mapPTGroup,MATCH(LEFT(TRIM($AJ877),2),mapPTCode,0)),"Other / Leased Fee"))</f>
        <v/>
      </c>
      <c r="CA877" s="76">
        <f>IF(TRIM($AF877&amp;"")="","NR",LEFT(TRIM($AF877),2))</f>
        <v/>
      </c>
      <c r="CB877" s="76">
        <f>IFERROR(LOOKUP(2,1/(LEFT(TRIM($AI877&amp;""),LEN(mapRegion))=mapRegion),mapRegion),"Not Reported")</f>
        <v/>
      </c>
      <c r="CC877" s="76">
        <f>IF($BY877=0,"",IF(TRIM($W877&amp;"")="REO","REO",IF(TRIM($W877&amp;"")="FC","Foreclosure",IF(TRIM($W877&amp;"")="90+","90+ Days Delinquent",IF(TRIM($W877&amp;"")="60","60 Days Delinquent",IF(TRIM($W877&amp;"")="30","30 Days Delinquent",IF($X877="Non-Performing Matured Balloon","Non-Performing Matured Balloon",IF(OR($X877="Late Payment But Less Than 30 Days Delinquent",LEFT($X877&amp;"",20)="Payment Not Received"),"Late / In Grace (&lt;30 Days)",IF($X877="Performing Matured Balloon","Performing Matured Balloon","Current")))))))))</f>
        <v/>
      </c>
      <c r="CD877" s="78">
        <f>IF(OR($CC877="REO",$CC877="Foreclosure",$CC877="90+ Days Delinquent",$CC877="60 Days Delinquent",$CC877="30 Days Delinquent",$CC877="Non-Performing Matured Balloon"),1,0)</f>
        <v/>
      </c>
      <c r="CE877" s="76">
        <f>IF($AB877="Currently special serv","Currently Specially Serviced",IF($AB877="Returned to master serv","Previously Specially Serviced","Never Specially Serviced"))</f>
        <v/>
      </c>
      <c r="CF877" s="78">
        <f>IF($CE877="Currently Specially Serviced",1,0)</f>
        <v/>
      </c>
      <c r="CG877" s="76">
        <f>IF($AA877="Yes","Currently on Watchlist",IF($AA877="Previously","Previously on Watchlist","Never on Watchlist"))</f>
        <v/>
      </c>
      <c r="CH877" s="78">
        <f>IF($CG877="Currently on Watchlist",1,0)</f>
        <v/>
      </c>
      <c r="CI877" s="76">
        <f>IF($Z877="Full Defeasance","Fully Defeased",IF($Z877="Portion Of Loan Previously Defeased","Partially Defeased",IF($Z877="Defeasance Not Allowable","Not Defeased (Not Permitted)","Not Defeased")))</f>
        <v/>
      </c>
      <c r="CJ877" s="78">
        <f>IF($CI877="Fully Defeased",1,0)</f>
        <v/>
      </c>
      <c r="CK877" s="76">
        <f>IF($R877="IO","Full IO",IF(LEFT($R877&amp;"",7)="IO then","Partial IO","Amortizing"))</f>
        <v/>
      </c>
      <c r="CL877" s="78">
        <f>IF($CK877="Full IO",1,0)</f>
        <v/>
      </c>
      <c r="CM877" s="78">
        <f>IF($CK877="Partial IO",1,0)</f>
        <v/>
      </c>
      <c r="CN877" s="76">
        <f>IF(LEFT($F877&amp;"",10)="SPLIT_LOAN","Pari Passu Split","Standalone")</f>
        <v/>
      </c>
      <c r="CO877" s="78">
        <f>IF($CN877="Pari Passu Split",1,0)</f>
        <v/>
      </c>
      <c r="CP877" s="77">
        <f>IF(ISNUMBER($T877),YEAR($T877),"")</f>
        <v/>
      </c>
      <c r="CQ877" s="79">
        <f>IF(ISNUMBER($V877),$V877,IF(ISNUMBER($U877),$U877,""))</f>
        <v/>
      </c>
      <c r="CR877" s="77">
        <f>IF(ISNUMBER($CQ877),YEAR($CQ877),"")</f>
        <v/>
      </c>
      <c r="CS877" s="78">
        <f>IF(ISNUMBER($M877),MAX(0,$M877),IF(TRIM($M877&amp;"")="matured",0,""))</f>
        <v/>
      </c>
      <c r="CT877" s="78">
        <f>IF(AND(ISNUMBER($CS877),N($CS877)&lt;=mMatWindow),1,0)</f>
        <v/>
      </c>
      <c r="CU877" s="80">
        <f>IF(ISNUMBER($J877),$J877/100,"")</f>
        <v/>
      </c>
      <c r="CV877" s="81">
        <f>IF(ISNUMBER($AQ877),$AQ877,"")</f>
        <v/>
      </c>
      <c r="CW877" s="81">
        <f>IF(ISNUMBER($AR877),$AR877,"")</f>
        <v/>
      </c>
      <c r="CX877" s="82">
        <f>IF(ISNUMBER($AS877),$AS877/100,"")</f>
        <v/>
      </c>
      <c r="CY877" s="82">
        <f>IF(ISNUMBER($AT877),$AT877/100,"")</f>
        <v/>
      </c>
      <c r="CZ877" s="82">
        <f>IF(ISNUMBER($AU877),$AU877/100,"")</f>
        <v/>
      </c>
      <c r="DA877" s="82">
        <f>IF(ISNUMBER($AV877),$AV877/100,"")</f>
        <v/>
      </c>
      <c r="DB877" s="82">
        <f>IF(ISNUMBER($AW877),$AW877/100,"")</f>
        <v/>
      </c>
      <c r="DC877" s="82">
        <f>IF(ISNUMBER($AX877),$AX877/100,"")</f>
        <v/>
      </c>
      <c r="DD877" s="77">
        <f>IFERROR(VALUE(LEFT(TRIM($AO877&amp;""),4)),"")</f>
        <v/>
      </c>
      <c r="DE877" s="78">
        <f>IF(AND($BY877=1,$BX877=1,OR(fDeal="All Deals",$BU877=fDeal),OR(fEntity="All Entities",$BV877=fEntity),OR(fPType="All Property Types",$BZ877=fPType),OR(fDefeased="Include",$CJ877=0)),1,0)</f>
        <v/>
      </c>
      <c r="DF877" s="83">
        <f>$DE877*N($I877)</f>
        <v/>
      </c>
      <c r="DG877" s="78">
        <f>IF($DE877=1,IF(COUNTIFS($F$8:$F877,$F877,$DE$8:$DE877,1)=1,1,0),0)</f>
        <v/>
      </c>
      <c r="DH877" s="83">
        <f>IF($DG877=1,SUMIFS($DF$8:$DF$1600,$F$8:$F$1600,$F877),0)</f>
        <v/>
      </c>
      <c r="DI877" s="78">
        <f>IF($DG877=1,COUNTIFS($F$8:$F$1600,$F877,$DE$8:$DE$1600,1),0)</f>
        <v/>
      </c>
      <c r="DJ877" s="84">
        <f>IF($DG877=1,$DH877+(100000-ROW())/mTieBreak,0)</f>
        <v/>
      </c>
    </row>
    <row r="878">
      <c r="B878" s="68" t="n">
        <v>22</v>
      </c>
      <c r="C878" s="69" t="inlineStr">
        <is>
          <t>MSC18L1</t>
        </is>
      </c>
      <c r="D878" s="69" t="inlineStr">
        <is>
          <t>22.000</t>
        </is>
      </c>
      <c r="E878" s="69" t="inlineStr">
        <is>
          <t>Statesboro Crossing</t>
        </is>
      </c>
      <c r="F878" s="69" t="inlineStr">
        <is>
          <t>LNMSC18L1-22.000</t>
        </is>
      </c>
      <c r="G878" s="70" t="n"/>
      <c r="H878" s="71" t="n">
        <v>16125000</v>
      </c>
      <c r="I878" s="71" t="n">
        <v>14497170.99999863</v>
      </c>
      <c r="J878" s="72" t="n">
        <v>4.7</v>
      </c>
      <c r="K878" s="69" t="inlineStr">
        <is>
          <t>Fixed rate</t>
        </is>
      </c>
      <c r="L878" s="68" t="n">
        <v>120</v>
      </c>
      <c r="M878" s="68" t="n">
        <v>24</v>
      </c>
      <c r="N878" s="68" t="n">
        <v>384</v>
      </c>
      <c r="O878" s="68" t="n">
        <v>24</v>
      </c>
      <c r="P878" s="68" t="n">
        <v>0</v>
      </c>
      <c r="Q878" s="68" t="n">
        <v>96</v>
      </c>
      <c r="R878" s="69" t="inlineStr">
        <is>
          <t>IO then Amort</t>
        </is>
      </c>
      <c r="S878" s="69" t="inlineStr">
        <is>
          <t>No</t>
        </is>
      </c>
      <c r="T878" s="73" t="n">
        <v>43344</v>
      </c>
      <c r="U878" s="73" t="n">
        <v>46997</v>
      </c>
      <c r="V878" s="73" t="n"/>
      <c r="W878" s="69" t="n"/>
      <c r="X878" s="69" t="inlineStr">
        <is>
          <t>Current</t>
        </is>
      </c>
      <c r="Y878" s="68" t="n"/>
      <c r="Z878" s="69" t="inlineStr">
        <is>
          <t>No Defeasance Occurred</t>
        </is>
      </c>
      <c r="AA878" s="69" t="inlineStr">
        <is>
          <t>Previously</t>
        </is>
      </c>
      <c r="AB878" s="69" t="inlineStr">
        <is>
          <t>Never special serv</t>
        </is>
      </c>
      <c r="AC878" s="73" t="n"/>
      <c r="AD878" s="69" t="n"/>
      <c r="AE878" s="69" t="n"/>
      <c r="AF878" s="69" t="inlineStr">
        <is>
          <t>GA</t>
        </is>
      </c>
      <c r="AG878" s="69" t="inlineStr">
        <is>
          <t>Statesboro</t>
        </is>
      </c>
      <c r="AH878" s="69" t="inlineStr">
        <is>
          <t>Statesboro, GA</t>
        </is>
      </c>
      <c r="AI878" s="69" t="inlineStr">
        <is>
          <t>South / Atlantic</t>
        </is>
      </c>
      <c r="AJ878" s="69" t="inlineStr">
        <is>
          <t>RT</t>
        </is>
      </c>
      <c r="AK878" s="69" t="inlineStr">
        <is>
          <t>Anchored</t>
        </is>
      </c>
      <c r="AL878" s="68" t="n">
        <v>1</v>
      </c>
      <c r="AM878" s="68" t="n"/>
      <c r="AN878" s="68" t="n">
        <v>155185</v>
      </c>
      <c r="AO878" s="69" t="inlineStr">
        <is>
          <t>2008</t>
        </is>
      </c>
      <c r="AP878" s="70" t="n">
        <v>2018</v>
      </c>
      <c r="AQ878" s="74" t="n">
        <v>1.62</v>
      </c>
      <c r="AR878" s="74" t="n">
        <v>2.33</v>
      </c>
      <c r="AS878" s="74" t="n">
        <v>71.7</v>
      </c>
      <c r="AT878" s="74" t="n">
        <v>64.43000000000001</v>
      </c>
      <c r="AU878" s="74" t="n">
        <v>61.7</v>
      </c>
      <c r="AV878" s="74" t="n">
        <v>10.057068279</v>
      </c>
      <c r="AW878" s="74" t="n">
        <v>13.967890149</v>
      </c>
      <c r="AX878" s="75" t="n">
        <v>100</v>
      </c>
      <c r="AY878" s="71" t="n">
        <v>22500000</v>
      </c>
      <c r="AZ878" s="71" t="n">
        <v>22500000</v>
      </c>
      <c r="BA878" s="71" t="n">
        <v>1621702.26</v>
      </c>
      <c r="BB878" s="71" t="n">
        <v>2340651.34</v>
      </c>
      <c r="BC878" s="69" t="inlineStr">
        <is>
          <t>Acquisition</t>
        </is>
      </c>
      <c r="BD878" s="69" t="inlineStr">
        <is>
          <t>N</t>
        </is>
      </c>
      <c r="BE878" s="71" t="n"/>
      <c r="BF878" s="71" t="n"/>
      <c r="BG878" s="71" t="n"/>
      <c r="BH878" s="71" t="n">
        <v>0</v>
      </c>
      <c r="BI878" s="71" t="n">
        <v>0</v>
      </c>
      <c r="BJ878" s="69" t="inlineStr">
        <is>
          <t>N</t>
        </is>
      </c>
      <c r="BK878" s="69" t="inlineStr">
        <is>
          <t>Hobby Lobby</t>
        </is>
      </c>
      <c r="BL878" s="75" t="n">
        <v>32.22</v>
      </c>
      <c r="BM878" s="73" t="n">
        <v>47057</v>
      </c>
      <c r="BN878" s="69" t="inlineStr">
        <is>
          <t>James J. Morrison, Jr.</t>
        </is>
      </c>
      <c r="BO878" s="69" t="inlineStr">
        <is>
          <t>Morgan Stanley</t>
        </is>
      </c>
      <c r="BP878" s="69" t="inlineStr">
        <is>
          <t>Midland Loan Services</t>
        </is>
      </c>
      <c r="BQ878" s="69" t="inlineStr">
        <is>
          <t>K-Star Asset Management LLC</t>
        </is>
      </c>
      <c r="BR878" s="69" t="n"/>
      <c r="BS878" s="73" t="n">
        <v>46276</v>
      </c>
      <c r="BU878" s="76">
        <f>IF($C878="","",IFERROR(INDEX(dmName,MATCH($C878,dmID,0)),"Unmapped"))</f>
        <v/>
      </c>
      <c r="BV878" s="76">
        <f>IF($C878="","",IFERROR(INDEX(dmEntity,MATCH($C878,dmID,0)),"Unmapped"))</f>
        <v/>
      </c>
      <c r="BW878" s="77">
        <f>IF($C878="","",IFERROR(INDEX(dmVintage,MATCH($C878,dmID,0)),""))</f>
        <v/>
      </c>
      <c r="BX878" s="78">
        <f>IFERROR(INDEX(dmInclude,MATCH($C878,dmID,0)),0)</f>
        <v/>
      </c>
      <c r="BY878" s="78">
        <f>IF(N($I878)&gt;0,1,0)</f>
        <v/>
      </c>
      <c r="BZ878" s="76">
        <f>IF($AJ878="","Other / Leased Fee",IFERROR(INDEX(mapPTGroup,MATCH(LEFT(TRIM($AJ878),2),mapPTCode,0)),"Other / Leased Fee"))</f>
        <v/>
      </c>
      <c r="CA878" s="76">
        <f>IF(TRIM($AF878&amp;"")="","NR",LEFT(TRIM($AF878),2))</f>
        <v/>
      </c>
      <c r="CB878" s="76">
        <f>IFERROR(LOOKUP(2,1/(LEFT(TRIM($AI878&amp;""),LEN(mapRegion))=mapRegion),mapRegion),"Not Reported")</f>
        <v/>
      </c>
      <c r="CC878" s="76">
        <f>IF($BY878=0,"",IF(TRIM($W878&amp;"")="REO","REO",IF(TRIM($W878&amp;"")="FC","Foreclosure",IF(TRIM($W878&amp;"")="90+","90+ Days Delinquent",IF(TRIM($W878&amp;"")="60","60 Days Delinquent",IF(TRIM($W878&amp;"")="30","30 Days Delinquent",IF($X878="Non-Performing Matured Balloon","Non-Performing Matured Balloon",IF(OR($X878="Late Payment But Less Than 30 Days Delinquent",LEFT($X878&amp;"",20)="Payment Not Received"),"Late / In Grace (&lt;30 Days)",IF($X878="Performing Matured Balloon","Performing Matured Balloon","Current")))))))))</f>
        <v/>
      </c>
      <c r="CD878" s="78">
        <f>IF(OR($CC878="REO",$CC878="Foreclosure",$CC878="90+ Days Delinquent",$CC878="60 Days Delinquent",$CC878="30 Days Delinquent",$CC878="Non-Performing Matured Balloon"),1,0)</f>
        <v/>
      </c>
      <c r="CE878" s="76">
        <f>IF($AB878="Currently special serv","Currently Specially Serviced",IF($AB878="Returned to master serv","Previously Specially Serviced","Never Specially Serviced"))</f>
        <v/>
      </c>
      <c r="CF878" s="78">
        <f>IF($CE878="Currently Specially Serviced",1,0)</f>
        <v/>
      </c>
      <c r="CG878" s="76">
        <f>IF($AA878="Yes","Currently on Watchlist",IF($AA878="Previously","Previously on Watchlist","Never on Watchlist"))</f>
        <v/>
      </c>
      <c r="CH878" s="78">
        <f>IF($CG878="Currently on Watchlist",1,0)</f>
        <v/>
      </c>
      <c r="CI878" s="76">
        <f>IF($Z878="Full Defeasance","Fully Defeased",IF($Z878="Portion Of Loan Previously Defeased","Partially Defeased",IF($Z878="Defeasance Not Allowable","Not Defeased (Not Permitted)","Not Defeased")))</f>
        <v/>
      </c>
      <c r="CJ878" s="78">
        <f>IF($CI878="Fully Defeased",1,0)</f>
        <v/>
      </c>
      <c r="CK878" s="76">
        <f>IF($R878="IO","Full IO",IF(LEFT($R878&amp;"",7)="IO then","Partial IO","Amortizing"))</f>
        <v/>
      </c>
      <c r="CL878" s="78">
        <f>IF($CK878="Full IO",1,0)</f>
        <v/>
      </c>
      <c r="CM878" s="78">
        <f>IF($CK878="Partial IO",1,0)</f>
        <v/>
      </c>
      <c r="CN878" s="76">
        <f>IF(LEFT($F878&amp;"",10)="SPLIT_LOAN","Pari Passu Split","Standalone")</f>
        <v/>
      </c>
      <c r="CO878" s="78">
        <f>IF($CN878="Pari Passu Split",1,0)</f>
        <v/>
      </c>
      <c r="CP878" s="77">
        <f>IF(ISNUMBER($T878),YEAR($T878),"")</f>
        <v/>
      </c>
      <c r="CQ878" s="79">
        <f>IF(ISNUMBER($V878),$V878,IF(ISNUMBER($U878),$U878,""))</f>
        <v/>
      </c>
      <c r="CR878" s="77">
        <f>IF(ISNUMBER($CQ878),YEAR($CQ878),"")</f>
        <v/>
      </c>
      <c r="CS878" s="78">
        <f>IF(ISNUMBER($M878),MAX(0,$M878),IF(TRIM($M878&amp;"")="matured",0,""))</f>
        <v/>
      </c>
      <c r="CT878" s="78">
        <f>IF(AND(ISNUMBER($CS878),N($CS878)&lt;=mMatWindow),1,0)</f>
        <v/>
      </c>
      <c r="CU878" s="80">
        <f>IF(ISNUMBER($J878),$J878/100,"")</f>
        <v/>
      </c>
      <c r="CV878" s="81">
        <f>IF(ISNUMBER($AQ878),$AQ878,"")</f>
        <v/>
      </c>
      <c r="CW878" s="81">
        <f>IF(ISNUMBER($AR878),$AR878,"")</f>
        <v/>
      </c>
      <c r="CX878" s="82">
        <f>IF(ISNUMBER($AS878),$AS878/100,"")</f>
        <v/>
      </c>
      <c r="CY878" s="82">
        <f>IF(ISNUMBER($AT878),$AT878/100,"")</f>
        <v/>
      </c>
      <c r="CZ878" s="82">
        <f>IF(ISNUMBER($AU878),$AU878/100,"")</f>
        <v/>
      </c>
      <c r="DA878" s="82">
        <f>IF(ISNUMBER($AV878),$AV878/100,"")</f>
        <v/>
      </c>
      <c r="DB878" s="82">
        <f>IF(ISNUMBER($AW878),$AW878/100,"")</f>
        <v/>
      </c>
      <c r="DC878" s="82">
        <f>IF(ISNUMBER($AX878),$AX878/100,"")</f>
        <v/>
      </c>
      <c r="DD878" s="77">
        <f>IFERROR(VALUE(LEFT(TRIM($AO878&amp;""),4)),"")</f>
        <v/>
      </c>
      <c r="DE878" s="78">
        <f>IF(AND($BY878=1,$BX878=1,OR(fDeal="All Deals",$BU878=fDeal),OR(fEntity="All Entities",$BV878=fEntity),OR(fPType="All Property Types",$BZ878=fPType),OR(fDefeased="Include",$CJ878=0)),1,0)</f>
        <v/>
      </c>
      <c r="DF878" s="83">
        <f>$DE878*N($I878)</f>
        <v/>
      </c>
      <c r="DG878" s="78">
        <f>IF($DE878=1,IF(COUNTIFS($F$8:$F878,$F878,$DE$8:$DE878,1)=1,1,0),0)</f>
        <v/>
      </c>
      <c r="DH878" s="83">
        <f>IF($DG878=1,SUMIFS($DF$8:$DF$1600,$F$8:$F$1600,$F878),0)</f>
        <v/>
      </c>
      <c r="DI878" s="78">
        <f>IF($DG878=1,COUNTIFS($F$8:$F$1600,$F878,$DE$8:$DE$1600,1),0)</f>
        <v/>
      </c>
      <c r="DJ878" s="84">
        <f>IF($DG878=1,$DH878+(100000-ROW())/mTieBreak,0)</f>
        <v/>
      </c>
    </row>
    <row r="879">
      <c r="B879" s="68" t="n">
        <v>23</v>
      </c>
      <c r="C879" s="69" t="inlineStr">
        <is>
          <t>MSC18L1</t>
        </is>
      </c>
      <c r="D879" s="69" t="inlineStr">
        <is>
          <t>23.000</t>
        </is>
      </c>
      <c r="E879" s="69" t="inlineStr">
        <is>
          <t>Shoppes at Chino Hills</t>
        </is>
      </c>
      <c r="F879" s="69" t="inlineStr">
        <is>
          <t>SPLIT_LOAN_01296</t>
        </is>
      </c>
      <c r="G879" s="70" t="n">
        <v>1296</v>
      </c>
      <c r="H879" s="71" t="n">
        <v>13000000</v>
      </c>
      <c r="I879" s="71" t="n">
        <v>13000000</v>
      </c>
      <c r="J879" s="72" t="n">
        <v>5.175</v>
      </c>
      <c r="K879" s="69" t="inlineStr">
        <is>
          <t>Fixed rate</t>
        </is>
      </c>
      <c r="L879" s="68" t="n">
        <v>120</v>
      </c>
      <c r="M879" s="68" t="n">
        <v>21</v>
      </c>
      <c r="N879" s="68" t="n">
        <v>120</v>
      </c>
      <c r="O879" s="68" t="n">
        <v>120</v>
      </c>
      <c r="P879" s="68" t="n">
        <v>21</v>
      </c>
      <c r="Q879" s="68" t="n">
        <v>99</v>
      </c>
      <c r="R879" s="69" t="inlineStr">
        <is>
          <t>IO</t>
        </is>
      </c>
      <c r="S879" s="69" t="inlineStr">
        <is>
          <t>Yes</t>
        </is>
      </c>
      <c r="T879" s="73" t="n">
        <v>43252</v>
      </c>
      <c r="U879" s="73" t="n">
        <v>46905</v>
      </c>
      <c r="V879" s="73" t="n"/>
      <c r="W879" s="69" t="n"/>
      <c r="X879" s="69" t="inlineStr">
        <is>
          <t>Current</t>
        </is>
      </c>
      <c r="Y879" s="68" t="n"/>
      <c r="Z879" s="69" t="inlineStr">
        <is>
          <t>No Defeasance Occurred</t>
        </is>
      </c>
      <c r="AA879" s="69" t="inlineStr">
        <is>
          <t>Previously</t>
        </is>
      </c>
      <c r="AB879" s="69" t="inlineStr">
        <is>
          <t>Returned to master serv</t>
        </is>
      </c>
      <c r="AC879" s="73" t="n"/>
      <c r="AD879" s="69" t="inlineStr">
        <is>
          <t>Other</t>
        </is>
      </c>
      <c r="AE879" s="69" t="inlineStr">
        <is>
          <t>Resolved</t>
        </is>
      </c>
      <c r="AF879" s="69" t="inlineStr">
        <is>
          <t>CA</t>
        </is>
      </c>
      <c r="AG879" s="69" t="inlineStr">
        <is>
          <t>Chino Hills</t>
        </is>
      </c>
      <c r="AH879" s="69" t="inlineStr">
        <is>
          <t>Riverside-San Bernardino-Ontario, CA</t>
        </is>
      </c>
      <c r="AI879" s="69" t="inlineStr">
        <is>
          <t>West / Pacific South</t>
        </is>
      </c>
      <c r="AJ879" s="69" t="inlineStr">
        <is>
          <t>RT</t>
        </is>
      </c>
      <c r="AK879" s="69" t="inlineStr">
        <is>
          <t>Lifestyle</t>
        </is>
      </c>
      <c r="AL879" s="68" t="n">
        <v>1</v>
      </c>
      <c r="AM879" s="68" t="n"/>
      <c r="AN879" s="68" t="n">
        <v>378676</v>
      </c>
      <c r="AO879" s="69" t="inlineStr">
        <is>
          <t>2008</t>
        </is>
      </c>
      <c r="AP879" s="70" t="n">
        <v>2008</v>
      </c>
      <c r="AQ879" s="74" t="n">
        <v>1.55</v>
      </c>
      <c r="AR879" s="74" t="n">
        <v>1.56</v>
      </c>
      <c r="AS879" s="74" t="n">
        <v>62.5</v>
      </c>
      <c r="AT879" s="74" t="n">
        <v>62.5</v>
      </c>
      <c r="AU879" s="74" t="n">
        <v>62.5</v>
      </c>
      <c r="AV879" s="74" t="n">
        <v>8.130727218000001</v>
      </c>
      <c r="AW879" s="74" t="n">
        <v>8.164477518</v>
      </c>
      <c r="AX879" s="75" t="n">
        <v>83</v>
      </c>
      <c r="AY879" s="71" t="n">
        <v>176000000</v>
      </c>
      <c r="AZ879" s="71" t="n">
        <v>176000000</v>
      </c>
      <c r="BA879" s="71" t="n">
        <v>8943799.939999999</v>
      </c>
      <c r="BB879" s="71" t="n">
        <v>4487940.32</v>
      </c>
      <c r="BC879" s="69" t="inlineStr">
        <is>
          <t>Refinance</t>
        </is>
      </c>
      <c r="BD879" s="69" t="inlineStr">
        <is>
          <t>N</t>
        </is>
      </c>
      <c r="BE879" s="71" t="n">
        <v>97000000</v>
      </c>
      <c r="BF879" s="71" t="n"/>
      <c r="BG879" s="71" t="n"/>
      <c r="BH879" s="71" t="n">
        <v>0</v>
      </c>
      <c r="BI879" s="71" t="n">
        <v>0</v>
      </c>
      <c r="BJ879" s="69" t="inlineStr">
        <is>
          <t>Y</t>
        </is>
      </c>
      <c r="BK879" s="69" t="inlineStr">
        <is>
          <t>Barnes &amp; Noble Booksellers Inc.</t>
        </is>
      </c>
      <c r="BL879" s="75" t="n">
        <v>7.43</v>
      </c>
      <c r="BM879" s="73" t="n">
        <v>46934</v>
      </c>
      <c r="BN879" s="69" t="inlineStr">
        <is>
          <t>Dunhill Partners</t>
        </is>
      </c>
      <c r="BO879" s="69" t="inlineStr">
        <is>
          <t>Morgan Stanley</t>
        </is>
      </c>
      <c r="BP879" s="69" t="inlineStr">
        <is>
          <t>Midland Loan Services</t>
        </is>
      </c>
      <c r="BQ879" s="69" t="inlineStr">
        <is>
          <t>LNR Partners</t>
        </is>
      </c>
      <c r="BR879" s="69" t="n"/>
      <c r="BS879" s="73" t="n">
        <v>46276</v>
      </c>
      <c r="BU879" s="76">
        <f>IF($C879="","",IFERROR(INDEX(dmName,MATCH($C879,dmID,0)),"Unmapped"))</f>
        <v/>
      </c>
      <c r="BV879" s="76">
        <f>IF($C879="","",IFERROR(INDEX(dmEntity,MATCH($C879,dmID,0)),"Unmapped"))</f>
        <v/>
      </c>
      <c r="BW879" s="77">
        <f>IF($C879="","",IFERROR(INDEX(dmVintage,MATCH($C879,dmID,0)),""))</f>
        <v/>
      </c>
      <c r="BX879" s="78">
        <f>IFERROR(INDEX(dmInclude,MATCH($C879,dmID,0)),0)</f>
        <v/>
      </c>
      <c r="BY879" s="78">
        <f>IF(N($I879)&gt;0,1,0)</f>
        <v/>
      </c>
      <c r="BZ879" s="76">
        <f>IF($AJ879="","Other / Leased Fee",IFERROR(INDEX(mapPTGroup,MATCH(LEFT(TRIM($AJ879),2),mapPTCode,0)),"Other / Leased Fee"))</f>
        <v/>
      </c>
      <c r="CA879" s="76">
        <f>IF(TRIM($AF879&amp;"")="","NR",LEFT(TRIM($AF879),2))</f>
        <v/>
      </c>
      <c r="CB879" s="76">
        <f>IFERROR(LOOKUP(2,1/(LEFT(TRIM($AI879&amp;""),LEN(mapRegion))=mapRegion),mapRegion),"Not Reported")</f>
        <v/>
      </c>
      <c r="CC879" s="76">
        <f>IF($BY879=0,"",IF(TRIM($W879&amp;"")="REO","REO",IF(TRIM($W879&amp;"")="FC","Foreclosure",IF(TRIM($W879&amp;"")="90+","90+ Days Delinquent",IF(TRIM($W879&amp;"")="60","60 Days Delinquent",IF(TRIM($W879&amp;"")="30","30 Days Delinquent",IF($X879="Non-Performing Matured Balloon","Non-Performing Matured Balloon",IF(OR($X879="Late Payment But Less Than 30 Days Delinquent",LEFT($X879&amp;"",20)="Payment Not Received"),"Late / In Grace (&lt;30 Days)",IF($X879="Performing Matured Balloon","Performing Matured Balloon","Current")))))))))</f>
        <v/>
      </c>
      <c r="CD879" s="78">
        <f>IF(OR($CC879="REO",$CC879="Foreclosure",$CC879="90+ Days Delinquent",$CC879="60 Days Delinquent",$CC879="30 Days Delinquent",$CC879="Non-Performing Matured Balloon"),1,0)</f>
        <v/>
      </c>
      <c r="CE879" s="76">
        <f>IF($AB879="Currently special serv","Currently Specially Serviced",IF($AB879="Returned to master serv","Previously Specially Serviced","Never Specially Serviced"))</f>
        <v/>
      </c>
      <c r="CF879" s="78">
        <f>IF($CE879="Currently Specially Serviced",1,0)</f>
        <v/>
      </c>
      <c r="CG879" s="76">
        <f>IF($AA879="Yes","Currently on Watchlist",IF($AA879="Previously","Previously on Watchlist","Never on Watchlist"))</f>
        <v/>
      </c>
      <c r="CH879" s="78">
        <f>IF($CG879="Currently on Watchlist",1,0)</f>
        <v/>
      </c>
      <c r="CI879" s="76">
        <f>IF($Z879="Full Defeasance","Fully Defeased",IF($Z879="Portion Of Loan Previously Defeased","Partially Defeased",IF($Z879="Defeasance Not Allowable","Not Defeased (Not Permitted)","Not Defeased")))</f>
        <v/>
      </c>
      <c r="CJ879" s="78">
        <f>IF($CI879="Fully Defeased",1,0)</f>
        <v/>
      </c>
      <c r="CK879" s="76">
        <f>IF($R879="IO","Full IO",IF(LEFT($R879&amp;"",7)="IO then","Partial IO","Amortizing"))</f>
        <v/>
      </c>
      <c r="CL879" s="78">
        <f>IF($CK879="Full IO",1,0)</f>
        <v/>
      </c>
      <c r="CM879" s="78">
        <f>IF($CK879="Partial IO",1,0)</f>
        <v/>
      </c>
      <c r="CN879" s="76">
        <f>IF(LEFT($F879&amp;"",10)="SPLIT_LOAN","Pari Passu Split","Standalone")</f>
        <v/>
      </c>
      <c r="CO879" s="78">
        <f>IF($CN879="Pari Passu Split",1,0)</f>
        <v/>
      </c>
      <c r="CP879" s="77">
        <f>IF(ISNUMBER($T879),YEAR($T879),"")</f>
        <v/>
      </c>
      <c r="CQ879" s="79">
        <f>IF(ISNUMBER($V879),$V879,IF(ISNUMBER($U879),$U879,""))</f>
        <v/>
      </c>
      <c r="CR879" s="77">
        <f>IF(ISNUMBER($CQ879),YEAR($CQ879),"")</f>
        <v/>
      </c>
      <c r="CS879" s="78">
        <f>IF(ISNUMBER($M879),MAX(0,$M879),IF(TRIM($M879&amp;"")="matured",0,""))</f>
        <v/>
      </c>
      <c r="CT879" s="78">
        <f>IF(AND(ISNUMBER($CS879),N($CS879)&lt;=mMatWindow),1,0)</f>
        <v/>
      </c>
      <c r="CU879" s="80">
        <f>IF(ISNUMBER($J879),$J879/100,"")</f>
        <v/>
      </c>
      <c r="CV879" s="81">
        <f>IF(ISNUMBER($AQ879),$AQ879,"")</f>
        <v/>
      </c>
      <c r="CW879" s="81">
        <f>IF(ISNUMBER($AR879),$AR879,"")</f>
        <v/>
      </c>
      <c r="CX879" s="82">
        <f>IF(ISNUMBER($AS879),$AS879/100,"")</f>
        <v/>
      </c>
      <c r="CY879" s="82">
        <f>IF(ISNUMBER($AT879),$AT879/100,"")</f>
        <v/>
      </c>
      <c r="CZ879" s="82">
        <f>IF(ISNUMBER($AU879),$AU879/100,"")</f>
        <v/>
      </c>
      <c r="DA879" s="82">
        <f>IF(ISNUMBER($AV879),$AV879/100,"")</f>
        <v/>
      </c>
      <c r="DB879" s="82">
        <f>IF(ISNUMBER($AW879),$AW879/100,"")</f>
        <v/>
      </c>
      <c r="DC879" s="82">
        <f>IF(ISNUMBER($AX879),$AX879/100,"")</f>
        <v/>
      </c>
      <c r="DD879" s="77">
        <f>IFERROR(VALUE(LEFT(TRIM($AO879&amp;""),4)),"")</f>
        <v/>
      </c>
      <c r="DE879" s="78">
        <f>IF(AND($BY879=1,$BX879=1,OR(fDeal="All Deals",$BU879=fDeal),OR(fEntity="All Entities",$BV879=fEntity),OR(fPType="All Property Types",$BZ879=fPType),OR(fDefeased="Include",$CJ879=0)),1,0)</f>
        <v/>
      </c>
      <c r="DF879" s="83">
        <f>$DE879*N($I879)</f>
        <v/>
      </c>
      <c r="DG879" s="78">
        <f>IF($DE879=1,IF(COUNTIFS($F$8:$F879,$F879,$DE$8:$DE879,1)=1,1,0),0)</f>
        <v/>
      </c>
      <c r="DH879" s="83">
        <f>IF($DG879=1,SUMIFS($DF$8:$DF$1600,$F$8:$F$1600,$F879),0)</f>
        <v/>
      </c>
      <c r="DI879" s="78">
        <f>IF($DG879=1,COUNTIFS($F$8:$F$1600,$F879,$DE$8:$DE$1600,1),0)</f>
        <v/>
      </c>
      <c r="DJ879" s="84">
        <f>IF($DG879=1,$DH879+(100000-ROW())/mTieBreak,0)</f>
        <v/>
      </c>
    </row>
    <row r="880">
      <c r="B880" s="68" t="n">
        <v>24</v>
      </c>
      <c r="C880" s="69" t="inlineStr">
        <is>
          <t>MSC18L1</t>
        </is>
      </c>
      <c r="D880" s="69" t="inlineStr">
        <is>
          <t>24.000</t>
        </is>
      </c>
      <c r="E880" s="69" t="inlineStr">
        <is>
          <t>38505 Woodward</t>
        </is>
      </c>
      <c r="F880" s="69" t="inlineStr">
        <is>
          <t>LNMSC18L1-24.000</t>
        </is>
      </c>
      <c r="G880" s="70" t="n"/>
      <c r="H880" s="71" t="n">
        <v>11500000</v>
      </c>
      <c r="I880" s="71" t="n">
        <v>10037139.8999995</v>
      </c>
      <c r="J880" s="72" t="n">
        <v>5.35</v>
      </c>
      <c r="K880" s="69" t="inlineStr">
        <is>
          <t>Fixed rate</t>
        </is>
      </c>
      <c r="L880" s="68" t="n">
        <v>120</v>
      </c>
      <c r="M880" s="68" t="n">
        <v>24</v>
      </c>
      <c r="N880" s="68" t="n">
        <v>360</v>
      </c>
      <c r="O880" s="68" t="n"/>
      <c r="P880" s="68" t="n"/>
      <c r="Q880" s="68" t="n">
        <v>96</v>
      </c>
      <c r="R880" s="69" t="n"/>
      <c r="S880" s="69" t="inlineStr">
        <is>
          <t>No</t>
        </is>
      </c>
      <c r="T880" s="73" t="n">
        <v>43344</v>
      </c>
      <c r="U880" s="73" t="n">
        <v>47002</v>
      </c>
      <c r="V880" s="73" t="n"/>
      <c r="W880" s="69" t="n"/>
      <c r="X880" s="69" t="inlineStr">
        <is>
          <t>Current</t>
        </is>
      </c>
      <c r="Y880" s="68" t="n"/>
      <c r="Z880" s="69" t="inlineStr">
        <is>
          <t>Full Defeasance</t>
        </is>
      </c>
      <c r="AA880" s="69" t="inlineStr">
        <is>
          <t>Previously</t>
        </is>
      </c>
      <c r="AB880" s="69" t="inlineStr">
        <is>
          <t>Never special serv</t>
        </is>
      </c>
      <c r="AC880" s="73" t="n"/>
      <c r="AD880" s="69" t="n"/>
      <c r="AE880" s="69" t="n"/>
      <c r="AF880" s="69" t="inlineStr">
        <is>
          <t>MI</t>
        </is>
      </c>
      <c r="AG880" s="69" t="inlineStr">
        <is>
          <t>Bloomfield Hills</t>
        </is>
      </c>
      <c r="AH880" s="69" t="inlineStr">
        <is>
          <t>Detroit-Warren-Dearborn, MI</t>
        </is>
      </c>
      <c r="AI880" s="69" t="inlineStr">
        <is>
          <t>Midwest / Central East</t>
        </is>
      </c>
      <c r="AJ880" s="69" t="inlineStr">
        <is>
          <t>OF</t>
        </is>
      </c>
      <c r="AK880" s="69" t="inlineStr">
        <is>
          <t>Suburban</t>
        </is>
      </c>
      <c r="AL880" s="68" t="n">
        <v>1</v>
      </c>
      <c r="AM880" s="68" t="n"/>
      <c r="AN880" s="68" t="n">
        <v>84160</v>
      </c>
      <c r="AO880" s="69" t="inlineStr">
        <is>
          <t>1980</t>
        </is>
      </c>
      <c r="AP880" s="70" t="n">
        <v>2017</v>
      </c>
      <c r="AQ880" s="74" t="n">
        <v>1.47</v>
      </c>
      <c r="AR880" s="74" t="n">
        <v>1.59</v>
      </c>
      <c r="AS880" s="74" t="n">
        <v>68.40000000000001</v>
      </c>
      <c r="AT880" s="74" t="n">
        <v>59.74</v>
      </c>
      <c r="AU880" s="74" t="n">
        <v>57</v>
      </c>
      <c r="AV880" s="74" t="n">
        <v>9.877320435</v>
      </c>
      <c r="AW880" s="74" t="n">
        <v>16.306253039</v>
      </c>
      <c r="AX880" s="75" t="n">
        <v>100</v>
      </c>
      <c r="AY880" s="71" t="n">
        <v>16800000</v>
      </c>
      <c r="AZ880" s="71" t="n">
        <v>16800000</v>
      </c>
      <c r="BA880" s="71" t="n">
        <v>1135891.85</v>
      </c>
      <c r="BB880" s="71" t="n">
        <v>1636681.43</v>
      </c>
      <c r="BC880" s="69" t="inlineStr">
        <is>
          <t>Refinance</t>
        </is>
      </c>
      <c r="BD880" s="69" t="inlineStr">
        <is>
          <t>N</t>
        </is>
      </c>
      <c r="BE880" s="71" t="n"/>
      <c r="BF880" s="71" t="n"/>
      <c r="BG880" s="71" t="n"/>
      <c r="BH880" s="71" t="n">
        <v>0</v>
      </c>
      <c r="BI880" s="71" t="n">
        <v>0</v>
      </c>
      <c r="BJ880" s="69" t="inlineStr">
        <is>
          <t>N</t>
        </is>
      </c>
      <c r="BK880" s="69" t="inlineStr">
        <is>
          <t>Plunkett Cooney P.C.</t>
        </is>
      </c>
      <c r="BL880" s="75" t="n">
        <v>55.83</v>
      </c>
      <c r="BM880" s="73" t="n">
        <v>46265</v>
      </c>
      <c r="BN880" s="69" t="inlineStr">
        <is>
          <t>Gabriel L. Schuchman</t>
        </is>
      </c>
      <c r="BO880" s="69" t="inlineStr">
        <is>
          <t>Starwood</t>
        </is>
      </c>
      <c r="BP880" s="69" t="inlineStr">
        <is>
          <t>Midland Loan Services</t>
        </is>
      </c>
      <c r="BQ880" s="69" t="inlineStr">
        <is>
          <t>K-Star Asset Management LLC</t>
        </is>
      </c>
      <c r="BR880" s="69" t="n"/>
      <c r="BS880" s="73" t="n">
        <v>46276</v>
      </c>
      <c r="BU880" s="76">
        <f>IF($C880="","",IFERROR(INDEX(dmName,MATCH($C880,dmID,0)),"Unmapped"))</f>
        <v/>
      </c>
      <c r="BV880" s="76">
        <f>IF($C880="","",IFERROR(INDEX(dmEntity,MATCH($C880,dmID,0)),"Unmapped"))</f>
        <v/>
      </c>
      <c r="BW880" s="77">
        <f>IF($C880="","",IFERROR(INDEX(dmVintage,MATCH($C880,dmID,0)),""))</f>
        <v/>
      </c>
      <c r="BX880" s="78">
        <f>IFERROR(INDEX(dmInclude,MATCH($C880,dmID,0)),0)</f>
        <v/>
      </c>
      <c r="BY880" s="78">
        <f>IF(N($I880)&gt;0,1,0)</f>
        <v/>
      </c>
      <c r="BZ880" s="76">
        <f>IF($AJ880="","Other / Leased Fee",IFERROR(INDEX(mapPTGroup,MATCH(LEFT(TRIM($AJ880),2),mapPTCode,0)),"Other / Leased Fee"))</f>
        <v/>
      </c>
      <c r="CA880" s="76">
        <f>IF(TRIM($AF880&amp;"")="","NR",LEFT(TRIM($AF880),2))</f>
        <v/>
      </c>
      <c r="CB880" s="76">
        <f>IFERROR(LOOKUP(2,1/(LEFT(TRIM($AI880&amp;""),LEN(mapRegion))=mapRegion),mapRegion),"Not Reported")</f>
        <v/>
      </c>
      <c r="CC880" s="76">
        <f>IF($BY880=0,"",IF(TRIM($W880&amp;"")="REO","REO",IF(TRIM($W880&amp;"")="FC","Foreclosure",IF(TRIM($W880&amp;"")="90+","90+ Days Delinquent",IF(TRIM($W880&amp;"")="60","60 Days Delinquent",IF(TRIM($W880&amp;"")="30","30 Days Delinquent",IF($X880="Non-Performing Matured Balloon","Non-Performing Matured Balloon",IF(OR($X880="Late Payment But Less Than 30 Days Delinquent",LEFT($X880&amp;"",20)="Payment Not Received"),"Late / In Grace (&lt;30 Days)",IF($X880="Performing Matured Balloon","Performing Matured Balloon","Current")))))))))</f>
        <v/>
      </c>
      <c r="CD880" s="78">
        <f>IF(OR($CC880="REO",$CC880="Foreclosure",$CC880="90+ Days Delinquent",$CC880="60 Days Delinquent",$CC880="30 Days Delinquent",$CC880="Non-Performing Matured Balloon"),1,0)</f>
        <v/>
      </c>
      <c r="CE880" s="76">
        <f>IF($AB880="Currently special serv","Currently Specially Serviced",IF($AB880="Returned to master serv","Previously Specially Serviced","Never Specially Serviced"))</f>
        <v/>
      </c>
      <c r="CF880" s="78">
        <f>IF($CE880="Currently Specially Serviced",1,0)</f>
        <v/>
      </c>
      <c r="CG880" s="76">
        <f>IF($AA880="Yes","Currently on Watchlist",IF($AA880="Previously","Previously on Watchlist","Never on Watchlist"))</f>
        <v/>
      </c>
      <c r="CH880" s="78">
        <f>IF($CG880="Currently on Watchlist",1,0)</f>
        <v/>
      </c>
      <c r="CI880" s="76">
        <f>IF($Z880="Full Defeasance","Fully Defeased",IF($Z880="Portion Of Loan Previously Defeased","Partially Defeased",IF($Z880="Defeasance Not Allowable","Not Defeased (Not Permitted)","Not Defeased")))</f>
        <v/>
      </c>
      <c r="CJ880" s="78">
        <f>IF($CI880="Fully Defeased",1,0)</f>
        <v/>
      </c>
      <c r="CK880" s="76">
        <f>IF($R880="IO","Full IO",IF(LEFT($R880&amp;"",7)="IO then","Partial IO","Amortizing"))</f>
        <v/>
      </c>
      <c r="CL880" s="78">
        <f>IF($CK880="Full IO",1,0)</f>
        <v/>
      </c>
      <c r="CM880" s="78">
        <f>IF($CK880="Partial IO",1,0)</f>
        <v/>
      </c>
      <c r="CN880" s="76">
        <f>IF(LEFT($F880&amp;"",10)="SPLIT_LOAN","Pari Passu Split","Standalone")</f>
        <v/>
      </c>
      <c r="CO880" s="78">
        <f>IF($CN880="Pari Passu Split",1,0)</f>
        <v/>
      </c>
      <c r="CP880" s="77">
        <f>IF(ISNUMBER($T880),YEAR($T880),"")</f>
        <v/>
      </c>
      <c r="CQ880" s="79">
        <f>IF(ISNUMBER($V880),$V880,IF(ISNUMBER($U880),$U880,""))</f>
        <v/>
      </c>
      <c r="CR880" s="77">
        <f>IF(ISNUMBER($CQ880),YEAR($CQ880),"")</f>
        <v/>
      </c>
      <c r="CS880" s="78">
        <f>IF(ISNUMBER($M880),MAX(0,$M880),IF(TRIM($M880&amp;"")="matured",0,""))</f>
        <v/>
      </c>
      <c r="CT880" s="78">
        <f>IF(AND(ISNUMBER($CS880),N($CS880)&lt;=mMatWindow),1,0)</f>
        <v/>
      </c>
      <c r="CU880" s="80">
        <f>IF(ISNUMBER($J880),$J880/100,"")</f>
        <v/>
      </c>
      <c r="CV880" s="81">
        <f>IF(ISNUMBER($AQ880),$AQ880,"")</f>
        <v/>
      </c>
      <c r="CW880" s="81">
        <f>IF(ISNUMBER($AR880),$AR880,"")</f>
        <v/>
      </c>
      <c r="CX880" s="82">
        <f>IF(ISNUMBER($AS880),$AS880/100,"")</f>
        <v/>
      </c>
      <c r="CY880" s="82">
        <f>IF(ISNUMBER($AT880),$AT880/100,"")</f>
        <v/>
      </c>
      <c r="CZ880" s="82">
        <f>IF(ISNUMBER($AU880),$AU880/100,"")</f>
        <v/>
      </c>
      <c r="DA880" s="82">
        <f>IF(ISNUMBER($AV880),$AV880/100,"")</f>
        <v/>
      </c>
      <c r="DB880" s="82">
        <f>IF(ISNUMBER($AW880),$AW880/100,"")</f>
        <v/>
      </c>
      <c r="DC880" s="82">
        <f>IF(ISNUMBER($AX880),$AX880/100,"")</f>
        <v/>
      </c>
      <c r="DD880" s="77">
        <f>IFERROR(VALUE(LEFT(TRIM($AO880&amp;""),4)),"")</f>
        <v/>
      </c>
      <c r="DE880" s="78">
        <f>IF(AND($BY880=1,$BX880=1,OR(fDeal="All Deals",$BU880=fDeal),OR(fEntity="All Entities",$BV880=fEntity),OR(fPType="All Property Types",$BZ880=fPType),OR(fDefeased="Include",$CJ880=0)),1,0)</f>
        <v/>
      </c>
      <c r="DF880" s="83">
        <f>$DE880*N($I880)</f>
        <v/>
      </c>
      <c r="DG880" s="78">
        <f>IF($DE880=1,IF(COUNTIFS($F$8:$F880,$F880,$DE$8:$DE880,1)=1,1,0),0)</f>
        <v/>
      </c>
      <c r="DH880" s="83">
        <f>IF($DG880=1,SUMIFS($DF$8:$DF$1600,$F$8:$F$1600,$F880),0)</f>
        <v/>
      </c>
      <c r="DI880" s="78">
        <f>IF($DG880=1,COUNTIFS($F$8:$F$1600,$F880,$DE$8:$DE$1600,1),0)</f>
        <v/>
      </c>
      <c r="DJ880" s="84">
        <f>IF($DG880=1,$DH880+(100000-ROW())/mTieBreak,0)</f>
        <v/>
      </c>
    </row>
    <row r="881">
      <c r="B881" s="68" t="n">
        <v>25</v>
      </c>
      <c r="C881" s="69" t="inlineStr">
        <is>
          <t>MSC18L1</t>
        </is>
      </c>
      <c r="D881" s="69" t="inlineStr">
        <is>
          <t>25.000</t>
        </is>
      </c>
      <c r="E881" s="69" t="inlineStr">
        <is>
          <t>2600 &amp; 2700 Falkenburg Road</t>
        </is>
      </c>
      <c r="F881" s="69" t="inlineStr">
        <is>
          <t>LNMSC18L1-25.000</t>
        </is>
      </c>
      <c r="G881" s="70" t="n"/>
      <c r="H881" s="71" t="n">
        <v>10250000</v>
      </c>
      <c r="I881" s="71" t="n">
        <v>9469577.089997999</v>
      </c>
      <c r="J881" s="72" t="n">
        <v>5.119</v>
      </c>
      <c r="K881" s="69" t="inlineStr">
        <is>
          <t>Fixed rate</t>
        </is>
      </c>
      <c r="L881" s="68" t="n">
        <v>120</v>
      </c>
      <c r="M881" s="68" t="n">
        <v>24</v>
      </c>
      <c r="N881" s="68" t="n">
        <v>396</v>
      </c>
      <c r="O881" s="68" t="n">
        <v>36</v>
      </c>
      <c r="P881" s="68" t="n">
        <v>0</v>
      </c>
      <c r="Q881" s="68" t="n">
        <v>96</v>
      </c>
      <c r="R881" s="69" t="inlineStr">
        <is>
          <t>IO then Amort</t>
        </is>
      </c>
      <c r="S881" s="69" t="inlineStr">
        <is>
          <t>No</t>
        </is>
      </c>
      <c r="T881" s="73" t="n">
        <v>43344</v>
      </c>
      <c r="U881" s="73" t="n">
        <v>47002</v>
      </c>
      <c r="V881" s="73" t="n"/>
      <c r="W881" s="69" t="n"/>
      <c r="X881" s="69" t="inlineStr">
        <is>
          <t>Current</t>
        </is>
      </c>
      <c r="Y881" s="68" t="n"/>
      <c r="Z881" s="69" t="inlineStr">
        <is>
          <t>No Defeasance Occurred</t>
        </is>
      </c>
      <c r="AA881" s="69" t="inlineStr">
        <is>
          <t>Previously</t>
        </is>
      </c>
      <c r="AB881" s="69" t="inlineStr">
        <is>
          <t>Never special serv</t>
        </is>
      </c>
      <c r="AC881" s="73" t="n"/>
      <c r="AD881" s="69" t="n"/>
      <c r="AE881" s="69" t="n"/>
      <c r="AF881" s="69" t="inlineStr">
        <is>
          <t>FL</t>
        </is>
      </c>
      <c r="AG881" s="69" t="inlineStr">
        <is>
          <t>Riverview</t>
        </is>
      </c>
      <c r="AH881" s="69" t="inlineStr">
        <is>
          <t>Tampa-St. Petersburg-Clearwater, FL</t>
        </is>
      </c>
      <c r="AI881" s="69" t="inlineStr">
        <is>
          <t>South / Atlantic</t>
        </is>
      </c>
      <c r="AJ881" s="69" t="inlineStr">
        <is>
          <t>IN</t>
        </is>
      </c>
      <c r="AK881" s="69" t="inlineStr">
        <is>
          <t>Flex</t>
        </is>
      </c>
      <c r="AL881" s="68" t="n">
        <v>1</v>
      </c>
      <c r="AM881" s="68" t="n"/>
      <c r="AN881" s="68" t="n">
        <v>134082</v>
      </c>
      <c r="AO881" s="69" t="inlineStr">
        <is>
          <t>2001</t>
        </is>
      </c>
      <c r="AP881" s="70" t="n">
        <v>2001</v>
      </c>
      <c r="AQ881" s="74" t="n">
        <v>1.64</v>
      </c>
      <c r="AR881" s="74" t="n">
        <v>2.21</v>
      </c>
      <c r="AS881" s="74" t="n">
        <v>65.8</v>
      </c>
      <c r="AT881" s="74" t="n">
        <v>60.8</v>
      </c>
      <c r="AU881" s="74" t="n">
        <v>58.5</v>
      </c>
      <c r="AV881" s="74" t="n">
        <v>10.697293366</v>
      </c>
      <c r="AW881" s="74" t="n">
        <v>15.622294807</v>
      </c>
      <c r="AX881" s="75" t="n">
        <v>93</v>
      </c>
      <c r="AY881" s="71" t="n">
        <v>15575000</v>
      </c>
      <c r="AZ881" s="71" t="n">
        <v>15575000</v>
      </c>
      <c r="BA881" s="71" t="n">
        <v>1096472.57</v>
      </c>
      <c r="BB881" s="71" t="n">
        <v>1479365.25</v>
      </c>
      <c r="BC881" s="69" t="inlineStr">
        <is>
          <t>Acquisition</t>
        </is>
      </c>
      <c r="BD881" s="69" t="inlineStr">
        <is>
          <t>N</t>
        </is>
      </c>
      <c r="BE881" s="71" t="n"/>
      <c r="BF881" s="71" t="n"/>
      <c r="BG881" s="71" t="n"/>
      <c r="BH881" s="71" t="n">
        <v>0</v>
      </c>
      <c r="BI881" s="71" t="n">
        <v>0</v>
      </c>
      <c r="BJ881" s="69" t="inlineStr">
        <is>
          <t>N</t>
        </is>
      </c>
      <c r="BK881" s="69" t="inlineStr">
        <is>
          <t>Clayton Holdings LLC</t>
        </is>
      </c>
      <c r="BL881" s="75" t="n">
        <v>30.21</v>
      </c>
      <c r="BM881" s="73" t="n">
        <v>46660</v>
      </c>
      <c r="BN881" s="69" t="inlineStr">
        <is>
          <t>Chris B. Campbell</t>
        </is>
      </c>
      <c r="BO881" s="69" t="inlineStr">
        <is>
          <t>Starwood</t>
        </is>
      </c>
      <c r="BP881" s="69" t="inlineStr">
        <is>
          <t>Midland Loan Services</t>
        </is>
      </c>
      <c r="BQ881" s="69" t="inlineStr">
        <is>
          <t>K-Star Asset Management LLC</t>
        </is>
      </c>
      <c r="BR881" s="69" t="n"/>
      <c r="BS881" s="73" t="n">
        <v>46276</v>
      </c>
      <c r="BU881" s="76">
        <f>IF($C881="","",IFERROR(INDEX(dmName,MATCH($C881,dmID,0)),"Unmapped"))</f>
        <v/>
      </c>
      <c r="BV881" s="76">
        <f>IF($C881="","",IFERROR(INDEX(dmEntity,MATCH($C881,dmID,0)),"Unmapped"))</f>
        <v/>
      </c>
      <c r="BW881" s="77">
        <f>IF($C881="","",IFERROR(INDEX(dmVintage,MATCH($C881,dmID,0)),""))</f>
        <v/>
      </c>
      <c r="BX881" s="78">
        <f>IFERROR(INDEX(dmInclude,MATCH($C881,dmID,0)),0)</f>
        <v/>
      </c>
      <c r="BY881" s="78">
        <f>IF(N($I881)&gt;0,1,0)</f>
        <v/>
      </c>
      <c r="BZ881" s="76">
        <f>IF($AJ881="","Other / Leased Fee",IFERROR(INDEX(mapPTGroup,MATCH(LEFT(TRIM($AJ881),2),mapPTCode,0)),"Other / Leased Fee"))</f>
        <v/>
      </c>
      <c r="CA881" s="76">
        <f>IF(TRIM($AF881&amp;"")="","NR",LEFT(TRIM($AF881),2))</f>
        <v/>
      </c>
      <c r="CB881" s="76">
        <f>IFERROR(LOOKUP(2,1/(LEFT(TRIM($AI881&amp;""),LEN(mapRegion))=mapRegion),mapRegion),"Not Reported")</f>
        <v/>
      </c>
      <c r="CC881" s="76">
        <f>IF($BY881=0,"",IF(TRIM($W881&amp;"")="REO","REO",IF(TRIM($W881&amp;"")="FC","Foreclosure",IF(TRIM($W881&amp;"")="90+","90+ Days Delinquent",IF(TRIM($W881&amp;"")="60","60 Days Delinquent",IF(TRIM($W881&amp;"")="30","30 Days Delinquent",IF($X881="Non-Performing Matured Balloon","Non-Performing Matured Balloon",IF(OR($X881="Late Payment But Less Than 30 Days Delinquent",LEFT($X881&amp;"",20)="Payment Not Received"),"Late / In Grace (&lt;30 Days)",IF($X881="Performing Matured Balloon","Performing Matured Balloon","Current")))))))))</f>
        <v/>
      </c>
      <c r="CD881" s="78">
        <f>IF(OR($CC881="REO",$CC881="Foreclosure",$CC881="90+ Days Delinquent",$CC881="60 Days Delinquent",$CC881="30 Days Delinquent",$CC881="Non-Performing Matured Balloon"),1,0)</f>
        <v/>
      </c>
      <c r="CE881" s="76">
        <f>IF($AB881="Currently special serv","Currently Specially Serviced",IF($AB881="Returned to master serv","Previously Specially Serviced","Never Specially Serviced"))</f>
        <v/>
      </c>
      <c r="CF881" s="78">
        <f>IF($CE881="Currently Specially Serviced",1,0)</f>
        <v/>
      </c>
      <c r="CG881" s="76">
        <f>IF($AA881="Yes","Currently on Watchlist",IF($AA881="Previously","Previously on Watchlist","Never on Watchlist"))</f>
        <v/>
      </c>
      <c r="CH881" s="78">
        <f>IF($CG881="Currently on Watchlist",1,0)</f>
        <v/>
      </c>
      <c r="CI881" s="76">
        <f>IF($Z881="Full Defeasance","Fully Defeased",IF($Z881="Portion Of Loan Previously Defeased","Partially Defeased",IF($Z881="Defeasance Not Allowable","Not Defeased (Not Permitted)","Not Defeased")))</f>
        <v/>
      </c>
      <c r="CJ881" s="78">
        <f>IF($CI881="Fully Defeased",1,0)</f>
        <v/>
      </c>
      <c r="CK881" s="76">
        <f>IF($R881="IO","Full IO",IF(LEFT($R881&amp;"",7)="IO then","Partial IO","Amortizing"))</f>
        <v/>
      </c>
      <c r="CL881" s="78">
        <f>IF($CK881="Full IO",1,0)</f>
        <v/>
      </c>
      <c r="CM881" s="78">
        <f>IF($CK881="Partial IO",1,0)</f>
        <v/>
      </c>
      <c r="CN881" s="76">
        <f>IF(LEFT($F881&amp;"",10)="SPLIT_LOAN","Pari Passu Split","Standalone")</f>
        <v/>
      </c>
      <c r="CO881" s="78">
        <f>IF($CN881="Pari Passu Split",1,0)</f>
        <v/>
      </c>
      <c r="CP881" s="77">
        <f>IF(ISNUMBER($T881),YEAR($T881),"")</f>
        <v/>
      </c>
      <c r="CQ881" s="79">
        <f>IF(ISNUMBER($V881),$V881,IF(ISNUMBER($U881),$U881,""))</f>
        <v/>
      </c>
      <c r="CR881" s="77">
        <f>IF(ISNUMBER($CQ881),YEAR($CQ881),"")</f>
        <v/>
      </c>
      <c r="CS881" s="78">
        <f>IF(ISNUMBER($M881),MAX(0,$M881),IF(TRIM($M881&amp;"")="matured",0,""))</f>
        <v/>
      </c>
      <c r="CT881" s="78">
        <f>IF(AND(ISNUMBER($CS881),N($CS881)&lt;=mMatWindow),1,0)</f>
        <v/>
      </c>
      <c r="CU881" s="80">
        <f>IF(ISNUMBER($J881),$J881/100,"")</f>
        <v/>
      </c>
      <c r="CV881" s="81">
        <f>IF(ISNUMBER($AQ881),$AQ881,"")</f>
        <v/>
      </c>
      <c r="CW881" s="81">
        <f>IF(ISNUMBER($AR881),$AR881,"")</f>
        <v/>
      </c>
      <c r="CX881" s="82">
        <f>IF(ISNUMBER($AS881),$AS881/100,"")</f>
        <v/>
      </c>
      <c r="CY881" s="82">
        <f>IF(ISNUMBER($AT881),$AT881/100,"")</f>
        <v/>
      </c>
      <c r="CZ881" s="82">
        <f>IF(ISNUMBER($AU881),$AU881/100,"")</f>
        <v/>
      </c>
      <c r="DA881" s="82">
        <f>IF(ISNUMBER($AV881),$AV881/100,"")</f>
        <v/>
      </c>
      <c r="DB881" s="82">
        <f>IF(ISNUMBER($AW881),$AW881/100,"")</f>
        <v/>
      </c>
      <c r="DC881" s="82">
        <f>IF(ISNUMBER($AX881),$AX881/100,"")</f>
        <v/>
      </c>
      <c r="DD881" s="77">
        <f>IFERROR(VALUE(LEFT(TRIM($AO881&amp;""),4)),"")</f>
        <v/>
      </c>
      <c r="DE881" s="78">
        <f>IF(AND($BY881=1,$BX881=1,OR(fDeal="All Deals",$BU881=fDeal),OR(fEntity="All Entities",$BV881=fEntity),OR(fPType="All Property Types",$BZ881=fPType),OR(fDefeased="Include",$CJ881=0)),1,0)</f>
        <v/>
      </c>
      <c r="DF881" s="83">
        <f>$DE881*N($I881)</f>
        <v/>
      </c>
      <c r="DG881" s="78">
        <f>IF($DE881=1,IF(COUNTIFS($F$8:$F881,$F881,$DE$8:$DE881,1)=1,1,0),0)</f>
        <v/>
      </c>
      <c r="DH881" s="83">
        <f>IF($DG881=1,SUMIFS($DF$8:$DF$1600,$F$8:$F$1600,$F881),0)</f>
        <v/>
      </c>
      <c r="DI881" s="78">
        <f>IF($DG881=1,COUNTIFS($F$8:$F$1600,$F881,$DE$8:$DE$1600,1),0)</f>
        <v/>
      </c>
      <c r="DJ881" s="84">
        <f>IF($DG881=1,$DH881+(100000-ROW())/mTieBreak,0)</f>
        <v/>
      </c>
    </row>
    <row r="882">
      <c r="B882" s="68" t="n">
        <v>26</v>
      </c>
      <c r="C882" s="69" t="inlineStr">
        <is>
          <t>MSC18L1</t>
        </is>
      </c>
      <c r="D882" s="69" t="inlineStr">
        <is>
          <t>26.000</t>
        </is>
      </c>
      <c r="E882" s="69" t="inlineStr">
        <is>
          <t>Hotel Provincial</t>
        </is>
      </c>
      <c r="F882" s="69" t="inlineStr">
        <is>
          <t>LNMSC18L1-26.000</t>
        </is>
      </c>
      <c r="G882" s="70" t="n"/>
      <c r="H882" s="71" t="n">
        <v>9800000</v>
      </c>
      <c r="I882" s="71" t="n">
        <v>9800000</v>
      </c>
      <c r="J882" s="72" t="n">
        <v>4.82</v>
      </c>
      <c r="K882" s="69" t="inlineStr">
        <is>
          <t>Fixed rate</t>
        </is>
      </c>
      <c r="L882" s="68" t="n">
        <v>120</v>
      </c>
      <c r="M882" s="68" t="n">
        <v>23</v>
      </c>
      <c r="N882" s="68" t="n">
        <v>120</v>
      </c>
      <c r="O882" s="68" t="n">
        <v>120</v>
      </c>
      <c r="P882" s="68" t="n">
        <v>23</v>
      </c>
      <c r="Q882" s="68" t="n">
        <v>97</v>
      </c>
      <c r="R882" s="69" t="inlineStr">
        <is>
          <t>IO</t>
        </is>
      </c>
      <c r="S882" s="69" t="inlineStr">
        <is>
          <t>Yes</t>
        </is>
      </c>
      <c r="T882" s="73" t="n">
        <v>43313</v>
      </c>
      <c r="U882" s="73" t="n">
        <v>46971</v>
      </c>
      <c r="V882" s="73" t="n"/>
      <c r="W882" s="69" t="n"/>
      <c r="X882" s="69" t="inlineStr">
        <is>
          <t>Current</t>
        </is>
      </c>
      <c r="Y882" s="68" t="n"/>
      <c r="Z882" s="69" t="inlineStr">
        <is>
          <t>No Defeasance Occurred</t>
        </is>
      </c>
      <c r="AA882" s="69" t="inlineStr">
        <is>
          <t>Previously</t>
        </is>
      </c>
      <c r="AB882" s="69" t="inlineStr">
        <is>
          <t>Never special serv</t>
        </is>
      </c>
      <c r="AC882" s="73" t="n"/>
      <c r="AD882" s="69" t="n"/>
      <c r="AE882" s="69" t="n"/>
      <c r="AF882" s="69" t="inlineStr">
        <is>
          <t>LA</t>
        </is>
      </c>
      <c r="AG882" s="69" t="inlineStr">
        <is>
          <t>New Orleans</t>
        </is>
      </c>
      <c r="AH882" s="69" t="inlineStr">
        <is>
          <t>New Orleans-Metairie, LA</t>
        </is>
      </c>
      <c r="AI882" s="69" t="inlineStr">
        <is>
          <t>South / Central West</t>
        </is>
      </c>
      <c r="AJ882" s="69" t="inlineStr">
        <is>
          <t>HT</t>
        </is>
      </c>
      <c r="AK882" s="69" t="inlineStr">
        <is>
          <t>Limited Service</t>
        </is>
      </c>
      <c r="AL882" s="68" t="n">
        <v>1</v>
      </c>
      <c r="AM882" s="68" t="n">
        <v>92</v>
      </c>
      <c r="AN882" s="68" t="n"/>
      <c r="AO882" s="69" t="inlineStr">
        <is>
          <t>1959</t>
        </is>
      </c>
      <c r="AP882" s="70" t="n">
        <v>2015</v>
      </c>
      <c r="AQ882" s="74" t="n">
        <v>3.18</v>
      </c>
      <c r="AR882" s="74" t="n">
        <v>1.51</v>
      </c>
      <c r="AS882" s="74" t="n">
        <v>45.6</v>
      </c>
      <c r="AT882" s="74" t="n">
        <v>45.58</v>
      </c>
      <c r="AU882" s="74" t="n">
        <v>45.6</v>
      </c>
      <c r="AV882" s="74" t="n">
        <v>15.535914694</v>
      </c>
      <c r="AW882" s="74" t="n">
        <v>7.386027245</v>
      </c>
      <c r="AX882" s="75" t="n">
        <v>78</v>
      </c>
      <c r="AY882" s="71" t="n">
        <v>21500000</v>
      </c>
      <c r="AZ882" s="71" t="n">
        <v>21500000</v>
      </c>
      <c r="BA882" s="71" t="n">
        <v>1522519.64</v>
      </c>
      <c r="BB882" s="71" t="n">
        <v>723830.67</v>
      </c>
      <c r="BC882" s="69" t="inlineStr">
        <is>
          <t>Refinance</t>
        </is>
      </c>
      <c r="BD882" s="69" t="inlineStr">
        <is>
          <t>N</t>
        </is>
      </c>
      <c r="BE882" s="71" t="n"/>
      <c r="BF882" s="71" t="n"/>
      <c r="BG882" s="71" t="n"/>
      <c r="BH882" s="71" t="n">
        <v>0</v>
      </c>
      <c r="BI882" s="71" t="n">
        <v>0</v>
      </c>
      <c r="BJ882" s="69" t="inlineStr">
        <is>
          <t>N</t>
        </is>
      </c>
      <c r="BK882" s="69" t="n"/>
      <c r="BL882" s="75" t="n"/>
      <c r="BM882" s="73" t="n"/>
      <c r="BN882" s="69" t="inlineStr">
        <is>
          <t>Bryan Dupepe, Sr.; Bryan Dupepe, Jr.</t>
        </is>
      </c>
      <c r="BO882" s="69" t="inlineStr">
        <is>
          <t>Starwood</t>
        </is>
      </c>
      <c r="BP882" s="69" t="inlineStr">
        <is>
          <t>Midland Loan Services</t>
        </is>
      </c>
      <c r="BQ882" s="69" t="inlineStr">
        <is>
          <t>K-Star Asset Management LLC</t>
        </is>
      </c>
      <c r="BR882" s="69" t="n"/>
      <c r="BS882" s="73" t="n">
        <v>46276</v>
      </c>
      <c r="BU882" s="76">
        <f>IF($C882="","",IFERROR(INDEX(dmName,MATCH($C882,dmID,0)),"Unmapped"))</f>
        <v/>
      </c>
      <c r="BV882" s="76">
        <f>IF($C882="","",IFERROR(INDEX(dmEntity,MATCH($C882,dmID,0)),"Unmapped"))</f>
        <v/>
      </c>
      <c r="BW882" s="77">
        <f>IF($C882="","",IFERROR(INDEX(dmVintage,MATCH($C882,dmID,0)),""))</f>
        <v/>
      </c>
      <c r="BX882" s="78">
        <f>IFERROR(INDEX(dmInclude,MATCH($C882,dmID,0)),0)</f>
        <v/>
      </c>
      <c r="BY882" s="78">
        <f>IF(N($I882)&gt;0,1,0)</f>
        <v/>
      </c>
      <c r="BZ882" s="76">
        <f>IF($AJ882="","Other / Leased Fee",IFERROR(INDEX(mapPTGroup,MATCH(LEFT(TRIM($AJ882),2),mapPTCode,0)),"Other / Leased Fee"))</f>
        <v/>
      </c>
      <c r="CA882" s="76">
        <f>IF(TRIM($AF882&amp;"")="","NR",LEFT(TRIM($AF882),2))</f>
        <v/>
      </c>
      <c r="CB882" s="76">
        <f>IFERROR(LOOKUP(2,1/(LEFT(TRIM($AI882&amp;""),LEN(mapRegion))=mapRegion),mapRegion),"Not Reported")</f>
        <v/>
      </c>
      <c r="CC882" s="76">
        <f>IF($BY882=0,"",IF(TRIM($W882&amp;"")="REO","REO",IF(TRIM($W882&amp;"")="FC","Foreclosure",IF(TRIM($W882&amp;"")="90+","90+ Days Delinquent",IF(TRIM($W882&amp;"")="60","60 Days Delinquent",IF(TRIM($W882&amp;"")="30","30 Days Delinquent",IF($X882="Non-Performing Matured Balloon","Non-Performing Matured Balloon",IF(OR($X882="Late Payment But Less Than 30 Days Delinquent",LEFT($X882&amp;"",20)="Payment Not Received"),"Late / In Grace (&lt;30 Days)",IF($X882="Performing Matured Balloon","Performing Matured Balloon","Current")))))))))</f>
        <v/>
      </c>
      <c r="CD882" s="78">
        <f>IF(OR($CC882="REO",$CC882="Foreclosure",$CC882="90+ Days Delinquent",$CC882="60 Days Delinquent",$CC882="30 Days Delinquent",$CC882="Non-Performing Matured Balloon"),1,0)</f>
        <v/>
      </c>
      <c r="CE882" s="76">
        <f>IF($AB882="Currently special serv","Currently Specially Serviced",IF($AB882="Returned to master serv","Previously Specially Serviced","Never Specially Serviced"))</f>
        <v/>
      </c>
      <c r="CF882" s="78">
        <f>IF($CE882="Currently Specially Serviced",1,0)</f>
        <v/>
      </c>
      <c r="CG882" s="76">
        <f>IF($AA882="Yes","Currently on Watchlist",IF($AA882="Previously","Previously on Watchlist","Never on Watchlist"))</f>
        <v/>
      </c>
      <c r="CH882" s="78">
        <f>IF($CG882="Currently on Watchlist",1,0)</f>
        <v/>
      </c>
      <c r="CI882" s="76">
        <f>IF($Z882="Full Defeasance","Fully Defeased",IF($Z882="Portion Of Loan Previously Defeased","Partially Defeased",IF($Z882="Defeasance Not Allowable","Not Defeased (Not Permitted)","Not Defeased")))</f>
        <v/>
      </c>
      <c r="CJ882" s="78">
        <f>IF($CI882="Fully Defeased",1,0)</f>
        <v/>
      </c>
      <c r="CK882" s="76">
        <f>IF($R882="IO","Full IO",IF(LEFT($R882&amp;"",7)="IO then","Partial IO","Amortizing"))</f>
        <v/>
      </c>
      <c r="CL882" s="78">
        <f>IF($CK882="Full IO",1,0)</f>
        <v/>
      </c>
      <c r="CM882" s="78">
        <f>IF($CK882="Partial IO",1,0)</f>
        <v/>
      </c>
      <c r="CN882" s="76">
        <f>IF(LEFT($F882&amp;"",10)="SPLIT_LOAN","Pari Passu Split","Standalone")</f>
        <v/>
      </c>
      <c r="CO882" s="78">
        <f>IF($CN882="Pari Passu Split",1,0)</f>
        <v/>
      </c>
      <c r="CP882" s="77">
        <f>IF(ISNUMBER($T882),YEAR($T882),"")</f>
        <v/>
      </c>
      <c r="CQ882" s="79">
        <f>IF(ISNUMBER($V882),$V882,IF(ISNUMBER($U882),$U882,""))</f>
        <v/>
      </c>
      <c r="CR882" s="77">
        <f>IF(ISNUMBER($CQ882),YEAR($CQ882),"")</f>
        <v/>
      </c>
      <c r="CS882" s="78">
        <f>IF(ISNUMBER($M882),MAX(0,$M882),IF(TRIM($M882&amp;"")="matured",0,""))</f>
        <v/>
      </c>
      <c r="CT882" s="78">
        <f>IF(AND(ISNUMBER($CS882),N($CS882)&lt;=mMatWindow),1,0)</f>
        <v/>
      </c>
      <c r="CU882" s="80">
        <f>IF(ISNUMBER($J882),$J882/100,"")</f>
        <v/>
      </c>
      <c r="CV882" s="81">
        <f>IF(ISNUMBER($AQ882),$AQ882,"")</f>
        <v/>
      </c>
      <c r="CW882" s="81">
        <f>IF(ISNUMBER($AR882),$AR882,"")</f>
        <v/>
      </c>
      <c r="CX882" s="82">
        <f>IF(ISNUMBER($AS882),$AS882/100,"")</f>
        <v/>
      </c>
      <c r="CY882" s="82">
        <f>IF(ISNUMBER($AT882),$AT882/100,"")</f>
        <v/>
      </c>
      <c r="CZ882" s="82">
        <f>IF(ISNUMBER($AU882),$AU882/100,"")</f>
        <v/>
      </c>
      <c r="DA882" s="82">
        <f>IF(ISNUMBER($AV882),$AV882/100,"")</f>
        <v/>
      </c>
      <c r="DB882" s="82">
        <f>IF(ISNUMBER($AW882),$AW882/100,"")</f>
        <v/>
      </c>
      <c r="DC882" s="82">
        <f>IF(ISNUMBER($AX882),$AX882/100,"")</f>
        <v/>
      </c>
      <c r="DD882" s="77">
        <f>IFERROR(VALUE(LEFT(TRIM($AO882&amp;""),4)),"")</f>
        <v/>
      </c>
      <c r="DE882" s="78">
        <f>IF(AND($BY882=1,$BX882=1,OR(fDeal="All Deals",$BU882=fDeal),OR(fEntity="All Entities",$BV882=fEntity),OR(fPType="All Property Types",$BZ882=fPType),OR(fDefeased="Include",$CJ882=0)),1,0)</f>
        <v/>
      </c>
      <c r="DF882" s="83">
        <f>$DE882*N($I882)</f>
        <v/>
      </c>
      <c r="DG882" s="78">
        <f>IF($DE882=1,IF(COUNTIFS($F$8:$F882,$F882,$DE$8:$DE882,1)=1,1,0),0)</f>
        <v/>
      </c>
      <c r="DH882" s="83">
        <f>IF($DG882=1,SUMIFS($DF$8:$DF$1600,$F$8:$F$1600,$F882),0)</f>
        <v/>
      </c>
      <c r="DI882" s="78">
        <f>IF($DG882=1,COUNTIFS($F$8:$F$1600,$F882,$DE$8:$DE$1600,1),0)</f>
        <v/>
      </c>
      <c r="DJ882" s="84">
        <f>IF($DG882=1,$DH882+(100000-ROW())/mTieBreak,0)</f>
        <v/>
      </c>
    </row>
    <row r="883">
      <c r="B883" s="68" t="n">
        <v>27</v>
      </c>
      <c r="C883" s="69" t="inlineStr">
        <is>
          <t>MSC18L1</t>
        </is>
      </c>
      <c r="D883" s="69" t="inlineStr">
        <is>
          <t>27.000</t>
        </is>
      </c>
      <c r="E883" s="69" t="inlineStr">
        <is>
          <t>North Madison Corners</t>
        </is>
      </c>
      <c r="F883" s="69" t="inlineStr">
        <is>
          <t>LNMSC18L1-27.000</t>
        </is>
      </c>
      <c r="G883" s="70" t="n"/>
      <c r="H883" s="71" t="n">
        <v>8650000</v>
      </c>
      <c r="I883" s="71" t="n">
        <v>7990478.000000651</v>
      </c>
      <c r="J883" s="72" t="n">
        <v>5</v>
      </c>
      <c r="K883" s="69" t="inlineStr">
        <is>
          <t>Fixed rate</t>
        </is>
      </c>
      <c r="L883" s="68" t="n">
        <v>120</v>
      </c>
      <c r="M883" s="68" t="n">
        <v>25</v>
      </c>
      <c r="N883" s="68" t="n">
        <v>396</v>
      </c>
      <c r="O883" s="68" t="n">
        <v>36</v>
      </c>
      <c r="P883" s="68" t="n">
        <v>0</v>
      </c>
      <c r="Q883" s="68" t="n">
        <v>95</v>
      </c>
      <c r="R883" s="69" t="inlineStr">
        <is>
          <t>IO then Amort</t>
        </is>
      </c>
      <c r="S883" s="69" t="inlineStr">
        <is>
          <t>No</t>
        </is>
      </c>
      <c r="T883" s="73" t="n">
        <v>43374</v>
      </c>
      <c r="U883" s="73" t="n">
        <v>47027</v>
      </c>
      <c r="V883" s="73" t="n"/>
      <c r="W883" s="69" t="n"/>
      <c r="X883" s="69" t="inlineStr">
        <is>
          <t>Current</t>
        </is>
      </c>
      <c r="Y883" s="68" t="n"/>
      <c r="Z883" s="69" t="inlineStr">
        <is>
          <t>No Defeasance Occurred</t>
        </is>
      </c>
      <c r="AA883" s="69" t="inlineStr">
        <is>
          <t>Previously</t>
        </is>
      </c>
      <c r="AB883" s="69" t="inlineStr">
        <is>
          <t>Never special serv</t>
        </is>
      </c>
      <c r="AC883" s="73" t="n"/>
      <c r="AD883" s="69" t="n"/>
      <c r="AE883" s="69" t="n"/>
      <c r="AF883" s="69" t="inlineStr">
        <is>
          <t>AL</t>
        </is>
      </c>
      <c r="AG883" s="69" t="inlineStr">
        <is>
          <t>Madison</t>
        </is>
      </c>
      <c r="AH883" s="69" t="inlineStr">
        <is>
          <t>Huntsville, AL</t>
        </is>
      </c>
      <c r="AI883" s="69" t="inlineStr">
        <is>
          <t>South / Central East</t>
        </is>
      </c>
      <c r="AJ883" s="69" t="inlineStr">
        <is>
          <t>RT</t>
        </is>
      </c>
      <c r="AK883" s="69" t="inlineStr">
        <is>
          <t>Anchored</t>
        </is>
      </c>
      <c r="AL883" s="68" t="n">
        <v>1</v>
      </c>
      <c r="AM883" s="68" t="n"/>
      <c r="AN883" s="68" t="n">
        <v>73600</v>
      </c>
      <c r="AO883" s="69" t="inlineStr">
        <is>
          <t>1995, 2017</t>
        </is>
      </c>
      <c r="AP883" s="70" t="n">
        <v>2017</v>
      </c>
      <c r="AQ883" s="74" t="n">
        <v>1.47</v>
      </c>
      <c r="AR883" s="74" t="n">
        <v>1.31</v>
      </c>
      <c r="AS883" s="74" t="n">
        <v>65</v>
      </c>
      <c r="AT883" s="74" t="n">
        <v>60.08</v>
      </c>
      <c r="AU883" s="74" t="n">
        <v>57.7</v>
      </c>
      <c r="AV883" s="74" t="n">
        <v>9.443411445000001</v>
      </c>
      <c r="AW883" s="74" t="n">
        <v>9.169753799</v>
      </c>
      <c r="AX883" s="75" t="n">
        <v>100</v>
      </c>
      <c r="AY883" s="71" t="n">
        <v>13300000</v>
      </c>
      <c r="AZ883" s="71" t="n">
        <v>13300000</v>
      </c>
      <c r="BA883" s="71" t="n">
        <v>816855.09</v>
      </c>
      <c r="BB883" s="71" t="n">
        <v>732707.16</v>
      </c>
      <c r="BC883" s="69" t="inlineStr">
        <is>
          <t>Refinance</t>
        </is>
      </c>
      <c r="BD883" s="69" t="inlineStr">
        <is>
          <t>N</t>
        </is>
      </c>
      <c r="BE883" s="71" t="n"/>
      <c r="BF883" s="71" t="n"/>
      <c r="BG883" s="71" t="n"/>
      <c r="BH883" s="71" t="n">
        <v>0</v>
      </c>
      <c r="BI883" s="71" t="n">
        <v>0</v>
      </c>
      <c r="BJ883" s="69" t="inlineStr">
        <is>
          <t>N</t>
        </is>
      </c>
      <c r="BK883" s="69" t="inlineStr">
        <is>
          <t>Micheals's Stores Inc</t>
        </is>
      </c>
      <c r="BL883" s="75" t="n">
        <v>33.63</v>
      </c>
      <c r="BM883" s="73" t="n">
        <v>47177</v>
      </c>
      <c r="BN883" s="69" t="inlineStr">
        <is>
          <t>Robert A. Patch; Michael J. Petersen</t>
        </is>
      </c>
      <c r="BO883" s="69" t="inlineStr">
        <is>
          <t>Morgan Stanley</t>
        </is>
      </c>
      <c r="BP883" s="69" t="inlineStr">
        <is>
          <t>Midland Loan Services</t>
        </is>
      </c>
      <c r="BQ883" s="69" t="inlineStr">
        <is>
          <t>K-Star Asset Management LLC</t>
        </is>
      </c>
      <c r="BR883" s="69" t="n"/>
      <c r="BS883" s="73" t="n">
        <v>46276</v>
      </c>
      <c r="BU883" s="76">
        <f>IF($C883="","",IFERROR(INDEX(dmName,MATCH($C883,dmID,0)),"Unmapped"))</f>
        <v/>
      </c>
      <c r="BV883" s="76">
        <f>IF($C883="","",IFERROR(INDEX(dmEntity,MATCH($C883,dmID,0)),"Unmapped"))</f>
        <v/>
      </c>
      <c r="BW883" s="77">
        <f>IF($C883="","",IFERROR(INDEX(dmVintage,MATCH($C883,dmID,0)),""))</f>
        <v/>
      </c>
      <c r="BX883" s="78">
        <f>IFERROR(INDEX(dmInclude,MATCH($C883,dmID,0)),0)</f>
        <v/>
      </c>
      <c r="BY883" s="78">
        <f>IF(N($I883)&gt;0,1,0)</f>
        <v/>
      </c>
      <c r="BZ883" s="76">
        <f>IF($AJ883="","Other / Leased Fee",IFERROR(INDEX(mapPTGroup,MATCH(LEFT(TRIM($AJ883),2),mapPTCode,0)),"Other / Leased Fee"))</f>
        <v/>
      </c>
      <c r="CA883" s="76">
        <f>IF(TRIM($AF883&amp;"")="","NR",LEFT(TRIM($AF883),2))</f>
        <v/>
      </c>
      <c r="CB883" s="76">
        <f>IFERROR(LOOKUP(2,1/(LEFT(TRIM($AI883&amp;""),LEN(mapRegion))=mapRegion),mapRegion),"Not Reported")</f>
        <v/>
      </c>
      <c r="CC883" s="76">
        <f>IF($BY883=0,"",IF(TRIM($W883&amp;"")="REO","REO",IF(TRIM($W883&amp;"")="FC","Foreclosure",IF(TRIM($W883&amp;"")="90+","90+ Days Delinquent",IF(TRIM($W883&amp;"")="60","60 Days Delinquent",IF(TRIM($W883&amp;"")="30","30 Days Delinquent",IF($X883="Non-Performing Matured Balloon","Non-Performing Matured Balloon",IF(OR($X883="Late Payment But Less Than 30 Days Delinquent",LEFT($X883&amp;"",20)="Payment Not Received"),"Late / In Grace (&lt;30 Days)",IF($X883="Performing Matured Balloon","Performing Matured Balloon","Current")))))))))</f>
        <v/>
      </c>
      <c r="CD883" s="78">
        <f>IF(OR($CC883="REO",$CC883="Foreclosure",$CC883="90+ Days Delinquent",$CC883="60 Days Delinquent",$CC883="30 Days Delinquent",$CC883="Non-Performing Matured Balloon"),1,0)</f>
        <v/>
      </c>
      <c r="CE883" s="76">
        <f>IF($AB883="Currently special serv","Currently Specially Serviced",IF($AB883="Returned to master serv","Previously Specially Serviced","Never Specially Serviced"))</f>
        <v/>
      </c>
      <c r="CF883" s="78">
        <f>IF($CE883="Currently Specially Serviced",1,0)</f>
        <v/>
      </c>
      <c r="CG883" s="76">
        <f>IF($AA883="Yes","Currently on Watchlist",IF($AA883="Previously","Previously on Watchlist","Never on Watchlist"))</f>
        <v/>
      </c>
      <c r="CH883" s="78">
        <f>IF($CG883="Currently on Watchlist",1,0)</f>
        <v/>
      </c>
      <c r="CI883" s="76">
        <f>IF($Z883="Full Defeasance","Fully Defeased",IF($Z883="Portion Of Loan Previously Defeased","Partially Defeased",IF($Z883="Defeasance Not Allowable","Not Defeased (Not Permitted)","Not Defeased")))</f>
        <v/>
      </c>
      <c r="CJ883" s="78">
        <f>IF($CI883="Fully Defeased",1,0)</f>
        <v/>
      </c>
      <c r="CK883" s="76">
        <f>IF($R883="IO","Full IO",IF(LEFT($R883&amp;"",7)="IO then","Partial IO","Amortizing"))</f>
        <v/>
      </c>
      <c r="CL883" s="78">
        <f>IF($CK883="Full IO",1,0)</f>
        <v/>
      </c>
      <c r="CM883" s="78">
        <f>IF($CK883="Partial IO",1,0)</f>
        <v/>
      </c>
      <c r="CN883" s="76">
        <f>IF(LEFT($F883&amp;"",10)="SPLIT_LOAN","Pari Passu Split","Standalone")</f>
        <v/>
      </c>
      <c r="CO883" s="78">
        <f>IF($CN883="Pari Passu Split",1,0)</f>
        <v/>
      </c>
      <c r="CP883" s="77">
        <f>IF(ISNUMBER($T883),YEAR($T883),"")</f>
        <v/>
      </c>
      <c r="CQ883" s="79">
        <f>IF(ISNUMBER($V883),$V883,IF(ISNUMBER($U883),$U883,""))</f>
        <v/>
      </c>
      <c r="CR883" s="77">
        <f>IF(ISNUMBER($CQ883),YEAR($CQ883),"")</f>
        <v/>
      </c>
      <c r="CS883" s="78">
        <f>IF(ISNUMBER($M883),MAX(0,$M883),IF(TRIM($M883&amp;"")="matured",0,""))</f>
        <v/>
      </c>
      <c r="CT883" s="78">
        <f>IF(AND(ISNUMBER($CS883),N($CS883)&lt;=mMatWindow),1,0)</f>
        <v/>
      </c>
      <c r="CU883" s="80">
        <f>IF(ISNUMBER($J883),$J883/100,"")</f>
        <v/>
      </c>
      <c r="CV883" s="81">
        <f>IF(ISNUMBER($AQ883),$AQ883,"")</f>
        <v/>
      </c>
      <c r="CW883" s="81">
        <f>IF(ISNUMBER($AR883),$AR883,"")</f>
        <v/>
      </c>
      <c r="CX883" s="82">
        <f>IF(ISNUMBER($AS883),$AS883/100,"")</f>
        <v/>
      </c>
      <c r="CY883" s="82">
        <f>IF(ISNUMBER($AT883),$AT883/100,"")</f>
        <v/>
      </c>
      <c r="CZ883" s="82">
        <f>IF(ISNUMBER($AU883),$AU883/100,"")</f>
        <v/>
      </c>
      <c r="DA883" s="82">
        <f>IF(ISNUMBER($AV883),$AV883/100,"")</f>
        <v/>
      </c>
      <c r="DB883" s="82">
        <f>IF(ISNUMBER($AW883),$AW883/100,"")</f>
        <v/>
      </c>
      <c r="DC883" s="82">
        <f>IF(ISNUMBER($AX883),$AX883/100,"")</f>
        <v/>
      </c>
      <c r="DD883" s="77">
        <f>IFERROR(VALUE(LEFT(TRIM($AO883&amp;""),4)),"")</f>
        <v/>
      </c>
      <c r="DE883" s="78">
        <f>IF(AND($BY883=1,$BX883=1,OR(fDeal="All Deals",$BU883=fDeal),OR(fEntity="All Entities",$BV883=fEntity),OR(fPType="All Property Types",$BZ883=fPType),OR(fDefeased="Include",$CJ883=0)),1,0)</f>
        <v/>
      </c>
      <c r="DF883" s="83">
        <f>$DE883*N($I883)</f>
        <v/>
      </c>
      <c r="DG883" s="78">
        <f>IF($DE883=1,IF(COUNTIFS($F$8:$F883,$F883,$DE$8:$DE883,1)=1,1,0),0)</f>
        <v/>
      </c>
      <c r="DH883" s="83">
        <f>IF($DG883=1,SUMIFS($DF$8:$DF$1600,$F$8:$F$1600,$F883),0)</f>
        <v/>
      </c>
      <c r="DI883" s="78">
        <f>IF($DG883=1,COUNTIFS($F$8:$F$1600,$F883,$DE$8:$DE$1600,1),0)</f>
        <v/>
      </c>
      <c r="DJ883" s="84">
        <f>IF($DG883=1,$DH883+(100000-ROW())/mTieBreak,0)</f>
        <v/>
      </c>
    </row>
    <row r="884">
      <c r="B884" s="68" t="n">
        <v>28</v>
      </c>
      <c r="C884" s="69" t="inlineStr">
        <is>
          <t>MSC18L1</t>
        </is>
      </c>
      <c r="D884" s="69" t="inlineStr">
        <is>
          <t>28.000</t>
        </is>
      </c>
      <c r="E884" s="69" t="inlineStr">
        <is>
          <t>Centerpointe 78</t>
        </is>
      </c>
      <c r="F884" s="69" t="inlineStr">
        <is>
          <t>LNMSC18L1-28.000</t>
        </is>
      </c>
      <c r="G884" s="70" t="n"/>
      <c r="H884" s="71" t="n">
        <v>8600000</v>
      </c>
      <c r="I884" s="71" t="n">
        <v>8600000</v>
      </c>
      <c r="J884" s="72" t="n">
        <v>5.018</v>
      </c>
      <c r="K884" s="69" t="inlineStr">
        <is>
          <t>Fixed rate</t>
        </is>
      </c>
      <c r="L884" s="68" t="n">
        <v>120</v>
      </c>
      <c r="M884" s="68" t="n">
        <v>25</v>
      </c>
      <c r="N884" s="68" t="n">
        <v>120</v>
      </c>
      <c r="O884" s="68" t="n">
        <v>120</v>
      </c>
      <c r="P884" s="68" t="n">
        <v>25</v>
      </c>
      <c r="Q884" s="68" t="n">
        <v>95</v>
      </c>
      <c r="R884" s="69" t="inlineStr">
        <is>
          <t>IO</t>
        </is>
      </c>
      <c r="S884" s="69" t="inlineStr">
        <is>
          <t>Yes</t>
        </is>
      </c>
      <c r="T884" s="73" t="n">
        <v>43374</v>
      </c>
      <c r="U884" s="73" t="n">
        <v>47027</v>
      </c>
      <c r="V884" s="73" t="n"/>
      <c r="W884" s="69" t="n"/>
      <c r="X884" s="69" t="inlineStr">
        <is>
          <t>Current</t>
        </is>
      </c>
      <c r="Y884" s="68" t="n"/>
      <c r="Z884" s="69" t="inlineStr">
        <is>
          <t>No Defeasance Occurred</t>
        </is>
      </c>
      <c r="AA884" s="69" t="n"/>
      <c r="AB884" s="69" t="inlineStr">
        <is>
          <t>Never special serv</t>
        </is>
      </c>
      <c r="AC884" s="73" t="n"/>
      <c r="AD884" s="69" t="n"/>
      <c r="AE884" s="69" t="n"/>
      <c r="AF884" s="69" t="inlineStr">
        <is>
          <t>CA</t>
        </is>
      </c>
      <c r="AG884" s="69" t="inlineStr">
        <is>
          <t>Escondido</t>
        </is>
      </c>
      <c r="AH884" s="69" t="inlineStr">
        <is>
          <t>San Diego-Chula Vista-Carlsbad, CA</t>
        </is>
      </c>
      <c r="AI884" s="69" t="inlineStr">
        <is>
          <t>West / Pacific South</t>
        </is>
      </c>
      <c r="AJ884" s="69" t="inlineStr">
        <is>
          <t>RT</t>
        </is>
      </c>
      <c r="AK884" s="69" t="inlineStr">
        <is>
          <t>Anchored</t>
        </is>
      </c>
      <c r="AL884" s="68" t="n">
        <v>1</v>
      </c>
      <c r="AM884" s="68" t="n"/>
      <c r="AN884" s="68" t="n">
        <v>43885</v>
      </c>
      <c r="AO884" s="69" t="inlineStr">
        <is>
          <t>2018</t>
        </is>
      </c>
      <c r="AP884" s="70" t="n">
        <v>2018</v>
      </c>
      <c r="AQ884" s="74" t="n">
        <v>1.65</v>
      </c>
      <c r="AR884" s="74" t="n">
        <v>1.69</v>
      </c>
      <c r="AS884" s="74" t="n">
        <v>57</v>
      </c>
      <c r="AT884" s="74" t="n">
        <v>56.95</v>
      </c>
      <c r="AU884" s="74" t="n">
        <v>56.95</v>
      </c>
      <c r="AV884" s="74" t="n">
        <v>8.371674419</v>
      </c>
      <c r="AW884" s="74" t="n">
        <v>8.600267442</v>
      </c>
      <c r="AX884" s="75" t="n">
        <v>100</v>
      </c>
      <c r="AY884" s="71" t="n">
        <v>15100000</v>
      </c>
      <c r="AZ884" s="71" t="n">
        <v>15100000</v>
      </c>
      <c r="BA884" s="71" t="n">
        <v>719964</v>
      </c>
      <c r="BB884" s="71" t="n">
        <v>739623</v>
      </c>
      <c r="BC884" s="69" t="inlineStr">
        <is>
          <t>Refinance</t>
        </is>
      </c>
      <c r="BD884" s="69" t="inlineStr">
        <is>
          <t>N</t>
        </is>
      </c>
      <c r="BE884" s="71" t="n"/>
      <c r="BF884" s="71" t="n"/>
      <c r="BG884" s="71" t="n"/>
      <c r="BH884" s="71" t="n">
        <v>0</v>
      </c>
      <c r="BI884" s="71" t="n">
        <v>0</v>
      </c>
      <c r="BJ884" s="69" t="inlineStr">
        <is>
          <t>N</t>
        </is>
      </c>
      <c r="BK884" s="69" t="inlineStr">
        <is>
          <t>El Super</t>
        </is>
      </c>
      <c r="BL884" s="75" t="n">
        <v>93.59999999999999</v>
      </c>
      <c r="BM884" s="73" t="n">
        <v>48846</v>
      </c>
      <c r="BN884" s="69" t="inlineStr">
        <is>
          <t>Mark T. Burger; Ronald A. Recht; The MTB Family Limited Partnership; The RAR Family Limited Partnership</t>
        </is>
      </c>
      <c r="BO884" s="69" t="inlineStr">
        <is>
          <t>KeyBank</t>
        </is>
      </c>
      <c r="BP884" s="69" t="inlineStr">
        <is>
          <t>Midland Loan Services</t>
        </is>
      </c>
      <c r="BQ884" s="69" t="inlineStr">
        <is>
          <t>K-Star Asset Management LLC</t>
        </is>
      </c>
      <c r="BR884" s="69" t="n"/>
      <c r="BS884" s="73" t="n">
        <v>46276</v>
      </c>
      <c r="BU884" s="76">
        <f>IF($C884="","",IFERROR(INDEX(dmName,MATCH($C884,dmID,0)),"Unmapped"))</f>
        <v/>
      </c>
      <c r="BV884" s="76">
        <f>IF($C884="","",IFERROR(INDEX(dmEntity,MATCH($C884,dmID,0)),"Unmapped"))</f>
        <v/>
      </c>
      <c r="BW884" s="77">
        <f>IF($C884="","",IFERROR(INDEX(dmVintage,MATCH($C884,dmID,0)),""))</f>
        <v/>
      </c>
      <c r="BX884" s="78">
        <f>IFERROR(INDEX(dmInclude,MATCH($C884,dmID,0)),0)</f>
        <v/>
      </c>
      <c r="BY884" s="78">
        <f>IF(N($I884)&gt;0,1,0)</f>
        <v/>
      </c>
      <c r="BZ884" s="76">
        <f>IF($AJ884="","Other / Leased Fee",IFERROR(INDEX(mapPTGroup,MATCH(LEFT(TRIM($AJ884),2),mapPTCode,0)),"Other / Leased Fee"))</f>
        <v/>
      </c>
      <c r="CA884" s="76">
        <f>IF(TRIM($AF884&amp;"")="","NR",LEFT(TRIM($AF884),2))</f>
        <v/>
      </c>
      <c r="CB884" s="76">
        <f>IFERROR(LOOKUP(2,1/(LEFT(TRIM($AI884&amp;""),LEN(mapRegion))=mapRegion),mapRegion),"Not Reported")</f>
        <v/>
      </c>
      <c r="CC884" s="76">
        <f>IF($BY884=0,"",IF(TRIM($W884&amp;"")="REO","REO",IF(TRIM($W884&amp;"")="FC","Foreclosure",IF(TRIM($W884&amp;"")="90+","90+ Days Delinquent",IF(TRIM($W884&amp;"")="60","60 Days Delinquent",IF(TRIM($W884&amp;"")="30","30 Days Delinquent",IF($X884="Non-Performing Matured Balloon","Non-Performing Matured Balloon",IF(OR($X884="Late Payment But Less Than 30 Days Delinquent",LEFT($X884&amp;"",20)="Payment Not Received"),"Late / In Grace (&lt;30 Days)",IF($X884="Performing Matured Balloon","Performing Matured Balloon","Current")))))))))</f>
        <v/>
      </c>
      <c r="CD884" s="78">
        <f>IF(OR($CC884="REO",$CC884="Foreclosure",$CC884="90+ Days Delinquent",$CC884="60 Days Delinquent",$CC884="30 Days Delinquent",$CC884="Non-Performing Matured Balloon"),1,0)</f>
        <v/>
      </c>
      <c r="CE884" s="76">
        <f>IF($AB884="Currently special serv","Currently Specially Serviced",IF($AB884="Returned to master serv","Previously Specially Serviced","Never Specially Serviced"))</f>
        <v/>
      </c>
      <c r="CF884" s="78">
        <f>IF($CE884="Currently Specially Serviced",1,0)</f>
        <v/>
      </c>
      <c r="CG884" s="76">
        <f>IF($AA884="Yes","Currently on Watchlist",IF($AA884="Previously","Previously on Watchlist","Never on Watchlist"))</f>
        <v/>
      </c>
      <c r="CH884" s="78">
        <f>IF($CG884="Currently on Watchlist",1,0)</f>
        <v/>
      </c>
      <c r="CI884" s="76">
        <f>IF($Z884="Full Defeasance","Fully Defeased",IF($Z884="Portion Of Loan Previously Defeased","Partially Defeased",IF($Z884="Defeasance Not Allowable","Not Defeased (Not Permitted)","Not Defeased")))</f>
        <v/>
      </c>
      <c r="CJ884" s="78">
        <f>IF($CI884="Fully Defeased",1,0)</f>
        <v/>
      </c>
      <c r="CK884" s="76">
        <f>IF($R884="IO","Full IO",IF(LEFT($R884&amp;"",7)="IO then","Partial IO","Amortizing"))</f>
        <v/>
      </c>
      <c r="CL884" s="78">
        <f>IF($CK884="Full IO",1,0)</f>
        <v/>
      </c>
      <c r="CM884" s="78">
        <f>IF($CK884="Partial IO",1,0)</f>
        <v/>
      </c>
      <c r="CN884" s="76">
        <f>IF(LEFT($F884&amp;"",10)="SPLIT_LOAN","Pari Passu Split","Standalone")</f>
        <v/>
      </c>
      <c r="CO884" s="78">
        <f>IF($CN884="Pari Passu Split",1,0)</f>
        <v/>
      </c>
      <c r="CP884" s="77">
        <f>IF(ISNUMBER($T884),YEAR($T884),"")</f>
        <v/>
      </c>
      <c r="CQ884" s="79">
        <f>IF(ISNUMBER($V884),$V884,IF(ISNUMBER($U884),$U884,""))</f>
        <v/>
      </c>
      <c r="CR884" s="77">
        <f>IF(ISNUMBER($CQ884),YEAR($CQ884),"")</f>
        <v/>
      </c>
      <c r="CS884" s="78">
        <f>IF(ISNUMBER($M884),MAX(0,$M884),IF(TRIM($M884&amp;"")="matured",0,""))</f>
        <v/>
      </c>
      <c r="CT884" s="78">
        <f>IF(AND(ISNUMBER($CS884),N($CS884)&lt;=mMatWindow),1,0)</f>
        <v/>
      </c>
      <c r="CU884" s="80">
        <f>IF(ISNUMBER($J884),$J884/100,"")</f>
        <v/>
      </c>
      <c r="CV884" s="81">
        <f>IF(ISNUMBER($AQ884),$AQ884,"")</f>
        <v/>
      </c>
      <c r="CW884" s="81">
        <f>IF(ISNUMBER($AR884),$AR884,"")</f>
        <v/>
      </c>
      <c r="CX884" s="82">
        <f>IF(ISNUMBER($AS884),$AS884/100,"")</f>
        <v/>
      </c>
      <c r="CY884" s="82">
        <f>IF(ISNUMBER($AT884),$AT884/100,"")</f>
        <v/>
      </c>
      <c r="CZ884" s="82">
        <f>IF(ISNUMBER($AU884),$AU884/100,"")</f>
        <v/>
      </c>
      <c r="DA884" s="82">
        <f>IF(ISNUMBER($AV884),$AV884/100,"")</f>
        <v/>
      </c>
      <c r="DB884" s="82">
        <f>IF(ISNUMBER($AW884),$AW884/100,"")</f>
        <v/>
      </c>
      <c r="DC884" s="82">
        <f>IF(ISNUMBER($AX884),$AX884/100,"")</f>
        <v/>
      </c>
      <c r="DD884" s="77">
        <f>IFERROR(VALUE(LEFT(TRIM($AO884&amp;""),4)),"")</f>
        <v/>
      </c>
      <c r="DE884" s="78">
        <f>IF(AND($BY884=1,$BX884=1,OR(fDeal="All Deals",$BU884=fDeal),OR(fEntity="All Entities",$BV884=fEntity),OR(fPType="All Property Types",$BZ884=fPType),OR(fDefeased="Include",$CJ884=0)),1,0)</f>
        <v/>
      </c>
      <c r="DF884" s="83">
        <f>$DE884*N($I884)</f>
        <v/>
      </c>
      <c r="DG884" s="78">
        <f>IF($DE884=1,IF(COUNTIFS($F$8:$F884,$F884,$DE$8:$DE884,1)=1,1,0),0)</f>
        <v/>
      </c>
      <c r="DH884" s="83">
        <f>IF($DG884=1,SUMIFS($DF$8:$DF$1600,$F$8:$F$1600,$F884),0)</f>
        <v/>
      </c>
      <c r="DI884" s="78">
        <f>IF($DG884=1,COUNTIFS($F$8:$F$1600,$F884,$DE$8:$DE$1600,1),0)</f>
        <v/>
      </c>
      <c r="DJ884" s="84">
        <f>IF($DG884=1,$DH884+(100000-ROW())/mTieBreak,0)</f>
        <v/>
      </c>
    </row>
    <row r="885">
      <c r="B885" s="68" t="n">
        <v>29</v>
      </c>
      <c r="C885" s="69" t="inlineStr">
        <is>
          <t>MSC18L1</t>
        </is>
      </c>
      <c r="D885" s="69" t="inlineStr">
        <is>
          <t>29.000</t>
        </is>
      </c>
      <c r="E885" s="69" t="inlineStr">
        <is>
          <t>Staybridge Suites-San Antonio Sea World</t>
        </is>
      </c>
      <c r="F885" s="69" t="inlineStr">
        <is>
          <t>LNMSC18L1-29.000</t>
        </is>
      </c>
      <c r="G885" s="70" t="n"/>
      <c r="H885" s="71" t="n">
        <v>8600000</v>
      </c>
      <c r="I885" s="71" t="n">
        <v>7135588.4200006</v>
      </c>
      <c r="J885" s="72" t="n">
        <v>5.83</v>
      </c>
      <c r="K885" s="69" t="inlineStr">
        <is>
          <t>Fixed rate</t>
        </is>
      </c>
      <c r="L885" s="68" t="n">
        <v>120</v>
      </c>
      <c r="M885" s="68" t="n">
        <v>25</v>
      </c>
      <c r="N885" s="68" t="n">
        <v>300</v>
      </c>
      <c r="O885" s="68" t="n"/>
      <c r="P885" s="68" t="n"/>
      <c r="Q885" s="68" t="n">
        <v>95</v>
      </c>
      <c r="R885" s="69" t="n"/>
      <c r="S885" s="69" t="inlineStr">
        <is>
          <t>No</t>
        </is>
      </c>
      <c r="T885" s="73" t="n">
        <v>43374</v>
      </c>
      <c r="U885" s="73" t="n">
        <v>47027</v>
      </c>
      <c r="V885" s="73" t="n"/>
      <c r="W885" s="69" t="n"/>
      <c r="X885" s="69" t="inlineStr">
        <is>
          <t>Current</t>
        </is>
      </c>
      <c r="Y885" s="68" t="n"/>
      <c r="Z885" s="69" t="inlineStr">
        <is>
          <t>Full Defeasance</t>
        </is>
      </c>
      <c r="AA885" s="69" t="inlineStr">
        <is>
          <t>Previously</t>
        </is>
      </c>
      <c r="AB885" s="69" t="inlineStr">
        <is>
          <t>Returned to master serv</t>
        </is>
      </c>
      <c r="AC885" s="73" t="n"/>
      <c r="AD885" s="69" t="inlineStr">
        <is>
          <t>Other</t>
        </is>
      </c>
      <c r="AE885" s="69" t="inlineStr">
        <is>
          <t>Resolved</t>
        </is>
      </c>
      <c r="AF885" s="69" t="inlineStr">
        <is>
          <t>TX</t>
        </is>
      </c>
      <c r="AG885" s="69" t="inlineStr">
        <is>
          <t>San Antonio</t>
        </is>
      </c>
      <c r="AH885" s="69" t="inlineStr">
        <is>
          <t>San Antonio-New Braunfels, TX</t>
        </is>
      </c>
      <c r="AI885" s="69" t="inlineStr">
        <is>
          <t>South / Central West</t>
        </is>
      </c>
      <c r="AJ885" s="69" t="inlineStr">
        <is>
          <t>HT</t>
        </is>
      </c>
      <c r="AK885" s="69" t="inlineStr">
        <is>
          <t>Extended Stay</t>
        </is>
      </c>
      <c r="AL885" s="68" t="n">
        <v>1</v>
      </c>
      <c r="AM885" s="68" t="n">
        <v>98</v>
      </c>
      <c r="AN885" s="68" t="n"/>
      <c r="AO885" s="69" t="inlineStr">
        <is>
          <t>2009</t>
        </is>
      </c>
      <c r="AP885" s="70" t="n">
        <v>2009</v>
      </c>
      <c r="AQ885" s="74" t="n">
        <v>1.62</v>
      </c>
      <c r="AR885" s="74" t="n">
        <v>1.92</v>
      </c>
      <c r="AS885" s="74" t="n">
        <v>64.7</v>
      </c>
      <c r="AT885" s="74" t="n">
        <v>65.45999999999999</v>
      </c>
      <c r="AU885" s="74" t="n">
        <v>49.96</v>
      </c>
      <c r="AV885" s="74" t="n">
        <v>12.357813953</v>
      </c>
      <c r="AW885" s="74" t="n">
        <v>17.624035973</v>
      </c>
      <c r="AX885" s="75" t="n">
        <v>85</v>
      </c>
      <c r="AY885" s="71" t="n">
        <v>13300000</v>
      </c>
      <c r="AZ885" s="71" t="n">
        <v>10900000</v>
      </c>
      <c r="BA885" s="71" t="n">
        <v>1062772</v>
      </c>
      <c r="BB885" s="71" t="n">
        <v>1257578.67</v>
      </c>
      <c r="BC885" s="69" t="inlineStr">
        <is>
          <t>Refinance</t>
        </is>
      </c>
      <c r="BD885" s="69" t="inlineStr">
        <is>
          <t>N</t>
        </is>
      </c>
      <c r="BE885" s="71" t="n"/>
      <c r="BF885" s="71" t="n"/>
      <c r="BG885" s="71" t="n"/>
      <c r="BH885" s="71" t="n">
        <v>0</v>
      </c>
      <c r="BI885" s="71" t="n">
        <v>0</v>
      </c>
      <c r="BJ885" s="69" t="inlineStr">
        <is>
          <t>Y</t>
        </is>
      </c>
      <c r="BK885" s="69" t="n"/>
      <c r="BL885" s="75" t="n"/>
      <c r="BM885" s="73" t="n"/>
      <c r="BN885" s="69" t="inlineStr">
        <is>
          <t>Anand Bhakta; Sanmukh Patel; Avinash Bhakta; Jagdish Bhakta; Dinesh Bhakta</t>
        </is>
      </c>
      <c r="BO885" s="69" t="inlineStr">
        <is>
          <t>KeyBank</t>
        </is>
      </c>
      <c r="BP885" s="69" t="inlineStr">
        <is>
          <t>Midland Loan Services</t>
        </is>
      </c>
      <c r="BQ885" s="69" t="inlineStr">
        <is>
          <t>K-Star Asset Management LLC</t>
        </is>
      </c>
      <c r="BR885" s="69" t="n"/>
      <c r="BS885" s="73" t="n">
        <v>46276</v>
      </c>
      <c r="BU885" s="76">
        <f>IF($C885="","",IFERROR(INDEX(dmName,MATCH($C885,dmID,0)),"Unmapped"))</f>
        <v/>
      </c>
      <c r="BV885" s="76">
        <f>IF($C885="","",IFERROR(INDEX(dmEntity,MATCH($C885,dmID,0)),"Unmapped"))</f>
        <v/>
      </c>
      <c r="BW885" s="77">
        <f>IF($C885="","",IFERROR(INDEX(dmVintage,MATCH($C885,dmID,0)),""))</f>
        <v/>
      </c>
      <c r="BX885" s="78">
        <f>IFERROR(INDEX(dmInclude,MATCH($C885,dmID,0)),0)</f>
        <v/>
      </c>
      <c r="BY885" s="78">
        <f>IF(N($I885)&gt;0,1,0)</f>
        <v/>
      </c>
      <c r="BZ885" s="76">
        <f>IF($AJ885="","Other / Leased Fee",IFERROR(INDEX(mapPTGroup,MATCH(LEFT(TRIM($AJ885),2),mapPTCode,0)),"Other / Leased Fee"))</f>
        <v/>
      </c>
      <c r="CA885" s="76">
        <f>IF(TRIM($AF885&amp;"")="","NR",LEFT(TRIM($AF885),2))</f>
        <v/>
      </c>
      <c r="CB885" s="76">
        <f>IFERROR(LOOKUP(2,1/(LEFT(TRIM($AI885&amp;""),LEN(mapRegion))=mapRegion),mapRegion),"Not Reported")</f>
        <v/>
      </c>
      <c r="CC885" s="76">
        <f>IF($BY885=0,"",IF(TRIM($W885&amp;"")="REO","REO",IF(TRIM($W885&amp;"")="FC","Foreclosure",IF(TRIM($W885&amp;"")="90+","90+ Days Delinquent",IF(TRIM($W885&amp;"")="60","60 Days Delinquent",IF(TRIM($W885&amp;"")="30","30 Days Delinquent",IF($X885="Non-Performing Matured Balloon","Non-Performing Matured Balloon",IF(OR($X885="Late Payment But Less Than 30 Days Delinquent",LEFT($X885&amp;"",20)="Payment Not Received"),"Late / In Grace (&lt;30 Days)",IF($X885="Performing Matured Balloon","Performing Matured Balloon","Current")))))))))</f>
        <v/>
      </c>
      <c r="CD885" s="78">
        <f>IF(OR($CC885="REO",$CC885="Foreclosure",$CC885="90+ Days Delinquent",$CC885="60 Days Delinquent",$CC885="30 Days Delinquent",$CC885="Non-Performing Matured Balloon"),1,0)</f>
        <v/>
      </c>
      <c r="CE885" s="76">
        <f>IF($AB885="Currently special serv","Currently Specially Serviced",IF($AB885="Returned to master serv","Previously Specially Serviced","Never Specially Serviced"))</f>
        <v/>
      </c>
      <c r="CF885" s="78">
        <f>IF($CE885="Currently Specially Serviced",1,0)</f>
        <v/>
      </c>
      <c r="CG885" s="76">
        <f>IF($AA885="Yes","Currently on Watchlist",IF($AA885="Previously","Previously on Watchlist","Never on Watchlist"))</f>
        <v/>
      </c>
      <c r="CH885" s="78">
        <f>IF($CG885="Currently on Watchlist",1,0)</f>
        <v/>
      </c>
      <c r="CI885" s="76">
        <f>IF($Z885="Full Defeasance","Fully Defeased",IF($Z885="Portion Of Loan Previously Defeased","Partially Defeased",IF($Z885="Defeasance Not Allowable","Not Defeased (Not Permitted)","Not Defeased")))</f>
        <v/>
      </c>
      <c r="CJ885" s="78">
        <f>IF($CI885="Fully Defeased",1,0)</f>
        <v/>
      </c>
      <c r="CK885" s="76">
        <f>IF($R885="IO","Full IO",IF(LEFT($R885&amp;"",7)="IO then","Partial IO","Amortizing"))</f>
        <v/>
      </c>
      <c r="CL885" s="78">
        <f>IF($CK885="Full IO",1,0)</f>
        <v/>
      </c>
      <c r="CM885" s="78">
        <f>IF($CK885="Partial IO",1,0)</f>
        <v/>
      </c>
      <c r="CN885" s="76">
        <f>IF(LEFT($F885&amp;"",10)="SPLIT_LOAN","Pari Passu Split","Standalone")</f>
        <v/>
      </c>
      <c r="CO885" s="78">
        <f>IF($CN885="Pari Passu Split",1,0)</f>
        <v/>
      </c>
      <c r="CP885" s="77">
        <f>IF(ISNUMBER($T885),YEAR($T885),"")</f>
        <v/>
      </c>
      <c r="CQ885" s="79">
        <f>IF(ISNUMBER($V885),$V885,IF(ISNUMBER($U885),$U885,""))</f>
        <v/>
      </c>
      <c r="CR885" s="77">
        <f>IF(ISNUMBER($CQ885),YEAR($CQ885),"")</f>
        <v/>
      </c>
      <c r="CS885" s="78">
        <f>IF(ISNUMBER($M885),MAX(0,$M885),IF(TRIM($M885&amp;"")="matured",0,""))</f>
        <v/>
      </c>
      <c r="CT885" s="78">
        <f>IF(AND(ISNUMBER($CS885),N($CS885)&lt;=mMatWindow),1,0)</f>
        <v/>
      </c>
      <c r="CU885" s="80">
        <f>IF(ISNUMBER($J885),$J885/100,"")</f>
        <v/>
      </c>
      <c r="CV885" s="81">
        <f>IF(ISNUMBER($AQ885),$AQ885,"")</f>
        <v/>
      </c>
      <c r="CW885" s="81">
        <f>IF(ISNUMBER($AR885),$AR885,"")</f>
        <v/>
      </c>
      <c r="CX885" s="82">
        <f>IF(ISNUMBER($AS885),$AS885/100,"")</f>
        <v/>
      </c>
      <c r="CY885" s="82">
        <f>IF(ISNUMBER($AT885),$AT885/100,"")</f>
        <v/>
      </c>
      <c r="CZ885" s="82">
        <f>IF(ISNUMBER($AU885),$AU885/100,"")</f>
        <v/>
      </c>
      <c r="DA885" s="82">
        <f>IF(ISNUMBER($AV885),$AV885/100,"")</f>
        <v/>
      </c>
      <c r="DB885" s="82">
        <f>IF(ISNUMBER($AW885),$AW885/100,"")</f>
        <v/>
      </c>
      <c r="DC885" s="82">
        <f>IF(ISNUMBER($AX885),$AX885/100,"")</f>
        <v/>
      </c>
      <c r="DD885" s="77">
        <f>IFERROR(VALUE(LEFT(TRIM($AO885&amp;""),4)),"")</f>
        <v/>
      </c>
      <c r="DE885" s="78">
        <f>IF(AND($BY885=1,$BX885=1,OR(fDeal="All Deals",$BU885=fDeal),OR(fEntity="All Entities",$BV885=fEntity),OR(fPType="All Property Types",$BZ885=fPType),OR(fDefeased="Include",$CJ885=0)),1,0)</f>
        <v/>
      </c>
      <c r="DF885" s="83">
        <f>$DE885*N($I885)</f>
        <v/>
      </c>
      <c r="DG885" s="78">
        <f>IF($DE885=1,IF(COUNTIFS($F$8:$F885,$F885,$DE$8:$DE885,1)=1,1,0),0)</f>
        <v/>
      </c>
      <c r="DH885" s="83">
        <f>IF($DG885=1,SUMIFS($DF$8:$DF$1600,$F$8:$F$1600,$F885),0)</f>
        <v/>
      </c>
      <c r="DI885" s="78">
        <f>IF($DG885=1,COUNTIFS($F$8:$F$1600,$F885,$DE$8:$DE$1600,1),0)</f>
        <v/>
      </c>
      <c r="DJ885" s="84">
        <f>IF($DG885=1,$DH885+(100000-ROW())/mTieBreak,0)</f>
        <v/>
      </c>
    </row>
    <row r="886">
      <c r="B886" s="68" t="n">
        <v>30</v>
      </c>
      <c r="C886" s="69" t="inlineStr">
        <is>
          <t>MSC18L1</t>
        </is>
      </c>
      <c r="D886" s="69" t="inlineStr">
        <is>
          <t>30.000</t>
        </is>
      </c>
      <c r="E886" s="69" t="inlineStr">
        <is>
          <t>Laurel Pointe Apartments</t>
        </is>
      </c>
      <c r="F886" s="69" t="inlineStr">
        <is>
          <t>LNMSC18L1-30.000</t>
        </is>
      </c>
      <c r="G886" s="70" t="n"/>
      <c r="H886" s="71" t="n">
        <v>7500000</v>
      </c>
      <c r="I886" s="71" t="n">
        <v>0</v>
      </c>
      <c r="J886" s="72" t="n">
        <v>5.817</v>
      </c>
      <c r="K886" s="69" t="inlineStr">
        <is>
          <t>Fixed rate</t>
        </is>
      </c>
      <c r="L886" s="68" t="n">
        <v>60</v>
      </c>
      <c r="M886" s="68" t="n"/>
      <c r="N886" s="68" t="n">
        <v>60</v>
      </c>
      <c r="O886" s="68" t="n">
        <v>60</v>
      </c>
      <c r="P886" s="68" t="n"/>
      <c r="Q886" s="68" t="n"/>
      <c r="R886" s="69" t="inlineStr">
        <is>
          <t>IO</t>
        </is>
      </c>
      <c r="S886" s="69" t="inlineStr">
        <is>
          <t>Yes</t>
        </is>
      </c>
      <c r="T886" s="73" t="n">
        <v>43374</v>
      </c>
      <c r="U886" s="73" t="n">
        <v>45175</v>
      </c>
      <c r="V886" s="73" t="n"/>
      <c r="W886" s="69" t="n"/>
      <c r="X886" s="69" t="inlineStr">
        <is>
          <t>Current</t>
        </is>
      </c>
      <c r="Y886" s="68" t="n"/>
      <c r="Z886" s="69" t="inlineStr">
        <is>
          <t>Full Defeasance</t>
        </is>
      </c>
      <c r="AA886" s="69" t="n"/>
      <c r="AB886" s="69" t="inlineStr">
        <is>
          <t>Never special serv</t>
        </is>
      </c>
      <c r="AC886" s="73" t="n"/>
      <c r="AD886" s="69" t="n"/>
      <c r="AE886" s="69" t="n"/>
      <c r="AF886" s="69" t="inlineStr">
        <is>
          <t>CA</t>
        </is>
      </c>
      <c r="AG886" s="69" t="inlineStr">
        <is>
          <t>Hawthorne</t>
        </is>
      </c>
      <c r="AH886" s="69" t="inlineStr">
        <is>
          <t>Los Angeles-Long Beach-Anaheim, CA</t>
        </is>
      </c>
      <c r="AI886" s="69" t="inlineStr">
        <is>
          <t>West / Pacific South</t>
        </is>
      </c>
      <c r="AJ886" s="69" t="inlineStr">
        <is>
          <t>MF</t>
        </is>
      </c>
      <c r="AK886" s="69" t="inlineStr">
        <is>
          <t>Garden</t>
        </is>
      </c>
      <c r="AL886" s="68" t="n">
        <v>1</v>
      </c>
      <c r="AM886" s="68" t="n">
        <v>115</v>
      </c>
      <c r="AN886" s="68" t="n"/>
      <c r="AO886" s="69" t="inlineStr">
        <is>
          <t>1973</t>
        </is>
      </c>
      <c r="AP886" s="70" t="n">
        <v>2014</v>
      </c>
      <c r="AQ886" s="74" t="n">
        <v>1.6</v>
      </c>
      <c r="AR886" s="74" t="n">
        <v>3.67</v>
      </c>
      <c r="AS886" s="74" t="n">
        <v>38.1</v>
      </c>
      <c r="AT886" s="74" t="n"/>
      <c r="AU886" s="74" t="n">
        <v>38.1</v>
      </c>
      <c r="AV886" s="74" t="n">
        <v>9.465039600000001</v>
      </c>
      <c r="AW886" s="74" t="n"/>
      <c r="AX886" s="75" t="n">
        <v>99</v>
      </c>
      <c r="AY886" s="71" t="n">
        <v>19700000</v>
      </c>
      <c r="AZ886" s="71" t="n">
        <v>19700000</v>
      </c>
      <c r="BA886" s="71" t="n">
        <v>709877.97</v>
      </c>
      <c r="BB886" s="71" t="n">
        <v>1621398.14</v>
      </c>
      <c r="BC886" s="69" t="inlineStr">
        <is>
          <t>Acquisition</t>
        </is>
      </c>
      <c r="BD886" s="69" t="inlineStr">
        <is>
          <t>N</t>
        </is>
      </c>
      <c r="BE886" s="71" t="n"/>
      <c r="BF886" s="71" t="n"/>
      <c r="BG886" s="71" t="n"/>
      <c r="BH886" s="71" t="n">
        <v>0</v>
      </c>
      <c r="BI886" s="71" t="n">
        <v>0</v>
      </c>
      <c r="BJ886" s="69" t="inlineStr">
        <is>
          <t>N</t>
        </is>
      </c>
      <c r="BK886" s="69" t="n"/>
      <c r="BL886" s="75" t="n"/>
      <c r="BM886" s="73" t="n"/>
      <c r="BN886" s="69" t="inlineStr">
        <is>
          <t>Michael D. Cotton</t>
        </is>
      </c>
      <c r="BO886" s="69" t="inlineStr">
        <is>
          <t>Starwood</t>
        </is>
      </c>
      <c r="BP886" s="69" t="inlineStr">
        <is>
          <t>Midland Loan Services</t>
        </is>
      </c>
      <c r="BQ886" s="69" t="inlineStr">
        <is>
          <t>Midland Loan Services</t>
        </is>
      </c>
      <c r="BR886" s="69" t="inlineStr">
        <is>
          <t>Payoff Prior To Maturity</t>
        </is>
      </c>
      <c r="BS886" s="73" t="n">
        <v>45089</v>
      </c>
      <c r="BU886" s="76">
        <f>IF($C886="","",IFERROR(INDEX(dmName,MATCH($C886,dmID,0)),"Unmapped"))</f>
        <v/>
      </c>
      <c r="BV886" s="76">
        <f>IF($C886="","",IFERROR(INDEX(dmEntity,MATCH($C886,dmID,0)),"Unmapped"))</f>
        <v/>
      </c>
      <c r="BW886" s="77">
        <f>IF($C886="","",IFERROR(INDEX(dmVintage,MATCH($C886,dmID,0)),""))</f>
        <v/>
      </c>
      <c r="BX886" s="78">
        <f>IFERROR(INDEX(dmInclude,MATCH($C886,dmID,0)),0)</f>
        <v/>
      </c>
      <c r="BY886" s="78">
        <f>IF(N($I886)&gt;0,1,0)</f>
        <v/>
      </c>
      <c r="BZ886" s="76">
        <f>IF($AJ886="","Other / Leased Fee",IFERROR(INDEX(mapPTGroup,MATCH(LEFT(TRIM($AJ886),2),mapPTCode,0)),"Other / Leased Fee"))</f>
        <v/>
      </c>
      <c r="CA886" s="76">
        <f>IF(TRIM($AF886&amp;"")="","NR",LEFT(TRIM($AF886),2))</f>
        <v/>
      </c>
      <c r="CB886" s="76">
        <f>IFERROR(LOOKUP(2,1/(LEFT(TRIM($AI886&amp;""),LEN(mapRegion))=mapRegion),mapRegion),"Not Reported")</f>
        <v/>
      </c>
      <c r="CC886" s="76">
        <f>IF($BY886=0,"",IF(TRIM($W886&amp;"")="REO","REO",IF(TRIM($W886&amp;"")="FC","Foreclosure",IF(TRIM($W886&amp;"")="90+","90+ Days Delinquent",IF(TRIM($W886&amp;"")="60","60 Days Delinquent",IF(TRIM($W886&amp;"")="30","30 Days Delinquent",IF($X886="Non-Performing Matured Balloon","Non-Performing Matured Balloon",IF(OR($X886="Late Payment But Less Than 30 Days Delinquent",LEFT($X886&amp;"",20)="Payment Not Received"),"Late / In Grace (&lt;30 Days)",IF($X886="Performing Matured Balloon","Performing Matured Balloon","Current")))))))))</f>
        <v/>
      </c>
      <c r="CD886" s="78">
        <f>IF(OR($CC886="REO",$CC886="Foreclosure",$CC886="90+ Days Delinquent",$CC886="60 Days Delinquent",$CC886="30 Days Delinquent",$CC886="Non-Performing Matured Balloon"),1,0)</f>
        <v/>
      </c>
      <c r="CE886" s="76">
        <f>IF($AB886="Currently special serv","Currently Specially Serviced",IF($AB886="Returned to master serv","Previously Specially Serviced","Never Specially Serviced"))</f>
        <v/>
      </c>
      <c r="CF886" s="78">
        <f>IF($CE886="Currently Specially Serviced",1,0)</f>
        <v/>
      </c>
      <c r="CG886" s="76">
        <f>IF($AA886="Yes","Currently on Watchlist",IF($AA886="Previously","Previously on Watchlist","Never on Watchlist"))</f>
        <v/>
      </c>
      <c r="CH886" s="78">
        <f>IF($CG886="Currently on Watchlist",1,0)</f>
        <v/>
      </c>
      <c r="CI886" s="76">
        <f>IF($Z886="Full Defeasance","Fully Defeased",IF($Z886="Portion Of Loan Previously Defeased","Partially Defeased",IF($Z886="Defeasance Not Allowable","Not Defeased (Not Permitted)","Not Defeased")))</f>
        <v/>
      </c>
      <c r="CJ886" s="78">
        <f>IF($CI886="Fully Defeased",1,0)</f>
        <v/>
      </c>
      <c r="CK886" s="76">
        <f>IF($R886="IO","Full IO",IF(LEFT($R886&amp;"",7)="IO then","Partial IO","Amortizing"))</f>
        <v/>
      </c>
      <c r="CL886" s="78">
        <f>IF($CK886="Full IO",1,0)</f>
        <v/>
      </c>
      <c r="CM886" s="78">
        <f>IF($CK886="Partial IO",1,0)</f>
        <v/>
      </c>
      <c r="CN886" s="76">
        <f>IF(LEFT($F886&amp;"",10)="SPLIT_LOAN","Pari Passu Split","Standalone")</f>
        <v/>
      </c>
      <c r="CO886" s="78">
        <f>IF($CN886="Pari Passu Split",1,0)</f>
        <v/>
      </c>
      <c r="CP886" s="77">
        <f>IF(ISNUMBER($T886),YEAR($T886),"")</f>
        <v/>
      </c>
      <c r="CQ886" s="79">
        <f>IF(ISNUMBER($V886),$V886,IF(ISNUMBER($U886),$U886,""))</f>
        <v/>
      </c>
      <c r="CR886" s="77">
        <f>IF(ISNUMBER($CQ886),YEAR($CQ886),"")</f>
        <v/>
      </c>
      <c r="CS886" s="78">
        <f>IF(ISNUMBER($M886),MAX(0,$M886),IF(TRIM($M886&amp;"")="matured",0,""))</f>
        <v/>
      </c>
      <c r="CT886" s="78">
        <f>IF(AND(ISNUMBER($CS886),N($CS886)&lt;=mMatWindow),1,0)</f>
        <v/>
      </c>
      <c r="CU886" s="80">
        <f>IF(ISNUMBER($J886),$J886/100,"")</f>
        <v/>
      </c>
      <c r="CV886" s="81">
        <f>IF(ISNUMBER($AQ886),$AQ886,"")</f>
        <v/>
      </c>
      <c r="CW886" s="81">
        <f>IF(ISNUMBER($AR886),$AR886,"")</f>
        <v/>
      </c>
      <c r="CX886" s="82">
        <f>IF(ISNUMBER($AS886),$AS886/100,"")</f>
        <v/>
      </c>
      <c r="CY886" s="82">
        <f>IF(ISNUMBER($AT886),$AT886/100,"")</f>
        <v/>
      </c>
      <c r="CZ886" s="82">
        <f>IF(ISNUMBER($AU886),$AU886/100,"")</f>
        <v/>
      </c>
      <c r="DA886" s="82">
        <f>IF(ISNUMBER($AV886),$AV886/100,"")</f>
        <v/>
      </c>
      <c r="DB886" s="82">
        <f>IF(ISNUMBER($AW886),$AW886/100,"")</f>
        <v/>
      </c>
      <c r="DC886" s="82">
        <f>IF(ISNUMBER($AX886),$AX886/100,"")</f>
        <v/>
      </c>
      <c r="DD886" s="77">
        <f>IFERROR(VALUE(LEFT(TRIM($AO886&amp;""),4)),"")</f>
        <v/>
      </c>
      <c r="DE886" s="78">
        <f>IF(AND($BY886=1,$BX886=1,OR(fDeal="All Deals",$BU886=fDeal),OR(fEntity="All Entities",$BV886=fEntity),OR(fPType="All Property Types",$BZ886=fPType),OR(fDefeased="Include",$CJ886=0)),1,0)</f>
        <v/>
      </c>
      <c r="DF886" s="83">
        <f>$DE886*N($I886)</f>
        <v/>
      </c>
      <c r="DG886" s="78">
        <f>IF($DE886=1,IF(COUNTIFS($F$8:$F886,$F886,$DE$8:$DE886,1)=1,1,0),0)</f>
        <v/>
      </c>
      <c r="DH886" s="83">
        <f>IF($DG886=1,SUMIFS($DF$8:$DF$1600,$F$8:$F$1600,$F886),0)</f>
        <v/>
      </c>
      <c r="DI886" s="78">
        <f>IF($DG886=1,COUNTIFS($F$8:$F$1600,$F886,$DE$8:$DE$1600,1),0)</f>
        <v/>
      </c>
      <c r="DJ886" s="84">
        <f>IF($DG886=1,$DH886+(100000-ROW())/mTieBreak,0)</f>
        <v/>
      </c>
    </row>
    <row r="887">
      <c r="B887" s="68" t="n">
        <v>31</v>
      </c>
      <c r="C887" s="69" t="inlineStr">
        <is>
          <t>MSC18L1</t>
        </is>
      </c>
      <c r="D887" s="69" t="inlineStr">
        <is>
          <t>31.000</t>
        </is>
      </c>
      <c r="E887" s="69" t="inlineStr">
        <is>
          <t>Tower Square</t>
        </is>
      </c>
      <c r="F887" s="69" t="inlineStr">
        <is>
          <t>LNMSC18L1-31.000</t>
        </is>
      </c>
      <c r="G887" s="70" t="n"/>
      <c r="H887" s="71" t="n">
        <v>7500000</v>
      </c>
      <c r="I887" s="71" t="n">
        <v>6539863.029997502</v>
      </c>
      <c r="J887" s="72" t="n">
        <v>5.23</v>
      </c>
      <c r="K887" s="69" t="inlineStr">
        <is>
          <t>Fixed rate</t>
        </is>
      </c>
      <c r="L887" s="68" t="n">
        <v>120</v>
      </c>
      <c r="M887" s="68" t="n">
        <v>25</v>
      </c>
      <c r="N887" s="68" t="n">
        <v>360</v>
      </c>
      <c r="O887" s="68" t="n"/>
      <c r="P887" s="68" t="n"/>
      <c r="Q887" s="68" t="n">
        <v>95</v>
      </c>
      <c r="R887" s="69" t="n"/>
      <c r="S887" s="69" t="inlineStr">
        <is>
          <t>No</t>
        </is>
      </c>
      <c r="T887" s="73" t="n">
        <v>43374</v>
      </c>
      <c r="U887" s="73" t="n">
        <v>47032</v>
      </c>
      <c r="V887" s="73" t="n"/>
      <c r="W887" s="69" t="n"/>
      <c r="X887" s="69" t="inlineStr">
        <is>
          <t>Current</t>
        </is>
      </c>
      <c r="Y887" s="68" t="n"/>
      <c r="Z887" s="69" t="inlineStr">
        <is>
          <t>No Defeasance Occurred</t>
        </is>
      </c>
      <c r="AA887" s="69" t="inlineStr">
        <is>
          <t>Yes</t>
        </is>
      </c>
      <c r="AB887" s="69" t="inlineStr">
        <is>
          <t>Never special serv</t>
        </is>
      </c>
      <c r="AC887" s="73" t="n"/>
      <c r="AD887" s="69" t="n"/>
      <c r="AE887" s="69" t="n"/>
      <c r="AF887" s="69" t="inlineStr">
        <is>
          <t>NJ</t>
        </is>
      </c>
      <c r="AG887" s="69" t="inlineStr">
        <is>
          <t>Sewell</t>
        </is>
      </c>
      <c r="AH887" s="69" t="inlineStr">
        <is>
          <t>Philadelphia-Camden-Wilmington, PA-NJ-DE-MD</t>
        </is>
      </c>
      <c r="AI887" s="69" t="inlineStr">
        <is>
          <t>Northeast / Mid-Atlantic</t>
        </is>
      </c>
      <c r="AJ887" s="69" t="inlineStr">
        <is>
          <t>MX</t>
        </is>
      </c>
      <c r="AK887" s="69" t="n"/>
      <c r="AL887" s="68" t="n">
        <v>1</v>
      </c>
      <c r="AM887" s="68" t="n"/>
      <c r="AN887" s="68" t="n">
        <v>55224</v>
      </c>
      <c r="AO887" s="69" t="inlineStr">
        <is>
          <t>2003</t>
        </is>
      </c>
      <c r="AP887" s="70" t="n">
        <v>2003</v>
      </c>
      <c r="AQ887" s="74" t="n">
        <v>1.51</v>
      </c>
      <c r="AR887" s="74" t="n">
        <v>1.36</v>
      </c>
      <c r="AS887" s="74" t="n">
        <v>63.6</v>
      </c>
      <c r="AT887" s="74" t="n">
        <v>55.42</v>
      </c>
      <c r="AU887" s="74" t="n">
        <v>52.8</v>
      </c>
      <c r="AV887" s="74" t="n">
        <v>9.960375600000001</v>
      </c>
      <c r="AW887" s="74" t="n">
        <v>10.278666341</v>
      </c>
      <c r="AX887" s="75" t="n">
        <v>98</v>
      </c>
      <c r="AY887" s="71" t="n">
        <v>11800000</v>
      </c>
      <c r="AZ887" s="71" t="n">
        <v>11800000</v>
      </c>
      <c r="BA887" s="71" t="n">
        <v>747028.17</v>
      </c>
      <c r="BB887" s="71" t="n">
        <v>674419.0600000001</v>
      </c>
      <c r="BC887" s="69" t="inlineStr">
        <is>
          <t>Refinance</t>
        </is>
      </c>
      <c r="BD887" s="69" t="inlineStr">
        <is>
          <t>N</t>
        </is>
      </c>
      <c r="BE887" s="71" t="n"/>
      <c r="BF887" s="71" t="n"/>
      <c r="BG887" s="71" t="n"/>
      <c r="BH887" s="71" t="n">
        <v>0</v>
      </c>
      <c r="BI887" s="71" t="n">
        <v>0</v>
      </c>
      <c r="BJ887" s="69" t="inlineStr">
        <is>
          <t>N</t>
        </is>
      </c>
      <c r="BK887" s="69" t="inlineStr">
        <is>
          <t>Tutor Time Learning          Centers LLC</t>
        </is>
      </c>
      <c r="BL887" s="75" t="n">
        <v>17.38</v>
      </c>
      <c r="BM887" s="73" t="n">
        <v>48579</v>
      </c>
      <c r="BN887" s="69" t="inlineStr">
        <is>
          <t>Donald F. Cafiero</t>
        </is>
      </c>
      <c r="BO887" s="69" t="inlineStr">
        <is>
          <t>Starwood</t>
        </is>
      </c>
      <c r="BP887" s="69" t="inlineStr">
        <is>
          <t>Midland Loan Services</t>
        </is>
      </c>
      <c r="BQ887" s="69" t="inlineStr">
        <is>
          <t>K-Star Asset Management LLC</t>
        </is>
      </c>
      <c r="BR887" s="69" t="n"/>
      <c r="BS887" s="73" t="n">
        <v>46276</v>
      </c>
      <c r="BU887" s="76">
        <f>IF($C887="","",IFERROR(INDEX(dmName,MATCH($C887,dmID,0)),"Unmapped"))</f>
        <v/>
      </c>
      <c r="BV887" s="76">
        <f>IF($C887="","",IFERROR(INDEX(dmEntity,MATCH($C887,dmID,0)),"Unmapped"))</f>
        <v/>
      </c>
      <c r="BW887" s="77">
        <f>IF($C887="","",IFERROR(INDEX(dmVintage,MATCH($C887,dmID,0)),""))</f>
        <v/>
      </c>
      <c r="BX887" s="78">
        <f>IFERROR(INDEX(dmInclude,MATCH($C887,dmID,0)),0)</f>
        <v/>
      </c>
      <c r="BY887" s="78">
        <f>IF(N($I887)&gt;0,1,0)</f>
        <v/>
      </c>
      <c r="BZ887" s="76">
        <f>IF($AJ887="","Other / Leased Fee",IFERROR(INDEX(mapPTGroup,MATCH(LEFT(TRIM($AJ887),2),mapPTCode,0)),"Other / Leased Fee"))</f>
        <v/>
      </c>
      <c r="CA887" s="76">
        <f>IF(TRIM($AF887&amp;"")="","NR",LEFT(TRIM($AF887),2))</f>
        <v/>
      </c>
      <c r="CB887" s="76">
        <f>IFERROR(LOOKUP(2,1/(LEFT(TRIM($AI887&amp;""),LEN(mapRegion))=mapRegion),mapRegion),"Not Reported")</f>
        <v/>
      </c>
      <c r="CC887" s="76">
        <f>IF($BY887=0,"",IF(TRIM($W887&amp;"")="REO","REO",IF(TRIM($W887&amp;"")="FC","Foreclosure",IF(TRIM($W887&amp;"")="90+","90+ Days Delinquent",IF(TRIM($W887&amp;"")="60","60 Days Delinquent",IF(TRIM($W887&amp;"")="30","30 Days Delinquent",IF($X887="Non-Performing Matured Balloon","Non-Performing Matured Balloon",IF(OR($X887="Late Payment But Less Than 30 Days Delinquent",LEFT($X887&amp;"",20)="Payment Not Received"),"Late / In Grace (&lt;30 Days)",IF($X887="Performing Matured Balloon","Performing Matured Balloon","Current")))))))))</f>
        <v/>
      </c>
      <c r="CD887" s="78">
        <f>IF(OR($CC887="REO",$CC887="Foreclosure",$CC887="90+ Days Delinquent",$CC887="60 Days Delinquent",$CC887="30 Days Delinquent",$CC887="Non-Performing Matured Balloon"),1,0)</f>
        <v/>
      </c>
      <c r="CE887" s="76">
        <f>IF($AB887="Currently special serv","Currently Specially Serviced",IF($AB887="Returned to master serv","Previously Specially Serviced","Never Specially Serviced"))</f>
        <v/>
      </c>
      <c r="CF887" s="78">
        <f>IF($CE887="Currently Specially Serviced",1,0)</f>
        <v/>
      </c>
      <c r="CG887" s="76">
        <f>IF($AA887="Yes","Currently on Watchlist",IF($AA887="Previously","Previously on Watchlist","Never on Watchlist"))</f>
        <v/>
      </c>
      <c r="CH887" s="78">
        <f>IF($CG887="Currently on Watchlist",1,0)</f>
        <v/>
      </c>
      <c r="CI887" s="76">
        <f>IF($Z887="Full Defeasance","Fully Defeased",IF($Z887="Portion Of Loan Previously Defeased","Partially Defeased",IF($Z887="Defeasance Not Allowable","Not Defeased (Not Permitted)","Not Defeased")))</f>
        <v/>
      </c>
      <c r="CJ887" s="78">
        <f>IF($CI887="Fully Defeased",1,0)</f>
        <v/>
      </c>
      <c r="CK887" s="76">
        <f>IF($R887="IO","Full IO",IF(LEFT($R887&amp;"",7)="IO then","Partial IO","Amortizing"))</f>
        <v/>
      </c>
      <c r="CL887" s="78">
        <f>IF($CK887="Full IO",1,0)</f>
        <v/>
      </c>
      <c r="CM887" s="78">
        <f>IF($CK887="Partial IO",1,0)</f>
        <v/>
      </c>
      <c r="CN887" s="76">
        <f>IF(LEFT($F887&amp;"",10)="SPLIT_LOAN","Pari Passu Split","Standalone")</f>
        <v/>
      </c>
      <c r="CO887" s="78">
        <f>IF($CN887="Pari Passu Split",1,0)</f>
        <v/>
      </c>
      <c r="CP887" s="77">
        <f>IF(ISNUMBER($T887),YEAR($T887),"")</f>
        <v/>
      </c>
      <c r="CQ887" s="79">
        <f>IF(ISNUMBER($V887),$V887,IF(ISNUMBER($U887),$U887,""))</f>
        <v/>
      </c>
      <c r="CR887" s="77">
        <f>IF(ISNUMBER($CQ887),YEAR($CQ887),"")</f>
        <v/>
      </c>
      <c r="CS887" s="78">
        <f>IF(ISNUMBER($M887),MAX(0,$M887),IF(TRIM($M887&amp;"")="matured",0,""))</f>
        <v/>
      </c>
      <c r="CT887" s="78">
        <f>IF(AND(ISNUMBER($CS887),N($CS887)&lt;=mMatWindow),1,0)</f>
        <v/>
      </c>
      <c r="CU887" s="80">
        <f>IF(ISNUMBER($J887),$J887/100,"")</f>
        <v/>
      </c>
      <c r="CV887" s="81">
        <f>IF(ISNUMBER($AQ887),$AQ887,"")</f>
        <v/>
      </c>
      <c r="CW887" s="81">
        <f>IF(ISNUMBER($AR887),$AR887,"")</f>
        <v/>
      </c>
      <c r="CX887" s="82">
        <f>IF(ISNUMBER($AS887),$AS887/100,"")</f>
        <v/>
      </c>
      <c r="CY887" s="82">
        <f>IF(ISNUMBER($AT887),$AT887/100,"")</f>
        <v/>
      </c>
      <c r="CZ887" s="82">
        <f>IF(ISNUMBER($AU887),$AU887/100,"")</f>
        <v/>
      </c>
      <c r="DA887" s="82">
        <f>IF(ISNUMBER($AV887),$AV887/100,"")</f>
        <v/>
      </c>
      <c r="DB887" s="82">
        <f>IF(ISNUMBER($AW887),$AW887/100,"")</f>
        <v/>
      </c>
      <c r="DC887" s="82">
        <f>IF(ISNUMBER($AX887),$AX887/100,"")</f>
        <v/>
      </c>
      <c r="DD887" s="77">
        <f>IFERROR(VALUE(LEFT(TRIM($AO887&amp;""),4)),"")</f>
        <v/>
      </c>
      <c r="DE887" s="78">
        <f>IF(AND($BY887=1,$BX887=1,OR(fDeal="All Deals",$BU887=fDeal),OR(fEntity="All Entities",$BV887=fEntity),OR(fPType="All Property Types",$BZ887=fPType),OR(fDefeased="Include",$CJ887=0)),1,0)</f>
        <v/>
      </c>
      <c r="DF887" s="83">
        <f>$DE887*N($I887)</f>
        <v/>
      </c>
      <c r="DG887" s="78">
        <f>IF($DE887=1,IF(COUNTIFS($F$8:$F887,$F887,$DE$8:$DE887,1)=1,1,0),0)</f>
        <v/>
      </c>
      <c r="DH887" s="83">
        <f>IF($DG887=1,SUMIFS($DF$8:$DF$1600,$F$8:$F$1600,$F887),0)</f>
        <v/>
      </c>
      <c r="DI887" s="78">
        <f>IF($DG887=1,COUNTIFS($F$8:$F$1600,$F887,$DE$8:$DE$1600,1),0)</f>
        <v/>
      </c>
      <c r="DJ887" s="84">
        <f>IF($DG887=1,$DH887+(100000-ROW())/mTieBreak,0)</f>
        <v/>
      </c>
    </row>
    <row r="888">
      <c r="B888" s="68" t="n">
        <v>32</v>
      </c>
      <c r="C888" s="69" t="inlineStr">
        <is>
          <t>MSC18L1</t>
        </is>
      </c>
      <c r="D888" s="69" t="inlineStr">
        <is>
          <t>32.000</t>
        </is>
      </c>
      <c r="E888" s="69" t="inlineStr">
        <is>
          <t>South Brook Town Center</t>
        </is>
      </c>
      <c r="F888" s="69" t="inlineStr">
        <is>
          <t>LNMSC18L1-32.000</t>
        </is>
      </c>
      <c r="G888" s="70" t="n"/>
      <c r="H888" s="71" t="n">
        <v>7285000</v>
      </c>
      <c r="I888" s="71" t="n">
        <v>6858968.199998531</v>
      </c>
      <c r="J888" s="72" t="n">
        <v>5.058</v>
      </c>
      <c r="K888" s="69" t="inlineStr">
        <is>
          <t>Fixed rate</t>
        </is>
      </c>
      <c r="L888" s="68" t="n">
        <v>120</v>
      </c>
      <c r="M888" s="68" t="n">
        <v>25</v>
      </c>
      <c r="N888" s="68" t="n">
        <v>408</v>
      </c>
      <c r="O888" s="68" t="n">
        <v>48</v>
      </c>
      <c r="P888" s="68" t="n">
        <v>0</v>
      </c>
      <c r="Q888" s="68" t="n">
        <v>95</v>
      </c>
      <c r="R888" s="69" t="inlineStr">
        <is>
          <t>IO then Amort</t>
        </is>
      </c>
      <c r="S888" s="69" t="inlineStr">
        <is>
          <t>No</t>
        </is>
      </c>
      <c r="T888" s="73" t="n">
        <v>43374</v>
      </c>
      <c r="U888" s="73" t="n">
        <v>47032</v>
      </c>
      <c r="V888" s="73" t="n"/>
      <c r="W888" s="69" t="n"/>
      <c r="X888" s="69" t="inlineStr">
        <is>
          <t>Late Payment But Less Than 30 Days Delinquent</t>
        </is>
      </c>
      <c r="Y888" s="68" t="n"/>
      <c r="Z888" s="69" t="inlineStr">
        <is>
          <t>No Defeasance Occurred</t>
        </is>
      </c>
      <c r="AA888" s="69" t="inlineStr">
        <is>
          <t>Yes</t>
        </is>
      </c>
      <c r="AB888" s="69" t="inlineStr">
        <is>
          <t>Never special serv</t>
        </is>
      </c>
      <c r="AC888" s="73" t="n"/>
      <c r="AD888" s="69" t="n"/>
      <c r="AE888" s="69" t="n"/>
      <c r="AF888" s="69" t="inlineStr">
        <is>
          <t>TX</t>
        </is>
      </c>
      <c r="AG888" s="69" t="inlineStr">
        <is>
          <t>Austin</t>
        </is>
      </c>
      <c r="AH888" s="69" t="inlineStr">
        <is>
          <t>Austin-Round Rock-San Marcos, TX</t>
        </is>
      </c>
      <c r="AI888" s="69" t="inlineStr">
        <is>
          <t>South / Central West</t>
        </is>
      </c>
      <c r="AJ888" s="69" t="inlineStr">
        <is>
          <t>RT</t>
        </is>
      </c>
      <c r="AK888" s="69" t="inlineStr">
        <is>
          <t>Unanchored</t>
        </is>
      </c>
      <c r="AL888" s="68" t="n">
        <v>1</v>
      </c>
      <c r="AM888" s="68" t="n"/>
      <c r="AN888" s="68" t="n">
        <v>54651</v>
      </c>
      <c r="AO888" s="69" t="inlineStr">
        <is>
          <t>1994</t>
        </is>
      </c>
      <c r="AP888" s="70" t="n">
        <v>1994</v>
      </c>
      <c r="AQ888" s="74" t="n">
        <v>1.39</v>
      </c>
      <c r="AR888" s="74" t="n">
        <v>1.49</v>
      </c>
      <c r="AS888" s="74" t="n">
        <v>65.59999999999999</v>
      </c>
      <c r="AT888" s="74" t="n">
        <v>61.79</v>
      </c>
      <c r="AU888" s="74" t="n">
        <v>59.5</v>
      </c>
      <c r="AV888" s="74" t="n">
        <v>9.003409472</v>
      </c>
      <c r="AW888" s="74" t="n">
        <v>10.822437112</v>
      </c>
      <c r="AX888" s="75" t="n">
        <v>100</v>
      </c>
      <c r="AY888" s="71" t="n">
        <v>11100000</v>
      </c>
      <c r="AZ888" s="71" t="n">
        <v>11100000</v>
      </c>
      <c r="BA888" s="71" t="n">
        <v>655898.38</v>
      </c>
      <c r="BB888" s="71" t="n">
        <v>704867.22</v>
      </c>
      <c r="BC888" s="69" t="inlineStr">
        <is>
          <t>Acquisition</t>
        </is>
      </c>
      <c r="BD888" s="69" t="inlineStr">
        <is>
          <t>N</t>
        </is>
      </c>
      <c r="BE888" s="71" t="n"/>
      <c r="BF888" s="71" t="n"/>
      <c r="BG888" s="71" t="n"/>
      <c r="BH888" s="71" t="n">
        <v>0</v>
      </c>
      <c r="BI888" s="71" t="n">
        <v>39336.52</v>
      </c>
      <c r="BJ888" s="69" t="inlineStr">
        <is>
          <t>Y</t>
        </is>
      </c>
      <c r="BK888" s="69" t="inlineStr">
        <is>
          <t>Excell Fitness IX LLC</t>
        </is>
      </c>
      <c r="BL888" s="75" t="n">
        <v>30.47</v>
      </c>
      <c r="BM888" s="73" t="n">
        <v>48244</v>
      </c>
      <c r="BN888" s="69" t="inlineStr">
        <is>
          <t>Caspar Chou</t>
        </is>
      </c>
      <c r="BO888" s="69" t="inlineStr">
        <is>
          <t>Starwood</t>
        </is>
      </c>
      <c r="BP888" s="69" t="inlineStr">
        <is>
          <t>Midland Loan Services</t>
        </is>
      </c>
      <c r="BQ888" s="69" t="inlineStr">
        <is>
          <t>K-Star Asset Management LLC</t>
        </is>
      </c>
      <c r="BR888" s="69" t="n"/>
      <c r="BS888" s="73" t="n">
        <v>46276</v>
      </c>
      <c r="BU888" s="76">
        <f>IF($C888="","",IFERROR(INDEX(dmName,MATCH($C888,dmID,0)),"Unmapped"))</f>
        <v/>
      </c>
      <c r="BV888" s="76">
        <f>IF($C888="","",IFERROR(INDEX(dmEntity,MATCH($C888,dmID,0)),"Unmapped"))</f>
        <v/>
      </c>
      <c r="BW888" s="77">
        <f>IF($C888="","",IFERROR(INDEX(dmVintage,MATCH($C888,dmID,0)),""))</f>
        <v/>
      </c>
      <c r="BX888" s="78">
        <f>IFERROR(INDEX(dmInclude,MATCH($C888,dmID,0)),0)</f>
        <v/>
      </c>
      <c r="BY888" s="78">
        <f>IF(N($I888)&gt;0,1,0)</f>
        <v/>
      </c>
      <c r="BZ888" s="76">
        <f>IF($AJ888="","Other / Leased Fee",IFERROR(INDEX(mapPTGroup,MATCH(LEFT(TRIM($AJ888),2),mapPTCode,0)),"Other / Leased Fee"))</f>
        <v/>
      </c>
      <c r="CA888" s="76">
        <f>IF(TRIM($AF888&amp;"")="","NR",LEFT(TRIM($AF888),2))</f>
        <v/>
      </c>
      <c r="CB888" s="76">
        <f>IFERROR(LOOKUP(2,1/(LEFT(TRIM($AI888&amp;""),LEN(mapRegion))=mapRegion),mapRegion),"Not Reported")</f>
        <v/>
      </c>
      <c r="CC888" s="76">
        <f>IF($BY888=0,"",IF(TRIM($W888&amp;"")="REO","REO",IF(TRIM($W888&amp;"")="FC","Foreclosure",IF(TRIM($W888&amp;"")="90+","90+ Days Delinquent",IF(TRIM($W888&amp;"")="60","60 Days Delinquent",IF(TRIM($W888&amp;"")="30","30 Days Delinquent",IF($X888="Non-Performing Matured Balloon","Non-Performing Matured Balloon",IF(OR($X888="Late Payment But Less Than 30 Days Delinquent",LEFT($X888&amp;"",20)="Payment Not Received"),"Late / In Grace (&lt;30 Days)",IF($X888="Performing Matured Balloon","Performing Matured Balloon","Current")))))))))</f>
        <v/>
      </c>
      <c r="CD888" s="78">
        <f>IF(OR($CC888="REO",$CC888="Foreclosure",$CC888="90+ Days Delinquent",$CC888="60 Days Delinquent",$CC888="30 Days Delinquent",$CC888="Non-Performing Matured Balloon"),1,0)</f>
        <v/>
      </c>
      <c r="CE888" s="76">
        <f>IF($AB888="Currently special serv","Currently Specially Serviced",IF($AB888="Returned to master serv","Previously Specially Serviced","Never Specially Serviced"))</f>
        <v/>
      </c>
      <c r="CF888" s="78">
        <f>IF($CE888="Currently Specially Serviced",1,0)</f>
        <v/>
      </c>
      <c r="CG888" s="76">
        <f>IF($AA888="Yes","Currently on Watchlist",IF($AA888="Previously","Previously on Watchlist","Never on Watchlist"))</f>
        <v/>
      </c>
      <c r="CH888" s="78">
        <f>IF($CG888="Currently on Watchlist",1,0)</f>
        <v/>
      </c>
      <c r="CI888" s="76">
        <f>IF($Z888="Full Defeasance","Fully Defeased",IF($Z888="Portion Of Loan Previously Defeased","Partially Defeased",IF($Z888="Defeasance Not Allowable","Not Defeased (Not Permitted)","Not Defeased")))</f>
        <v/>
      </c>
      <c r="CJ888" s="78">
        <f>IF($CI888="Fully Defeased",1,0)</f>
        <v/>
      </c>
      <c r="CK888" s="76">
        <f>IF($R888="IO","Full IO",IF(LEFT($R888&amp;"",7)="IO then","Partial IO","Amortizing"))</f>
        <v/>
      </c>
      <c r="CL888" s="78">
        <f>IF($CK888="Full IO",1,0)</f>
        <v/>
      </c>
      <c r="CM888" s="78">
        <f>IF($CK888="Partial IO",1,0)</f>
        <v/>
      </c>
      <c r="CN888" s="76">
        <f>IF(LEFT($F888&amp;"",10)="SPLIT_LOAN","Pari Passu Split","Standalone")</f>
        <v/>
      </c>
      <c r="CO888" s="78">
        <f>IF($CN888="Pari Passu Split",1,0)</f>
        <v/>
      </c>
      <c r="CP888" s="77">
        <f>IF(ISNUMBER($T888),YEAR($T888),"")</f>
        <v/>
      </c>
      <c r="CQ888" s="79">
        <f>IF(ISNUMBER($V888),$V888,IF(ISNUMBER($U888),$U888,""))</f>
        <v/>
      </c>
      <c r="CR888" s="77">
        <f>IF(ISNUMBER($CQ888),YEAR($CQ888),"")</f>
        <v/>
      </c>
      <c r="CS888" s="78">
        <f>IF(ISNUMBER($M888),MAX(0,$M888),IF(TRIM($M888&amp;"")="matured",0,""))</f>
        <v/>
      </c>
      <c r="CT888" s="78">
        <f>IF(AND(ISNUMBER($CS888),N($CS888)&lt;=mMatWindow),1,0)</f>
        <v/>
      </c>
      <c r="CU888" s="80">
        <f>IF(ISNUMBER($J888),$J888/100,"")</f>
        <v/>
      </c>
      <c r="CV888" s="81">
        <f>IF(ISNUMBER($AQ888),$AQ888,"")</f>
        <v/>
      </c>
      <c r="CW888" s="81">
        <f>IF(ISNUMBER($AR888),$AR888,"")</f>
        <v/>
      </c>
      <c r="CX888" s="82">
        <f>IF(ISNUMBER($AS888),$AS888/100,"")</f>
        <v/>
      </c>
      <c r="CY888" s="82">
        <f>IF(ISNUMBER($AT888),$AT888/100,"")</f>
        <v/>
      </c>
      <c r="CZ888" s="82">
        <f>IF(ISNUMBER($AU888),$AU888/100,"")</f>
        <v/>
      </c>
      <c r="DA888" s="82">
        <f>IF(ISNUMBER($AV888),$AV888/100,"")</f>
        <v/>
      </c>
      <c r="DB888" s="82">
        <f>IF(ISNUMBER($AW888),$AW888/100,"")</f>
        <v/>
      </c>
      <c r="DC888" s="82">
        <f>IF(ISNUMBER($AX888),$AX888/100,"")</f>
        <v/>
      </c>
      <c r="DD888" s="77">
        <f>IFERROR(VALUE(LEFT(TRIM($AO888&amp;""),4)),"")</f>
        <v/>
      </c>
      <c r="DE888" s="78">
        <f>IF(AND($BY888=1,$BX888=1,OR(fDeal="All Deals",$BU888=fDeal),OR(fEntity="All Entities",$BV888=fEntity),OR(fPType="All Property Types",$BZ888=fPType),OR(fDefeased="Include",$CJ888=0)),1,0)</f>
        <v/>
      </c>
      <c r="DF888" s="83">
        <f>$DE888*N($I888)</f>
        <v/>
      </c>
      <c r="DG888" s="78">
        <f>IF($DE888=1,IF(COUNTIFS($F$8:$F888,$F888,$DE$8:$DE888,1)=1,1,0),0)</f>
        <v/>
      </c>
      <c r="DH888" s="83">
        <f>IF($DG888=1,SUMIFS($DF$8:$DF$1600,$F$8:$F$1600,$F888),0)</f>
        <v/>
      </c>
      <c r="DI888" s="78">
        <f>IF($DG888=1,COUNTIFS($F$8:$F$1600,$F888,$DE$8:$DE$1600,1),0)</f>
        <v/>
      </c>
      <c r="DJ888" s="84">
        <f>IF($DG888=1,$DH888+(100000-ROW())/mTieBreak,0)</f>
        <v/>
      </c>
    </row>
    <row r="889">
      <c r="B889" s="68" t="n">
        <v>33</v>
      </c>
      <c r="C889" s="69" t="inlineStr">
        <is>
          <t>MSC18L1</t>
        </is>
      </c>
      <c r="D889" s="69" t="inlineStr">
        <is>
          <t>33.000</t>
        </is>
      </c>
      <c r="E889" s="69" t="inlineStr">
        <is>
          <t>Southern Cove</t>
        </is>
      </c>
      <c r="F889" s="69" t="inlineStr">
        <is>
          <t>LNMSC18L1-33.000</t>
        </is>
      </c>
      <c r="G889" s="70" t="n"/>
      <c r="H889" s="71" t="n">
        <v>7200000</v>
      </c>
      <c r="I889" s="71" t="n">
        <v>7200000</v>
      </c>
      <c r="J889" s="72" t="n">
        <v>4.965</v>
      </c>
      <c r="K889" s="69" t="inlineStr">
        <is>
          <t>Fixed rate</t>
        </is>
      </c>
      <c r="L889" s="68" t="n">
        <v>120</v>
      </c>
      <c r="M889" s="68" t="n">
        <v>24</v>
      </c>
      <c r="N889" s="68" t="n">
        <v>120</v>
      </c>
      <c r="O889" s="68" t="n">
        <v>120</v>
      </c>
      <c r="P889" s="68" t="n">
        <v>24</v>
      </c>
      <c r="Q889" s="68" t="n">
        <v>96</v>
      </c>
      <c r="R889" s="69" t="inlineStr">
        <is>
          <t>IO</t>
        </is>
      </c>
      <c r="S889" s="69" t="inlineStr">
        <is>
          <t>Yes</t>
        </is>
      </c>
      <c r="T889" s="73" t="n">
        <v>43344</v>
      </c>
      <c r="U889" s="73" t="n">
        <v>46997</v>
      </c>
      <c r="V889" s="73" t="n"/>
      <c r="W889" s="69" t="n"/>
      <c r="X889" s="69" t="inlineStr">
        <is>
          <t>Current</t>
        </is>
      </c>
      <c r="Y889" s="68" t="n"/>
      <c r="Z889" s="69" t="inlineStr">
        <is>
          <t>Full Defeasance</t>
        </is>
      </c>
      <c r="AA889" s="69" t="n"/>
      <c r="AB889" s="69" t="inlineStr">
        <is>
          <t>Never special serv</t>
        </is>
      </c>
      <c r="AC889" s="73" t="n"/>
      <c r="AD889" s="69" t="n"/>
      <c r="AE889" s="69" t="n"/>
      <c r="AF889" s="69" t="inlineStr">
        <is>
          <t>NV</t>
        </is>
      </c>
      <c r="AG889" s="69" t="inlineStr">
        <is>
          <t>Las Vegas</t>
        </is>
      </c>
      <c r="AH889" s="69" t="inlineStr">
        <is>
          <t>Las Vegas-Henderson-North Las Vegas, NV</t>
        </is>
      </c>
      <c r="AI889" s="69" t="inlineStr">
        <is>
          <t>West / Mountain</t>
        </is>
      </c>
      <c r="AJ889" s="69" t="inlineStr">
        <is>
          <t>MF</t>
        </is>
      </c>
      <c r="AK889" s="69" t="inlineStr">
        <is>
          <t>Garden</t>
        </is>
      </c>
      <c r="AL889" s="68" t="n">
        <v>1</v>
      </c>
      <c r="AM889" s="68" t="n">
        <v>100</v>
      </c>
      <c r="AN889" s="68" t="n"/>
      <c r="AO889" s="69" t="inlineStr">
        <is>
          <t>1988</t>
        </is>
      </c>
      <c r="AP889" s="70" t="n">
        <v>1988</v>
      </c>
      <c r="AQ889" s="74" t="n">
        <v>1.7</v>
      </c>
      <c r="AR889" s="74" t="n">
        <v>2.1</v>
      </c>
      <c r="AS889" s="74" t="n">
        <v>61</v>
      </c>
      <c r="AT889" s="74" t="n">
        <v>61.02</v>
      </c>
      <c r="AU889" s="74" t="n">
        <v>61</v>
      </c>
      <c r="AV889" s="74" t="n">
        <v>8.567819444</v>
      </c>
      <c r="AW889" s="74" t="n">
        <v>10.550479583</v>
      </c>
      <c r="AX889" s="75" t="n">
        <v>95</v>
      </c>
      <c r="AY889" s="71" t="n">
        <v>11800000</v>
      </c>
      <c r="AZ889" s="71" t="n">
        <v>11800000</v>
      </c>
      <c r="BA889" s="71" t="n">
        <v>616883</v>
      </c>
      <c r="BB889" s="71" t="n">
        <v>759634.53</v>
      </c>
      <c r="BC889" s="69" t="inlineStr">
        <is>
          <t>Refinance</t>
        </is>
      </c>
      <c r="BD889" s="69" t="inlineStr">
        <is>
          <t>N</t>
        </is>
      </c>
      <c r="BE889" s="71" t="n"/>
      <c r="BF889" s="71" t="n"/>
      <c r="BG889" s="71" t="n"/>
      <c r="BH889" s="71" t="n">
        <v>0</v>
      </c>
      <c r="BI889" s="71" t="n">
        <v>0</v>
      </c>
      <c r="BJ889" s="69" t="inlineStr">
        <is>
          <t>N</t>
        </is>
      </c>
      <c r="BK889" s="69" t="n"/>
      <c r="BL889" s="75" t="n"/>
      <c r="BM889" s="73" t="n"/>
      <c r="BN889" s="69" t="inlineStr">
        <is>
          <t>Steven Donia</t>
        </is>
      </c>
      <c r="BO889" s="69" t="inlineStr">
        <is>
          <t>Morgan Stanley</t>
        </is>
      </c>
      <c r="BP889" s="69" t="inlineStr">
        <is>
          <t>Midland Loan Services</t>
        </is>
      </c>
      <c r="BQ889" s="69" t="inlineStr">
        <is>
          <t>K-Star Asset Management LLC</t>
        </is>
      </c>
      <c r="BR889" s="69" t="n"/>
      <c r="BS889" s="73" t="n">
        <v>46276</v>
      </c>
      <c r="BU889" s="76">
        <f>IF($C889="","",IFERROR(INDEX(dmName,MATCH($C889,dmID,0)),"Unmapped"))</f>
        <v/>
      </c>
      <c r="BV889" s="76">
        <f>IF($C889="","",IFERROR(INDEX(dmEntity,MATCH($C889,dmID,0)),"Unmapped"))</f>
        <v/>
      </c>
      <c r="BW889" s="77">
        <f>IF($C889="","",IFERROR(INDEX(dmVintage,MATCH($C889,dmID,0)),""))</f>
        <v/>
      </c>
      <c r="BX889" s="78">
        <f>IFERROR(INDEX(dmInclude,MATCH($C889,dmID,0)),0)</f>
        <v/>
      </c>
      <c r="BY889" s="78">
        <f>IF(N($I889)&gt;0,1,0)</f>
        <v/>
      </c>
      <c r="BZ889" s="76">
        <f>IF($AJ889="","Other / Leased Fee",IFERROR(INDEX(mapPTGroup,MATCH(LEFT(TRIM($AJ889),2),mapPTCode,0)),"Other / Leased Fee"))</f>
        <v/>
      </c>
      <c r="CA889" s="76">
        <f>IF(TRIM($AF889&amp;"")="","NR",LEFT(TRIM($AF889),2))</f>
        <v/>
      </c>
      <c r="CB889" s="76">
        <f>IFERROR(LOOKUP(2,1/(LEFT(TRIM($AI889&amp;""),LEN(mapRegion))=mapRegion),mapRegion),"Not Reported")</f>
        <v/>
      </c>
      <c r="CC889" s="76">
        <f>IF($BY889=0,"",IF(TRIM($W889&amp;"")="REO","REO",IF(TRIM($W889&amp;"")="FC","Foreclosure",IF(TRIM($W889&amp;"")="90+","90+ Days Delinquent",IF(TRIM($W889&amp;"")="60","60 Days Delinquent",IF(TRIM($W889&amp;"")="30","30 Days Delinquent",IF($X889="Non-Performing Matured Balloon","Non-Performing Matured Balloon",IF(OR($X889="Late Payment But Less Than 30 Days Delinquent",LEFT($X889&amp;"",20)="Payment Not Received"),"Late / In Grace (&lt;30 Days)",IF($X889="Performing Matured Balloon","Performing Matured Balloon","Current")))))))))</f>
        <v/>
      </c>
      <c r="CD889" s="78">
        <f>IF(OR($CC889="REO",$CC889="Foreclosure",$CC889="90+ Days Delinquent",$CC889="60 Days Delinquent",$CC889="30 Days Delinquent",$CC889="Non-Performing Matured Balloon"),1,0)</f>
        <v/>
      </c>
      <c r="CE889" s="76">
        <f>IF($AB889="Currently special serv","Currently Specially Serviced",IF($AB889="Returned to master serv","Previously Specially Serviced","Never Specially Serviced"))</f>
        <v/>
      </c>
      <c r="CF889" s="78">
        <f>IF($CE889="Currently Specially Serviced",1,0)</f>
        <v/>
      </c>
      <c r="CG889" s="76">
        <f>IF($AA889="Yes","Currently on Watchlist",IF($AA889="Previously","Previously on Watchlist","Never on Watchlist"))</f>
        <v/>
      </c>
      <c r="CH889" s="78">
        <f>IF($CG889="Currently on Watchlist",1,0)</f>
        <v/>
      </c>
      <c r="CI889" s="76">
        <f>IF($Z889="Full Defeasance","Fully Defeased",IF($Z889="Portion Of Loan Previously Defeased","Partially Defeased",IF($Z889="Defeasance Not Allowable","Not Defeased (Not Permitted)","Not Defeased")))</f>
        <v/>
      </c>
      <c r="CJ889" s="78">
        <f>IF($CI889="Fully Defeased",1,0)</f>
        <v/>
      </c>
      <c r="CK889" s="76">
        <f>IF($R889="IO","Full IO",IF(LEFT($R889&amp;"",7)="IO then","Partial IO","Amortizing"))</f>
        <v/>
      </c>
      <c r="CL889" s="78">
        <f>IF($CK889="Full IO",1,0)</f>
        <v/>
      </c>
      <c r="CM889" s="78">
        <f>IF($CK889="Partial IO",1,0)</f>
        <v/>
      </c>
      <c r="CN889" s="76">
        <f>IF(LEFT($F889&amp;"",10)="SPLIT_LOAN","Pari Passu Split","Standalone")</f>
        <v/>
      </c>
      <c r="CO889" s="78">
        <f>IF($CN889="Pari Passu Split",1,0)</f>
        <v/>
      </c>
      <c r="CP889" s="77">
        <f>IF(ISNUMBER($T889),YEAR($T889),"")</f>
        <v/>
      </c>
      <c r="CQ889" s="79">
        <f>IF(ISNUMBER($V889),$V889,IF(ISNUMBER($U889),$U889,""))</f>
        <v/>
      </c>
      <c r="CR889" s="77">
        <f>IF(ISNUMBER($CQ889),YEAR($CQ889),"")</f>
        <v/>
      </c>
      <c r="CS889" s="78">
        <f>IF(ISNUMBER($M889),MAX(0,$M889),IF(TRIM($M889&amp;"")="matured",0,""))</f>
        <v/>
      </c>
      <c r="CT889" s="78">
        <f>IF(AND(ISNUMBER($CS889),N($CS889)&lt;=mMatWindow),1,0)</f>
        <v/>
      </c>
      <c r="CU889" s="80">
        <f>IF(ISNUMBER($J889),$J889/100,"")</f>
        <v/>
      </c>
      <c r="CV889" s="81">
        <f>IF(ISNUMBER($AQ889),$AQ889,"")</f>
        <v/>
      </c>
      <c r="CW889" s="81">
        <f>IF(ISNUMBER($AR889),$AR889,"")</f>
        <v/>
      </c>
      <c r="CX889" s="82">
        <f>IF(ISNUMBER($AS889),$AS889/100,"")</f>
        <v/>
      </c>
      <c r="CY889" s="82">
        <f>IF(ISNUMBER($AT889),$AT889/100,"")</f>
        <v/>
      </c>
      <c r="CZ889" s="82">
        <f>IF(ISNUMBER($AU889),$AU889/100,"")</f>
        <v/>
      </c>
      <c r="DA889" s="82">
        <f>IF(ISNUMBER($AV889),$AV889/100,"")</f>
        <v/>
      </c>
      <c r="DB889" s="82">
        <f>IF(ISNUMBER($AW889),$AW889/100,"")</f>
        <v/>
      </c>
      <c r="DC889" s="82">
        <f>IF(ISNUMBER($AX889),$AX889/100,"")</f>
        <v/>
      </c>
      <c r="DD889" s="77">
        <f>IFERROR(VALUE(LEFT(TRIM($AO889&amp;""),4)),"")</f>
        <v/>
      </c>
      <c r="DE889" s="78">
        <f>IF(AND($BY889=1,$BX889=1,OR(fDeal="All Deals",$BU889=fDeal),OR(fEntity="All Entities",$BV889=fEntity),OR(fPType="All Property Types",$BZ889=fPType),OR(fDefeased="Include",$CJ889=0)),1,0)</f>
        <v/>
      </c>
      <c r="DF889" s="83">
        <f>$DE889*N($I889)</f>
        <v/>
      </c>
      <c r="DG889" s="78">
        <f>IF($DE889=1,IF(COUNTIFS($F$8:$F889,$F889,$DE$8:$DE889,1)=1,1,0),0)</f>
        <v/>
      </c>
      <c r="DH889" s="83">
        <f>IF($DG889=1,SUMIFS($DF$8:$DF$1600,$F$8:$F$1600,$F889),0)</f>
        <v/>
      </c>
      <c r="DI889" s="78">
        <f>IF($DG889=1,COUNTIFS($F$8:$F$1600,$F889,$DE$8:$DE$1600,1),0)</f>
        <v/>
      </c>
      <c r="DJ889" s="84">
        <f>IF($DG889=1,$DH889+(100000-ROW())/mTieBreak,0)</f>
        <v/>
      </c>
    </row>
    <row r="890">
      <c r="B890" s="68" t="n">
        <v>34</v>
      </c>
      <c r="C890" s="69" t="inlineStr">
        <is>
          <t>MSC18L1</t>
        </is>
      </c>
      <c r="D890" s="69" t="inlineStr">
        <is>
          <t>34.000</t>
        </is>
      </c>
      <c r="E890" s="69" t="inlineStr">
        <is>
          <t>Safeway Vistoso Plaza</t>
        </is>
      </c>
      <c r="F890" s="69" t="inlineStr">
        <is>
          <t>LNMSC18L1-34.000</t>
        </is>
      </c>
      <c r="G890" s="70" t="n"/>
      <c r="H890" s="71" t="n">
        <v>6900000</v>
      </c>
      <c r="I890" s="71" t="n">
        <v>5994187.479997202</v>
      </c>
      <c r="J890" s="72" t="n">
        <v>5.16</v>
      </c>
      <c r="K890" s="69" t="inlineStr">
        <is>
          <t>Fixed rate</t>
        </is>
      </c>
      <c r="L890" s="68" t="n">
        <v>120</v>
      </c>
      <c r="M890" s="68" t="n">
        <v>24</v>
      </c>
      <c r="N890" s="68" t="n">
        <v>360</v>
      </c>
      <c r="O890" s="68" t="n"/>
      <c r="P890" s="68" t="n"/>
      <c r="Q890" s="68" t="n">
        <v>96</v>
      </c>
      <c r="R890" s="69" t="n"/>
      <c r="S890" s="69" t="inlineStr">
        <is>
          <t>No</t>
        </is>
      </c>
      <c r="T890" s="73" t="n">
        <v>43344</v>
      </c>
      <c r="U890" s="73" t="n">
        <v>46997</v>
      </c>
      <c r="V890" s="73" t="n"/>
      <c r="W890" s="69" t="n"/>
      <c r="X890" s="69" t="inlineStr">
        <is>
          <t>Current</t>
        </is>
      </c>
      <c r="Y890" s="68" t="n"/>
      <c r="Z890" s="69" t="inlineStr">
        <is>
          <t>No Defeasance Occurred</t>
        </is>
      </c>
      <c r="AA890" s="69" t="n"/>
      <c r="AB890" s="69" t="inlineStr">
        <is>
          <t>Never special serv</t>
        </is>
      </c>
      <c r="AC890" s="73" t="n"/>
      <c r="AD890" s="69" t="n"/>
      <c r="AE890" s="69" t="n"/>
      <c r="AF890" s="69" t="inlineStr">
        <is>
          <t>AZ</t>
        </is>
      </c>
      <c r="AG890" s="69" t="inlineStr">
        <is>
          <t>Oro Valley</t>
        </is>
      </c>
      <c r="AH890" s="69" t="inlineStr">
        <is>
          <t>Tucson, AZ</t>
        </is>
      </c>
      <c r="AI890" s="69" t="inlineStr">
        <is>
          <t>West / Mountain</t>
        </is>
      </c>
      <c r="AJ890" s="69" t="inlineStr">
        <is>
          <t>RT</t>
        </is>
      </c>
      <c r="AK890" s="69" t="inlineStr">
        <is>
          <t>Shadow Anchored</t>
        </is>
      </c>
      <c r="AL890" s="68" t="n">
        <v>1</v>
      </c>
      <c r="AM890" s="68" t="n"/>
      <c r="AN890" s="68" t="n">
        <v>34770</v>
      </c>
      <c r="AO890" s="69" t="inlineStr">
        <is>
          <t>2001-2002</t>
        </is>
      </c>
      <c r="AP890" s="70" t="n">
        <v>2002</v>
      </c>
      <c r="AQ890" s="74" t="n">
        <v>1.41</v>
      </c>
      <c r="AR890" s="74" t="n">
        <v>1.98</v>
      </c>
      <c r="AS890" s="74" t="n">
        <v>68.90000000000001</v>
      </c>
      <c r="AT890" s="74" t="n">
        <v>59.94</v>
      </c>
      <c r="AU890" s="74" t="n">
        <v>57.1</v>
      </c>
      <c r="AV890" s="74" t="n">
        <v>9.273105072</v>
      </c>
      <c r="AW890" s="74" t="n">
        <v>14.923360388</v>
      </c>
      <c r="AX890" s="75" t="n">
        <v>100</v>
      </c>
      <c r="AY890" s="71" t="n">
        <v>10000000</v>
      </c>
      <c r="AZ890" s="71" t="n">
        <v>10000000</v>
      </c>
      <c r="BA890" s="71" t="n">
        <v>639844.25</v>
      </c>
      <c r="BB890" s="71" t="n">
        <v>894534.2</v>
      </c>
      <c r="BC890" s="69" t="inlineStr">
        <is>
          <t>Acquisition</t>
        </is>
      </c>
      <c r="BD890" s="69" t="inlineStr">
        <is>
          <t>N</t>
        </is>
      </c>
      <c r="BE890" s="71" t="n"/>
      <c r="BF890" s="71" t="n"/>
      <c r="BG890" s="71" t="n"/>
      <c r="BH890" s="71" t="n">
        <v>0</v>
      </c>
      <c r="BI890" s="71" t="n">
        <v>0</v>
      </c>
      <c r="BJ890" s="69" t="inlineStr">
        <is>
          <t>N</t>
        </is>
      </c>
      <c r="BK890" s="69" t="inlineStr">
        <is>
          <t>Artistry Academy</t>
        </is>
      </c>
      <c r="BL890" s="75" t="n">
        <v>8.050000000000001</v>
      </c>
      <c r="BM890" s="73" t="n">
        <v>48152</v>
      </c>
      <c r="BN890" s="69" t="inlineStr">
        <is>
          <t>Craig Nagler</t>
        </is>
      </c>
      <c r="BO890" s="69" t="inlineStr">
        <is>
          <t>Morgan Stanley</t>
        </is>
      </c>
      <c r="BP890" s="69" t="inlineStr">
        <is>
          <t>Midland Loan Services</t>
        </is>
      </c>
      <c r="BQ890" s="69" t="inlineStr">
        <is>
          <t>K-Star Asset Management LLC</t>
        </is>
      </c>
      <c r="BR890" s="69" t="n"/>
      <c r="BS890" s="73" t="n">
        <v>46276</v>
      </c>
      <c r="BU890" s="76">
        <f>IF($C890="","",IFERROR(INDEX(dmName,MATCH($C890,dmID,0)),"Unmapped"))</f>
        <v/>
      </c>
      <c r="BV890" s="76">
        <f>IF($C890="","",IFERROR(INDEX(dmEntity,MATCH($C890,dmID,0)),"Unmapped"))</f>
        <v/>
      </c>
      <c r="BW890" s="77">
        <f>IF($C890="","",IFERROR(INDEX(dmVintage,MATCH($C890,dmID,0)),""))</f>
        <v/>
      </c>
      <c r="BX890" s="78">
        <f>IFERROR(INDEX(dmInclude,MATCH($C890,dmID,0)),0)</f>
        <v/>
      </c>
      <c r="BY890" s="78">
        <f>IF(N($I890)&gt;0,1,0)</f>
        <v/>
      </c>
      <c r="BZ890" s="76">
        <f>IF($AJ890="","Other / Leased Fee",IFERROR(INDEX(mapPTGroup,MATCH(LEFT(TRIM($AJ890),2),mapPTCode,0)),"Other / Leased Fee"))</f>
        <v/>
      </c>
      <c r="CA890" s="76">
        <f>IF(TRIM($AF890&amp;"")="","NR",LEFT(TRIM($AF890),2))</f>
        <v/>
      </c>
      <c r="CB890" s="76">
        <f>IFERROR(LOOKUP(2,1/(LEFT(TRIM($AI890&amp;""),LEN(mapRegion))=mapRegion),mapRegion),"Not Reported")</f>
        <v/>
      </c>
      <c r="CC890" s="76">
        <f>IF($BY890=0,"",IF(TRIM($W890&amp;"")="REO","REO",IF(TRIM($W890&amp;"")="FC","Foreclosure",IF(TRIM($W890&amp;"")="90+","90+ Days Delinquent",IF(TRIM($W890&amp;"")="60","60 Days Delinquent",IF(TRIM($W890&amp;"")="30","30 Days Delinquent",IF($X890="Non-Performing Matured Balloon","Non-Performing Matured Balloon",IF(OR($X890="Late Payment But Less Than 30 Days Delinquent",LEFT($X890&amp;"",20)="Payment Not Received"),"Late / In Grace (&lt;30 Days)",IF($X890="Performing Matured Balloon","Performing Matured Balloon","Current")))))))))</f>
        <v/>
      </c>
      <c r="CD890" s="78">
        <f>IF(OR($CC890="REO",$CC890="Foreclosure",$CC890="90+ Days Delinquent",$CC890="60 Days Delinquent",$CC890="30 Days Delinquent",$CC890="Non-Performing Matured Balloon"),1,0)</f>
        <v/>
      </c>
      <c r="CE890" s="76">
        <f>IF($AB890="Currently special serv","Currently Specially Serviced",IF($AB890="Returned to master serv","Previously Specially Serviced","Never Specially Serviced"))</f>
        <v/>
      </c>
      <c r="CF890" s="78">
        <f>IF($CE890="Currently Specially Serviced",1,0)</f>
        <v/>
      </c>
      <c r="CG890" s="76">
        <f>IF($AA890="Yes","Currently on Watchlist",IF($AA890="Previously","Previously on Watchlist","Never on Watchlist"))</f>
        <v/>
      </c>
      <c r="CH890" s="78">
        <f>IF($CG890="Currently on Watchlist",1,0)</f>
        <v/>
      </c>
      <c r="CI890" s="76">
        <f>IF($Z890="Full Defeasance","Fully Defeased",IF($Z890="Portion Of Loan Previously Defeased","Partially Defeased",IF($Z890="Defeasance Not Allowable","Not Defeased (Not Permitted)","Not Defeased")))</f>
        <v/>
      </c>
      <c r="CJ890" s="78">
        <f>IF($CI890="Fully Defeased",1,0)</f>
        <v/>
      </c>
      <c r="CK890" s="76">
        <f>IF($R890="IO","Full IO",IF(LEFT($R890&amp;"",7)="IO then","Partial IO","Amortizing"))</f>
        <v/>
      </c>
      <c r="CL890" s="78">
        <f>IF($CK890="Full IO",1,0)</f>
        <v/>
      </c>
      <c r="CM890" s="78">
        <f>IF($CK890="Partial IO",1,0)</f>
        <v/>
      </c>
      <c r="CN890" s="76">
        <f>IF(LEFT($F890&amp;"",10)="SPLIT_LOAN","Pari Passu Split","Standalone")</f>
        <v/>
      </c>
      <c r="CO890" s="78">
        <f>IF($CN890="Pari Passu Split",1,0)</f>
        <v/>
      </c>
      <c r="CP890" s="77">
        <f>IF(ISNUMBER($T890),YEAR($T890),"")</f>
        <v/>
      </c>
      <c r="CQ890" s="79">
        <f>IF(ISNUMBER($V890),$V890,IF(ISNUMBER($U890),$U890,""))</f>
        <v/>
      </c>
      <c r="CR890" s="77">
        <f>IF(ISNUMBER($CQ890),YEAR($CQ890),"")</f>
        <v/>
      </c>
      <c r="CS890" s="78">
        <f>IF(ISNUMBER($M890),MAX(0,$M890),IF(TRIM($M890&amp;"")="matured",0,""))</f>
        <v/>
      </c>
      <c r="CT890" s="78">
        <f>IF(AND(ISNUMBER($CS890),N($CS890)&lt;=mMatWindow),1,0)</f>
        <v/>
      </c>
      <c r="CU890" s="80">
        <f>IF(ISNUMBER($J890),$J890/100,"")</f>
        <v/>
      </c>
      <c r="CV890" s="81">
        <f>IF(ISNUMBER($AQ890),$AQ890,"")</f>
        <v/>
      </c>
      <c r="CW890" s="81">
        <f>IF(ISNUMBER($AR890),$AR890,"")</f>
        <v/>
      </c>
      <c r="CX890" s="82">
        <f>IF(ISNUMBER($AS890),$AS890/100,"")</f>
        <v/>
      </c>
      <c r="CY890" s="82">
        <f>IF(ISNUMBER($AT890),$AT890/100,"")</f>
        <v/>
      </c>
      <c r="CZ890" s="82">
        <f>IF(ISNUMBER($AU890),$AU890/100,"")</f>
        <v/>
      </c>
      <c r="DA890" s="82">
        <f>IF(ISNUMBER($AV890),$AV890/100,"")</f>
        <v/>
      </c>
      <c r="DB890" s="82">
        <f>IF(ISNUMBER($AW890),$AW890/100,"")</f>
        <v/>
      </c>
      <c r="DC890" s="82">
        <f>IF(ISNUMBER($AX890),$AX890/100,"")</f>
        <v/>
      </c>
      <c r="DD890" s="77">
        <f>IFERROR(VALUE(LEFT(TRIM($AO890&amp;""),4)),"")</f>
        <v/>
      </c>
      <c r="DE890" s="78">
        <f>IF(AND($BY890=1,$BX890=1,OR(fDeal="All Deals",$BU890=fDeal),OR(fEntity="All Entities",$BV890=fEntity),OR(fPType="All Property Types",$BZ890=fPType),OR(fDefeased="Include",$CJ890=0)),1,0)</f>
        <v/>
      </c>
      <c r="DF890" s="83">
        <f>$DE890*N($I890)</f>
        <v/>
      </c>
      <c r="DG890" s="78">
        <f>IF($DE890=1,IF(COUNTIFS($F$8:$F890,$F890,$DE$8:$DE890,1)=1,1,0),0)</f>
        <v/>
      </c>
      <c r="DH890" s="83">
        <f>IF($DG890=1,SUMIFS($DF$8:$DF$1600,$F$8:$F$1600,$F890),0)</f>
        <v/>
      </c>
      <c r="DI890" s="78">
        <f>IF($DG890=1,COUNTIFS($F$8:$F$1600,$F890,$DE$8:$DE$1600,1),0)</f>
        <v/>
      </c>
      <c r="DJ890" s="84">
        <f>IF($DG890=1,$DH890+(100000-ROW())/mTieBreak,0)</f>
        <v/>
      </c>
    </row>
    <row r="891">
      <c r="B891" s="68" t="n">
        <v>35</v>
      </c>
      <c r="C891" s="69" t="inlineStr">
        <is>
          <t>MSC18L1</t>
        </is>
      </c>
      <c r="D891" s="69" t="inlineStr">
        <is>
          <t>35.000</t>
        </is>
      </c>
      <c r="E891" s="69" t="inlineStr">
        <is>
          <t>Canyon Center</t>
        </is>
      </c>
      <c r="F891" s="69" t="inlineStr">
        <is>
          <t>LNMSC18L1-35.000</t>
        </is>
      </c>
      <c r="G891" s="70" t="n"/>
      <c r="H891" s="71" t="n">
        <v>6700000</v>
      </c>
      <c r="I891" s="71" t="n">
        <v>6700000</v>
      </c>
      <c r="J891" s="72" t="n">
        <v>4.809</v>
      </c>
      <c r="K891" s="69" t="inlineStr">
        <is>
          <t>Fixed rate</t>
        </is>
      </c>
      <c r="L891" s="68" t="n">
        <v>120</v>
      </c>
      <c r="M891" s="68" t="n">
        <v>24</v>
      </c>
      <c r="N891" s="68" t="n">
        <v>120</v>
      </c>
      <c r="O891" s="68" t="n">
        <v>120</v>
      </c>
      <c r="P891" s="68" t="n">
        <v>24</v>
      </c>
      <c r="Q891" s="68" t="n">
        <v>96</v>
      </c>
      <c r="R891" s="69" t="inlineStr">
        <is>
          <t>IO</t>
        </is>
      </c>
      <c r="S891" s="69" t="inlineStr">
        <is>
          <t>Yes</t>
        </is>
      </c>
      <c r="T891" s="73" t="n">
        <v>43344</v>
      </c>
      <c r="U891" s="73" t="n">
        <v>47002</v>
      </c>
      <c r="V891" s="73" t="n"/>
      <c r="W891" s="69" t="n"/>
      <c r="X891" s="69" t="inlineStr">
        <is>
          <t>Current</t>
        </is>
      </c>
      <c r="Y891" s="68" t="n"/>
      <c r="Z891" s="69" t="inlineStr">
        <is>
          <t>Full Defeasance</t>
        </is>
      </c>
      <c r="AA891" s="69" t="inlineStr">
        <is>
          <t>Previously</t>
        </is>
      </c>
      <c r="AB891" s="69" t="inlineStr">
        <is>
          <t>Never special serv</t>
        </is>
      </c>
      <c r="AC891" s="73" t="n"/>
      <c r="AD891" s="69" t="n"/>
      <c r="AE891" s="69" t="n"/>
      <c r="AF891" s="69" t="inlineStr">
        <is>
          <t>UT</t>
        </is>
      </c>
      <c r="AG891" s="69" t="inlineStr">
        <is>
          <t>Sandy</t>
        </is>
      </c>
      <c r="AH891" s="69" t="inlineStr">
        <is>
          <t>Salt Lake City-Murray, UT</t>
        </is>
      </c>
      <c r="AI891" s="69" t="inlineStr">
        <is>
          <t>West / Mountain</t>
        </is>
      </c>
      <c r="AJ891" s="69" t="inlineStr">
        <is>
          <t>RT</t>
        </is>
      </c>
      <c r="AK891" s="69" t="inlineStr">
        <is>
          <t>Shadow Anchored</t>
        </is>
      </c>
      <c r="AL891" s="68" t="n">
        <v>1</v>
      </c>
      <c r="AM891" s="68" t="n"/>
      <c r="AN891" s="68" t="n">
        <v>47732</v>
      </c>
      <c r="AO891" s="69" t="inlineStr">
        <is>
          <t>1978, 1987, 1998</t>
        </is>
      </c>
      <c r="AP891" s="70" t="n">
        <v>1998</v>
      </c>
      <c r="AQ891" s="74" t="n">
        <v>2.07</v>
      </c>
      <c r="AR891" s="74" t="n">
        <v>2.28</v>
      </c>
      <c r="AS891" s="74" t="n">
        <v>59.3</v>
      </c>
      <c r="AT891" s="74" t="n">
        <v>59.29</v>
      </c>
      <c r="AU891" s="74" t="n">
        <v>59.3</v>
      </c>
      <c r="AV891" s="74" t="n">
        <v>10.105212537</v>
      </c>
      <c r="AW891" s="74" t="n">
        <v>11.337701493</v>
      </c>
      <c r="AX891" s="75" t="n">
        <v>94</v>
      </c>
      <c r="AY891" s="71" t="n">
        <v>11300000</v>
      </c>
      <c r="AZ891" s="71" t="n">
        <v>11300000</v>
      </c>
      <c r="BA891" s="71" t="n">
        <v>677049.24</v>
      </c>
      <c r="BB891" s="71" t="n">
        <v>744550</v>
      </c>
      <c r="BC891" s="69" t="inlineStr">
        <is>
          <t>Acquisition</t>
        </is>
      </c>
      <c r="BD891" s="69" t="inlineStr">
        <is>
          <t>N</t>
        </is>
      </c>
      <c r="BE891" s="71" t="n"/>
      <c r="BF891" s="71" t="n"/>
      <c r="BG891" s="71" t="n"/>
      <c r="BH891" s="71" t="n">
        <v>0</v>
      </c>
      <c r="BI891" s="71" t="n">
        <v>0</v>
      </c>
      <c r="BJ891" s="69" t="inlineStr">
        <is>
          <t>N</t>
        </is>
      </c>
      <c r="BK891" s="69" t="inlineStr">
        <is>
          <t>THE WENDY'S COMPANY</t>
        </is>
      </c>
      <c r="BL891" s="75" t="n">
        <v>33.23</v>
      </c>
      <c r="BM891" s="73" t="n">
        <v>52565</v>
      </c>
      <c r="BN891" s="69" t="inlineStr">
        <is>
          <t>M. Peter Iacobelli</t>
        </is>
      </c>
      <c r="BO891" s="69" t="inlineStr">
        <is>
          <t>Starwood</t>
        </is>
      </c>
      <c r="BP891" s="69" t="inlineStr">
        <is>
          <t>Midland Loan Services</t>
        </is>
      </c>
      <c r="BQ891" s="69" t="inlineStr">
        <is>
          <t>K-Star Asset Management LLC</t>
        </is>
      </c>
      <c r="BR891" s="69" t="n"/>
      <c r="BS891" s="73" t="n">
        <v>46276</v>
      </c>
      <c r="BU891" s="76">
        <f>IF($C891="","",IFERROR(INDEX(dmName,MATCH($C891,dmID,0)),"Unmapped"))</f>
        <v/>
      </c>
      <c r="BV891" s="76">
        <f>IF($C891="","",IFERROR(INDEX(dmEntity,MATCH($C891,dmID,0)),"Unmapped"))</f>
        <v/>
      </c>
      <c r="BW891" s="77">
        <f>IF($C891="","",IFERROR(INDEX(dmVintage,MATCH($C891,dmID,0)),""))</f>
        <v/>
      </c>
      <c r="BX891" s="78">
        <f>IFERROR(INDEX(dmInclude,MATCH($C891,dmID,0)),0)</f>
        <v/>
      </c>
      <c r="BY891" s="78">
        <f>IF(N($I891)&gt;0,1,0)</f>
        <v/>
      </c>
      <c r="BZ891" s="76">
        <f>IF($AJ891="","Other / Leased Fee",IFERROR(INDEX(mapPTGroup,MATCH(LEFT(TRIM($AJ891),2),mapPTCode,0)),"Other / Leased Fee"))</f>
        <v/>
      </c>
      <c r="CA891" s="76">
        <f>IF(TRIM($AF891&amp;"")="","NR",LEFT(TRIM($AF891),2))</f>
        <v/>
      </c>
      <c r="CB891" s="76">
        <f>IFERROR(LOOKUP(2,1/(LEFT(TRIM($AI891&amp;""),LEN(mapRegion))=mapRegion),mapRegion),"Not Reported")</f>
        <v/>
      </c>
      <c r="CC891" s="76">
        <f>IF($BY891=0,"",IF(TRIM($W891&amp;"")="REO","REO",IF(TRIM($W891&amp;"")="FC","Foreclosure",IF(TRIM($W891&amp;"")="90+","90+ Days Delinquent",IF(TRIM($W891&amp;"")="60","60 Days Delinquent",IF(TRIM($W891&amp;"")="30","30 Days Delinquent",IF($X891="Non-Performing Matured Balloon","Non-Performing Matured Balloon",IF(OR($X891="Late Payment But Less Than 30 Days Delinquent",LEFT($X891&amp;"",20)="Payment Not Received"),"Late / In Grace (&lt;30 Days)",IF($X891="Performing Matured Balloon","Performing Matured Balloon","Current")))))))))</f>
        <v/>
      </c>
      <c r="CD891" s="78">
        <f>IF(OR($CC891="REO",$CC891="Foreclosure",$CC891="90+ Days Delinquent",$CC891="60 Days Delinquent",$CC891="30 Days Delinquent",$CC891="Non-Performing Matured Balloon"),1,0)</f>
        <v/>
      </c>
      <c r="CE891" s="76">
        <f>IF($AB891="Currently special serv","Currently Specially Serviced",IF($AB891="Returned to master serv","Previously Specially Serviced","Never Specially Serviced"))</f>
        <v/>
      </c>
      <c r="CF891" s="78">
        <f>IF($CE891="Currently Specially Serviced",1,0)</f>
        <v/>
      </c>
      <c r="CG891" s="76">
        <f>IF($AA891="Yes","Currently on Watchlist",IF($AA891="Previously","Previously on Watchlist","Never on Watchlist"))</f>
        <v/>
      </c>
      <c r="CH891" s="78">
        <f>IF($CG891="Currently on Watchlist",1,0)</f>
        <v/>
      </c>
      <c r="CI891" s="76">
        <f>IF($Z891="Full Defeasance","Fully Defeased",IF($Z891="Portion Of Loan Previously Defeased","Partially Defeased",IF($Z891="Defeasance Not Allowable","Not Defeased (Not Permitted)","Not Defeased")))</f>
        <v/>
      </c>
      <c r="CJ891" s="78">
        <f>IF($CI891="Fully Defeased",1,0)</f>
        <v/>
      </c>
      <c r="CK891" s="76">
        <f>IF($R891="IO","Full IO",IF(LEFT($R891&amp;"",7)="IO then","Partial IO","Amortizing"))</f>
        <v/>
      </c>
      <c r="CL891" s="78">
        <f>IF($CK891="Full IO",1,0)</f>
        <v/>
      </c>
      <c r="CM891" s="78">
        <f>IF($CK891="Partial IO",1,0)</f>
        <v/>
      </c>
      <c r="CN891" s="76">
        <f>IF(LEFT($F891&amp;"",10)="SPLIT_LOAN","Pari Passu Split","Standalone")</f>
        <v/>
      </c>
      <c r="CO891" s="78">
        <f>IF($CN891="Pari Passu Split",1,0)</f>
        <v/>
      </c>
      <c r="CP891" s="77">
        <f>IF(ISNUMBER($T891),YEAR($T891),"")</f>
        <v/>
      </c>
      <c r="CQ891" s="79">
        <f>IF(ISNUMBER($V891),$V891,IF(ISNUMBER($U891),$U891,""))</f>
        <v/>
      </c>
      <c r="CR891" s="77">
        <f>IF(ISNUMBER($CQ891),YEAR($CQ891),"")</f>
        <v/>
      </c>
      <c r="CS891" s="78">
        <f>IF(ISNUMBER($M891),MAX(0,$M891),IF(TRIM($M891&amp;"")="matured",0,""))</f>
        <v/>
      </c>
      <c r="CT891" s="78">
        <f>IF(AND(ISNUMBER($CS891),N($CS891)&lt;=mMatWindow),1,0)</f>
        <v/>
      </c>
      <c r="CU891" s="80">
        <f>IF(ISNUMBER($J891),$J891/100,"")</f>
        <v/>
      </c>
      <c r="CV891" s="81">
        <f>IF(ISNUMBER($AQ891),$AQ891,"")</f>
        <v/>
      </c>
      <c r="CW891" s="81">
        <f>IF(ISNUMBER($AR891),$AR891,"")</f>
        <v/>
      </c>
      <c r="CX891" s="82">
        <f>IF(ISNUMBER($AS891),$AS891/100,"")</f>
        <v/>
      </c>
      <c r="CY891" s="82">
        <f>IF(ISNUMBER($AT891),$AT891/100,"")</f>
        <v/>
      </c>
      <c r="CZ891" s="82">
        <f>IF(ISNUMBER($AU891),$AU891/100,"")</f>
        <v/>
      </c>
      <c r="DA891" s="82">
        <f>IF(ISNUMBER($AV891),$AV891/100,"")</f>
        <v/>
      </c>
      <c r="DB891" s="82">
        <f>IF(ISNUMBER($AW891),$AW891/100,"")</f>
        <v/>
      </c>
      <c r="DC891" s="82">
        <f>IF(ISNUMBER($AX891),$AX891/100,"")</f>
        <v/>
      </c>
      <c r="DD891" s="77">
        <f>IFERROR(VALUE(LEFT(TRIM($AO891&amp;""),4)),"")</f>
        <v/>
      </c>
      <c r="DE891" s="78">
        <f>IF(AND($BY891=1,$BX891=1,OR(fDeal="All Deals",$BU891=fDeal),OR(fEntity="All Entities",$BV891=fEntity),OR(fPType="All Property Types",$BZ891=fPType),OR(fDefeased="Include",$CJ891=0)),1,0)</f>
        <v/>
      </c>
      <c r="DF891" s="83">
        <f>$DE891*N($I891)</f>
        <v/>
      </c>
      <c r="DG891" s="78">
        <f>IF($DE891=1,IF(COUNTIFS($F$8:$F891,$F891,$DE$8:$DE891,1)=1,1,0),0)</f>
        <v/>
      </c>
      <c r="DH891" s="83">
        <f>IF($DG891=1,SUMIFS($DF$8:$DF$1600,$F$8:$F$1600,$F891),0)</f>
        <v/>
      </c>
      <c r="DI891" s="78">
        <f>IF($DG891=1,COUNTIFS($F$8:$F$1600,$F891,$DE$8:$DE$1600,1),0)</f>
        <v/>
      </c>
      <c r="DJ891" s="84">
        <f>IF($DG891=1,$DH891+(100000-ROW())/mTieBreak,0)</f>
        <v/>
      </c>
    </row>
    <row r="892">
      <c r="B892" s="68" t="n">
        <v>36</v>
      </c>
      <c r="C892" s="69" t="inlineStr">
        <is>
          <t>MSC18L1</t>
        </is>
      </c>
      <c r="D892" s="69" t="inlineStr">
        <is>
          <t>36.000</t>
        </is>
      </c>
      <c r="E892" s="69" t="inlineStr">
        <is>
          <t>Commercial Self Storage - Castleton</t>
        </is>
      </c>
      <c r="F892" s="69" t="inlineStr">
        <is>
          <t>LNMSC18L1-36.000</t>
        </is>
      </c>
      <c r="G892" s="70" t="n"/>
      <c r="H892" s="71" t="n">
        <v>6000000</v>
      </c>
      <c r="I892" s="71" t="n">
        <v>5250728.080002001</v>
      </c>
      <c r="J892" s="72" t="n">
        <v>5.46</v>
      </c>
      <c r="K892" s="69" t="inlineStr">
        <is>
          <t>Fixed rate</t>
        </is>
      </c>
      <c r="L892" s="68" t="n">
        <v>120</v>
      </c>
      <c r="M892" s="68" t="n">
        <v>24</v>
      </c>
      <c r="N892" s="68" t="n">
        <v>360</v>
      </c>
      <c r="O892" s="68" t="n"/>
      <c r="P892" s="68" t="n"/>
      <c r="Q892" s="68" t="n">
        <v>96</v>
      </c>
      <c r="R892" s="69" t="n"/>
      <c r="S892" s="69" t="inlineStr">
        <is>
          <t>No</t>
        </is>
      </c>
      <c r="T892" s="73" t="n">
        <v>43344</v>
      </c>
      <c r="U892" s="73" t="n">
        <v>46997</v>
      </c>
      <c r="V892" s="73" t="n"/>
      <c r="W892" s="69" t="n"/>
      <c r="X892" s="69" t="inlineStr">
        <is>
          <t>Current</t>
        </is>
      </c>
      <c r="Y892" s="68" t="n"/>
      <c r="Z892" s="69" t="inlineStr">
        <is>
          <t>No Defeasance Occurred</t>
        </is>
      </c>
      <c r="AA892" s="69" t="n"/>
      <c r="AB892" s="69" t="inlineStr">
        <is>
          <t>Never special serv</t>
        </is>
      </c>
      <c r="AC892" s="73" t="n"/>
      <c r="AD892" s="69" t="n"/>
      <c r="AE892" s="69" t="n"/>
      <c r="AF892" s="69" t="inlineStr">
        <is>
          <t>IN</t>
        </is>
      </c>
      <c r="AG892" s="69" t="inlineStr">
        <is>
          <t>Indianapolis</t>
        </is>
      </c>
      <c r="AH892" s="69" t="inlineStr">
        <is>
          <t>Indianapolis-Carmel-Greenwood, IN</t>
        </is>
      </c>
      <c r="AI892" s="69" t="inlineStr">
        <is>
          <t>Midwest / Central East</t>
        </is>
      </c>
      <c r="AJ892" s="69" t="inlineStr">
        <is>
          <t>SS</t>
        </is>
      </c>
      <c r="AK892" s="69" t="n"/>
      <c r="AL892" s="68" t="n">
        <v>1</v>
      </c>
      <c r="AM892" s="68" t="n"/>
      <c r="AN892" s="68" t="n">
        <v>66811</v>
      </c>
      <c r="AO892" s="69" t="inlineStr">
        <is>
          <t>1974, 2015-2016</t>
        </is>
      </c>
      <c r="AP892" s="70" t="n">
        <v>2016</v>
      </c>
      <c r="AQ892" s="74" t="n">
        <v>1.42</v>
      </c>
      <c r="AR892" s="74" t="n">
        <v>1.89</v>
      </c>
      <c r="AS892" s="74" t="n">
        <v>60.8</v>
      </c>
      <c r="AT892" s="74" t="n">
        <v>53.31</v>
      </c>
      <c r="AU892" s="74" t="n">
        <v>50.93</v>
      </c>
      <c r="AV892" s="74" t="n">
        <v>9.629633332999999</v>
      </c>
      <c r="AW892" s="74" t="n">
        <v>14.618601236</v>
      </c>
      <c r="AX892" s="75" t="n">
        <v>85</v>
      </c>
      <c r="AY892" s="71" t="n">
        <v>9850000</v>
      </c>
      <c r="AZ892" s="71" t="n">
        <v>9850000</v>
      </c>
      <c r="BA892" s="71" t="n">
        <v>577778</v>
      </c>
      <c r="BB892" s="71" t="n">
        <v>767583</v>
      </c>
      <c r="BC892" s="69" t="inlineStr">
        <is>
          <t>Refinance</t>
        </is>
      </c>
      <c r="BD892" s="69" t="inlineStr">
        <is>
          <t>N</t>
        </is>
      </c>
      <c r="BE892" s="71" t="n"/>
      <c r="BF892" s="71" t="n"/>
      <c r="BG892" s="71" t="n"/>
      <c r="BH892" s="71" t="n">
        <v>0</v>
      </c>
      <c r="BI892" s="71" t="n">
        <v>0</v>
      </c>
      <c r="BJ892" s="69" t="inlineStr">
        <is>
          <t>N</t>
        </is>
      </c>
      <c r="BK892" s="69" t="n"/>
      <c r="BL892" s="75" t="n"/>
      <c r="BM892" s="73" t="n"/>
      <c r="BN892" s="69" t="inlineStr">
        <is>
          <t>Jim R. Sapp</t>
        </is>
      </c>
      <c r="BO892" s="69" t="inlineStr">
        <is>
          <t>KeyBank</t>
        </is>
      </c>
      <c r="BP892" s="69" t="inlineStr">
        <is>
          <t>Midland Loan Services</t>
        </is>
      </c>
      <c r="BQ892" s="69" t="inlineStr">
        <is>
          <t>K-Star Asset Management LLC</t>
        </is>
      </c>
      <c r="BR892" s="69" t="n"/>
      <c r="BS892" s="73" t="n">
        <v>46276</v>
      </c>
      <c r="BU892" s="76">
        <f>IF($C892="","",IFERROR(INDEX(dmName,MATCH($C892,dmID,0)),"Unmapped"))</f>
        <v/>
      </c>
      <c r="BV892" s="76">
        <f>IF($C892="","",IFERROR(INDEX(dmEntity,MATCH($C892,dmID,0)),"Unmapped"))</f>
        <v/>
      </c>
      <c r="BW892" s="77">
        <f>IF($C892="","",IFERROR(INDEX(dmVintage,MATCH($C892,dmID,0)),""))</f>
        <v/>
      </c>
      <c r="BX892" s="78">
        <f>IFERROR(INDEX(dmInclude,MATCH($C892,dmID,0)),0)</f>
        <v/>
      </c>
      <c r="BY892" s="78">
        <f>IF(N($I892)&gt;0,1,0)</f>
        <v/>
      </c>
      <c r="BZ892" s="76">
        <f>IF($AJ892="","Other / Leased Fee",IFERROR(INDEX(mapPTGroup,MATCH(LEFT(TRIM($AJ892),2),mapPTCode,0)),"Other / Leased Fee"))</f>
        <v/>
      </c>
      <c r="CA892" s="76">
        <f>IF(TRIM($AF892&amp;"")="","NR",LEFT(TRIM($AF892),2))</f>
        <v/>
      </c>
      <c r="CB892" s="76">
        <f>IFERROR(LOOKUP(2,1/(LEFT(TRIM($AI892&amp;""),LEN(mapRegion))=mapRegion),mapRegion),"Not Reported")</f>
        <v/>
      </c>
      <c r="CC892" s="76">
        <f>IF($BY892=0,"",IF(TRIM($W892&amp;"")="REO","REO",IF(TRIM($W892&amp;"")="FC","Foreclosure",IF(TRIM($W892&amp;"")="90+","90+ Days Delinquent",IF(TRIM($W892&amp;"")="60","60 Days Delinquent",IF(TRIM($W892&amp;"")="30","30 Days Delinquent",IF($X892="Non-Performing Matured Balloon","Non-Performing Matured Balloon",IF(OR($X892="Late Payment But Less Than 30 Days Delinquent",LEFT($X892&amp;"",20)="Payment Not Received"),"Late / In Grace (&lt;30 Days)",IF($X892="Performing Matured Balloon","Performing Matured Balloon","Current")))))))))</f>
        <v/>
      </c>
      <c r="CD892" s="78">
        <f>IF(OR($CC892="REO",$CC892="Foreclosure",$CC892="90+ Days Delinquent",$CC892="60 Days Delinquent",$CC892="30 Days Delinquent",$CC892="Non-Performing Matured Balloon"),1,0)</f>
        <v/>
      </c>
      <c r="CE892" s="76">
        <f>IF($AB892="Currently special serv","Currently Specially Serviced",IF($AB892="Returned to master serv","Previously Specially Serviced","Never Specially Serviced"))</f>
        <v/>
      </c>
      <c r="CF892" s="78">
        <f>IF($CE892="Currently Specially Serviced",1,0)</f>
        <v/>
      </c>
      <c r="CG892" s="76">
        <f>IF($AA892="Yes","Currently on Watchlist",IF($AA892="Previously","Previously on Watchlist","Never on Watchlist"))</f>
        <v/>
      </c>
      <c r="CH892" s="78">
        <f>IF($CG892="Currently on Watchlist",1,0)</f>
        <v/>
      </c>
      <c r="CI892" s="76">
        <f>IF($Z892="Full Defeasance","Fully Defeased",IF($Z892="Portion Of Loan Previously Defeased","Partially Defeased",IF($Z892="Defeasance Not Allowable","Not Defeased (Not Permitted)","Not Defeased")))</f>
        <v/>
      </c>
      <c r="CJ892" s="78">
        <f>IF($CI892="Fully Defeased",1,0)</f>
        <v/>
      </c>
      <c r="CK892" s="76">
        <f>IF($R892="IO","Full IO",IF(LEFT($R892&amp;"",7)="IO then","Partial IO","Amortizing"))</f>
        <v/>
      </c>
      <c r="CL892" s="78">
        <f>IF($CK892="Full IO",1,0)</f>
        <v/>
      </c>
      <c r="CM892" s="78">
        <f>IF($CK892="Partial IO",1,0)</f>
        <v/>
      </c>
      <c r="CN892" s="76">
        <f>IF(LEFT($F892&amp;"",10)="SPLIT_LOAN","Pari Passu Split","Standalone")</f>
        <v/>
      </c>
      <c r="CO892" s="78">
        <f>IF($CN892="Pari Passu Split",1,0)</f>
        <v/>
      </c>
      <c r="CP892" s="77">
        <f>IF(ISNUMBER($T892),YEAR($T892),"")</f>
        <v/>
      </c>
      <c r="CQ892" s="79">
        <f>IF(ISNUMBER($V892),$V892,IF(ISNUMBER($U892),$U892,""))</f>
        <v/>
      </c>
      <c r="CR892" s="77">
        <f>IF(ISNUMBER($CQ892),YEAR($CQ892),"")</f>
        <v/>
      </c>
      <c r="CS892" s="78">
        <f>IF(ISNUMBER($M892),MAX(0,$M892),IF(TRIM($M892&amp;"")="matured",0,""))</f>
        <v/>
      </c>
      <c r="CT892" s="78">
        <f>IF(AND(ISNUMBER($CS892),N($CS892)&lt;=mMatWindow),1,0)</f>
        <v/>
      </c>
      <c r="CU892" s="80">
        <f>IF(ISNUMBER($J892),$J892/100,"")</f>
        <v/>
      </c>
      <c r="CV892" s="81">
        <f>IF(ISNUMBER($AQ892),$AQ892,"")</f>
        <v/>
      </c>
      <c r="CW892" s="81">
        <f>IF(ISNUMBER($AR892),$AR892,"")</f>
        <v/>
      </c>
      <c r="CX892" s="82">
        <f>IF(ISNUMBER($AS892),$AS892/100,"")</f>
        <v/>
      </c>
      <c r="CY892" s="82">
        <f>IF(ISNUMBER($AT892),$AT892/100,"")</f>
        <v/>
      </c>
      <c r="CZ892" s="82">
        <f>IF(ISNUMBER($AU892),$AU892/100,"")</f>
        <v/>
      </c>
      <c r="DA892" s="82">
        <f>IF(ISNUMBER($AV892),$AV892/100,"")</f>
        <v/>
      </c>
      <c r="DB892" s="82">
        <f>IF(ISNUMBER($AW892),$AW892/100,"")</f>
        <v/>
      </c>
      <c r="DC892" s="82">
        <f>IF(ISNUMBER($AX892),$AX892/100,"")</f>
        <v/>
      </c>
      <c r="DD892" s="77">
        <f>IFERROR(VALUE(LEFT(TRIM($AO892&amp;""),4)),"")</f>
        <v/>
      </c>
      <c r="DE892" s="78">
        <f>IF(AND($BY892=1,$BX892=1,OR(fDeal="All Deals",$BU892=fDeal),OR(fEntity="All Entities",$BV892=fEntity),OR(fPType="All Property Types",$BZ892=fPType),OR(fDefeased="Include",$CJ892=0)),1,0)</f>
        <v/>
      </c>
      <c r="DF892" s="83">
        <f>$DE892*N($I892)</f>
        <v/>
      </c>
      <c r="DG892" s="78">
        <f>IF($DE892=1,IF(COUNTIFS($F$8:$F892,$F892,$DE$8:$DE892,1)=1,1,0),0)</f>
        <v/>
      </c>
      <c r="DH892" s="83">
        <f>IF($DG892=1,SUMIFS($DF$8:$DF$1600,$F$8:$F$1600,$F892),0)</f>
        <v/>
      </c>
      <c r="DI892" s="78">
        <f>IF($DG892=1,COUNTIFS($F$8:$F$1600,$F892,$DE$8:$DE$1600,1),0)</f>
        <v/>
      </c>
      <c r="DJ892" s="84">
        <f>IF($DG892=1,$DH892+(100000-ROW())/mTieBreak,0)</f>
        <v/>
      </c>
    </row>
    <row r="893">
      <c r="B893" s="68" t="n">
        <v>37</v>
      </c>
      <c r="C893" s="69" t="inlineStr">
        <is>
          <t>MSC18L1</t>
        </is>
      </c>
      <c r="D893" s="69" t="inlineStr">
        <is>
          <t>37.000</t>
        </is>
      </c>
      <c r="E893" s="69" t="inlineStr">
        <is>
          <t>Shoppes &amp; Offices at PGA West</t>
        </is>
      </c>
      <c r="F893" s="69" t="inlineStr">
        <is>
          <t>LNMSC18L1-37.000</t>
        </is>
      </c>
      <c r="G893" s="70" t="n"/>
      <c r="H893" s="71" t="n">
        <v>5700000</v>
      </c>
      <c r="I893" s="71" t="n">
        <v>4956515.4100026</v>
      </c>
      <c r="J893" s="72" t="n">
        <v>5.199</v>
      </c>
      <c r="K893" s="69" t="inlineStr">
        <is>
          <t>Fixed rate</t>
        </is>
      </c>
      <c r="L893" s="68" t="n">
        <v>120</v>
      </c>
      <c r="M893" s="68" t="n">
        <v>24</v>
      </c>
      <c r="N893" s="68" t="n">
        <v>360</v>
      </c>
      <c r="O893" s="68" t="n"/>
      <c r="P893" s="68" t="n"/>
      <c r="Q893" s="68" t="n">
        <v>96</v>
      </c>
      <c r="R893" s="69" t="n"/>
      <c r="S893" s="69" t="inlineStr">
        <is>
          <t>No</t>
        </is>
      </c>
      <c r="T893" s="73" t="n">
        <v>43344</v>
      </c>
      <c r="U893" s="73" t="n">
        <v>47002</v>
      </c>
      <c r="V893" s="73" t="n"/>
      <c r="W893" s="69" t="n"/>
      <c r="X893" s="69" t="inlineStr">
        <is>
          <t>Current</t>
        </is>
      </c>
      <c r="Y893" s="68" t="n"/>
      <c r="Z893" s="69" t="inlineStr">
        <is>
          <t>No Defeasance Occurred</t>
        </is>
      </c>
      <c r="AA893" s="69" t="inlineStr">
        <is>
          <t>Previously</t>
        </is>
      </c>
      <c r="AB893" s="69" t="inlineStr">
        <is>
          <t>Never special serv</t>
        </is>
      </c>
      <c r="AC893" s="73" t="n"/>
      <c r="AD893" s="69" t="n"/>
      <c r="AE893" s="69" t="n"/>
      <c r="AF893" s="69" t="inlineStr">
        <is>
          <t>FL</t>
        </is>
      </c>
      <c r="AG893" s="69" t="inlineStr">
        <is>
          <t>Palm Beach Gardens</t>
        </is>
      </c>
      <c r="AH893" s="69" t="inlineStr">
        <is>
          <t>Miami-Fort Lauderdale-West Palm Beach, FL</t>
        </is>
      </c>
      <c r="AI893" s="69" t="inlineStr">
        <is>
          <t>South / Atlantic</t>
        </is>
      </c>
      <c r="AJ893" s="69" t="inlineStr">
        <is>
          <t>MX</t>
        </is>
      </c>
      <c r="AK893" s="69" t="n"/>
      <c r="AL893" s="68" t="n">
        <v>1</v>
      </c>
      <c r="AM893" s="68" t="n"/>
      <c r="AN893" s="68" t="n">
        <v>37782</v>
      </c>
      <c r="AO893" s="69" t="inlineStr">
        <is>
          <t>2001</t>
        </is>
      </c>
      <c r="AP893" s="70" t="n">
        <v>2001</v>
      </c>
      <c r="AQ893" s="74" t="n">
        <v>1.6</v>
      </c>
      <c r="AR893" s="74" t="n">
        <v>1.83</v>
      </c>
      <c r="AS893" s="74" t="n">
        <v>60.6</v>
      </c>
      <c r="AT893" s="74" t="n">
        <v>52.73</v>
      </c>
      <c r="AU893" s="74" t="n">
        <v>50.3</v>
      </c>
      <c r="AV893" s="74" t="n">
        <v>10.544714737</v>
      </c>
      <c r="AW893" s="74" t="n">
        <v>13.836756739</v>
      </c>
      <c r="AX893" s="75" t="n">
        <v>100</v>
      </c>
      <c r="AY893" s="71" t="n">
        <v>9400000</v>
      </c>
      <c r="AZ893" s="71" t="n">
        <v>9400000</v>
      </c>
      <c r="BA893" s="71" t="n">
        <v>601048.74</v>
      </c>
      <c r="BB893" s="71" t="n">
        <v>685820.98</v>
      </c>
      <c r="BC893" s="69" t="inlineStr">
        <is>
          <t>Acquisition</t>
        </is>
      </c>
      <c r="BD893" s="69" t="inlineStr">
        <is>
          <t>N</t>
        </is>
      </c>
      <c r="BE893" s="71" t="n"/>
      <c r="BF893" s="71" t="n"/>
      <c r="BG893" s="71" t="n"/>
      <c r="BH893" s="71" t="n">
        <v>0</v>
      </c>
      <c r="BI893" s="71" t="n">
        <v>0</v>
      </c>
      <c r="BJ893" s="69" t="inlineStr">
        <is>
          <t>N</t>
        </is>
      </c>
      <c r="BK893" s="69" t="inlineStr">
        <is>
          <t>Pepe South LLC</t>
        </is>
      </c>
      <c r="BL893" s="75" t="n">
        <v>14.79</v>
      </c>
      <c r="BM893" s="73" t="n">
        <v>46173</v>
      </c>
      <c r="BN893" s="69" t="inlineStr">
        <is>
          <t>Gary E. Juster</t>
        </is>
      </c>
      <c r="BO893" s="69" t="inlineStr">
        <is>
          <t>Starwood</t>
        </is>
      </c>
      <c r="BP893" s="69" t="inlineStr">
        <is>
          <t>Midland Loan Services</t>
        </is>
      </c>
      <c r="BQ893" s="69" t="inlineStr">
        <is>
          <t>K-Star Asset Management LLC</t>
        </is>
      </c>
      <c r="BR893" s="69" t="n"/>
      <c r="BS893" s="73" t="n">
        <v>46276</v>
      </c>
      <c r="BU893" s="76">
        <f>IF($C893="","",IFERROR(INDEX(dmName,MATCH($C893,dmID,0)),"Unmapped"))</f>
        <v/>
      </c>
      <c r="BV893" s="76">
        <f>IF($C893="","",IFERROR(INDEX(dmEntity,MATCH($C893,dmID,0)),"Unmapped"))</f>
        <v/>
      </c>
      <c r="BW893" s="77">
        <f>IF($C893="","",IFERROR(INDEX(dmVintage,MATCH($C893,dmID,0)),""))</f>
        <v/>
      </c>
      <c r="BX893" s="78">
        <f>IFERROR(INDEX(dmInclude,MATCH($C893,dmID,0)),0)</f>
        <v/>
      </c>
      <c r="BY893" s="78">
        <f>IF(N($I893)&gt;0,1,0)</f>
        <v/>
      </c>
      <c r="BZ893" s="76">
        <f>IF($AJ893="","Other / Leased Fee",IFERROR(INDEX(mapPTGroup,MATCH(LEFT(TRIM($AJ893),2),mapPTCode,0)),"Other / Leased Fee"))</f>
        <v/>
      </c>
      <c r="CA893" s="76">
        <f>IF(TRIM($AF893&amp;"")="","NR",LEFT(TRIM($AF893),2))</f>
        <v/>
      </c>
      <c r="CB893" s="76">
        <f>IFERROR(LOOKUP(2,1/(LEFT(TRIM($AI893&amp;""),LEN(mapRegion))=mapRegion),mapRegion),"Not Reported")</f>
        <v/>
      </c>
      <c r="CC893" s="76">
        <f>IF($BY893=0,"",IF(TRIM($W893&amp;"")="REO","REO",IF(TRIM($W893&amp;"")="FC","Foreclosure",IF(TRIM($W893&amp;"")="90+","90+ Days Delinquent",IF(TRIM($W893&amp;"")="60","60 Days Delinquent",IF(TRIM($W893&amp;"")="30","30 Days Delinquent",IF($X893="Non-Performing Matured Balloon","Non-Performing Matured Balloon",IF(OR($X893="Late Payment But Less Than 30 Days Delinquent",LEFT($X893&amp;"",20)="Payment Not Received"),"Late / In Grace (&lt;30 Days)",IF($X893="Performing Matured Balloon","Performing Matured Balloon","Current")))))))))</f>
        <v/>
      </c>
      <c r="CD893" s="78">
        <f>IF(OR($CC893="REO",$CC893="Foreclosure",$CC893="90+ Days Delinquent",$CC893="60 Days Delinquent",$CC893="30 Days Delinquent",$CC893="Non-Performing Matured Balloon"),1,0)</f>
        <v/>
      </c>
      <c r="CE893" s="76">
        <f>IF($AB893="Currently special serv","Currently Specially Serviced",IF($AB893="Returned to master serv","Previously Specially Serviced","Never Specially Serviced"))</f>
        <v/>
      </c>
      <c r="CF893" s="78">
        <f>IF($CE893="Currently Specially Serviced",1,0)</f>
        <v/>
      </c>
      <c r="CG893" s="76">
        <f>IF($AA893="Yes","Currently on Watchlist",IF($AA893="Previously","Previously on Watchlist","Never on Watchlist"))</f>
        <v/>
      </c>
      <c r="CH893" s="78">
        <f>IF($CG893="Currently on Watchlist",1,0)</f>
        <v/>
      </c>
      <c r="CI893" s="76">
        <f>IF($Z893="Full Defeasance","Fully Defeased",IF($Z893="Portion Of Loan Previously Defeased","Partially Defeased",IF($Z893="Defeasance Not Allowable","Not Defeased (Not Permitted)","Not Defeased")))</f>
        <v/>
      </c>
      <c r="CJ893" s="78">
        <f>IF($CI893="Fully Defeased",1,0)</f>
        <v/>
      </c>
      <c r="CK893" s="76">
        <f>IF($R893="IO","Full IO",IF(LEFT($R893&amp;"",7)="IO then","Partial IO","Amortizing"))</f>
        <v/>
      </c>
      <c r="CL893" s="78">
        <f>IF($CK893="Full IO",1,0)</f>
        <v/>
      </c>
      <c r="CM893" s="78">
        <f>IF($CK893="Partial IO",1,0)</f>
        <v/>
      </c>
      <c r="CN893" s="76">
        <f>IF(LEFT($F893&amp;"",10)="SPLIT_LOAN","Pari Passu Split","Standalone")</f>
        <v/>
      </c>
      <c r="CO893" s="78">
        <f>IF($CN893="Pari Passu Split",1,0)</f>
        <v/>
      </c>
      <c r="CP893" s="77">
        <f>IF(ISNUMBER($T893),YEAR($T893),"")</f>
        <v/>
      </c>
      <c r="CQ893" s="79">
        <f>IF(ISNUMBER($V893),$V893,IF(ISNUMBER($U893),$U893,""))</f>
        <v/>
      </c>
      <c r="CR893" s="77">
        <f>IF(ISNUMBER($CQ893),YEAR($CQ893),"")</f>
        <v/>
      </c>
      <c r="CS893" s="78">
        <f>IF(ISNUMBER($M893),MAX(0,$M893),IF(TRIM($M893&amp;"")="matured",0,""))</f>
        <v/>
      </c>
      <c r="CT893" s="78">
        <f>IF(AND(ISNUMBER($CS893),N($CS893)&lt;=mMatWindow),1,0)</f>
        <v/>
      </c>
      <c r="CU893" s="80">
        <f>IF(ISNUMBER($J893),$J893/100,"")</f>
        <v/>
      </c>
      <c r="CV893" s="81">
        <f>IF(ISNUMBER($AQ893),$AQ893,"")</f>
        <v/>
      </c>
      <c r="CW893" s="81">
        <f>IF(ISNUMBER($AR893),$AR893,"")</f>
        <v/>
      </c>
      <c r="CX893" s="82">
        <f>IF(ISNUMBER($AS893),$AS893/100,"")</f>
        <v/>
      </c>
      <c r="CY893" s="82">
        <f>IF(ISNUMBER($AT893),$AT893/100,"")</f>
        <v/>
      </c>
      <c r="CZ893" s="82">
        <f>IF(ISNUMBER($AU893),$AU893/100,"")</f>
        <v/>
      </c>
      <c r="DA893" s="82">
        <f>IF(ISNUMBER($AV893),$AV893/100,"")</f>
        <v/>
      </c>
      <c r="DB893" s="82">
        <f>IF(ISNUMBER($AW893),$AW893/100,"")</f>
        <v/>
      </c>
      <c r="DC893" s="82">
        <f>IF(ISNUMBER($AX893),$AX893/100,"")</f>
        <v/>
      </c>
      <c r="DD893" s="77">
        <f>IFERROR(VALUE(LEFT(TRIM($AO893&amp;""),4)),"")</f>
        <v/>
      </c>
      <c r="DE893" s="78">
        <f>IF(AND($BY893=1,$BX893=1,OR(fDeal="All Deals",$BU893=fDeal),OR(fEntity="All Entities",$BV893=fEntity),OR(fPType="All Property Types",$BZ893=fPType),OR(fDefeased="Include",$CJ893=0)),1,0)</f>
        <v/>
      </c>
      <c r="DF893" s="83">
        <f>$DE893*N($I893)</f>
        <v/>
      </c>
      <c r="DG893" s="78">
        <f>IF($DE893=1,IF(COUNTIFS($F$8:$F893,$F893,$DE$8:$DE893,1)=1,1,0),0)</f>
        <v/>
      </c>
      <c r="DH893" s="83">
        <f>IF($DG893=1,SUMIFS($DF$8:$DF$1600,$F$8:$F$1600,$F893),0)</f>
        <v/>
      </c>
      <c r="DI893" s="78">
        <f>IF($DG893=1,COUNTIFS($F$8:$F$1600,$F893,$DE$8:$DE$1600,1),0)</f>
        <v/>
      </c>
      <c r="DJ893" s="84">
        <f>IF($DG893=1,$DH893+(100000-ROW())/mTieBreak,0)</f>
        <v/>
      </c>
    </row>
    <row r="894">
      <c r="B894" s="68" t="n">
        <v>38</v>
      </c>
      <c r="C894" s="69" t="inlineStr">
        <is>
          <t>MSC18L1</t>
        </is>
      </c>
      <c r="D894" s="69" t="inlineStr">
        <is>
          <t>38.000</t>
        </is>
      </c>
      <c r="E894" s="69" t="inlineStr">
        <is>
          <t>Calle Fortunada</t>
        </is>
      </c>
      <c r="F894" s="69" t="inlineStr">
        <is>
          <t>LNMSC18L1-38.000</t>
        </is>
      </c>
      <c r="G894" s="70" t="n"/>
      <c r="H894" s="71" t="n">
        <v>5600000</v>
      </c>
      <c r="I894" s="71" t="n">
        <v>5600000</v>
      </c>
      <c r="J894" s="72" t="n">
        <v>4.755</v>
      </c>
      <c r="K894" s="69" t="inlineStr">
        <is>
          <t>Fixed rate</t>
        </is>
      </c>
      <c r="L894" s="68" t="n">
        <v>120</v>
      </c>
      <c r="M894" s="68" t="n">
        <v>24</v>
      </c>
      <c r="N894" s="68" t="n">
        <v>120</v>
      </c>
      <c r="O894" s="68" t="n">
        <v>120</v>
      </c>
      <c r="P894" s="68" t="n">
        <v>24</v>
      </c>
      <c r="Q894" s="68" t="n">
        <v>96</v>
      </c>
      <c r="R894" s="69" t="inlineStr">
        <is>
          <t>IO</t>
        </is>
      </c>
      <c r="S894" s="69" t="inlineStr">
        <is>
          <t>Yes</t>
        </is>
      </c>
      <c r="T894" s="73" t="n">
        <v>43344</v>
      </c>
      <c r="U894" s="73" t="n">
        <v>47002</v>
      </c>
      <c r="V894" s="73" t="n"/>
      <c r="W894" s="69" t="n"/>
      <c r="X894" s="69" t="inlineStr">
        <is>
          <t>Current</t>
        </is>
      </c>
      <c r="Y894" s="68" t="n"/>
      <c r="Z894" s="69" t="inlineStr">
        <is>
          <t>No Defeasance Occurred</t>
        </is>
      </c>
      <c r="AA894" s="69" t="inlineStr">
        <is>
          <t>Previously</t>
        </is>
      </c>
      <c r="AB894" s="69" t="inlineStr">
        <is>
          <t>Never special serv</t>
        </is>
      </c>
      <c r="AC894" s="73" t="n"/>
      <c r="AD894" s="69" t="n"/>
      <c r="AE894" s="69" t="n"/>
      <c r="AF894" s="69" t="inlineStr">
        <is>
          <t>CA</t>
        </is>
      </c>
      <c r="AG894" s="69" t="inlineStr">
        <is>
          <t>San Diego</t>
        </is>
      </c>
      <c r="AH894" s="69" t="inlineStr">
        <is>
          <t>San Diego-Chula Vista-Carlsbad, CA</t>
        </is>
      </c>
      <c r="AI894" s="69" t="inlineStr">
        <is>
          <t>West / Pacific South</t>
        </is>
      </c>
      <c r="AJ894" s="69" t="inlineStr">
        <is>
          <t>OF</t>
        </is>
      </c>
      <c r="AK894" s="69" t="inlineStr">
        <is>
          <t>Suburban</t>
        </is>
      </c>
      <c r="AL894" s="68" t="n">
        <v>1</v>
      </c>
      <c r="AM894" s="68" t="n"/>
      <c r="AN894" s="68" t="n">
        <v>60711</v>
      </c>
      <c r="AO894" s="69" t="inlineStr">
        <is>
          <t>1983</t>
        </is>
      </c>
      <c r="AP894" s="70" t="n">
        <v>2016</v>
      </c>
      <c r="AQ894" s="74" t="n">
        <v>2.38</v>
      </c>
      <c r="AR894" s="74" t="n">
        <v>3.5</v>
      </c>
      <c r="AS894" s="74" t="n">
        <v>48.7</v>
      </c>
      <c r="AT894" s="74" t="n">
        <v>48.7</v>
      </c>
      <c r="AU894" s="74" t="n">
        <v>48.7</v>
      </c>
      <c r="AV894" s="74" t="n">
        <v>11.482807679</v>
      </c>
      <c r="AW894" s="74" t="n">
        <v>13.469347679</v>
      </c>
      <c r="AX894" s="75" t="n">
        <v>100</v>
      </c>
      <c r="AY894" s="71" t="n">
        <v>11500000</v>
      </c>
      <c r="AZ894" s="71" t="n">
        <v>11500000</v>
      </c>
      <c r="BA894" s="71" t="n">
        <v>643037.23</v>
      </c>
      <c r="BB894" s="71" t="n">
        <v>236278.9</v>
      </c>
      <c r="BC894" s="69" t="inlineStr">
        <is>
          <t>Acquisition</t>
        </is>
      </c>
      <c r="BD894" s="69" t="inlineStr">
        <is>
          <t>N</t>
        </is>
      </c>
      <c r="BE894" s="71" t="n"/>
      <c r="BF894" s="71" t="n"/>
      <c r="BG894" s="71" t="n"/>
      <c r="BH894" s="71" t="n">
        <v>0</v>
      </c>
      <c r="BI894" s="71" t="n">
        <v>0</v>
      </c>
      <c r="BJ894" s="69" t="inlineStr">
        <is>
          <t>N</t>
        </is>
      </c>
      <c r="BK894" s="69" t="inlineStr">
        <is>
          <t>2-1-1 San Diego</t>
        </is>
      </c>
      <c r="BL894" s="75" t="n">
        <v>49</v>
      </c>
      <c r="BM894" s="73" t="n">
        <v>48152</v>
      </c>
      <c r="BN894" s="69" t="inlineStr">
        <is>
          <t>Joseph A. Hernon</t>
        </is>
      </c>
      <c r="BO894" s="69" t="inlineStr">
        <is>
          <t>Cantor Commercial Real Estate Lending</t>
        </is>
      </c>
      <c r="BP894" s="69" t="inlineStr">
        <is>
          <t>Midland Loan Services</t>
        </is>
      </c>
      <c r="BQ894" s="69" t="inlineStr">
        <is>
          <t>K-Star Asset Management LLC</t>
        </is>
      </c>
      <c r="BR894" s="69" t="n"/>
      <c r="BS894" s="73" t="n">
        <v>46276</v>
      </c>
      <c r="BU894" s="76">
        <f>IF($C894="","",IFERROR(INDEX(dmName,MATCH($C894,dmID,0)),"Unmapped"))</f>
        <v/>
      </c>
      <c r="BV894" s="76">
        <f>IF($C894="","",IFERROR(INDEX(dmEntity,MATCH($C894,dmID,0)),"Unmapped"))</f>
        <v/>
      </c>
      <c r="BW894" s="77">
        <f>IF($C894="","",IFERROR(INDEX(dmVintage,MATCH($C894,dmID,0)),""))</f>
        <v/>
      </c>
      <c r="BX894" s="78">
        <f>IFERROR(INDEX(dmInclude,MATCH($C894,dmID,0)),0)</f>
        <v/>
      </c>
      <c r="BY894" s="78">
        <f>IF(N($I894)&gt;0,1,0)</f>
        <v/>
      </c>
      <c r="BZ894" s="76">
        <f>IF($AJ894="","Other / Leased Fee",IFERROR(INDEX(mapPTGroup,MATCH(LEFT(TRIM($AJ894),2),mapPTCode,0)),"Other / Leased Fee"))</f>
        <v/>
      </c>
      <c r="CA894" s="76">
        <f>IF(TRIM($AF894&amp;"")="","NR",LEFT(TRIM($AF894),2))</f>
        <v/>
      </c>
      <c r="CB894" s="76">
        <f>IFERROR(LOOKUP(2,1/(LEFT(TRIM($AI894&amp;""),LEN(mapRegion))=mapRegion),mapRegion),"Not Reported")</f>
        <v/>
      </c>
      <c r="CC894" s="76">
        <f>IF($BY894=0,"",IF(TRIM($W894&amp;"")="REO","REO",IF(TRIM($W894&amp;"")="FC","Foreclosure",IF(TRIM($W894&amp;"")="90+","90+ Days Delinquent",IF(TRIM($W894&amp;"")="60","60 Days Delinquent",IF(TRIM($W894&amp;"")="30","30 Days Delinquent",IF($X894="Non-Performing Matured Balloon","Non-Performing Matured Balloon",IF(OR($X894="Late Payment But Less Than 30 Days Delinquent",LEFT($X894&amp;"",20)="Payment Not Received"),"Late / In Grace (&lt;30 Days)",IF($X894="Performing Matured Balloon","Performing Matured Balloon","Current")))))))))</f>
        <v/>
      </c>
      <c r="CD894" s="78">
        <f>IF(OR($CC894="REO",$CC894="Foreclosure",$CC894="90+ Days Delinquent",$CC894="60 Days Delinquent",$CC894="30 Days Delinquent",$CC894="Non-Performing Matured Balloon"),1,0)</f>
        <v/>
      </c>
      <c r="CE894" s="76">
        <f>IF($AB894="Currently special serv","Currently Specially Serviced",IF($AB894="Returned to master serv","Previously Specially Serviced","Never Specially Serviced"))</f>
        <v/>
      </c>
      <c r="CF894" s="78">
        <f>IF($CE894="Currently Specially Serviced",1,0)</f>
        <v/>
      </c>
      <c r="CG894" s="76">
        <f>IF($AA894="Yes","Currently on Watchlist",IF($AA894="Previously","Previously on Watchlist","Never on Watchlist"))</f>
        <v/>
      </c>
      <c r="CH894" s="78">
        <f>IF($CG894="Currently on Watchlist",1,0)</f>
        <v/>
      </c>
      <c r="CI894" s="76">
        <f>IF($Z894="Full Defeasance","Fully Defeased",IF($Z894="Portion Of Loan Previously Defeased","Partially Defeased",IF($Z894="Defeasance Not Allowable","Not Defeased (Not Permitted)","Not Defeased")))</f>
        <v/>
      </c>
      <c r="CJ894" s="78">
        <f>IF($CI894="Fully Defeased",1,0)</f>
        <v/>
      </c>
      <c r="CK894" s="76">
        <f>IF($R894="IO","Full IO",IF(LEFT($R894&amp;"",7)="IO then","Partial IO","Amortizing"))</f>
        <v/>
      </c>
      <c r="CL894" s="78">
        <f>IF($CK894="Full IO",1,0)</f>
        <v/>
      </c>
      <c r="CM894" s="78">
        <f>IF($CK894="Partial IO",1,0)</f>
        <v/>
      </c>
      <c r="CN894" s="76">
        <f>IF(LEFT($F894&amp;"",10)="SPLIT_LOAN","Pari Passu Split","Standalone")</f>
        <v/>
      </c>
      <c r="CO894" s="78">
        <f>IF($CN894="Pari Passu Split",1,0)</f>
        <v/>
      </c>
      <c r="CP894" s="77">
        <f>IF(ISNUMBER($T894),YEAR($T894),"")</f>
        <v/>
      </c>
      <c r="CQ894" s="79">
        <f>IF(ISNUMBER($V894),$V894,IF(ISNUMBER($U894),$U894,""))</f>
        <v/>
      </c>
      <c r="CR894" s="77">
        <f>IF(ISNUMBER($CQ894),YEAR($CQ894),"")</f>
        <v/>
      </c>
      <c r="CS894" s="78">
        <f>IF(ISNUMBER($M894),MAX(0,$M894),IF(TRIM($M894&amp;"")="matured",0,""))</f>
        <v/>
      </c>
      <c r="CT894" s="78">
        <f>IF(AND(ISNUMBER($CS894),N($CS894)&lt;=mMatWindow),1,0)</f>
        <v/>
      </c>
      <c r="CU894" s="80">
        <f>IF(ISNUMBER($J894),$J894/100,"")</f>
        <v/>
      </c>
      <c r="CV894" s="81">
        <f>IF(ISNUMBER($AQ894),$AQ894,"")</f>
        <v/>
      </c>
      <c r="CW894" s="81">
        <f>IF(ISNUMBER($AR894),$AR894,"")</f>
        <v/>
      </c>
      <c r="CX894" s="82">
        <f>IF(ISNUMBER($AS894),$AS894/100,"")</f>
        <v/>
      </c>
      <c r="CY894" s="82">
        <f>IF(ISNUMBER($AT894),$AT894/100,"")</f>
        <v/>
      </c>
      <c r="CZ894" s="82">
        <f>IF(ISNUMBER($AU894),$AU894/100,"")</f>
        <v/>
      </c>
      <c r="DA894" s="82">
        <f>IF(ISNUMBER($AV894),$AV894/100,"")</f>
        <v/>
      </c>
      <c r="DB894" s="82">
        <f>IF(ISNUMBER($AW894),$AW894/100,"")</f>
        <v/>
      </c>
      <c r="DC894" s="82">
        <f>IF(ISNUMBER($AX894),$AX894/100,"")</f>
        <v/>
      </c>
      <c r="DD894" s="77">
        <f>IFERROR(VALUE(LEFT(TRIM($AO894&amp;""),4)),"")</f>
        <v/>
      </c>
      <c r="DE894" s="78">
        <f>IF(AND($BY894=1,$BX894=1,OR(fDeal="All Deals",$BU894=fDeal),OR(fEntity="All Entities",$BV894=fEntity),OR(fPType="All Property Types",$BZ894=fPType),OR(fDefeased="Include",$CJ894=0)),1,0)</f>
        <v/>
      </c>
      <c r="DF894" s="83">
        <f>$DE894*N($I894)</f>
        <v/>
      </c>
      <c r="DG894" s="78">
        <f>IF($DE894=1,IF(COUNTIFS($F$8:$F894,$F894,$DE$8:$DE894,1)=1,1,0),0)</f>
        <v/>
      </c>
      <c r="DH894" s="83">
        <f>IF($DG894=1,SUMIFS($DF$8:$DF$1600,$F$8:$F$1600,$F894),0)</f>
        <v/>
      </c>
      <c r="DI894" s="78">
        <f>IF($DG894=1,COUNTIFS($F$8:$F$1600,$F894,$DE$8:$DE$1600,1),0)</f>
        <v/>
      </c>
      <c r="DJ894" s="84">
        <f>IF($DG894=1,$DH894+(100000-ROW())/mTieBreak,0)</f>
        <v/>
      </c>
    </row>
    <row r="895">
      <c r="B895" s="68" t="n">
        <v>39</v>
      </c>
      <c r="C895" s="69" t="inlineStr">
        <is>
          <t>MSC18L1</t>
        </is>
      </c>
      <c r="D895" s="69" t="inlineStr">
        <is>
          <t>39.000</t>
        </is>
      </c>
      <c r="E895" s="69" t="inlineStr">
        <is>
          <t>Covell Building</t>
        </is>
      </c>
      <c r="F895" s="69" t="inlineStr">
        <is>
          <t>LNMSC18L1-39.000</t>
        </is>
      </c>
      <c r="G895" s="70" t="n"/>
      <c r="H895" s="71" t="n">
        <v>5500000</v>
      </c>
      <c r="I895" s="71" t="n">
        <v>5500000</v>
      </c>
      <c r="J895" s="72" t="n">
        <v>5.25</v>
      </c>
      <c r="K895" s="69" t="inlineStr">
        <is>
          <t>Fixed rate</t>
        </is>
      </c>
      <c r="L895" s="68" t="n">
        <v>120</v>
      </c>
      <c r="M895" s="68" t="n">
        <v>25</v>
      </c>
      <c r="N895" s="68" t="n">
        <v>120</v>
      </c>
      <c r="O895" s="68" t="n">
        <v>120</v>
      </c>
      <c r="P895" s="68" t="n">
        <v>25</v>
      </c>
      <c r="Q895" s="68" t="n">
        <v>95</v>
      </c>
      <c r="R895" s="69" t="inlineStr">
        <is>
          <t>IO</t>
        </is>
      </c>
      <c r="S895" s="69" t="inlineStr">
        <is>
          <t>Yes</t>
        </is>
      </c>
      <c r="T895" s="73" t="n">
        <v>43374</v>
      </c>
      <c r="U895" s="73" t="n">
        <v>47032</v>
      </c>
      <c r="V895" s="73" t="n"/>
      <c r="W895" s="69" t="n"/>
      <c r="X895" s="69" t="inlineStr">
        <is>
          <t>Current</t>
        </is>
      </c>
      <c r="Y895" s="68" t="n"/>
      <c r="Z895" s="69" t="inlineStr">
        <is>
          <t>No Defeasance Occurred</t>
        </is>
      </c>
      <c r="AA895" s="69" t="inlineStr">
        <is>
          <t>Previously</t>
        </is>
      </c>
      <c r="AB895" s="69" t="inlineStr">
        <is>
          <t>Never special serv</t>
        </is>
      </c>
      <c r="AC895" s="73" t="n"/>
      <c r="AD895" s="69" t="n"/>
      <c r="AE895" s="69" t="n"/>
      <c r="AF895" s="69" t="inlineStr">
        <is>
          <t>CA</t>
        </is>
      </c>
      <c r="AG895" s="69" t="inlineStr">
        <is>
          <t>Los Angeles</t>
        </is>
      </c>
      <c r="AH895" s="69" t="inlineStr">
        <is>
          <t>Los Angeles-Long Beach-Anaheim, CA</t>
        </is>
      </c>
      <c r="AI895" s="69" t="inlineStr">
        <is>
          <t>West / Pacific South</t>
        </is>
      </c>
      <c r="AJ895" s="69" t="inlineStr">
        <is>
          <t>MX</t>
        </is>
      </c>
      <c r="AK895" s="69" t="n"/>
      <c r="AL895" s="68" t="n">
        <v>1</v>
      </c>
      <c r="AM895" s="68" t="n"/>
      <c r="AN895" s="68" t="n">
        <v>13055</v>
      </c>
      <c r="AO895" s="69" t="inlineStr">
        <is>
          <t>1917, 1922</t>
        </is>
      </c>
      <c r="AP895" s="70" t="n">
        <v>2015</v>
      </c>
      <c r="AQ895" s="74" t="n">
        <v>1.85</v>
      </c>
      <c r="AR895" s="74" t="n">
        <v>2.63</v>
      </c>
      <c r="AS895" s="74" t="n">
        <v>61.8</v>
      </c>
      <c r="AT895" s="74" t="n">
        <v>61.8</v>
      </c>
      <c r="AU895" s="74" t="n">
        <v>61.8</v>
      </c>
      <c r="AV895" s="74" t="n">
        <v>9.861065455</v>
      </c>
      <c r="AW895" s="74" t="n">
        <v>13.41432</v>
      </c>
      <c r="AX895" s="75" t="n">
        <v>100</v>
      </c>
      <c r="AY895" s="71" t="n">
        <v>8900000</v>
      </c>
      <c r="AZ895" s="71" t="n">
        <v>8900000</v>
      </c>
      <c r="BA895" s="71" t="n">
        <v>542358.6</v>
      </c>
      <c r="BB895" s="71" t="n">
        <v>768497.96</v>
      </c>
      <c r="BC895" s="69" t="inlineStr">
        <is>
          <t>Refinance</t>
        </is>
      </c>
      <c r="BD895" s="69" t="inlineStr">
        <is>
          <t>N</t>
        </is>
      </c>
      <c r="BE895" s="71" t="n"/>
      <c r="BF895" s="71" t="n"/>
      <c r="BG895" s="71" t="n"/>
      <c r="BH895" s="71" t="n">
        <v>0</v>
      </c>
      <c r="BI895" s="71" t="n">
        <v>0</v>
      </c>
      <c r="BJ895" s="69" t="inlineStr">
        <is>
          <t>N</t>
        </is>
      </c>
      <c r="BK895" s="69" t="inlineStr">
        <is>
          <t>Hotel Covell LLC.</t>
        </is>
      </c>
      <c r="BL895" s="75" t="n">
        <v>25.98</v>
      </c>
      <c r="BM895" s="73" t="n">
        <v>47514</v>
      </c>
      <c r="BN895" s="69" t="inlineStr">
        <is>
          <t>Daniel Mellinkoff; Daniel Mellinkoff, Trustee of the Daniel Mellinkoff Trust, dated 01/31/2013</t>
        </is>
      </c>
      <c r="BO895" s="69" t="inlineStr">
        <is>
          <t>Cantor Commercial Real Estate Lending</t>
        </is>
      </c>
      <c r="BP895" s="69" t="inlineStr">
        <is>
          <t>Midland Loan Services</t>
        </is>
      </c>
      <c r="BQ895" s="69" t="inlineStr">
        <is>
          <t>K-Star Asset Management LLC</t>
        </is>
      </c>
      <c r="BR895" s="69" t="n"/>
      <c r="BS895" s="73" t="n">
        <v>46276</v>
      </c>
      <c r="BU895" s="76">
        <f>IF($C895="","",IFERROR(INDEX(dmName,MATCH($C895,dmID,0)),"Unmapped"))</f>
        <v/>
      </c>
      <c r="BV895" s="76">
        <f>IF($C895="","",IFERROR(INDEX(dmEntity,MATCH($C895,dmID,0)),"Unmapped"))</f>
        <v/>
      </c>
      <c r="BW895" s="77">
        <f>IF($C895="","",IFERROR(INDEX(dmVintage,MATCH($C895,dmID,0)),""))</f>
        <v/>
      </c>
      <c r="BX895" s="78">
        <f>IFERROR(INDEX(dmInclude,MATCH($C895,dmID,0)),0)</f>
        <v/>
      </c>
      <c r="BY895" s="78">
        <f>IF(N($I895)&gt;0,1,0)</f>
        <v/>
      </c>
      <c r="BZ895" s="76">
        <f>IF($AJ895="","Other / Leased Fee",IFERROR(INDEX(mapPTGroup,MATCH(LEFT(TRIM($AJ895),2),mapPTCode,0)),"Other / Leased Fee"))</f>
        <v/>
      </c>
      <c r="CA895" s="76">
        <f>IF(TRIM($AF895&amp;"")="","NR",LEFT(TRIM($AF895),2))</f>
        <v/>
      </c>
      <c r="CB895" s="76">
        <f>IFERROR(LOOKUP(2,1/(LEFT(TRIM($AI895&amp;""),LEN(mapRegion))=mapRegion),mapRegion),"Not Reported")</f>
        <v/>
      </c>
      <c r="CC895" s="76">
        <f>IF($BY895=0,"",IF(TRIM($W895&amp;"")="REO","REO",IF(TRIM($W895&amp;"")="FC","Foreclosure",IF(TRIM($W895&amp;"")="90+","90+ Days Delinquent",IF(TRIM($W895&amp;"")="60","60 Days Delinquent",IF(TRIM($W895&amp;"")="30","30 Days Delinquent",IF($X895="Non-Performing Matured Balloon","Non-Performing Matured Balloon",IF(OR($X895="Late Payment But Less Than 30 Days Delinquent",LEFT($X895&amp;"",20)="Payment Not Received"),"Late / In Grace (&lt;30 Days)",IF($X895="Performing Matured Balloon","Performing Matured Balloon","Current")))))))))</f>
        <v/>
      </c>
      <c r="CD895" s="78">
        <f>IF(OR($CC895="REO",$CC895="Foreclosure",$CC895="90+ Days Delinquent",$CC895="60 Days Delinquent",$CC895="30 Days Delinquent",$CC895="Non-Performing Matured Balloon"),1,0)</f>
        <v/>
      </c>
      <c r="CE895" s="76">
        <f>IF($AB895="Currently special serv","Currently Specially Serviced",IF($AB895="Returned to master serv","Previously Specially Serviced","Never Specially Serviced"))</f>
        <v/>
      </c>
      <c r="CF895" s="78">
        <f>IF($CE895="Currently Specially Serviced",1,0)</f>
        <v/>
      </c>
      <c r="CG895" s="76">
        <f>IF($AA895="Yes","Currently on Watchlist",IF($AA895="Previously","Previously on Watchlist","Never on Watchlist"))</f>
        <v/>
      </c>
      <c r="CH895" s="78">
        <f>IF($CG895="Currently on Watchlist",1,0)</f>
        <v/>
      </c>
      <c r="CI895" s="76">
        <f>IF($Z895="Full Defeasance","Fully Defeased",IF($Z895="Portion Of Loan Previously Defeased","Partially Defeased",IF($Z895="Defeasance Not Allowable","Not Defeased (Not Permitted)","Not Defeased")))</f>
        <v/>
      </c>
      <c r="CJ895" s="78">
        <f>IF($CI895="Fully Defeased",1,0)</f>
        <v/>
      </c>
      <c r="CK895" s="76">
        <f>IF($R895="IO","Full IO",IF(LEFT($R895&amp;"",7)="IO then","Partial IO","Amortizing"))</f>
        <v/>
      </c>
      <c r="CL895" s="78">
        <f>IF($CK895="Full IO",1,0)</f>
        <v/>
      </c>
      <c r="CM895" s="78">
        <f>IF($CK895="Partial IO",1,0)</f>
        <v/>
      </c>
      <c r="CN895" s="76">
        <f>IF(LEFT($F895&amp;"",10)="SPLIT_LOAN","Pari Passu Split","Standalone")</f>
        <v/>
      </c>
      <c r="CO895" s="78">
        <f>IF($CN895="Pari Passu Split",1,0)</f>
        <v/>
      </c>
      <c r="CP895" s="77">
        <f>IF(ISNUMBER($T895),YEAR($T895),"")</f>
        <v/>
      </c>
      <c r="CQ895" s="79">
        <f>IF(ISNUMBER($V895),$V895,IF(ISNUMBER($U895),$U895,""))</f>
        <v/>
      </c>
      <c r="CR895" s="77">
        <f>IF(ISNUMBER($CQ895),YEAR($CQ895),"")</f>
        <v/>
      </c>
      <c r="CS895" s="78">
        <f>IF(ISNUMBER($M895),MAX(0,$M895),IF(TRIM($M895&amp;"")="matured",0,""))</f>
        <v/>
      </c>
      <c r="CT895" s="78">
        <f>IF(AND(ISNUMBER($CS895),N($CS895)&lt;=mMatWindow),1,0)</f>
        <v/>
      </c>
      <c r="CU895" s="80">
        <f>IF(ISNUMBER($J895),$J895/100,"")</f>
        <v/>
      </c>
      <c r="CV895" s="81">
        <f>IF(ISNUMBER($AQ895),$AQ895,"")</f>
        <v/>
      </c>
      <c r="CW895" s="81">
        <f>IF(ISNUMBER($AR895),$AR895,"")</f>
        <v/>
      </c>
      <c r="CX895" s="82">
        <f>IF(ISNUMBER($AS895),$AS895/100,"")</f>
        <v/>
      </c>
      <c r="CY895" s="82">
        <f>IF(ISNUMBER($AT895),$AT895/100,"")</f>
        <v/>
      </c>
      <c r="CZ895" s="82">
        <f>IF(ISNUMBER($AU895),$AU895/100,"")</f>
        <v/>
      </c>
      <c r="DA895" s="82">
        <f>IF(ISNUMBER($AV895),$AV895/100,"")</f>
        <v/>
      </c>
      <c r="DB895" s="82">
        <f>IF(ISNUMBER($AW895),$AW895/100,"")</f>
        <v/>
      </c>
      <c r="DC895" s="82">
        <f>IF(ISNUMBER($AX895),$AX895/100,"")</f>
        <v/>
      </c>
      <c r="DD895" s="77">
        <f>IFERROR(VALUE(LEFT(TRIM($AO895&amp;""),4)),"")</f>
        <v/>
      </c>
      <c r="DE895" s="78">
        <f>IF(AND($BY895=1,$BX895=1,OR(fDeal="All Deals",$BU895=fDeal),OR(fEntity="All Entities",$BV895=fEntity),OR(fPType="All Property Types",$BZ895=fPType),OR(fDefeased="Include",$CJ895=0)),1,0)</f>
        <v/>
      </c>
      <c r="DF895" s="83">
        <f>$DE895*N($I895)</f>
        <v/>
      </c>
      <c r="DG895" s="78">
        <f>IF($DE895=1,IF(COUNTIFS($F$8:$F895,$F895,$DE$8:$DE895,1)=1,1,0),0)</f>
        <v/>
      </c>
      <c r="DH895" s="83">
        <f>IF($DG895=1,SUMIFS($DF$8:$DF$1600,$F$8:$F$1600,$F895),0)</f>
        <v/>
      </c>
      <c r="DI895" s="78">
        <f>IF($DG895=1,COUNTIFS($F$8:$F$1600,$F895,$DE$8:$DE$1600,1),0)</f>
        <v/>
      </c>
      <c r="DJ895" s="84">
        <f>IF($DG895=1,$DH895+(100000-ROW())/mTieBreak,0)</f>
        <v/>
      </c>
    </row>
    <row r="896">
      <c r="B896" s="68" t="n">
        <v>40</v>
      </c>
      <c r="C896" s="69" t="inlineStr">
        <is>
          <t>MSC18L1</t>
        </is>
      </c>
      <c r="D896" s="69" t="inlineStr">
        <is>
          <t>40.000</t>
        </is>
      </c>
      <c r="E896" s="69" t="inlineStr">
        <is>
          <t>21300 Eureka</t>
        </is>
      </c>
      <c r="F896" s="69" t="inlineStr">
        <is>
          <t>LNMSC18L1-40.000</t>
        </is>
      </c>
      <c r="G896" s="70" t="n"/>
      <c r="H896" s="71" t="n">
        <v>5200000</v>
      </c>
      <c r="I896" s="71" t="n">
        <v>4562439.180000001</v>
      </c>
      <c r="J896" s="72" t="n">
        <v>5.487</v>
      </c>
      <c r="K896" s="69" t="inlineStr">
        <is>
          <t>Fixed rate</t>
        </is>
      </c>
      <c r="L896" s="68" t="n">
        <v>120</v>
      </c>
      <c r="M896" s="68" t="n">
        <v>25</v>
      </c>
      <c r="N896" s="68" t="n">
        <v>360</v>
      </c>
      <c r="O896" s="68" t="n"/>
      <c r="P896" s="68" t="n"/>
      <c r="Q896" s="68" t="n">
        <v>95</v>
      </c>
      <c r="R896" s="69" t="n"/>
      <c r="S896" s="69" t="inlineStr">
        <is>
          <t>No</t>
        </is>
      </c>
      <c r="T896" s="73" t="n">
        <v>43374</v>
      </c>
      <c r="U896" s="73" t="n">
        <v>47032</v>
      </c>
      <c r="V896" s="73" t="n"/>
      <c r="W896" s="69" t="n"/>
      <c r="X896" s="69" t="inlineStr">
        <is>
          <t>Current</t>
        </is>
      </c>
      <c r="Y896" s="68" t="n"/>
      <c r="Z896" s="69" t="inlineStr">
        <is>
          <t>No Defeasance Occurred</t>
        </is>
      </c>
      <c r="AA896" s="69" t="inlineStr">
        <is>
          <t>Previously</t>
        </is>
      </c>
      <c r="AB896" s="69" t="inlineStr">
        <is>
          <t>Never special serv</t>
        </is>
      </c>
      <c r="AC896" s="73" t="n"/>
      <c r="AD896" s="69" t="n"/>
      <c r="AE896" s="69" t="n"/>
      <c r="AF896" s="69" t="inlineStr">
        <is>
          <t>MI</t>
        </is>
      </c>
      <c r="AG896" s="69" t="inlineStr">
        <is>
          <t>Taylor</t>
        </is>
      </c>
      <c r="AH896" s="69" t="inlineStr">
        <is>
          <t>Detroit-Warren-Dearborn, MI</t>
        </is>
      </c>
      <c r="AI896" s="69" t="inlineStr">
        <is>
          <t>Midwest / Central East</t>
        </is>
      </c>
      <c r="AJ896" s="69" t="inlineStr">
        <is>
          <t>RT</t>
        </is>
      </c>
      <c r="AK896" s="69" t="inlineStr">
        <is>
          <t>Unanchored</t>
        </is>
      </c>
      <c r="AL896" s="68" t="n">
        <v>1</v>
      </c>
      <c r="AM896" s="68" t="n"/>
      <c r="AN896" s="68" t="n">
        <v>23200</v>
      </c>
      <c r="AO896" s="69" t="inlineStr">
        <is>
          <t>2017</t>
        </is>
      </c>
      <c r="AP896" s="70" t="n">
        <v>2017</v>
      </c>
      <c r="AQ896" s="74" t="n">
        <v>1.39</v>
      </c>
      <c r="AR896" s="74" t="n">
        <v>1.62</v>
      </c>
      <c r="AS896" s="74" t="n">
        <v>67.5</v>
      </c>
      <c r="AT896" s="74" t="n">
        <v>59.25</v>
      </c>
      <c r="AU896" s="74" t="n">
        <v>56.5</v>
      </c>
      <c r="AV896" s="74" t="n">
        <v>9.427087885000001</v>
      </c>
      <c r="AW896" s="74" t="n">
        <v>12.530777451</v>
      </c>
      <c r="AX896" s="75" t="n">
        <v>100</v>
      </c>
      <c r="AY896" s="71" t="n">
        <v>7700000</v>
      </c>
      <c r="AZ896" s="71" t="n">
        <v>7700000</v>
      </c>
      <c r="BA896" s="71" t="n">
        <v>490208.57</v>
      </c>
      <c r="BB896" s="71" t="n">
        <v>571709.1</v>
      </c>
      <c r="BC896" s="69" t="inlineStr">
        <is>
          <t>Refinance</t>
        </is>
      </c>
      <c r="BD896" s="69" t="inlineStr">
        <is>
          <t>N</t>
        </is>
      </c>
      <c r="BE896" s="71" t="n"/>
      <c r="BF896" s="71" t="n"/>
      <c r="BG896" s="71" t="n"/>
      <c r="BH896" s="71" t="n">
        <v>0</v>
      </c>
      <c r="BI896" s="71" t="n">
        <v>0</v>
      </c>
      <c r="BJ896" s="69" t="inlineStr">
        <is>
          <t>N</t>
        </is>
      </c>
      <c r="BK896" s="69" t="inlineStr">
        <is>
          <t>La Z Boy</t>
        </is>
      </c>
      <c r="BL896" s="75" t="n">
        <v>67.23999999999999</v>
      </c>
      <c r="BM896" s="73" t="n">
        <v>48334</v>
      </c>
      <c r="BN896" s="69" t="inlineStr">
        <is>
          <t>Gabriel L. Schuchman</t>
        </is>
      </c>
      <c r="BO896" s="69" t="inlineStr">
        <is>
          <t>Starwood</t>
        </is>
      </c>
      <c r="BP896" s="69" t="inlineStr">
        <is>
          <t>Midland Loan Services</t>
        </is>
      </c>
      <c r="BQ896" s="69" t="inlineStr">
        <is>
          <t>K-Star Asset Management LLC</t>
        </is>
      </c>
      <c r="BR896" s="69" t="n"/>
      <c r="BS896" s="73" t="n">
        <v>46276</v>
      </c>
      <c r="BU896" s="76">
        <f>IF($C896="","",IFERROR(INDEX(dmName,MATCH($C896,dmID,0)),"Unmapped"))</f>
        <v/>
      </c>
      <c r="BV896" s="76">
        <f>IF($C896="","",IFERROR(INDEX(dmEntity,MATCH($C896,dmID,0)),"Unmapped"))</f>
        <v/>
      </c>
      <c r="BW896" s="77">
        <f>IF($C896="","",IFERROR(INDEX(dmVintage,MATCH($C896,dmID,0)),""))</f>
        <v/>
      </c>
      <c r="BX896" s="78">
        <f>IFERROR(INDEX(dmInclude,MATCH($C896,dmID,0)),0)</f>
        <v/>
      </c>
      <c r="BY896" s="78">
        <f>IF(N($I896)&gt;0,1,0)</f>
        <v/>
      </c>
      <c r="BZ896" s="76">
        <f>IF($AJ896="","Other / Leased Fee",IFERROR(INDEX(mapPTGroup,MATCH(LEFT(TRIM($AJ896),2),mapPTCode,0)),"Other / Leased Fee"))</f>
        <v/>
      </c>
      <c r="CA896" s="76">
        <f>IF(TRIM($AF896&amp;"")="","NR",LEFT(TRIM($AF896),2))</f>
        <v/>
      </c>
      <c r="CB896" s="76">
        <f>IFERROR(LOOKUP(2,1/(LEFT(TRIM($AI896&amp;""),LEN(mapRegion))=mapRegion),mapRegion),"Not Reported")</f>
        <v/>
      </c>
      <c r="CC896" s="76">
        <f>IF($BY896=0,"",IF(TRIM($W896&amp;"")="REO","REO",IF(TRIM($W896&amp;"")="FC","Foreclosure",IF(TRIM($W896&amp;"")="90+","90+ Days Delinquent",IF(TRIM($W896&amp;"")="60","60 Days Delinquent",IF(TRIM($W896&amp;"")="30","30 Days Delinquent",IF($X896="Non-Performing Matured Balloon","Non-Performing Matured Balloon",IF(OR($X896="Late Payment But Less Than 30 Days Delinquent",LEFT($X896&amp;"",20)="Payment Not Received"),"Late / In Grace (&lt;30 Days)",IF($X896="Performing Matured Balloon","Performing Matured Balloon","Current")))))))))</f>
        <v/>
      </c>
      <c r="CD896" s="78">
        <f>IF(OR($CC896="REO",$CC896="Foreclosure",$CC896="90+ Days Delinquent",$CC896="60 Days Delinquent",$CC896="30 Days Delinquent",$CC896="Non-Performing Matured Balloon"),1,0)</f>
        <v/>
      </c>
      <c r="CE896" s="76">
        <f>IF($AB896="Currently special serv","Currently Specially Serviced",IF($AB896="Returned to master serv","Previously Specially Serviced","Never Specially Serviced"))</f>
        <v/>
      </c>
      <c r="CF896" s="78">
        <f>IF($CE896="Currently Specially Serviced",1,0)</f>
        <v/>
      </c>
      <c r="CG896" s="76">
        <f>IF($AA896="Yes","Currently on Watchlist",IF($AA896="Previously","Previously on Watchlist","Never on Watchlist"))</f>
        <v/>
      </c>
      <c r="CH896" s="78">
        <f>IF($CG896="Currently on Watchlist",1,0)</f>
        <v/>
      </c>
      <c r="CI896" s="76">
        <f>IF($Z896="Full Defeasance","Fully Defeased",IF($Z896="Portion Of Loan Previously Defeased","Partially Defeased",IF($Z896="Defeasance Not Allowable","Not Defeased (Not Permitted)","Not Defeased")))</f>
        <v/>
      </c>
      <c r="CJ896" s="78">
        <f>IF($CI896="Fully Defeased",1,0)</f>
        <v/>
      </c>
      <c r="CK896" s="76">
        <f>IF($R896="IO","Full IO",IF(LEFT($R896&amp;"",7)="IO then","Partial IO","Amortizing"))</f>
        <v/>
      </c>
      <c r="CL896" s="78">
        <f>IF($CK896="Full IO",1,0)</f>
        <v/>
      </c>
      <c r="CM896" s="78">
        <f>IF($CK896="Partial IO",1,0)</f>
        <v/>
      </c>
      <c r="CN896" s="76">
        <f>IF(LEFT($F896&amp;"",10)="SPLIT_LOAN","Pari Passu Split","Standalone")</f>
        <v/>
      </c>
      <c r="CO896" s="78">
        <f>IF($CN896="Pari Passu Split",1,0)</f>
        <v/>
      </c>
      <c r="CP896" s="77">
        <f>IF(ISNUMBER($T896),YEAR($T896),"")</f>
        <v/>
      </c>
      <c r="CQ896" s="79">
        <f>IF(ISNUMBER($V896),$V896,IF(ISNUMBER($U896),$U896,""))</f>
        <v/>
      </c>
      <c r="CR896" s="77">
        <f>IF(ISNUMBER($CQ896),YEAR($CQ896),"")</f>
        <v/>
      </c>
      <c r="CS896" s="78">
        <f>IF(ISNUMBER($M896),MAX(0,$M896),IF(TRIM($M896&amp;"")="matured",0,""))</f>
        <v/>
      </c>
      <c r="CT896" s="78">
        <f>IF(AND(ISNUMBER($CS896),N($CS896)&lt;=mMatWindow),1,0)</f>
        <v/>
      </c>
      <c r="CU896" s="80">
        <f>IF(ISNUMBER($J896),$J896/100,"")</f>
        <v/>
      </c>
      <c r="CV896" s="81">
        <f>IF(ISNUMBER($AQ896),$AQ896,"")</f>
        <v/>
      </c>
      <c r="CW896" s="81">
        <f>IF(ISNUMBER($AR896),$AR896,"")</f>
        <v/>
      </c>
      <c r="CX896" s="82">
        <f>IF(ISNUMBER($AS896),$AS896/100,"")</f>
        <v/>
      </c>
      <c r="CY896" s="82">
        <f>IF(ISNUMBER($AT896),$AT896/100,"")</f>
        <v/>
      </c>
      <c r="CZ896" s="82">
        <f>IF(ISNUMBER($AU896),$AU896/100,"")</f>
        <v/>
      </c>
      <c r="DA896" s="82">
        <f>IF(ISNUMBER($AV896),$AV896/100,"")</f>
        <v/>
      </c>
      <c r="DB896" s="82">
        <f>IF(ISNUMBER($AW896),$AW896/100,"")</f>
        <v/>
      </c>
      <c r="DC896" s="82">
        <f>IF(ISNUMBER($AX896),$AX896/100,"")</f>
        <v/>
      </c>
      <c r="DD896" s="77">
        <f>IFERROR(VALUE(LEFT(TRIM($AO896&amp;""),4)),"")</f>
        <v/>
      </c>
      <c r="DE896" s="78">
        <f>IF(AND($BY896=1,$BX896=1,OR(fDeal="All Deals",$BU896=fDeal),OR(fEntity="All Entities",$BV896=fEntity),OR(fPType="All Property Types",$BZ896=fPType),OR(fDefeased="Include",$CJ896=0)),1,0)</f>
        <v/>
      </c>
      <c r="DF896" s="83">
        <f>$DE896*N($I896)</f>
        <v/>
      </c>
      <c r="DG896" s="78">
        <f>IF($DE896=1,IF(COUNTIFS($F$8:$F896,$F896,$DE$8:$DE896,1)=1,1,0),0)</f>
        <v/>
      </c>
      <c r="DH896" s="83">
        <f>IF($DG896=1,SUMIFS($DF$8:$DF$1600,$F$8:$F$1600,$F896),0)</f>
        <v/>
      </c>
      <c r="DI896" s="78">
        <f>IF($DG896=1,COUNTIFS($F$8:$F$1600,$F896,$DE$8:$DE$1600,1),0)</f>
        <v/>
      </c>
      <c r="DJ896" s="84">
        <f>IF($DG896=1,$DH896+(100000-ROW())/mTieBreak,0)</f>
        <v/>
      </c>
    </row>
    <row r="897">
      <c r="B897" s="68" t="n">
        <v>41</v>
      </c>
      <c r="C897" s="69" t="inlineStr">
        <is>
          <t>MSC18L1</t>
        </is>
      </c>
      <c r="D897" s="69" t="inlineStr">
        <is>
          <t>41.000</t>
        </is>
      </c>
      <c r="E897" s="69" t="inlineStr">
        <is>
          <t>901 West Madison</t>
        </is>
      </c>
      <c r="F897" s="69" t="inlineStr">
        <is>
          <t>LNMSC18L1-41.000</t>
        </is>
      </c>
      <c r="G897" s="70" t="n"/>
      <c r="H897" s="71" t="n">
        <v>5150000</v>
      </c>
      <c r="I897" s="71" t="n">
        <v>4931197.3199977</v>
      </c>
      <c r="J897" s="72" t="n">
        <v>5.35</v>
      </c>
      <c r="K897" s="69" t="inlineStr">
        <is>
          <t>Fixed rate</t>
        </is>
      </c>
      <c r="L897" s="68" t="n">
        <v>120</v>
      </c>
      <c r="M897" s="68" t="n">
        <v>23</v>
      </c>
      <c r="N897" s="68" t="n">
        <v>420</v>
      </c>
      <c r="O897" s="68" t="n">
        <v>60</v>
      </c>
      <c r="P897" s="68" t="n">
        <v>0</v>
      </c>
      <c r="Q897" s="68" t="n">
        <v>97</v>
      </c>
      <c r="R897" s="69" t="inlineStr">
        <is>
          <t>IO then Amort</t>
        </is>
      </c>
      <c r="S897" s="69" t="inlineStr">
        <is>
          <t>No</t>
        </is>
      </c>
      <c r="T897" s="73" t="n">
        <v>43313</v>
      </c>
      <c r="U897" s="73" t="n">
        <v>46966</v>
      </c>
      <c r="V897" s="73" t="n"/>
      <c r="W897" s="69" t="n"/>
      <c r="X897" s="69" t="inlineStr">
        <is>
          <t>Current</t>
        </is>
      </c>
      <c r="Y897" s="68" t="n"/>
      <c r="Z897" s="69" t="inlineStr">
        <is>
          <t>No Defeasance Occurred</t>
        </is>
      </c>
      <c r="AA897" s="69" t="inlineStr">
        <is>
          <t>Yes</t>
        </is>
      </c>
      <c r="AB897" s="69" t="inlineStr">
        <is>
          <t>Returned to master serv</t>
        </is>
      </c>
      <c r="AC897" s="73" t="n"/>
      <c r="AD897" s="69" t="inlineStr">
        <is>
          <t>Payment Default (all payments excluding Balloon/Maturity Payment)</t>
        </is>
      </c>
      <c r="AE897" s="69" t="inlineStr">
        <is>
          <t>Resolved</t>
        </is>
      </c>
      <c r="AF897" s="69" t="inlineStr">
        <is>
          <t>IL</t>
        </is>
      </c>
      <c r="AG897" s="69" t="inlineStr">
        <is>
          <t>Chicago</t>
        </is>
      </c>
      <c r="AH897" s="69" t="inlineStr">
        <is>
          <t>Chicago-Naperville-Elgin, IL-IN</t>
        </is>
      </c>
      <c r="AI897" s="69" t="inlineStr">
        <is>
          <t>Midwest / Central East</t>
        </is>
      </c>
      <c r="AJ897" s="69" t="inlineStr">
        <is>
          <t>RT</t>
        </is>
      </c>
      <c r="AK897" s="69" t="n"/>
      <c r="AL897" s="68" t="n">
        <v>1</v>
      </c>
      <c r="AM897" s="68" t="n"/>
      <c r="AN897" s="68" t="n">
        <v>16052</v>
      </c>
      <c r="AO897" s="69" t="inlineStr">
        <is>
          <t>2007</t>
        </is>
      </c>
      <c r="AP897" s="70" t="n">
        <v>2007</v>
      </c>
      <c r="AQ897" s="74" t="n">
        <v>1.27</v>
      </c>
      <c r="AR897" s="74" t="n">
        <v>1.24</v>
      </c>
      <c r="AS897" s="74" t="n">
        <v>67.8</v>
      </c>
      <c r="AT897" s="74" t="n">
        <v>66.64</v>
      </c>
      <c r="AU897" s="74" t="n">
        <v>62.9</v>
      </c>
      <c r="AV897" s="74" t="n">
        <v>8.491554950999999</v>
      </c>
      <c r="AW897" s="74" t="n">
        <v>9.802151661</v>
      </c>
      <c r="AX897" s="75" t="n">
        <v>77</v>
      </c>
      <c r="AY897" s="71" t="n">
        <v>7600000</v>
      </c>
      <c r="AZ897" s="71" t="n">
        <v>7400000</v>
      </c>
      <c r="BA897" s="71" t="n">
        <v>437315.08</v>
      </c>
      <c r="BB897" s="71" t="n">
        <v>427965.21</v>
      </c>
      <c r="BC897" s="69" t="inlineStr">
        <is>
          <t>Refinance</t>
        </is>
      </c>
      <c r="BD897" s="69" t="inlineStr">
        <is>
          <t>N</t>
        </is>
      </c>
      <c r="BE897" s="71" t="n"/>
      <c r="BF897" s="71" t="n"/>
      <c r="BG897" s="71" t="n"/>
      <c r="BH897" s="71" t="n">
        <v>0</v>
      </c>
      <c r="BI897" s="71" t="n">
        <v>0</v>
      </c>
      <c r="BJ897" s="69" t="inlineStr">
        <is>
          <t>N</t>
        </is>
      </c>
      <c r="BK897" s="69" t="inlineStr">
        <is>
          <t>Dominos Pizza</t>
        </is>
      </c>
      <c r="BL897" s="75" t="n">
        <v>14.78</v>
      </c>
      <c r="BM897" s="73" t="n">
        <v>46934</v>
      </c>
      <c r="BN897" s="69" t="inlineStr">
        <is>
          <t>Hymie Mishan</t>
        </is>
      </c>
      <c r="BO897" s="69" t="inlineStr">
        <is>
          <t>Morgan Stanley</t>
        </is>
      </c>
      <c r="BP897" s="69" t="inlineStr">
        <is>
          <t>Midland Loan Services</t>
        </is>
      </c>
      <c r="BQ897" s="69" t="inlineStr">
        <is>
          <t>K-Star Asset Management LLC</t>
        </is>
      </c>
      <c r="BR897" s="69" t="n"/>
      <c r="BS897" s="73" t="n">
        <v>46276</v>
      </c>
      <c r="BU897" s="76">
        <f>IF($C897="","",IFERROR(INDEX(dmName,MATCH($C897,dmID,0)),"Unmapped"))</f>
        <v/>
      </c>
      <c r="BV897" s="76">
        <f>IF($C897="","",IFERROR(INDEX(dmEntity,MATCH($C897,dmID,0)),"Unmapped"))</f>
        <v/>
      </c>
      <c r="BW897" s="77">
        <f>IF($C897="","",IFERROR(INDEX(dmVintage,MATCH($C897,dmID,0)),""))</f>
        <v/>
      </c>
      <c r="BX897" s="78">
        <f>IFERROR(INDEX(dmInclude,MATCH($C897,dmID,0)),0)</f>
        <v/>
      </c>
      <c r="BY897" s="78">
        <f>IF(N($I897)&gt;0,1,0)</f>
        <v/>
      </c>
      <c r="BZ897" s="76">
        <f>IF($AJ897="","Other / Leased Fee",IFERROR(INDEX(mapPTGroup,MATCH(LEFT(TRIM($AJ897),2),mapPTCode,0)),"Other / Leased Fee"))</f>
        <v/>
      </c>
      <c r="CA897" s="76">
        <f>IF(TRIM($AF897&amp;"")="","NR",LEFT(TRIM($AF897),2))</f>
        <v/>
      </c>
      <c r="CB897" s="76">
        <f>IFERROR(LOOKUP(2,1/(LEFT(TRIM($AI897&amp;""),LEN(mapRegion))=mapRegion),mapRegion),"Not Reported")</f>
        <v/>
      </c>
      <c r="CC897" s="76">
        <f>IF($BY897=0,"",IF(TRIM($W897&amp;"")="REO","REO",IF(TRIM($W897&amp;"")="FC","Foreclosure",IF(TRIM($W897&amp;"")="90+","90+ Days Delinquent",IF(TRIM($W897&amp;"")="60","60 Days Delinquent",IF(TRIM($W897&amp;"")="30","30 Days Delinquent",IF($X897="Non-Performing Matured Balloon","Non-Performing Matured Balloon",IF(OR($X897="Late Payment But Less Than 30 Days Delinquent",LEFT($X897&amp;"",20)="Payment Not Received"),"Late / In Grace (&lt;30 Days)",IF($X897="Performing Matured Balloon","Performing Matured Balloon","Current")))))))))</f>
        <v/>
      </c>
      <c r="CD897" s="78">
        <f>IF(OR($CC897="REO",$CC897="Foreclosure",$CC897="90+ Days Delinquent",$CC897="60 Days Delinquent",$CC897="30 Days Delinquent",$CC897="Non-Performing Matured Balloon"),1,0)</f>
        <v/>
      </c>
      <c r="CE897" s="76">
        <f>IF($AB897="Currently special serv","Currently Specially Serviced",IF($AB897="Returned to master serv","Previously Specially Serviced","Never Specially Serviced"))</f>
        <v/>
      </c>
      <c r="CF897" s="78">
        <f>IF($CE897="Currently Specially Serviced",1,0)</f>
        <v/>
      </c>
      <c r="CG897" s="76">
        <f>IF($AA897="Yes","Currently on Watchlist",IF($AA897="Previously","Previously on Watchlist","Never on Watchlist"))</f>
        <v/>
      </c>
      <c r="CH897" s="78">
        <f>IF($CG897="Currently on Watchlist",1,0)</f>
        <v/>
      </c>
      <c r="CI897" s="76">
        <f>IF($Z897="Full Defeasance","Fully Defeased",IF($Z897="Portion Of Loan Previously Defeased","Partially Defeased",IF($Z897="Defeasance Not Allowable","Not Defeased (Not Permitted)","Not Defeased")))</f>
        <v/>
      </c>
      <c r="CJ897" s="78">
        <f>IF($CI897="Fully Defeased",1,0)</f>
        <v/>
      </c>
      <c r="CK897" s="76">
        <f>IF($R897="IO","Full IO",IF(LEFT($R897&amp;"",7)="IO then","Partial IO","Amortizing"))</f>
        <v/>
      </c>
      <c r="CL897" s="78">
        <f>IF($CK897="Full IO",1,0)</f>
        <v/>
      </c>
      <c r="CM897" s="78">
        <f>IF($CK897="Partial IO",1,0)</f>
        <v/>
      </c>
      <c r="CN897" s="76">
        <f>IF(LEFT($F897&amp;"",10)="SPLIT_LOAN","Pari Passu Split","Standalone")</f>
        <v/>
      </c>
      <c r="CO897" s="78">
        <f>IF($CN897="Pari Passu Split",1,0)</f>
        <v/>
      </c>
      <c r="CP897" s="77">
        <f>IF(ISNUMBER($T897),YEAR($T897),"")</f>
        <v/>
      </c>
      <c r="CQ897" s="79">
        <f>IF(ISNUMBER($V897),$V897,IF(ISNUMBER($U897),$U897,""))</f>
        <v/>
      </c>
      <c r="CR897" s="77">
        <f>IF(ISNUMBER($CQ897),YEAR($CQ897),"")</f>
        <v/>
      </c>
      <c r="CS897" s="78">
        <f>IF(ISNUMBER($M897),MAX(0,$M897),IF(TRIM($M897&amp;"")="matured",0,""))</f>
        <v/>
      </c>
      <c r="CT897" s="78">
        <f>IF(AND(ISNUMBER($CS897),N($CS897)&lt;=mMatWindow),1,0)</f>
        <v/>
      </c>
      <c r="CU897" s="80">
        <f>IF(ISNUMBER($J897),$J897/100,"")</f>
        <v/>
      </c>
      <c r="CV897" s="81">
        <f>IF(ISNUMBER($AQ897),$AQ897,"")</f>
        <v/>
      </c>
      <c r="CW897" s="81">
        <f>IF(ISNUMBER($AR897),$AR897,"")</f>
        <v/>
      </c>
      <c r="CX897" s="82">
        <f>IF(ISNUMBER($AS897),$AS897/100,"")</f>
        <v/>
      </c>
      <c r="CY897" s="82">
        <f>IF(ISNUMBER($AT897),$AT897/100,"")</f>
        <v/>
      </c>
      <c r="CZ897" s="82">
        <f>IF(ISNUMBER($AU897),$AU897/100,"")</f>
        <v/>
      </c>
      <c r="DA897" s="82">
        <f>IF(ISNUMBER($AV897),$AV897/100,"")</f>
        <v/>
      </c>
      <c r="DB897" s="82">
        <f>IF(ISNUMBER($AW897),$AW897/100,"")</f>
        <v/>
      </c>
      <c r="DC897" s="82">
        <f>IF(ISNUMBER($AX897),$AX897/100,"")</f>
        <v/>
      </c>
      <c r="DD897" s="77">
        <f>IFERROR(VALUE(LEFT(TRIM($AO897&amp;""),4)),"")</f>
        <v/>
      </c>
      <c r="DE897" s="78">
        <f>IF(AND($BY897=1,$BX897=1,OR(fDeal="All Deals",$BU897=fDeal),OR(fEntity="All Entities",$BV897=fEntity),OR(fPType="All Property Types",$BZ897=fPType),OR(fDefeased="Include",$CJ897=0)),1,0)</f>
        <v/>
      </c>
      <c r="DF897" s="83">
        <f>$DE897*N($I897)</f>
        <v/>
      </c>
      <c r="DG897" s="78">
        <f>IF($DE897=1,IF(COUNTIFS($F$8:$F897,$F897,$DE$8:$DE897,1)=1,1,0),0)</f>
        <v/>
      </c>
      <c r="DH897" s="83">
        <f>IF($DG897=1,SUMIFS($DF$8:$DF$1600,$F$8:$F$1600,$F897),0)</f>
        <v/>
      </c>
      <c r="DI897" s="78">
        <f>IF($DG897=1,COUNTIFS($F$8:$F$1600,$F897,$DE$8:$DE$1600,1),0)</f>
        <v/>
      </c>
      <c r="DJ897" s="84">
        <f>IF($DG897=1,$DH897+(100000-ROW())/mTieBreak,0)</f>
        <v/>
      </c>
    </row>
    <row r="898">
      <c r="B898" s="68" t="n">
        <v>42</v>
      </c>
      <c r="C898" s="69" t="inlineStr">
        <is>
          <t>MSC18L1</t>
        </is>
      </c>
      <c r="D898" s="69" t="inlineStr">
        <is>
          <t>42.000</t>
        </is>
      </c>
      <c r="E898" s="69" t="inlineStr">
        <is>
          <t>Dollar Self Storage - Glendale</t>
        </is>
      </c>
      <c r="F898" s="69" t="inlineStr">
        <is>
          <t>LNMSC18L1-42.000</t>
        </is>
      </c>
      <c r="G898" s="70" t="n"/>
      <c r="H898" s="71" t="n">
        <v>5000000</v>
      </c>
      <c r="I898" s="71" t="n">
        <v>4302376.98</v>
      </c>
      <c r="J898" s="72" t="n">
        <v>4.93</v>
      </c>
      <c r="K898" s="69" t="inlineStr">
        <is>
          <t>Fixed rate</t>
        </is>
      </c>
      <c r="L898" s="68" t="n">
        <v>120</v>
      </c>
      <c r="M898" s="68" t="n">
        <v>22</v>
      </c>
      <c r="N898" s="68" t="n">
        <v>360</v>
      </c>
      <c r="O898" s="68" t="n"/>
      <c r="P898" s="68" t="n"/>
      <c r="Q898" s="68" t="n">
        <v>98</v>
      </c>
      <c r="R898" s="69" t="n"/>
      <c r="S898" s="69" t="inlineStr">
        <is>
          <t>No</t>
        </is>
      </c>
      <c r="T898" s="73" t="n">
        <v>43282</v>
      </c>
      <c r="U898" s="73" t="n">
        <v>46935</v>
      </c>
      <c r="V898" s="73" t="n"/>
      <c r="W898" s="69" t="n"/>
      <c r="X898" s="69" t="inlineStr">
        <is>
          <t>Current</t>
        </is>
      </c>
      <c r="Y898" s="68" t="n"/>
      <c r="Z898" s="69" t="inlineStr">
        <is>
          <t>No Defeasance Occurred</t>
        </is>
      </c>
      <c r="AA898" s="69" t="n"/>
      <c r="AB898" s="69" t="inlineStr">
        <is>
          <t>Never special serv</t>
        </is>
      </c>
      <c r="AC898" s="73" t="n"/>
      <c r="AD898" s="69" t="n"/>
      <c r="AE898" s="69" t="n"/>
      <c r="AF898" s="69" t="inlineStr">
        <is>
          <t>AZ</t>
        </is>
      </c>
      <c r="AG898" s="69" t="inlineStr">
        <is>
          <t>Glendale</t>
        </is>
      </c>
      <c r="AH898" s="69" t="inlineStr">
        <is>
          <t>Phoenix-Mesa-Chandler, AZ</t>
        </is>
      </c>
      <c r="AI898" s="69" t="inlineStr">
        <is>
          <t>West / Mountain</t>
        </is>
      </c>
      <c r="AJ898" s="69" t="inlineStr">
        <is>
          <t>SS</t>
        </is>
      </c>
      <c r="AK898" s="69" t="n"/>
      <c r="AL898" s="68" t="n">
        <v>1</v>
      </c>
      <c r="AM898" s="68" t="n"/>
      <c r="AN898" s="68" t="n">
        <v>62290</v>
      </c>
      <c r="AO898" s="69" t="inlineStr">
        <is>
          <t>2015</t>
        </is>
      </c>
      <c r="AP898" s="70" t="n">
        <v>2015</v>
      </c>
      <c r="AQ898" s="74" t="n">
        <v>1.37</v>
      </c>
      <c r="AR898" s="74" t="n">
        <v>1.95</v>
      </c>
      <c r="AS898" s="74" t="n">
        <v>52.6</v>
      </c>
      <c r="AT898" s="74" t="n">
        <v>45.43</v>
      </c>
      <c r="AU898" s="74" t="n">
        <v>43.42</v>
      </c>
      <c r="AV898" s="74" t="n">
        <v>8.78058</v>
      </c>
      <c r="AW898" s="74" t="n">
        <v>14.484063179</v>
      </c>
      <c r="AX898" s="75" t="n">
        <v>91</v>
      </c>
      <c r="AY898" s="71" t="n">
        <v>9470000</v>
      </c>
      <c r="AZ898" s="71" t="n">
        <v>9470000</v>
      </c>
      <c r="BA898" s="71" t="n">
        <v>439029</v>
      </c>
      <c r="BB898" s="71" t="n">
        <v>623159</v>
      </c>
      <c r="BC898" s="69" t="inlineStr">
        <is>
          <t>Refinance</t>
        </is>
      </c>
      <c r="BD898" s="69" t="inlineStr">
        <is>
          <t>N</t>
        </is>
      </c>
      <c r="BE898" s="71" t="n"/>
      <c r="BF898" s="71" t="n"/>
      <c r="BG898" s="71" t="n"/>
      <c r="BH898" s="71" t="n">
        <v>0</v>
      </c>
      <c r="BI898" s="71" t="n">
        <v>0</v>
      </c>
      <c r="BJ898" s="69" t="inlineStr">
        <is>
          <t>N</t>
        </is>
      </c>
      <c r="BK898" s="69" t="n"/>
      <c r="BL898" s="75" t="n"/>
      <c r="BM898" s="73" t="n"/>
      <c r="BN898" s="69" t="inlineStr">
        <is>
          <t>The Thomson Family trust, Dated June 18, 1997, as may have been amended and restated; John C. Thomson</t>
        </is>
      </c>
      <c r="BO898" s="69" t="inlineStr">
        <is>
          <t>KeyBank</t>
        </is>
      </c>
      <c r="BP898" s="69" t="inlineStr">
        <is>
          <t>Midland Loan Services</t>
        </is>
      </c>
      <c r="BQ898" s="69" t="inlineStr">
        <is>
          <t>K-Star Asset Management LLC</t>
        </is>
      </c>
      <c r="BR898" s="69" t="n"/>
      <c r="BS898" s="73" t="n">
        <v>46276</v>
      </c>
      <c r="BU898" s="76">
        <f>IF($C898="","",IFERROR(INDEX(dmName,MATCH($C898,dmID,0)),"Unmapped"))</f>
        <v/>
      </c>
      <c r="BV898" s="76">
        <f>IF($C898="","",IFERROR(INDEX(dmEntity,MATCH($C898,dmID,0)),"Unmapped"))</f>
        <v/>
      </c>
      <c r="BW898" s="77">
        <f>IF($C898="","",IFERROR(INDEX(dmVintage,MATCH($C898,dmID,0)),""))</f>
        <v/>
      </c>
      <c r="BX898" s="78">
        <f>IFERROR(INDEX(dmInclude,MATCH($C898,dmID,0)),0)</f>
        <v/>
      </c>
      <c r="BY898" s="78">
        <f>IF(N($I898)&gt;0,1,0)</f>
        <v/>
      </c>
      <c r="BZ898" s="76">
        <f>IF($AJ898="","Other / Leased Fee",IFERROR(INDEX(mapPTGroup,MATCH(LEFT(TRIM($AJ898),2),mapPTCode,0)),"Other / Leased Fee"))</f>
        <v/>
      </c>
      <c r="CA898" s="76">
        <f>IF(TRIM($AF898&amp;"")="","NR",LEFT(TRIM($AF898),2))</f>
        <v/>
      </c>
      <c r="CB898" s="76">
        <f>IFERROR(LOOKUP(2,1/(LEFT(TRIM($AI898&amp;""),LEN(mapRegion))=mapRegion),mapRegion),"Not Reported")</f>
        <v/>
      </c>
      <c r="CC898" s="76">
        <f>IF($BY898=0,"",IF(TRIM($W898&amp;"")="REO","REO",IF(TRIM($W898&amp;"")="FC","Foreclosure",IF(TRIM($W898&amp;"")="90+","90+ Days Delinquent",IF(TRIM($W898&amp;"")="60","60 Days Delinquent",IF(TRIM($W898&amp;"")="30","30 Days Delinquent",IF($X898="Non-Performing Matured Balloon","Non-Performing Matured Balloon",IF(OR($X898="Late Payment But Less Than 30 Days Delinquent",LEFT($X898&amp;"",20)="Payment Not Received"),"Late / In Grace (&lt;30 Days)",IF($X898="Performing Matured Balloon","Performing Matured Balloon","Current")))))))))</f>
        <v/>
      </c>
      <c r="CD898" s="78">
        <f>IF(OR($CC898="REO",$CC898="Foreclosure",$CC898="90+ Days Delinquent",$CC898="60 Days Delinquent",$CC898="30 Days Delinquent",$CC898="Non-Performing Matured Balloon"),1,0)</f>
        <v/>
      </c>
      <c r="CE898" s="76">
        <f>IF($AB898="Currently special serv","Currently Specially Serviced",IF($AB898="Returned to master serv","Previously Specially Serviced","Never Specially Serviced"))</f>
        <v/>
      </c>
      <c r="CF898" s="78">
        <f>IF($CE898="Currently Specially Serviced",1,0)</f>
        <v/>
      </c>
      <c r="CG898" s="76">
        <f>IF($AA898="Yes","Currently on Watchlist",IF($AA898="Previously","Previously on Watchlist","Never on Watchlist"))</f>
        <v/>
      </c>
      <c r="CH898" s="78">
        <f>IF($CG898="Currently on Watchlist",1,0)</f>
        <v/>
      </c>
      <c r="CI898" s="76">
        <f>IF($Z898="Full Defeasance","Fully Defeased",IF($Z898="Portion Of Loan Previously Defeased","Partially Defeased",IF($Z898="Defeasance Not Allowable","Not Defeased (Not Permitted)","Not Defeased")))</f>
        <v/>
      </c>
      <c r="CJ898" s="78">
        <f>IF($CI898="Fully Defeased",1,0)</f>
        <v/>
      </c>
      <c r="CK898" s="76">
        <f>IF($R898="IO","Full IO",IF(LEFT($R898&amp;"",7)="IO then","Partial IO","Amortizing"))</f>
        <v/>
      </c>
      <c r="CL898" s="78">
        <f>IF($CK898="Full IO",1,0)</f>
        <v/>
      </c>
      <c r="CM898" s="78">
        <f>IF($CK898="Partial IO",1,0)</f>
        <v/>
      </c>
      <c r="CN898" s="76">
        <f>IF(LEFT($F898&amp;"",10)="SPLIT_LOAN","Pari Passu Split","Standalone")</f>
        <v/>
      </c>
      <c r="CO898" s="78">
        <f>IF($CN898="Pari Passu Split",1,0)</f>
        <v/>
      </c>
      <c r="CP898" s="77">
        <f>IF(ISNUMBER($T898),YEAR($T898),"")</f>
        <v/>
      </c>
      <c r="CQ898" s="79">
        <f>IF(ISNUMBER($V898),$V898,IF(ISNUMBER($U898),$U898,""))</f>
        <v/>
      </c>
      <c r="CR898" s="77">
        <f>IF(ISNUMBER($CQ898),YEAR($CQ898),"")</f>
        <v/>
      </c>
      <c r="CS898" s="78">
        <f>IF(ISNUMBER($M898),MAX(0,$M898),IF(TRIM($M898&amp;"")="matured",0,""))</f>
        <v/>
      </c>
      <c r="CT898" s="78">
        <f>IF(AND(ISNUMBER($CS898),N($CS898)&lt;=mMatWindow),1,0)</f>
        <v/>
      </c>
      <c r="CU898" s="80">
        <f>IF(ISNUMBER($J898),$J898/100,"")</f>
        <v/>
      </c>
      <c r="CV898" s="81">
        <f>IF(ISNUMBER($AQ898),$AQ898,"")</f>
        <v/>
      </c>
      <c r="CW898" s="81">
        <f>IF(ISNUMBER($AR898),$AR898,"")</f>
        <v/>
      </c>
      <c r="CX898" s="82">
        <f>IF(ISNUMBER($AS898),$AS898/100,"")</f>
        <v/>
      </c>
      <c r="CY898" s="82">
        <f>IF(ISNUMBER($AT898),$AT898/100,"")</f>
        <v/>
      </c>
      <c r="CZ898" s="82">
        <f>IF(ISNUMBER($AU898),$AU898/100,"")</f>
        <v/>
      </c>
      <c r="DA898" s="82">
        <f>IF(ISNUMBER($AV898),$AV898/100,"")</f>
        <v/>
      </c>
      <c r="DB898" s="82">
        <f>IF(ISNUMBER($AW898),$AW898/100,"")</f>
        <v/>
      </c>
      <c r="DC898" s="82">
        <f>IF(ISNUMBER($AX898),$AX898/100,"")</f>
        <v/>
      </c>
      <c r="DD898" s="77">
        <f>IFERROR(VALUE(LEFT(TRIM($AO898&amp;""),4)),"")</f>
        <v/>
      </c>
      <c r="DE898" s="78">
        <f>IF(AND($BY898=1,$BX898=1,OR(fDeal="All Deals",$BU898=fDeal),OR(fEntity="All Entities",$BV898=fEntity),OR(fPType="All Property Types",$BZ898=fPType),OR(fDefeased="Include",$CJ898=0)),1,0)</f>
        <v/>
      </c>
      <c r="DF898" s="83">
        <f>$DE898*N($I898)</f>
        <v/>
      </c>
      <c r="DG898" s="78">
        <f>IF($DE898=1,IF(COUNTIFS($F$8:$F898,$F898,$DE$8:$DE898,1)=1,1,0),0)</f>
        <v/>
      </c>
      <c r="DH898" s="83">
        <f>IF($DG898=1,SUMIFS($DF$8:$DF$1600,$F$8:$F$1600,$F898),0)</f>
        <v/>
      </c>
      <c r="DI898" s="78">
        <f>IF($DG898=1,COUNTIFS($F$8:$F$1600,$F898,$DE$8:$DE$1600,1),0)</f>
        <v/>
      </c>
      <c r="DJ898" s="84">
        <f>IF($DG898=1,$DH898+(100000-ROW())/mTieBreak,0)</f>
        <v/>
      </c>
    </row>
    <row r="899">
      <c r="B899" s="68" t="n">
        <v>43</v>
      </c>
      <c r="C899" s="69" t="inlineStr">
        <is>
          <t>MSC18L1</t>
        </is>
      </c>
      <c r="D899" s="69" t="inlineStr">
        <is>
          <t>43.000</t>
        </is>
      </c>
      <c r="E899" s="69" t="inlineStr">
        <is>
          <t>4234 Ella Boulevard</t>
        </is>
      </c>
      <c r="F899" s="69" t="inlineStr">
        <is>
          <t>LNMSC18L1-43.000</t>
        </is>
      </c>
      <c r="G899" s="70" t="n"/>
      <c r="H899" s="71" t="n">
        <v>4625000</v>
      </c>
      <c r="I899" s="71" t="n">
        <v>4432697.579998251</v>
      </c>
      <c r="J899" s="72" t="n">
        <v>5.32</v>
      </c>
      <c r="K899" s="69" t="inlineStr">
        <is>
          <t>Fixed rate</t>
        </is>
      </c>
      <c r="L899" s="68" t="n">
        <v>120</v>
      </c>
      <c r="M899" s="68" t="n">
        <v>24</v>
      </c>
      <c r="N899" s="68" t="n">
        <v>420</v>
      </c>
      <c r="O899" s="68" t="n">
        <v>60</v>
      </c>
      <c r="P899" s="68" t="n">
        <v>0</v>
      </c>
      <c r="Q899" s="68" t="n">
        <v>96</v>
      </c>
      <c r="R899" s="69" t="inlineStr">
        <is>
          <t>IO then Amort</t>
        </is>
      </c>
      <c r="S899" s="69" t="inlineStr">
        <is>
          <t>No</t>
        </is>
      </c>
      <c r="T899" s="73" t="n">
        <v>43344</v>
      </c>
      <c r="U899" s="73" t="n">
        <v>47002</v>
      </c>
      <c r="V899" s="73" t="n"/>
      <c r="W899" s="69" t="n"/>
      <c r="X899" s="69" t="inlineStr">
        <is>
          <t>Current</t>
        </is>
      </c>
      <c r="Y899" s="68" t="n"/>
      <c r="Z899" s="69" t="inlineStr">
        <is>
          <t>No Defeasance Occurred</t>
        </is>
      </c>
      <c r="AA899" s="69" t="inlineStr">
        <is>
          <t>Yes</t>
        </is>
      </c>
      <c r="AB899" s="69" t="inlineStr">
        <is>
          <t>Never special serv</t>
        </is>
      </c>
      <c r="AC899" s="73" t="n"/>
      <c r="AD899" s="69" t="n"/>
      <c r="AE899" s="69" t="n"/>
      <c r="AF899" s="69" t="inlineStr">
        <is>
          <t>TX</t>
        </is>
      </c>
      <c r="AG899" s="69" t="inlineStr">
        <is>
          <t>Houston</t>
        </is>
      </c>
      <c r="AH899" s="69" t="inlineStr">
        <is>
          <t>Houston-Pasadena-The Woodlands, TX</t>
        </is>
      </c>
      <c r="AI899" s="69" t="inlineStr">
        <is>
          <t>South / Central West</t>
        </is>
      </c>
      <c r="AJ899" s="69" t="inlineStr">
        <is>
          <t>RT</t>
        </is>
      </c>
      <c r="AK899" s="69" t="inlineStr">
        <is>
          <t>Unanchored</t>
        </is>
      </c>
      <c r="AL899" s="68" t="n">
        <v>1</v>
      </c>
      <c r="AM899" s="68" t="n"/>
      <c r="AN899" s="68" t="n">
        <v>20760</v>
      </c>
      <c r="AO899" s="69" t="inlineStr">
        <is>
          <t>1968</t>
        </is>
      </c>
      <c r="AP899" s="70" t="n">
        <v>1968</v>
      </c>
      <c r="AQ899" s="74" t="n">
        <v>1.42</v>
      </c>
      <c r="AR899" s="74" t="n">
        <v>1.76</v>
      </c>
      <c r="AS899" s="74" t="n">
        <v>65.09999999999999</v>
      </c>
      <c r="AT899" s="74" t="n">
        <v>62.43</v>
      </c>
      <c r="AU899" s="74" t="n">
        <v>60.5</v>
      </c>
      <c r="AV899" s="74" t="n">
        <v>9.504838054</v>
      </c>
      <c r="AW899" s="74" t="n">
        <v>12.268338866</v>
      </c>
      <c r="AX899" s="75" t="n">
        <v>100</v>
      </c>
      <c r="AY899" s="71" t="n">
        <v>7100000</v>
      </c>
      <c r="AZ899" s="71" t="n">
        <v>7100000</v>
      </c>
      <c r="BA899" s="71" t="n">
        <v>439598.76</v>
      </c>
      <c r="BB899" s="71" t="n">
        <v>542768.6</v>
      </c>
      <c r="BC899" s="69" t="inlineStr">
        <is>
          <t>Acquisition</t>
        </is>
      </c>
      <c r="BD899" s="69" t="inlineStr">
        <is>
          <t>N</t>
        </is>
      </c>
      <c r="BE899" s="71" t="n"/>
      <c r="BF899" s="71" t="n"/>
      <c r="BG899" s="71" t="n"/>
      <c r="BH899" s="71" t="n">
        <v>0</v>
      </c>
      <c r="BI899" s="71" t="n">
        <v>0</v>
      </c>
      <c r="BJ899" s="69" t="inlineStr">
        <is>
          <t>N</t>
        </is>
      </c>
      <c r="BK899" s="69" t="inlineStr">
        <is>
          <t>bahama mama</t>
        </is>
      </c>
      <c r="BL899" s="75" t="n">
        <v>16.42</v>
      </c>
      <c r="BM899" s="73" t="n">
        <v>48883</v>
      </c>
      <c r="BN899" s="69" t="inlineStr">
        <is>
          <t>Anna L. Winter</t>
        </is>
      </c>
      <c r="BO899" s="69" t="inlineStr">
        <is>
          <t>Starwood</t>
        </is>
      </c>
      <c r="BP899" s="69" t="inlineStr">
        <is>
          <t>Midland Loan Services</t>
        </is>
      </c>
      <c r="BQ899" s="69" t="inlineStr">
        <is>
          <t>K-Star Asset Management LLC</t>
        </is>
      </c>
      <c r="BR899" s="69" t="n"/>
      <c r="BS899" s="73" t="n">
        <v>46276</v>
      </c>
      <c r="BU899" s="76">
        <f>IF($C899="","",IFERROR(INDEX(dmName,MATCH($C899,dmID,0)),"Unmapped"))</f>
        <v/>
      </c>
      <c r="BV899" s="76">
        <f>IF($C899="","",IFERROR(INDEX(dmEntity,MATCH($C899,dmID,0)),"Unmapped"))</f>
        <v/>
      </c>
      <c r="BW899" s="77">
        <f>IF($C899="","",IFERROR(INDEX(dmVintage,MATCH($C899,dmID,0)),""))</f>
        <v/>
      </c>
      <c r="BX899" s="78">
        <f>IFERROR(INDEX(dmInclude,MATCH($C899,dmID,0)),0)</f>
        <v/>
      </c>
      <c r="BY899" s="78">
        <f>IF(N($I899)&gt;0,1,0)</f>
        <v/>
      </c>
      <c r="BZ899" s="76">
        <f>IF($AJ899="","Other / Leased Fee",IFERROR(INDEX(mapPTGroup,MATCH(LEFT(TRIM($AJ899),2),mapPTCode,0)),"Other / Leased Fee"))</f>
        <v/>
      </c>
      <c r="CA899" s="76">
        <f>IF(TRIM($AF899&amp;"")="","NR",LEFT(TRIM($AF899),2))</f>
        <v/>
      </c>
      <c r="CB899" s="76">
        <f>IFERROR(LOOKUP(2,1/(LEFT(TRIM($AI899&amp;""),LEN(mapRegion))=mapRegion),mapRegion),"Not Reported")</f>
        <v/>
      </c>
      <c r="CC899" s="76">
        <f>IF($BY899=0,"",IF(TRIM($W899&amp;"")="REO","REO",IF(TRIM($W899&amp;"")="FC","Foreclosure",IF(TRIM($W899&amp;"")="90+","90+ Days Delinquent",IF(TRIM($W899&amp;"")="60","60 Days Delinquent",IF(TRIM($W899&amp;"")="30","30 Days Delinquent",IF($X899="Non-Performing Matured Balloon","Non-Performing Matured Balloon",IF(OR($X899="Late Payment But Less Than 30 Days Delinquent",LEFT($X899&amp;"",20)="Payment Not Received"),"Late / In Grace (&lt;30 Days)",IF($X899="Performing Matured Balloon","Performing Matured Balloon","Current")))))))))</f>
        <v/>
      </c>
      <c r="CD899" s="78">
        <f>IF(OR($CC899="REO",$CC899="Foreclosure",$CC899="90+ Days Delinquent",$CC899="60 Days Delinquent",$CC899="30 Days Delinquent",$CC899="Non-Performing Matured Balloon"),1,0)</f>
        <v/>
      </c>
      <c r="CE899" s="76">
        <f>IF($AB899="Currently special serv","Currently Specially Serviced",IF($AB899="Returned to master serv","Previously Specially Serviced","Never Specially Serviced"))</f>
        <v/>
      </c>
      <c r="CF899" s="78">
        <f>IF($CE899="Currently Specially Serviced",1,0)</f>
        <v/>
      </c>
      <c r="CG899" s="76">
        <f>IF($AA899="Yes","Currently on Watchlist",IF($AA899="Previously","Previously on Watchlist","Never on Watchlist"))</f>
        <v/>
      </c>
      <c r="CH899" s="78">
        <f>IF($CG899="Currently on Watchlist",1,0)</f>
        <v/>
      </c>
      <c r="CI899" s="76">
        <f>IF($Z899="Full Defeasance","Fully Defeased",IF($Z899="Portion Of Loan Previously Defeased","Partially Defeased",IF($Z899="Defeasance Not Allowable","Not Defeased (Not Permitted)","Not Defeased")))</f>
        <v/>
      </c>
      <c r="CJ899" s="78">
        <f>IF($CI899="Fully Defeased",1,0)</f>
        <v/>
      </c>
      <c r="CK899" s="76">
        <f>IF($R899="IO","Full IO",IF(LEFT($R899&amp;"",7)="IO then","Partial IO","Amortizing"))</f>
        <v/>
      </c>
      <c r="CL899" s="78">
        <f>IF($CK899="Full IO",1,0)</f>
        <v/>
      </c>
      <c r="CM899" s="78">
        <f>IF($CK899="Partial IO",1,0)</f>
        <v/>
      </c>
      <c r="CN899" s="76">
        <f>IF(LEFT($F899&amp;"",10)="SPLIT_LOAN","Pari Passu Split","Standalone")</f>
        <v/>
      </c>
      <c r="CO899" s="78">
        <f>IF($CN899="Pari Passu Split",1,0)</f>
        <v/>
      </c>
      <c r="CP899" s="77">
        <f>IF(ISNUMBER($T899),YEAR($T899),"")</f>
        <v/>
      </c>
      <c r="CQ899" s="79">
        <f>IF(ISNUMBER($V899),$V899,IF(ISNUMBER($U899),$U899,""))</f>
        <v/>
      </c>
      <c r="CR899" s="77">
        <f>IF(ISNUMBER($CQ899),YEAR($CQ899),"")</f>
        <v/>
      </c>
      <c r="CS899" s="78">
        <f>IF(ISNUMBER($M899),MAX(0,$M899),IF(TRIM($M899&amp;"")="matured",0,""))</f>
        <v/>
      </c>
      <c r="CT899" s="78">
        <f>IF(AND(ISNUMBER($CS899),N($CS899)&lt;=mMatWindow),1,0)</f>
        <v/>
      </c>
      <c r="CU899" s="80">
        <f>IF(ISNUMBER($J899),$J899/100,"")</f>
        <v/>
      </c>
      <c r="CV899" s="81">
        <f>IF(ISNUMBER($AQ899),$AQ899,"")</f>
        <v/>
      </c>
      <c r="CW899" s="81">
        <f>IF(ISNUMBER($AR899),$AR899,"")</f>
        <v/>
      </c>
      <c r="CX899" s="82">
        <f>IF(ISNUMBER($AS899),$AS899/100,"")</f>
        <v/>
      </c>
      <c r="CY899" s="82">
        <f>IF(ISNUMBER($AT899),$AT899/100,"")</f>
        <v/>
      </c>
      <c r="CZ899" s="82">
        <f>IF(ISNUMBER($AU899),$AU899/100,"")</f>
        <v/>
      </c>
      <c r="DA899" s="82">
        <f>IF(ISNUMBER($AV899),$AV899/100,"")</f>
        <v/>
      </c>
      <c r="DB899" s="82">
        <f>IF(ISNUMBER($AW899),$AW899/100,"")</f>
        <v/>
      </c>
      <c r="DC899" s="82">
        <f>IF(ISNUMBER($AX899),$AX899/100,"")</f>
        <v/>
      </c>
      <c r="DD899" s="77">
        <f>IFERROR(VALUE(LEFT(TRIM($AO899&amp;""),4)),"")</f>
        <v/>
      </c>
      <c r="DE899" s="78">
        <f>IF(AND($BY899=1,$BX899=1,OR(fDeal="All Deals",$BU899=fDeal),OR(fEntity="All Entities",$BV899=fEntity),OR(fPType="All Property Types",$BZ899=fPType),OR(fDefeased="Include",$CJ899=0)),1,0)</f>
        <v/>
      </c>
      <c r="DF899" s="83">
        <f>$DE899*N($I899)</f>
        <v/>
      </c>
      <c r="DG899" s="78">
        <f>IF($DE899=1,IF(COUNTIFS($F$8:$F899,$F899,$DE$8:$DE899,1)=1,1,0),0)</f>
        <v/>
      </c>
      <c r="DH899" s="83">
        <f>IF($DG899=1,SUMIFS($DF$8:$DF$1600,$F$8:$F$1600,$F899),0)</f>
        <v/>
      </c>
      <c r="DI899" s="78">
        <f>IF($DG899=1,COUNTIFS($F$8:$F$1600,$F899,$DE$8:$DE$1600,1),0)</f>
        <v/>
      </c>
      <c r="DJ899" s="84">
        <f>IF($DG899=1,$DH899+(100000-ROW())/mTieBreak,0)</f>
        <v/>
      </c>
    </row>
    <row r="900">
      <c r="B900" s="68" t="n">
        <v>44</v>
      </c>
      <c r="C900" s="69" t="inlineStr">
        <is>
          <t>MSC18L1</t>
        </is>
      </c>
      <c r="D900" s="69" t="inlineStr">
        <is>
          <t>44.000</t>
        </is>
      </c>
      <c r="E900" s="69" t="inlineStr">
        <is>
          <t>Spectrum Commerce Center</t>
        </is>
      </c>
      <c r="F900" s="69" t="inlineStr">
        <is>
          <t>LNMSC18L1-44.000</t>
        </is>
      </c>
      <c r="G900" s="70" t="n"/>
      <c r="H900" s="71" t="n">
        <v>4600000</v>
      </c>
      <c r="I900" s="71" t="n">
        <v>4600000</v>
      </c>
      <c r="J900" s="72" t="n">
        <v>5</v>
      </c>
      <c r="K900" s="69" t="inlineStr">
        <is>
          <t>Fixed rate</t>
        </is>
      </c>
      <c r="L900" s="68" t="n">
        <v>120</v>
      </c>
      <c r="M900" s="68" t="n">
        <v>23</v>
      </c>
      <c r="N900" s="68" t="n">
        <v>120</v>
      </c>
      <c r="O900" s="68" t="n">
        <v>120</v>
      </c>
      <c r="P900" s="68" t="n">
        <v>23</v>
      </c>
      <c r="Q900" s="68" t="n">
        <v>97</v>
      </c>
      <c r="R900" s="69" t="inlineStr">
        <is>
          <t>IO</t>
        </is>
      </c>
      <c r="S900" s="69" t="inlineStr">
        <is>
          <t>Yes</t>
        </is>
      </c>
      <c r="T900" s="73" t="n">
        <v>43313</v>
      </c>
      <c r="U900" s="73" t="n">
        <v>46966</v>
      </c>
      <c r="V900" s="73" t="n"/>
      <c r="W900" s="69" t="n"/>
      <c r="X900" s="69" t="inlineStr">
        <is>
          <t>Current</t>
        </is>
      </c>
      <c r="Y900" s="68" t="n"/>
      <c r="Z900" s="69" t="inlineStr">
        <is>
          <t>Full Defeasance</t>
        </is>
      </c>
      <c r="AA900" s="69" t="inlineStr">
        <is>
          <t>Previously</t>
        </is>
      </c>
      <c r="AB900" s="69" t="inlineStr">
        <is>
          <t>Never special serv</t>
        </is>
      </c>
      <c r="AC900" s="73" t="n"/>
      <c r="AD900" s="69" t="n"/>
      <c r="AE900" s="69" t="n"/>
      <c r="AF900" s="69" t="inlineStr">
        <is>
          <t>OH</t>
        </is>
      </c>
      <c r="AG900" s="69" t="inlineStr">
        <is>
          <t>Westerville</t>
        </is>
      </c>
      <c r="AH900" s="69" t="inlineStr">
        <is>
          <t>Columbus, OH</t>
        </is>
      </c>
      <c r="AI900" s="69" t="inlineStr">
        <is>
          <t>Midwest / Central East</t>
        </is>
      </c>
      <c r="AJ900" s="69" t="inlineStr">
        <is>
          <t>IN</t>
        </is>
      </c>
      <c r="AK900" s="69" t="inlineStr">
        <is>
          <t>Flex</t>
        </is>
      </c>
      <c r="AL900" s="68" t="n">
        <v>1</v>
      </c>
      <c r="AM900" s="68" t="n"/>
      <c r="AN900" s="68" t="n">
        <v>135717</v>
      </c>
      <c r="AO900" s="69" t="inlineStr">
        <is>
          <t>1985</t>
        </is>
      </c>
      <c r="AP900" s="70" t="n">
        <v>1985</v>
      </c>
      <c r="AQ900" s="74" t="n">
        <v>2.2</v>
      </c>
      <c r="AR900" s="74" t="n">
        <v>4.38</v>
      </c>
      <c r="AS900" s="74" t="n">
        <v>60.1</v>
      </c>
      <c r="AT900" s="74" t="n">
        <v>60.13</v>
      </c>
      <c r="AU900" s="74" t="n">
        <v>60.1</v>
      </c>
      <c r="AV900" s="74" t="n">
        <v>11.176326087</v>
      </c>
      <c r="AW900" s="74" t="n">
        <v>25.10461587</v>
      </c>
      <c r="AX900" s="75" t="n">
        <v>92</v>
      </c>
      <c r="AY900" s="71" t="n">
        <v>7650000</v>
      </c>
      <c r="AZ900" s="71" t="n">
        <v>7650000</v>
      </c>
      <c r="BA900" s="71" t="n">
        <v>514111</v>
      </c>
      <c r="BB900" s="71" t="n">
        <v>1021375.68</v>
      </c>
      <c r="BC900" s="69" t="inlineStr">
        <is>
          <t>Refinance</t>
        </is>
      </c>
      <c r="BD900" s="69" t="inlineStr">
        <is>
          <t>N</t>
        </is>
      </c>
      <c r="BE900" s="71" t="n"/>
      <c r="BF900" s="71" t="n"/>
      <c r="BG900" s="71" t="n"/>
      <c r="BH900" s="71" t="n">
        <v>0</v>
      </c>
      <c r="BI900" s="71" t="n">
        <v>0</v>
      </c>
      <c r="BJ900" s="69" t="inlineStr">
        <is>
          <t>N</t>
        </is>
      </c>
      <c r="BK900" s="69" t="inlineStr">
        <is>
          <t>Surveying and Mapping Inc</t>
        </is>
      </c>
      <c r="BL900" s="75" t="n">
        <v>13.58</v>
      </c>
      <c r="BM900" s="73" t="n">
        <v>46965</v>
      </c>
      <c r="BN900" s="69" t="inlineStr">
        <is>
          <t>Francis Greenburger</t>
        </is>
      </c>
      <c r="BO900" s="69" t="inlineStr">
        <is>
          <t>Morgan Stanley</t>
        </is>
      </c>
      <c r="BP900" s="69" t="inlineStr">
        <is>
          <t>Midland Loan Services</t>
        </is>
      </c>
      <c r="BQ900" s="69" t="inlineStr">
        <is>
          <t>K-Star Asset Management LLC</t>
        </is>
      </c>
      <c r="BR900" s="69" t="n"/>
      <c r="BS900" s="73" t="n">
        <v>46276</v>
      </c>
      <c r="BU900" s="76">
        <f>IF($C900="","",IFERROR(INDEX(dmName,MATCH($C900,dmID,0)),"Unmapped"))</f>
        <v/>
      </c>
      <c r="BV900" s="76">
        <f>IF($C900="","",IFERROR(INDEX(dmEntity,MATCH($C900,dmID,0)),"Unmapped"))</f>
        <v/>
      </c>
      <c r="BW900" s="77">
        <f>IF($C900="","",IFERROR(INDEX(dmVintage,MATCH($C900,dmID,0)),""))</f>
        <v/>
      </c>
      <c r="BX900" s="78">
        <f>IFERROR(INDEX(dmInclude,MATCH($C900,dmID,0)),0)</f>
        <v/>
      </c>
      <c r="BY900" s="78">
        <f>IF(N($I900)&gt;0,1,0)</f>
        <v/>
      </c>
      <c r="BZ900" s="76">
        <f>IF($AJ900="","Other / Leased Fee",IFERROR(INDEX(mapPTGroup,MATCH(LEFT(TRIM($AJ900),2),mapPTCode,0)),"Other / Leased Fee"))</f>
        <v/>
      </c>
      <c r="CA900" s="76">
        <f>IF(TRIM($AF900&amp;"")="","NR",LEFT(TRIM($AF900),2))</f>
        <v/>
      </c>
      <c r="CB900" s="76">
        <f>IFERROR(LOOKUP(2,1/(LEFT(TRIM($AI900&amp;""),LEN(mapRegion))=mapRegion),mapRegion),"Not Reported")</f>
        <v/>
      </c>
      <c r="CC900" s="76">
        <f>IF($BY900=0,"",IF(TRIM($W900&amp;"")="REO","REO",IF(TRIM($W900&amp;"")="FC","Foreclosure",IF(TRIM($W900&amp;"")="90+","90+ Days Delinquent",IF(TRIM($W900&amp;"")="60","60 Days Delinquent",IF(TRIM($W900&amp;"")="30","30 Days Delinquent",IF($X900="Non-Performing Matured Balloon","Non-Performing Matured Balloon",IF(OR($X900="Late Payment But Less Than 30 Days Delinquent",LEFT($X900&amp;"",20)="Payment Not Received"),"Late / In Grace (&lt;30 Days)",IF($X900="Performing Matured Balloon","Performing Matured Balloon","Current")))))))))</f>
        <v/>
      </c>
      <c r="CD900" s="78">
        <f>IF(OR($CC900="REO",$CC900="Foreclosure",$CC900="90+ Days Delinquent",$CC900="60 Days Delinquent",$CC900="30 Days Delinquent",$CC900="Non-Performing Matured Balloon"),1,0)</f>
        <v/>
      </c>
      <c r="CE900" s="76">
        <f>IF($AB900="Currently special serv","Currently Specially Serviced",IF($AB900="Returned to master serv","Previously Specially Serviced","Never Specially Serviced"))</f>
        <v/>
      </c>
      <c r="CF900" s="78">
        <f>IF($CE900="Currently Specially Serviced",1,0)</f>
        <v/>
      </c>
      <c r="CG900" s="76">
        <f>IF($AA900="Yes","Currently on Watchlist",IF($AA900="Previously","Previously on Watchlist","Never on Watchlist"))</f>
        <v/>
      </c>
      <c r="CH900" s="78">
        <f>IF($CG900="Currently on Watchlist",1,0)</f>
        <v/>
      </c>
      <c r="CI900" s="76">
        <f>IF($Z900="Full Defeasance","Fully Defeased",IF($Z900="Portion Of Loan Previously Defeased","Partially Defeased",IF($Z900="Defeasance Not Allowable","Not Defeased (Not Permitted)","Not Defeased")))</f>
        <v/>
      </c>
      <c r="CJ900" s="78">
        <f>IF($CI900="Fully Defeased",1,0)</f>
        <v/>
      </c>
      <c r="CK900" s="76">
        <f>IF($R900="IO","Full IO",IF(LEFT($R900&amp;"",7)="IO then","Partial IO","Amortizing"))</f>
        <v/>
      </c>
      <c r="CL900" s="78">
        <f>IF($CK900="Full IO",1,0)</f>
        <v/>
      </c>
      <c r="CM900" s="78">
        <f>IF($CK900="Partial IO",1,0)</f>
        <v/>
      </c>
      <c r="CN900" s="76">
        <f>IF(LEFT($F900&amp;"",10)="SPLIT_LOAN","Pari Passu Split","Standalone")</f>
        <v/>
      </c>
      <c r="CO900" s="78">
        <f>IF($CN900="Pari Passu Split",1,0)</f>
        <v/>
      </c>
      <c r="CP900" s="77">
        <f>IF(ISNUMBER($T900),YEAR($T900),"")</f>
        <v/>
      </c>
      <c r="CQ900" s="79">
        <f>IF(ISNUMBER($V900),$V900,IF(ISNUMBER($U900),$U900,""))</f>
        <v/>
      </c>
      <c r="CR900" s="77">
        <f>IF(ISNUMBER($CQ900),YEAR($CQ900),"")</f>
        <v/>
      </c>
      <c r="CS900" s="78">
        <f>IF(ISNUMBER($M900),MAX(0,$M900),IF(TRIM($M900&amp;"")="matured",0,""))</f>
        <v/>
      </c>
      <c r="CT900" s="78">
        <f>IF(AND(ISNUMBER($CS900),N($CS900)&lt;=mMatWindow),1,0)</f>
        <v/>
      </c>
      <c r="CU900" s="80">
        <f>IF(ISNUMBER($J900),$J900/100,"")</f>
        <v/>
      </c>
      <c r="CV900" s="81">
        <f>IF(ISNUMBER($AQ900),$AQ900,"")</f>
        <v/>
      </c>
      <c r="CW900" s="81">
        <f>IF(ISNUMBER($AR900),$AR900,"")</f>
        <v/>
      </c>
      <c r="CX900" s="82">
        <f>IF(ISNUMBER($AS900),$AS900/100,"")</f>
        <v/>
      </c>
      <c r="CY900" s="82">
        <f>IF(ISNUMBER($AT900),$AT900/100,"")</f>
        <v/>
      </c>
      <c r="CZ900" s="82">
        <f>IF(ISNUMBER($AU900),$AU900/100,"")</f>
        <v/>
      </c>
      <c r="DA900" s="82">
        <f>IF(ISNUMBER($AV900),$AV900/100,"")</f>
        <v/>
      </c>
      <c r="DB900" s="82">
        <f>IF(ISNUMBER($AW900),$AW900/100,"")</f>
        <v/>
      </c>
      <c r="DC900" s="82">
        <f>IF(ISNUMBER($AX900),$AX900/100,"")</f>
        <v/>
      </c>
      <c r="DD900" s="77">
        <f>IFERROR(VALUE(LEFT(TRIM($AO900&amp;""),4)),"")</f>
        <v/>
      </c>
      <c r="DE900" s="78">
        <f>IF(AND($BY900=1,$BX900=1,OR(fDeal="All Deals",$BU900=fDeal),OR(fEntity="All Entities",$BV900=fEntity),OR(fPType="All Property Types",$BZ900=fPType),OR(fDefeased="Include",$CJ900=0)),1,0)</f>
        <v/>
      </c>
      <c r="DF900" s="83">
        <f>$DE900*N($I900)</f>
        <v/>
      </c>
      <c r="DG900" s="78">
        <f>IF($DE900=1,IF(COUNTIFS($F$8:$F900,$F900,$DE$8:$DE900,1)=1,1,0),0)</f>
        <v/>
      </c>
      <c r="DH900" s="83">
        <f>IF($DG900=1,SUMIFS($DF$8:$DF$1600,$F$8:$F$1600,$F900),0)</f>
        <v/>
      </c>
      <c r="DI900" s="78">
        <f>IF($DG900=1,COUNTIFS($F$8:$F$1600,$F900,$DE$8:$DE$1600,1),0)</f>
        <v/>
      </c>
      <c r="DJ900" s="84">
        <f>IF($DG900=1,$DH900+(100000-ROW())/mTieBreak,0)</f>
        <v/>
      </c>
    </row>
    <row r="901">
      <c r="B901" s="68" t="n">
        <v>45</v>
      </c>
      <c r="C901" s="69" t="inlineStr">
        <is>
          <t>MSC18L1</t>
        </is>
      </c>
      <c r="D901" s="69" t="inlineStr">
        <is>
          <t>45.000</t>
        </is>
      </c>
      <c r="E901" s="69" t="inlineStr">
        <is>
          <t>Carbondale Center</t>
        </is>
      </c>
      <c r="F901" s="69" t="inlineStr">
        <is>
          <t>LNMSC18L1-45.000</t>
        </is>
      </c>
      <c r="G901" s="70" t="n"/>
      <c r="H901" s="71" t="n">
        <v>3800000</v>
      </c>
      <c r="I901" s="71" t="n">
        <v>3054182.960001</v>
      </c>
      <c r="J901" s="72" t="n">
        <v>4.88</v>
      </c>
      <c r="K901" s="69" t="inlineStr">
        <is>
          <t>Fixed rate</t>
        </is>
      </c>
      <c r="L901" s="68" t="n">
        <v>120</v>
      </c>
      <c r="M901" s="68" t="n">
        <v>23</v>
      </c>
      <c r="N901" s="68" t="n">
        <v>300</v>
      </c>
      <c r="O901" s="68" t="n"/>
      <c r="P901" s="68" t="n"/>
      <c r="Q901" s="68" t="n">
        <v>97</v>
      </c>
      <c r="R901" s="69" t="n"/>
      <c r="S901" s="69" t="inlineStr">
        <is>
          <t>No</t>
        </is>
      </c>
      <c r="T901" s="73" t="n">
        <v>43313</v>
      </c>
      <c r="U901" s="73" t="n">
        <v>46966</v>
      </c>
      <c r="V901" s="73" t="n"/>
      <c r="W901" s="69" t="n"/>
      <c r="X901" s="69" t="inlineStr">
        <is>
          <t>Current</t>
        </is>
      </c>
      <c r="Y901" s="68" t="n"/>
      <c r="Z901" s="69" t="inlineStr">
        <is>
          <t>No Defeasance Occurred</t>
        </is>
      </c>
      <c r="AA901" s="69" t="inlineStr">
        <is>
          <t>Yes</t>
        </is>
      </c>
      <c r="AB901" s="69" t="inlineStr">
        <is>
          <t>Never special serv</t>
        </is>
      </c>
      <c r="AC901" s="73" t="n"/>
      <c r="AD901" s="69" t="n"/>
      <c r="AE901" s="69" t="n"/>
      <c r="AF901" s="69" t="inlineStr">
        <is>
          <t>IL</t>
        </is>
      </c>
      <c r="AG901" s="69" t="inlineStr">
        <is>
          <t>Carbondale</t>
        </is>
      </c>
      <c r="AH901" s="69" t="inlineStr">
        <is>
          <t>Carbondale, IL</t>
        </is>
      </c>
      <c r="AI901" s="69" t="inlineStr">
        <is>
          <t>Midwest / Central East</t>
        </is>
      </c>
      <c r="AJ901" s="69" t="inlineStr">
        <is>
          <t>RT</t>
        </is>
      </c>
      <c r="AK901" s="69" t="inlineStr">
        <is>
          <t>Anchored</t>
        </is>
      </c>
      <c r="AL901" s="68" t="n">
        <v>1</v>
      </c>
      <c r="AM901" s="68" t="n"/>
      <c r="AN901" s="68" t="n">
        <v>59726</v>
      </c>
      <c r="AO901" s="69" t="inlineStr">
        <is>
          <t>1997</t>
        </is>
      </c>
      <c r="AP901" s="70" t="n">
        <v>1997</v>
      </c>
      <c r="AQ901" s="74" t="n">
        <v>1.94</v>
      </c>
      <c r="AR901" s="74" t="n">
        <v>0.92</v>
      </c>
      <c r="AS901" s="74" t="n">
        <v>63.8</v>
      </c>
      <c r="AT901" s="74" t="n">
        <v>51.42</v>
      </c>
      <c r="AU901" s="74" t="n">
        <v>47.8</v>
      </c>
      <c r="AV901" s="74" t="n">
        <v>13.458578947</v>
      </c>
      <c r="AW901" s="74" t="n">
        <v>7.891414927</v>
      </c>
      <c r="AX901" s="75" t="n">
        <v>97</v>
      </c>
      <c r="AY901" s="71" t="n">
        <v>5940000</v>
      </c>
      <c r="AZ901" s="71" t="n">
        <v>5940000</v>
      </c>
      <c r="BA901" s="71" t="n">
        <v>511426</v>
      </c>
      <c r="BB901" s="71" t="n">
        <v>241008.07</v>
      </c>
      <c r="BC901" s="69" t="inlineStr">
        <is>
          <t>Acquisition</t>
        </is>
      </c>
      <c r="BD901" s="69" t="inlineStr">
        <is>
          <t>N</t>
        </is>
      </c>
      <c r="BE901" s="71" t="n"/>
      <c r="BF901" s="71" t="n"/>
      <c r="BG901" s="71" t="n"/>
      <c r="BH901" s="71" t="n">
        <v>0</v>
      </c>
      <c r="BI901" s="71" t="n">
        <v>0</v>
      </c>
      <c r="BJ901" s="69" t="inlineStr">
        <is>
          <t>N</t>
        </is>
      </c>
      <c r="BK901" s="69" t="inlineStr">
        <is>
          <t>Schnuck Markets, Inc.</t>
        </is>
      </c>
      <c r="BL901" s="75" t="n">
        <v>94.98</v>
      </c>
      <c r="BM901" s="73" t="n">
        <v>46625</v>
      </c>
      <c r="BN901" s="69" t="inlineStr">
        <is>
          <t>Kenneth Levy; Glen Una Management Company, Inc</t>
        </is>
      </c>
      <c r="BO901" s="69" t="inlineStr">
        <is>
          <t>Morgan Stanley</t>
        </is>
      </c>
      <c r="BP901" s="69" t="inlineStr">
        <is>
          <t>Midland Loan Services</t>
        </is>
      </c>
      <c r="BQ901" s="69" t="inlineStr">
        <is>
          <t>K-Star Asset Management LLC</t>
        </is>
      </c>
      <c r="BR901" s="69" t="n"/>
      <c r="BS901" s="73" t="n">
        <v>46276</v>
      </c>
      <c r="BU901" s="76">
        <f>IF($C901="","",IFERROR(INDEX(dmName,MATCH($C901,dmID,0)),"Unmapped"))</f>
        <v/>
      </c>
      <c r="BV901" s="76">
        <f>IF($C901="","",IFERROR(INDEX(dmEntity,MATCH($C901,dmID,0)),"Unmapped"))</f>
        <v/>
      </c>
      <c r="BW901" s="77">
        <f>IF($C901="","",IFERROR(INDEX(dmVintage,MATCH($C901,dmID,0)),""))</f>
        <v/>
      </c>
      <c r="BX901" s="78">
        <f>IFERROR(INDEX(dmInclude,MATCH($C901,dmID,0)),0)</f>
        <v/>
      </c>
      <c r="BY901" s="78">
        <f>IF(N($I901)&gt;0,1,0)</f>
        <v/>
      </c>
      <c r="BZ901" s="76">
        <f>IF($AJ901="","Other / Leased Fee",IFERROR(INDEX(mapPTGroup,MATCH(LEFT(TRIM($AJ901),2),mapPTCode,0)),"Other / Leased Fee"))</f>
        <v/>
      </c>
      <c r="CA901" s="76">
        <f>IF(TRIM($AF901&amp;"")="","NR",LEFT(TRIM($AF901),2))</f>
        <v/>
      </c>
      <c r="CB901" s="76">
        <f>IFERROR(LOOKUP(2,1/(LEFT(TRIM($AI901&amp;""),LEN(mapRegion))=mapRegion),mapRegion),"Not Reported")</f>
        <v/>
      </c>
      <c r="CC901" s="76">
        <f>IF($BY901=0,"",IF(TRIM($W901&amp;"")="REO","REO",IF(TRIM($W901&amp;"")="FC","Foreclosure",IF(TRIM($W901&amp;"")="90+","90+ Days Delinquent",IF(TRIM($W901&amp;"")="60","60 Days Delinquent",IF(TRIM($W901&amp;"")="30","30 Days Delinquent",IF($X901="Non-Performing Matured Balloon","Non-Performing Matured Balloon",IF(OR($X901="Late Payment But Less Than 30 Days Delinquent",LEFT($X901&amp;"",20)="Payment Not Received"),"Late / In Grace (&lt;30 Days)",IF($X901="Performing Matured Balloon","Performing Matured Balloon","Current")))))))))</f>
        <v/>
      </c>
      <c r="CD901" s="78">
        <f>IF(OR($CC901="REO",$CC901="Foreclosure",$CC901="90+ Days Delinquent",$CC901="60 Days Delinquent",$CC901="30 Days Delinquent",$CC901="Non-Performing Matured Balloon"),1,0)</f>
        <v/>
      </c>
      <c r="CE901" s="76">
        <f>IF($AB901="Currently special serv","Currently Specially Serviced",IF($AB901="Returned to master serv","Previously Specially Serviced","Never Specially Serviced"))</f>
        <v/>
      </c>
      <c r="CF901" s="78">
        <f>IF($CE901="Currently Specially Serviced",1,0)</f>
        <v/>
      </c>
      <c r="CG901" s="76">
        <f>IF($AA901="Yes","Currently on Watchlist",IF($AA901="Previously","Previously on Watchlist","Never on Watchlist"))</f>
        <v/>
      </c>
      <c r="CH901" s="78">
        <f>IF($CG901="Currently on Watchlist",1,0)</f>
        <v/>
      </c>
      <c r="CI901" s="76">
        <f>IF($Z901="Full Defeasance","Fully Defeased",IF($Z901="Portion Of Loan Previously Defeased","Partially Defeased",IF($Z901="Defeasance Not Allowable","Not Defeased (Not Permitted)","Not Defeased")))</f>
        <v/>
      </c>
      <c r="CJ901" s="78">
        <f>IF($CI901="Fully Defeased",1,0)</f>
        <v/>
      </c>
      <c r="CK901" s="76">
        <f>IF($R901="IO","Full IO",IF(LEFT($R901&amp;"",7)="IO then","Partial IO","Amortizing"))</f>
        <v/>
      </c>
      <c r="CL901" s="78">
        <f>IF($CK901="Full IO",1,0)</f>
        <v/>
      </c>
      <c r="CM901" s="78">
        <f>IF($CK901="Partial IO",1,0)</f>
        <v/>
      </c>
      <c r="CN901" s="76">
        <f>IF(LEFT($F901&amp;"",10)="SPLIT_LOAN","Pari Passu Split","Standalone")</f>
        <v/>
      </c>
      <c r="CO901" s="78">
        <f>IF($CN901="Pari Passu Split",1,0)</f>
        <v/>
      </c>
      <c r="CP901" s="77">
        <f>IF(ISNUMBER($T901),YEAR($T901),"")</f>
        <v/>
      </c>
      <c r="CQ901" s="79">
        <f>IF(ISNUMBER($V901),$V901,IF(ISNUMBER($U901),$U901,""))</f>
        <v/>
      </c>
      <c r="CR901" s="77">
        <f>IF(ISNUMBER($CQ901),YEAR($CQ901),"")</f>
        <v/>
      </c>
      <c r="CS901" s="78">
        <f>IF(ISNUMBER($M901),MAX(0,$M901),IF(TRIM($M901&amp;"")="matured",0,""))</f>
        <v/>
      </c>
      <c r="CT901" s="78">
        <f>IF(AND(ISNUMBER($CS901),N($CS901)&lt;=mMatWindow),1,0)</f>
        <v/>
      </c>
      <c r="CU901" s="80">
        <f>IF(ISNUMBER($J901),$J901/100,"")</f>
        <v/>
      </c>
      <c r="CV901" s="81">
        <f>IF(ISNUMBER($AQ901),$AQ901,"")</f>
        <v/>
      </c>
      <c r="CW901" s="81">
        <f>IF(ISNUMBER($AR901),$AR901,"")</f>
        <v/>
      </c>
      <c r="CX901" s="82">
        <f>IF(ISNUMBER($AS901),$AS901/100,"")</f>
        <v/>
      </c>
      <c r="CY901" s="82">
        <f>IF(ISNUMBER($AT901),$AT901/100,"")</f>
        <v/>
      </c>
      <c r="CZ901" s="82">
        <f>IF(ISNUMBER($AU901),$AU901/100,"")</f>
        <v/>
      </c>
      <c r="DA901" s="82">
        <f>IF(ISNUMBER($AV901),$AV901/100,"")</f>
        <v/>
      </c>
      <c r="DB901" s="82">
        <f>IF(ISNUMBER($AW901),$AW901/100,"")</f>
        <v/>
      </c>
      <c r="DC901" s="82">
        <f>IF(ISNUMBER($AX901),$AX901/100,"")</f>
        <v/>
      </c>
      <c r="DD901" s="77">
        <f>IFERROR(VALUE(LEFT(TRIM($AO901&amp;""),4)),"")</f>
        <v/>
      </c>
      <c r="DE901" s="78">
        <f>IF(AND($BY901=1,$BX901=1,OR(fDeal="All Deals",$BU901=fDeal),OR(fEntity="All Entities",$BV901=fEntity),OR(fPType="All Property Types",$BZ901=fPType),OR(fDefeased="Include",$CJ901=0)),1,0)</f>
        <v/>
      </c>
      <c r="DF901" s="83">
        <f>$DE901*N($I901)</f>
        <v/>
      </c>
      <c r="DG901" s="78">
        <f>IF($DE901=1,IF(COUNTIFS($F$8:$F901,$F901,$DE$8:$DE901,1)=1,1,0),0)</f>
        <v/>
      </c>
      <c r="DH901" s="83">
        <f>IF($DG901=1,SUMIFS($DF$8:$DF$1600,$F$8:$F$1600,$F901),0)</f>
        <v/>
      </c>
      <c r="DI901" s="78">
        <f>IF($DG901=1,COUNTIFS($F$8:$F$1600,$F901,$DE$8:$DE$1600,1),0)</f>
        <v/>
      </c>
      <c r="DJ901" s="84">
        <f>IF($DG901=1,$DH901+(100000-ROW())/mTieBreak,0)</f>
        <v/>
      </c>
    </row>
    <row r="902">
      <c r="B902" s="68" t="n">
        <v>46</v>
      </c>
      <c r="C902" s="69" t="inlineStr">
        <is>
          <t>MSC18L1</t>
        </is>
      </c>
      <c r="D902" s="69" t="inlineStr">
        <is>
          <t>46.000</t>
        </is>
      </c>
      <c r="E902" s="69" t="inlineStr">
        <is>
          <t>396 Cromwell Ave Rocky Hill</t>
        </is>
      </c>
      <c r="F902" s="69" t="inlineStr">
        <is>
          <t>LNMSC18L1-46.000</t>
        </is>
      </c>
      <c r="G902" s="70" t="n"/>
      <c r="H902" s="71" t="n">
        <v>3500000</v>
      </c>
      <c r="I902" s="71" t="n">
        <v>3500000</v>
      </c>
      <c r="J902" s="72" t="n">
        <v>5.27</v>
      </c>
      <c r="K902" s="69" t="inlineStr">
        <is>
          <t>Fixed rate</t>
        </is>
      </c>
      <c r="L902" s="68" t="n">
        <v>120</v>
      </c>
      <c r="M902" s="68" t="n">
        <v>24</v>
      </c>
      <c r="N902" s="68" t="n">
        <v>120</v>
      </c>
      <c r="O902" s="68" t="n">
        <v>120</v>
      </c>
      <c r="P902" s="68" t="n">
        <v>24</v>
      </c>
      <c r="Q902" s="68" t="n">
        <v>96</v>
      </c>
      <c r="R902" s="69" t="inlineStr">
        <is>
          <t>IO</t>
        </is>
      </c>
      <c r="S902" s="69" t="inlineStr">
        <is>
          <t>Yes</t>
        </is>
      </c>
      <c r="T902" s="73" t="n">
        <v>43344</v>
      </c>
      <c r="U902" s="73" t="n">
        <v>46997</v>
      </c>
      <c r="V902" s="73" t="n"/>
      <c r="W902" s="69" t="n"/>
      <c r="X902" s="69" t="inlineStr">
        <is>
          <t>Current</t>
        </is>
      </c>
      <c r="Y902" s="68" t="n"/>
      <c r="Z902" s="69" t="inlineStr">
        <is>
          <t>Defeasance Not Allowable</t>
        </is>
      </c>
      <c r="AA902" s="69" t="inlineStr">
        <is>
          <t>Previously</t>
        </is>
      </c>
      <c r="AB902" s="69" t="inlineStr">
        <is>
          <t>Never special serv</t>
        </is>
      </c>
      <c r="AC902" s="73" t="n"/>
      <c r="AD902" s="69" t="n"/>
      <c r="AE902" s="69" t="n"/>
      <c r="AF902" s="69" t="inlineStr">
        <is>
          <t>CT</t>
        </is>
      </c>
      <c r="AG902" s="69" t="inlineStr">
        <is>
          <t>Rocky Hill</t>
        </is>
      </c>
      <c r="AH902" s="69" t="inlineStr">
        <is>
          <t>Hartford-West Hartford-East Hartford, CT</t>
        </is>
      </c>
      <c r="AI902" s="69" t="inlineStr">
        <is>
          <t>Northeast / New England</t>
        </is>
      </c>
      <c r="AJ902" s="69" t="inlineStr">
        <is>
          <t>RT</t>
        </is>
      </c>
      <c r="AK902" s="69" t="inlineStr">
        <is>
          <t>Unanchored</t>
        </is>
      </c>
      <c r="AL902" s="68" t="n">
        <v>1</v>
      </c>
      <c r="AM902" s="68" t="n"/>
      <c r="AN902" s="68" t="n">
        <v>14946</v>
      </c>
      <c r="AO902" s="69" t="inlineStr">
        <is>
          <t>2007</t>
        </is>
      </c>
      <c r="AP902" s="70" t="n">
        <v>2012</v>
      </c>
      <c r="AQ902" s="74" t="n">
        <v>1.67</v>
      </c>
      <c r="AR902" s="74" t="n">
        <v>1.55</v>
      </c>
      <c r="AS902" s="74" t="n">
        <v>60.3</v>
      </c>
      <c r="AT902" s="74" t="n">
        <v>60.34</v>
      </c>
      <c r="AU902" s="74" t="n">
        <v>60.3</v>
      </c>
      <c r="AV902" s="74" t="n">
        <v>8.947164286</v>
      </c>
      <c r="AW902" s="74" t="n">
        <v>8.300466286000001</v>
      </c>
      <c r="AX902" s="75" t="n">
        <v>100</v>
      </c>
      <c r="AY902" s="71" t="n">
        <v>5800000</v>
      </c>
      <c r="AZ902" s="71" t="n">
        <v>5800000</v>
      </c>
      <c r="BA902" s="71" t="n">
        <v>313150.75</v>
      </c>
      <c r="BB902" s="71" t="n">
        <v>290516.32</v>
      </c>
      <c r="BC902" s="69" t="inlineStr">
        <is>
          <t>Refinance</t>
        </is>
      </c>
      <c r="BD902" s="69" t="inlineStr">
        <is>
          <t>N</t>
        </is>
      </c>
      <c r="BE902" s="71" t="n"/>
      <c r="BF902" s="71" t="n"/>
      <c r="BG902" s="71" t="n"/>
      <c r="BH902" s="71" t="n">
        <v>0</v>
      </c>
      <c r="BI902" s="71" t="n">
        <v>0</v>
      </c>
      <c r="BJ902" s="69" t="inlineStr">
        <is>
          <t>N</t>
        </is>
      </c>
      <c r="BK902" s="69" t="inlineStr">
        <is>
          <t>Lava Hibachi &amp; Sushi Bar LLC</t>
        </is>
      </c>
      <c r="BL902" s="75" t="n">
        <v>41.72</v>
      </c>
      <c r="BM902" s="73" t="n">
        <v>47483</v>
      </c>
      <c r="BN902" s="69" t="inlineStr">
        <is>
          <t>Raymond Mastroianni; Michael W. Tenore; Henry H. Sung</t>
        </is>
      </c>
      <c r="BO902" s="69" t="inlineStr">
        <is>
          <t>Morgan Stanley</t>
        </is>
      </c>
      <c r="BP902" s="69" t="inlineStr">
        <is>
          <t>Midland Loan Services</t>
        </is>
      </c>
      <c r="BQ902" s="69" t="inlineStr">
        <is>
          <t>K-Star Asset Management LLC</t>
        </is>
      </c>
      <c r="BR902" s="69" t="n"/>
      <c r="BS902" s="73" t="n">
        <v>46276</v>
      </c>
      <c r="BU902" s="76">
        <f>IF($C902="","",IFERROR(INDEX(dmName,MATCH($C902,dmID,0)),"Unmapped"))</f>
        <v/>
      </c>
      <c r="BV902" s="76">
        <f>IF($C902="","",IFERROR(INDEX(dmEntity,MATCH($C902,dmID,0)),"Unmapped"))</f>
        <v/>
      </c>
      <c r="BW902" s="77">
        <f>IF($C902="","",IFERROR(INDEX(dmVintage,MATCH($C902,dmID,0)),""))</f>
        <v/>
      </c>
      <c r="BX902" s="78">
        <f>IFERROR(INDEX(dmInclude,MATCH($C902,dmID,0)),0)</f>
        <v/>
      </c>
      <c r="BY902" s="78">
        <f>IF(N($I902)&gt;0,1,0)</f>
        <v/>
      </c>
      <c r="BZ902" s="76">
        <f>IF($AJ902="","Other / Leased Fee",IFERROR(INDEX(mapPTGroup,MATCH(LEFT(TRIM($AJ902),2),mapPTCode,0)),"Other / Leased Fee"))</f>
        <v/>
      </c>
      <c r="CA902" s="76">
        <f>IF(TRIM($AF902&amp;"")="","NR",LEFT(TRIM($AF902),2))</f>
        <v/>
      </c>
      <c r="CB902" s="76">
        <f>IFERROR(LOOKUP(2,1/(LEFT(TRIM($AI902&amp;""),LEN(mapRegion))=mapRegion),mapRegion),"Not Reported")</f>
        <v/>
      </c>
      <c r="CC902" s="76">
        <f>IF($BY902=0,"",IF(TRIM($W902&amp;"")="REO","REO",IF(TRIM($W902&amp;"")="FC","Foreclosure",IF(TRIM($W902&amp;"")="90+","90+ Days Delinquent",IF(TRIM($W902&amp;"")="60","60 Days Delinquent",IF(TRIM($W902&amp;"")="30","30 Days Delinquent",IF($X902="Non-Performing Matured Balloon","Non-Performing Matured Balloon",IF(OR($X902="Late Payment But Less Than 30 Days Delinquent",LEFT($X902&amp;"",20)="Payment Not Received"),"Late / In Grace (&lt;30 Days)",IF($X902="Performing Matured Balloon","Performing Matured Balloon","Current")))))))))</f>
        <v/>
      </c>
      <c r="CD902" s="78">
        <f>IF(OR($CC902="REO",$CC902="Foreclosure",$CC902="90+ Days Delinquent",$CC902="60 Days Delinquent",$CC902="30 Days Delinquent",$CC902="Non-Performing Matured Balloon"),1,0)</f>
        <v/>
      </c>
      <c r="CE902" s="76">
        <f>IF($AB902="Currently special serv","Currently Specially Serviced",IF($AB902="Returned to master serv","Previously Specially Serviced","Never Specially Serviced"))</f>
        <v/>
      </c>
      <c r="CF902" s="78">
        <f>IF($CE902="Currently Specially Serviced",1,0)</f>
        <v/>
      </c>
      <c r="CG902" s="76">
        <f>IF($AA902="Yes","Currently on Watchlist",IF($AA902="Previously","Previously on Watchlist","Never on Watchlist"))</f>
        <v/>
      </c>
      <c r="CH902" s="78">
        <f>IF($CG902="Currently on Watchlist",1,0)</f>
        <v/>
      </c>
      <c r="CI902" s="76">
        <f>IF($Z902="Full Defeasance","Fully Defeased",IF($Z902="Portion Of Loan Previously Defeased","Partially Defeased",IF($Z902="Defeasance Not Allowable","Not Defeased (Not Permitted)","Not Defeased")))</f>
        <v/>
      </c>
      <c r="CJ902" s="78">
        <f>IF($CI902="Fully Defeased",1,0)</f>
        <v/>
      </c>
      <c r="CK902" s="76">
        <f>IF($R902="IO","Full IO",IF(LEFT($R902&amp;"",7)="IO then","Partial IO","Amortizing"))</f>
        <v/>
      </c>
      <c r="CL902" s="78">
        <f>IF($CK902="Full IO",1,0)</f>
        <v/>
      </c>
      <c r="CM902" s="78">
        <f>IF($CK902="Partial IO",1,0)</f>
        <v/>
      </c>
      <c r="CN902" s="76">
        <f>IF(LEFT($F902&amp;"",10)="SPLIT_LOAN","Pari Passu Split","Standalone")</f>
        <v/>
      </c>
      <c r="CO902" s="78">
        <f>IF($CN902="Pari Passu Split",1,0)</f>
        <v/>
      </c>
      <c r="CP902" s="77">
        <f>IF(ISNUMBER($T902),YEAR($T902),"")</f>
        <v/>
      </c>
      <c r="CQ902" s="79">
        <f>IF(ISNUMBER($V902),$V902,IF(ISNUMBER($U902),$U902,""))</f>
        <v/>
      </c>
      <c r="CR902" s="77">
        <f>IF(ISNUMBER($CQ902),YEAR($CQ902),"")</f>
        <v/>
      </c>
      <c r="CS902" s="78">
        <f>IF(ISNUMBER($M902),MAX(0,$M902),IF(TRIM($M902&amp;"")="matured",0,""))</f>
        <v/>
      </c>
      <c r="CT902" s="78">
        <f>IF(AND(ISNUMBER($CS902),N($CS902)&lt;=mMatWindow),1,0)</f>
        <v/>
      </c>
      <c r="CU902" s="80">
        <f>IF(ISNUMBER($J902),$J902/100,"")</f>
        <v/>
      </c>
      <c r="CV902" s="81">
        <f>IF(ISNUMBER($AQ902),$AQ902,"")</f>
        <v/>
      </c>
      <c r="CW902" s="81">
        <f>IF(ISNUMBER($AR902),$AR902,"")</f>
        <v/>
      </c>
      <c r="CX902" s="82">
        <f>IF(ISNUMBER($AS902),$AS902/100,"")</f>
        <v/>
      </c>
      <c r="CY902" s="82">
        <f>IF(ISNUMBER($AT902),$AT902/100,"")</f>
        <v/>
      </c>
      <c r="CZ902" s="82">
        <f>IF(ISNUMBER($AU902),$AU902/100,"")</f>
        <v/>
      </c>
      <c r="DA902" s="82">
        <f>IF(ISNUMBER($AV902),$AV902/100,"")</f>
        <v/>
      </c>
      <c r="DB902" s="82">
        <f>IF(ISNUMBER($AW902),$AW902/100,"")</f>
        <v/>
      </c>
      <c r="DC902" s="82">
        <f>IF(ISNUMBER($AX902),$AX902/100,"")</f>
        <v/>
      </c>
      <c r="DD902" s="77">
        <f>IFERROR(VALUE(LEFT(TRIM($AO902&amp;""),4)),"")</f>
        <v/>
      </c>
      <c r="DE902" s="78">
        <f>IF(AND($BY902=1,$BX902=1,OR(fDeal="All Deals",$BU902=fDeal),OR(fEntity="All Entities",$BV902=fEntity),OR(fPType="All Property Types",$BZ902=fPType),OR(fDefeased="Include",$CJ902=0)),1,0)</f>
        <v/>
      </c>
      <c r="DF902" s="83">
        <f>$DE902*N($I902)</f>
        <v/>
      </c>
      <c r="DG902" s="78">
        <f>IF($DE902=1,IF(COUNTIFS($F$8:$F902,$F902,$DE$8:$DE902,1)=1,1,0),0)</f>
        <v/>
      </c>
      <c r="DH902" s="83">
        <f>IF($DG902=1,SUMIFS($DF$8:$DF$1600,$F$8:$F$1600,$F902),0)</f>
        <v/>
      </c>
      <c r="DI902" s="78">
        <f>IF($DG902=1,COUNTIFS($F$8:$F$1600,$F902,$DE$8:$DE$1600,1),0)</f>
        <v/>
      </c>
      <c r="DJ902" s="84">
        <f>IF($DG902=1,$DH902+(100000-ROW())/mTieBreak,0)</f>
        <v/>
      </c>
    </row>
    <row r="903">
      <c r="B903" s="68" t="n">
        <v>47</v>
      </c>
      <c r="C903" s="69" t="inlineStr">
        <is>
          <t>MSC18L1</t>
        </is>
      </c>
      <c r="D903" s="69" t="inlineStr">
        <is>
          <t>47.000</t>
        </is>
      </c>
      <c r="E903" s="69" t="inlineStr">
        <is>
          <t>500 Lincoln</t>
        </is>
      </c>
      <c r="F903" s="69" t="inlineStr">
        <is>
          <t>LNMSC18L1-47.000</t>
        </is>
      </c>
      <c r="G903" s="70" t="n"/>
      <c r="H903" s="71" t="n">
        <v>3200000</v>
      </c>
      <c r="I903" s="71" t="n">
        <v>2592616.99</v>
      </c>
      <c r="J903" s="72" t="n">
        <v>5.06</v>
      </c>
      <c r="K903" s="69" t="inlineStr">
        <is>
          <t>Fixed rate</t>
        </is>
      </c>
      <c r="L903" s="68" t="n">
        <v>120</v>
      </c>
      <c r="M903" s="68" t="n">
        <v>24</v>
      </c>
      <c r="N903" s="68" t="n">
        <v>300</v>
      </c>
      <c r="O903" s="68" t="n"/>
      <c r="P903" s="68" t="n"/>
      <c r="Q903" s="68" t="n">
        <v>96</v>
      </c>
      <c r="R903" s="69" t="n"/>
      <c r="S903" s="69" t="inlineStr">
        <is>
          <t>No</t>
        </is>
      </c>
      <c r="T903" s="73" t="n">
        <v>43344</v>
      </c>
      <c r="U903" s="73" t="n">
        <v>46997</v>
      </c>
      <c r="V903" s="73" t="n"/>
      <c r="W903" s="69" t="n"/>
      <c r="X903" s="69" t="inlineStr">
        <is>
          <t>Current</t>
        </is>
      </c>
      <c r="Y903" s="68" t="n"/>
      <c r="Z903" s="69" t="inlineStr">
        <is>
          <t>No Defeasance Occurred</t>
        </is>
      </c>
      <c r="AA903" s="69" t="inlineStr">
        <is>
          <t>Previously</t>
        </is>
      </c>
      <c r="AB903" s="69" t="inlineStr">
        <is>
          <t>Never special serv</t>
        </is>
      </c>
      <c r="AC903" s="73" t="n"/>
      <c r="AD903" s="69" t="n"/>
      <c r="AE903" s="69" t="n"/>
      <c r="AF903" s="69" t="inlineStr">
        <is>
          <t>MA</t>
        </is>
      </c>
      <c r="AG903" s="69" t="inlineStr">
        <is>
          <t>Worcester</t>
        </is>
      </c>
      <c r="AH903" s="69" t="inlineStr">
        <is>
          <t>Worcester, MA</t>
        </is>
      </c>
      <c r="AI903" s="69" t="inlineStr">
        <is>
          <t>Northeast / New England</t>
        </is>
      </c>
      <c r="AJ903" s="69" t="inlineStr">
        <is>
          <t>RT</t>
        </is>
      </c>
      <c r="AK903" s="69" t="inlineStr">
        <is>
          <t>Anchored</t>
        </is>
      </c>
      <c r="AL903" s="68" t="n">
        <v>1</v>
      </c>
      <c r="AM903" s="68" t="n"/>
      <c r="AN903" s="68" t="n">
        <v>87200</v>
      </c>
      <c r="AO903" s="69" t="inlineStr">
        <is>
          <t>2010, 2012</t>
        </is>
      </c>
      <c r="AP903" s="70" t="n">
        <v>2012</v>
      </c>
      <c r="AQ903" s="74" t="n">
        <v>1.44</v>
      </c>
      <c r="AR903" s="74" t="n">
        <v>1.36</v>
      </c>
      <c r="AS903" s="74" t="n">
        <v>63.9</v>
      </c>
      <c r="AT903" s="74" t="n">
        <v>51.85</v>
      </c>
      <c r="AU903" s="74" t="n">
        <v>48.1</v>
      </c>
      <c r="AV903" s="74" t="n">
        <v>10.12991625</v>
      </c>
      <c r="AW903" s="74" t="n">
        <v>14.837574986</v>
      </c>
      <c r="AX903" s="75" t="n">
        <v>100</v>
      </c>
      <c r="AY903" s="71" t="n">
        <v>5000000</v>
      </c>
      <c r="AZ903" s="71" t="n">
        <v>5000000</v>
      </c>
      <c r="BA903" s="71" t="n">
        <v>324157.32</v>
      </c>
      <c r="BB903" s="71" t="n">
        <v>307294.95</v>
      </c>
      <c r="BC903" s="69" t="inlineStr">
        <is>
          <t>Refinance</t>
        </is>
      </c>
      <c r="BD903" s="69" t="inlineStr">
        <is>
          <t>Y</t>
        </is>
      </c>
      <c r="BE903" s="71" t="n"/>
      <c r="BF903" s="71" t="n"/>
      <c r="BG903" s="71" t="n"/>
      <c r="BH903" s="71" t="n">
        <v>0</v>
      </c>
      <c r="BI903" s="71" t="n">
        <v>0</v>
      </c>
      <c r="BJ903" s="69" t="inlineStr">
        <is>
          <t>N</t>
        </is>
      </c>
      <c r="BK903" s="69" t="inlineStr">
        <is>
          <t>Kohl's Department Store</t>
        </is>
      </c>
      <c r="BL903" s="75" t="n">
        <v>73.95</v>
      </c>
      <c r="BM903" s="73" t="n">
        <v>48487</v>
      </c>
      <c r="BN903" s="69" t="inlineStr">
        <is>
          <t>David Allen; Michael Walton</t>
        </is>
      </c>
      <c r="BO903" s="69" t="inlineStr">
        <is>
          <t>Morgan Stanley</t>
        </is>
      </c>
      <c r="BP903" s="69" t="inlineStr">
        <is>
          <t>Midland Loan Services</t>
        </is>
      </c>
      <c r="BQ903" s="69" t="inlineStr">
        <is>
          <t>K-Star Asset Management LLC</t>
        </is>
      </c>
      <c r="BR903" s="69" t="n"/>
      <c r="BS903" s="73" t="n">
        <v>46276</v>
      </c>
      <c r="BU903" s="76">
        <f>IF($C903="","",IFERROR(INDEX(dmName,MATCH($C903,dmID,0)),"Unmapped"))</f>
        <v/>
      </c>
      <c r="BV903" s="76">
        <f>IF($C903="","",IFERROR(INDEX(dmEntity,MATCH($C903,dmID,0)),"Unmapped"))</f>
        <v/>
      </c>
      <c r="BW903" s="77">
        <f>IF($C903="","",IFERROR(INDEX(dmVintage,MATCH($C903,dmID,0)),""))</f>
        <v/>
      </c>
      <c r="BX903" s="78">
        <f>IFERROR(INDEX(dmInclude,MATCH($C903,dmID,0)),0)</f>
        <v/>
      </c>
      <c r="BY903" s="78">
        <f>IF(N($I903)&gt;0,1,0)</f>
        <v/>
      </c>
      <c r="BZ903" s="76">
        <f>IF($AJ903="","Other / Leased Fee",IFERROR(INDEX(mapPTGroup,MATCH(LEFT(TRIM($AJ903),2),mapPTCode,0)),"Other / Leased Fee"))</f>
        <v/>
      </c>
      <c r="CA903" s="76">
        <f>IF(TRIM($AF903&amp;"")="","NR",LEFT(TRIM($AF903),2))</f>
        <v/>
      </c>
      <c r="CB903" s="76">
        <f>IFERROR(LOOKUP(2,1/(LEFT(TRIM($AI903&amp;""),LEN(mapRegion))=mapRegion),mapRegion),"Not Reported")</f>
        <v/>
      </c>
      <c r="CC903" s="76">
        <f>IF($BY903=0,"",IF(TRIM($W903&amp;"")="REO","REO",IF(TRIM($W903&amp;"")="FC","Foreclosure",IF(TRIM($W903&amp;"")="90+","90+ Days Delinquent",IF(TRIM($W903&amp;"")="60","60 Days Delinquent",IF(TRIM($W903&amp;"")="30","30 Days Delinquent",IF($X903="Non-Performing Matured Balloon","Non-Performing Matured Balloon",IF(OR($X903="Late Payment But Less Than 30 Days Delinquent",LEFT($X903&amp;"",20)="Payment Not Received"),"Late / In Grace (&lt;30 Days)",IF($X903="Performing Matured Balloon","Performing Matured Balloon","Current")))))))))</f>
        <v/>
      </c>
      <c r="CD903" s="78">
        <f>IF(OR($CC903="REO",$CC903="Foreclosure",$CC903="90+ Days Delinquent",$CC903="60 Days Delinquent",$CC903="30 Days Delinquent",$CC903="Non-Performing Matured Balloon"),1,0)</f>
        <v/>
      </c>
      <c r="CE903" s="76">
        <f>IF($AB903="Currently special serv","Currently Specially Serviced",IF($AB903="Returned to master serv","Previously Specially Serviced","Never Specially Serviced"))</f>
        <v/>
      </c>
      <c r="CF903" s="78">
        <f>IF($CE903="Currently Specially Serviced",1,0)</f>
        <v/>
      </c>
      <c r="CG903" s="76">
        <f>IF($AA903="Yes","Currently on Watchlist",IF($AA903="Previously","Previously on Watchlist","Never on Watchlist"))</f>
        <v/>
      </c>
      <c r="CH903" s="78">
        <f>IF($CG903="Currently on Watchlist",1,0)</f>
        <v/>
      </c>
      <c r="CI903" s="76">
        <f>IF($Z903="Full Defeasance","Fully Defeased",IF($Z903="Portion Of Loan Previously Defeased","Partially Defeased",IF($Z903="Defeasance Not Allowable","Not Defeased (Not Permitted)","Not Defeased")))</f>
        <v/>
      </c>
      <c r="CJ903" s="78">
        <f>IF($CI903="Fully Defeased",1,0)</f>
        <v/>
      </c>
      <c r="CK903" s="76">
        <f>IF($R903="IO","Full IO",IF(LEFT($R903&amp;"",7)="IO then","Partial IO","Amortizing"))</f>
        <v/>
      </c>
      <c r="CL903" s="78">
        <f>IF($CK903="Full IO",1,0)</f>
        <v/>
      </c>
      <c r="CM903" s="78">
        <f>IF($CK903="Partial IO",1,0)</f>
        <v/>
      </c>
      <c r="CN903" s="76">
        <f>IF(LEFT($F903&amp;"",10)="SPLIT_LOAN","Pari Passu Split","Standalone")</f>
        <v/>
      </c>
      <c r="CO903" s="78">
        <f>IF($CN903="Pari Passu Split",1,0)</f>
        <v/>
      </c>
      <c r="CP903" s="77">
        <f>IF(ISNUMBER($T903),YEAR($T903),"")</f>
        <v/>
      </c>
      <c r="CQ903" s="79">
        <f>IF(ISNUMBER($V903),$V903,IF(ISNUMBER($U903),$U903,""))</f>
        <v/>
      </c>
      <c r="CR903" s="77">
        <f>IF(ISNUMBER($CQ903),YEAR($CQ903),"")</f>
        <v/>
      </c>
      <c r="CS903" s="78">
        <f>IF(ISNUMBER($M903),MAX(0,$M903),IF(TRIM($M903&amp;"")="matured",0,""))</f>
        <v/>
      </c>
      <c r="CT903" s="78">
        <f>IF(AND(ISNUMBER($CS903),N($CS903)&lt;=mMatWindow),1,0)</f>
        <v/>
      </c>
      <c r="CU903" s="80">
        <f>IF(ISNUMBER($J903),$J903/100,"")</f>
        <v/>
      </c>
      <c r="CV903" s="81">
        <f>IF(ISNUMBER($AQ903),$AQ903,"")</f>
        <v/>
      </c>
      <c r="CW903" s="81">
        <f>IF(ISNUMBER($AR903),$AR903,"")</f>
        <v/>
      </c>
      <c r="CX903" s="82">
        <f>IF(ISNUMBER($AS903),$AS903/100,"")</f>
        <v/>
      </c>
      <c r="CY903" s="82">
        <f>IF(ISNUMBER($AT903),$AT903/100,"")</f>
        <v/>
      </c>
      <c r="CZ903" s="82">
        <f>IF(ISNUMBER($AU903),$AU903/100,"")</f>
        <v/>
      </c>
      <c r="DA903" s="82">
        <f>IF(ISNUMBER($AV903),$AV903/100,"")</f>
        <v/>
      </c>
      <c r="DB903" s="82">
        <f>IF(ISNUMBER($AW903),$AW903/100,"")</f>
        <v/>
      </c>
      <c r="DC903" s="82">
        <f>IF(ISNUMBER($AX903),$AX903/100,"")</f>
        <v/>
      </c>
      <c r="DD903" s="77">
        <f>IFERROR(VALUE(LEFT(TRIM($AO903&amp;""),4)),"")</f>
        <v/>
      </c>
      <c r="DE903" s="78">
        <f>IF(AND($BY903=1,$BX903=1,OR(fDeal="All Deals",$BU903=fDeal),OR(fEntity="All Entities",$BV903=fEntity),OR(fPType="All Property Types",$BZ903=fPType),OR(fDefeased="Include",$CJ903=0)),1,0)</f>
        <v/>
      </c>
      <c r="DF903" s="83">
        <f>$DE903*N($I903)</f>
        <v/>
      </c>
      <c r="DG903" s="78">
        <f>IF($DE903=1,IF(COUNTIFS($F$8:$F903,$F903,$DE$8:$DE903,1)=1,1,0),0)</f>
        <v/>
      </c>
      <c r="DH903" s="83">
        <f>IF($DG903=1,SUMIFS($DF$8:$DF$1600,$F$8:$F$1600,$F903),0)</f>
        <v/>
      </c>
      <c r="DI903" s="78">
        <f>IF($DG903=1,COUNTIFS($F$8:$F$1600,$F903,$DE$8:$DE$1600,1),0)</f>
        <v/>
      </c>
      <c r="DJ903" s="84">
        <f>IF($DG903=1,$DH903+(100000-ROW())/mTieBreak,0)</f>
        <v/>
      </c>
    </row>
    <row r="904">
      <c r="B904" s="68" t="n">
        <v>1</v>
      </c>
      <c r="C904" s="69" t="inlineStr">
        <is>
          <t>CCUB17C1</t>
        </is>
      </c>
      <c r="D904" s="69" t="inlineStr">
        <is>
          <t>1.000</t>
        </is>
      </c>
      <c r="E904" s="69" t="inlineStr">
        <is>
          <t>GNL Portfolio</t>
        </is>
      </c>
      <c r="F904" s="69" t="inlineStr">
        <is>
          <t>SPLIT_LOAN_01129</t>
        </is>
      </c>
      <c r="G904" s="70" t="n">
        <v>1129</v>
      </c>
      <c r="H904" s="71" t="n">
        <v>50500000</v>
      </c>
      <c r="I904" s="71" t="n">
        <v>25422047.17997549</v>
      </c>
      <c r="J904" s="72" t="n">
        <v>4.369</v>
      </c>
      <c r="K904" s="69" t="inlineStr">
        <is>
          <t>Fixed rate</t>
        </is>
      </c>
      <c r="L904" s="68" t="n">
        <v>120</v>
      </c>
      <c r="M904" s="68" t="n">
        <v>14</v>
      </c>
      <c r="N904" s="68" t="n">
        <v>120</v>
      </c>
      <c r="O904" s="68" t="n">
        <v>120</v>
      </c>
      <c r="P904" s="68" t="n">
        <v>14</v>
      </c>
      <c r="Q904" s="68" t="n">
        <v>106</v>
      </c>
      <c r="R904" s="69" t="inlineStr">
        <is>
          <t>IO</t>
        </is>
      </c>
      <c r="S904" s="69" t="inlineStr">
        <is>
          <t>Yes</t>
        </is>
      </c>
      <c r="T904" s="73" t="n">
        <v>43040</v>
      </c>
      <c r="U904" s="73" t="n">
        <v>46697</v>
      </c>
      <c r="V904" s="73" t="n"/>
      <c r="W904" s="69" t="n"/>
      <c r="X904" s="69" t="inlineStr">
        <is>
          <t>Current</t>
        </is>
      </c>
      <c r="Y904" s="68" t="n"/>
      <c r="Z904" s="69" t="inlineStr">
        <is>
          <t>Defeasance Not Allowable</t>
        </is>
      </c>
      <c r="AA904" s="69" t="inlineStr">
        <is>
          <t>Yes</t>
        </is>
      </c>
      <c r="AB904" s="69" t="inlineStr">
        <is>
          <t>Never special serv</t>
        </is>
      </c>
      <c r="AC904" s="73" t="n"/>
      <c r="AD904" s="69" t="n"/>
      <c r="AE904" s="69" t="n"/>
      <c r="AF904" s="69" t="inlineStr">
        <is>
          <t>NJ-33.663079922% NY-18.699030359% TN-16.435845825% MI-14.766201610% IN-8.724604294% WV-7.711237990%</t>
        </is>
      </c>
      <c r="AG904" s="69" t="n"/>
      <c r="AH904" s="69" t="inlineStr">
        <is>
          <t>Trenton-Princeton, NJ-33.663079922% New York-Newark-Jersey City, NY-NJ-18.699030359% Nashville-Davidson--Murfreesboro--Franklin, TN-16.435845825% Detroit-Warren-Dearborn, MI-14.766201610% South Bend-Mishawaka, IN-MI-8.724604294% Morgantown, WV-7.711237990%</t>
        </is>
      </c>
      <c r="AI904" s="69" t="inlineStr">
        <is>
          <t>Northeast / Mid-Atlantic-52.362110281% Midwest / Central East-23.490805904% South / Central East-16.435845825% South / Atlantic-7.711237990%</t>
        </is>
      </c>
      <c r="AJ904" s="69" t="inlineStr">
        <is>
          <t>IN-66.336920078% OF-33.663079922%</t>
        </is>
      </c>
      <c r="AK904" s="69" t="n"/>
      <c r="AL904" s="68" t="n">
        <v>12</v>
      </c>
      <c r="AM904" s="68" t="n"/>
      <c r="AN904" s="68" t="n">
        <v>2620673</v>
      </c>
      <c r="AO904" s="69" t="n"/>
      <c r="AP904" s="70" t="n">
        <v>2016</v>
      </c>
      <c r="AQ904" s="74" t="n">
        <v>2.22</v>
      </c>
      <c r="AR904" s="74" t="n">
        <v>2.16</v>
      </c>
      <c r="AS904" s="74" t="n">
        <v>57.9</v>
      </c>
      <c r="AT904" s="74" t="n">
        <v>29.14</v>
      </c>
      <c r="AU904" s="74" t="n">
        <v>57.9</v>
      </c>
      <c r="AV904" s="74" t="n">
        <v>9.853160282999999</v>
      </c>
      <c r="AW904" s="74" t="n">
        <v>16.06552179</v>
      </c>
      <c r="AX904" s="75" t="n">
        <v>100</v>
      </c>
      <c r="AY904" s="71" t="n">
        <v>323100000</v>
      </c>
      <c r="AZ904" s="71" t="n">
        <v>323100000</v>
      </c>
      <c r="BA904" s="71" t="n">
        <v>18425409.73</v>
      </c>
      <c r="BB904" s="71" t="n">
        <v>11344908.99</v>
      </c>
      <c r="BC904" s="69" t="inlineStr">
        <is>
          <t>Recapitalization</t>
        </is>
      </c>
      <c r="BD904" s="69" t="inlineStr">
        <is>
          <t>N</t>
        </is>
      </c>
      <c r="BE904" s="71" t="n">
        <v>68715038.42</v>
      </c>
      <c r="BF904" s="71" t="n"/>
      <c r="BG904" s="71" t="n"/>
      <c r="BH904" s="71" t="n">
        <v>0</v>
      </c>
      <c r="BI904" s="71" t="n">
        <v>0</v>
      </c>
      <c r="BJ904" s="69" t="inlineStr">
        <is>
          <t>N</t>
        </is>
      </c>
      <c r="BK904" s="69" t="inlineStr">
        <is>
          <t>Lippert Cmpnts.</t>
        </is>
      </c>
      <c r="BL904" s="75" t="n">
        <v>31.02</v>
      </c>
      <c r="BM904" s="73" t="n">
        <v>50445</v>
      </c>
      <c r="BN904" s="69" t="inlineStr">
        <is>
          <t>Global Net Lease Operating Partnership, L.P.</t>
        </is>
      </c>
      <c r="BO904" s="69" t="inlineStr">
        <is>
          <t>Citi Real Estate Funding</t>
        </is>
      </c>
      <c r="BP904" s="69" t="inlineStr">
        <is>
          <t>Midland Loan Services</t>
        </is>
      </c>
      <c r="BQ904" s="69" t="inlineStr">
        <is>
          <t>CWCapital</t>
        </is>
      </c>
      <c r="BR904" s="69" t="inlineStr">
        <is>
          <t>Curtailment With Penalty</t>
        </is>
      </c>
      <c r="BS904" s="73" t="n">
        <v>46276</v>
      </c>
      <c r="BU904" s="76">
        <f>IF($C904="","",IFERROR(INDEX(dmName,MATCH($C904,dmID,0)),"Unmapped"))</f>
        <v/>
      </c>
      <c r="BV904" s="76">
        <f>IF($C904="","",IFERROR(INDEX(dmEntity,MATCH($C904,dmID,0)),"Unmapped"))</f>
        <v/>
      </c>
      <c r="BW904" s="77">
        <f>IF($C904="","",IFERROR(INDEX(dmVintage,MATCH($C904,dmID,0)),""))</f>
        <v/>
      </c>
      <c r="BX904" s="78">
        <f>IFERROR(INDEX(dmInclude,MATCH($C904,dmID,0)),0)</f>
        <v/>
      </c>
      <c r="BY904" s="78">
        <f>IF(N($I904)&gt;0,1,0)</f>
        <v/>
      </c>
      <c r="BZ904" s="76">
        <f>IF($AJ904="","Other / Leased Fee",IFERROR(INDEX(mapPTGroup,MATCH(LEFT(TRIM($AJ904),2),mapPTCode,0)),"Other / Leased Fee"))</f>
        <v/>
      </c>
      <c r="CA904" s="76">
        <f>IF(TRIM($AF904&amp;"")="","NR",LEFT(TRIM($AF904),2))</f>
        <v/>
      </c>
      <c r="CB904" s="76">
        <f>IFERROR(LOOKUP(2,1/(LEFT(TRIM($AI904&amp;""),LEN(mapRegion))=mapRegion),mapRegion),"Not Reported")</f>
        <v/>
      </c>
      <c r="CC904" s="76">
        <f>IF($BY904=0,"",IF(TRIM($W904&amp;"")="REO","REO",IF(TRIM($W904&amp;"")="FC","Foreclosure",IF(TRIM($W904&amp;"")="90+","90+ Days Delinquent",IF(TRIM($W904&amp;"")="60","60 Days Delinquent",IF(TRIM($W904&amp;"")="30","30 Days Delinquent",IF($X904="Non-Performing Matured Balloon","Non-Performing Matured Balloon",IF(OR($X904="Late Payment But Less Than 30 Days Delinquent",LEFT($X904&amp;"",20)="Payment Not Received"),"Late / In Grace (&lt;30 Days)",IF($X904="Performing Matured Balloon","Performing Matured Balloon","Current")))))))))</f>
        <v/>
      </c>
      <c r="CD904" s="78">
        <f>IF(OR($CC904="REO",$CC904="Foreclosure",$CC904="90+ Days Delinquent",$CC904="60 Days Delinquent",$CC904="30 Days Delinquent",$CC904="Non-Performing Matured Balloon"),1,0)</f>
        <v/>
      </c>
      <c r="CE904" s="76">
        <f>IF($AB904="Currently special serv","Currently Specially Serviced",IF($AB904="Returned to master serv","Previously Specially Serviced","Never Specially Serviced"))</f>
        <v/>
      </c>
      <c r="CF904" s="78">
        <f>IF($CE904="Currently Specially Serviced",1,0)</f>
        <v/>
      </c>
      <c r="CG904" s="76">
        <f>IF($AA904="Yes","Currently on Watchlist",IF($AA904="Previously","Previously on Watchlist","Never on Watchlist"))</f>
        <v/>
      </c>
      <c r="CH904" s="78">
        <f>IF($CG904="Currently on Watchlist",1,0)</f>
        <v/>
      </c>
      <c r="CI904" s="76">
        <f>IF($Z904="Full Defeasance","Fully Defeased",IF($Z904="Portion Of Loan Previously Defeased","Partially Defeased",IF($Z904="Defeasance Not Allowable","Not Defeased (Not Permitted)","Not Defeased")))</f>
        <v/>
      </c>
      <c r="CJ904" s="78">
        <f>IF($CI904="Fully Defeased",1,0)</f>
        <v/>
      </c>
      <c r="CK904" s="76">
        <f>IF($R904="IO","Full IO",IF(LEFT($R904&amp;"",7)="IO then","Partial IO","Amortizing"))</f>
        <v/>
      </c>
      <c r="CL904" s="78">
        <f>IF($CK904="Full IO",1,0)</f>
        <v/>
      </c>
      <c r="CM904" s="78">
        <f>IF($CK904="Partial IO",1,0)</f>
        <v/>
      </c>
      <c r="CN904" s="76">
        <f>IF(LEFT($F904&amp;"",10)="SPLIT_LOAN","Pari Passu Split","Standalone")</f>
        <v/>
      </c>
      <c r="CO904" s="78">
        <f>IF($CN904="Pari Passu Split",1,0)</f>
        <v/>
      </c>
      <c r="CP904" s="77">
        <f>IF(ISNUMBER($T904),YEAR($T904),"")</f>
        <v/>
      </c>
      <c r="CQ904" s="79">
        <f>IF(ISNUMBER($V904),$V904,IF(ISNUMBER($U904),$U904,""))</f>
        <v/>
      </c>
      <c r="CR904" s="77">
        <f>IF(ISNUMBER($CQ904),YEAR($CQ904),"")</f>
        <v/>
      </c>
      <c r="CS904" s="78">
        <f>IF(ISNUMBER($M904),MAX(0,$M904),IF(TRIM($M904&amp;"")="matured",0,""))</f>
        <v/>
      </c>
      <c r="CT904" s="78">
        <f>IF(AND(ISNUMBER($CS904),N($CS904)&lt;=mMatWindow),1,0)</f>
        <v/>
      </c>
      <c r="CU904" s="80">
        <f>IF(ISNUMBER($J904),$J904/100,"")</f>
        <v/>
      </c>
      <c r="CV904" s="81">
        <f>IF(ISNUMBER($AQ904),$AQ904,"")</f>
        <v/>
      </c>
      <c r="CW904" s="81">
        <f>IF(ISNUMBER($AR904),$AR904,"")</f>
        <v/>
      </c>
      <c r="CX904" s="82">
        <f>IF(ISNUMBER($AS904),$AS904/100,"")</f>
        <v/>
      </c>
      <c r="CY904" s="82">
        <f>IF(ISNUMBER($AT904),$AT904/100,"")</f>
        <v/>
      </c>
      <c r="CZ904" s="82">
        <f>IF(ISNUMBER($AU904),$AU904/100,"")</f>
        <v/>
      </c>
      <c r="DA904" s="82">
        <f>IF(ISNUMBER($AV904),$AV904/100,"")</f>
        <v/>
      </c>
      <c r="DB904" s="82">
        <f>IF(ISNUMBER($AW904),$AW904/100,"")</f>
        <v/>
      </c>
      <c r="DC904" s="82">
        <f>IF(ISNUMBER($AX904),$AX904/100,"")</f>
        <v/>
      </c>
      <c r="DD904" s="77">
        <f>IFERROR(VALUE(LEFT(TRIM($AO904&amp;""),4)),"")</f>
        <v/>
      </c>
      <c r="DE904" s="78">
        <f>IF(AND($BY904=1,$BX904=1,OR(fDeal="All Deals",$BU904=fDeal),OR(fEntity="All Entities",$BV904=fEntity),OR(fPType="All Property Types",$BZ904=fPType),OR(fDefeased="Include",$CJ904=0)),1,0)</f>
        <v/>
      </c>
      <c r="DF904" s="83">
        <f>$DE904*N($I904)</f>
        <v/>
      </c>
      <c r="DG904" s="78">
        <f>IF($DE904=1,IF(COUNTIFS($F$8:$F904,$F904,$DE$8:$DE904,1)=1,1,0),0)</f>
        <v/>
      </c>
      <c r="DH904" s="83">
        <f>IF($DG904=1,SUMIFS($DF$8:$DF$1600,$F$8:$F$1600,$F904),0)</f>
        <v/>
      </c>
      <c r="DI904" s="78">
        <f>IF($DG904=1,COUNTIFS($F$8:$F$1600,$F904,$DE$8:$DE$1600,1),0)</f>
        <v/>
      </c>
      <c r="DJ904" s="84">
        <f>IF($DG904=1,$DH904+(100000-ROW())/mTieBreak,0)</f>
        <v/>
      </c>
    </row>
    <row r="905">
      <c r="B905" s="68" t="n">
        <v>2</v>
      </c>
      <c r="C905" s="69" t="inlineStr">
        <is>
          <t>CCUB17C1</t>
        </is>
      </c>
      <c r="D905" s="69" t="inlineStr">
        <is>
          <t>2.TR</t>
        </is>
      </c>
      <c r="E905" s="69" t="inlineStr">
        <is>
          <t>General Motors Building</t>
        </is>
      </c>
      <c r="F905" s="69" t="inlineStr">
        <is>
          <t>SPLIT_LOAN_01024</t>
        </is>
      </c>
      <c r="G905" s="70" t="n">
        <v>1024</v>
      </c>
      <c r="H905" s="71" t="n">
        <v>47600000</v>
      </c>
      <c r="I905" s="71" t="n">
        <v>47600000</v>
      </c>
      <c r="J905" s="72" t="n">
        <v>3.43</v>
      </c>
      <c r="K905" s="69" t="inlineStr">
        <is>
          <t>Fixed rate</t>
        </is>
      </c>
      <c r="L905" s="68" t="n">
        <v>120</v>
      </c>
      <c r="M905" s="68" t="n">
        <v>9</v>
      </c>
      <c r="N905" s="68" t="n">
        <v>120</v>
      </c>
      <c r="O905" s="68" t="n">
        <v>120</v>
      </c>
      <c r="P905" s="68" t="n">
        <v>9</v>
      </c>
      <c r="Q905" s="68" t="n">
        <v>111</v>
      </c>
      <c r="R905" s="69" t="inlineStr">
        <is>
          <t>IO</t>
        </is>
      </c>
      <c r="S905" s="69" t="inlineStr">
        <is>
          <t>Yes</t>
        </is>
      </c>
      <c r="T905" s="73" t="n">
        <v>42887</v>
      </c>
      <c r="U905" s="73" t="n">
        <v>46547</v>
      </c>
      <c r="V905" s="73" t="n"/>
      <c r="W905" s="69" t="n"/>
      <c r="X905" s="69" t="inlineStr">
        <is>
          <t>Current</t>
        </is>
      </c>
      <c r="Y905" s="68" t="n"/>
      <c r="Z905" s="69" t="inlineStr">
        <is>
          <t>No Defeasance Occurred</t>
        </is>
      </c>
      <c r="AA905" s="69" t="inlineStr">
        <is>
          <t>Previously</t>
        </is>
      </c>
      <c r="AB905" s="69" t="inlineStr">
        <is>
          <t>Never special serv</t>
        </is>
      </c>
      <c r="AC905" s="73" t="n"/>
      <c r="AD905" s="69" t="n"/>
      <c r="AE905" s="69" t="n"/>
      <c r="AF905" s="69" t="inlineStr">
        <is>
          <t>NY</t>
        </is>
      </c>
      <c r="AG905" s="69" t="inlineStr">
        <is>
          <t>New York</t>
        </is>
      </c>
      <c r="AH905" s="69" t="inlineStr">
        <is>
          <t>New York-Newark-Jersey City, NY-NJ</t>
        </is>
      </c>
      <c r="AI905" s="69" t="inlineStr">
        <is>
          <t>Northeast / Mid-Atlantic</t>
        </is>
      </c>
      <c r="AJ905" s="69" t="inlineStr">
        <is>
          <t>MX</t>
        </is>
      </c>
      <c r="AK905" s="69" t="inlineStr">
        <is>
          <t>Office/Retail</t>
        </is>
      </c>
      <c r="AL905" s="68" t="n">
        <v>1</v>
      </c>
      <c r="AM905" s="68" t="n"/>
      <c r="AN905" s="68" t="n">
        <v>1989983</v>
      </c>
      <c r="AO905" s="69" t="inlineStr">
        <is>
          <t>1968</t>
        </is>
      </c>
      <c r="AP905" s="70" t="n">
        <v>2017</v>
      </c>
      <c r="AQ905" s="74" t="n">
        <v>4.33</v>
      </c>
      <c r="AR905" s="74" t="n">
        <v>3.93</v>
      </c>
      <c r="AS905" s="74" t="n">
        <v>30.63</v>
      </c>
      <c r="AT905" s="74" t="n">
        <v>30.62</v>
      </c>
      <c r="AU905" s="74" t="n">
        <v>30.63</v>
      </c>
      <c r="AV905" s="74" t="n">
        <v>15.071074422</v>
      </c>
      <c r="AW905" s="74" t="n">
        <v>12.954028639</v>
      </c>
      <c r="AX905" s="75" t="n">
        <v>99</v>
      </c>
      <c r="AY905" s="71" t="n">
        <v>4800000000</v>
      </c>
      <c r="AZ905" s="71" t="n">
        <v>4800000000</v>
      </c>
      <c r="BA905" s="71" t="n">
        <v>221544794</v>
      </c>
      <c r="BB905" s="71" t="n">
        <v>199837104.9</v>
      </c>
      <c r="BC905" s="69" t="inlineStr">
        <is>
          <t>Refinance</t>
        </is>
      </c>
      <c r="BD905" s="69" t="inlineStr">
        <is>
          <t>N</t>
        </is>
      </c>
      <c r="BE905" s="71" t="n">
        <v>1422400000</v>
      </c>
      <c r="BF905" s="71" t="n">
        <v>830000000</v>
      </c>
      <c r="BG905" s="71" t="n"/>
      <c r="BH905" s="71" t="n">
        <v>0</v>
      </c>
      <c r="BI905" s="71" t="n">
        <v>0</v>
      </c>
      <c r="BJ905" s="69" t="inlineStr">
        <is>
          <t>N</t>
        </is>
      </c>
      <c r="BK905" s="69" t="inlineStr">
        <is>
          <t>Weil, Gotshal &amp; Manges, LLP</t>
        </is>
      </c>
      <c r="BL905" s="75" t="n">
        <v>20.58</v>
      </c>
      <c r="BM905" s="73" t="n">
        <v>49187</v>
      </c>
      <c r="BN905" s="69" t="inlineStr">
        <is>
          <t>Boston Properties Limited Partnership; 767 LLC; Sungate Fifth Avenue LLC</t>
        </is>
      </c>
      <c r="BO905" s="69" t="inlineStr">
        <is>
          <t>Morgan Stanley / Citi Group Global Markets / GACC / Wells Fargo</t>
        </is>
      </c>
      <c r="BP905" s="69" t="inlineStr">
        <is>
          <t>Midland Loan Services</t>
        </is>
      </c>
      <c r="BQ905" s="69" t="inlineStr">
        <is>
          <t>Aegon USA Realty</t>
        </is>
      </c>
      <c r="BR905" s="69" t="n"/>
      <c r="BS905" s="73" t="n">
        <v>46276</v>
      </c>
      <c r="BU905" s="76">
        <f>IF($C905="","",IFERROR(INDEX(dmName,MATCH($C905,dmID,0)),"Unmapped"))</f>
        <v/>
      </c>
      <c r="BV905" s="76">
        <f>IF($C905="","",IFERROR(INDEX(dmEntity,MATCH($C905,dmID,0)),"Unmapped"))</f>
        <v/>
      </c>
      <c r="BW905" s="77">
        <f>IF($C905="","",IFERROR(INDEX(dmVintage,MATCH($C905,dmID,0)),""))</f>
        <v/>
      </c>
      <c r="BX905" s="78">
        <f>IFERROR(INDEX(dmInclude,MATCH($C905,dmID,0)),0)</f>
        <v/>
      </c>
      <c r="BY905" s="78">
        <f>IF(N($I905)&gt;0,1,0)</f>
        <v/>
      </c>
      <c r="BZ905" s="76">
        <f>IF($AJ905="","Other / Leased Fee",IFERROR(INDEX(mapPTGroup,MATCH(LEFT(TRIM($AJ905),2),mapPTCode,0)),"Other / Leased Fee"))</f>
        <v/>
      </c>
      <c r="CA905" s="76">
        <f>IF(TRIM($AF905&amp;"")="","NR",LEFT(TRIM($AF905),2))</f>
        <v/>
      </c>
      <c r="CB905" s="76">
        <f>IFERROR(LOOKUP(2,1/(LEFT(TRIM($AI905&amp;""),LEN(mapRegion))=mapRegion),mapRegion),"Not Reported")</f>
        <v/>
      </c>
      <c r="CC905" s="76">
        <f>IF($BY905=0,"",IF(TRIM($W905&amp;"")="REO","REO",IF(TRIM($W905&amp;"")="FC","Foreclosure",IF(TRIM($W905&amp;"")="90+","90+ Days Delinquent",IF(TRIM($W905&amp;"")="60","60 Days Delinquent",IF(TRIM($W905&amp;"")="30","30 Days Delinquent",IF($X905="Non-Performing Matured Balloon","Non-Performing Matured Balloon",IF(OR($X905="Late Payment But Less Than 30 Days Delinquent",LEFT($X905&amp;"",20)="Payment Not Received"),"Late / In Grace (&lt;30 Days)",IF($X905="Performing Matured Balloon","Performing Matured Balloon","Current")))))))))</f>
        <v/>
      </c>
      <c r="CD905" s="78">
        <f>IF(OR($CC905="REO",$CC905="Foreclosure",$CC905="90+ Days Delinquent",$CC905="60 Days Delinquent",$CC905="30 Days Delinquent",$CC905="Non-Performing Matured Balloon"),1,0)</f>
        <v/>
      </c>
      <c r="CE905" s="76">
        <f>IF($AB905="Currently special serv","Currently Specially Serviced",IF($AB905="Returned to master serv","Previously Specially Serviced","Never Specially Serviced"))</f>
        <v/>
      </c>
      <c r="CF905" s="78">
        <f>IF($CE905="Currently Specially Serviced",1,0)</f>
        <v/>
      </c>
      <c r="CG905" s="76">
        <f>IF($AA905="Yes","Currently on Watchlist",IF($AA905="Previously","Previously on Watchlist","Never on Watchlist"))</f>
        <v/>
      </c>
      <c r="CH905" s="78">
        <f>IF($CG905="Currently on Watchlist",1,0)</f>
        <v/>
      </c>
      <c r="CI905" s="76">
        <f>IF($Z905="Full Defeasance","Fully Defeased",IF($Z905="Portion Of Loan Previously Defeased","Partially Defeased",IF($Z905="Defeasance Not Allowable","Not Defeased (Not Permitted)","Not Defeased")))</f>
        <v/>
      </c>
      <c r="CJ905" s="78">
        <f>IF($CI905="Fully Defeased",1,0)</f>
        <v/>
      </c>
      <c r="CK905" s="76">
        <f>IF($R905="IO","Full IO",IF(LEFT($R905&amp;"",7)="IO then","Partial IO","Amortizing"))</f>
        <v/>
      </c>
      <c r="CL905" s="78">
        <f>IF($CK905="Full IO",1,0)</f>
        <v/>
      </c>
      <c r="CM905" s="78">
        <f>IF($CK905="Partial IO",1,0)</f>
        <v/>
      </c>
      <c r="CN905" s="76">
        <f>IF(LEFT($F905&amp;"",10)="SPLIT_LOAN","Pari Passu Split","Standalone")</f>
        <v/>
      </c>
      <c r="CO905" s="78">
        <f>IF($CN905="Pari Passu Split",1,0)</f>
        <v/>
      </c>
      <c r="CP905" s="77">
        <f>IF(ISNUMBER($T905),YEAR($T905),"")</f>
        <v/>
      </c>
      <c r="CQ905" s="79">
        <f>IF(ISNUMBER($V905),$V905,IF(ISNUMBER($U905),$U905,""))</f>
        <v/>
      </c>
      <c r="CR905" s="77">
        <f>IF(ISNUMBER($CQ905),YEAR($CQ905),"")</f>
        <v/>
      </c>
      <c r="CS905" s="78">
        <f>IF(ISNUMBER($M905),MAX(0,$M905),IF(TRIM($M905&amp;"")="matured",0,""))</f>
        <v/>
      </c>
      <c r="CT905" s="78">
        <f>IF(AND(ISNUMBER($CS905),N($CS905)&lt;=mMatWindow),1,0)</f>
        <v/>
      </c>
      <c r="CU905" s="80">
        <f>IF(ISNUMBER($J905),$J905/100,"")</f>
        <v/>
      </c>
      <c r="CV905" s="81">
        <f>IF(ISNUMBER($AQ905),$AQ905,"")</f>
        <v/>
      </c>
      <c r="CW905" s="81">
        <f>IF(ISNUMBER($AR905),$AR905,"")</f>
        <v/>
      </c>
      <c r="CX905" s="82">
        <f>IF(ISNUMBER($AS905),$AS905/100,"")</f>
        <v/>
      </c>
      <c r="CY905" s="82">
        <f>IF(ISNUMBER($AT905),$AT905/100,"")</f>
        <v/>
      </c>
      <c r="CZ905" s="82">
        <f>IF(ISNUMBER($AU905),$AU905/100,"")</f>
        <v/>
      </c>
      <c r="DA905" s="82">
        <f>IF(ISNUMBER($AV905),$AV905/100,"")</f>
        <v/>
      </c>
      <c r="DB905" s="82">
        <f>IF(ISNUMBER($AW905),$AW905/100,"")</f>
        <v/>
      </c>
      <c r="DC905" s="82">
        <f>IF(ISNUMBER($AX905),$AX905/100,"")</f>
        <v/>
      </c>
      <c r="DD905" s="77">
        <f>IFERROR(VALUE(LEFT(TRIM($AO905&amp;""),4)),"")</f>
        <v/>
      </c>
      <c r="DE905" s="78">
        <f>IF(AND($BY905=1,$BX905=1,OR(fDeal="All Deals",$BU905=fDeal),OR(fEntity="All Entities",$BV905=fEntity),OR(fPType="All Property Types",$BZ905=fPType),OR(fDefeased="Include",$CJ905=0)),1,0)</f>
        <v/>
      </c>
      <c r="DF905" s="83">
        <f>$DE905*N($I905)</f>
        <v/>
      </c>
      <c r="DG905" s="78">
        <f>IF($DE905=1,IF(COUNTIFS($F$8:$F905,$F905,$DE$8:$DE905,1)=1,1,0),0)</f>
        <v/>
      </c>
      <c r="DH905" s="83">
        <f>IF($DG905=1,SUMIFS($DF$8:$DF$1600,$F$8:$F$1600,$F905),0)</f>
        <v/>
      </c>
      <c r="DI905" s="78">
        <f>IF($DG905=1,COUNTIFS($F$8:$F$1600,$F905,$DE$8:$DE$1600,1),0)</f>
        <v/>
      </c>
      <c r="DJ905" s="84">
        <f>IF($DG905=1,$DH905+(100000-ROW())/mTieBreak,0)</f>
        <v/>
      </c>
    </row>
    <row r="906">
      <c r="B906" s="68" t="n">
        <v>3</v>
      </c>
      <c r="C906" s="69" t="inlineStr">
        <is>
          <t>CCUB17C1</t>
        </is>
      </c>
      <c r="D906" s="69" t="inlineStr">
        <is>
          <t>3.000</t>
        </is>
      </c>
      <c r="E906" s="69" t="inlineStr">
        <is>
          <t>16 Court Street</t>
        </is>
      </c>
      <c r="F906" s="69" t="inlineStr">
        <is>
          <t>SPLIT_LOAN_01138</t>
        </is>
      </c>
      <c r="G906" s="70" t="n">
        <v>1138</v>
      </c>
      <c r="H906" s="71" t="n">
        <v>44400000</v>
      </c>
      <c r="I906" s="71" t="n">
        <v>44400000</v>
      </c>
      <c r="J906" s="72" t="n">
        <v>4.171</v>
      </c>
      <c r="K906" s="69" t="inlineStr">
        <is>
          <t>Fixed rate</t>
        </is>
      </c>
      <c r="L906" s="68" t="n">
        <v>120</v>
      </c>
      <c r="M906" s="68" t="n">
        <v>14</v>
      </c>
      <c r="N906" s="68" t="n">
        <v>120</v>
      </c>
      <c r="O906" s="68" t="n">
        <v>120</v>
      </c>
      <c r="P906" s="68" t="n">
        <v>14</v>
      </c>
      <c r="Q906" s="68" t="n">
        <v>106</v>
      </c>
      <c r="R906" s="69" t="inlineStr">
        <is>
          <t>IO</t>
        </is>
      </c>
      <c r="S906" s="69" t="inlineStr">
        <is>
          <t>Yes</t>
        </is>
      </c>
      <c r="T906" s="73" t="n">
        <v>43040</v>
      </c>
      <c r="U906" s="73" t="n">
        <v>46692</v>
      </c>
      <c r="V906" s="73" t="n"/>
      <c r="W906" s="69" t="inlineStr">
        <is>
          <t>90+</t>
        </is>
      </c>
      <c r="X906" s="69" t="inlineStr">
        <is>
          <t>121+ Days Delinquent</t>
        </is>
      </c>
      <c r="Y906" s="68" t="n">
        <v>15</v>
      </c>
      <c r="Z906" s="69" t="inlineStr">
        <is>
          <t>No Defeasance Occurred</t>
        </is>
      </c>
      <c r="AA906" s="69" t="inlineStr">
        <is>
          <t>Previously</t>
        </is>
      </c>
      <c r="AB906" s="69" t="inlineStr">
        <is>
          <t>Currently special serv</t>
        </is>
      </c>
      <c r="AC906" s="73" t="n">
        <v>45505</v>
      </c>
      <c r="AD906" s="69" t="inlineStr">
        <is>
          <t>Imminent Monetary Default (excluding Balloon/Maturity Default &amp; Single Tenant Bankruptcy/Vacate)</t>
        </is>
      </c>
      <c r="AE906" s="69" t="inlineStr">
        <is>
          <t>Foreclosure</t>
        </is>
      </c>
      <c r="AF906" s="69" t="inlineStr">
        <is>
          <t>NY</t>
        </is>
      </c>
      <c r="AG906" s="69" t="inlineStr">
        <is>
          <t>Brooklyn</t>
        </is>
      </c>
      <c r="AH906" s="69" t="inlineStr">
        <is>
          <t>New York-Newark-Jersey City, NY-NJ</t>
        </is>
      </c>
      <c r="AI906" s="69" t="inlineStr">
        <is>
          <t>Northeast / Mid-Atlantic</t>
        </is>
      </c>
      <c r="AJ906" s="69" t="inlineStr">
        <is>
          <t>OF</t>
        </is>
      </c>
      <c r="AK906" s="69" t="inlineStr">
        <is>
          <t>CBD</t>
        </is>
      </c>
      <c r="AL906" s="68" t="n">
        <v>1</v>
      </c>
      <c r="AM906" s="68" t="n"/>
      <c r="AN906" s="68" t="n">
        <v>325510</v>
      </c>
      <c r="AO906" s="69" t="inlineStr">
        <is>
          <t>1928</t>
        </is>
      </c>
      <c r="AP906" s="70" t="n">
        <v>2016</v>
      </c>
      <c r="AQ906" s="74" t="n">
        <v>1.83</v>
      </c>
      <c r="AR906" s="74" t="n">
        <v>1.07</v>
      </c>
      <c r="AS906" s="74" t="n">
        <v>63.4</v>
      </c>
      <c r="AT906" s="74" t="n">
        <v>165.67</v>
      </c>
      <c r="AU906" s="74" t="n">
        <v>63.4</v>
      </c>
      <c r="AV906" s="74" t="n">
        <v>7.735261378</v>
      </c>
      <c r="AW906" s="74" t="n">
        <v>4.552383423</v>
      </c>
      <c r="AX906" s="75" t="n">
        <v>70</v>
      </c>
      <c r="AY906" s="71" t="n">
        <v>175000000</v>
      </c>
      <c r="AZ906" s="71" t="n">
        <v>67000000</v>
      </c>
      <c r="BA906" s="71" t="n">
        <v>8586140.130000001</v>
      </c>
      <c r="BB906" s="71" t="n">
        <v>1248479.5</v>
      </c>
      <c r="BC906" s="69" t="inlineStr">
        <is>
          <t>Acquisition</t>
        </is>
      </c>
      <c r="BD906" s="69" t="inlineStr">
        <is>
          <t>N</t>
        </is>
      </c>
      <c r="BE906" s="71" t="n">
        <v>66600000</v>
      </c>
      <c r="BF906" s="71" t="n"/>
      <c r="BG906" s="71" t="n"/>
      <c r="BH906" s="71" t="n">
        <v>20233182.91</v>
      </c>
      <c r="BI906" s="71" t="n">
        <v>1722997.92</v>
      </c>
      <c r="BJ906" s="69" t="inlineStr">
        <is>
          <t>N</t>
        </is>
      </c>
      <c r="BK906" s="69" t="inlineStr">
        <is>
          <t>THE CITY UNIVERSITY OF NEW YORK</t>
        </is>
      </c>
      <c r="BL906" s="75" t="n">
        <v>14.49</v>
      </c>
      <c r="BM906" s="73" t="n">
        <v>45535</v>
      </c>
      <c r="BN906" s="69" t="inlineStr">
        <is>
          <t>CIM SMA I Investments, LLC</t>
        </is>
      </c>
      <c r="BO906" s="69" t="inlineStr">
        <is>
          <t>Citi Real Estate Funding</t>
        </is>
      </c>
      <c r="BP906" s="69" t="inlineStr">
        <is>
          <t>Midland Loan Services</t>
        </is>
      </c>
      <c r="BQ906" s="69" t="inlineStr">
        <is>
          <t>LNR Partners</t>
        </is>
      </c>
      <c r="BR906" s="69" t="n"/>
      <c r="BS906" s="73" t="n">
        <v>46276</v>
      </c>
      <c r="BU906" s="76">
        <f>IF($C906="","",IFERROR(INDEX(dmName,MATCH($C906,dmID,0)),"Unmapped"))</f>
        <v/>
      </c>
      <c r="BV906" s="76">
        <f>IF($C906="","",IFERROR(INDEX(dmEntity,MATCH($C906,dmID,0)),"Unmapped"))</f>
        <v/>
      </c>
      <c r="BW906" s="77">
        <f>IF($C906="","",IFERROR(INDEX(dmVintage,MATCH($C906,dmID,0)),""))</f>
        <v/>
      </c>
      <c r="BX906" s="78">
        <f>IFERROR(INDEX(dmInclude,MATCH($C906,dmID,0)),0)</f>
        <v/>
      </c>
      <c r="BY906" s="78">
        <f>IF(N($I906)&gt;0,1,0)</f>
        <v/>
      </c>
      <c r="BZ906" s="76">
        <f>IF($AJ906="","Other / Leased Fee",IFERROR(INDEX(mapPTGroup,MATCH(LEFT(TRIM($AJ906),2),mapPTCode,0)),"Other / Leased Fee"))</f>
        <v/>
      </c>
      <c r="CA906" s="76">
        <f>IF(TRIM($AF906&amp;"")="","NR",LEFT(TRIM($AF906),2))</f>
        <v/>
      </c>
      <c r="CB906" s="76">
        <f>IFERROR(LOOKUP(2,1/(LEFT(TRIM($AI906&amp;""),LEN(mapRegion))=mapRegion),mapRegion),"Not Reported")</f>
        <v/>
      </c>
      <c r="CC906" s="76">
        <f>IF($BY906=0,"",IF(TRIM($W906&amp;"")="REO","REO",IF(TRIM($W906&amp;"")="FC","Foreclosure",IF(TRIM($W906&amp;"")="90+","90+ Days Delinquent",IF(TRIM($W906&amp;"")="60","60 Days Delinquent",IF(TRIM($W906&amp;"")="30","30 Days Delinquent",IF($X906="Non-Performing Matured Balloon","Non-Performing Matured Balloon",IF(OR($X906="Late Payment But Less Than 30 Days Delinquent",LEFT($X906&amp;"",20)="Payment Not Received"),"Late / In Grace (&lt;30 Days)",IF($X906="Performing Matured Balloon","Performing Matured Balloon","Current")))))))))</f>
        <v/>
      </c>
      <c r="CD906" s="78">
        <f>IF(OR($CC906="REO",$CC906="Foreclosure",$CC906="90+ Days Delinquent",$CC906="60 Days Delinquent",$CC906="30 Days Delinquent",$CC906="Non-Performing Matured Balloon"),1,0)</f>
        <v/>
      </c>
      <c r="CE906" s="76">
        <f>IF($AB906="Currently special serv","Currently Specially Serviced",IF($AB906="Returned to master serv","Previously Specially Serviced","Never Specially Serviced"))</f>
        <v/>
      </c>
      <c r="CF906" s="78">
        <f>IF($CE906="Currently Specially Serviced",1,0)</f>
        <v/>
      </c>
      <c r="CG906" s="76">
        <f>IF($AA906="Yes","Currently on Watchlist",IF($AA906="Previously","Previously on Watchlist","Never on Watchlist"))</f>
        <v/>
      </c>
      <c r="CH906" s="78">
        <f>IF($CG906="Currently on Watchlist",1,0)</f>
        <v/>
      </c>
      <c r="CI906" s="76">
        <f>IF($Z906="Full Defeasance","Fully Defeased",IF($Z906="Portion Of Loan Previously Defeased","Partially Defeased",IF($Z906="Defeasance Not Allowable","Not Defeased (Not Permitted)","Not Defeased")))</f>
        <v/>
      </c>
      <c r="CJ906" s="78">
        <f>IF($CI906="Fully Defeased",1,0)</f>
        <v/>
      </c>
      <c r="CK906" s="76">
        <f>IF($R906="IO","Full IO",IF(LEFT($R906&amp;"",7)="IO then","Partial IO","Amortizing"))</f>
        <v/>
      </c>
      <c r="CL906" s="78">
        <f>IF($CK906="Full IO",1,0)</f>
        <v/>
      </c>
      <c r="CM906" s="78">
        <f>IF($CK906="Partial IO",1,0)</f>
        <v/>
      </c>
      <c r="CN906" s="76">
        <f>IF(LEFT($F906&amp;"",10)="SPLIT_LOAN","Pari Passu Split","Standalone")</f>
        <v/>
      </c>
      <c r="CO906" s="78">
        <f>IF($CN906="Pari Passu Split",1,0)</f>
        <v/>
      </c>
      <c r="CP906" s="77">
        <f>IF(ISNUMBER($T906),YEAR($T906),"")</f>
        <v/>
      </c>
      <c r="CQ906" s="79">
        <f>IF(ISNUMBER($V906),$V906,IF(ISNUMBER($U906),$U906,""))</f>
        <v/>
      </c>
      <c r="CR906" s="77">
        <f>IF(ISNUMBER($CQ906),YEAR($CQ906),"")</f>
        <v/>
      </c>
      <c r="CS906" s="78">
        <f>IF(ISNUMBER($M906),MAX(0,$M906),IF(TRIM($M906&amp;"")="matured",0,""))</f>
        <v/>
      </c>
      <c r="CT906" s="78">
        <f>IF(AND(ISNUMBER($CS906),N($CS906)&lt;=mMatWindow),1,0)</f>
        <v/>
      </c>
      <c r="CU906" s="80">
        <f>IF(ISNUMBER($J906),$J906/100,"")</f>
        <v/>
      </c>
      <c r="CV906" s="81">
        <f>IF(ISNUMBER($AQ906),$AQ906,"")</f>
        <v/>
      </c>
      <c r="CW906" s="81">
        <f>IF(ISNUMBER($AR906),$AR906,"")</f>
        <v/>
      </c>
      <c r="CX906" s="82">
        <f>IF(ISNUMBER($AS906),$AS906/100,"")</f>
        <v/>
      </c>
      <c r="CY906" s="82">
        <f>IF(ISNUMBER($AT906),$AT906/100,"")</f>
        <v/>
      </c>
      <c r="CZ906" s="82">
        <f>IF(ISNUMBER($AU906),$AU906/100,"")</f>
        <v/>
      </c>
      <c r="DA906" s="82">
        <f>IF(ISNUMBER($AV906),$AV906/100,"")</f>
        <v/>
      </c>
      <c r="DB906" s="82">
        <f>IF(ISNUMBER($AW906),$AW906/100,"")</f>
        <v/>
      </c>
      <c r="DC906" s="82">
        <f>IF(ISNUMBER($AX906),$AX906/100,"")</f>
        <v/>
      </c>
      <c r="DD906" s="77">
        <f>IFERROR(VALUE(LEFT(TRIM($AO906&amp;""),4)),"")</f>
        <v/>
      </c>
      <c r="DE906" s="78">
        <f>IF(AND($BY906=1,$BX906=1,OR(fDeal="All Deals",$BU906=fDeal),OR(fEntity="All Entities",$BV906=fEntity),OR(fPType="All Property Types",$BZ906=fPType),OR(fDefeased="Include",$CJ906=0)),1,0)</f>
        <v/>
      </c>
      <c r="DF906" s="83">
        <f>$DE906*N($I906)</f>
        <v/>
      </c>
      <c r="DG906" s="78">
        <f>IF($DE906=1,IF(COUNTIFS($F$8:$F906,$F906,$DE$8:$DE906,1)=1,1,0),0)</f>
        <v/>
      </c>
      <c r="DH906" s="83">
        <f>IF($DG906=1,SUMIFS($DF$8:$DF$1600,$F$8:$F$1600,$F906),0)</f>
        <v/>
      </c>
      <c r="DI906" s="78">
        <f>IF($DG906=1,COUNTIFS($F$8:$F$1600,$F906,$DE$8:$DE$1600,1),0)</f>
        <v/>
      </c>
      <c r="DJ906" s="84">
        <f>IF($DG906=1,$DH906+(100000-ROW())/mTieBreak,0)</f>
        <v/>
      </c>
    </row>
    <row r="907">
      <c r="B907" s="68" t="n">
        <v>4</v>
      </c>
      <c r="C907" s="69" t="inlineStr">
        <is>
          <t>CCUB17C1</t>
        </is>
      </c>
      <c r="D907" s="69" t="inlineStr">
        <is>
          <t>4.000</t>
        </is>
      </c>
      <c r="E907" s="69" t="inlineStr">
        <is>
          <t>Riverview Landing</t>
        </is>
      </c>
      <c r="F907" s="69" t="inlineStr">
        <is>
          <t>LNCCUB17C1-4.000</t>
        </is>
      </c>
      <c r="G907" s="70" t="n"/>
      <c r="H907" s="71" t="n">
        <v>44000000</v>
      </c>
      <c r="I907" s="71" t="n">
        <v>44000000</v>
      </c>
      <c r="J907" s="72" t="n">
        <v>4.944</v>
      </c>
      <c r="K907" s="69" t="inlineStr">
        <is>
          <t>Fixed rate</t>
        </is>
      </c>
      <c r="L907" s="68" t="n">
        <v>120</v>
      </c>
      <c r="M907" s="68" t="n">
        <v>14</v>
      </c>
      <c r="N907" s="68" t="n">
        <v>120</v>
      </c>
      <c r="O907" s="68" t="n">
        <v>120</v>
      </c>
      <c r="P907" s="68" t="n">
        <v>14</v>
      </c>
      <c r="Q907" s="68" t="n">
        <v>106</v>
      </c>
      <c r="R907" s="69" t="inlineStr">
        <is>
          <t>IO</t>
        </is>
      </c>
      <c r="S907" s="69" t="inlineStr">
        <is>
          <t>Yes</t>
        </is>
      </c>
      <c r="T907" s="73" t="n">
        <v>43040</v>
      </c>
      <c r="U907" s="73" t="n">
        <v>46697</v>
      </c>
      <c r="V907" s="73" t="n"/>
      <c r="W907" s="69" t="n"/>
      <c r="X907" s="69" t="inlineStr">
        <is>
          <t>Current</t>
        </is>
      </c>
      <c r="Y907" s="68" t="n"/>
      <c r="Z907" s="69" t="inlineStr">
        <is>
          <t>No Defeasance Occurred</t>
        </is>
      </c>
      <c r="AA907" s="69" t="inlineStr">
        <is>
          <t>Previously</t>
        </is>
      </c>
      <c r="AB907" s="69" t="inlineStr">
        <is>
          <t>Never special serv</t>
        </is>
      </c>
      <c r="AC907" s="73" t="n"/>
      <c r="AD907" s="69" t="n"/>
      <c r="AE907" s="69" t="n"/>
      <c r="AF907" s="69" t="inlineStr">
        <is>
          <t>PA</t>
        </is>
      </c>
      <c r="AG907" s="69" t="inlineStr">
        <is>
          <t>Eagleville</t>
        </is>
      </c>
      <c r="AH907" s="69" t="inlineStr">
        <is>
          <t>Philadelphia-Camden-Wilmington, PA-NJ-DE-MD</t>
        </is>
      </c>
      <c r="AI907" s="69" t="inlineStr">
        <is>
          <t>Northeast / Mid-Atlantic</t>
        </is>
      </c>
      <c r="AJ907" s="69" t="inlineStr">
        <is>
          <t>MF</t>
        </is>
      </c>
      <c r="AK907" s="69" t="inlineStr">
        <is>
          <t>Garden</t>
        </is>
      </c>
      <c r="AL907" s="68" t="n">
        <v>1</v>
      </c>
      <c r="AM907" s="68" t="n">
        <v>310</v>
      </c>
      <c r="AN907" s="68" t="n"/>
      <c r="AO907" s="69" t="inlineStr">
        <is>
          <t>2006</t>
        </is>
      </c>
      <c r="AP907" s="70" t="n">
        <v>2006</v>
      </c>
      <c r="AQ907" s="74" t="n">
        <v>1.53</v>
      </c>
      <c r="AR907" s="74" t="n">
        <v>1.28</v>
      </c>
      <c r="AS907" s="74" t="n">
        <v>60.7</v>
      </c>
      <c r="AT907" s="74" t="n">
        <v>64.23</v>
      </c>
      <c r="AU907" s="74" t="n">
        <v>60.7</v>
      </c>
      <c r="AV907" s="74" t="n">
        <v>7.683306818</v>
      </c>
      <c r="AW907" s="74" t="n">
        <v>7.042467227</v>
      </c>
      <c r="AX907" s="75" t="n">
        <v>93</v>
      </c>
      <c r="AY907" s="71" t="n">
        <v>68500000</v>
      </c>
      <c r="AZ907" s="71" t="n">
        <v>68500000</v>
      </c>
      <c r="BA907" s="71" t="n">
        <v>3380655</v>
      </c>
      <c r="BB907" s="71" t="n">
        <v>2828322.4</v>
      </c>
      <c r="BC907" s="69" t="inlineStr">
        <is>
          <t>Refinance</t>
        </is>
      </c>
      <c r="BD907" s="69" t="inlineStr">
        <is>
          <t>N</t>
        </is>
      </c>
      <c r="BE907" s="71" t="n"/>
      <c r="BF907" s="71" t="n"/>
      <c r="BG907" s="71" t="n">
        <v>8450000</v>
      </c>
      <c r="BH907" s="71" t="n">
        <v>0</v>
      </c>
      <c r="BI907" s="71" t="n">
        <v>0</v>
      </c>
      <c r="BJ907" s="69" t="inlineStr">
        <is>
          <t>N</t>
        </is>
      </c>
      <c r="BK907" s="69" t="n"/>
      <c r="BL907" s="75" t="n"/>
      <c r="BM907" s="73" t="n"/>
      <c r="BN907" s="69" t="inlineStr">
        <is>
          <t>William Liss; Jason Liss; Jordan Liss</t>
        </is>
      </c>
      <c r="BO907" s="69" t="inlineStr">
        <is>
          <t>Cantor Commercial Real Estate Lending</t>
        </is>
      </c>
      <c r="BP907" s="69" t="inlineStr">
        <is>
          <t>Midland Loan Services</t>
        </is>
      </c>
      <c r="BQ907" s="69" t="inlineStr">
        <is>
          <t>Midland Loan Services</t>
        </is>
      </c>
      <c r="BR907" s="69" t="n"/>
      <c r="BS907" s="73" t="n">
        <v>46276</v>
      </c>
      <c r="BU907" s="76">
        <f>IF($C907="","",IFERROR(INDEX(dmName,MATCH($C907,dmID,0)),"Unmapped"))</f>
        <v/>
      </c>
      <c r="BV907" s="76">
        <f>IF($C907="","",IFERROR(INDEX(dmEntity,MATCH($C907,dmID,0)),"Unmapped"))</f>
        <v/>
      </c>
      <c r="BW907" s="77">
        <f>IF($C907="","",IFERROR(INDEX(dmVintage,MATCH($C907,dmID,0)),""))</f>
        <v/>
      </c>
      <c r="BX907" s="78">
        <f>IFERROR(INDEX(dmInclude,MATCH($C907,dmID,0)),0)</f>
        <v/>
      </c>
      <c r="BY907" s="78">
        <f>IF(N($I907)&gt;0,1,0)</f>
        <v/>
      </c>
      <c r="BZ907" s="76">
        <f>IF($AJ907="","Other / Leased Fee",IFERROR(INDEX(mapPTGroup,MATCH(LEFT(TRIM($AJ907),2),mapPTCode,0)),"Other / Leased Fee"))</f>
        <v/>
      </c>
      <c r="CA907" s="76">
        <f>IF(TRIM($AF907&amp;"")="","NR",LEFT(TRIM($AF907),2))</f>
        <v/>
      </c>
      <c r="CB907" s="76">
        <f>IFERROR(LOOKUP(2,1/(LEFT(TRIM($AI907&amp;""),LEN(mapRegion))=mapRegion),mapRegion),"Not Reported")</f>
        <v/>
      </c>
      <c r="CC907" s="76">
        <f>IF($BY907=0,"",IF(TRIM($W907&amp;"")="REO","REO",IF(TRIM($W907&amp;"")="FC","Foreclosure",IF(TRIM($W907&amp;"")="90+","90+ Days Delinquent",IF(TRIM($W907&amp;"")="60","60 Days Delinquent",IF(TRIM($W907&amp;"")="30","30 Days Delinquent",IF($X907="Non-Performing Matured Balloon","Non-Performing Matured Balloon",IF(OR($X907="Late Payment But Less Than 30 Days Delinquent",LEFT($X907&amp;"",20)="Payment Not Received"),"Late / In Grace (&lt;30 Days)",IF($X907="Performing Matured Balloon","Performing Matured Balloon","Current")))))))))</f>
        <v/>
      </c>
      <c r="CD907" s="78">
        <f>IF(OR($CC907="REO",$CC907="Foreclosure",$CC907="90+ Days Delinquent",$CC907="60 Days Delinquent",$CC907="30 Days Delinquent",$CC907="Non-Performing Matured Balloon"),1,0)</f>
        <v/>
      </c>
      <c r="CE907" s="76">
        <f>IF($AB907="Currently special serv","Currently Specially Serviced",IF($AB907="Returned to master serv","Previously Specially Serviced","Never Specially Serviced"))</f>
        <v/>
      </c>
      <c r="CF907" s="78">
        <f>IF($CE907="Currently Specially Serviced",1,0)</f>
        <v/>
      </c>
      <c r="CG907" s="76">
        <f>IF($AA907="Yes","Currently on Watchlist",IF($AA907="Previously","Previously on Watchlist","Never on Watchlist"))</f>
        <v/>
      </c>
      <c r="CH907" s="78">
        <f>IF($CG907="Currently on Watchlist",1,0)</f>
        <v/>
      </c>
      <c r="CI907" s="76">
        <f>IF($Z907="Full Defeasance","Fully Defeased",IF($Z907="Portion Of Loan Previously Defeased","Partially Defeased",IF($Z907="Defeasance Not Allowable","Not Defeased (Not Permitted)","Not Defeased")))</f>
        <v/>
      </c>
      <c r="CJ907" s="78">
        <f>IF($CI907="Fully Defeased",1,0)</f>
        <v/>
      </c>
      <c r="CK907" s="76">
        <f>IF($R907="IO","Full IO",IF(LEFT($R907&amp;"",7)="IO then","Partial IO","Amortizing"))</f>
        <v/>
      </c>
      <c r="CL907" s="78">
        <f>IF($CK907="Full IO",1,0)</f>
        <v/>
      </c>
      <c r="CM907" s="78">
        <f>IF($CK907="Partial IO",1,0)</f>
        <v/>
      </c>
      <c r="CN907" s="76">
        <f>IF(LEFT($F907&amp;"",10)="SPLIT_LOAN","Pari Passu Split","Standalone")</f>
        <v/>
      </c>
      <c r="CO907" s="78">
        <f>IF($CN907="Pari Passu Split",1,0)</f>
        <v/>
      </c>
      <c r="CP907" s="77">
        <f>IF(ISNUMBER($T907),YEAR($T907),"")</f>
        <v/>
      </c>
      <c r="CQ907" s="79">
        <f>IF(ISNUMBER($V907),$V907,IF(ISNUMBER($U907),$U907,""))</f>
        <v/>
      </c>
      <c r="CR907" s="77">
        <f>IF(ISNUMBER($CQ907),YEAR($CQ907),"")</f>
        <v/>
      </c>
      <c r="CS907" s="78">
        <f>IF(ISNUMBER($M907),MAX(0,$M907),IF(TRIM($M907&amp;"")="matured",0,""))</f>
        <v/>
      </c>
      <c r="CT907" s="78">
        <f>IF(AND(ISNUMBER($CS907),N($CS907)&lt;=mMatWindow),1,0)</f>
        <v/>
      </c>
      <c r="CU907" s="80">
        <f>IF(ISNUMBER($J907),$J907/100,"")</f>
        <v/>
      </c>
      <c r="CV907" s="81">
        <f>IF(ISNUMBER($AQ907),$AQ907,"")</f>
        <v/>
      </c>
      <c r="CW907" s="81">
        <f>IF(ISNUMBER($AR907),$AR907,"")</f>
        <v/>
      </c>
      <c r="CX907" s="82">
        <f>IF(ISNUMBER($AS907),$AS907/100,"")</f>
        <v/>
      </c>
      <c r="CY907" s="82">
        <f>IF(ISNUMBER($AT907),$AT907/100,"")</f>
        <v/>
      </c>
      <c r="CZ907" s="82">
        <f>IF(ISNUMBER($AU907),$AU907/100,"")</f>
        <v/>
      </c>
      <c r="DA907" s="82">
        <f>IF(ISNUMBER($AV907),$AV907/100,"")</f>
        <v/>
      </c>
      <c r="DB907" s="82">
        <f>IF(ISNUMBER($AW907),$AW907/100,"")</f>
        <v/>
      </c>
      <c r="DC907" s="82">
        <f>IF(ISNUMBER($AX907),$AX907/100,"")</f>
        <v/>
      </c>
      <c r="DD907" s="77">
        <f>IFERROR(VALUE(LEFT(TRIM($AO907&amp;""),4)),"")</f>
        <v/>
      </c>
      <c r="DE907" s="78">
        <f>IF(AND($BY907=1,$BX907=1,OR(fDeal="All Deals",$BU907=fDeal),OR(fEntity="All Entities",$BV907=fEntity),OR(fPType="All Property Types",$BZ907=fPType),OR(fDefeased="Include",$CJ907=0)),1,0)</f>
        <v/>
      </c>
      <c r="DF907" s="83">
        <f>$DE907*N($I907)</f>
        <v/>
      </c>
      <c r="DG907" s="78">
        <f>IF($DE907=1,IF(COUNTIFS($F$8:$F907,$F907,$DE$8:$DE907,1)=1,1,0),0)</f>
        <v/>
      </c>
      <c r="DH907" s="83">
        <f>IF($DG907=1,SUMIFS($DF$8:$DF$1600,$F$8:$F$1600,$F907),0)</f>
        <v/>
      </c>
      <c r="DI907" s="78">
        <f>IF($DG907=1,COUNTIFS($F$8:$F$1600,$F907,$DE$8:$DE$1600,1),0)</f>
        <v/>
      </c>
      <c r="DJ907" s="84">
        <f>IF($DG907=1,$DH907+(100000-ROW())/mTieBreak,0)</f>
        <v/>
      </c>
    </row>
    <row r="908">
      <c r="B908" s="68" t="n">
        <v>5</v>
      </c>
      <c r="C908" s="69" t="inlineStr">
        <is>
          <t>CCUB17C1</t>
        </is>
      </c>
      <c r="D908" s="69" t="inlineStr">
        <is>
          <t>5.000</t>
        </is>
      </c>
      <c r="E908" s="69" t="inlineStr">
        <is>
          <t>Chelsea Multifamily Portfolio</t>
        </is>
      </c>
      <c r="F908" s="69" t="inlineStr">
        <is>
          <t>SPLIT_LOAN_01106</t>
        </is>
      </c>
      <c r="G908" s="70" t="n">
        <v>1106</v>
      </c>
      <c r="H908" s="71" t="n">
        <v>35000000</v>
      </c>
      <c r="I908" s="71" t="n">
        <v>35000000</v>
      </c>
      <c r="J908" s="72" t="n">
        <v>4.712</v>
      </c>
      <c r="K908" s="69" t="inlineStr">
        <is>
          <t>Fixed rate</t>
        </is>
      </c>
      <c r="L908" s="68" t="n">
        <v>120</v>
      </c>
      <c r="M908" s="68" t="n">
        <v>12</v>
      </c>
      <c r="N908" s="68" t="n">
        <v>120</v>
      </c>
      <c r="O908" s="68" t="n">
        <v>120</v>
      </c>
      <c r="P908" s="68" t="n">
        <v>12</v>
      </c>
      <c r="Q908" s="68" t="n">
        <v>108</v>
      </c>
      <c r="R908" s="69" t="inlineStr">
        <is>
          <t>IO</t>
        </is>
      </c>
      <c r="S908" s="69" t="inlineStr">
        <is>
          <t>Yes</t>
        </is>
      </c>
      <c r="T908" s="73" t="n">
        <v>42979</v>
      </c>
      <c r="U908" s="73" t="n">
        <v>46636</v>
      </c>
      <c r="V908" s="73" t="n"/>
      <c r="W908" s="69" t="n"/>
      <c r="X908" s="69" t="inlineStr">
        <is>
          <t>Current</t>
        </is>
      </c>
      <c r="Y908" s="68" t="n"/>
      <c r="Z908" s="69" t="inlineStr">
        <is>
          <t>No Defeasance Occurred</t>
        </is>
      </c>
      <c r="AA908" s="69" t="inlineStr">
        <is>
          <t>Yes</t>
        </is>
      </c>
      <c r="AB908" s="69" t="inlineStr">
        <is>
          <t>Never special serv</t>
        </is>
      </c>
      <c r="AC908" s="73" t="n"/>
      <c r="AD908" s="69" t="n"/>
      <c r="AE908" s="69" t="n"/>
      <c r="AF908" s="69" t="inlineStr">
        <is>
          <t>NY</t>
        </is>
      </c>
      <c r="AG908" s="69" t="inlineStr">
        <is>
          <t>New York</t>
        </is>
      </c>
      <c r="AH908" s="69" t="inlineStr">
        <is>
          <t>New York-Newark-Jersey City, NY-NJ</t>
        </is>
      </c>
      <c r="AI908" s="69" t="inlineStr">
        <is>
          <t>Northeast / Mid-Atlantic</t>
        </is>
      </c>
      <c r="AJ908" s="69" t="inlineStr">
        <is>
          <t>MF</t>
        </is>
      </c>
      <c r="AK908" s="69" t="inlineStr">
        <is>
          <t>Mid Rise</t>
        </is>
      </c>
      <c r="AL908" s="68" t="n">
        <v>13</v>
      </c>
      <c r="AM908" s="68" t="n">
        <v>146</v>
      </c>
      <c r="AN908" s="68" t="n"/>
      <c r="AO908" s="69" t="n"/>
      <c r="AP908" s="70" t="n">
        <v>2017</v>
      </c>
      <c r="AQ908" s="74" t="n">
        <v>1.3</v>
      </c>
      <c r="AR908" s="74" t="n">
        <v>1.02</v>
      </c>
      <c r="AS908" s="74" t="n">
        <v>58.2</v>
      </c>
      <c r="AT908" s="74" t="n">
        <v>58.23</v>
      </c>
      <c r="AU908" s="74" t="n">
        <v>58.2</v>
      </c>
      <c r="AV908" s="74" t="n">
        <v>6.189733333</v>
      </c>
      <c r="AW908" s="74" t="n">
        <v>4.8502954</v>
      </c>
      <c r="AX908" s="75" t="n">
        <v>97.26000000000001</v>
      </c>
      <c r="AY908" s="71" t="n">
        <v>128800000</v>
      </c>
      <c r="AZ908" s="71" t="n">
        <v>128800000</v>
      </c>
      <c r="BA908" s="71" t="n">
        <v>4642300</v>
      </c>
      <c r="BB908" s="71" t="n">
        <v>3637721.55</v>
      </c>
      <c r="BC908" s="69" t="inlineStr">
        <is>
          <t>Refinance</t>
        </is>
      </c>
      <c r="BD908" s="69" t="inlineStr">
        <is>
          <t>N</t>
        </is>
      </c>
      <c r="BE908" s="71" t="n">
        <v>40000000</v>
      </c>
      <c r="BF908" s="71" t="n"/>
      <c r="BG908" s="71" t="n"/>
      <c r="BH908" s="71" t="n">
        <v>0</v>
      </c>
      <c r="BI908" s="71" t="n">
        <v>0</v>
      </c>
      <c r="BJ908" s="69" t="inlineStr">
        <is>
          <t>N</t>
        </is>
      </c>
      <c r="BK908" s="69" t="n"/>
      <c r="BL908" s="75" t="n"/>
      <c r="BM908" s="73" t="n"/>
      <c r="BN908" s="69" t="inlineStr">
        <is>
          <t>Joshua Gotlib</t>
        </is>
      </c>
      <c r="BO908" s="69" t="inlineStr">
        <is>
          <t>Cantor Commercial Real Estate Lending</t>
        </is>
      </c>
      <c r="BP908" s="69" t="inlineStr">
        <is>
          <t>Midland Loan Services</t>
        </is>
      </c>
      <c r="BQ908" s="69" t="inlineStr">
        <is>
          <t>Midland Loan Services</t>
        </is>
      </c>
      <c r="BR908" s="69" t="n"/>
      <c r="BS908" s="73" t="n">
        <v>46276</v>
      </c>
      <c r="BU908" s="76">
        <f>IF($C908="","",IFERROR(INDEX(dmName,MATCH($C908,dmID,0)),"Unmapped"))</f>
        <v/>
      </c>
      <c r="BV908" s="76">
        <f>IF($C908="","",IFERROR(INDEX(dmEntity,MATCH($C908,dmID,0)),"Unmapped"))</f>
        <v/>
      </c>
      <c r="BW908" s="77">
        <f>IF($C908="","",IFERROR(INDEX(dmVintage,MATCH($C908,dmID,0)),""))</f>
        <v/>
      </c>
      <c r="BX908" s="78">
        <f>IFERROR(INDEX(dmInclude,MATCH($C908,dmID,0)),0)</f>
        <v/>
      </c>
      <c r="BY908" s="78">
        <f>IF(N($I908)&gt;0,1,0)</f>
        <v/>
      </c>
      <c r="BZ908" s="76">
        <f>IF($AJ908="","Other / Leased Fee",IFERROR(INDEX(mapPTGroup,MATCH(LEFT(TRIM($AJ908),2),mapPTCode,0)),"Other / Leased Fee"))</f>
        <v/>
      </c>
      <c r="CA908" s="76">
        <f>IF(TRIM($AF908&amp;"")="","NR",LEFT(TRIM($AF908),2))</f>
        <v/>
      </c>
      <c r="CB908" s="76">
        <f>IFERROR(LOOKUP(2,1/(LEFT(TRIM($AI908&amp;""),LEN(mapRegion))=mapRegion),mapRegion),"Not Reported")</f>
        <v/>
      </c>
      <c r="CC908" s="76">
        <f>IF($BY908=0,"",IF(TRIM($W908&amp;"")="REO","REO",IF(TRIM($W908&amp;"")="FC","Foreclosure",IF(TRIM($W908&amp;"")="90+","90+ Days Delinquent",IF(TRIM($W908&amp;"")="60","60 Days Delinquent",IF(TRIM($W908&amp;"")="30","30 Days Delinquent",IF($X908="Non-Performing Matured Balloon","Non-Performing Matured Balloon",IF(OR($X908="Late Payment But Less Than 30 Days Delinquent",LEFT($X908&amp;"",20)="Payment Not Received"),"Late / In Grace (&lt;30 Days)",IF($X908="Performing Matured Balloon","Performing Matured Balloon","Current")))))))))</f>
        <v/>
      </c>
      <c r="CD908" s="78">
        <f>IF(OR($CC908="REO",$CC908="Foreclosure",$CC908="90+ Days Delinquent",$CC908="60 Days Delinquent",$CC908="30 Days Delinquent",$CC908="Non-Performing Matured Balloon"),1,0)</f>
        <v/>
      </c>
      <c r="CE908" s="76">
        <f>IF($AB908="Currently special serv","Currently Specially Serviced",IF($AB908="Returned to master serv","Previously Specially Serviced","Never Specially Serviced"))</f>
        <v/>
      </c>
      <c r="CF908" s="78">
        <f>IF($CE908="Currently Specially Serviced",1,0)</f>
        <v/>
      </c>
      <c r="CG908" s="76">
        <f>IF($AA908="Yes","Currently on Watchlist",IF($AA908="Previously","Previously on Watchlist","Never on Watchlist"))</f>
        <v/>
      </c>
      <c r="CH908" s="78">
        <f>IF($CG908="Currently on Watchlist",1,0)</f>
        <v/>
      </c>
      <c r="CI908" s="76">
        <f>IF($Z908="Full Defeasance","Fully Defeased",IF($Z908="Portion Of Loan Previously Defeased","Partially Defeased",IF($Z908="Defeasance Not Allowable","Not Defeased (Not Permitted)","Not Defeased")))</f>
        <v/>
      </c>
      <c r="CJ908" s="78">
        <f>IF($CI908="Fully Defeased",1,0)</f>
        <v/>
      </c>
      <c r="CK908" s="76">
        <f>IF($R908="IO","Full IO",IF(LEFT($R908&amp;"",7)="IO then","Partial IO","Amortizing"))</f>
        <v/>
      </c>
      <c r="CL908" s="78">
        <f>IF($CK908="Full IO",1,0)</f>
        <v/>
      </c>
      <c r="CM908" s="78">
        <f>IF($CK908="Partial IO",1,0)</f>
        <v/>
      </c>
      <c r="CN908" s="76">
        <f>IF(LEFT($F908&amp;"",10)="SPLIT_LOAN","Pari Passu Split","Standalone")</f>
        <v/>
      </c>
      <c r="CO908" s="78">
        <f>IF($CN908="Pari Passu Split",1,0)</f>
        <v/>
      </c>
      <c r="CP908" s="77">
        <f>IF(ISNUMBER($T908),YEAR($T908),"")</f>
        <v/>
      </c>
      <c r="CQ908" s="79">
        <f>IF(ISNUMBER($V908),$V908,IF(ISNUMBER($U908),$U908,""))</f>
        <v/>
      </c>
      <c r="CR908" s="77">
        <f>IF(ISNUMBER($CQ908),YEAR($CQ908),"")</f>
        <v/>
      </c>
      <c r="CS908" s="78">
        <f>IF(ISNUMBER($M908),MAX(0,$M908),IF(TRIM($M908&amp;"")="matured",0,""))</f>
        <v/>
      </c>
      <c r="CT908" s="78">
        <f>IF(AND(ISNUMBER($CS908),N($CS908)&lt;=mMatWindow),1,0)</f>
        <v/>
      </c>
      <c r="CU908" s="80">
        <f>IF(ISNUMBER($J908),$J908/100,"")</f>
        <v/>
      </c>
      <c r="CV908" s="81">
        <f>IF(ISNUMBER($AQ908),$AQ908,"")</f>
        <v/>
      </c>
      <c r="CW908" s="81">
        <f>IF(ISNUMBER($AR908),$AR908,"")</f>
        <v/>
      </c>
      <c r="CX908" s="82">
        <f>IF(ISNUMBER($AS908),$AS908/100,"")</f>
        <v/>
      </c>
      <c r="CY908" s="82">
        <f>IF(ISNUMBER($AT908),$AT908/100,"")</f>
        <v/>
      </c>
      <c r="CZ908" s="82">
        <f>IF(ISNUMBER($AU908),$AU908/100,"")</f>
        <v/>
      </c>
      <c r="DA908" s="82">
        <f>IF(ISNUMBER($AV908),$AV908/100,"")</f>
        <v/>
      </c>
      <c r="DB908" s="82">
        <f>IF(ISNUMBER($AW908),$AW908/100,"")</f>
        <v/>
      </c>
      <c r="DC908" s="82">
        <f>IF(ISNUMBER($AX908),$AX908/100,"")</f>
        <v/>
      </c>
      <c r="DD908" s="77">
        <f>IFERROR(VALUE(LEFT(TRIM($AO908&amp;""),4)),"")</f>
        <v/>
      </c>
      <c r="DE908" s="78">
        <f>IF(AND($BY908=1,$BX908=1,OR(fDeal="All Deals",$BU908=fDeal),OR(fEntity="All Entities",$BV908=fEntity),OR(fPType="All Property Types",$BZ908=fPType),OR(fDefeased="Include",$CJ908=0)),1,0)</f>
        <v/>
      </c>
      <c r="DF908" s="83">
        <f>$DE908*N($I908)</f>
        <v/>
      </c>
      <c r="DG908" s="78">
        <f>IF($DE908=1,IF(COUNTIFS($F$8:$F908,$F908,$DE$8:$DE908,1)=1,1,0),0)</f>
        <v/>
      </c>
      <c r="DH908" s="83">
        <f>IF($DG908=1,SUMIFS($DF$8:$DF$1600,$F$8:$F$1600,$F908),0)</f>
        <v/>
      </c>
      <c r="DI908" s="78">
        <f>IF($DG908=1,COUNTIFS($F$8:$F$1600,$F908,$DE$8:$DE$1600,1),0)</f>
        <v/>
      </c>
      <c r="DJ908" s="84">
        <f>IF($DG908=1,$DH908+(100000-ROW())/mTieBreak,0)</f>
        <v/>
      </c>
    </row>
    <row r="909">
      <c r="B909" s="68" t="n">
        <v>6</v>
      </c>
      <c r="C909" s="69" t="inlineStr">
        <is>
          <t>CCUB17C1</t>
        </is>
      </c>
      <c r="D909" s="69" t="inlineStr">
        <is>
          <t>6.000</t>
        </is>
      </c>
      <c r="E909" s="69" t="inlineStr">
        <is>
          <t>Harmon Corner</t>
        </is>
      </c>
      <c r="F909" s="69" t="inlineStr">
        <is>
          <t>SPLIT_LOAN_01139</t>
        </is>
      </c>
      <c r="G909" s="70" t="n">
        <v>1139</v>
      </c>
      <c r="H909" s="71" t="n">
        <v>35000000</v>
      </c>
      <c r="I909" s="71" t="n">
        <v>35000000</v>
      </c>
      <c r="J909" s="72" t="n">
        <v>4.25</v>
      </c>
      <c r="K909" s="69" t="inlineStr">
        <is>
          <t>Fixed rate</t>
        </is>
      </c>
      <c r="L909" s="68" t="n">
        <v>121</v>
      </c>
      <c r="M909" s="68" t="n">
        <v>15</v>
      </c>
      <c r="N909" s="68" t="n">
        <v>121</v>
      </c>
      <c r="O909" s="68" t="n">
        <v>121</v>
      </c>
      <c r="P909" s="68" t="n">
        <v>15</v>
      </c>
      <c r="Q909" s="68" t="n">
        <v>106</v>
      </c>
      <c r="R909" s="69" t="inlineStr">
        <is>
          <t>IO</t>
        </is>
      </c>
      <c r="S909" s="69" t="inlineStr">
        <is>
          <t>Yes</t>
        </is>
      </c>
      <c r="T909" s="73" t="n">
        <v>43040</v>
      </c>
      <c r="U909" s="73" t="n">
        <v>46727</v>
      </c>
      <c r="V909" s="73" t="n"/>
      <c r="W909" s="69" t="n"/>
      <c r="X909" s="69" t="inlineStr">
        <is>
          <t>Current</t>
        </is>
      </c>
      <c r="Y909" s="68" t="n"/>
      <c r="Z909" s="69" t="inlineStr">
        <is>
          <t>No Defeasance Occurred</t>
        </is>
      </c>
      <c r="AA909" s="69" t="n"/>
      <c r="AB909" s="69" t="inlineStr">
        <is>
          <t>Never special serv</t>
        </is>
      </c>
      <c r="AC909" s="73" t="n"/>
      <c r="AD909" s="69" t="n"/>
      <c r="AE909" s="69" t="n"/>
      <c r="AF909" s="69" t="inlineStr">
        <is>
          <t>NV</t>
        </is>
      </c>
      <c r="AG909" s="69" t="inlineStr">
        <is>
          <t>Las Vegas</t>
        </is>
      </c>
      <c r="AH909" s="69" t="inlineStr">
        <is>
          <t>Las Vegas-Henderson-North Las Vegas, NV</t>
        </is>
      </c>
      <c r="AI909" s="69" t="inlineStr">
        <is>
          <t>West / Mountain</t>
        </is>
      </c>
      <c r="AJ909" s="69" t="inlineStr">
        <is>
          <t>MX</t>
        </is>
      </c>
      <c r="AK909" s="69" t="n"/>
      <c r="AL909" s="68" t="n">
        <v>1</v>
      </c>
      <c r="AM909" s="68" t="n"/>
      <c r="AN909" s="68" t="n">
        <v>68613</v>
      </c>
      <c r="AO909" s="69" t="inlineStr">
        <is>
          <t>2012</t>
        </is>
      </c>
      <c r="AP909" s="70" t="n">
        <v>2012</v>
      </c>
      <c r="AQ909" s="74" t="n">
        <v>2.02</v>
      </c>
      <c r="AR909" s="74" t="n">
        <v>2.72</v>
      </c>
      <c r="AS909" s="74" t="n">
        <v>56.5</v>
      </c>
      <c r="AT909" s="74" t="n">
        <v>56.52</v>
      </c>
      <c r="AU909" s="74" t="n">
        <v>56.5</v>
      </c>
      <c r="AV909" s="74" t="n">
        <v>8.693524476</v>
      </c>
      <c r="AW909" s="74" t="n">
        <v>11.739845406</v>
      </c>
      <c r="AX909" s="75" t="n">
        <v>100</v>
      </c>
      <c r="AY909" s="71" t="n">
        <v>253000000</v>
      </c>
      <c r="AZ909" s="71" t="n">
        <v>253000000</v>
      </c>
      <c r="BA909" s="71" t="n">
        <v>12431740</v>
      </c>
      <c r="BB909" s="71" t="n">
        <v>16787978.93</v>
      </c>
      <c r="BC909" s="69" t="inlineStr">
        <is>
          <t>Refinance</t>
        </is>
      </c>
      <c r="BD909" s="69" t="inlineStr">
        <is>
          <t>N</t>
        </is>
      </c>
      <c r="BE909" s="71" t="n">
        <v>108000000</v>
      </c>
      <c r="BF909" s="71" t="n"/>
      <c r="BG909" s="71" t="n"/>
      <c r="BH909" s="71" t="n">
        <v>0</v>
      </c>
      <c r="BI909" s="71" t="n">
        <v>0</v>
      </c>
      <c r="BJ909" s="69" t="inlineStr">
        <is>
          <t>N</t>
        </is>
      </c>
      <c r="BK909" s="69" t="inlineStr">
        <is>
          <t>Walgreens</t>
        </is>
      </c>
      <c r="BL909" s="75" t="n">
        <v>21.94</v>
      </c>
      <c r="BM909" s="73" t="n">
        <v>77126</v>
      </c>
      <c r="BN909" s="69" t="inlineStr">
        <is>
          <t>Paul Kanavos, Brett Torino, Steven J. Johnson</t>
        </is>
      </c>
      <c r="BO909" s="69" t="inlineStr">
        <is>
          <t>Cantor Commercial Real Estate Lending</t>
        </is>
      </c>
      <c r="BP909" s="69" t="inlineStr">
        <is>
          <t>Midland Loan Services</t>
        </is>
      </c>
      <c r="BQ909" s="69" t="inlineStr">
        <is>
          <t>Rialto Capital</t>
        </is>
      </c>
      <c r="BR909" s="69" t="n"/>
      <c r="BS909" s="73" t="n">
        <v>46276</v>
      </c>
      <c r="BU909" s="76">
        <f>IF($C909="","",IFERROR(INDEX(dmName,MATCH($C909,dmID,0)),"Unmapped"))</f>
        <v/>
      </c>
      <c r="BV909" s="76">
        <f>IF($C909="","",IFERROR(INDEX(dmEntity,MATCH($C909,dmID,0)),"Unmapped"))</f>
        <v/>
      </c>
      <c r="BW909" s="77">
        <f>IF($C909="","",IFERROR(INDEX(dmVintage,MATCH($C909,dmID,0)),""))</f>
        <v/>
      </c>
      <c r="BX909" s="78">
        <f>IFERROR(INDEX(dmInclude,MATCH($C909,dmID,0)),0)</f>
        <v/>
      </c>
      <c r="BY909" s="78">
        <f>IF(N($I909)&gt;0,1,0)</f>
        <v/>
      </c>
      <c r="BZ909" s="76">
        <f>IF($AJ909="","Other / Leased Fee",IFERROR(INDEX(mapPTGroup,MATCH(LEFT(TRIM($AJ909),2),mapPTCode,0)),"Other / Leased Fee"))</f>
        <v/>
      </c>
      <c r="CA909" s="76">
        <f>IF(TRIM($AF909&amp;"")="","NR",LEFT(TRIM($AF909),2))</f>
        <v/>
      </c>
      <c r="CB909" s="76">
        <f>IFERROR(LOOKUP(2,1/(LEFT(TRIM($AI909&amp;""),LEN(mapRegion))=mapRegion),mapRegion),"Not Reported")</f>
        <v/>
      </c>
      <c r="CC909" s="76">
        <f>IF($BY909=0,"",IF(TRIM($W909&amp;"")="REO","REO",IF(TRIM($W909&amp;"")="FC","Foreclosure",IF(TRIM($W909&amp;"")="90+","90+ Days Delinquent",IF(TRIM($W909&amp;"")="60","60 Days Delinquent",IF(TRIM($W909&amp;"")="30","30 Days Delinquent",IF($X909="Non-Performing Matured Balloon","Non-Performing Matured Balloon",IF(OR($X909="Late Payment But Less Than 30 Days Delinquent",LEFT($X909&amp;"",20)="Payment Not Received"),"Late / In Grace (&lt;30 Days)",IF($X909="Performing Matured Balloon","Performing Matured Balloon","Current")))))))))</f>
        <v/>
      </c>
      <c r="CD909" s="78">
        <f>IF(OR($CC909="REO",$CC909="Foreclosure",$CC909="90+ Days Delinquent",$CC909="60 Days Delinquent",$CC909="30 Days Delinquent",$CC909="Non-Performing Matured Balloon"),1,0)</f>
        <v/>
      </c>
      <c r="CE909" s="76">
        <f>IF($AB909="Currently special serv","Currently Specially Serviced",IF($AB909="Returned to master serv","Previously Specially Serviced","Never Specially Serviced"))</f>
        <v/>
      </c>
      <c r="CF909" s="78">
        <f>IF($CE909="Currently Specially Serviced",1,0)</f>
        <v/>
      </c>
      <c r="CG909" s="76">
        <f>IF($AA909="Yes","Currently on Watchlist",IF($AA909="Previously","Previously on Watchlist","Never on Watchlist"))</f>
        <v/>
      </c>
      <c r="CH909" s="78">
        <f>IF($CG909="Currently on Watchlist",1,0)</f>
        <v/>
      </c>
      <c r="CI909" s="76">
        <f>IF($Z909="Full Defeasance","Fully Defeased",IF($Z909="Portion Of Loan Previously Defeased","Partially Defeased",IF($Z909="Defeasance Not Allowable","Not Defeased (Not Permitted)","Not Defeased")))</f>
        <v/>
      </c>
      <c r="CJ909" s="78">
        <f>IF($CI909="Fully Defeased",1,0)</f>
        <v/>
      </c>
      <c r="CK909" s="76">
        <f>IF($R909="IO","Full IO",IF(LEFT($R909&amp;"",7)="IO then","Partial IO","Amortizing"))</f>
        <v/>
      </c>
      <c r="CL909" s="78">
        <f>IF($CK909="Full IO",1,0)</f>
        <v/>
      </c>
      <c r="CM909" s="78">
        <f>IF($CK909="Partial IO",1,0)</f>
        <v/>
      </c>
      <c r="CN909" s="76">
        <f>IF(LEFT($F909&amp;"",10)="SPLIT_LOAN","Pari Passu Split","Standalone")</f>
        <v/>
      </c>
      <c r="CO909" s="78">
        <f>IF($CN909="Pari Passu Split",1,0)</f>
        <v/>
      </c>
      <c r="CP909" s="77">
        <f>IF(ISNUMBER($T909),YEAR($T909),"")</f>
        <v/>
      </c>
      <c r="CQ909" s="79">
        <f>IF(ISNUMBER($V909),$V909,IF(ISNUMBER($U909),$U909,""))</f>
        <v/>
      </c>
      <c r="CR909" s="77">
        <f>IF(ISNUMBER($CQ909),YEAR($CQ909),"")</f>
        <v/>
      </c>
      <c r="CS909" s="78">
        <f>IF(ISNUMBER($M909),MAX(0,$M909),IF(TRIM($M909&amp;"")="matured",0,""))</f>
        <v/>
      </c>
      <c r="CT909" s="78">
        <f>IF(AND(ISNUMBER($CS909),N($CS909)&lt;=mMatWindow),1,0)</f>
        <v/>
      </c>
      <c r="CU909" s="80">
        <f>IF(ISNUMBER($J909),$J909/100,"")</f>
        <v/>
      </c>
      <c r="CV909" s="81">
        <f>IF(ISNUMBER($AQ909),$AQ909,"")</f>
        <v/>
      </c>
      <c r="CW909" s="81">
        <f>IF(ISNUMBER($AR909),$AR909,"")</f>
        <v/>
      </c>
      <c r="CX909" s="82">
        <f>IF(ISNUMBER($AS909),$AS909/100,"")</f>
        <v/>
      </c>
      <c r="CY909" s="82">
        <f>IF(ISNUMBER($AT909),$AT909/100,"")</f>
        <v/>
      </c>
      <c r="CZ909" s="82">
        <f>IF(ISNUMBER($AU909),$AU909/100,"")</f>
        <v/>
      </c>
      <c r="DA909" s="82">
        <f>IF(ISNUMBER($AV909),$AV909/100,"")</f>
        <v/>
      </c>
      <c r="DB909" s="82">
        <f>IF(ISNUMBER($AW909),$AW909/100,"")</f>
        <v/>
      </c>
      <c r="DC909" s="82">
        <f>IF(ISNUMBER($AX909),$AX909/100,"")</f>
        <v/>
      </c>
      <c r="DD909" s="77">
        <f>IFERROR(VALUE(LEFT(TRIM($AO909&amp;""),4)),"")</f>
        <v/>
      </c>
      <c r="DE909" s="78">
        <f>IF(AND($BY909=1,$BX909=1,OR(fDeal="All Deals",$BU909=fDeal),OR(fEntity="All Entities",$BV909=fEntity),OR(fPType="All Property Types",$BZ909=fPType),OR(fDefeased="Include",$CJ909=0)),1,0)</f>
        <v/>
      </c>
      <c r="DF909" s="83">
        <f>$DE909*N($I909)</f>
        <v/>
      </c>
      <c r="DG909" s="78">
        <f>IF($DE909=1,IF(COUNTIFS($F$8:$F909,$F909,$DE$8:$DE909,1)=1,1,0),0)</f>
        <v/>
      </c>
      <c r="DH909" s="83">
        <f>IF($DG909=1,SUMIFS($DF$8:$DF$1600,$F$8:$F$1600,$F909),0)</f>
        <v/>
      </c>
      <c r="DI909" s="78">
        <f>IF($DG909=1,COUNTIFS($F$8:$F$1600,$F909,$DE$8:$DE$1600,1),0)</f>
        <v/>
      </c>
      <c r="DJ909" s="84">
        <f>IF($DG909=1,$DH909+(100000-ROW())/mTieBreak,0)</f>
        <v/>
      </c>
    </row>
    <row r="910">
      <c r="B910" s="68" t="n">
        <v>7</v>
      </c>
      <c r="C910" s="69" t="inlineStr">
        <is>
          <t>CCUB17C1</t>
        </is>
      </c>
      <c r="D910" s="69" t="inlineStr">
        <is>
          <t>7.000</t>
        </is>
      </c>
      <c r="E910" s="69" t="inlineStr">
        <is>
          <t>2U Headquarters</t>
        </is>
      </c>
      <c r="F910" s="69" t="inlineStr">
        <is>
          <t>SPLIT_LOAN_01140</t>
        </is>
      </c>
      <c r="G910" s="70" t="n">
        <v>1140</v>
      </c>
      <c r="H910" s="71" t="n">
        <v>34000000</v>
      </c>
      <c r="I910" s="71" t="n">
        <v>30697813.30001</v>
      </c>
      <c r="J910" s="72" t="n">
        <v>4.45</v>
      </c>
      <c r="K910" s="69" t="inlineStr">
        <is>
          <t>Fixed rate</t>
        </is>
      </c>
      <c r="L910" s="68" t="n">
        <v>120</v>
      </c>
      <c r="M910" s="68" t="n">
        <v>14</v>
      </c>
      <c r="N910" s="68" t="n">
        <v>396</v>
      </c>
      <c r="O910" s="68" t="n">
        <v>36</v>
      </c>
      <c r="P910" s="68" t="n">
        <v>0</v>
      </c>
      <c r="Q910" s="68" t="n">
        <v>106</v>
      </c>
      <c r="R910" s="69" t="inlineStr">
        <is>
          <t>IO then Amort</t>
        </is>
      </c>
      <c r="S910" s="69" t="inlineStr">
        <is>
          <t>No</t>
        </is>
      </c>
      <c r="T910" s="73" t="n">
        <v>43040</v>
      </c>
      <c r="U910" s="73" t="n">
        <v>46697</v>
      </c>
      <c r="V910" s="73" t="n"/>
      <c r="W910" s="69" t="inlineStr">
        <is>
          <t>90+</t>
        </is>
      </c>
      <c r="X910" s="69" t="inlineStr">
        <is>
          <t>121+ Days Delinquent</t>
        </is>
      </c>
      <c r="Y910" s="68" t="n">
        <v>24</v>
      </c>
      <c r="Z910" s="69" t="inlineStr">
        <is>
          <t>No Defeasance Occurred</t>
        </is>
      </c>
      <c r="AA910" s="69" t="n"/>
      <c r="AB910" s="69" t="inlineStr">
        <is>
          <t>Currently special serv</t>
        </is>
      </c>
      <c r="AC910" s="73" t="n">
        <v>45505</v>
      </c>
      <c r="AD910" s="69" t="inlineStr">
        <is>
          <t>Imminent Monetary Default (Single Tenant Bankruptcy/Vacate)</t>
        </is>
      </c>
      <c r="AE910" s="69" t="inlineStr">
        <is>
          <t>TBD</t>
        </is>
      </c>
      <c r="AF910" s="69" t="inlineStr">
        <is>
          <t>MD</t>
        </is>
      </c>
      <c r="AG910" s="69" t="inlineStr">
        <is>
          <t>Lanham</t>
        </is>
      </c>
      <c r="AH910" s="69" t="inlineStr">
        <is>
          <t>Washington-Arlington-Alexandria, DC-VA-MD-WV</t>
        </is>
      </c>
      <c r="AI910" s="69" t="inlineStr">
        <is>
          <t>South / Atlantic</t>
        </is>
      </c>
      <c r="AJ910" s="69" t="inlineStr">
        <is>
          <t>OF</t>
        </is>
      </c>
      <c r="AK910" s="69" t="inlineStr">
        <is>
          <t>Suburban</t>
        </is>
      </c>
      <c r="AL910" s="68" t="n">
        <v>1</v>
      </c>
      <c r="AM910" s="68" t="n"/>
      <c r="AN910" s="68" t="n">
        <v>309303</v>
      </c>
      <c r="AO910" s="69" t="inlineStr">
        <is>
          <t>2002</t>
        </is>
      </c>
      <c r="AP910" s="70" t="n">
        <v>2015</v>
      </c>
      <c r="AQ910" s="74" t="n">
        <v>1.6</v>
      </c>
      <c r="AR910" s="74" t="n">
        <v>-1.06</v>
      </c>
      <c r="AS910" s="74" t="n">
        <v>69.3</v>
      </c>
      <c r="AT910" s="74" t="n">
        <v>295.49</v>
      </c>
      <c r="AU910" s="74" t="n">
        <v>60.6</v>
      </c>
      <c r="AV910" s="74" t="n">
        <v>9.660785685</v>
      </c>
      <c r="AW910" s="74" t="n">
        <v>-7.270672779</v>
      </c>
      <c r="AX910" s="75" t="n">
        <v>95</v>
      </c>
      <c r="AY910" s="71" t="n">
        <v>77900000</v>
      </c>
      <c r="AZ910" s="71" t="n">
        <v>16500000</v>
      </c>
      <c r="BA910" s="71" t="n">
        <v>5216824.27</v>
      </c>
      <c r="BB910" s="71" t="n">
        <v>-867942.17</v>
      </c>
      <c r="BC910" s="69" t="inlineStr">
        <is>
          <t>Acquisition</t>
        </is>
      </c>
      <c r="BD910" s="69" t="inlineStr">
        <is>
          <t>N</t>
        </is>
      </c>
      <c r="BE910" s="71" t="n">
        <v>18057537.24</v>
      </c>
      <c r="BF910" s="71" t="n"/>
      <c r="BG910" s="71" t="n"/>
      <c r="BH910" s="71" t="n">
        <v>19312115.74</v>
      </c>
      <c r="BI910" s="71" t="n">
        <v>2305376.74</v>
      </c>
      <c r="BJ910" s="69" t="inlineStr">
        <is>
          <t>Y</t>
        </is>
      </c>
      <c r="BK910" s="69" t="inlineStr">
        <is>
          <t>2UHarkins Road LLC</t>
        </is>
      </c>
      <c r="BL910" s="75" t="n">
        <v>94.97</v>
      </c>
      <c r="BM910" s="73" t="n">
        <v>46996</v>
      </c>
      <c r="BN910" s="69" t="inlineStr">
        <is>
          <t>Kawa Capital Partners LLC</t>
        </is>
      </c>
      <c r="BO910" s="69" t="inlineStr">
        <is>
          <t>Citi Real Estate Funding</t>
        </is>
      </c>
      <c r="BP910" s="69" t="inlineStr">
        <is>
          <t>Midland Loan Services</t>
        </is>
      </c>
      <c r="BQ910" s="69" t="inlineStr">
        <is>
          <t>Midland Loan Services</t>
        </is>
      </c>
      <c r="BR910" s="69" t="n"/>
      <c r="BS910" s="73" t="n">
        <v>46276</v>
      </c>
      <c r="BU910" s="76">
        <f>IF($C910="","",IFERROR(INDEX(dmName,MATCH($C910,dmID,0)),"Unmapped"))</f>
        <v/>
      </c>
      <c r="BV910" s="76">
        <f>IF($C910="","",IFERROR(INDEX(dmEntity,MATCH($C910,dmID,0)),"Unmapped"))</f>
        <v/>
      </c>
      <c r="BW910" s="77">
        <f>IF($C910="","",IFERROR(INDEX(dmVintage,MATCH($C910,dmID,0)),""))</f>
        <v/>
      </c>
      <c r="BX910" s="78">
        <f>IFERROR(INDEX(dmInclude,MATCH($C910,dmID,0)),0)</f>
        <v/>
      </c>
      <c r="BY910" s="78">
        <f>IF(N($I910)&gt;0,1,0)</f>
        <v/>
      </c>
      <c r="BZ910" s="76">
        <f>IF($AJ910="","Other / Leased Fee",IFERROR(INDEX(mapPTGroup,MATCH(LEFT(TRIM($AJ910),2),mapPTCode,0)),"Other / Leased Fee"))</f>
        <v/>
      </c>
      <c r="CA910" s="76">
        <f>IF(TRIM($AF910&amp;"")="","NR",LEFT(TRIM($AF910),2))</f>
        <v/>
      </c>
      <c r="CB910" s="76">
        <f>IFERROR(LOOKUP(2,1/(LEFT(TRIM($AI910&amp;""),LEN(mapRegion))=mapRegion),mapRegion),"Not Reported")</f>
        <v/>
      </c>
      <c r="CC910" s="76">
        <f>IF($BY910=0,"",IF(TRIM($W910&amp;"")="REO","REO",IF(TRIM($W910&amp;"")="FC","Foreclosure",IF(TRIM($W910&amp;"")="90+","90+ Days Delinquent",IF(TRIM($W910&amp;"")="60","60 Days Delinquent",IF(TRIM($W910&amp;"")="30","30 Days Delinquent",IF($X910="Non-Performing Matured Balloon","Non-Performing Matured Balloon",IF(OR($X910="Late Payment But Less Than 30 Days Delinquent",LEFT($X910&amp;"",20)="Payment Not Received"),"Late / In Grace (&lt;30 Days)",IF($X910="Performing Matured Balloon","Performing Matured Balloon","Current")))))))))</f>
        <v/>
      </c>
      <c r="CD910" s="78">
        <f>IF(OR($CC910="REO",$CC910="Foreclosure",$CC910="90+ Days Delinquent",$CC910="60 Days Delinquent",$CC910="30 Days Delinquent",$CC910="Non-Performing Matured Balloon"),1,0)</f>
        <v/>
      </c>
      <c r="CE910" s="76">
        <f>IF($AB910="Currently special serv","Currently Specially Serviced",IF($AB910="Returned to master serv","Previously Specially Serviced","Never Specially Serviced"))</f>
        <v/>
      </c>
      <c r="CF910" s="78">
        <f>IF($CE910="Currently Specially Serviced",1,0)</f>
        <v/>
      </c>
      <c r="CG910" s="76">
        <f>IF($AA910="Yes","Currently on Watchlist",IF($AA910="Previously","Previously on Watchlist","Never on Watchlist"))</f>
        <v/>
      </c>
      <c r="CH910" s="78">
        <f>IF($CG910="Currently on Watchlist",1,0)</f>
        <v/>
      </c>
      <c r="CI910" s="76">
        <f>IF($Z910="Full Defeasance","Fully Defeased",IF($Z910="Portion Of Loan Previously Defeased","Partially Defeased",IF($Z910="Defeasance Not Allowable","Not Defeased (Not Permitted)","Not Defeased")))</f>
        <v/>
      </c>
      <c r="CJ910" s="78">
        <f>IF($CI910="Fully Defeased",1,0)</f>
        <v/>
      </c>
      <c r="CK910" s="76">
        <f>IF($R910="IO","Full IO",IF(LEFT($R910&amp;"",7)="IO then","Partial IO","Amortizing"))</f>
        <v/>
      </c>
      <c r="CL910" s="78">
        <f>IF($CK910="Full IO",1,0)</f>
        <v/>
      </c>
      <c r="CM910" s="78">
        <f>IF($CK910="Partial IO",1,0)</f>
        <v/>
      </c>
      <c r="CN910" s="76">
        <f>IF(LEFT($F910&amp;"",10)="SPLIT_LOAN","Pari Passu Split","Standalone")</f>
        <v/>
      </c>
      <c r="CO910" s="78">
        <f>IF($CN910="Pari Passu Split",1,0)</f>
        <v/>
      </c>
      <c r="CP910" s="77">
        <f>IF(ISNUMBER($T910),YEAR($T910),"")</f>
        <v/>
      </c>
      <c r="CQ910" s="79">
        <f>IF(ISNUMBER($V910),$V910,IF(ISNUMBER($U910),$U910,""))</f>
        <v/>
      </c>
      <c r="CR910" s="77">
        <f>IF(ISNUMBER($CQ910),YEAR($CQ910),"")</f>
        <v/>
      </c>
      <c r="CS910" s="78">
        <f>IF(ISNUMBER($M910),MAX(0,$M910),IF(TRIM($M910&amp;"")="matured",0,""))</f>
        <v/>
      </c>
      <c r="CT910" s="78">
        <f>IF(AND(ISNUMBER($CS910),N($CS910)&lt;=mMatWindow),1,0)</f>
        <v/>
      </c>
      <c r="CU910" s="80">
        <f>IF(ISNUMBER($J910),$J910/100,"")</f>
        <v/>
      </c>
      <c r="CV910" s="81">
        <f>IF(ISNUMBER($AQ910),$AQ910,"")</f>
        <v/>
      </c>
      <c r="CW910" s="81">
        <f>IF(ISNUMBER($AR910),$AR910,"")</f>
        <v/>
      </c>
      <c r="CX910" s="82">
        <f>IF(ISNUMBER($AS910),$AS910/100,"")</f>
        <v/>
      </c>
      <c r="CY910" s="82">
        <f>IF(ISNUMBER($AT910),$AT910/100,"")</f>
        <v/>
      </c>
      <c r="CZ910" s="82">
        <f>IF(ISNUMBER($AU910),$AU910/100,"")</f>
        <v/>
      </c>
      <c r="DA910" s="82">
        <f>IF(ISNUMBER($AV910),$AV910/100,"")</f>
        <v/>
      </c>
      <c r="DB910" s="82">
        <f>IF(ISNUMBER($AW910),$AW910/100,"")</f>
        <v/>
      </c>
      <c r="DC910" s="82">
        <f>IF(ISNUMBER($AX910),$AX910/100,"")</f>
        <v/>
      </c>
      <c r="DD910" s="77">
        <f>IFERROR(VALUE(LEFT(TRIM($AO910&amp;""),4)),"")</f>
        <v/>
      </c>
      <c r="DE910" s="78">
        <f>IF(AND($BY910=1,$BX910=1,OR(fDeal="All Deals",$BU910=fDeal),OR(fEntity="All Entities",$BV910=fEntity),OR(fPType="All Property Types",$BZ910=fPType),OR(fDefeased="Include",$CJ910=0)),1,0)</f>
        <v/>
      </c>
      <c r="DF910" s="83">
        <f>$DE910*N($I910)</f>
        <v/>
      </c>
      <c r="DG910" s="78">
        <f>IF($DE910=1,IF(COUNTIFS($F$8:$F910,$F910,$DE$8:$DE910,1)=1,1,0),0)</f>
        <v/>
      </c>
      <c r="DH910" s="83">
        <f>IF($DG910=1,SUMIFS($DF$8:$DF$1600,$F$8:$F$1600,$F910),0)</f>
        <v/>
      </c>
      <c r="DI910" s="78">
        <f>IF($DG910=1,COUNTIFS($F$8:$F$1600,$F910,$DE$8:$DE$1600,1),0)</f>
        <v/>
      </c>
      <c r="DJ910" s="84">
        <f>IF($DG910=1,$DH910+(100000-ROW())/mTieBreak,0)</f>
        <v/>
      </c>
    </row>
    <row r="911">
      <c r="B911" s="68" t="n">
        <v>8</v>
      </c>
      <c r="C911" s="69" t="inlineStr">
        <is>
          <t>CCUB17C1</t>
        </is>
      </c>
      <c r="D911" s="69" t="inlineStr">
        <is>
          <t>8.000</t>
        </is>
      </c>
      <c r="E911" s="69" t="inlineStr">
        <is>
          <t>10 Java Street</t>
        </is>
      </c>
      <c r="F911" s="69" t="inlineStr">
        <is>
          <t>LNCCUB17C1-8.000</t>
        </is>
      </c>
      <c r="G911" s="70" t="n"/>
      <c r="H911" s="71" t="n">
        <v>33000000</v>
      </c>
      <c r="I911" s="71" t="n">
        <v>0</v>
      </c>
      <c r="J911" s="72" t="n">
        <v>4.337</v>
      </c>
      <c r="K911" s="69" t="inlineStr">
        <is>
          <t>Fixed rate</t>
        </is>
      </c>
      <c r="L911" s="68" t="n">
        <v>60</v>
      </c>
      <c r="M911" s="68" t="n"/>
      <c r="N911" s="68" t="n">
        <v>60</v>
      </c>
      <c r="O911" s="68" t="n">
        <v>60</v>
      </c>
      <c r="P911" s="68" t="n"/>
      <c r="Q911" s="68" t="n"/>
      <c r="R911" s="69" t="inlineStr">
        <is>
          <t>IO</t>
        </is>
      </c>
      <c r="S911" s="69" t="inlineStr">
        <is>
          <t>Yes</t>
        </is>
      </c>
      <c r="T911" s="73" t="n">
        <v>43009</v>
      </c>
      <c r="U911" s="73" t="n">
        <v>44810</v>
      </c>
      <c r="V911" s="73" t="n"/>
      <c r="W911" s="69" t="n"/>
      <c r="X911" s="69" t="inlineStr">
        <is>
          <t>Current</t>
        </is>
      </c>
      <c r="Y911" s="68" t="n"/>
      <c r="Z911" s="69" t="inlineStr">
        <is>
          <t>No Defeasance Occurred</t>
        </is>
      </c>
      <c r="AA911" s="69" t="inlineStr">
        <is>
          <t>Previously</t>
        </is>
      </c>
      <c r="AB911" s="69" t="inlineStr">
        <is>
          <t>Never special serv</t>
        </is>
      </c>
      <c r="AC911" s="73" t="n"/>
      <c r="AD911" s="69" t="n"/>
      <c r="AE911" s="69" t="n"/>
      <c r="AF911" s="69" t="inlineStr">
        <is>
          <t>NY</t>
        </is>
      </c>
      <c r="AG911" s="69" t="inlineStr">
        <is>
          <t>Brooklyn</t>
        </is>
      </c>
      <c r="AH911" s="69" t="inlineStr">
        <is>
          <t>New York-Newark-Jersey City, NY-NJ</t>
        </is>
      </c>
      <c r="AI911" s="69" t="inlineStr">
        <is>
          <t>Northeast / Mid-Atlantic</t>
        </is>
      </c>
      <c r="AJ911" s="69" t="inlineStr">
        <is>
          <t>IN</t>
        </is>
      </c>
      <c r="AK911" s="69" t="inlineStr">
        <is>
          <t>Flex</t>
        </is>
      </c>
      <c r="AL911" s="68" t="n">
        <v>1</v>
      </c>
      <c r="AM911" s="68" t="n"/>
      <c r="AN911" s="68" t="n">
        <v>106440</v>
      </c>
      <c r="AO911" s="69" t="inlineStr">
        <is>
          <t>1956</t>
        </is>
      </c>
      <c r="AP911" s="70" t="n">
        <v>2012</v>
      </c>
      <c r="AQ911" s="74" t="n">
        <v>1.59</v>
      </c>
      <c r="AR911" s="74" t="n">
        <v>1.33</v>
      </c>
      <c r="AS911" s="74" t="n">
        <v>26.57</v>
      </c>
      <c r="AT911" s="74" t="n"/>
      <c r="AU911" s="74" t="n">
        <v>26.57</v>
      </c>
      <c r="AV911" s="74" t="n">
        <v>6.970381818</v>
      </c>
      <c r="AW911" s="74" t="n"/>
      <c r="AX911" s="75" t="n">
        <v>100</v>
      </c>
      <c r="AY911" s="71" t="n">
        <v>124200000</v>
      </c>
      <c r="AZ911" s="71" t="n">
        <v>124200000</v>
      </c>
      <c r="BA911" s="71" t="n">
        <v>2300226</v>
      </c>
      <c r="BB911" s="71" t="n">
        <v>1929696.04</v>
      </c>
      <c r="BC911" s="69" t="inlineStr">
        <is>
          <t>Refinance</t>
        </is>
      </c>
      <c r="BD911" s="69" t="inlineStr">
        <is>
          <t>N</t>
        </is>
      </c>
      <c r="BE911" s="71" t="n"/>
      <c r="BF911" s="71" t="n"/>
      <c r="BG911" s="71" t="n"/>
      <c r="BH911" s="71" t="n">
        <v>0</v>
      </c>
      <c r="BI911" s="71" t="n">
        <v>0</v>
      </c>
      <c r="BJ911" s="69" t="inlineStr">
        <is>
          <t>N</t>
        </is>
      </c>
      <c r="BK911" s="69" t="inlineStr">
        <is>
          <t>Cine Magic East River Studio LLC.</t>
        </is>
      </c>
      <c r="BL911" s="75" t="n">
        <v>100</v>
      </c>
      <c r="BM911" s="73" t="n">
        <v>44804</v>
      </c>
      <c r="BN911" s="69" t="inlineStr">
        <is>
          <t>Miriam Chan, Kenneth Y.K. Chan, Henry Y.S. Chan</t>
        </is>
      </c>
      <c r="BO911" s="69" t="inlineStr">
        <is>
          <t>Cantor Commercial Real Estate Lending</t>
        </is>
      </c>
      <c r="BP911" s="69" t="inlineStr">
        <is>
          <t>Midland Loan Services</t>
        </is>
      </c>
      <c r="BQ911" s="69" t="inlineStr">
        <is>
          <t>Midland Loan Services</t>
        </is>
      </c>
      <c r="BR911" s="69" t="inlineStr">
        <is>
          <t>Full Payoff At Maturity</t>
        </is>
      </c>
      <c r="BS911" s="73" t="n">
        <v>44816</v>
      </c>
      <c r="BU911" s="76">
        <f>IF($C911="","",IFERROR(INDEX(dmName,MATCH($C911,dmID,0)),"Unmapped"))</f>
        <v/>
      </c>
      <c r="BV911" s="76">
        <f>IF($C911="","",IFERROR(INDEX(dmEntity,MATCH($C911,dmID,0)),"Unmapped"))</f>
        <v/>
      </c>
      <c r="BW911" s="77">
        <f>IF($C911="","",IFERROR(INDEX(dmVintage,MATCH($C911,dmID,0)),""))</f>
        <v/>
      </c>
      <c r="BX911" s="78">
        <f>IFERROR(INDEX(dmInclude,MATCH($C911,dmID,0)),0)</f>
        <v/>
      </c>
      <c r="BY911" s="78">
        <f>IF(N($I911)&gt;0,1,0)</f>
        <v/>
      </c>
      <c r="BZ911" s="76">
        <f>IF($AJ911="","Other / Leased Fee",IFERROR(INDEX(mapPTGroup,MATCH(LEFT(TRIM($AJ911),2),mapPTCode,0)),"Other / Leased Fee"))</f>
        <v/>
      </c>
      <c r="CA911" s="76">
        <f>IF(TRIM($AF911&amp;"")="","NR",LEFT(TRIM($AF911),2))</f>
        <v/>
      </c>
      <c r="CB911" s="76">
        <f>IFERROR(LOOKUP(2,1/(LEFT(TRIM($AI911&amp;""),LEN(mapRegion))=mapRegion),mapRegion),"Not Reported")</f>
        <v/>
      </c>
      <c r="CC911" s="76">
        <f>IF($BY911=0,"",IF(TRIM($W911&amp;"")="REO","REO",IF(TRIM($W911&amp;"")="FC","Foreclosure",IF(TRIM($W911&amp;"")="90+","90+ Days Delinquent",IF(TRIM($W911&amp;"")="60","60 Days Delinquent",IF(TRIM($W911&amp;"")="30","30 Days Delinquent",IF($X911="Non-Performing Matured Balloon","Non-Performing Matured Balloon",IF(OR($X911="Late Payment But Less Than 30 Days Delinquent",LEFT($X911&amp;"",20)="Payment Not Received"),"Late / In Grace (&lt;30 Days)",IF($X911="Performing Matured Balloon","Performing Matured Balloon","Current")))))))))</f>
        <v/>
      </c>
      <c r="CD911" s="78">
        <f>IF(OR($CC911="REO",$CC911="Foreclosure",$CC911="90+ Days Delinquent",$CC911="60 Days Delinquent",$CC911="30 Days Delinquent",$CC911="Non-Performing Matured Balloon"),1,0)</f>
        <v/>
      </c>
      <c r="CE911" s="76">
        <f>IF($AB911="Currently special serv","Currently Specially Serviced",IF($AB911="Returned to master serv","Previously Specially Serviced","Never Specially Serviced"))</f>
        <v/>
      </c>
      <c r="CF911" s="78">
        <f>IF($CE911="Currently Specially Serviced",1,0)</f>
        <v/>
      </c>
      <c r="CG911" s="76">
        <f>IF($AA911="Yes","Currently on Watchlist",IF($AA911="Previously","Previously on Watchlist","Never on Watchlist"))</f>
        <v/>
      </c>
      <c r="CH911" s="78">
        <f>IF($CG911="Currently on Watchlist",1,0)</f>
        <v/>
      </c>
      <c r="CI911" s="76">
        <f>IF($Z911="Full Defeasance","Fully Defeased",IF($Z911="Portion Of Loan Previously Defeased","Partially Defeased",IF($Z911="Defeasance Not Allowable","Not Defeased (Not Permitted)","Not Defeased")))</f>
        <v/>
      </c>
      <c r="CJ911" s="78">
        <f>IF($CI911="Fully Defeased",1,0)</f>
        <v/>
      </c>
      <c r="CK911" s="76">
        <f>IF($R911="IO","Full IO",IF(LEFT($R911&amp;"",7)="IO then","Partial IO","Amortizing"))</f>
        <v/>
      </c>
      <c r="CL911" s="78">
        <f>IF($CK911="Full IO",1,0)</f>
        <v/>
      </c>
      <c r="CM911" s="78">
        <f>IF($CK911="Partial IO",1,0)</f>
        <v/>
      </c>
      <c r="CN911" s="76">
        <f>IF(LEFT($F911&amp;"",10)="SPLIT_LOAN","Pari Passu Split","Standalone")</f>
        <v/>
      </c>
      <c r="CO911" s="78">
        <f>IF($CN911="Pari Passu Split",1,0)</f>
        <v/>
      </c>
      <c r="CP911" s="77">
        <f>IF(ISNUMBER($T911),YEAR($T911),"")</f>
        <v/>
      </c>
      <c r="CQ911" s="79">
        <f>IF(ISNUMBER($V911),$V911,IF(ISNUMBER($U911),$U911,""))</f>
        <v/>
      </c>
      <c r="CR911" s="77">
        <f>IF(ISNUMBER($CQ911),YEAR($CQ911),"")</f>
        <v/>
      </c>
      <c r="CS911" s="78">
        <f>IF(ISNUMBER($M911),MAX(0,$M911),IF(TRIM($M911&amp;"")="matured",0,""))</f>
        <v/>
      </c>
      <c r="CT911" s="78">
        <f>IF(AND(ISNUMBER($CS911),N($CS911)&lt;=mMatWindow),1,0)</f>
        <v/>
      </c>
      <c r="CU911" s="80">
        <f>IF(ISNUMBER($J911),$J911/100,"")</f>
        <v/>
      </c>
      <c r="CV911" s="81">
        <f>IF(ISNUMBER($AQ911),$AQ911,"")</f>
        <v/>
      </c>
      <c r="CW911" s="81">
        <f>IF(ISNUMBER($AR911),$AR911,"")</f>
        <v/>
      </c>
      <c r="CX911" s="82">
        <f>IF(ISNUMBER($AS911),$AS911/100,"")</f>
        <v/>
      </c>
      <c r="CY911" s="82">
        <f>IF(ISNUMBER($AT911),$AT911/100,"")</f>
        <v/>
      </c>
      <c r="CZ911" s="82">
        <f>IF(ISNUMBER($AU911),$AU911/100,"")</f>
        <v/>
      </c>
      <c r="DA911" s="82">
        <f>IF(ISNUMBER($AV911),$AV911/100,"")</f>
        <v/>
      </c>
      <c r="DB911" s="82">
        <f>IF(ISNUMBER($AW911),$AW911/100,"")</f>
        <v/>
      </c>
      <c r="DC911" s="82">
        <f>IF(ISNUMBER($AX911),$AX911/100,"")</f>
        <v/>
      </c>
      <c r="DD911" s="77">
        <f>IFERROR(VALUE(LEFT(TRIM($AO911&amp;""),4)),"")</f>
        <v/>
      </c>
      <c r="DE911" s="78">
        <f>IF(AND($BY911=1,$BX911=1,OR(fDeal="All Deals",$BU911=fDeal),OR(fEntity="All Entities",$BV911=fEntity),OR(fPType="All Property Types",$BZ911=fPType),OR(fDefeased="Include",$CJ911=0)),1,0)</f>
        <v/>
      </c>
      <c r="DF911" s="83">
        <f>$DE911*N($I911)</f>
        <v/>
      </c>
      <c r="DG911" s="78">
        <f>IF($DE911=1,IF(COUNTIFS($F$8:$F911,$F911,$DE$8:$DE911,1)=1,1,0),0)</f>
        <v/>
      </c>
      <c r="DH911" s="83">
        <f>IF($DG911=1,SUMIFS($DF$8:$DF$1600,$F$8:$F$1600,$F911),0)</f>
        <v/>
      </c>
      <c r="DI911" s="78">
        <f>IF($DG911=1,COUNTIFS($F$8:$F$1600,$F911,$DE$8:$DE$1600,1),0)</f>
        <v/>
      </c>
      <c r="DJ911" s="84">
        <f>IF($DG911=1,$DH911+(100000-ROW())/mTieBreak,0)</f>
        <v/>
      </c>
    </row>
    <row r="912">
      <c r="B912" s="68" t="n">
        <v>9</v>
      </c>
      <c r="C912" s="69" t="inlineStr">
        <is>
          <t>CCUB17C1</t>
        </is>
      </c>
      <c r="D912" s="69" t="inlineStr">
        <is>
          <t>9.TR</t>
        </is>
      </c>
      <c r="E912" s="69" t="inlineStr">
        <is>
          <t>Yorkshire &amp; Lexington Towers</t>
        </is>
      </c>
      <c r="F912" s="69" t="inlineStr">
        <is>
          <t>SPLIT_LOAN_01115</t>
        </is>
      </c>
      <c r="G912" s="70" t="n">
        <v>1115</v>
      </c>
      <c r="H912" s="71" t="n">
        <v>25000000</v>
      </c>
      <c r="I912" s="71" t="n">
        <v>0</v>
      </c>
      <c r="J912" s="72" t="n">
        <v>2.74</v>
      </c>
      <c r="K912" s="69" t="inlineStr">
        <is>
          <t>Fixed rate</t>
        </is>
      </c>
      <c r="L912" s="68" t="n">
        <v>60</v>
      </c>
      <c r="M912" s="68" t="n"/>
      <c r="N912" s="68" t="n">
        <v>60</v>
      </c>
      <c r="O912" s="68" t="n">
        <v>60</v>
      </c>
      <c r="P912" s="68" t="n"/>
      <c r="Q912" s="68" t="n"/>
      <c r="R912" s="69" t="inlineStr">
        <is>
          <t>IO</t>
        </is>
      </c>
      <c r="S912" s="69" t="inlineStr">
        <is>
          <t>Yes</t>
        </is>
      </c>
      <c r="T912" s="73" t="n">
        <v>43040</v>
      </c>
      <c r="U912" s="73" t="n">
        <v>44840</v>
      </c>
      <c r="V912" s="73" t="n"/>
      <c r="W912" s="69" t="n"/>
      <c r="X912" s="69" t="inlineStr">
        <is>
          <t>Current</t>
        </is>
      </c>
      <c r="Y912" s="68" t="n"/>
      <c r="Z912" s="69" t="inlineStr">
        <is>
          <t>Defeasance Not Allowable</t>
        </is>
      </c>
      <c r="AA912" s="69" t="inlineStr">
        <is>
          <t>Previously</t>
        </is>
      </c>
      <c r="AB912" s="69" t="inlineStr">
        <is>
          <t>Never special serv</t>
        </is>
      </c>
      <c r="AC912" s="73" t="n"/>
      <c r="AD912" s="69" t="n"/>
      <c r="AE912" s="69" t="n"/>
      <c r="AF912" s="69" t="inlineStr">
        <is>
          <t>NY</t>
        </is>
      </c>
      <c r="AG912" s="69" t="inlineStr">
        <is>
          <t>New York</t>
        </is>
      </c>
      <c r="AH912" s="69" t="inlineStr">
        <is>
          <t>New York-Newark-Jersey City, NY-NJ</t>
        </is>
      </c>
      <c r="AI912" s="69" t="inlineStr">
        <is>
          <t>Northeast / Mid-Atlantic</t>
        </is>
      </c>
      <c r="AJ912" s="69" t="inlineStr">
        <is>
          <t>MF</t>
        </is>
      </c>
      <c r="AK912" s="69" t="inlineStr">
        <is>
          <t>High Rise</t>
        </is>
      </c>
      <c r="AL912" s="68" t="n">
        <v>1</v>
      </c>
      <c r="AM912" s="68" t="n">
        <v>827</v>
      </c>
      <c r="AN912" s="68" t="n"/>
      <c r="AO912" s="69" t="n"/>
      <c r="AP912" s="70" t="n">
        <v>2017</v>
      </c>
      <c r="AQ912" s="74" t="n">
        <v>4.28</v>
      </c>
      <c r="AR912" s="74" t="n">
        <v>3.31</v>
      </c>
      <c r="AS912" s="74" t="n">
        <v>22.5</v>
      </c>
      <c r="AT912" s="74" t="n"/>
      <c r="AU912" s="74" t="n">
        <v>22.5</v>
      </c>
      <c r="AV912" s="74" t="n">
        <v>11.8824925</v>
      </c>
      <c r="AW912" s="74" t="n"/>
      <c r="AX912" s="75" t="n">
        <v>81</v>
      </c>
      <c r="AY912" s="71" t="n">
        <v>890000000</v>
      </c>
      <c r="AZ912" s="71" t="n">
        <v>890000000</v>
      </c>
      <c r="BA912" s="71" t="n">
        <v>23764985</v>
      </c>
      <c r="BB912" s="71" t="n">
        <v>18318008.68</v>
      </c>
      <c r="BC912" s="69" t="inlineStr">
        <is>
          <t>Refinance</t>
        </is>
      </c>
      <c r="BD912" s="69" t="inlineStr">
        <is>
          <t>N</t>
        </is>
      </c>
      <c r="BE912" s="71" t="n">
        <v>0</v>
      </c>
      <c r="BF912" s="71" t="n">
        <v>0</v>
      </c>
      <c r="BG912" s="71" t="n">
        <v>150000000</v>
      </c>
      <c r="BH912" s="71" t="n">
        <v>0</v>
      </c>
      <c r="BI912" s="71" t="n">
        <v>0</v>
      </c>
      <c r="BJ912" s="69" t="inlineStr">
        <is>
          <t>N</t>
        </is>
      </c>
      <c r="BK912" s="69" t="n"/>
      <c r="BL912" s="75" t="n"/>
      <c r="BM912" s="73" t="n"/>
      <c r="BN912" s="69" t="inlineStr">
        <is>
          <t>The Chetrit Group LLC; Stellar Management LLC</t>
        </is>
      </c>
      <c r="BO912" s="69" t="inlineStr">
        <is>
          <t>Natixis</t>
        </is>
      </c>
      <c r="BP912" s="69" t="inlineStr">
        <is>
          <t>Midland Loan Services</t>
        </is>
      </c>
      <c r="BQ912" s="69" t="inlineStr">
        <is>
          <t>CWCapital</t>
        </is>
      </c>
      <c r="BR912" s="69" t="inlineStr">
        <is>
          <t>Payoff Prior To Maturity</t>
        </is>
      </c>
      <c r="BS912" s="73" t="n">
        <v>44725</v>
      </c>
      <c r="BU912" s="76">
        <f>IF($C912="","",IFERROR(INDEX(dmName,MATCH($C912,dmID,0)),"Unmapped"))</f>
        <v/>
      </c>
      <c r="BV912" s="76">
        <f>IF($C912="","",IFERROR(INDEX(dmEntity,MATCH($C912,dmID,0)),"Unmapped"))</f>
        <v/>
      </c>
      <c r="BW912" s="77">
        <f>IF($C912="","",IFERROR(INDEX(dmVintage,MATCH($C912,dmID,0)),""))</f>
        <v/>
      </c>
      <c r="BX912" s="78">
        <f>IFERROR(INDEX(dmInclude,MATCH($C912,dmID,0)),0)</f>
        <v/>
      </c>
      <c r="BY912" s="78">
        <f>IF(N($I912)&gt;0,1,0)</f>
        <v/>
      </c>
      <c r="BZ912" s="76">
        <f>IF($AJ912="","Other / Leased Fee",IFERROR(INDEX(mapPTGroup,MATCH(LEFT(TRIM($AJ912),2),mapPTCode,0)),"Other / Leased Fee"))</f>
        <v/>
      </c>
      <c r="CA912" s="76">
        <f>IF(TRIM($AF912&amp;"")="","NR",LEFT(TRIM($AF912),2))</f>
        <v/>
      </c>
      <c r="CB912" s="76">
        <f>IFERROR(LOOKUP(2,1/(LEFT(TRIM($AI912&amp;""),LEN(mapRegion))=mapRegion),mapRegion),"Not Reported")</f>
        <v/>
      </c>
      <c r="CC912" s="76">
        <f>IF($BY912=0,"",IF(TRIM($W912&amp;"")="REO","REO",IF(TRIM($W912&amp;"")="FC","Foreclosure",IF(TRIM($W912&amp;"")="90+","90+ Days Delinquent",IF(TRIM($W912&amp;"")="60","60 Days Delinquent",IF(TRIM($W912&amp;"")="30","30 Days Delinquent",IF($X912="Non-Performing Matured Balloon","Non-Performing Matured Balloon",IF(OR($X912="Late Payment But Less Than 30 Days Delinquent",LEFT($X912&amp;"",20)="Payment Not Received"),"Late / In Grace (&lt;30 Days)",IF($X912="Performing Matured Balloon","Performing Matured Balloon","Current")))))))))</f>
        <v/>
      </c>
      <c r="CD912" s="78">
        <f>IF(OR($CC912="REO",$CC912="Foreclosure",$CC912="90+ Days Delinquent",$CC912="60 Days Delinquent",$CC912="30 Days Delinquent",$CC912="Non-Performing Matured Balloon"),1,0)</f>
        <v/>
      </c>
      <c r="CE912" s="76">
        <f>IF($AB912="Currently special serv","Currently Specially Serviced",IF($AB912="Returned to master serv","Previously Specially Serviced","Never Specially Serviced"))</f>
        <v/>
      </c>
      <c r="CF912" s="78">
        <f>IF($CE912="Currently Specially Serviced",1,0)</f>
        <v/>
      </c>
      <c r="CG912" s="76">
        <f>IF($AA912="Yes","Currently on Watchlist",IF($AA912="Previously","Previously on Watchlist","Never on Watchlist"))</f>
        <v/>
      </c>
      <c r="CH912" s="78">
        <f>IF($CG912="Currently on Watchlist",1,0)</f>
        <v/>
      </c>
      <c r="CI912" s="76">
        <f>IF($Z912="Full Defeasance","Fully Defeased",IF($Z912="Portion Of Loan Previously Defeased","Partially Defeased",IF($Z912="Defeasance Not Allowable","Not Defeased (Not Permitted)","Not Defeased")))</f>
        <v/>
      </c>
      <c r="CJ912" s="78">
        <f>IF($CI912="Fully Defeased",1,0)</f>
        <v/>
      </c>
      <c r="CK912" s="76">
        <f>IF($R912="IO","Full IO",IF(LEFT($R912&amp;"",7)="IO then","Partial IO","Amortizing"))</f>
        <v/>
      </c>
      <c r="CL912" s="78">
        <f>IF($CK912="Full IO",1,0)</f>
        <v/>
      </c>
      <c r="CM912" s="78">
        <f>IF($CK912="Partial IO",1,0)</f>
        <v/>
      </c>
      <c r="CN912" s="76">
        <f>IF(LEFT($F912&amp;"",10)="SPLIT_LOAN","Pari Passu Split","Standalone")</f>
        <v/>
      </c>
      <c r="CO912" s="78">
        <f>IF($CN912="Pari Passu Split",1,0)</f>
        <v/>
      </c>
      <c r="CP912" s="77">
        <f>IF(ISNUMBER($T912),YEAR($T912),"")</f>
        <v/>
      </c>
      <c r="CQ912" s="79">
        <f>IF(ISNUMBER($V912),$V912,IF(ISNUMBER($U912),$U912,""))</f>
        <v/>
      </c>
      <c r="CR912" s="77">
        <f>IF(ISNUMBER($CQ912),YEAR($CQ912),"")</f>
        <v/>
      </c>
      <c r="CS912" s="78">
        <f>IF(ISNUMBER($M912),MAX(0,$M912),IF(TRIM($M912&amp;"")="matured",0,""))</f>
        <v/>
      </c>
      <c r="CT912" s="78">
        <f>IF(AND(ISNUMBER($CS912),N($CS912)&lt;=mMatWindow),1,0)</f>
        <v/>
      </c>
      <c r="CU912" s="80">
        <f>IF(ISNUMBER($J912),$J912/100,"")</f>
        <v/>
      </c>
      <c r="CV912" s="81">
        <f>IF(ISNUMBER($AQ912),$AQ912,"")</f>
        <v/>
      </c>
      <c r="CW912" s="81">
        <f>IF(ISNUMBER($AR912),$AR912,"")</f>
        <v/>
      </c>
      <c r="CX912" s="82">
        <f>IF(ISNUMBER($AS912),$AS912/100,"")</f>
        <v/>
      </c>
      <c r="CY912" s="82">
        <f>IF(ISNUMBER($AT912),$AT912/100,"")</f>
        <v/>
      </c>
      <c r="CZ912" s="82">
        <f>IF(ISNUMBER($AU912),$AU912/100,"")</f>
        <v/>
      </c>
      <c r="DA912" s="82">
        <f>IF(ISNUMBER($AV912),$AV912/100,"")</f>
        <v/>
      </c>
      <c r="DB912" s="82">
        <f>IF(ISNUMBER($AW912),$AW912/100,"")</f>
        <v/>
      </c>
      <c r="DC912" s="82">
        <f>IF(ISNUMBER($AX912),$AX912/100,"")</f>
        <v/>
      </c>
      <c r="DD912" s="77">
        <f>IFERROR(VALUE(LEFT(TRIM($AO912&amp;""),4)),"")</f>
        <v/>
      </c>
      <c r="DE912" s="78">
        <f>IF(AND($BY912=1,$BX912=1,OR(fDeal="All Deals",$BU912=fDeal),OR(fEntity="All Entities",$BV912=fEntity),OR(fPType="All Property Types",$BZ912=fPType),OR(fDefeased="Include",$CJ912=0)),1,0)</f>
        <v/>
      </c>
      <c r="DF912" s="83">
        <f>$DE912*N($I912)</f>
        <v/>
      </c>
      <c r="DG912" s="78">
        <f>IF($DE912=1,IF(COUNTIFS($F$8:$F912,$F912,$DE$8:$DE912,1)=1,1,0),0)</f>
        <v/>
      </c>
      <c r="DH912" s="83">
        <f>IF($DG912=1,SUMIFS($DF$8:$DF$1600,$F$8:$F$1600,$F912),0)</f>
        <v/>
      </c>
      <c r="DI912" s="78">
        <f>IF($DG912=1,COUNTIFS($F$8:$F$1600,$F912,$DE$8:$DE$1600,1),0)</f>
        <v/>
      </c>
      <c r="DJ912" s="84">
        <f>IF($DG912=1,$DH912+(100000-ROW())/mTieBreak,0)</f>
        <v/>
      </c>
    </row>
    <row r="913">
      <c r="B913" s="68" t="n">
        <v>10</v>
      </c>
      <c r="C913" s="69" t="inlineStr">
        <is>
          <t>CCUB17C1</t>
        </is>
      </c>
      <c r="D913" s="69" t="inlineStr">
        <is>
          <t>10.000</t>
        </is>
      </c>
      <c r="E913" s="69" t="inlineStr">
        <is>
          <t>Headquarters Plaza</t>
        </is>
      </c>
      <c r="F913" s="69" t="inlineStr">
        <is>
          <t>SPLIT_LOAN_01126</t>
        </is>
      </c>
      <c r="G913" s="70" t="n">
        <v>1126</v>
      </c>
      <c r="H913" s="71" t="n">
        <v>25000000</v>
      </c>
      <c r="I913" s="71" t="n">
        <v>25000000</v>
      </c>
      <c r="J913" s="72" t="n">
        <v>4.355</v>
      </c>
      <c r="K913" s="69" t="inlineStr">
        <is>
          <t>Fixed rate</t>
        </is>
      </c>
      <c r="L913" s="68" t="n">
        <v>120</v>
      </c>
      <c r="M913" s="68" t="n">
        <v>14</v>
      </c>
      <c r="N913" s="68" t="n">
        <v>120</v>
      </c>
      <c r="O913" s="68" t="n">
        <v>120</v>
      </c>
      <c r="P913" s="68" t="n">
        <v>14</v>
      </c>
      <c r="Q913" s="68" t="n">
        <v>106</v>
      </c>
      <c r="R913" s="69" t="inlineStr">
        <is>
          <t>IO</t>
        </is>
      </c>
      <c r="S913" s="69" t="inlineStr">
        <is>
          <t>Yes</t>
        </is>
      </c>
      <c r="T913" s="73" t="n">
        <v>43040</v>
      </c>
      <c r="U913" s="73" t="n">
        <v>46697</v>
      </c>
      <c r="V913" s="73" t="n"/>
      <c r="W913" s="69" t="n"/>
      <c r="X913" s="69" t="inlineStr">
        <is>
          <t>Current</t>
        </is>
      </c>
      <c r="Y913" s="68" t="n"/>
      <c r="Z913" s="69" t="inlineStr">
        <is>
          <t>No Defeasance Occurred</t>
        </is>
      </c>
      <c r="AA913" s="69" t="inlineStr">
        <is>
          <t>Previously</t>
        </is>
      </c>
      <c r="AB913" s="69" t="inlineStr">
        <is>
          <t>Returned to master serv</t>
        </is>
      </c>
      <c r="AC913" s="73" t="n"/>
      <c r="AD913" s="69" t="inlineStr">
        <is>
          <t>Payment Default (all payments excluding Balloon/Maturity Payment)</t>
        </is>
      </c>
      <c r="AE913" s="69" t="inlineStr">
        <is>
          <t>Resolved</t>
        </is>
      </c>
      <c r="AF913" s="69" t="inlineStr">
        <is>
          <t>NJ</t>
        </is>
      </c>
      <c r="AG913" s="69" t="inlineStr">
        <is>
          <t>Morristown</t>
        </is>
      </c>
      <c r="AH913" s="69" t="inlineStr">
        <is>
          <t>New York-Newark-Jersey City, NY-NJ</t>
        </is>
      </c>
      <c r="AI913" s="69" t="inlineStr">
        <is>
          <t>Northeast / Mid-Atlantic</t>
        </is>
      </c>
      <c r="AJ913" s="69" t="inlineStr">
        <is>
          <t>MX</t>
        </is>
      </c>
      <c r="AK913" s="69" t="inlineStr">
        <is>
          <t>Office/Hotel/Retail</t>
        </is>
      </c>
      <c r="AL913" s="68" t="n">
        <v>1</v>
      </c>
      <c r="AM913" s="68" t="n"/>
      <c r="AN913" s="68" t="n">
        <v>729516</v>
      </c>
      <c r="AO913" s="69" t="inlineStr">
        <is>
          <t>1982-1993</t>
        </is>
      </c>
      <c r="AP913" s="70" t="n">
        <v>2009</v>
      </c>
      <c r="AQ913" s="74" t="n">
        <v>2.23</v>
      </c>
      <c r="AR913" s="74" t="n">
        <v>2.08</v>
      </c>
      <c r="AS913" s="74" t="n">
        <v>62.8</v>
      </c>
      <c r="AT913" s="74" t="n">
        <v>86.91</v>
      </c>
      <c r="AU913" s="74" t="n">
        <v>62.8</v>
      </c>
      <c r="AV913" s="74" t="n">
        <v>9.826946232999999</v>
      </c>
      <c r="AW913" s="74" t="n">
        <v>9.163241147000001</v>
      </c>
      <c r="AX913" s="75" t="n">
        <v>86</v>
      </c>
      <c r="AY913" s="71" t="n">
        <v>239000000</v>
      </c>
      <c r="AZ913" s="71" t="n">
        <v>172600000</v>
      </c>
      <c r="BA913" s="71" t="n">
        <v>14740419.35</v>
      </c>
      <c r="BB913" s="71" t="n">
        <v>13744861.72</v>
      </c>
      <c r="BC913" s="69" t="inlineStr">
        <is>
          <t>Recapitalization</t>
        </is>
      </c>
      <c r="BD913" s="69" t="inlineStr">
        <is>
          <t>N</t>
        </is>
      </c>
      <c r="BE913" s="71" t="n">
        <v>125000000</v>
      </c>
      <c r="BF913" s="71" t="n"/>
      <c r="BG913" s="71" t="n"/>
      <c r="BH913" s="71" t="n">
        <v>0</v>
      </c>
      <c r="BI913" s="71" t="n">
        <v>0</v>
      </c>
      <c r="BJ913" s="69" t="inlineStr">
        <is>
          <t>Y</t>
        </is>
      </c>
      <c r="BK913" s="69" t="inlineStr">
        <is>
          <t>Chartwell Consulting Group Inc.</t>
        </is>
      </c>
      <c r="BL913" s="75" t="n">
        <v>6.79</v>
      </c>
      <c r="BM913" s="73" t="n">
        <v>48334</v>
      </c>
      <c r="BN913" s="69" t="inlineStr">
        <is>
          <t>Seth Schochet; Brian Fisher</t>
        </is>
      </c>
      <c r="BO913" s="69" t="inlineStr">
        <is>
          <t>Citi Real Estate Funding</t>
        </is>
      </c>
      <c r="BP913" s="69" t="inlineStr">
        <is>
          <t>Midland Loan Services</t>
        </is>
      </c>
      <c r="BQ913" s="69" t="inlineStr">
        <is>
          <t>LNR Partners</t>
        </is>
      </c>
      <c r="BR913" s="69" t="n"/>
      <c r="BS913" s="73" t="n">
        <v>46276</v>
      </c>
      <c r="BU913" s="76">
        <f>IF($C913="","",IFERROR(INDEX(dmName,MATCH($C913,dmID,0)),"Unmapped"))</f>
        <v/>
      </c>
      <c r="BV913" s="76">
        <f>IF($C913="","",IFERROR(INDEX(dmEntity,MATCH($C913,dmID,0)),"Unmapped"))</f>
        <v/>
      </c>
      <c r="BW913" s="77">
        <f>IF($C913="","",IFERROR(INDEX(dmVintage,MATCH($C913,dmID,0)),""))</f>
        <v/>
      </c>
      <c r="BX913" s="78">
        <f>IFERROR(INDEX(dmInclude,MATCH($C913,dmID,0)),0)</f>
        <v/>
      </c>
      <c r="BY913" s="78">
        <f>IF(N($I913)&gt;0,1,0)</f>
        <v/>
      </c>
      <c r="BZ913" s="76">
        <f>IF($AJ913="","Other / Leased Fee",IFERROR(INDEX(mapPTGroup,MATCH(LEFT(TRIM($AJ913),2),mapPTCode,0)),"Other / Leased Fee"))</f>
        <v/>
      </c>
      <c r="CA913" s="76">
        <f>IF(TRIM($AF913&amp;"")="","NR",LEFT(TRIM($AF913),2))</f>
        <v/>
      </c>
      <c r="CB913" s="76">
        <f>IFERROR(LOOKUP(2,1/(LEFT(TRIM($AI913&amp;""),LEN(mapRegion))=mapRegion),mapRegion),"Not Reported")</f>
        <v/>
      </c>
      <c r="CC913" s="76">
        <f>IF($BY913=0,"",IF(TRIM($W913&amp;"")="REO","REO",IF(TRIM($W913&amp;"")="FC","Foreclosure",IF(TRIM($W913&amp;"")="90+","90+ Days Delinquent",IF(TRIM($W913&amp;"")="60","60 Days Delinquent",IF(TRIM($W913&amp;"")="30","30 Days Delinquent",IF($X913="Non-Performing Matured Balloon","Non-Performing Matured Balloon",IF(OR($X913="Late Payment But Less Than 30 Days Delinquent",LEFT($X913&amp;"",20)="Payment Not Received"),"Late / In Grace (&lt;30 Days)",IF($X913="Performing Matured Balloon","Performing Matured Balloon","Current")))))))))</f>
        <v/>
      </c>
      <c r="CD913" s="78">
        <f>IF(OR($CC913="REO",$CC913="Foreclosure",$CC913="90+ Days Delinquent",$CC913="60 Days Delinquent",$CC913="30 Days Delinquent",$CC913="Non-Performing Matured Balloon"),1,0)</f>
        <v/>
      </c>
      <c r="CE913" s="76">
        <f>IF($AB913="Currently special serv","Currently Specially Serviced",IF($AB913="Returned to master serv","Previously Specially Serviced","Never Specially Serviced"))</f>
        <v/>
      </c>
      <c r="CF913" s="78">
        <f>IF($CE913="Currently Specially Serviced",1,0)</f>
        <v/>
      </c>
      <c r="CG913" s="76">
        <f>IF($AA913="Yes","Currently on Watchlist",IF($AA913="Previously","Previously on Watchlist","Never on Watchlist"))</f>
        <v/>
      </c>
      <c r="CH913" s="78">
        <f>IF($CG913="Currently on Watchlist",1,0)</f>
        <v/>
      </c>
      <c r="CI913" s="76">
        <f>IF($Z913="Full Defeasance","Fully Defeased",IF($Z913="Portion Of Loan Previously Defeased","Partially Defeased",IF($Z913="Defeasance Not Allowable","Not Defeased (Not Permitted)","Not Defeased")))</f>
        <v/>
      </c>
      <c r="CJ913" s="78">
        <f>IF($CI913="Fully Defeased",1,0)</f>
        <v/>
      </c>
      <c r="CK913" s="76">
        <f>IF($R913="IO","Full IO",IF(LEFT($R913&amp;"",7)="IO then","Partial IO","Amortizing"))</f>
        <v/>
      </c>
      <c r="CL913" s="78">
        <f>IF($CK913="Full IO",1,0)</f>
        <v/>
      </c>
      <c r="CM913" s="78">
        <f>IF($CK913="Partial IO",1,0)</f>
        <v/>
      </c>
      <c r="CN913" s="76">
        <f>IF(LEFT($F913&amp;"",10)="SPLIT_LOAN","Pari Passu Split","Standalone")</f>
        <v/>
      </c>
      <c r="CO913" s="78">
        <f>IF($CN913="Pari Passu Split",1,0)</f>
        <v/>
      </c>
      <c r="CP913" s="77">
        <f>IF(ISNUMBER($T913),YEAR($T913),"")</f>
        <v/>
      </c>
      <c r="CQ913" s="79">
        <f>IF(ISNUMBER($V913),$V913,IF(ISNUMBER($U913),$U913,""))</f>
        <v/>
      </c>
      <c r="CR913" s="77">
        <f>IF(ISNUMBER($CQ913),YEAR($CQ913),"")</f>
        <v/>
      </c>
      <c r="CS913" s="78">
        <f>IF(ISNUMBER($M913),MAX(0,$M913),IF(TRIM($M913&amp;"")="matured",0,""))</f>
        <v/>
      </c>
      <c r="CT913" s="78">
        <f>IF(AND(ISNUMBER($CS913),N($CS913)&lt;=mMatWindow),1,0)</f>
        <v/>
      </c>
      <c r="CU913" s="80">
        <f>IF(ISNUMBER($J913),$J913/100,"")</f>
        <v/>
      </c>
      <c r="CV913" s="81">
        <f>IF(ISNUMBER($AQ913),$AQ913,"")</f>
        <v/>
      </c>
      <c r="CW913" s="81">
        <f>IF(ISNUMBER($AR913),$AR913,"")</f>
        <v/>
      </c>
      <c r="CX913" s="82">
        <f>IF(ISNUMBER($AS913),$AS913/100,"")</f>
        <v/>
      </c>
      <c r="CY913" s="82">
        <f>IF(ISNUMBER($AT913),$AT913/100,"")</f>
        <v/>
      </c>
      <c r="CZ913" s="82">
        <f>IF(ISNUMBER($AU913),$AU913/100,"")</f>
        <v/>
      </c>
      <c r="DA913" s="82">
        <f>IF(ISNUMBER($AV913),$AV913/100,"")</f>
        <v/>
      </c>
      <c r="DB913" s="82">
        <f>IF(ISNUMBER($AW913),$AW913/100,"")</f>
        <v/>
      </c>
      <c r="DC913" s="82">
        <f>IF(ISNUMBER($AX913),$AX913/100,"")</f>
        <v/>
      </c>
      <c r="DD913" s="77">
        <f>IFERROR(VALUE(LEFT(TRIM($AO913&amp;""),4)),"")</f>
        <v/>
      </c>
      <c r="DE913" s="78">
        <f>IF(AND($BY913=1,$BX913=1,OR(fDeal="All Deals",$BU913=fDeal),OR(fEntity="All Entities",$BV913=fEntity),OR(fPType="All Property Types",$BZ913=fPType),OR(fDefeased="Include",$CJ913=0)),1,0)</f>
        <v/>
      </c>
      <c r="DF913" s="83">
        <f>$DE913*N($I913)</f>
        <v/>
      </c>
      <c r="DG913" s="78">
        <f>IF($DE913=1,IF(COUNTIFS($F$8:$F913,$F913,$DE$8:$DE913,1)=1,1,0),0)</f>
        <v/>
      </c>
      <c r="DH913" s="83">
        <f>IF($DG913=1,SUMIFS($DF$8:$DF$1600,$F$8:$F$1600,$F913),0)</f>
        <v/>
      </c>
      <c r="DI913" s="78">
        <f>IF($DG913=1,COUNTIFS($F$8:$F$1600,$F913,$DE$8:$DE$1600,1),0)</f>
        <v/>
      </c>
      <c r="DJ913" s="84">
        <f>IF($DG913=1,$DH913+(100000-ROW())/mTieBreak,0)</f>
        <v/>
      </c>
    </row>
    <row r="914">
      <c r="B914" s="68" t="n">
        <v>11</v>
      </c>
      <c r="C914" s="69" t="inlineStr">
        <is>
          <t>CCUB17C1</t>
        </is>
      </c>
      <c r="D914" s="69" t="inlineStr">
        <is>
          <t>11.000</t>
        </is>
      </c>
      <c r="E914" s="69" t="inlineStr">
        <is>
          <t>National Office Portfolio</t>
        </is>
      </c>
      <c r="F914" s="69" t="inlineStr">
        <is>
          <t>SPLIT_LOAN_01124</t>
        </is>
      </c>
      <c r="G914" s="70" t="n">
        <v>1124</v>
      </c>
      <c r="H914" s="71" t="n">
        <v>25000000</v>
      </c>
      <c r="I914" s="71" t="n">
        <v>20911642.71</v>
      </c>
      <c r="J914" s="72" t="n">
        <v>4.61</v>
      </c>
      <c r="K914" s="69" t="inlineStr">
        <is>
          <t>Fixed rate</t>
        </is>
      </c>
      <c r="L914" s="68" t="n">
        <v>120</v>
      </c>
      <c r="M914" s="68" t="n">
        <v>13</v>
      </c>
      <c r="N914" s="68" t="n">
        <v>360</v>
      </c>
      <c r="O914" s="68" t="n"/>
      <c r="P914" s="68" t="n"/>
      <c r="Q914" s="68" t="n">
        <v>107</v>
      </c>
      <c r="R914" s="69" t="n"/>
      <c r="S914" s="69" t="inlineStr">
        <is>
          <t>No</t>
        </is>
      </c>
      <c r="T914" s="73" t="n">
        <v>43009</v>
      </c>
      <c r="U914" s="73" t="n">
        <v>46666</v>
      </c>
      <c r="V914" s="73" t="n"/>
      <c r="W914" s="69" t="n"/>
      <c r="X914" s="69" t="inlineStr">
        <is>
          <t>Current</t>
        </is>
      </c>
      <c r="Y914" s="68" t="n"/>
      <c r="Z914" s="69" t="inlineStr">
        <is>
          <t>No Defeasance Occurred</t>
        </is>
      </c>
      <c r="AA914" s="69" t="inlineStr">
        <is>
          <t>Previously</t>
        </is>
      </c>
      <c r="AB914" s="69" t="inlineStr">
        <is>
          <t>Never special serv</t>
        </is>
      </c>
      <c r="AC914" s="73" t="n"/>
      <c r="AD914" s="69" t="n"/>
      <c r="AE914" s="69" t="n"/>
      <c r="AF914" s="69" t="inlineStr">
        <is>
          <t>TX-66.085405428% GA-17.696216472% IL-9.459459108% AZ-6.758918992%</t>
        </is>
      </c>
      <c r="AG914" s="69" t="n"/>
      <c r="AH914" s="69" t="inlineStr">
        <is>
          <t>Dallas-Fort Worth-Arlington, TX-66.085405428% Atlanta-Sandy Springs-Roswell, GA-17.696216472% Chicago-Naperville-Elgin, IL-IN-9.459459108% Phoenix-Mesa-Chandler, AZ-6.758918992%</t>
        </is>
      </c>
      <c r="AI914" s="69" t="inlineStr">
        <is>
          <t>South / Central West-66.085405428% South / Atlantic-17.696216472% Midwest / Central East-9.459459108% West / Mountain-6.758918992%</t>
        </is>
      </c>
      <c r="AJ914" s="69" t="inlineStr">
        <is>
          <t>OF</t>
        </is>
      </c>
      <c r="AK914" s="69" t="inlineStr">
        <is>
          <t>Suburban</t>
        </is>
      </c>
      <c r="AL914" s="68" t="n">
        <v>18</v>
      </c>
      <c r="AM914" s="68" t="n"/>
      <c r="AN914" s="68" t="n">
        <v>2572700</v>
      </c>
      <c r="AO914" s="69" t="n"/>
      <c r="AP914" s="70" t="n">
        <v>2015</v>
      </c>
      <c r="AQ914" s="74" t="n">
        <v>1.64</v>
      </c>
      <c r="AR914" s="74" t="n">
        <v>1.6</v>
      </c>
      <c r="AS914" s="74" t="n">
        <v>64.2</v>
      </c>
      <c r="AT914" s="74" t="n">
        <v>53.78</v>
      </c>
      <c r="AU914" s="74" t="n">
        <v>52.2</v>
      </c>
      <c r="AV914" s="74" t="n">
        <v>10.080349286</v>
      </c>
      <c r="AW914" s="74" t="n">
        <v>11.788664117</v>
      </c>
      <c r="AX914" s="75" t="n">
        <v>80</v>
      </c>
      <c r="AY914" s="71" t="n">
        <v>287750000</v>
      </c>
      <c r="AZ914" s="71" t="n">
        <v>287750000</v>
      </c>
      <c r="BA914" s="71" t="n">
        <v>18648646.18</v>
      </c>
      <c r="BB914" s="71" t="n">
        <v>18242504.57</v>
      </c>
      <c r="BC914" s="69" t="inlineStr">
        <is>
          <t>Refinance</t>
        </is>
      </c>
      <c r="BD914" s="69" t="inlineStr">
        <is>
          <t>N</t>
        </is>
      </c>
      <c r="BE914" s="71" t="n">
        <v>133834513.34</v>
      </c>
      <c r="BF914" s="71" t="n"/>
      <c r="BG914" s="71" t="n"/>
      <c r="BH914" s="71" t="n">
        <v>0</v>
      </c>
      <c r="BI914" s="71" t="n">
        <v>0</v>
      </c>
      <c r="BJ914" s="69" t="inlineStr">
        <is>
          <t>N</t>
        </is>
      </c>
      <c r="BK914" s="69" t="inlineStr">
        <is>
          <t>American Intercontinental University Inc</t>
        </is>
      </c>
      <c r="BL914" s="75" t="n">
        <v>1.89</v>
      </c>
      <c r="BM914" s="73" t="n">
        <v>48730</v>
      </c>
      <c r="BN914" s="69" t="inlineStr">
        <is>
          <t>Andrew J. Segal</t>
        </is>
      </c>
      <c r="BO914" s="69" t="inlineStr">
        <is>
          <t>Ladder Capital Finance</t>
        </is>
      </c>
      <c r="BP914" s="69" t="inlineStr">
        <is>
          <t>Midland Loan Services</t>
        </is>
      </c>
      <c r="BQ914" s="69" t="inlineStr">
        <is>
          <t>KeyBank National Association</t>
        </is>
      </c>
      <c r="BR914" s="69" t="n"/>
      <c r="BS914" s="73" t="n">
        <v>46276</v>
      </c>
      <c r="BU914" s="76">
        <f>IF($C914="","",IFERROR(INDEX(dmName,MATCH($C914,dmID,0)),"Unmapped"))</f>
        <v/>
      </c>
      <c r="BV914" s="76">
        <f>IF($C914="","",IFERROR(INDEX(dmEntity,MATCH($C914,dmID,0)),"Unmapped"))</f>
        <v/>
      </c>
      <c r="BW914" s="77">
        <f>IF($C914="","",IFERROR(INDEX(dmVintage,MATCH($C914,dmID,0)),""))</f>
        <v/>
      </c>
      <c r="BX914" s="78">
        <f>IFERROR(INDEX(dmInclude,MATCH($C914,dmID,0)),0)</f>
        <v/>
      </c>
      <c r="BY914" s="78">
        <f>IF(N($I914)&gt;0,1,0)</f>
        <v/>
      </c>
      <c r="BZ914" s="76">
        <f>IF($AJ914="","Other / Leased Fee",IFERROR(INDEX(mapPTGroup,MATCH(LEFT(TRIM($AJ914),2),mapPTCode,0)),"Other / Leased Fee"))</f>
        <v/>
      </c>
      <c r="CA914" s="76">
        <f>IF(TRIM($AF914&amp;"")="","NR",LEFT(TRIM($AF914),2))</f>
        <v/>
      </c>
      <c r="CB914" s="76">
        <f>IFERROR(LOOKUP(2,1/(LEFT(TRIM($AI914&amp;""),LEN(mapRegion))=mapRegion),mapRegion),"Not Reported")</f>
        <v/>
      </c>
      <c r="CC914" s="76">
        <f>IF($BY914=0,"",IF(TRIM($W914&amp;"")="REO","REO",IF(TRIM($W914&amp;"")="FC","Foreclosure",IF(TRIM($W914&amp;"")="90+","90+ Days Delinquent",IF(TRIM($W914&amp;"")="60","60 Days Delinquent",IF(TRIM($W914&amp;"")="30","30 Days Delinquent",IF($X914="Non-Performing Matured Balloon","Non-Performing Matured Balloon",IF(OR($X914="Late Payment But Less Than 30 Days Delinquent",LEFT($X914&amp;"",20)="Payment Not Received"),"Late / In Grace (&lt;30 Days)",IF($X914="Performing Matured Balloon","Performing Matured Balloon","Current")))))))))</f>
        <v/>
      </c>
      <c r="CD914" s="78">
        <f>IF(OR($CC914="REO",$CC914="Foreclosure",$CC914="90+ Days Delinquent",$CC914="60 Days Delinquent",$CC914="30 Days Delinquent",$CC914="Non-Performing Matured Balloon"),1,0)</f>
        <v/>
      </c>
      <c r="CE914" s="76">
        <f>IF($AB914="Currently special serv","Currently Specially Serviced",IF($AB914="Returned to master serv","Previously Specially Serviced","Never Specially Serviced"))</f>
        <v/>
      </c>
      <c r="CF914" s="78">
        <f>IF($CE914="Currently Specially Serviced",1,0)</f>
        <v/>
      </c>
      <c r="CG914" s="76">
        <f>IF($AA914="Yes","Currently on Watchlist",IF($AA914="Previously","Previously on Watchlist","Never on Watchlist"))</f>
        <v/>
      </c>
      <c r="CH914" s="78">
        <f>IF($CG914="Currently on Watchlist",1,0)</f>
        <v/>
      </c>
      <c r="CI914" s="76">
        <f>IF($Z914="Full Defeasance","Fully Defeased",IF($Z914="Portion Of Loan Previously Defeased","Partially Defeased",IF($Z914="Defeasance Not Allowable","Not Defeased (Not Permitted)","Not Defeased")))</f>
        <v/>
      </c>
      <c r="CJ914" s="78">
        <f>IF($CI914="Fully Defeased",1,0)</f>
        <v/>
      </c>
      <c r="CK914" s="76">
        <f>IF($R914="IO","Full IO",IF(LEFT($R914&amp;"",7)="IO then","Partial IO","Amortizing"))</f>
        <v/>
      </c>
      <c r="CL914" s="78">
        <f>IF($CK914="Full IO",1,0)</f>
        <v/>
      </c>
      <c r="CM914" s="78">
        <f>IF($CK914="Partial IO",1,0)</f>
        <v/>
      </c>
      <c r="CN914" s="76">
        <f>IF(LEFT($F914&amp;"",10)="SPLIT_LOAN","Pari Passu Split","Standalone")</f>
        <v/>
      </c>
      <c r="CO914" s="78">
        <f>IF($CN914="Pari Passu Split",1,0)</f>
        <v/>
      </c>
      <c r="CP914" s="77">
        <f>IF(ISNUMBER($T914),YEAR($T914),"")</f>
        <v/>
      </c>
      <c r="CQ914" s="79">
        <f>IF(ISNUMBER($V914),$V914,IF(ISNUMBER($U914),$U914,""))</f>
        <v/>
      </c>
      <c r="CR914" s="77">
        <f>IF(ISNUMBER($CQ914),YEAR($CQ914),"")</f>
        <v/>
      </c>
      <c r="CS914" s="78">
        <f>IF(ISNUMBER($M914),MAX(0,$M914),IF(TRIM($M914&amp;"")="matured",0,""))</f>
        <v/>
      </c>
      <c r="CT914" s="78">
        <f>IF(AND(ISNUMBER($CS914),N($CS914)&lt;=mMatWindow),1,0)</f>
        <v/>
      </c>
      <c r="CU914" s="80">
        <f>IF(ISNUMBER($J914),$J914/100,"")</f>
        <v/>
      </c>
      <c r="CV914" s="81">
        <f>IF(ISNUMBER($AQ914),$AQ914,"")</f>
        <v/>
      </c>
      <c r="CW914" s="81">
        <f>IF(ISNUMBER($AR914),$AR914,"")</f>
        <v/>
      </c>
      <c r="CX914" s="82">
        <f>IF(ISNUMBER($AS914),$AS914/100,"")</f>
        <v/>
      </c>
      <c r="CY914" s="82">
        <f>IF(ISNUMBER($AT914),$AT914/100,"")</f>
        <v/>
      </c>
      <c r="CZ914" s="82">
        <f>IF(ISNUMBER($AU914),$AU914/100,"")</f>
        <v/>
      </c>
      <c r="DA914" s="82">
        <f>IF(ISNUMBER($AV914),$AV914/100,"")</f>
        <v/>
      </c>
      <c r="DB914" s="82">
        <f>IF(ISNUMBER($AW914),$AW914/100,"")</f>
        <v/>
      </c>
      <c r="DC914" s="82">
        <f>IF(ISNUMBER($AX914),$AX914/100,"")</f>
        <v/>
      </c>
      <c r="DD914" s="77">
        <f>IFERROR(VALUE(LEFT(TRIM($AO914&amp;""),4)),"")</f>
        <v/>
      </c>
      <c r="DE914" s="78">
        <f>IF(AND($BY914=1,$BX914=1,OR(fDeal="All Deals",$BU914=fDeal),OR(fEntity="All Entities",$BV914=fEntity),OR(fPType="All Property Types",$BZ914=fPType),OR(fDefeased="Include",$CJ914=0)),1,0)</f>
        <v/>
      </c>
      <c r="DF914" s="83">
        <f>$DE914*N($I914)</f>
        <v/>
      </c>
      <c r="DG914" s="78">
        <f>IF($DE914=1,IF(COUNTIFS($F$8:$F914,$F914,$DE$8:$DE914,1)=1,1,0),0)</f>
        <v/>
      </c>
      <c r="DH914" s="83">
        <f>IF($DG914=1,SUMIFS($DF$8:$DF$1600,$F$8:$F$1600,$F914),0)</f>
        <v/>
      </c>
      <c r="DI914" s="78">
        <f>IF($DG914=1,COUNTIFS($F$8:$F$1600,$F914,$DE$8:$DE$1600,1),0)</f>
        <v/>
      </c>
      <c r="DJ914" s="84">
        <f>IF($DG914=1,$DH914+(100000-ROW())/mTieBreak,0)</f>
        <v/>
      </c>
    </row>
    <row r="915">
      <c r="B915" s="68" t="n">
        <v>12</v>
      </c>
      <c r="C915" s="69" t="inlineStr">
        <is>
          <t>CCUB17C1</t>
        </is>
      </c>
      <c r="D915" s="69" t="inlineStr">
        <is>
          <t>12.000</t>
        </is>
      </c>
      <c r="E915" s="69" t="inlineStr">
        <is>
          <t>Bass Pro &amp; Cabela's Portfolio</t>
        </is>
      </c>
      <c r="F915" s="69" t="inlineStr">
        <is>
          <t>SPLIT_LOAN_01119</t>
        </is>
      </c>
      <c r="G915" s="70" t="n">
        <v>1119</v>
      </c>
      <c r="H915" s="71" t="n">
        <v>24750000</v>
      </c>
      <c r="I915" s="71" t="n">
        <v>24750000</v>
      </c>
      <c r="J915" s="72" t="n">
        <v>4.379</v>
      </c>
      <c r="K915" s="69" t="inlineStr">
        <is>
          <t>Fixed rate</t>
        </is>
      </c>
      <c r="L915" s="68" t="n">
        <v>120</v>
      </c>
      <c r="M915" s="68" t="n">
        <v>13</v>
      </c>
      <c r="N915" s="68" t="n">
        <v>120</v>
      </c>
      <c r="O915" s="68" t="n">
        <v>120</v>
      </c>
      <c r="P915" s="68" t="n">
        <v>13</v>
      </c>
      <c r="Q915" s="68" t="n">
        <v>107</v>
      </c>
      <c r="R915" s="69" t="inlineStr">
        <is>
          <t>IO</t>
        </is>
      </c>
      <c r="S915" s="69" t="inlineStr">
        <is>
          <t>Yes</t>
        </is>
      </c>
      <c r="T915" s="73" t="n">
        <v>43009</v>
      </c>
      <c r="U915" s="73" t="n">
        <v>46666</v>
      </c>
      <c r="V915" s="73" t="n"/>
      <c r="W915" s="69" t="n"/>
      <c r="X915" s="69" t="inlineStr">
        <is>
          <t>Current</t>
        </is>
      </c>
      <c r="Y915" s="68" t="n"/>
      <c r="Z915" s="69" t="inlineStr">
        <is>
          <t>No Defeasance Occurred</t>
        </is>
      </c>
      <c r="AA915" s="69" t="inlineStr">
        <is>
          <t>Previously</t>
        </is>
      </c>
      <c r="AB915" s="69" t="inlineStr">
        <is>
          <t>Never special serv</t>
        </is>
      </c>
      <c r="AC915" s="73" t="n"/>
      <c r="AD915" s="69" t="n"/>
      <c r="AE915" s="69" t="n"/>
      <c r="AF915" s="69" t="inlineStr">
        <is>
          <t>TX-27.039507071% MN-17.752694949% FL-11.390456566% CO-9.030270707% UT-7.901486869% IN-6.670088889% SC-6.003078788% KS-5.387377778% OH-4.566444444% AL-4.258593939%</t>
        </is>
      </c>
      <c r="AG915" s="69" t="n"/>
      <c r="AH915" s="69" t="inlineStr">
        <is>
          <t>Minneapolis-St. Paul-Bloomington, MN-WI-10.620832323% Denver-Aurora-Centennial, CO-9.030270707% San Antonio-New Braunfels, TX-8.825038384% Dallas-Fort Worth-Arlington, TX-8.671115152% Provo-Orem-Lehi, UT-7.901486869% Tampa-St. Petersburg-Clearwater, FL-7.439713131% Chicago-Naperville-Elgin, IL-IN-6.670088889% Austin-Round Rock-San Marcos, TX-6.464852525% Charlotte-Concord-Gastonia, NC-SC-6.003078788% Wichita, KS-5.387377778% Owatonna, MN-4.925604040% Dayton-Kettering-Beavercreek, OH-4.566444444% Huntsville, AL-4.258593939% Port St. Lucie, FL-3.950743434% Waco, TX-3.078501010% Grand Forks, ND-MN-2.206258586%</t>
        </is>
      </c>
      <c r="AI915" s="69" t="inlineStr">
        <is>
          <t>South / Central West-27.039507071% Midwest / Central West-23.140072727% South / Atlantic-17.393535354% West / Mountain-16.931757576% Midwest / Central East-11.236533333% South / Central East-4.258593939%</t>
        </is>
      </c>
      <c r="AJ915" s="69" t="inlineStr">
        <is>
          <t>RT</t>
        </is>
      </c>
      <c r="AK915" s="69" t="inlineStr">
        <is>
          <t>Single Tenant</t>
        </is>
      </c>
      <c r="AL915" s="68" t="n">
        <v>16</v>
      </c>
      <c r="AM915" s="68" t="n"/>
      <c r="AN915" s="68" t="n">
        <v>1896527</v>
      </c>
      <c r="AO915" s="69" t="n"/>
      <c r="AP915" s="70" t="n">
        <v>2016</v>
      </c>
      <c r="AQ915" s="74" t="n">
        <v>2.72</v>
      </c>
      <c r="AR915" s="74" t="n">
        <v>3.84</v>
      </c>
      <c r="AS915" s="74" t="n">
        <v>50.4</v>
      </c>
      <c r="AT915" s="74" t="n">
        <v>50.4</v>
      </c>
      <c r="AU915" s="74" t="n">
        <v>50.4</v>
      </c>
      <c r="AV915" s="74" t="n">
        <v>12.065347583</v>
      </c>
      <c r="AW915" s="74" t="n">
        <v>17.04985492</v>
      </c>
      <c r="AX915" s="75" t="n">
        <v>100</v>
      </c>
      <c r="AY915" s="71" t="n">
        <v>386700000</v>
      </c>
      <c r="AZ915" s="71" t="n">
        <v>386700000</v>
      </c>
      <c r="BA915" s="71" t="n">
        <v>23515362.44</v>
      </c>
      <c r="BB915" s="71" t="n">
        <v>33230167.24</v>
      </c>
      <c r="BC915" s="69" t="inlineStr">
        <is>
          <t>Acquisition</t>
        </is>
      </c>
      <c r="BD915" s="69" t="inlineStr">
        <is>
          <t>N</t>
        </is>
      </c>
      <c r="BE915" s="71" t="n">
        <v>170150000</v>
      </c>
      <c r="BF915" s="71" t="n"/>
      <c r="BG915" s="71" t="n"/>
      <c r="BH915" s="71" t="n">
        <v>0</v>
      </c>
      <c r="BI915" s="71" t="n">
        <v>0</v>
      </c>
      <c r="BJ915" s="69" t="inlineStr">
        <is>
          <t>N</t>
        </is>
      </c>
      <c r="BK915" s="69" t="inlineStr">
        <is>
          <t>Cabela's</t>
        </is>
      </c>
      <c r="BL915" s="75" t="n">
        <v>55.67</v>
      </c>
      <c r="BM915" s="73" t="n">
        <v>51986</v>
      </c>
      <c r="BN915" s="69" t="inlineStr">
        <is>
          <t>Starwood Property Trust, Inc.</t>
        </is>
      </c>
      <c r="BO915" s="69" t="inlineStr">
        <is>
          <t>Goldman Sachs/Wells Fargo/UBS</t>
        </is>
      </c>
      <c r="BP915" s="69" t="inlineStr">
        <is>
          <t>Midland Loan Services</t>
        </is>
      </c>
      <c r="BQ915" s="69" t="inlineStr">
        <is>
          <t>K-Star Asset Management LLC</t>
        </is>
      </c>
      <c r="BR915" s="69" t="n"/>
      <c r="BS915" s="73" t="n">
        <v>46276</v>
      </c>
      <c r="BU915" s="76">
        <f>IF($C915="","",IFERROR(INDEX(dmName,MATCH($C915,dmID,0)),"Unmapped"))</f>
        <v/>
      </c>
      <c r="BV915" s="76">
        <f>IF($C915="","",IFERROR(INDEX(dmEntity,MATCH($C915,dmID,0)),"Unmapped"))</f>
        <v/>
      </c>
      <c r="BW915" s="77">
        <f>IF($C915="","",IFERROR(INDEX(dmVintage,MATCH($C915,dmID,0)),""))</f>
        <v/>
      </c>
      <c r="BX915" s="78">
        <f>IFERROR(INDEX(dmInclude,MATCH($C915,dmID,0)),0)</f>
        <v/>
      </c>
      <c r="BY915" s="78">
        <f>IF(N($I915)&gt;0,1,0)</f>
        <v/>
      </c>
      <c r="BZ915" s="76">
        <f>IF($AJ915="","Other / Leased Fee",IFERROR(INDEX(mapPTGroup,MATCH(LEFT(TRIM($AJ915),2),mapPTCode,0)),"Other / Leased Fee"))</f>
        <v/>
      </c>
      <c r="CA915" s="76">
        <f>IF(TRIM($AF915&amp;"")="","NR",LEFT(TRIM($AF915),2))</f>
        <v/>
      </c>
      <c r="CB915" s="76">
        <f>IFERROR(LOOKUP(2,1/(LEFT(TRIM($AI915&amp;""),LEN(mapRegion))=mapRegion),mapRegion),"Not Reported")</f>
        <v/>
      </c>
      <c r="CC915" s="76">
        <f>IF($BY915=0,"",IF(TRIM($W915&amp;"")="REO","REO",IF(TRIM($W915&amp;"")="FC","Foreclosure",IF(TRIM($W915&amp;"")="90+","90+ Days Delinquent",IF(TRIM($W915&amp;"")="60","60 Days Delinquent",IF(TRIM($W915&amp;"")="30","30 Days Delinquent",IF($X915="Non-Performing Matured Balloon","Non-Performing Matured Balloon",IF(OR($X915="Late Payment But Less Than 30 Days Delinquent",LEFT($X915&amp;"",20)="Payment Not Received"),"Late / In Grace (&lt;30 Days)",IF($X915="Performing Matured Balloon","Performing Matured Balloon","Current")))))))))</f>
        <v/>
      </c>
      <c r="CD915" s="78">
        <f>IF(OR($CC915="REO",$CC915="Foreclosure",$CC915="90+ Days Delinquent",$CC915="60 Days Delinquent",$CC915="30 Days Delinquent",$CC915="Non-Performing Matured Balloon"),1,0)</f>
        <v/>
      </c>
      <c r="CE915" s="76">
        <f>IF($AB915="Currently special serv","Currently Specially Serviced",IF($AB915="Returned to master serv","Previously Specially Serviced","Never Specially Serviced"))</f>
        <v/>
      </c>
      <c r="CF915" s="78">
        <f>IF($CE915="Currently Specially Serviced",1,0)</f>
        <v/>
      </c>
      <c r="CG915" s="76">
        <f>IF($AA915="Yes","Currently on Watchlist",IF($AA915="Previously","Previously on Watchlist","Never on Watchlist"))</f>
        <v/>
      </c>
      <c r="CH915" s="78">
        <f>IF($CG915="Currently on Watchlist",1,0)</f>
        <v/>
      </c>
      <c r="CI915" s="76">
        <f>IF($Z915="Full Defeasance","Fully Defeased",IF($Z915="Portion Of Loan Previously Defeased","Partially Defeased",IF($Z915="Defeasance Not Allowable","Not Defeased (Not Permitted)","Not Defeased")))</f>
        <v/>
      </c>
      <c r="CJ915" s="78">
        <f>IF($CI915="Fully Defeased",1,0)</f>
        <v/>
      </c>
      <c r="CK915" s="76">
        <f>IF($R915="IO","Full IO",IF(LEFT($R915&amp;"",7)="IO then","Partial IO","Amortizing"))</f>
        <v/>
      </c>
      <c r="CL915" s="78">
        <f>IF($CK915="Full IO",1,0)</f>
        <v/>
      </c>
      <c r="CM915" s="78">
        <f>IF($CK915="Partial IO",1,0)</f>
        <v/>
      </c>
      <c r="CN915" s="76">
        <f>IF(LEFT($F915&amp;"",10)="SPLIT_LOAN","Pari Passu Split","Standalone")</f>
        <v/>
      </c>
      <c r="CO915" s="78">
        <f>IF($CN915="Pari Passu Split",1,0)</f>
        <v/>
      </c>
      <c r="CP915" s="77">
        <f>IF(ISNUMBER($T915),YEAR($T915),"")</f>
        <v/>
      </c>
      <c r="CQ915" s="79">
        <f>IF(ISNUMBER($V915),$V915,IF(ISNUMBER($U915),$U915,""))</f>
        <v/>
      </c>
      <c r="CR915" s="77">
        <f>IF(ISNUMBER($CQ915),YEAR($CQ915),"")</f>
        <v/>
      </c>
      <c r="CS915" s="78">
        <f>IF(ISNUMBER($M915),MAX(0,$M915),IF(TRIM($M915&amp;"")="matured",0,""))</f>
        <v/>
      </c>
      <c r="CT915" s="78">
        <f>IF(AND(ISNUMBER($CS915),N($CS915)&lt;=mMatWindow),1,0)</f>
        <v/>
      </c>
      <c r="CU915" s="80">
        <f>IF(ISNUMBER($J915),$J915/100,"")</f>
        <v/>
      </c>
      <c r="CV915" s="81">
        <f>IF(ISNUMBER($AQ915),$AQ915,"")</f>
        <v/>
      </c>
      <c r="CW915" s="81">
        <f>IF(ISNUMBER($AR915),$AR915,"")</f>
        <v/>
      </c>
      <c r="CX915" s="82">
        <f>IF(ISNUMBER($AS915),$AS915/100,"")</f>
        <v/>
      </c>
      <c r="CY915" s="82">
        <f>IF(ISNUMBER($AT915),$AT915/100,"")</f>
        <v/>
      </c>
      <c r="CZ915" s="82">
        <f>IF(ISNUMBER($AU915),$AU915/100,"")</f>
        <v/>
      </c>
      <c r="DA915" s="82">
        <f>IF(ISNUMBER($AV915),$AV915/100,"")</f>
        <v/>
      </c>
      <c r="DB915" s="82">
        <f>IF(ISNUMBER($AW915),$AW915/100,"")</f>
        <v/>
      </c>
      <c r="DC915" s="82">
        <f>IF(ISNUMBER($AX915),$AX915/100,"")</f>
        <v/>
      </c>
      <c r="DD915" s="77">
        <f>IFERROR(VALUE(LEFT(TRIM($AO915&amp;""),4)),"")</f>
        <v/>
      </c>
      <c r="DE915" s="78">
        <f>IF(AND($BY915=1,$BX915=1,OR(fDeal="All Deals",$BU915=fDeal),OR(fEntity="All Entities",$BV915=fEntity),OR(fPType="All Property Types",$BZ915=fPType),OR(fDefeased="Include",$CJ915=0)),1,0)</f>
        <v/>
      </c>
      <c r="DF915" s="83">
        <f>$DE915*N($I915)</f>
        <v/>
      </c>
      <c r="DG915" s="78">
        <f>IF($DE915=1,IF(COUNTIFS($F$8:$F915,$F915,$DE$8:$DE915,1)=1,1,0),0)</f>
        <v/>
      </c>
      <c r="DH915" s="83">
        <f>IF($DG915=1,SUMIFS($DF$8:$DF$1600,$F$8:$F$1600,$F915),0)</f>
        <v/>
      </c>
      <c r="DI915" s="78">
        <f>IF($DG915=1,COUNTIFS($F$8:$F$1600,$F915,$DE$8:$DE$1600,1),0)</f>
        <v/>
      </c>
      <c r="DJ915" s="84">
        <f>IF($DG915=1,$DH915+(100000-ROW())/mTieBreak,0)</f>
        <v/>
      </c>
    </row>
    <row r="916">
      <c r="B916" s="68" t="n">
        <v>13</v>
      </c>
      <c r="C916" s="69" t="inlineStr">
        <is>
          <t>CCUB17C1</t>
        </is>
      </c>
      <c r="D916" s="69" t="inlineStr">
        <is>
          <t>13.000</t>
        </is>
      </c>
      <c r="E916" s="69" t="inlineStr">
        <is>
          <t>Westin Crystal City</t>
        </is>
      </c>
      <c r="F916" s="69" t="inlineStr">
        <is>
          <t>SPLIT_LOAN_01107</t>
        </is>
      </c>
      <c r="G916" s="70" t="n">
        <v>1107</v>
      </c>
      <c r="H916" s="71" t="n">
        <v>24000000</v>
      </c>
      <c r="I916" s="71" t="n">
        <v>24000000</v>
      </c>
      <c r="J916" s="72" t="n">
        <v>4.511</v>
      </c>
      <c r="K916" s="69" t="inlineStr">
        <is>
          <t>Fixed rate</t>
        </is>
      </c>
      <c r="L916" s="68" t="n">
        <v>120</v>
      </c>
      <c r="M916" s="68" t="n">
        <v>11</v>
      </c>
      <c r="N916" s="68" t="n">
        <v>120</v>
      </c>
      <c r="O916" s="68" t="n">
        <v>120</v>
      </c>
      <c r="P916" s="68" t="n">
        <v>11</v>
      </c>
      <c r="Q916" s="68" t="n">
        <v>109</v>
      </c>
      <c r="R916" s="69" t="inlineStr">
        <is>
          <t>IO</t>
        </is>
      </c>
      <c r="S916" s="69" t="inlineStr">
        <is>
          <t>Yes</t>
        </is>
      </c>
      <c r="T916" s="73" t="n">
        <v>42948</v>
      </c>
      <c r="U916" s="73" t="n">
        <v>46605</v>
      </c>
      <c r="V916" s="73" t="n"/>
      <c r="W916" s="69" t="n"/>
      <c r="X916" s="69" t="inlineStr">
        <is>
          <t>Current</t>
        </is>
      </c>
      <c r="Y916" s="68" t="n"/>
      <c r="Z916" s="69" t="inlineStr">
        <is>
          <t>No Defeasance Occurred</t>
        </is>
      </c>
      <c r="AA916" s="69" t="inlineStr">
        <is>
          <t>Previously</t>
        </is>
      </c>
      <c r="AB916" s="69" t="inlineStr">
        <is>
          <t>Never special serv</t>
        </is>
      </c>
      <c r="AC916" s="73" t="n"/>
      <c r="AD916" s="69" t="n"/>
      <c r="AE916" s="69" t="n"/>
      <c r="AF916" s="69" t="inlineStr">
        <is>
          <t>VA</t>
        </is>
      </c>
      <c r="AG916" s="69" t="inlineStr">
        <is>
          <t>Arlington</t>
        </is>
      </c>
      <c r="AH916" s="69" t="inlineStr">
        <is>
          <t>Washington-Arlington-Alexandria, DC-VA-MD-WV</t>
        </is>
      </c>
      <c r="AI916" s="69" t="inlineStr">
        <is>
          <t>South / Atlantic</t>
        </is>
      </c>
      <c r="AJ916" s="69" t="inlineStr">
        <is>
          <t>HT</t>
        </is>
      </c>
      <c r="AK916" s="69" t="inlineStr">
        <is>
          <t>Full Service</t>
        </is>
      </c>
      <c r="AL916" s="68" t="n">
        <v>1</v>
      </c>
      <c r="AM916" s="68" t="n">
        <v>220</v>
      </c>
      <c r="AN916" s="68" t="n"/>
      <c r="AO916" s="69" t="inlineStr">
        <is>
          <t>1984</t>
        </is>
      </c>
      <c r="AP916" s="70" t="n">
        <v>2014</v>
      </c>
      <c r="AQ916" s="74" t="n">
        <v>2.61</v>
      </c>
      <c r="AR916" s="74" t="n">
        <v>1.98</v>
      </c>
      <c r="AS916" s="74" t="n">
        <v>56.8</v>
      </c>
      <c r="AT916" s="74" t="n">
        <v>56.8</v>
      </c>
      <c r="AU916" s="74" t="n">
        <v>56.8</v>
      </c>
      <c r="AV916" s="74" t="n">
        <v>11.954595833</v>
      </c>
      <c r="AW916" s="74" t="n">
        <v>10.562875854</v>
      </c>
      <c r="AX916" s="75" t="n">
        <v>72</v>
      </c>
      <c r="AY916" s="71" t="n">
        <v>84500000</v>
      </c>
      <c r="AZ916" s="71" t="n">
        <v>84500000</v>
      </c>
      <c r="BA916" s="71" t="n">
        <v>5738206</v>
      </c>
      <c r="BB916" s="71" t="n">
        <v>1085797.73</v>
      </c>
      <c r="BC916" s="69" t="inlineStr">
        <is>
          <t>Acquisition</t>
        </is>
      </c>
      <c r="BD916" s="69" t="inlineStr">
        <is>
          <t>N</t>
        </is>
      </c>
      <c r="BE916" s="71" t="n">
        <v>24000000</v>
      </c>
      <c r="BF916" s="71" t="n"/>
      <c r="BG916" s="71" t="n"/>
      <c r="BH916" s="71" t="n">
        <v>0</v>
      </c>
      <c r="BI916" s="71" t="n">
        <v>0</v>
      </c>
      <c r="BJ916" s="69" t="inlineStr">
        <is>
          <t>Y</t>
        </is>
      </c>
      <c r="BK916" s="69" t="n"/>
      <c r="BL916" s="75" t="n"/>
      <c r="BM916" s="73" t="n"/>
      <c r="BN916" s="69" t="inlineStr">
        <is>
          <t>Allan V. Rose</t>
        </is>
      </c>
      <c r="BO916" s="69" t="inlineStr">
        <is>
          <t>Cantor Commercial Real Estate Lending</t>
        </is>
      </c>
      <c r="BP916" s="69" t="inlineStr">
        <is>
          <t>Midland Loan Services</t>
        </is>
      </c>
      <c r="BQ916" s="69" t="inlineStr">
        <is>
          <t>Midland Loan Services</t>
        </is>
      </c>
      <c r="BR916" s="69" t="n"/>
      <c r="BS916" s="73" t="n">
        <v>46276</v>
      </c>
      <c r="BU916" s="76">
        <f>IF($C916="","",IFERROR(INDEX(dmName,MATCH($C916,dmID,0)),"Unmapped"))</f>
        <v/>
      </c>
      <c r="BV916" s="76">
        <f>IF($C916="","",IFERROR(INDEX(dmEntity,MATCH($C916,dmID,0)),"Unmapped"))</f>
        <v/>
      </c>
      <c r="BW916" s="77">
        <f>IF($C916="","",IFERROR(INDEX(dmVintage,MATCH($C916,dmID,0)),""))</f>
        <v/>
      </c>
      <c r="BX916" s="78">
        <f>IFERROR(INDEX(dmInclude,MATCH($C916,dmID,0)),0)</f>
        <v/>
      </c>
      <c r="BY916" s="78">
        <f>IF(N($I916)&gt;0,1,0)</f>
        <v/>
      </c>
      <c r="BZ916" s="76">
        <f>IF($AJ916="","Other / Leased Fee",IFERROR(INDEX(mapPTGroup,MATCH(LEFT(TRIM($AJ916),2),mapPTCode,0)),"Other / Leased Fee"))</f>
        <v/>
      </c>
      <c r="CA916" s="76">
        <f>IF(TRIM($AF916&amp;"")="","NR",LEFT(TRIM($AF916),2))</f>
        <v/>
      </c>
      <c r="CB916" s="76">
        <f>IFERROR(LOOKUP(2,1/(LEFT(TRIM($AI916&amp;""),LEN(mapRegion))=mapRegion),mapRegion),"Not Reported")</f>
        <v/>
      </c>
      <c r="CC916" s="76">
        <f>IF($BY916=0,"",IF(TRIM($W916&amp;"")="REO","REO",IF(TRIM($W916&amp;"")="FC","Foreclosure",IF(TRIM($W916&amp;"")="90+","90+ Days Delinquent",IF(TRIM($W916&amp;"")="60","60 Days Delinquent",IF(TRIM($W916&amp;"")="30","30 Days Delinquent",IF($X916="Non-Performing Matured Balloon","Non-Performing Matured Balloon",IF(OR($X916="Late Payment But Less Than 30 Days Delinquent",LEFT($X916&amp;"",20)="Payment Not Received"),"Late / In Grace (&lt;30 Days)",IF($X916="Performing Matured Balloon","Performing Matured Balloon","Current")))))))))</f>
        <v/>
      </c>
      <c r="CD916" s="78">
        <f>IF(OR($CC916="REO",$CC916="Foreclosure",$CC916="90+ Days Delinquent",$CC916="60 Days Delinquent",$CC916="30 Days Delinquent",$CC916="Non-Performing Matured Balloon"),1,0)</f>
        <v/>
      </c>
      <c r="CE916" s="76">
        <f>IF($AB916="Currently special serv","Currently Specially Serviced",IF($AB916="Returned to master serv","Previously Specially Serviced","Never Specially Serviced"))</f>
        <v/>
      </c>
      <c r="CF916" s="78">
        <f>IF($CE916="Currently Specially Serviced",1,0)</f>
        <v/>
      </c>
      <c r="CG916" s="76">
        <f>IF($AA916="Yes","Currently on Watchlist",IF($AA916="Previously","Previously on Watchlist","Never on Watchlist"))</f>
        <v/>
      </c>
      <c r="CH916" s="78">
        <f>IF($CG916="Currently on Watchlist",1,0)</f>
        <v/>
      </c>
      <c r="CI916" s="76">
        <f>IF($Z916="Full Defeasance","Fully Defeased",IF($Z916="Portion Of Loan Previously Defeased","Partially Defeased",IF($Z916="Defeasance Not Allowable","Not Defeased (Not Permitted)","Not Defeased")))</f>
        <v/>
      </c>
      <c r="CJ916" s="78">
        <f>IF($CI916="Fully Defeased",1,0)</f>
        <v/>
      </c>
      <c r="CK916" s="76">
        <f>IF($R916="IO","Full IO",IF(LEFT($R916&amp;"",7)="IO then","Partial IO","Amortizing"))</f>
        <v/>
      </c>
      <c r="CL916" s="78">
        <f>IF($CK916="Full IO",1,0)</f>
        <v/>
      </c>
      <c r="CM916" s="78">
        <f>IF($CK916="Partial IO",1,0)</f>
        <v/>
      </c>
      <c r="CN916" s="76">
        <f>IF(LEFT($F916&amp;"",10)="SPLIT_LOAN","Pari Passu Split","Standalone")</f>
        <v/>
      </c>
      <c r="CO916" s="78">
        <f>IF($CN916="Pari Passu Split",1,0)</f>
        <v/>
      </c>
      <c r="CP916" s="77">
        <f>IF(ISNUMBER($T916),YEAR($T916),"")</f>
        <v/>
      </c>
      <c r="CQ916" s="79">
        <f>IF(ISNUMBER($V916),$V916,IF(ISNUMBER($U916),$U916,""))</f>
        <v/>
      </c>
      <c r="CR916" s="77">
        <f>IF(ISNUMBER($CQ916),YEAR($CQ916),"")</f>
        <v/>
      </c>
      <c r="CS916" s="78">
        <f>IF(ISNUMBER($M916),MAX(0,$M916),IF(TRIM($M916&amp;"")="matured",0,""))</f>
        <v/>
      </c>
      <c r="CT916" s="78">
        <f>IF(AND(ISNUMBER($CS916),N($CS916)&lt;=mMatWindow),1,0)</f>
        <v/>
      </c>
      <c r="CU916" s="80">
        <f>IF(ISNUMBER($J916),$J916/100,"")</f>
        <v/>
      </c>
      <c r="CV916" s="81">
        <f>IF(ISNUMBER($AQ916),$AQ916,"")</f>
        <v/>
      </c>
      <c r="CW916" s="81">
        <f>IF(ISNUMBER($AR916),$AR916,"")</f>
        <v/>
      </c>
      <c r="CX916" s="82">
        <f>IF(ISNUMBER($AS916),$AS916/100,"")</f>
        <v/>
      </c>
      <c r="CY916" s="82">
        <f>IF(ISNUMBER($AT916),$AT916/100,"")</f>
        <v/>
      </c>
      <c r="CZ916" s="82">
        <f>IF(ISNUMBER($AU916),$AU916/100,"")</f>
        <v/>
      </c>
      <c r="DA916" s="82">
        <f>IF(ISNUMBER($AV916),$AV916/100,"")</f>
        <v/>
      </c>
      <c r="DB916" s="82">
        <f>IF(ISNUMBER($AW916),$AW916/100,"")</f>
        <v/>
      </c>
      <c r="DC916" s="82">
        <f>IF(ISNUMBER($AX916),$AX916/100,"")</f>
        <v/>
      </c>
      <c r="DD916" s="77">
        <f>IFERROR(VALUE(LEFT(TRIM($AO916&amp;""),4)),"")</f>
        <v/>
      </c>
      <c r="DE916" s="78">
        <f>IF(AND($BY916=1,$BX916=1,OR(fDeal="All Deals",$BU916=fDeal),OR(fEntity="All Entities",$BV916=fEntity),OR(fPType="All Property Types",$BZ916=fPType),OR(fDefeased="Include",$CJ916=0)),1,0)</f>
        <v/>
      </c>
      <c r="DF916" s="83">
        <f>$DE916*N($I916)</f>
        <v/>
      </c>
      <c r="DG916" s="78">
        <f>IF($DE916=1,IF(COUNTIFS($F$8:$F916,$F916,$DE$8:$DE916,1)=1,1,0),0)</f>
        <v/>
      </c>
      <c r="DH916" s="83">
        <f>IF($DG916=1,SUMIFS($DF$8:$DF$1600,$F$8:$F$1600,$F916),0)</f>
        <v/>
      </c>
      <c r="DI916" s="78">
        <f>IF($DG916=1,COUNTIFS($F$8:$F$1600,$F916,$DE$8:$DE$1600,1),0)</f>
        <v/>
      </c>
      <c r="DJ916" s="84">
        <f>IF($DG916=1,$DH916+(100000-ROW())/mTieBreak,0)</f>
        <v/>
      </c>
    </row>
    <row r="917">
      <c r="B917" s="68" t="n">
        <v>14</v>
      </c>
      <c r="C917" s="69" t="inlineStr">
        <is>
          <t>CCUB17C1</t>
        </is>
      </c>
      <c r="D917" s="69" t="inlineStr">
        <is>
          <t>14.000</t>
        </is>
      </c>
      <c r="E917" s="69" t="inlineStr">
        <is>
          <t>Marriott Grand Cayman</t>
        </is>
      </c>
      <c r="F917" s="69" t="inlineStr">
        <is>
          <t>SPLIT_LOAN_01063</t>
        </is>
      </c>
      <c r="G917" s="70" t="n">
        <v>1063</v>
      </c>
      <c r="H917" s="71" t="n">
        <v>24000000</v>
      </c>
      <c r="I917" s="71" t="n">
        <v>0</v>
      </c>
      <c r="J917" s="72" t="n">
        <v>5.4485</v>
      </c>
      <c r="K917" s="69" t="inlineStr">
        <is>
          <t>Fixed rate</t>
        </is>
      </c>
      <c r="L917" s="68" t="n">
        <v>96</v>
      </c>
      <c r="M917" s="68" t="n"/>
      <c r="N917" s="68" t="n">
        <v>360</v>
      </c>
      <c r="O917" s="68" t="n"/>
      <c r="P917" s="68" t="n"/>
      <c r="Q917" s="68" t="n"/>
      <c r="R917" s="69" t="n"/>
      <c r="S917" s="69" t="inlineStr">
        <is>
          <t>No</t>
        </is>
      </c>
      <c r="T917" s="73" t="n">
        <v>42917</v>
      </c>
      <c r="U917" s="73" t="n">
        <v>45844</v>
      </c>
      <c r="V917" s="73" t="n"/>
      <c r="W917" s="69" t="n"/>
      <c r="X917" s="69" t="inlineStr">
        <is>
          <t>Current</t>
        </is>
      </c>
      <c r="Y917" s="68" t="n"/>
      <c r="Z917" s="69" t="inlineStr">
        <is>
          <t>No Defeasance Occurred</t>
        </is>
      </c>
      <c r="AA917" s="69" t="inlineStr">
        <is>
          <t>Previously</t>
        </is>
      </c>
      <c r="AB917" s="69" t="inlineStr">
        <is>
          <t>Currently special serv</t>
        </is>
      </c>
      <c r="AC917" s="73" t="n">
        <v>44743</v>
      </c>
      <c r="AD917" s="69" t="inlineStr">
        <is>
          <t>Imminent Monetary Default (Balloon/Maturity Default)</t>
        </is>
      </c>
      <c r="AE917" s="69" t="inlineStr">
        <is>
          <t>Reps And Warranties</t>
        </is>
      </c>
      <c r="AF917" s="69" t="n"/>
      <c r="AG917" s="69" t="inlineStr">
        <is>
          <t>Grand Cayman</t>
        </is>
      </c>
      <c r="AH917" s="69" t="n"/>
      <c r="AI917" s="69" t="n"/>
      <c r="AJ917" s="69" t="inlineStr">
        <is>
          <t>HT</t>
        </is>
      </c>
      <c r="AK917" s="69" t="inlineStr">
        <is>
          <t>Full Service</t>
        </is>
      </c>
      <c r="AL917" s="68" t="n">
        <v>1</v>
      </c>
      <c r="AM917" s="68" t="n">
        <v>295</v>
      </c>
      <c r="AN917" s="68" t="n"/>
      <c r="AO917" s="69" t="inlineStr">
        <is>
          <t>1990</t>
        </is>
      </c>
      <c r="AP917" s="70" t="n">
        <v>2014</v>
      </c>
      <c r="AQ917" s="74" t="n">
        <v>1.91</v>
      </c>
      <c r="AR917" s="74" t="n">
        <v>0.99</v>
      </c>
      <c r="AS917" s="74" t="n">
        <v>56.1</v>
      </c>
      <c r="AT917" s="74" t="n"/>
      <c r="AU917" s="74" t="n">
        <v>52.3</v>
      </c>
      <c r="AV917" s="74" t="n">
        <v>12.92027125</v>
      </c>
      <c r="AW917" s="74" t="n"/>
      <c r="AX917" s="75" t="n">
        <v>55</v>
      </c>
      <c r="AY917" s="71" t="n">
        <v>142000000</v>
      </c>
      <c r="AZ917" s="71" t="n">
        <v>160300000</v>
      </c>
      <c r="BA917" s="71" t="n">
        <v>10336217</v>
      </c>
      <c r="BB917" s="71" t="n">
        <v>5382729.69</v>
      </c>
      <c r="BC917" s="69" t="inlineStr">
        <is>
          <t>Refinance</t>
        </is>
      </c>
      <c r="BD917" s="69" t="inlineStr">
        <is>
          <t>N</t>
        </is>
      </c>
      <c r="BE917" s="71" t="n">
        <v>0</v>
      </c>
      <c r="BF917" s="71" t="n"/>
      <c r="BG917" s="71" t="n"/>
      <c r="BH917" s="71" t="n">
        <v>0</v>
      </c>
      <c r="BI917" s="71" t="n">
        <v>0</v>
      </c>
      <c r="BJ917" s="69" t="inlineStr">
        <is>
          <t>Y</t>
        </is>
      </c>
      <c r="BK917" s="69" t="n"/>
      <c r="BL917" s="75" t="n"/>
      <c r="BM917" s="73" t="n"/>
      <c r="BN917" s="69" t="inlineStr">
        <is>
          <t>London &amp; Regional Group Holdings Limited</t>
        </is>
      </c>
      <c r="BO917" s="69" t="inlineStr">
        <is>
          <t>Cantor Commercial Real Estate Lending</t>
        </is>
      </c>
      <c r="BP917" s="69" t="inlineStr">
        <is>
          <t>Midland Loan Services</t>
        </is>
      </c>
      <c r="BQ917" s="69" t="inlineStr">
        <is>
          <t>Midland Loan Services</t>
        </is>
      </c>
      <c r="BR917" s="69" t="inlineStr">
        <is>
          <t>Full Payoff At Maturity</t>
        </is>
      </c>
      <c r="BS917" s="73" t="n">
        <v>46276</v>
      </c>
      <c r="BU917" s="76">
        <f>IF($C917="","",IFERROR(INDEX(dmName,MATCH($C917,dmID,0)),"Unmapped"))</f>
        <v/>
      </c>
      <c r="BV917" s="76">
        <f>IF($C917="","",IFERROR(INDEX(dmEntity,MATCH($C917,dmID,0)),"Unmapped"))</f>
        <v/>
      </c>
      <c r="BW917" s="77">
        <f>IF($C917="","",IFERROR(INDEX(dmVintage,MATCH($C917,dmID,0)),""))</f>
        <v/>
      </c>
      <c r="BX917" s="78">
        <f>IFERROR(INDEX(dmInclude,MATCH($C917,dmID,0)),0)</f>
        <v/>
      </c>
      <c r="BY917" s="78">
        <f>IF(N($I917)&gt;0,1,0)</f>
        <v/>
      </c>
      <c r="BZ917" s="76">
        <f>IF($AJ917="","Other / Leased Fee",IFERROR(INDEX(mapPTGroup,MATCH(LEFT(TRIM($AJ917),2),mapPTCode,0)),"Other / Leased Fee"))</f>
        <v/>
      </c>
      <c r="CA917" s="76">
        <f>IF(TRIM($AF917&amp;"")="","NR",LEFT(TRIM($AF917),2))</f>
        <v/>
      </c>
      <c r="CB917" s="76">
        <f>IFERROR(LOOKUP(2,1/(LEFT(TRIM($AI917&amp;""),LEN(mapRegion))=mapRegion),mapRegion),"Not Reported")</f>
        <v/>
      </c>
      <c r="CC917" s="76">
        <f>IF($BY917=0,"",IF(TRIM($W917&amp;"")="REO","REO",IF(TRIM($W917&amp;"")="FC","Foreclosure",IF(TRIM($W917&amp;"")="90+","90+ Days Delinquent",IF(TRIM($W917&amp;"")="60","60 Days Delinquent",IF(TRIM($W917&amp;"")="30","30 Days Delinquent",IF($X917="Non-Performing Matured Balloon","Non-Performing Matured Balloon",IF(OR($X917="Late Payment But Less Than 30 Days Delinquent",LEFT($X917&amp;"",20)="Payment Not Received"),"Late / In Grace (&lt;30 Days)",IF($X917="Performing Matured Balloon","Performing Matured Balloon","Current")))))))))</f>
        <v/>
      </c>
      <c r="CD917" s="78">
        <f>IF(OR($CC917="REO",$CC917="Foreclosure",$CC917="90+ Days Delinquent",$CC917="60 Days Delinquent",$CC917="30 Days Delinquent",$CC917="Non-Performing Matured Balloon"),1,0)</f>
        <v/>
      </c>
      <c r="CE917" s="76">
        <f>IF($AB917="Currently special serv","Currently Specially Serviced",IF($AB917="Returned to master serv","Previously Specially Serviced","Never Specially Serviced"))</f>
        <v/>
      </c>
      <c r="CF917" s="78">
        <f>IF($CE917="Currently Specially Serviced",1,0)</f>
        <v/>
      </c>
      <c r="CG917" s="76">
        <f>IF($AA917="Yes","Currently on Watchlist",IF($AA917="Previously","Previously on Watchlist","Never on Watchlist"))</f>
        <v/>
      </c>
      <c r="CH917" s="78">
        <f>IF($CG917="Currently on Watchlist",1,0)</f>
        <v/>
      </c>
      <c r="CI917" s="76">
        <f>IF($Z917="Full Defeasance","Fully Defeased",IF($Z917="Portion Of Loan Previously Defeased","Partially Defeased",IF($Z917="Defeasance Not Allowable","Not Defeased (Not Permitted)","Not Defeased")))</f>
        <v/>
      </c>
      <c r="CJ917" s="78">
        <f>IF($CI917="Fully Defeased",1,0)</f>
        <v/>
      </c>
      <c r="CK917" s="76">
        <f>IF($R917="IO","Full IO",IF(LEFT($R917&amp;"",7)="IO then","Partial IO","Amortizing"))</f>
        <v/>
      </c>
      <c r="CL917" s="78">
        <f>IF($CK917="Full IO",1,0)</f>
        <v/>
      </c>
      <c r="CM917" s="78">
        <f>IF($CK917="Partial IO",1,0)</f>
        <v/>
      </c>
      <c r="CN917" s="76">
        <f>IF(LEFT($F917&amp;"",10)="SPLIT_LOAN","Pari Passu Split","Standalone")</f>
        <v/>
      </c>
      <c r="CO917" s="78">
        <f>IF($CN917="Pari Passu Split",1,0)</f>
        <v/>
      </c>
      <c r="CP917" s="77">
        <f>IF(ISNUMBER($T917),YEAR($T917),"")</f>
        <v/>
      </c>
      <c r="CQ917" s="79">
        <f>IF(ISNUMBER($V917),$V917,IF(ISNUMBER($U917),$U917,""))</f>
        <v/>
      </c>
      <c r="CR917" s="77">
        <f>IF(ISNUMBER($CQ917),YEAR($CQ917),"")</f>
        <v/>
      </c>
      <c r="CS917" s="78">
        <f>IF(ISNUMBER($M917),MAX(0,$M917),IF(TRIM($M917&amp;"")="matured",0,""))</f>
        <v/>
      </c>
      <c r="CT917" s="78">
        <f>IF(AND(ISNUMBER($CS917),N($CS917)&lt;=mMatWindow),1,0)</f>
        <v/>
      </c>
      <c r="CU917" s="80">
        <f>IF(ISNUMBER($J917),$J917/100,"")</f>
        <v/>
      </c>
      <c r="CV917" s="81">
        <f>IF(ISNUMBER($AQ917),$AQ917,"")</f>
        <v/>
      </c>
      <c r="CW917" s="81">
        <f>IF(ISNUMBER($AR917),$AR917,"")</f>
        <v/>
      </c>
      <c r="CX917" s="82">
        <f>IF(ISNUMBER($AS917),$AS917/100,"")</f>
        <v/>
      </c>
      <c r="CY917" s="82">
        <f>IF(ISNUMBER($AT917),$AT917/100,"")</f>
        <v/>
      </c>
      <c r="CZ917" s="82">
        <f>IF(ISNUMBER($AU917),$AU917/100,"")</f>
        <v/>
      </c>
      <c r="DA917" s="82">
        <f>IF(ISNUMBER($AV917),$AV917/100,"")</f>
        <v/>
      </c>
      <c r="DB917" s="82">
        <f>IF(ISNUMBER($AW917),$AW917/100,"")</f>
        <v/>
      </c>
      <c r="DC917" s="82">
        <f>IF(ISNUMBER($AX917),$AX917/100,"")</f>
        <v/>
      </c>
      <c r="DD917" s="77">
        <f>IFERROR(VALUE(LEFT(TRIM($AO917&amp;""),4)),"")</f>
        <v/>
      </c>
      <c r="DE917" s="78">
        <f>IF(AND($BY917=1,$BX917=1,OR(fDeal="All Deals",$BU917=fDeal),OR(fEntity="All Entities",$BV917=fEntity),OR(fPType="All Property Types",$BZ917=fPType),OR(fDefeased="Include",$CJ917=0)),1,0)</f>
        <v/>
      </c>
      <c r="DF917" s="83">
        <f>$DE917*N($I917)</f>
        <v/>
      </c>
      <c r="DG917" s="78">
        <f>IF($DE917=1,IF(COUNTIFS($F$8:$F917,$F917,$DE$8:$DE917,1)=1,1,0),0)</f>
        <v/>
      </c>
      <c r="DH917" s="83">
        <f>IF($DG917=1,SUMIFS($DF$8:$DF$1600,$F$8:$F$1600,$F917),0)</f>
        <v/>
      </c>
      <c r="DI917" s="78">
        <f>IF($DG917=1,COUNTIFS($F$8:$F$1600,$F917,$DE$8:$DE$1600,1),0)</f>
        <v/>
      </c>
      <c r="DJ917" s="84">
        <f>IF($DG917=1,$DH917+(100000-ROW())/mTieBreak,0)</f>
        <v/>
      </c>
    </row>
    <row r="918">
      <c r="B918" s="68" t="n">
        <v>15</v>
      </c>
      <c r="C918" s="69" t="inlineStr">
        <is>
          <t>CCUB17C1</t>
        </is>
      </c>
      <c r="D918" s="69" t="inlineStr">
        <is>
          <t>15.000</t>
        </is>
      </c>
      <c r="E918" s="69" t="inlineStr">
        <is>
          <t>Queens Multifamily Portfolio</t>
        </is>
      </c>
      <c r="F918" s="69" t="inlineStr">
        <is>
          <t>LNCCUB17C1-15.000</t>
        </is>
      </c>
      <c r="G918" s="70" t="n"/>
      <c r="H918" s="71" t="n">
        <v>20750000</v>
      </c>
      <c r="I918" s="71" t="n">
        <v>20750000</v>
      </c>
      <c r="J918" s="72" t="n">
        <v>4.701</v>
      </c>
      <c r="K918" s="69" t="inlineStr">
        <is>
          <t>Fixed rate</t>
        </is>
      </c>
      <c r="L918" s="68" t="n">
        <v>120</v>
      </c>
      <c r="M918" s="68" t="n">
        <v>14</v>
      </c>
      <c r="N918" s="68" t="n">
        <v>120</v>
      </c>
      <c r="O918" s="68" t="n">
        <v>120</v>
      </c>
      <c r="P918" s="68" t="n">
        <v>14</v>
      </c>
      <c r="Q918" s="68" t="n">
        <v>106</v>
      </c>
      <c r="R918" s="69" t="inlineStr">
        <is>
          <t>IO</t>
        </is>
      </c>
      <c r="S918" s="69" t="inlineStr">
        <is>
          <t>Yes</t>
        </is>
      </c>
      <c r="T918" s="73" t="n">
        <v>43040</v>
      </c>
      <c r="U918" s="73" t="n">
        <v>46697</v>
      </c>
      <c r="V918" s="73" t="n"/>
      <c r="W918" s="69" t="n"/>
      <c r="X918" s="69" t="inlineStr">
        <is>
          <t>Current</t>
        </is>
      </c>
      <c r="Y918" s="68" t="n"/>
      <c r="Z918" s="69" t="inlineStr">
        <is>
          <t>No Defeasance Occurred</t>
        </is>
      </c>
      <c r="AA918" s="69" t="inlineStr">
        <is>
          <t>Previously</t>
        </is>
      </c>
      <c r="AB918" s="69" t="inlineStr">
        <is>
          <t>Never special serv</t>
        </is>
      </c>
      <c r="AC918" s="73" t="n"/>
      <c r="AD918" s="69" t="n"/>
      <c r="AE918" s="69" t="n"/>
      <c r="AF918" s="69" t="inlineStr">
        <is>
          <t>NY</t>
        </is>
      </c>
      <c r="AG918" s="69" t="inlineStr">
        <is>
          <t>Queens</t>
        </is>
      </c>
      <c r="AH918" s="69" t="inlineStr">
        <is>
          <t>New York-Newark-Jersey City, NY-NJ</t>
        </is>
      </c>
      <c r="AI918" s="69" t="inlineStr">
        <is>
          <t>Northeast / Mid-Atlantic</t>
        </is>
      </c>
      <c r="AJ918" s="69" t="inlineStr">
        <is>
          <t>MF</t>
        </is>
      </c>
      <c r="AK918" s="69" t="inlineStr">
        <is>
          <t>Garden</t>
        </is>
      </c>
      <c r="AL918" s="68" t="n">
        <v>1</v>
      </c>
      <c r="AM918" s="68" t="n">
        <v>128</v>
      </c>
      <c r="AN918" s="68" t="n"/>
      <c r="AO918" s="69" t="inlineStr">
        <is>
          <t>1949</t>
        </is>
      </c>
      <c r="AP918" s="70" t="n">
        <v>1949</v>
      </c>
      <c r="AQ918" s="74" t="n">
        <v>1.69</v>
      </c>
      <c r="AR918" s="74" t="n">
        <v>2.27</v>
      </c>
      <c r="AS918" s="74" t="n">
        <v>57.2</v>
      </c>
      <c r="AT918" s="74" t="n">
        <v>57.16</v>
      </c>
      <c r="AU918" s="74" t="n">
        <v>57.2</v>
      </c>
      <c r="AV918" s="74" t="n">
        <v>8.039792771</v>
      </c>
      <c r="AW918" s="74" t="n">
        <v>10.828148771</v>
      </c>
      <c r="AX918" s="75" t="n">
        <v>97</v>
      </c>
      <c r="AY918" s="71" t="n">
        <v>36300000</v>
      </c>
      <c r="AZ918" s="71" t="n">
        <v>36300000</v>
      </c>
      <c r="BA918" s="71" t="n">
        <v>1668257</v>
      </c>
      <c r="BB918" s="71" t="n">
        <v>2246840.87</v>
      </c>
      <c r="BC918" s="69" t="inlineStr">
        <is>
          <t>Refinance</t>
        </is>
      </c>
      <c r="BD918" s="69" t="inlineStr">
        <is>
          <t>N</t>
        </is>
      </c>
      <c r="BE918" s="71" t="n"/>
      <c r="BF918" s="71" t="n"/>
      <c r="BG918" s="71" t="n"/>
      <c r="BH918" s="71" t="n">
        <v>0</v>
      </c>
      <c r="BI918" s="71" t="n">
        <v>0</v>
      </c>
      <c r="BJ918" s="69" t="inlineStr">
        <is>
          <t>N</t>
        </is>
      </c>
      <c r="BK918" s="69" t="n"/>
      <c r="BL918" s="75" t="n"/>
      <c r="BM918" s="73" t="n"/>
      <c r="BN918" s="69" t="inlineStr">
        <is>
          <t>Joshua Gotlib</t>
        </is>
      </c>
      <c r="BO918" s="69" t="inlineStr">
        <is>
          <t>Cantor Commercial Real Estate Lending</t>
        </is>
      </c>
      <c r="BP918" s="69" t="inlineStr">
        <is>
          <t>Midland Loan Services</t>
        </is>
      </c>
      <c r="BQ918" s="69" t="inlineStr">
        <is>
          <t>Midland Loan Services</t>
        </is>
      </c>
      <c r="BR918" s="69" t="n"/>
      <c r="BS918" s="73" t="n">
        <v>46276</v>
      </c>
      <c r="BU918" s="76">
        <f>IF($C918="","",IFERROR(INDEX(dmName,MATCH($C918,dmID,0)),"Unmapped"))</f>
        <v/>
      </c>
      <c r="BV918" s="76">
        <f>IF($C918="","",IFERROR(INDEX(dmEntity,MATCH($C918,dmID,0)),"Unmapped"))</f>
        <v/>
      </c>
      <c r="BW918" s="77">
        <f>IF($C918="","",IFERROR(INDEX(dmVintage,MATCH($C918,dmID,0)),""))</f>
        <v/>
      </c>
      <c r="BX918" s="78">
        <f>IFERROR(INDEX(dmInclude,MATCH($C918,dmID,0)),0)</f>
        <v/>
      </c>
      <c r="BY918" s="78">
        <f>IF(N($I918)&gt;0,1,0)</f>
        <v/>
      </c>
      <c r="BZ918" s="76">
        <f>IF($AJ918="","Other / Leased Fee",IFERROR(INDEX(mapPTGroup,MATCH(LEFT(TRIM($AJ918),2),mapPTCode,0)),"Other / Leased Fee"))</f>
        <v/>
      </c>
      <c r="CA918" s="76">
        <f>IF(TRIM($AF918&amp;"")="","NR",LEFT(TRIM($AF918),2))</f>
        <v/>
      </c>
      <c r="CB918" s="76">
        <f>IFERROR(LOOKUP(2,1/(LEFT(TRIM($AI918&amp;""),LEN(mapRegion))=mapRegion),mapRegion),"Not Reported")</f>
        <v/>
      </c>
      <c r="CC918" s="76">
        <f>IF($BY918=0,"",IF(TRIM($W918&amp;"")="REO","REO",IF(TRIM($W918&amp;"")="FC","Foreclosure",IF(TRIM($W918&amp;"")="90+","90+ Days Delinquent",IF(TRIM($W918&amp;"")="60","60 Days Delinquent",IF(TRIM($W918&amp;"")="30","30 Days Delinquent",IF($X918="Non-Performing Matured Balloon","Non-Performing Matured Balloon",IF(OR($X918="Late Payment But Less Than 30 Days Delinquent",LEFT($X918&amp;"",20)="Payment Not Received"),"Late / In Grace (&lt;30 Days)",IF($X918="Performing Matured Balloon","Performing Matured Balloon","Current")))))))))</f>
        <v/>
      </c>
      <c r="CD918" s="78">
        <f>IF(OR($CC918="REO",$CC918="Foreclosure",$CC918="90+ Days Delinquent",$CC918="60 Days Delinquent",$CC918="30 Days Delinquent",$CC918="Non-Performing Matured Balloon"),1,0)</f>
        <v/>
      </c>
      <c r="CE918" s="76">
        <f>IF($AB918="Currently special serv","Currently Specially Serviced",IF($AB918="Returned to master serv","Previously Specially Serviced","Never Specially Serviced"))</f>
        <v/>
      </c>
      <c r="CF918" s="78">
        <f>IF($CE918="Currently Specially Serviced",1,0)</f>
        <v/>
      </c>
      <c r="CG918" s="76">
        <f>IF($AA918="Yes","Currently on Watchlist",IF($AA918="Previously","Previously on Watchlist","Never on Watchlist"))</f>
        <v/>
      </c>
      <c r="CH918" s="78">
        <f>IF($CG918="Currently on Watchlist",1,0)</f>
        <v/>
      </c>
      <c r="CI918" s="76">
        <f>IF($Z918="Full Defeasance","Fully Defeased",IF($Z918="Portion Of Loan Previously Defeased","Partially Defeased",IF($Z918="Defeasance Not Allowable","Not Defeased (Not Permitted)","Not Defeased")))</f>
        <v/>
      </c>
      <c r="CJ918" s="78">
        <f>IF($CI918="Fully Defeased",1,0)</f>
        <v/>
      </c>
      <c r="CK918" s="76">
        <f>IF($R918="IO","Full IO",IF(LEFT($R918&amp;"",7)="IO then","Partial IO","Amortizing"))</f>
        <v/>
      </c>
      <c r="CL918" s="78">
        <f>IF($CK918="Full IO",1,0)</f>
        <v/>
      </c>
      <c r="CM918" s="78">
        <f>IF($CK918="Partial IO",1,0)</f>
        <v/>
      </c>
      <c r="CN918" s="76">
        <f>IF(LEFT($F918&amp;"",10)="SPLIT_LOAN","Pari Passu Split","Standalone")</f>
        <v/>
      </c>
      <c r="CO918" s="78">
        <f>IF($CN918="Pari Passu Split",1,0)</f>
        <v/>
      </c>
      <c r="CP918" s="77">
        <f>IF(ISNUMBER($T918),YEAR($T918),"")</f>
        <v/>
      </c>
      <c r="CQ918" s="79">
        <f>IF(ISNUMBER($V918),$V918,IF(ISNUMBER($U918),$U918,""))</f>
        <v/>
      </c>
      <c r="CR918" s="77">
        <f>IF(ISNUMBER($CQ918),YEAR($CQ918),"")</f>
        <v/>
      </c>
      <c r="CS918" s="78">
        <f>IF(ISNUMBER($M918),MAX(0,$M918),IF(TRIM($M918&amp;"")="matured",0,""))</f>
        <v/>
      </c>
      <c r="CT918" s="78">
        <f>IF(AND(ISNUMBER($CS918),N($CS918)&lt;=mMatWindow),1,0)</f>
        <v/>
      </c>
      <c r="CU918" s="80">
        <f>IF(ISNUMBER($J918),$J918/100,"")</f>
        <v/>
      </c>
      <c r="CV918" s="81">
        <f>IF(ISNUMBER($AQ918),$AQ918,"")</f>
        <v/>
      </c>
      <c r="CW918" s="81">
        <f>IF(ISNUMBER($AR918),$AR918,"")</f>
        <v/>
      </c>
      <c r="CX918" s="82">
        <f>IF(ISNUMBER($AS918),$AS918/100,"")</f>
        <v/>
      </c>
      <c r="CY918" s="82">
        <f>IF(ISNUMBER($AT918),$AT918/100,"")</f>
        <v/>
      </c>
      <c r="CZ918" s="82">
        <f>IF(ISNUMBER($AU918),$AU918/100,"")</f>
        <v/>
      </c>
      <c r="DA918" s="82">
        <f>IF(ISNUMBER($AV918),$AV918/100,"")</f>
        <v/>
      </c>
      <c r="DB918" s="82">
        <f>IF(ISNUMBER($AW918),$AW918/100,"")</f>
        <v/>
      </c>
      <c r="DC918" s="82">
        <f>IF(ISNUMBER($AX918),$AX918/100,"")</f>
        <v/>
      </c>
      <c r="DD918" s="77">
        <f>IFERROR(VALUE(LEFT(TRIM($AO918&amp;""),4)),"")</f>
        <v/>
      </c>
      <c r="DE918" s="78">
        <f>IF(AND($BY918=1,$BX918=1,OR(fDeal="All Deals",$BU918=fDeal),OR(fEntity="All Entities",$BV918=fEntity),OR(fPType="All Property Types",$BZ918=fPType),OR(fDefeased="Include",$CJ918=0)),1,0)</f>
        <v/>
      </c>
      <c r="DF918" s="83">
        <f>$DE918*N($I918)</f>
        <v/>
      </c>
      <c r="DG918" s="78">
        <f>IF($DE918=1,IF(COUNTIFS($F$8:$F918,$F918,$DE$8:$DE918,1)=1,1,0),0)</f>
        <v/>
      </c>
      <c r="DH918" s="83">
        <f>IF($DG918=1,SUMIFS($DF$8:$DF$1600,$F$8:$F$1600,$F918),0)</f>
        <v/>
      </c>
      <c r="DI918" s="78">
        <f>IF($DG918=1,COUNTIFS($F$8:$F$1600,$F918,$DE$8:$DE$1600,1),0)</f>
        <v/>
      </c>
      <c r="DJ918" s="84">
        <f>IF($DG918=1,$DH918+(100000-ROW())/mTieBreak,0)</f>
        <v/>
      </c>
    </row>
    <row r="919">
      <c r="B919" s="68" t="n">
        <v>16</v>
      </c>
      <c r="C919" s="69" t="inlineStr">
        <is>
          <t>CCUB17C1</t>
        </is>
      </c>
      <c r="D919" s="69" t="inlineStr">
        <is>
          <t>16.000</t>
        </is>
      </c>
      <c r="E919" s="69" t="inlineStr">
        <is>
          <t>Snowmass Village</t>
        </is>
      </c>
      <c r="F919" s="69" t="inlineStr">
        <is>
          <t>LNCCUB17C1-16.000</t>
        </is>
      </c>
      <c r="G919" s="70" t="n"/>
      <c r="H919" s="71" t="n">
        <v>20500000</v>
      </c>
      <c r="I919" s="71" t="n">
        <v>0</v>
      </c>
      <c r="J919" s="72" t="n">
        <v>5.226</v>
      </c>
      <c r="K919" s="69" t="inlineStr">
        <is>
          <t>Fixed rate</t>
        </is>
      </c>
      <c r="L919" s="68" t="n">
        <v>60</v>
      </c>
      <c r="M919" s="68" t="n"/>
      <c r="N919" s="68" t="n">
        <v>60</v>
      </c>
      <c r="O919" s="68" t="n">
        <v>60</v>
      </c>
      <c r="P919" s="68" t="n"/>
      <c r="Q919" s="68" t="n"/>
      <c r="R919" s="69" t="inlineStr">
        <is>
          <t>IO</t>
        </is>
      </c>
      <c r="S919" s="69" t="inlineStr">
        <is>
          <t>Yes</t>
        </is>
      </c>
      <c r="T919" s="73" t="n">
        <v>43070</v>
      </c>
      <c r="U919" s="73" t="n">
        <v>44871</v>
      </c>
      <c r="V919" s="73" t="n"/>
      <c r="W919" s="69" t="n"/>
      <c r="X919" s="69" t="inlineStr">
        <is>
          <t>Current</t>
        </is>
      </c>
      <c r="Y919" s="68" t="n"/>
      <c r="Z919" s="69" t="inlineStr">
        <is>
          <t>No Defeasance Occurred</t>
        </is>
      </c>
      <c r="AA919" s="69" t="n"/>
      <c r="AB919" s="69" t="inlineStr">
        <is>
          <t>Never special serv</t>
        </is>
      </c>
      <c r="AC919" s="73" t="n"/>
      <c r="AD919" s="69" t="n"/>
      <c r="AE919" s="69" t="n"/>
      <c r="AF919" s="69" t="inlineStr">
        <is>
          <t>CO</t>
        </is>
      </c>
      <c r="AG919" s="69" t="inlineStr">
        <is>
          <t>Snowmass Village</t>
        </is>
      </c>
      <c r="AH919" s="69" t="inlineStr">
        <is>
          <t>Rifle, CO</t>
        </is>
      </c>
      <c r="AI919" s="69" t="inlineStr">
        <is>
          <t>West / Mountain</t>
        </is>
      </c>
      <c r="AJ919" s="69" t="inlineStr">
        <is>
          <t>RT</t>
        </is>
      </c>
      <c r="AK919" s="69" t="inlineStr">
        <is>
          <t>Unanchored</t>
        </is>
      </c>
      <c r="AL919" s="68" t="n">
        <v>1</v>
      </c>
      <c r="AM919" s="68" t="n"/>
      <c r="AN919" s="68" t="n">
        <v>78426</v>
      </c>
      <c r="AO919" s="69" t="inlineStr">
        <is>
          <t>1973</t>
        </is>
      </c>
      <c r="AP919" s="70" t="n">
        <v>1988</v>
      </c>
      <c r="AQ919" s="74" t="n">
        <v>1.84</v>
      </c>
      <c r="AR919" s="74" t="n">
        <v>2.05</v>
      </c>
      <c r="AS919" s="74" t="n">
        <v>69.7</v>
      </c>
      <c r="AT919" s="74" t="n"/>
      <c r="AU919" s="74" t="n">
        <v>69.7</v>
      </c>
      <c r="AV919" s="74" t="n">
        <v>9.733414634000001</v>
      </c>
      <c r="AW919" s="74" t="n"/>
      <c r="AX919" s="75" t="n">
        <v>98</v>
      </c>
      <c r="AY919" s="71" t="n">
        <v>29400000</v>
      </c>
      <c r="AZ919" s="71" t="n">
        <v>29400000</v>
      </c>
      <c r="BA919" s="71" t="n">
        <v>1995350</v>
      </c>
      <c r="BB919" s="71" t="n">
        <v>2229416.06</v>
      </c>
      <c r="BC919" s="69" t="inlineStr">
        <is>
          <t>Refinance</t>
        </is>
      </c>
      <c r="BD919" s="69" t="inlineStr">
        <is>
          <t>N</t>
        </is>
      </c>
      <c r="BE919" s="71" t="n"/>
      <c r="BF919" s="71" t="n"/>
      <c r="BG919" s="71" t="n"/>
      <c r="BH919" s="71" t="n">
        <v>0</v>
      </c>
      <c r="BI919" s="71" t="n">
        <v>0</v>
      </c>
      <c r="BJ919" s="69" t="inlineStr">
        <is>
          <t>N</t>
        </is>
      </c>
      <c r="BK919" s="69" t="inlineStr">
        <is>
          <t>Aspen Skiing Company d/b/a Four Mountain Sports</t>
        </is>
      </c>
      <c r="BL919" s="75" t="n">
        <v>12.71</v>
      </c>
      <c r="BM919" s="73" t="n">
        <v>44865</v>
      </c>
      <c r="BN919" s="69" t="inlineStr">
        <is>
          <t>Stephen M. Ross, Jeff T. Blau and Bruce A. Beal, Jr.</t>
        </is>
      </c>
      <c r="BO919" s="69" t="inlineStr">
        <is>
          <t>Cantor Commercial Real Estate Lending</t>
        </is>
      </c>
      <c r="BP919" s="69" t="inlineStr">
        <is>
          <t>Midland Loan Services</t>
        </is>
      </c>
      <c r="BQ919" s="69" t="inlineStr">
        <is>
          <t>Midland Loan Services</t>
        </is>
      </c>
      <c r="BR919" s="69" t="inlineStr">
        <is>
          <t>Payoff Prior To Maturity</t>
        </is>
      </c>
      <c r="BS919" s="73" t="n">
        <v>44753</v>
      </c>
      <c r="BU919" s="76">
        <f>IF($C919="","",IFERROR(INDEX(dmName,MATCH($C919,dmID,0)),"Unmapped"))</f>
        <v/>
      </c>
      <c r="BV919" s="76">
        <f>IF($C919="","",IFERROR(INDEX(dmEntity,MATCH($C919,dmID,0)),"Unmapped"))</f>
        <v/>
      </c>
      <c r="BW919" s="77">
        <f>IF($C919="","",IFERROR(INDEX(dmVintage,MATCH($C919,dmID,0)),""))</f>
        <v/>
      </c>
      <c r="BX919" s="78">
        <f>IFERROR(INDEX(dmInclude,MATCH($C919,dmID,0)),0)</f>
        <v/>
      </c>
      <c r="BY919" s="78">
        <f>IF(N($I919)&gt;0,1,0)</f>
        <v/>
      </c>
      <c r="BZ919" s="76">
        <f>IF($AJ919="","Other / Leased Fee",IFERROR(INDEX(mapPTGroup,MATCH(LEFT(TRIM($AJ919),2),mapPTCode,0)),"Other / Leased Fee"))</f>
        <v/>
      </c>
      <c r="CA919" s="76">
        <f>IF(TRIM($AF919&amp;"")="","NR",LEFT(TRIM($AF919),2))</f>
        <v/>
      </c>
      <c r="CB919" s="76">
        <f>IFERROR(LOOKUP(2,1/(LEFT(TRIM($AI919&amp;""),LEN(mapRegion))=mapRegion),mapRegion),"Not Reported")</f>
        <v/>
      </c>
      <c r="CC919" s="76">
        <f>IF($BY919=0,"",IF(TRIM($W919&amp;"")="REO","REO",IF(TRIM($W919&amp;"")="FC","Foreclosure",IF(TRIM($W919&amp;"")="90+","90+ Days Delinquent",IF(TRIM($W919&amp;"")="60","60 Days Delinquent",IF(TRIM($W919&amp;"")="30","30 Days Delinquent",IF($X919="Non-Performing Matured Balloon","Non-Performing Matured Balloon",IF(OR($X919="Late Payment But Less Than 30 Days Delinquent",LEFT($X919&amp;"",20)="Payment Not Received"),"Late / In Grace (&lt;30 Days)",IF($X919="Performing Matured Balloon","Performing Matured Balloon","Current")))))))))</f>
        <v/>
      </c>
      <c r="CD919" s="78">
        <f>IF(OR($CC919="REO",$CC919="Foreclosure",$CC919="90+ Days Delinquent",$CC919="60 Days Delinquent",$CC919="30 Days Delinquent",$CC919="Non-Performing Matured Balloon"),1,0)</f>
        <v/>
      </c>
      <c r="CE919" s="76">
        <f>IF($AB919="Currently special serv","Currently Specially Serviced",IF($AB919="Returned to master serv","Previously Specially Serviced","Never Specially Serviced"))</f>
        <v/>
      </c>
      <c r="CF919" s="78">
        <f>IF($CE919="Currently Specially Serviced",1,0)</f>
        <v/>
      </c>
      <c r="CG919" s="76">
        <f>IF($AA919="Yes","Currently on Watchlist",IF($AA919="Previously","Previously on Watchlist","Never on Watchlist"))</f>
        <v/>
      </c>
      <c r="CH919" s="78">
        <f>IF($CG919="Currently on Watchlist",1,0)</f>
        <v/>
      </c>
      <c r="CI919" s="76">
        <f>IF($Z919="Full Defeasance","Fully Defeased",IF($Z919="Portion Of Loan Previously Defeased","Partially Defeased",IF($Z919="Defeasance Not Allowable","Not Defeased (Not Permitted)","Not Defeased")))</f>
        <v/>
      </c>
      <c r="CJ919" s="78">
        <f>IF($CI919="Fully Defeased",1,0)</f>
        <v/>
      </c>
      <c r="CK919" s="76">
        <f>IF($R919="IO","Full IO",IF(LEFT($R919&amp;"",7)="IO then","Partial IO","Amortizing"))</f>
        <v/>
      </c>
      <c r="CL919" s="78">
        <f>IF($CK919="Full IO",1,0)</f>
        <v/>
      </c>
      <c r="CM919" s="78">
        <f>IF($CK919="Partial IO",1,0)</f>
        <v/>
      </c>
      <c r="CN919" s="76">
        <f>IF(LEFT($F919&amp;"",10)="SPLIT_LOAN","Pari Passu Split","Standalone")</f>
        <v/>
      </c>
      <c r="CO919" s="78">
        <f>IF($CN919="Pari Passu Split",1,0)</f>
        <v/>
      </c>
      <c r="CP919" s="77">
        <f>IF(ISNUMBER($T919),YEAR($T919),"")</f>
        <v/>
      </c>
      <c r="CQ919" s="79">
        <f>IF(ISNUMBER($V919),$V919,IF(ISNUMBER($U919),$U919,""))</f>
        <v/>
      </c>
      <c r="CR919" s="77">
        <f>IF(ISNUMBER($CQ919),YEAR($CQ919),"")</f>
        <v/>
      </c>
      <c r="CS919" s="78">
        <f>IF(ISNUMBER($M919),MAX(0,$M919),IF(TRIM($M919&amp;"")="matured",0,""))</f>
        <v/>
      </c>
      <c r="CT919" s="78">
        <f>IF(AND(ISNUMBER($CS919),N($CS919)&lt;=mMatWindow),1,0)</f>
        <v/>
      </c>
      <c r="CU919" s="80">
        <f>IF(ISNUMBER($J919),$J919/100,"")</f>
        <v/>
      </c>
      <c r="CV919" s="81">
        <f>IF(ISNUMBER($AQ919),$AQ919,"")</f>
        <v/>
      </c>
      <c r="CW919" s="81">
        <f>IF(ISNUMBER($AR919),$AR919,"")</f>
        <v/>
      </c>
      <c r="CX919" s="82">
        <f>IF(ISNUMBER($AS919),$AS919/100,"")</f>
        <v/>
      </c>
      <c r="CY919" s="82">
        <f>IF(ISNUMBER($AT919),$AT919/100,"")</f>
        <v/>
      </c>
      <c r="CZ919" s="82">
        <f>IF(ISNUMBER($AU919),$AU919/100,"")</f>
        <v/>
      </c>
      <c r="DA919" s="82">
        <f>IF(ISNUMBER($AV919),$AV919/100,"")</f>
        <v/>
      </c>
      <c r="DB919" s="82">
        <f>IF(ISNUMBER($AW919),$AW919/100,"")</f>
        <v/>
      </c>
      <c r="DC919" s="82">
        <f>IF(ISNUMBER($AX919),$AX919/100,"")</f>
        <v/>
      </c>
      <c r="DD919" s="77">
        <f>IFERROR(VALUE(LEFT(TRIM($AO919&amp;""),4)),"")</f>
        <v/>
      </c>
      <c r="DE919" s="78">
        <f>IF(AND($BY919=1,$BX919=1,OR(fDeal="All Deals",$BU919=fDeal),OR(fEntity="All Entities",$BV919=fEntity),OR(fPType="All Property Types",$BZ919=fPType),OR(fDefeased="Include",$CJ919=0)),1,0)</f>
        <v/>
      </c>
      <c r="DF919" s="83">
        <f>$DE919*N($I919)</f>
        <v/>
      </c>
      <c r="DG919" s="78">
        <f>IF($DE919=1,IF(COUNTIFS($F$8:$F919,$F919,$DE$8:$DE919,1)=1,1,0),0)</f>
        <v/>
      </c>
      <c r="DH919" s="83">
        <f>IF($DG919=1,SUMIFS($DF$8:$DF$1600,$F$8:$F$1600,$F919),0)</f>
        <v/>
      </c>
      <c r="DI919" s="78">
        <f>IF($DG919=1,COUNTIFS($F$8:$F$1600,$F919,$DE$8:$DE$1600,1),0)</f>
        <v/>
      </c>
      <c r="DJ919" s="84">
        <f>IF($DG919=1,$DH919+(100000-ROW())/mTieBreak,0)</f>
        <v/>
      </c>
    </row>
    <row r="920">
      <c r="B920" s="68" t="n">
        <v>17</v>
      </c>
      <c r="C920" s="69" t="inlineStr">
        <is>
          <t>CCUB17C1</t>
        </is>
      </c>
      <c r="D920" s="69" t="inlineStr">
        <is>
          <t>17.000</t>
        </is>
      </c>
      <c r="E920" s="69" t="inlineStr">
        <is>
          <t>Hyatt Regency Princeton</t>
        </is>
      </c>
      <c r="F920" s="69" t="inlineStr">
        <is>
          <t>SPLIT_LOAN_01121</t>
        </is>
      </c>
      <c r="G920" s="70" t="n">
        <v>1121</v>
      </c>
      <c r="H920" s="71" t="n">
        <v>18000000</v>
      </c>
      <c r="I920" s="71" t="n">
        <v>16765589.350008</v>
      </c>
      <c r="J920" s="72" t="n">
        <v>4.551</v>
      </c>
      <c r="K920" s="69" t="inlineStr">
        <is>
          <t>Fixed rate</t>
        </is>
      </c>
      <c r="L920" s="68" t="n">
        <v>120</v>
      </c>
      <c r="M920" s="68" t="n">
        <v>10</v>
      </c>
      <c r="N920" s="68" t="n">
        <v>420</v>
      </c>
      <c r="O920" s="68" t="n">
        <v>60</v>
      </c>
      <c r="P920" s="68" t="n">
        <v>0</v>
      </c>
      <c r="Q920" s="68" t="n">
        <v>110</v>
      </c>
      <c r="R920" s="69" t="inlineStr">
        <is>
          <t>IO then Amort</t>
        </is>
      </c>
      <c r="S920" s="69" t="inlineStr">
        <is>
          <t>No</t>
        </is>
      </c>
      <c r="T920" s="73" t="n">
        <v>42917</v>
      </c>
      <c r="U920" s="73" t="n">
        <v>46574</v>
      </c>
      <c r="V920" s="73" t="n"/>
      <c r="W920" s="69" t="n"/>
      <c r="X920" s="69" t="inlineStr">
        <is>
          <t>Current</t>
        </is>
      </c>
      <c r="Y920" s="68" t="n"/>
      <c r="Z920" s="69" t="inlineStr">
        <is>
          <t>No Defeasance Occurred</t>
        </is>
      </c>
      <c r="AA920" s="69" t="inlineStr">
        <is>
          <t>Yes</t>
        </is>
      </c>
      <c r="AB920" s="69" t="inlineStr">
        <is>
          <t>Never special serv</t>
        </is>
      </c>
      <c r="AC920" s="73" t="n"/>
      <c r="AD920" s="69" t="n"/>
      <c r="AE920" s="69" t="n"/>
      <c r="AF920" s="69" t="inlineStr">
        <is>
          <t>NJ</t>
        </is>
      </c>
      <c r="AG920" s="69" t="inlineStr">
        <is>
          <t>West Windsor</t>
        </is>
      </c>
      <c r="AH920" s="69" t="inlineStr">
        <is>
          <t>Trenton-Princeton, NJ</t>
        </is>
      </c>
      <c r="AI920" s="69" t="inlineStr">
        <is>
          <t>Northeast / Mid-Atlantic</t>
        </is>
      </c>
      <c r="AJ920" s="69" t="inlineStr">
        <is>
          <t>HT</t>
        </is>
      </c>
      <c r="AK920" s="69" t="inlineStr">
        <is>
          <t>Full Service</t>
        </is>
      </c>
      <c r="AL920" s="68" t="n">
        <v>1</v>
      </c>
      <c r="AM920" s="68" t="n">
        <v>330</v>
      </c>
      <c r="AN920" s="68" t="n"/>
      <c r="AO920" s="69" t="inlineStr">
        <is>
          <t>1982</t>
        </is>
      </c>
      <c r="AP920" s="70" t="n">
        <v>2014</v>
      </c>
      <c r="AQ920" s="74" t="n">
        <v>1.88</v>
      </c>
      <c r="AR920" s="74" t="n">
        <v>1.27</v>
      </c>
      <c r="AS920" s="74" t="n">
        <v>68.8</v>
      </c>
      <c r="AT920" s="74" t="n">
        <v>64.04000000000001</v>
      </c>
      <c r="AU920" s="74" t="n">
        <v>63</v>
      </c>
      <c r="AV920" s="74" t="n">
        <v>11.491515152</v>
      </c>
      <c r="AW920" s="74" t="n">
        <v>8.334191050999999</v>
      </c>
      <c r="AX920" s="75" t="n">
        <v>59</v>
      </c>
      <c r="AY920" s="71" t="n">
        <v>48000000</v>
      </c>
      <c r="AZ920" s="71" t="n">
        <v>48000000</v>
      </c>
      <c r="BA920" s="71" t="n">
        <v>3792200</v>
      </c>
      <c r="BB920" s="71" t="n">
        <v>2561673.12</v>
      </c>
      <c r="BC920" s="69" t="inlineStr">
        <is>
          <t>Acquisition</t>
        </is>
      </c>
      <c r="BD920" s="69" t="inlineStr">
        <is>
          <t>N</t>
        </is>
      </c>
      <c r="BE920" s="71" t="n">
        <v>13971324.46</v>
      </c>
      <c r="BF920" s="71" t="n"/>
      <c r="BG920" s="71" t="n"/>
      <c r="BH920" s="71" t="n">
        <v>0</v>
      </c>
      <c r="BI920" s="71" t="n">
        <v>0</v>
      </c>
      <c r="BJ920" s="69" t="inlineStr">
        <is>
          <t>Y</t>
        </is>
      </c>
      <c r="BK920" s="69" t="n"/>
      <c r="BL920" s="75" t="n"/>
      <c r="BM920" s="73" t="n"/>
      <c r="BN920" s="69" t="inlineStr">
        <is>
          <t>Allan V. Rose</t>
        </is>
      </c>
      <c r="BO920" s="69" t="inlineStr">
        <is>
          <t>Cantor Commercial Real Estate Lending</t>
        </is>
      </c>
      <c r="BP920" s="69" t="inlineStr">
        <is>
          <t>Midland Loan Services</t>
        </is>
      </c>
      <c r="BQ920" s="69" t="inlineStr">
        <is>
          <t>Midland Loan Services</t>
        </is>
      </c>
      <c r="BR920" s="69" t="n"/>
      <c r="BS920" s="73" t="n">
        <v>46276</v>
      </c>
      <c r="BU920" s="76">
        <f>IF($C920="","",IFERROR(INDEX(dmName,MATCH($C920,dmID,0)),"Unmapped"))</f>
        <v/>
      </c>
      <c r="BV920" s="76">
        <f>IF($C920="","",IFERROR(INDEX(dmEntity,MATCH($C920,dmID,0)),"Unmapped"))</f>
        <v/>
      </c>
      <c r="BW920" s="77">
        <f>IF($C920="","",IFERROR(INDEX(dmVintage,MATCH($C920,dmID,0)),""))</f>
        <v/>
      </c>
      <c r="BX920" s="78">
        <f>IFERROR(INDEX(dmInclude,MATCH($C920,dmID,0)),0)</f>
        <v/>
      </c>
      <c r="BY920" s="78">
        <f>IF(N($I920)&gt;0,1,0)</f>
        <v/>
      </c>
      <c r="BZ920" s="76">
        <f>IF($AJ920="","Other / Leased Fee",IFERROR(INDEX(mapPTGroup,MATCH(LEFT(TRIM($AJ920),2),mapPTCode,0)),"Other / Leased Fee"))</f>
        <v/>
      </c>
      <c r="CA920" s="76">
        <f>IF(TRIM($AF920&amp;"")="","NR",LEFT(TRIM($AF920),2))</f>
        <v/>
      </c>
      <c r="CB920" s="76">
        <f>IFERROR(LOOKUP(2,1/(LEFT(TRIM($AI920&amp;""),LEN(mapRegion))=mapRegion),mapRegion),"Not Reported")</f>
        <v/>
      </c>
      <c r="CC920" s="76">
        <f>IF($BY920=0,"",IF(TRIM($W920&amp;"")="REO","REO",IF(TRIM($W920&amp;"")="FC","Foreclosure",IF(TRIM($W920&amp;"")="90+","90+ Days Delinquent",IF(TRIM($W920&amp;"")="60","60 Days Delinquent",IF(TRIM($W920&amp;"")="30","30 Days Delinquent",IF($X920="Non-Performing Matured Balloon","Non-Performing Matured Balloon",IF(OR($X920="Late Payment But Less Than 30 Days Delinquent",LEFT($X920&amp;"",20)="Payment Not Received"),"Late / In Grace (&lt;30 Days)",IF($X920="Performing Matured Balloon","Performing Matured Balloon","Current")))))))))</f>
        <v/>
      </c>
      <c r="CD920" s="78">
        <f>IF(OR($CC920="REO",$CC920="Foreclosure",$CC920="90+ Days Delinquent",$CC920="60 Days Delinquent",$CC920="30 Days Delinquent",$CC920="Non-Performing Matured Balloon"),1,0)</f>
        <v/>
      </c>
      <c r="CE920" s="76">
        <f>IF($AB920="Currently special serv","Currently Specially Serviced",IF($AB920="Returned to master serv","Previously Specially Serviced","Never Specially Serviced"))</f>
        <v/>
      </c>
      <c r="CF920" s="78">
        <f>IF($CE920="Currently Specially Serviced",1,0)</f>
        <v/>
      </c>
      <c r="CG920" s="76">
        <f>IF($AA920="Yes","Currently on Watchlist",IF($AA920="Previously","Previously on Watchlist","Never on Watchlist"))</f>
        <v/>
      </c>
      <c r="CH920" s="78">
        <f>IF($CG920="Currently on Watchlist",1,0)</f>
        <v/>
      </c>
      <c r="CI920" s="76">
        <f>IF($Z920="Full Defeasance","Fully Defeased",IF($Z920="Portion Of Loan Previously Defeased","Partially Defeased",IF($Z920="Defeasance Not Allowable","Not Defeased (Not Permitted)","Not Defeased")))</f>
        <v/>
      </c>
      <c r="CJ920" s="78">
        <f>IF($CI920="Fully Defeased",1,0)</f>
        <v/>
      </c>
      <c r="CK920" s="76">
        <f>IF($R920="IO","Full IO",IF(LEFT($R920&amp;"",7)="IO then","Partial IO","Amortizing"))</f>
        <v/>
      </c>
      <c r="CL920" s="78">
        <f>IF($CK920="Full IO",1,0)</f>
        <v/>
      </c>
      <c r="CM920" s="78">
        <f>IF($CK920="Partial IO",1,0)</f>
        <v/>
      </c>
      <c r="CN920" s="76">
        <f>IF(LEFT($F920&amp;"",10)="SPLIT_LOAN","Pari Passu Split","Standalone")</f>
        <v/>
      </c>
      <c r="CO920" s="78">
        <f>IF($CN920="Pari Passu Split",1,0)</f>
        <v/>
      </c>
      <c r="CP920" s="77">
        <f>IF(ISNUMBER($T920),YEAR($T920),"")</f>
        <v/>
      </c>
      <c r="CQ920" s="79">
        <f>IF(ISNUMBER($V920),$V920,IF(ISNUMBER($U920),$U920,""))</f>
        <v/>
      </c>
      <c r="CR920" s="77">
        <f>IF(ISNUMBER($CQ920),YEAR($CQ920),"")</f>
        <v/>
      </c>
      <c r="CS920" s="78">
        <f>IF(ISNUMBER($M920),MAX(0,$M920),IF(TRIM($M920&amp;"")="matured",0,""))</f>
        <v/>
      </c>
      <c r="CT920" s="78">
        <f>IF(AND(ISNUMBER($CS920),N($CS920)&lt;=mMatWindow),1,0)</f>
        <v/>
      </c>
      <c r="CU920" s="80">
        <f>IF(ISNUMBER($J920),$J920/100,"")</f>
        <v/>
      </c>
      <c r="CV920" s="81">
        <f>IF(ISNUMBER($AQ920),$AQ920,"")</f>
        <v/>
      </c>
      <c r="CW920" s="81">
        <f>IF(ISNUMBER($AR920),$AR920,"")</f>
        <v/>
      </c>
      <c r="CX920" s="82">
        <f>IF(ISNUMBER($AS920),$AS920/100,"")</f>
        <v/>
      </c>
      <c r="CY920" s="82">
        <f>IF(ISNUMBER($AT920),$AT920/100,"")</f>
        <v/>
      </c>
      <c r="CZ920" s="82">
        <f>IF(ISNUMBER($AU920),$AU920/100,"")</f>
        <v/>
      </c>
      <c r="DA920" s="82">
        <f>IF(ISNUMBER($AV920),$AV920/100,"")</f>
        <v/>
      </c>
      <c r="DB920" s="82">
        <f>IF(ISNUMBER($AW920),$AW920/100,"")</f>
        <v/>
      </c>
      <c r="DC920" s="82">
        <f>IF(ISNUMBER($AX920),$AX920/100,"")</f>
        <v/>
      </c>
      <c r="DD920" s="77">
        <f>IFERROR(VALUE(LEFT(TRIM($AO920&amp;""),4)),"")</f>
        <v/>
      </c>
      <c r="DE920" s="78">
        <f>IF(AND($BY920=1,$BX920=1,OR(fDeal="All Deals",$BU920=fDeal),OR(fEntity="All Entities",$BV920=fEntity),OR(fPType="All Property Types",$BZ920=fPType),OR(fDefeased="Include",$CJ920=0)),1,0)</f>
        <v/>
      </c>
      <c r="DF920" s="83">
        <f>$DE920*N($I920)</f>
        <v/>
      </c>
      <c r="DG920" s="78">
        <f>IF($DE920=1,IF(COUNTIFS($F$8:$F920,$F920,$DE$8:$DE920,1)=1,1,0),0)</f>
        <v/>
      </c>
      <c r="DH920" s="83">
        <f>IF($DG920=1,SUMIFS($DF$8:$DF$1600,$F$8:$F$1600,$F920),0)</f>
        <v/>
      </c>
      <c r="DI920" s="78">
        <f>IF($DG920=1,COUNTIFS($F$8:$F$1600,$F920,$DE$8:$DE$1600,1),0)</f>
        <v/>
      </c>
      <c r="DJ920" s="84">
        <f>IF($DG920=1,$DH920+(100000-ROW())/mTieBreak,0)</f>
        <v/>
      </c>
    </row>
    <row r="921">
      <c r="B921" s="68" t="n">
        <v>18</v>
      </c>
      <c r="C921" s="69" t="inlineStr">
        <is>
          <t>CCUB17C1</t>
        </is>
      </c>
      <c r="D921" s="69" t="inlineStr">
        <is>
          <t>18.000</t>
        </is>
      </c>
      <c r="E921" s="69" t="inlineStr">
        <is>
          <t>Rising Sun Towne Centre</t>
        </is>
      </c>
      <c r="F921" s="69" t="inlineStr">
        <is>
          <t>LNCCUB17C1-18.000</t>
        </is>
      </c>
      <c r="G921" s="70" t="n"/>
      <c r="H921" s="71" t="n">
        <v>16850000</v>
      </c>
      <c r="I921" s="71" t="n">
        <v>0</v>
      </c>
      <c r="J921" s="72" t="n">
        <v>4.659</v>
      </c>
      <c r="K921" s="69" t="inlineStr">
        <is>
          <t>Fixed rate</t>
        </is>
      </c>
      <c r="L921" s="68" t="n">
        <v>60</v>
      </c>
      <c r="M921" s="68" t="n"/>
      <c r="N921" s="68" t="n">
        <v>60</v>
      </c>
      <c r="O921" s="68" t="n">
        <v>60</v>
      </c>
      <c r="P921" s="68" t="n"/>
      <c r="Q921" s="68" t="n"/>
      <c r="R921" s="69" t="inlineStr">
        <is>
          <t>IO</t>
        </is>
      </c>
      <c r="S921" s="69" t="inlineStr">
        <is>
          <t>Yes</t>
        </is>
      </c>
      <c r="T921" s="73" t="n">
        <v>43009</v>
      </c>
      <c r="U921" s="73" t="n">
        <v>44810</v>
      </c>
      <c r="V921" s="73" t="n"/>
      <c r="W921" s="69" t="n"/>
      <c r="X921" s="69" t="inlineStr">
        <is>
          <t>Performing Matured Balloon</t>
        </is>
      </c>
      <c r="Y921" s="68" t="n"/>
      <c r="Z921" s="69" t="inlineStr">
        <is>
          <t>No Defeasance Occurred</t>
        </is>
      </c>
      <c r="AA921" s="69" t="inlineStr">
        <is>
          <t>Previously</t>
        </is>
      </c>
      <c r="AB921" s="69" t="inlineStr">
        <is>
          <t>Never special serv</t>
        </is>
      </c>
      <c r="AC921" s="73" t="n"/>
      <c r="AD921" s="69" t="n"/>
      <c r="AE921" s="69" t="n"/>
      <c r="AF921" s="69" t="inlineStr">
        <is>
          <t>MD</t>
        </is>
      </c>
      <c r="AG921" s="69" t="inlineStr">
        <is>
          <t>Rising Sun</t>
        </is>
      </c>
      <c r="AH921" s="69" t="inlineStr">
        <is>
          <t>Philadelphia-Camden-Wilmington, PA-NJ-DE-MD</t>
        </is>
      </c>
      <c r="AI921" s="69" t="inlineStr">
        <is>
          <t>Northeast / Mid-Atlantic</t>
        </is>
      </c>
      <c r="AJ921" s="69" t="inlineStr">
        <is>
          <t>RT</t>
        </is>
      </c>
      <c r="AK921" s="69" t="inlineStr">
        <is>
          <t>Anchored</t>
        </is>
      </c>
      <c r="AL921" s="68" t="n">
        <v>1</v>
      </c>
      <c r="AM921" s="68" t="n"/>
      <c r="AN921" s="68" t="n">
        <v>143464</v>
      </c>
      <c r="AO921" s="69" t="inlineStr">
        <is>
          <t>1998</t>
        </is>
      </c>
      <c r="AP921" s="70" t="n">
        <v>2008</v>
      </c>
      <c r="AQ921" s="74" t="n">
        <v>1.92</v>
      </c>
      <c r="AR921" s="74" t="n">
        <v>1.99</v>
      </c>
      <c r="AS921" s="74" t="n">
        <v>70.8</v>
      </c>
      <c r="AT921" s="74" t="n"/>
      <c r="AU921" s="74" t="n">
        <v>70.8</v>
      </c>
      <c r="AV921" s="74" t="n">
        <v>9.080059347000001</v>
      </c>
      <c r="AW921" s="74" t="n"/>
      <c r="AX921" s="75" t="n">
        <v>97</v>
      </c>
      <c r="AY921" s="71" t="n">
        <v>23800000</v>
      </c>
      <c r="AZ921" s="71" t="n">
        <v>23800000</v>
      </c>
      <c r="BA921" s="71" t="n">
        <v>1529990</v>
      </c>
      <c r="BB921" s="71" t="n">
        <v>1584463.94</v>
      </c>
      <c r="BC921" s="69" t="inlineStr">
        <is>
          <t>Acquisition</t>
        </is>
      </c>
      <c r="BD921" s="69" t="inlineStr">
        <is>
          <t>N</t>
        </is>
      </c>
      <c r="BE921" s="71" t="n"/>
      <c r="BF921" s="71" t="n"/>
      <c r="BG921" s="71" t="n"/>
      <c r="BH921" s="71" t="n">
        <v>0</v>
      </c>
      <c r="BI921" s="71" t="n">
        <v>0</v>
      </c>
      <c r="BJ921" s="69" t="inlineStr">
        <is>
          <t>N</t>
        </is>
      </c>
      <c r="BK921" s="69" t="inlineStr">
        <is>
          <t>Martin's Food Market</t>
        </is>
      </c>
      <c r="BL921" s="75" t="n">
        <v>49.71</v>
      </c>
      <c r="BM921" s="73" t="n">
        <v>47026</v>
      </c>
      <c r="BN921" s="69" t="inlineStr">
        <is>
          <t>Leo S. Ullman</t>
        </is>
      </c>
      <c r="BO921" s="69" t="inlineStr">
        <is>
          <t>Cantor Commercial Real Estate Lending</t>
        </is>
      </c>
      <c r="BP921" s="69" t="inlineStr">
        <is>
          <t>Midland Loan Services</t>
        </is>
      </c>
      <c r="BQ921" s="69" t="inlineStr">
        <is>
          <t>Midland Loan Services</t>
        </is>
      </c>
      <c r="BR921" s="69" t="inlineStr">
        <is>
          <t>Full Payoff At Maturity</t>
        </is>
      </c>
      <c r="BS921" s="73" t="n">
        <v>44845</v>
      </c>
      <c r="BU921" s="76">
        <f>IF($C921="","",IFERROR(INDEX(dmName,MATCH($C921,dmID,0)),"Unmapped"))</f>
        <v/>
      </c>
      <c r="BV921" s="76">
        <f>IF($C921="","",IFERROR(INDEX(dmEntity,MATCH($C921,dmID,0)),"Unmapped"))</f>
        <v/>
      </c>
      <c r="BW921" s="77">
        <f>IF($C921="","",IFERROR(INDEX(dmVintage,MATCH($C921,dmID,0)),""))</f>
        <v/>
      </c>
      <c r="BX921" s="78">
        <f>IFERROR(INDEX(dmInclude,MATCH($C921,dmID,0)),0)</f>
        <v/>
      </c>
      <c r="BY921" s="78">
        <f>IF(N($I921)&gt;0,1,0)</f>
        <v/>
      </c>
      <c r="BZ921" s="76">
        <f>IF($AJ921="","Other / Leased Fee",IFERROR(INDEX(mapPTGroup,MATCH(LEFT(TRIM($AJ921),2),mapPTCode,0)),"Other / Leased Fee"))</f>
        <v/>
      </c>
      <c r="CA921" s="76">
        <f>IF(TRIM($AF921&amp;"")="","NR",LEFT(TRIM($AF921),2))</f>
        <v/>
      </c>
      <c r="CB921" s="76">
        <f>IFERROR(LOOKUP(2,1/(LEFT(TRIM($AI921&amp;""),LEN(mapRegion))=mapRegion),mapRegion),"Not Reported")</f>
        <v/>
      </c>
      <c r="CC921" s="76">
        <f>IF($BY921=0,"",IF(TRIM($W921&amp;"")="REO","REO",IF(TRIM($W921&amp;"")="FC","Foreclosure",IF(TRIM($W921&amp;"")="90+","90+ Days Delinquent",IF(TRIM($W921&amp;"")="60","60 Days Delinquent",IF(TRIM($W921&amp;"")="30","30 Days Delinquent",IF($X921="Non-Performing Matured Balloon","Non-Performing Matured Balloon",IF(OR($X921="Late Payment But Less Than 30 Days Delinquent",LEFT($X921&amp;"",20)="Payment Not Received"),"Late / In Grace (&lt;30 Days)",IF($X921="Performing Matured Balloon","Performing Matured Balloon","Current")))))))))</f>
        <v/>
      </c>
      <c r="CD921" s="78">
        <f>IF(OR($CC921="REO",$CC921="Foreclosure",$CC921="90+ Days Delinquent",$CC921="60 Days Delinquent",$CC921="30 Days Delinquent",$CC921="Non-Performing Matured Balloon"),1,0)</f>
        <v/>
      </c>
      <c r="CE921" s="76">
        <f>IF($AB921="Currently special serv","Currently Specially Serviced",IF($AB921="Returned to master serv","Previously Specially Serviced","Never Specially Serviced"))</f>
        <v/>
      </c>
      <c r="CF921" s="78">
        <f>IF($CE921="Currently Specially Serviced",1,0)</f>
        <v/>
      </c>
      <c r="CG921" s="76">
        <f>IF($AA921="Yes","Currently on Watchlist",IF($AA921="Previously","Previously on Watchlist","Never on Watchlist"))</f>
        <v/>
      </c>
      <c r="CH921" s="78">
        <f>IF($CG921="Currently on Watchlist",1,0)</f>
        <v/>
      </c>
      <c r="CI921" s="76">
        <f>IF($Z921="Full Defeasance","Fully Defeased",IF($Z921="Portion Of Loan Previously Defeased","Partially Defeased",IF($Z921="Defeasance Not Allowable","Not Defeased (Not Permitted)","Not Defeased")))</f>
        <v/>
      </c>
      <c r="CJ921" s="78">
        <f>IF($CI921="Fully Defeased",1,0)</f>
        <v/>
      </c>
      <c r="CK921" s="76">
        <f>IF($R921="IO","Full IO",IF(LEFT($R921&amp;"",7)="IO then","Partial IO","Amortizing"))</f>
        <v/>
      </c>
      <c r="CL921" s="78">
        <f>IF($CK921="Full IO",1,0)</f>
        <v/>
      </c>
      <c r="CM921" s="78">
        <f>IF($CK921="Partial IO",1,0)</f>
        <v/>
      </c>
      <c r="CN921" s="76">
        <f>IF(LEFT($F921&amp;"",10)="SPLIT_LOAN","Pari Passu Split","Standalone")</f>
        <v/>
      </c>
      <c r="CO921" s="78">
        <f>IF($CN921="Pari Passu Split",1,0)</f>
        <v/>
      </c>
      <c r="CP921" s="77">
        <f>IF(ISNUMBER($T921),YEAR($T921),"")</f>
        <v/>
      </c>
      <c r="CQ921" s="79">
        <f>IF(ISNUMBER($V921),$V921,IF(ISNUMBER($U921),$U921,""))</f>
        <v/>
      </c>
      <c r="CR921" s="77">
        <f>IF(ISNUMBER($CQ921),YEAR($CQ921),"")</f>
        <v/>
      </c>
      <c r="CS921" s="78">
        <f>IF(ISNUMBER($M921),MAX(0,$M921),IF(TRIM($M921&amp;"")="matured",0,""))</f>
        <v/>
      </c>
      <c r="CT921" s="78">
        <f>IF(AND(ISNUMBER($CS921),N($CS921)&lt;=mMatWindow),1,0)</f>
        <v/>
      </c>
      <c r="CU921" s="80">
        <f>IF(ISNUMBER($J921),$J921/100,"")</f>
        <v/>
      </c>
      <c r="CV921" s="81">
        <f>IF(ISNUMBER($AQ921),$AQ921,"")</f>
        <v/>
      </c>
      <c r="CW921" s="81">
        <f>IF(ISNUMBER($AR921),$AR921,"")</f>
        <v/>
      </c>
      <c r="CX921" s="82">
        <f>IF(ISNUMBER($AS921),$AS921/100,"")</f>
        <v/>
      </c>
      <c r="CY921" s="82">
        <f>IF(ISNUMBER($AT921),$AT921/100,"")</f>
        <v/>
      </c>
      <c r="CZ921" s="82">
        <f>IF(ISNUMBER($AU921),$AU921/100,"")</f>
        <v/>
      </c>
      <c r="DA921" s="82">
        <f>IF(ISNUMBER($AV921),$AV921/100,"")</f>
        <v/>
      </c>
      <c r="DB921" s="82">
        <f>IF(ISNUMBER($AW921),$AW921/100,"")</f>
        <v/>
      </c>
      <c r="DC921" s="82">
        <f>IF(ISNUMBER($AX921),$AX921/100,"")</f>
        <v/>
      </c>
      <c r="DD921" s="77">
        <f>IFERROR(VALUE(LEFT(TRIM($AO921&amp;""),4)),"")</f>
        <v/>
      </c>
      <c r="DE921" s="78">
        <f>IF(AND($BY921=1,$BX921=1,OR(fDeal="All Deals",$BU921=fDeal),OR(fEntity="All Entities",$BV921=fEntity),OR(fPType="All Property Types",$BZ921=fPType),OR(fDefeased="Include",$CJ921=0)),1,0)</f>
        <v/>
      </c>
      <c r="DF921" s="83">
        <f>$DE921*N($I921)</f>
        <v/>
      </c>
      <c r="DG921" s="78">
        <f>IF($DE921=1,IF(COUNTIFS($F$8:$F921,$F921,$DE$8:$DE921,1)=1,1,0),0)</f>
        <v/>
      </c>
      <c r="DH921" s="83">
        <f>IF($DG921=1,SUMIFS($DF$8:$DF$1600,$F$8:$F$1600,$F921),0)</f>
        <v/>
      </c>
      <c r="DI921" s="78">
        <f>IF($DG921=1,COUNTIFS($F$8:$F$1600,$F921,$DE$8:$DE$1600,1),0)</f>
        <v/>
      </c>
      <c r="DJ921" s="84">
        <f>IF($DG921=1,$DH921+(100000-ROW())/mTieBreak,0)</f>
        <v/>
      </c>
    </row>
    <row r="922">
      <c r="B922" s="68" t="n">
        <v>19</v>
      </c>
      <c r="C922" s="69" t="inlineStr">
        <is>
          <t>CCUB17C1</t>
        </is>
      </c>
      <c r="D922" s="69" t="inlineStr">
        <is>
          <t>19.000</t>
        </is>
      </c>
      <c r="E922" s="69" t="inlineStr">
        <is>
          <t>Cress Creek Square</t>
        </is>
      </c>
      <c r="F922" s="69" t="inlineStr">
        <is>
          <t>LNCCUB17C1-19.000</t>
        </is>
      </c>
      <c r="G922" s="70" t="n"/>
      <c r="H922" s="71" t="n">
        <v>16000000</v>
      </c>
      <c r="I922" s="71" t="n">
        <v>0</v>
      </c>
      <c r="J922" s="72" t="n">
        <v>4.359</v>
      </c>
      <c r="K922" s="69" t="inlineStr">
        <is>
          <t>Fixed rate</t>
        </is>
      </c>
      <c r="L922" s="68" t="n">
        <v>120</v>
      </c>
      <c r="M922" s="68" t="n"/>
      <c r="N922" s="68" t="n">
        <v>360</v>
      </c>
      <c r="O922" s="68" t="n"/>
      <c r="P922" s="68" t="n"/>
      <c r="Q922" s="68" t="n"/>
      <c r="R922" s="69" t="n"/>
      <c r="S922" s="69" t="inlineStr">
        <is>
          <t>No</t>
        </is>
      </c>
      <c r="T922" s="73" t="n">
        <v>43040</v>
      </c>
      <c r="U922" s="73" t="n">
        <v>46697</v>
      </c>
      <c r="V922" s="73" t="n"/>
      <c r="W922" s="69" t="n"/>
      <c r="X922" s="69" t="inlineStr">
        <is>
          <t>Current</t>
        </is>
      </c>
      <c r="Y922" s="68" t="n"/>
      <c r="Z922" s="69" t="inlineStr">
        <is>
          <t>Defeasance Not Allowable</t>
        </is>
      </c>
      <c r="AA922" s="69" t="inlineStr">
        <is>
          <t>Previously</t>
        </is>
      </c>
      <c r="AB922" s="69" t="inlineStr">
        <is>
          <t>Never special serv</t>
        </is>
      </c>
      <c r="AC922" s="73" t="n"/>
      <c r="AD922" s="69" t="n"/>
      <c r="AE922" s="69" t="n"/>
      <c r="AF922" s="69" t="inlineStr">
        <is>
          <t>IL</t>
        </is>
      </c>
      <c r="AG922" s="69" t="inlineStr">
        <is>
          <t>Naperville</t>
        </is>
      </c>
      <c r="AH922" s="69" t="inlineStr">
        <is>
          <t>Chicago-Naperville-Elgin, IL-IN</t>
        </is>
      </c>
      <c r="AI922" s="69" t="inlineStr">
        <is>
          <t>Midwest / Central East</t>
        </is>
      </c>
      <c r="AJ922" s="69" t="inlineStr">
        <is>
          <t>RT</t>
        </is>
      </c>
      <c r="AK922" s="69" t="inlineStr">
        <is>
          <t>Anchored</t>
        </is>
      </c>
      <c r="AL922" s="68" t="n">
        <v>1</v>
      </c>
      <c r="AM922" s="68" t="n"/>
      <c r="AN922" s="68" t="n">
        <v>144790</v>
      </c>
      <c r="AO922" s="69" t="inlineStr">
        <is>
          <t>1987</t>
        </is>
      </c>
      <c r="AP922" s="70" t="n">
        <v>2008</v>
      </c>
      <c r="AQ922" s="74" t="n">
        <v>1.77</v>
      </c>
      <c r="AR922" s="74" t="n">
        <v>1.86</v>
      </c>
      <c r="AS922" s="74" t="n">
        <v>63.7</v>
      </c>
      <c r="AT922" s="74" t="n"/>
      <c r="AU922" s="74" t="n">
        <v>52.5</v>
      </c>
      <c r="AV922" s="74" t="n">
        <v>10.58835</v>
      </c>
      <c r="AW922" s="74" t="n"/>
      <c r="AX922" s="75" t="n">
        <v>98</v>
      </c>
      <c r="AY922" s="71" t="n">
        <v>24500000</v>
      </c>
      <c r="AZ922" s="71" t="n">
        <v>24500000</v>
      </c>
      <c r="BA922" s="71" t="n">
        <v>1694136</v>
      </c>
      <c r="BB922" s="71" t="n">
        <v>1777452.44</v>
      </c>
      <c r="BC922" s="69" t="inlineStr">
        <is>
          <t>Refinance</t>
        </is>
      </c>
      <c r="BD922" s="69" t="inlineStr">
        <is>
          <t>N</t>
        </is>
      </c>
      <c r="BE922" s="71" t="n"/>
      <c r="BF922" s="71" t="n"/>
      <c r="BG922" s="71" t="n"/>
      <c r="BH922" s="71" t="n">
        <v>0</v>
      </c>
      <c r="BI922" s="71" t="n">
        <v>0</v>
      </c>
      <c r="BJ922" s="69" t="inlineStr">
        <is>
          <t>N</t>
        </is>
      </c>
      <c r="BK922" s="69" t="inlineStr">
        <is>
          <t>BINNY'S LIQUORS</t>
        </is>
      </c>
      <c r="BL922" s="75" t="n">
        <v>20.67</v>
      </c>
      <c r="BM922" s="73" t="n">
        <v>47634</v>
      </c>
      <c r="BN922" s="69" t="inlineStr">
        <is>
          <t>Arthur Goldner</t>
        </is>
      </c>
      <c r="BO922" s="69" t="inlineStr">
        <is>
          <t>UBS</t>
        </is>
      </c>
      <c r="BP922" s="69" t="inlineStr">
        <is>
          <t>Midland Loan Services</t>
        </is>
      </c>
      <c r="BQ922" s="69" t="inlineStr">
        <is>
          <t>Midland Loan Services</t>
        </is>
      </c>
      <c r="BR922" s="69" t="inlineStr">
        <is>
          <t>Payoff Prior To Maturity</t>
        </is>
      </c>
      <c r="BS922" s="73" t="n">
        <v>45789</v>
      </c>
      <c r="BU922" s="76">
        <f>IF($C922="","",IFERROR(INDEX(dmName,MATCH($C922,dmID,0)),"Unmapped"))</f>
        <v/>
      </c>
      <c r="BV922" s="76">
        <f>IF($C922="","",IFERROR(INDEX(dmEntity,MATCH($C922,dmID,0)),"Unmapped"))</f>
        <v/>
      </c>
      <c r="BW922" s="77">
        <f>IF($C922="","",IFERROR(INDEX(dmVintage,MATCH($C922,dmID,0)),""))</f>
        <v/>
      </c>
      <c r="BX922" s="78">
        <f>IFERROR(INDEX(dmInclude,MATCH($C922,dmID,0)),0)</f>
        <v/>
      </c>
      <c r="BY922" s="78">
        <f>IF(N($I922)&gt;0,1,0)</f>
        <v/>
      </c>
      <c r="BZ922" s="76">
        <f>IF($AJ922="","Other / Leased Fee",IFERROR(INDEX(mapPTGroup,MATCH(LEFT(TRIM($AJ922),2),mapPTCode,0)),"Other / Leased Fee"))</f>
        <v/>
      </c>
      <c r="CA922" s="76">
        <f>IF(TRIM($AF922&amp;"")="","NR",LEFT(TRIM($AF922),2))</f>
        <v/>
      </c>
      <c r="CB922" s="76">
        <f>IFERROR(LOOKUP(2,1/(LEFT(TRIM($AI922&amp;""),LEN(mapRegion))=mapRegion),mapRegion),"Not Reported")</f>
        <v/>
      </c>
      <c r="CC922" s="76">
        <f>IF($BY922=0,"",IF(TRIM($W922&amp;"")="REO","REO",IF(TRIM($W922&amp;"")="FC","Foreclosure",IF(TRIM($W922&amp;"")="90+","90+ Days Delinquent",IF(TRIM($W922&amp;"")="60","60 Days Delinquent",IF(TRIM($W922&amp;"")="30","30 Days Delinquent",IF($X922="Non-Performing Matured Balloon","Non-Performing Matured Balloon",IF(OR($X922="Late Payment But Less Than 30 Days Delinquent",LEFT($X922&amp;"",20)="Payment Not Received"),"Late / In Grace (&lt;30 Days)",IF($X922="Performing Matured Balloon","Performing Matured Balloon","Current")))))))))</f>
        <v/>
      </c>
      <c r="CD922" s="78">
        <f>IF(OR($CC922="REO",$CC922="Foreclosure",$CC922="90+ Days Delinquent",$CC922="60 Days Delinquent",$CC922="30 Days Delinquent",$CC922="Non-Performing Matured Balloon"),1,0)</f>
        <v/>
      </c>
      <c r="CE922" s="76">
        <f>IF($AB922="Currently special serv","Currently Specially Serviced",IF($AB922="Returned to master serv","Previously Specially Serviced","Never Specially Serviced"))</f>
        <v/>
      </c>
      <c r="CF922" s="78">
        <f>IF($CE922="Currently Specially Serviced",1,0)</f>
        <v/>
      </c>
      <c r="CG922" s="76">
        <f>IF($AA922="Yes","Currently on Watchlist",IF($AA922="Previously","Previously on Watchlist","Never on Watchlist"))</f>
        <v/>
      </c>
      <c r="CH922" s="78">
        <f>IF($CG922="Currently on Watchlist",1,0)</f>
        <v/>
      </c>
      <c r="CI922" s="76">
        <f>IF($Z922="Full Defeasance","Fully Defeased",IF($Z922="Portion Of Loan Previously Defeased","Partially Defeased",IF($Z922="Defeasance Not Allowable","Not Defeased (Not Permitted)","Not Defeased")))</f>
        <v/>
      </c>
      <c r="CJ922" s="78">
        <f>IF($CI922="Fully Defeased",1,0)</f>
        <v/>
      </c>
      <c r="CK922" s="76">
        <f>IF($R922="IO","Full IO",IF(LEFT($R922&amp;"",7)="IO then","Partial IO","Amortizing"))</f>
        <v/>
      </c>
      <c r="CL922" s="78">
        <f>IF($CK922="Full IO",1,0)</f>
        <v/>
      </c>
      <c r="CM922" s="78">
        <f>IF($CK922="Partial IO",1,0)</f>
        <v/>
      </c>
      <c r="CN922" s="76">
        <f>IF(LEFT($F922&amp;"",10)="SPLIT_LOAN","Pari Passu Split","Standalone")</f>
        <v/>
      </c>
      <c r="CO922" s="78">
        <f>IF($CN922="Pari Passu Split",1,0)</f>
        <v/>
      </c>
      <c r="CP922" s="77">
        <f>IF(ISNUMBER($T922),YEAR($T922),"")</f>
        <v/>
      </c>
      <c r="CQ922" s="79">
        <f>IF(ISNUMBER($V922),$V922,IF(ISNUMBER($U922),$U922,""))</f>
        <v/>
      </c>
      <c r="CR922" s="77">
        <f>IF(ISNUMBER($CQ922),YEAR($CQ922),"")</f>
        <v/>
      </c>
      <c r="CS922" s="78">
        <f>IF(ISNUMBER($M922),MAX(0,$M922),IF(TRIM($M922&amp;"")="matured",0,""))</f>
        <v/>
      </c>
      <c r="CT922" s="78">
        <f>IF(AND(ISNUMBER($CS922),N($CS922)&lt;=mMatWindow),1,0)</f>
        <v/>
      </c>
      <c r="CU922" s="80">
        <f>IF(ISNUMBER($J922),$J922/100,"")</f>
        <v/>
      </c>
      <c r="CV922" s="81">
        <f>IF(ISNUMBER($AQ922),$AQ922,"")</f>
        <v/>
      </c>
      <c r="CW922" s="81">
        <f>IF(ISNUMBER($AR922),$AR922,"")</f>
        <v/>
      </c>
      <c r="CX922" s="82">
        <f>IF(ISNUMBER($AS922),$AS922/100,"")</f>
        <v/>
      </c>
      <c r="CY922" s="82">
        <f>IF(ISNUMBER($AT922),$AT922/100,"")</f>
        <v/>
      </c>
      <c r="CZ922" s="82">
        <f>IF(ISNUMBER($AU922),$AU922/100,"")</f>
        <v/>
      </c>
      <c r="DA922" s="82">
        <f>IF(ISNUMBER($AV922),$AV922/100,"")</f>
        <v/>
      </c>
      <c r="DB922" s="82">
        <f>IF(ISNUMBER($AW922),$AW922/100,"")</f>
        <v/>
      </c>
      <c r="DC922" s="82">
        <f>IF(ISNUMBER($AX922),$AX922/100,"")</f>
        <v/>
      </c>
      <c r="DD922" s="77">
        <f>IFERROR(VALUE(LEFT(TRIM($AO922&amp;""),4)),"")</f>
        <v/>
      </c>
      <c r="DE922" s="78">
        <f>IF(AND($BY922=1,$BX922=1,OR(fDeal="All Deals",$BU922=fDeal),OR(fEntity="All Entities",$BV922=fEntity),OR(fPType="All Property Types",$BZ922=fPType),OR(fDefeased="Include",$CJ922=0)),1,0)</f>
        <v/>
      </c>
      <c r="DF922" s="83">
        <f>$DE922*N($I922)</f>
        <v/>
      </c>
      <c r="DG922" s="78">
        <f>IF($DE922=1,IF(COUNTIFS($F$8:$F922,$F922,$DE$8:$DE922,1)=1,1,0),0)</f>
        <v/>
      </c>
      <c r="DH922" s="83">
        <f>IF($DG922=1,SUMIFS($DF$8:$DF$1600,$F$8:$F$1600,$F922),0)</f>
        <v/>
      </c>
      <c r="DI922" s="78">
        <f>IF($DG922=1,COUNTIFS($F$8:$F$1600,$F922,$DE$8:$DE$1600,1),0)</f>
        <v/>
      </c>
      <c r="DJ922" s="84">
        <f>IF($DG922=1,$DH922+(100000-ROW())/mTieBreak,0)</f>
        <v/>
      </c>
    </row>
    <row r="923">
      <c r="B923" s="68" t="n">
        <v>20</v>
      </c>
      <c r="C923" s="69" t="inlineStr">
        <is>
          <t>CCUB17C1</t>
        </is>
      </c>
      <c r="D923" s="69" t="inlineStr">
        <is>
          <t>20.000</t>
        </is>
      </c>
      <c r="E923" s="69" t="inlineStr">
        <is>
          <t>Little Tokyo Retail &amp; Parking</t>
        </is>
      </c>
      <c r="F923" s="69" t="inlineStr">
        <is>
          <t>LNCCUB17C1-20.000</t>
        </is>
      </c>
      <c r="G923" s="70" t="n"/>
      <c r="H923" s="71" t="n">
        <v>16000000</v>
      </c>
      <c r="I923" s="71" t="n">
        <v>14089345.99</v>
      </c>
      <c r="J923" s="72" t="n">
        <v>4.59</v>
      </c>
      <c r="K923" s="69" t="inlineStr">
        <is>
          <t>Fixed rate</t>
        </is>
      </c>
      <c r="L923" s="68" t="n">
        <v>120</v>
      </c>
      <c r="M923" s="68" t="n">
        <v>14</v>
      </c>
      <c r="N923" s="68" t="n">
        <v>384</v>
      </c>
      <c r="O923" s="68" t="n">
        <v>24</v>
      </c>
      <c r="P923" s="68" t="n">
        <v>0</v>
      </c>
      <c r="Q923" s="68" t="n">
        <v>106</v>
      </c>
      <c r="R923" s="69" t="inlineStr">
        <is>
          <t>IO then Amort</t>
        </is>
      </c>
      <c r="S923" s="69" t="inlineStr">
        <is>
          <t>No</t>
        </is>
      </c>
      <c r="T923" s="73" t="n">
        <v>43040</v>
      </c>
      <c r="U923" s="73" t="n">
        <v>46727</v>
      </c>
      <c r="V923" s="73" t="n"/>
      <c r="W923" s="69" t="n"/>
      <c r="X923" s="69" t="inlineStr">
        <is>
          <t>Current</t>
        </is>
      </c>
      <c r="Y923" s="68" t="n"/>
      <c r="Z923" s="69" t="inlineStr">
        <is>
          <t>No Defeasance Occurred</t>
        </is>
      </c>
      <c r="AA923" s="69" t="inlineStr">
        <is>
          <t>Previously</t>
        </is>
      </c>
      <c r="AB923" s="69" t="inlineStr">
        <is>
          <t>Never special serv</t>
        </is>
      </c>
      <c r="AC923" s="73" t="n"/>
      <c r="AD923" s="69" t="n"/>
      <c r="AE923" s="69" t="n"/>
      <c r="AF923" s="69" t="inlineStr">
        <is>
          <t>CA</t>
        </is>
      </c>
      <c r="AG923" s="69" t="inlineStr">
        <is>
          <t>Los Angeles</t>
        </is>
      </c>
      <c r="AH923" s="69" t="inlineStr">
        <is>
          <t>Los Angeles-Long Beach-Anaheim, CA</t>
        </is>
      </c>
      <c r="AI923" s="69" t="inlineStr">
        <is>
          <t>West / Pacific South</t>
        </is>
      </c>
      <c r="AJ923" s="69" t="inlineStr">
        <is>
          <t>MX</t>
        </is>
      </c>
      <c r="AK923" s="69" t="n"/>
      <c r="AL923" s="68" t="n">
        <v>1</v>
      </c>
      <c r="AM923" s="68" t="n"/>
      <c r="AN923" s="68" t="n">
        <v>33805</v>
      </c>
      <c r="AO923" s="69" t="inlineStr">
        <is>
          <t>1989</t>
        </is>
      </c>
      <c r="AP923" s="70" t="n">
        <v>2014</v>
      </c>
      <c r="AQ923" s="74" t="n">
        <v>1.5</v>
      </c>
      <c r="AR923" s="74" t="n">
        <v>1.72</v>
      </c>
      <c r="AS923" s="74" t="n">
        <v>57.1</v>
      </c>
      <c r="AT923" s="74" t="n">
        <v>50.32</v>
      </c>
      <c r="AU923" s="74" t="n">
        <v>48.9</v>
      </c>
      <c r="AV923" s="74" t="n">
        <v>9.223508437</v>
      </c>
      <c r="AW923" s="74" t="n">
        <v>13.122321159</v>
      </c>
      <c r="AX923" s="75" t="n">
        <v>75</v>
      </c>
      <c r="AY923" s="71" t="n">
        <v>28000000</v>
      </c>
      <c r="AZ923" s="71" t="n">
        <v>28000000</v>
      </c>
      <c r="BA923" s="71" t="n">
        <v>1475761.35</v>
      </c>
      <c r="BB923" s="71" t="n">
        <v>1690636.32</v>
      </c>
      <c r="BC923" s="69" t="inlineStr">
        <is>
          <t>Refinance</t>
        </is>
      </c>
      <c r="BD923" s="69" t="inlineStr">
        <is>
          <t>N</t>
        </is>
      </c>
      <c r="BE923" s="71" t="n"/>
      <c r="BF923" s="71" t="n"/>
      <c r="BG923" s="71" t="n"/>
      <c r="BH923" s="71" t="n">
        <v>0</v>
      </c>
      <c r="BI923" s="71" t="n">
        <v>0</v>
      </c>
      <c r="BJ923" s="69" t="inlineStr">
        <is>
          <t>N</t>
        </is>
      </c>
      <c r="BK923" s="69" t="inlineStr">
        <is>
          <t>Special Collector Jungle Corp</t>
        </is>
      </c>
      <c r="BL923" s="75" t="n">
        <v>40.87</v>
      </c>
      <c r="BM923" s="73" t="n">
        <v>47907</v>
      </c>
      <c r="BN923" s="69" t="inlineStr">
        <is>
          <t>L &amp; R Investment Company</t>
        </is>
      </c>
      <c r="BO923" s="69" t="inlineStr">
        <is>
          <t>Citi Real Estate Funding</t>
        </is>
      </c>
      <c r="BP923" s="69" t="inlineStr">
        <is>
          <t>Midland Loan Services</t>
        </is>
      </c>
      <c r="BQ923" s="69" t="inlineStr">
        <is>
          <t>Midland Loan Services</t>
        </is>
      </c>
      <c r="BR923" s="69" t="n"/>
      <c r="BS923" s="73" t="n">
        <v>46276</v>
      </c>
      <c r="BU923" s="76">
        <f>IF($C923="","",IFERROR(INDEX(dmName,MATCH($C923,dmID,0)),"Unmapped"))</f>
        <v/>
      </c>
      <c r="BV923" s="76">
        <f>IF($C923="","",IFERROR(INDEX(dmEntity,MATCH($C923,dmID,0)),"Unmapped"))</f>
        <v/>
      </c>
      <c r="BW923" s="77">
        <f>IF($C923="","",IFERROR(INDEX(dmVintage,MATCH($C923,dmID,0)),""))</f>
        <v/>
      </c>
      <c r="BX923" s="78">
        <f>IFERROR(INDEX(dmInclude,MATCH($C923,dmID,0)),0)</f>
        <v/>
      </c>
      <c r="BY923" s="78">
        <f>IF(N($I923)&gt;0,1,0)</f>
        <v/>
      </c>
      <c r="BZ923" s="76">
        <f>IF($AJ923="","Other / Leased Fee",IFERROR(INDEX(mapPTGroup,MATCH(LEFT(TRIM($AJ923),2),mapPTCode,0)),"Other / Leased Fee"))</f>
        <v/>
      </c>
      <c r="CA923" s="76">
        <f>IF(TRIM($AF923&amp;"")="","NR",LEFT(TRIM($AF923),2))</f>
        <v/>
      </c>
      <c r="CB923" s="76">
        <f>IFERROR(LOOKUP(2,1/(LEFT(TRIM($AI923&amp;""),LEN(mapRegion))=mapRegion),mapRegion),"Not Reported")</f>
        <v/>
      </c>
      <c r="CC923" s="76">
        <f>IF($BY923=0,"",IF(TRIM($W923&amp;"")="REO","REO",IF(TRIM($W923&amp;"")="FC","Foreclosure",IF(TRIM($W923&amp;"")="90+","90+ Days Delinquent",IF(TRIM($W923&amp;"")="60","60 Days Delinquent",IF(TRIM($W923&amp;"")="30","30 Days Delinquent",IF($X923="Non-Performing Matured Balloon","Non-Performing Matured Balloon",IF(OR($X923="Late Payment But Less Than 30 Days Delinquent",LEFT($X923&amp;"",20)="Payment Not Received"),"Late / In Grace (&lt;30 Days)",IF($X923="Performing Matured Balloon","Performing Matured Balloon","Current")))))))))</f>
        <v/>
      </c>
      <c r="CD923" s="78">
        <f>IF(OR($CC923="REO",$CC923="Foreclosure",$CC923="90+ Days Delinquent",$CC923="60 Days Delinquent",$CC923="30 Days Delinquent",$CC923="Non-Performing Matured Balloon"),1,0)</f>
        <v/>
      </c>
      <c r="CE923" s="76">
        <f>IF($AB923="Currently special serv","Currently Specially Serviced",IF($AB923="Returned to master serv","Previously Specially Serviced","Never Specially Serviced"))</f>
        <v/>
      </c>
      <c r="CF923" s="78">
        <f>IF($CE923="Currently Specially Serviced",1,0)</f>
        <v/>
      </c>
      <c r="CG923" s="76">
        <f>IF($AA923="Yes","Currently on Watchlist",IF($AA923="Previously","Previously on Watchlist","Never on Watchlist"))</f>
        <v/>
      </c>
      <c r="CH923" s="78">
        <f>IF($CG923="Currently on Watchlist",1,0)</f>
        <v/>
      </c>
      <c r="CI923" s="76">
        <f>IF($Z923="Full Defeasance","Fully Defeased",IF($Z923="Portion Of Loan Previously Defeased","Partially Defeased",IF($Z923="Defeasance Not Allowable","Not Defeased (Not Permitted)","Not Defeased")))</f>
        <v/>
      </c>
      <c r="CJ923" s="78">
        <f>IF($CI923="Fully Defeased",1,0)</f>
        <v/>
      </c>
      <c r="CK923" s="76">
        <f>IF($R923="IO","Full IO",IF(LEFT($R923&amp;"",7)="IO then","Partial IO","Amortizing"))</f>
        <v/>
      </c>
      <c r="CL923" s="78">
        <f>IF($CK923="Full IO",1,0)</f>
        <v/>
      </c>
      <c r="CM923" s="78">
        <f>IF($CK923="Partial IO",1,0)</f>
        <v/>
      </c>
      <c r="CN923" s="76">
        <f>IF(LEFT($F923&amp;"",10)="SPLIT_LOAN","Pari Passu Split","Standalone")</f>
        <v/>
      </c>
      <c r="CO923" s="78">
        <f>IF($CN923="Pari Passu Split",1,0)</f>
        <v/>
      </c>
      <c r="CP923" s="77">
        <f>IF(ISNUMBER($T923),YEAR($T923),"")</f>
        <v/>
      </c>
      <c r="CQ923" s="79">
        <f>IF(ISNUMBER($V923),$V923,IF(ISNUMBER($U923),$U923,""))</f>
        <v/>
      </c>
      <c r="CR923" s="77">
        <f>IF(ISNUMBER($CQ923),YEAR($CQ923),"")</f>
        <v/>
      </c>
      <c r="CS923" s="78">
        <f>IF(ISNUMBER($M923),MAX(0,$M923),IF(TRIM($M923&amp;"")="matured",0,""))</f>
        <v/>
      </c>
      <c r="CT923" s="78">
        <f>IF(AND(ISNUMBER($CS923),N($CS923)&lt;=mMatWindow),1,0)</f>
        <v/>
      </c>
      <c r="CU923" s="80">
        <f>IF(ISNUMBER($J923),$J923/100,"")</f>
        <v/>
      </c>
      <c r="CV923" s="81">
        <f>IF(ISNUMBER($AQ923),$AQ923,"")</f>
        <v/>
      </c>
      <c r="CW923" s="81">
        <f>IF(ISNUMBER($AR923),$AR923,"")</f>
        <v/>
      </c>
      <c r="CX923" s="82">
        <f>IF(ISNUMBER($AS923),$AS923/100,"")</f>
        <v/>
      </c>
      <c r="CY923" s="82">
        <f>IF(ISNUMBER($AT923),$AT923/100,"")</f>
        <v/>
      </c>
      <c r="CZ923" s="82">
        <f>IF(ISNUMBER($AU923),$AU923/100,"")</f>
        <v/>
      </c>
      <c r="DA923" s="82">
        <f>IF(ISNUMBER($AV923),$AV923/100,"")</f>
        <v/>
      </c>
      <c r="DB923" s="82">
        <f>IF(ISNUMBER($AW923),$AW923/100,"")</f>
        <v/>
      </c>
      <c r="DC923" s="82">
        <f>IF(ISNUMBER($AX923),$AX923/100,"")</f>
        <v/>
      </c>
      <c r="DD923" s="77">
        <f>IFERROR(VALUE(LEFT(TRIM($AO923&amp;""),4)),"")</f>
        <v/>
      </c>
      <c r="DE923" s="78">
        <f>IF(AND($BY923=1,$BX923=1,OR(fDeal="All Deals",$BU923=fDeal),OR(fEntity="All Entities",$BV923=fEntity),OR(fPType="All Property Types",$BZ923=fPType),OR(fDefeased="Include",$CJ923=0)),1,0)</f>
        <v/>
      </c>
      <c r="DF923" s="83">
        <f>$DE923*N($I923)</f>
        <v/>
      </c>
      <c r="DG923" s="78">
        <f>IF($DE923=1,IF(COUNTIFS($F$8:$F923,$F923,$DE$8:$DE923,1)=1,1,0),0)</f>
        <v/>
      </c>
      <c r="DH923" s="83">
        <f>IF($DG923=1,SUMIFS($DF$8:$DF$1600,$F$8:$F$1600,$F923),0)</f>
        <v/>
      </c>
      <c r="DI923" s="78">
        <f>IF($DG923=1,COUNTIFS($F$8:$F$1600,$F923,$DE$8:$DE$1600,1),0)</f>
        <v/>
      </c>
      <c r="DJ923" s="84">
        <f>IF($DG923=1,$DH923+(100000-ROW())/mTieBreak,0)</f>
        <v/>
      </c>
    </row>
    <row r="924">
      <c r="B924" s="68" t="n">
        <v>21</v>
      </c>
      <c r="C924" s="69" t="inlineStr">
        <is>
          <t>CCUB17C1</t>
        </is>
      </c>
      <c r="D924" s="69" t="inlineStr">
        <is>
          <t>21.000</t>
        </is>
      </c>
      <c r="E924" s="69" t="inlineStr">
        <is>
          <t>Sinagua Plaza</t>
        </is>
      </c>
      <c r="F924" s="69" t="inlineStr">
        <is>
          <t>LNCCUB17C1-21.000</t>
        </is>
      </c>
      <c r="G924" s="70" t="n"/>
      <c r="H924" s="71" t="n">
        <v>14200000</v>
      </c>
      <c r="I924" s="71" t="n">
        <v>11899234.8999944</v>
      </c>
      <c r="J924" s="72" t="n">
        <v>4.6</v>
      </c>
      <c r="K924" s="69" t="inlineStr">
        <is>
          <t>Fixed rate</t>
        </is>
      </c>
      <c r="L924" s="68" t="n">
        <v>120</v>
      </c>
      <c r="M924" s="68" t="n">
        <v>14</v>
      </c>
      <c r="N924" s="68" t="n">
        <v>360</v>
      </c>
      <c r="O924" s="68" t="n"/>
      <c r="P924" s="68" t="n"/>
      <c r="Q924" s="68" t="n">
        <v>106</v>
      </c>
      <c r="R924" s="69" t="n"/>
      <c r="S924" s="69" t="inlineStr">
        <is>
          <t>No</t>
        </is>
      </c>
      <c r="T924" s="73" t="n">
        <v>43040</v>
      </c>
      <c r="U924" s="73" t="n">
        <v>46697</v>
      </c>
      <c r="V924" s="73" t="n"/>
      <c r="W924" s="69" t="n"/>
      <c r="X924" s="69" t="inlineStr">
        <is>
          <t>Current</t>
        </is>
      </c>
      <c r="Y924" s="68" t="n"/>
      <c r="Z924" s="69" t="inlineStr">
        <is>
          <t>Full Defeasance</t>
        </is>
      </c>
      <c r="AA924" s="69" t="inlineStr">
        <is>
          <t>Previously</t>
        </is>
      </c>
      <c r="AB924" s="69" t="inlineStr">
        <is>
          <t>Never special serv</t>
        </is>
      </c>
      <c r="AC924" s="73" t="n"/>
      <c r="AD924" s="69" t="n"/>
      <c r="AE924" s="69" t="n"/>
      <c r="AF924" s="69" t="inlineStr">
        <is>
          <t>AZ</t>
        </is>
      </c>
      <c r="AG924" s="69" t="inlineStr">
        <is>
          <t>Sedona</t>
        </is>
      </c>
      <c r="AH924" s="69" t="inlineStr">
        <is>
          <t>Prescott Valley-Prescott, AZ</t>
        </is>
      </c>
      <c r="AI924" s="69" t="inlineStr">
        <is>
          <t>West / Mountain</t>
        </is>
      </c>
      <c r="AJ924" s="69" t="inlineStr">
        <is>
          <t>RT</t>
        </is>
      </c>
      <c r="AK924" s="69" t="inlineStr">
        <is>
          <t>Unanchored</t>
        </is>
      </c>
      <c r="AL924" s="68" t="n">
        <v>1</v>
      </c>
      <c r="AM924" s="68" t="n"/>
      <c r="AN924" s="68" t="n">
        <v>30240</v>
      </c>
      <c r="AO924" s="69" t="inlineStr">
        <is>
          <t>1990</t>
        </is>
      </c>
      <c r="AP924" s="70" t="n">
        <v>1990</v>
      </c>
      <c r="AQ924" s="74" t="n">
        <v>1.39</v>
      </c>
      <c r="AR924" s="74" t="n">
        <v>1.89</v>
      </c>
      <c r="AS924" s="74" t="n">
        <v>60</v>
      </c>
      <c r="AT924" s="74" t="n">
        <v>50.29</v>
      </c>
      <c r="AU924" s="74" t="n">
        <v>48.7</v>
      </c>
      <c r="AV924" s="74" t="n">
        <v>8.525217183000001</v>
      </c>
      <c r="AW924" s="74" t="n">
        <v>14.046794303</v>
      </c>
      <c r="AX924" s="75" t="n">
        <v>100</v>
      </c>
      <c r="AY924" s="71" t="n">
        <v>23660000</v>
      </c>
      <c r="AZ924" s="71" t="n">
        <v>23660000</v>
      </c>
      <c r="BA924" s="71" t="n">
        <v>1210580.84</v>
      </c>
      <c r="BB924" s="71" t="n">
        <v>413150.97</v>
      </c>
      <c r="BC924" s="69" t="inlineStr">
        <is>
          <t>Refinance</t>
        </is>
      </c>
      <c r="BD924" s="69" t="inlineStr">
        <is>
          <t>N</t>
        </is>
      </c>
      <c r="BE924" s="71" t="n"/>
      <c r="BF924" s="71" t="n"/>
      <c r="BG924" s="71" t="n"/>
      <c r="BH924" s="71" t="n">
        <v>0</v>
      </c>
      <c r="BI924" s="71" t="n">
        <v>0</v>
      </c>
      <c r="BJ924" s="69" t="inlineStr">
        <is>
          <t>Y</t>
        </is>
      </c>
      <c r="BK924" s="69" t="inlineStr">
        <is>
          <t>Open Range</t>
        </is>
      </c>
      <c r="BL924" s="75" t="n">
        <v>14.78</v>
      </c>
      <c r="BM924" s="73" t="n">
        <v>51501</v>
      </c>
      <c r="BN924" s="69" t="inlineStr">
        <is>
          <t>Albert B. Spector; Spector Family Trust dated December 21, 2016; John Carleton</t>
        </is>
      </c>
      <c r="BO924" s="69" t="inlineStr">
        <is>
          <t>Citi Real Estate Funding</t>
        </is>
      </c>
      <c r="BP924" s="69" t="inlineStr">
        <is>
          <t>Midland Loan Services</t>
        </is>
      </c>
      <c r="BQ924" s="69" t="inlineStr">
        <is>
          <t>Midland Loan Services</t>
        </is>
      </c>
      <c r="BR924" s="69" t="n"/>
      <c r="BS924" s="73" t="n">
        <v>46276</v>
      </c>
      <c r="BU924" s="76">
        <f>IF($C924="","",IFERROR(INDEX(dmName,MATCH($C924,dmID,0)),"Unmapped"))</f>
        <v/>
      </c>
      <c r="BV924" s="76">
        <f>IF($C924="","",IFERROR(INDEX(dmEntity,MATCH($C924,dmID,0)),"Unmapped"))</f>
        <v/>
      </c>
      <c r="BW924" s="77">
        <f>IF($C924="","",IFERROR(INDEX(dmVintage,MATCH($C924,dmID,0)),""))</f>
        <v/>
      </c>
      <c r="BX924" s="78">
        <f>IFERROR(INDEX(dmInclude,MATCH($C924,dmID,0)),0)</f>
        <v/>
      </c>
      <c r="BY924" s="78">
        <f>IF(N($I924)&gt;0,1,0)</f>
        <v/>
      </c>
      <c r="BZ924" s="76">
        <f>IF($AJ924="","Other / Leased Fee",IFERROR(INDEX(mapPTGroup,MATCH(LEFT(TRIM($AJ924),2),mapPTCode,0)),"Other / Leased Fee"))</f>
        <v/>
      </c>
      <c r="CA924" s="76">
        <f>IF(TRIM($AF924&amp;"")="","NR",LEFT(TRIM($AF924),2))</f>
        <v/>
      </c>
      <c r="CB924" s="76">
        <f>IFERROR(LOOKUP(2,1/(LEFT(TRIM($AI924&amp;""),LEN(mapRegion))=mapRegion),mapRegion),"Not Reported")</f>
        <v/>
      </c>
      <c r="CC924" s="76">
        <f>IF($BY924=0,"",IF(TRIM($W924&amp;"")="REO","REO",IF(TRIM($W924&amp;"")="FC","Foreclosure",IF(TRIM($W924&amp;"")="90+","90+ Days Delinquent",IF(TRIM($W924&amp;"")="60","60 Days Delinquent",IF(TRIM($W924&amp;"")="30","30 Days Delinquent",IF($X924="Non-Performing Matured Balloon","Non-Performing Matured Balloon",IF(OR($X924="Late Payment But Less Than 30 Days Delinquent",LEFT($X924&amp;"",20)="Payment Not Received"),"Late / In Grace (&lt;30 Days)",IF($X924="Performing Matured Balloon","Performing Matured Balloon","Current")))))))))</f>
        <v/>
      </c>
      <c r="CD924" s="78">
        <f>IF(OR($CC924="REO",$CC924="Foreclosure",$CC924="90+ Days Delinquent",$CC924="60 Days Delinquent",$CC924="30 Days Delinquent",$CC924="Non-Performing Matured Balloon"),1,0)</f>
        <v/>
      </c>
      <c r="CE924" s="76">
        <f>IF($AB924="Currently special serv","Currently Specially Serviced",IF($AB924="Returned to master serv","Previously Specially Serviced","Never Specially Serviced"))</f>
        <v/>
      </c>
      <c r="CF924" s="78">
        <f>IF($CE924="Currently Specially Serviced",1,0)</f>
        <v/>
      </c>
      <c r="CG924" s="76">
        <f>IF($AA924="Yes","Currently on Watchlist",IF($AA924="Previously","Previously on Watchlist","Never on Watchlist"))</f>
        <v/>
      </c>
      <c r="CH924" s="78">
        <f>IF($CG924="Currently on Watchlist",1,0)</f>
        <v/>
      </c>
      <c r="CI924" s="76">
        <f>IF($Z924="Full Defeasance","Fully Defeased",IF($Z924="Portion Of Loan Previously Defeased","Partially Defeased",IF($Z924="Defeasance Not Allowable","Not Defeased (Not Permitted)","Not Defeased")))</f>
        <v/>
      </c>
      <c r="CJ924" s="78">
        <f>IF($CI924="Fully Defeased",1,0)</f>
        <v/>
      </c>
      <c r="CK924" s="76">
        <f>IF($R924="IO","Full IO",IF(LEFT($R924&amp;"",7)="IO then","Partial IO","Amortizing"))</f>
        <v/>
      </c>
      <c r="CL924" s="78">
        <f>IF($CK924="Full IO",1,0)</f>
        <v/>
      </c>
      <c r="CM924" s="78">
        <f>IF($CK924="Partial IO",1,0)</f>
        <v/>
      </c>
      <c r="CN924" s="76">
        <f>IF(LEFT($F924&amp;"",10)="SPLIT_LOAN","Pari Passu Split","Standalone")</f>
        <v/>
      </c>
      <c r="CO924" s="78">
        <f>IF($CN924="Pari Passu Split",1,0)</f>
        <v/>
      </c>
      <c r="CP924" s="77">
        <f>IF(ISNUMBER($T924),YEAR($T924),"")</f>
        <v/>
      </c>
      <c r="CQ924" s="79">
        <f>IF(ISNUMBER($V924),$V924,IF(ISNUMBER($U924),$U924,""))</f>
        <v/>
      </c>
      <c r="CR924" s="77">
        <f>IF(ISNUMBER($CQ924),YEAR($CQ924),"")</f>
        <v/>
      </c>
      <c r="CS924" s="78">
        <f>IF(ISNUMBER($M924),MAX(0,$M924),IF(TRIM($M924&amp;"")="matured",0,""))</f>
        <v/>
      </c>
      <c r="CT924" s="78">
        <f>IF(AND(ISNUMBER($CS924),N($CS924)&lt;=mMatWindow),1,0)</f>
        <v/>
      </c>
      <c r="CU924" s="80">
        <f>IF(ISNUMBER($J924),$J924/100,"")</f>
        <v/>
      </c>
      <c r="CV924" s="81">
        <f>IF(ISNUMBER($AQ924),$AQ924,"")</f>
        <v/>
      </c>
      <c r="CW924" s="81">
        <f>IF(ISNUMBER($AR924),$AR924,"")</f>
        <v/>
      </c>
      <c r="CX924" s="82">
        <f>IF(ISNUMBER($AS924),$AS924/100,"")</f>
        <v/>
      </c>
      <c r="CY924" s="82">
        <f>IF(ISNUMBER($AT924),$AT924/100,"")</f>
        <v/>
      </c>
      <c r="CZ924" s="82">
        <f>IF(ISNUMBER($AU924),$AU924/100,"")</f>
        <v/>
      </c>
      <c r="DA924" s="82">
        <f>IF(ISNUMBER($AV924),$AV924/100,"")</f>
        <v/>
      </c>
      <c r="DB924" s="82">
        <f>IF(ISNUMBER($AW924),$AW924/100,"")</f>
        <v/>
      </c>
      <c r="DC924" s="82">
        <f>IF(ISNUMBER($AX924),$AX924/100,"")</f>
        <v/>
      </c>
      <c r="DD924" s="77">
        <f>IFERROR(VALUE(LEFT(TRIM($AO924&amp;""),4)),"")</f>
        <v/>
      </c>
      <c r="DE924" s="78">
        <f>IF(AND($BY924=1,$BX924=1,OR(fDeal="All Deals",$BU924=fDeal),OR(fEntity="All Entities",$BV924=fEntity),OR(fPType="All Property Types",$BZ924=fPType),OR(fDefeased="Include",$CJ924=0)),1,0)</f>
        <v/>
      </c>
      <c r="DF924" s="83">
        <f>$DE924*N($I924)</f>
        <v/>
      </c>
      <c r="DG924" s="78">
        <f>IF($DE924=1,IF(COUNTIFS($F$8:$F924,$F924,$DE$8:$DE924,1)=1,1,0),0)</f>
        <v/>
      </c>
      <c r="DH924" s="83">
        <f>IF($DG924=1,SUMIFS($DF$8:$DF$1600,$F$8:$F$1600,$F924),0)</f>
        <v/>
      </c>
      <c r="DI924" s="78">
        <f>IF($DG924=1,COUNTIFS($F$8:$F$1600,$F924,$DE$8:$DE$1600,1),0)</f>
        <v/>
      </c>
      <c r="DJ924" s="84">
        <f>IF($DG924=1,$DH924+(100000-ROW())/mTieBreak,0)</f>
        <v/>
      </c>
    </row>
    <row r="925">
      <c r="B925" s="68" t="n">
        <v>22</v>
      </c>
      <c r="C925" s="69" t="inlineStr">
        <is>
          <t>CCUB17C1</t>
        </is>
      </c>
      <c r="D925" s="69" t="inlineStr">
        <is>
          <t>22.000</t>
        </is>
      </c>
      <c r="E925" s="69" t="inlineStr">
        <is>
          <t>AM General Building</t>
        </is>
      </c>
      <c r="F925" s="69" t="inlineStr">
        <is>
          <t>LNCCUB17C1-22.000</t>
        </is>
      </c>
      <c r="G925" s="70" t="n"/>
      <c r="H925" s="71" t="n">
        <v>13500000</v>
      </c>
      <c r="I925" s="71" t="n">
        <v>13500000</v>
      </c>
      <c r="J925" s="72" t="n">
        <v>4.43</v>
      </c>
      <c r="K925" s="69" t="inlineStr">
        <is>
          <t>Fixed rate</t>
        </is>
      </c>
      <c r="L925" s="68" t="n">
        <v>120</v>
      </c>
      <c r="M925" s="68" t="n">
        <v>14</v>
      </c>
      <c r="N925" s="68" t="n">
        <v>120</v>
      </c>
      <c r="O925" s="68" t="n">
        <v>120</v>
      </c>
      <c r="P925" s="68" t="n">
        <v>14</v>
      </c>
      <c r="Q925" s="68" t="n">
        <v>106</v>
      </c>
      <c r="R925" s="69" t="inlineStr">
        <is>
          <t>IO</t>
        </is>
      </c>
      <c r="S925" s="69" t="inlineStr">
        <is>
          <t>Yes</t>
        </is>
      </c>
      <c r="T925" s="73" t="n">
        <v>43040</v>
      </c>
      <c r="U925" s="73" t="n">
        <v>46697</v>
      </c>
      <c r="V925" s="73" t="n"/>
      <c r="W925" s="69" t="n"/>
      <c r="X925" s="69" t="inlineStr">
        <is>
          <t>Current</t>
        </is>
      </c>
      <c r="Y925" s="68" t="n"/>
      <c r="Z925" s="69" t="inlineStr">
        <is>
          <t>Defeasance Not Allowable</t>
        </is>
      </c>
      <c r="AA925" s="69" t="n"/>
      <c r="AB925" s="69" t="inlineStr">
        <is>
          <t>Never special serv</t>
        </is>
      </c>
      <c r="AC925" s="73" t="n"/>
      <c r="AD925" s="69" t="n"/>
      <c r="AE925" s="69" t="n"/>
      <c r="AF925" s="69" t="inlineStr">
        <is>
          <t>MI</t>
        </is>
      </c>
      <c r="AG925" s="69" t="inlineStr">
        <is>
          <t>Auburn Hills</t>
        </is>
      </c>
      <c r="AH925" s="69" t="inlineStr">
        <is>
          <t>Detroit-Warren-Dearborn, MI</t>
        </is>
      </c>
      <c r="AI925" s="69" t="inlineStr">
        <is>
          <t>Midwest / Central East</t>
        </is>
      </c>
      <c r="AJ925" s="69" t="inlineStr">
        <is>
          <t>IN</t>
        </is>
      </c>
      <c r="AK925" s="69" t="inlineStr">
        <is>
          <t>Flex</t>
        </is>
      </c>
      <c r="AL925" s="68" t="n">
        <v>1</v>
      </c>
      <c r="AM925" s="68" t="n"/>
      <c r="AN925" s="68" t="n">
        <v>176674</v>
      </c>
      <c r="AO925" s="69" t="inlineStr">
        <is>
          <t>1994</t>
        </is>
      </c>
      <c r="AP925" s="70" t="n">
        <v>2017</v>
      </c>
      <c r="AQ925" s="74" t="n">
        <v>2.3</v>
      </c>
      <c r="AR925" s="74" t="n">
        <v>2.23</v>
      </c>
      <c r="AS925" s="74" t="n">
        <v>61.1</v>
      </c>
      <c r="AT925" s="74" t="n">
        <v>61.14</v>
      </c>
      <c r="AU925" s="74" t="n">
        <v>61.1</v>
      </c>
      <c r="AV925" s="74" t="n">
        <v>10.322733333</v>
      </c>
      <c r="AW925" s="74" t="n">
        <v>10.071243704</v>
      </c>
      <c r="AX925" s="75" t="n">
        <v>100</v>
      </c>
      <c r="AY925" s="71" t="n">
        <v>22080000</v>
      </c>
      <c r="AZ925" s="71" t="n">
        <v>22080000</v>
      </c>
      <c r="BA925" s="71" t="n">
        <v>1393569</v>
      </c>
      <c r="BB925" s="71" t="n">
        <v>1352597.26</v>
      </c>
      <c r="BC925" s="69" t="inlineStr">
        <is>
          <t>Recapitalization</t>
        </is>
      </c>
      <c r="BD925" s="69" t="inlineStr">
        <is>
          <t>N</t>
        </is>
      </c>
      <c r="BE925" s="71" t="n"/>
      <c r="BF925" s="71" t="n"/>
      <c r="BG925" s="71" t="n"/>
      <c r="BH925" s="71" t="n">
        <v>0</v>
      </c>
      <c r="BI925" s="71" t="n">
        <v>0</v>
      </c>
      <c r="BJ925" s="69" t="inlineStr">
        <is>
          <t>N</t>
        </is>
      </c>
      <c r="BK925" s="69" t="inlineStr">
        <is>
          <t>AM General Building</t>
        </is>
      </c>
      <c r="BL925" s="75" t="n">
        <v>100</v>
      </c>
      <c r="BM925" s="73" t="n">
        <v>48395</v>
      </c>
      <c r="BN925" s="69" t="inlineStr">
        <is>
          <t>Marc Gardner</t>
        </is>
      </c>
      <c r="BO925" s="69" t="inlineStr">
        <is>
          <t>Cantor Commercial Real Estate Lending</t>
        </is>
      </c>
      <c r="BP925" s="69" t="inlineStr">
        <is>
          <t>Midland Loan Services</t>
        </is>
      </c>
      <c r="BQ925" s="69" t="inlineStr">
        <is>
          <t>Midland Loan Services</t>
        </is>
      </c>
      <c r="BR925" s="69" t="n"/>
      <c r="BS925" s="73" t="n">
        <v>46276</v>
      </c>
      <c r="BU925" s="76">
        <f>IF($C925="","",IFERROR(INDEX(dmName,MATCH($C925,dmID,0)),"Unmapped"))</f>
        <v/>
      </c>
      <c r="BV925" s="76">
        <f>IF($C925="","",IFERROR(INDEX(dmEntity,MATCH($C925,dmID,0)),"Unmapped"))</f>
        <v/>
      </c>
      <c r="BW925" s="77">
        <f>IF($C925="","",IFERROR(INDEX(dmVintage,MATCH($C925,dmID,0)),""))</f>
        <v/>
      </c>
      <c r="BX925" s="78">
        <f>IFERROR(INDEX(dmInclude,MATCH($C925,dmID,0)),0)</f>
        <v/>
      </c>
      <c r="BY925" s="78">
        <f>IF(N($I925)&gt;0,1,0)</f>
        <v/>
      </c>
      <c r="BZ925" s="76">
        <f>IF($AJ925="","Other / Leased Fee",IFERROR(INDEX(mapPTGroup,MATCH(LEFT(TRIM($AJ925),2),mapPTCode,0)),"Other / Leased Fee"))</f>
        <v/>
      </c>
      <c r="CA925" s="76">
        <f>IF(TRIM($AF925&amp;"")="","NR",LEFT(TRIM($AF925),2))</f>
        <v/>
      </c>
      <c r="CB925" s="76">
        <f>IFERROR(LOOKUP(2,1/(LEFT(TRIM($AI925&amp;""),LEN(mapRegion))=mapRegion),mapRegion),"Not Reported")</f>
        <v/>
      </c>
      <c r="CC925" s="76">
        <f>IF($BY925=0,"",IF(TRIM($W925&amp;"")="REO","REO",IF(TRIM($W925&amp;"")="FC","Foreclosure",IF(TRIM($W925&amp;"")="90+","90+ Days Delinquent",IF(TRIM($W925&amp;"")="60","60 Days Delinquent",IF(TRIM($W925&amp;"")="30","30 Days Delinquent",IF($X925="Non-Performing Matured Balloon","Non-Performing Matured Balloon",IF(OR($X925="Late Payment But Less Than 30 Days Delinquent",LEFT($X925&amp;"",20)="Payment Not Received"),"Late / In Grace (&lt;30 Days)",IF($X925="Performing Matured Balloon","Performing Matured Balloon","Current")))))))))</f>
        <v/>
      </c>
      <c r="CD925" s="78">
        <f>IF(OR($CC925="REO",$CC925="Foreclosure",$CC925="90+ Days Delinquent",$CC925="60 Days Delinquent",$CC925="30 Days Delinquent",$CC925="Non-Performing Matured Balloon"),1,0)</f>
        <v/>
      </c>
      <c r="CE925" s="76">
        <f>IF($AB925="Currently special serv","Currently Specially Serviced",IF($AB925="Returned to master serv","Previously Specially Serviced","Never Specially Serviced"))</f>
        <v/>
      </c>
      <c r="CF925" s="78">
        <f>IF($CE925="Currently Specially Serviced",1,0)</f>
        <v/>
      </c>
      <c r="CG925" s="76">
        <f>IF($AA925="Yes","Currently on Watchlist",IF($AA925="Previously","Previously on Watchlist","Never on Watchlist"))</f>
        <v/>
      </c>
      <c r="CH925" s="78">
        <f>IF($CG925="Currently on Watchlist",1,0)</f>
        <v/>
      </c>
      <c r="CI925" s="76">
        <f>IF($Z925="Full Defeasance","Fully Defeased",IF($Z925="Portion Of Loan Previously Defeased","Partially Defeased",IF($Z925="Defeasance Not Allowable","Not Defeased (Not Permitted)","Not Defeased")))</f>
        <v/>
      </c>
      <c r="CJ925" s="78">
        <f>IF($CI925="Fully Defeased",1,0)</f>
        <v/>
      </c>
      <c r="CK925" s="76">
        <f>IF($R925="IO","Full IO",IF(LEFT($R925&amp;"",7)="IO then","Partial IO","Amortizing"))</f>
        <v/>
      </c>
      <c r="CL925" s="78">
        <f>IF($CK925="Full IO",1,0)</f>
        <v/>
      </c>
      <c r="CM925" s="78">
        <f>IF($CK925="Partial IO",1,0)</f>
        <v/>
      </c>
      <c r="CN925" s="76">
        <f>IF(LEFT($F925&amp;"",10)="SPLIT_LOAN","Pari Passu Split","Standalone")</f>
        <v/>
      </c>
      <c r="CO925" s="78">
        <f>IF($CN925="Pari Passu Split",1,0)</f>
        <v/>
      </c>
      <c r="CP925" s="77">
        <f>IF(ISNUMBER($T925),YEAR($T925),"")</f>
        <v/>
      </c>
      <c r="CQ925" s="79">
        <f>IF(ISNUMBER($V925),$V925,IF(ISNUMBER($U925),$U925,""))</f>
        <v/>
      </c>
      <c r="CR925" s="77">
        <f>IF(ISNUMBER($CQ925),YEAR($CQ925),"")</f>
        <v/>
      </c>
      <c r="CS925" s="78">
        <f>IF(ISNUMBER($M925),MAX(0,$M925),IF(TRIM($M925&amp;"")="matured",0,""))</f>
        <v/>
      </c>
      <c r="CT925" s="78">
        <f>IF(AND(ISNUMBER($CS925),N($CS925)&lt;=mMatWindow),1,0)</f>
        <v/>
      </c>
      <c r="CU925" s="80">
        <f>IF(ISNUMBER($J925),$J925/100,"")</f>
        <v/>
      </c>
      <c r="CV925" s="81">
        <f>IF(ISNUMBER($AQ925),$AQ925,"")</f>
        <v/>
      </c>
      <c r="CW925" s="81">
        <f>IF(ISNUMBER($AR925),$AR925,"")</f>
        <v/>
      </c>
      <c r="CX925" s="82">
        <f>IF(ISNUMBER($AS925),$AS925/100,"")</f>
        <v/>
      </c>
      <c r="CY925" s="82">
        <f>IF(ISNUMBER($AT925),$AT925/100,"")</f>
        <v/>
      </c>
      <c r="CZ925" s="82">
        <f>IF(ISNUMBER($AU925),$AU925/100,"")</f>
        <v/>
      </c>
      <c r="DA925" s="82">
        <f>IF(ISNUMBER($AV925),$AV925/100,"")</f>
        <v/>
      </c>
      <c r="DB925" s="82">
        <f>IF(ISNUMBER($AW925),$AW925/100,"")</f>
        <v/>
      </c>
      <c r="DC925" s="82">
        <f>IF(ISNUMBER($AX925),$AX925/100,"")</f>
        <v/>
      </c>
      <c r="DD925" s="77">
        <f>IFERROR(VALUE(LEFT(TRIM($AO925&amp;""),4)),"")</f>
        <v/>
      </c>
      <c r="DE925" s="78">
        <f>IF(AND($BY925=1,$BX925=1,OR(fDeal="All Deals",$BU925=fDeal),OR(fEntity="All Entities",$BV925=fEntity),OR(fPType="All Property Types",$BZ925=fPType),OR(fDefeased="Include",$CJ925=0)),1,0)</f>
        <v/>
      </c>
      <c r="DF925" s="83">
        <f>$DE925*N($I925)</f>
        <v/>
      </c>
      <c r="DG925" s="78">
        <f>IF($DE925=1,IF(COUNTIFS($F$8:$F925,$F925,$DE$8:$DE925,1)=1,1,0),0)</f>
        <v/>
      </c>
      <c r="DH925" s="83">
        <f>IF($DG925=1,SUMIFS($DF$8:$DF$1600,$F$8:$F$1600,$F925),0)</f>
        <v/>
      </c>
      <c r="DI925" s="78">
        <f>IF($DG925=1,COUNTIFS($F$8:$F$1600,$F925,$DE$8:$DE$1600,1),0)</f>
        <v/>
      </c>
      <c r="DJ925" s="84">
        <f>IF($DG925=1,$DH925+(100000-ROW())/mTieBreak,0)</f>
        <v/>
      </c>
    </row>
    <row r="926">
      <c r="B926" s="68" t="n">
        <v>23</v>
      </c>
      <c r="C926" s="69" t="inlineStr">
        <is>
          <t>CCUB17C1</t>
        </is>
      </c>
      <c r="D926" s="69" t="inlineStr">
        <is>
          <t>23.000</t>
        </is>
      </c>
      <c r="E926" s="69" t="inlineStr">
        <is>
          <t>130 Bowery</t>
        </is>
      </c>
      <c r="F926" s="69" t="inlineStr">
        <is>
          <t>LNCCUB17C1-23.000</t>
        </is>
      </c>
      <c r="G926" s="70" t="n"/>
      <c r="H926" s="71" t="n">
        <v>12000000</v>
      </c>
      <c r="I926" s="71" t="n">
        <v>0</v>
      </c>
      <c r="J926" s="72" t="n">
        <v>4.876</v>
      </c>
      <c r="K926" s="69" t="inlineStr">
        <is>
          <t>Fixed rate</t>
        </is>
      </c>
      <c r="L926" s="68" t="n">
        <v>120</v>
      </c>
      <c r="M926" s="68" t="n"/>
      <c r="N926" s="68" t="n">
        <v>120</v>
      </c>
      <c r="O926" s="68" t="n">
        <v>120</v>
      </c>
      <c r="P926" s="68" t="n"/>
      <c r="Q926" s="68" t="n"/>
      <c r="R926" s="69" t="inlineStr">
        <is>
          <t>IO</t>
        </is>
      </c>
      <c r="S926" s="69" t="inlineStr">
        <is>
          <t>Yes</t>
        </is>
      </c>
      <c r="T926" s="73" t="n">
        <v>43040</v>
      </c>
      <c r="U926" s="73" t="n">
        <v>46697</v>
      </c>
      <c r="V926" s="73" t="n"/>
      <c r="W926" s="69" t="n"/>
      <c r="X926" s="69" t="inlineStr">
        <is>
          <t>Current</t>
        </is>
      </c>
      <c r="Y926" s="68" t="n"/>
      <c r="Z926" s="69" t="inlineStr">
        <is>
          <t>No Defeasance Occurred</t>
        </is>
      </c>
      <c r="AA926" s="69" t="inlineStr">
        <is>
          <t>Previously</t>
        </is>
      </c>
      <c r="AB926" s="69" t="inlineStr">
        <is>
          <t>Currently special serv</t>
        </is>
      </c>
      <c r="AC926" s="73" t="n">
        <v>43992</v>
      </c>
      <c r="AD926" s="69" t="inlineStr">
        <is>
          <t>Payment Default (all payments excluding Balloon/Maturity Payment)</t>
        </is>
      </c>
      <c r="AE926" s="69" t="inlineStr">
        <is>
          <t>Bankruptcy</t>
        </is>
      </c>
      <c r="AF926" s="69" t="inlineStr">
        <is>
          <t>NY</t>
        </is>
      </c>
      <c r="AG926" s="69" t="inlineStr">
        <is>
          <t>New York</t>
        </is>
      </c>
      <c r="AH926" s="69" t="inlineStr">
        <is>
          <t>New York-Newark-Jersey City, NY-NJ</t>
        </is>
      </c>
      <c r="AI926" s="69" t="inlineStr">
        <is>
          <t>Northeast / Mid-Atlantic</t>
        </is>
      </c>
      <c r="AJ926" s="69" t="inlineStr">
        <is>
          <t>RT</t>
        </is>
      </c>
      <c r="AK926" s="69" t="inlineStr">
        <is>
          <t>Single Tenant</t>
        </is>
      </c>
      <c r="AL926" s="68" t="n">
        <v>1</v>
      </c>
      <c r="AM926" s="68" t="n"/>
      <c r="AN926" s="68" t="n">
        <v>32700</v>
      </c>
      <c r="AO926" s="69" t="inlineStr">
        <is>
          <t>1895</t>
        </is>
      </c>
      <c r="AP926" s="70" t="n">
        <v>2016</v>
      </c>
      <c r="AQ926" s="74" t="n">
        <v>2.19</v>
      </c>
      <c r="AR926" s="74" t="n">
        <v>-4.03</v>
      </c>
      <c r="AS926" s="74" t="n">
        <v>42.9</v>
      </c>
      <c r="AT926" s="74" t="n"/>
      <c r="AU926" s="74" t="n">
        <v>42.9</v>
      </c>
      <c r="AV926" s="74" t="n">
        <v>10.830941667</v>
      </c>
      <c r="AW926" s="74" t="n"/>
      <c r="AX926" s="75" t="n">
        <v>100</v>
      </c>
      <c r="AY926" s="71" t="n">
        <v>28000000</v>
      </c>
      <c r="AZ926" s="71" t="n">
        <v>17500000</v>
      </c>
      <c r="BA926" s="71" t="n">
        <v>1299713</v>
      </c>
      <c r="BB926" s="71" t="n">
        <v>-2389938.01</v>
      </c>
      <c r="BC926" s="69" t="inlineStr">
        <is>
          <t>Refinance</t>
        </is>
      </c>
      <c r="BD926" s="69" t="inlineStr">
        <is>
          <t>N</t>
        </is>
      </c>
      <c r="BE926" s="71" t="n"/>
      <c r="BF926" s="71" t="n"/>
      <c r="BG926" s="71" t="n"/>
      <c r="BH926" s="71" t="n">
        <v>0</v>
      </c>
      <c r="BI926" s="71" t="n">
        <v>0</v>
      </c>
      <c r="BJ926" s="69" t="inlineStr">
        <is>
          <t>N</t>
        </is>
      </c>
      <c r="BK926" s="69" t="inlineStr">
        <is>
          <t>Capitale</t>
        </is>
      </c>
      <c r="BL926" s="75" t="n">
        <v>100</v>
      </c>
      <c r="BM926" s="73" t="n">
        <v>48457</v>
      </c>
      <c r="BN926" s="69" t="inlineStr">
        <is>
          <t>Michael Marvisi and David Marvisi</t>
        </is>
      </c>
      <c r="BO926" s="69" t="inlineStr">
        <is>
          <t>Cantor Commercial Real Estate Lending</t>
        </is>
      </c>
      <c r="BP926" s="69" t="inlineStr">
        <is>
          <t>Midland Loan Services</t>
        </is>
      </c>
      <c r="BQ926" s="69" t="inlineStr">
        <is>
          <t>Midland Loan Services</t>
        </is>
      </c>
      <c r="BR926" s="69" t="inlineStr">
        <is>
          <t>DPO</t>
        </is>
      </c>
      <c r="BS926" s="73" t="n">
        <v>46276</v>
      </c>
      <c r="BU926" s="76">
        <f>IF($C926="","",IFERROR(INDEX(dmName,MATCH($C926,dmID,0)),"Unmapped"))</f>
        <v/>
      </c>
      <c r="BV926" s="76">
        <f>IF($C926="","",IFERROR(INDEX(dmEntity,MATCH($C926,dmID,0)),"Unmapped"))</f>
        <v/>
      </c>
      <c r="BW926" s="77">
        <f>IF($C926="","",IFERROR(INDEX(dmVintage,MATCH($C926,dmID,0)),""))</f>
        <v/>
      </c>
      <c r="BX926" s="78">
        <f>IFERROR(INDEX(dmInclude,MATCH($C926,dmID,0)),0)</f>
        <v/>
      </c>
      <c r="BY926" s="78">
        <f>IF(N($I926)&gt;0,1,0)</f>
        <v/>
      </c>
      <c r="BZ926" s="76">
        <f>IF($AJ926="","Other / Leased Fee",IFERROR(INDEX(mapPTGroup,MATCH(LEFT(TRIM($AJ926),2),mapPTCode,0)),"Other / Leased Fee"))</f>
        <v/>
      </c>
      <c r="CA926" s="76">
        <f>IF(TRIM($AF926&amp;"")="","NR",LEFT(TRIM($AF926),2))</f>
        <v/>
      </c>
      <c r="CB926" s="76">
        <f>IFERROR(LOOKUP(2,1/(LEFT(TRIM($AI926&amp;""),LEN(mapRegion))=mapRegion),mapRegion),"Not Reported")</f>
        <v/>
      </c>
      <c r="CC926" s="76">
        <f>IF($BY926=0,"",IF(TRIM($W926&amp;"")="REO","REO",IF(TRIM($W926&amp;"")="FC","Foreclosure",IF(TRIM($W926&amp;"")="90+","90+ Days Delinquent",IF(TRIM($W926&amp;"")="60","60 Days Delinquent",IF(TRIM($W926&amp;"")="30","30 Days Delinquent",IF($X926="Non-Performing Matured Balloon","Non-Performing Matured Balloon",IF(OR($X926="Late Payment But Less Than 30 Days Delinquent",LEFT($X926&amp;"",20)="Payment Not Received"),"Late / In Grace (&lt;30 Days)",IF($X926="Performing Matured Balloon","Performing Matured Balloon","Current")))))))))</f>
        <v/>
      </c>
      <c r="CD926" s="78">
        <f>IF(OR($CC926="REO",$CC926="Foreclosure",$CC926="90+ Days Delinquent",$CC926="60 Days Delinquent",$CC926="30 Days Delinquent",$CC926="Non-Performing Matured Balloon"),1,0)</f>
        <v/>
      </c>
      <c r="CE926" s="76">
        <f>IF($AB926="Currently special serv","Currently Specially Serviced",IF($AB926="Returned to master serv","Previously Specially Serviced","Never Specially Serviced"))</f>
        <v/>
      </c>
      <c r="CF926" s="78">
        <f>IF($CE926="Currently Specially Serviced",1,0)</f>
        <v/>
      </c>
      <c r="CG926" s="76">
        <f>IF($AA926="Yes","Currently on Watchlist",IF($AA926="Previously","Previously on Watchlist","Never on Watchlist"))</f>
        <v/>
      </c>
      <c r="CH926" s="78">
        <f>IF($CG926="Currently on Watchlist",1,0)</f>
        <v/>
      </c>
      <c r="CI926" s="76">
        <f>IF($Z926="Full Defeasance","Fully Defeased",IF($Z926="Portion Of Loan Previously Defeased","Partially Defeased",IF($Z926="Defeasance Not Allowable","Not Defeased (Not Permitted)","Not Defeased")))</f>
        <v/>
      </c>
      <c r="CJ926" s="78">
        <f>IF($CI926="Fully Defeased",1,0)</f>
        <v/>
      </c>
      <c r="CK926" s="76">
        <f>IF($R926="IO","Full IO",IF(LEFT($R926&amp;"",7)="IO then","Partial IO","Amortizing"))</f>
        <v/>
      </c>
      <c r="CL926" s="78">
        <f>IF($CK926="Full IO",1,0)</f>
        <v/>
      </c>
      <c r="CM926" s="78">
        <f>IF($CK926="Partial IO",1,0)</f>
        <v/>
      </c>
      <c r="CN926" s="76">
        <f>IF(LEFT($F926&amp;"",10)="SPLIT_LOAN","Pari Passu Split","Standalone")</f>
        <v/>
      </c>
      <c r="CO926" s="78">
        <f>IF($CN926="Pari Passu Split",1,0)</f>
        <v/>
      </c>
      <c r="CP926" s="77">
        <f>IF(ISNUMBER($T926),YEAR($T926),"")</f>
        <v/>
      </c>
      <c r="CQ926" s="79">
        <f>IF(ISNUMBER($V926),$V926,IF(ISNUMBER($U926),$U926,""))</f>
        <v/>
      </c>
      <c r="CR926" s="77">
        <f>IF(ISNUMBER($CQ926),YEAR($CQ926),"")</f>
        <v/>
      </c>
      <c r="CS926" s="78">
        <f>IF(ISNUMBER($M926),MAX(0,$M926),IF(TRIM($M926&amp;"")="matured",0,""))</f>
        <v/>
      </c>
      <c r="CT926" s="78">
        <f>IF(AND(ISNUMBER($CS926),N($CS926)&lt;=mMatWindow),1,0)</f>
        <v/>
      </c>
      <c r="CU926" s="80">
        <f>IF(ISNUMBER($J926),$J926/100,"")</f>
        <v/>
      </c>
      <c r="CV926" s="81">
        <f>IF(ISNUMBER($AQ926),$AQ926,"")</f>
        <v/>
      </c>
      <c r="CW926" s="81">
        <f>IF(ISNUMBER($AR926),$AR926,"")</f>
        <v/>
      </c>
      <c r="CX926" s="82">
        <f>IF(ISNUMBER($AS926),$AS926/100,"")</f>
        <v/>
      </c>
      <c r="CY926" s="82">
        <f>IF(ISNUMBER($AT926),$AT926/100,"")</f>
        <v/>
      </c>
      <c r="CZ926" s="82">
        <f>IF(ISNUMBER($AU926),$AU926/100,"")</f>
        <v/>
      </c>
      <c r="DA926" s="82">
        <f>IF(ISNUMBER($AV926),$AV926/100,"")</f>
        <v/>
      </c>
      <c r="DB926" s="82">
        <f>IF(ISNUMBER($AW926),$AW926/100,"")</f>
        <v/>
      </c>
      <c r="DC926" s="82">
        <f>IF(ISNUMBER($AX926),$AX926/100,"")</f>
        <v/>
      </c>
      <c r="DD926" s="77">
        <f>IFERROR(VALUE(LEFT(TRIM($AO926&amp;""),4)),"")</f>
        <v/>
      </c>
      <c r="DE926" s="78">
        <f>IF(AND($BY926=1,$BX926=1,OR(fDeal="All Deals",$BU926=fDeal),OR(fEntity="All Entities",$BV926=fEntity),OR(fPType="All Property Types",$BZ926=fPType),OR(fDefeased="Include",$CJ926=0)),1,0)</f>
        <v/>
      </c>
      <c r="DF926" s="83">
        <f>$DE926*N($I926)</f>
        <v/>
      </c>
      <c r="DG926" s="78">
        <f>IF($DE926=1,IF(COUNTIFS($F$8:$F926,$F926,$DE$8:$DE926,1)=1,1,0),0)</f>
        <v/>
      </c>
      <c r="DH926" s="83">
        <f>IF($DG926=1,SUMIFS($DF$8:$DF$1600,$F$8:$F$1600,$F926),0)</f>
        <v/>
      </c>
      <c r="DI926" s="78">
        <f>IF($DG926=1,COUNTIFS($F$8:$F$1600,$F926,$DE$8:$DE$1600,1),0)</f>
        <v/>
      </c>
      <c r="DJ926" s="84">
        <f>IF($DG926=1,$DH926+(100000-ROW())/mTieBreak,0)</f>
        <v/>
      </c>
    </row>
    <row r="927">
      <c r="B927" s="68" t="n">
        <v>24</v>
      </c>
      <c r="C927" s="69" t="inlineStr">
        <is>
          <t>CCUB17C1</t>
        </is>
      </c>
      <c r="D927" s="69" t="inlineStr">
        <is>
          <t>24.000</t>
        </is>
      </c>
      <c r="E927" s="69" t="inlineStr">
        <is>
          <t>At Home Portfolio</t>
        </is>
      </c>
      <c r="F927" s="69" t="inlineStr">
        <is>
          <t>SPLIT_LOAN_01122</t>
        </is>
      </c>
      <c r="G927" s="70" t="n">
        <v>1122</v>
      </c>
      <c r="H927" s="71" t="n">
        <v>10690000</v>
      </c>
      <c r="I927" s="71" t="n">
        <v>8890508.359995041</v>
      </c>
      <c r="J927" s="72" t="n">
        <v>4.4192</v>
      </c>
      <c r="K927" s="69" t="inlineStr">
        <is>
          <t>Fixed rate</t>
        </is>
      </c>
      <c r="L927" s="68" t="n">
        <v>120</v>
      </c>
      <c r="M927" s="68" t="n">
        <v>13</v>
      </c>
      <c r="N927" s="68" t="n">
        <v>360</v>
      </c>
      <c r="O927" s="68" t="n"/>
      <c r="P927" s="68" t="n"/>
      <c r="Q927" s="68" t="n">
        <v>107</v>
      </c>
      <c r="R927" s="69" t="n"/>
      <c r="S927" s="69" t="inlineStr">
        <is>
          <t>No</t>
        </is>
      </c>
      <c r="T927" s="73" t="n">
        <v>43009</v>
      </c>
      <c r="U927" s="73" t="n">
        <v>46666</v>
      </c>
      <c r="V927" s="73" t="n"/>
      <c r="W927" s="69" t="n"/>
      <c r="X927" s="69" t="inlineStr">
        <is>
          <t>Current</t>
        </is>
      </c>
      <c r="Y927" s="68" t="n"/>
      <c r="Z927" s="69" t="inlineStr">
        <is>
          <t>Defeasance Not Allowable</t>
        </is>
      </c>
      <c r="AA927" s="69" t="inlineStr">
        <is>
          <t>Previously</t>
        </is>
      </c>
      <c r="AB927" s="69" t="inlineStr">
        <is>
          <t>Never special serv</t>
        </is>
      </c>
      <c r="AC927" s="73" t="n"/>
      <c r="AD927" s="69" t="n"/>
      <c r="AE927" s="69" t="n"/>
      <c r="AF927" s="69" t="inlineStr">
        <is>
          <t>KS-27.785696129% FL-23.519292744% OK-16.367657050% LA-16.261981541% AL-16.065372536%</t>
        </is>
      </c>
      <c r="AG927" s="69" t="n"/>
      <c r="AH927" s="69" t="inlineStr">
        <is>
          <t>Jacksonville, FL-23.519292744% Oklahoma City, OK-16.367657050% Lafayette, LA-16.261981541% Birmingham, AL-16.065372536% Wichita, KS-13.922341316% Kansas City, MO-KS-13.863354813%</t>
        </is>
      </c>
      <c r="AI927" s="69" t="inlineStr">
        <is>
          <t>South / Central West-32.629638591% Midwest / Central West-27.785696129% South / Atlantic-23.519292744% South / Central East-16.065372536%</t>
        </is>
      </c>
      <c r="AJ927" s="69" t="inlineStr">
        <is>
          <t>RT</t>
        </is>
      </c>
      <c r="AK927" s="69" t="inlineStr">
        <is>
          <t>Single Tenant</t>
        </is>
      </c>
      <c r="AL927" s="68" t="n">
        <v>6</v>
      </c>
      <c r="AM927" s="68" t="n"/>
      <c r="AN927" s="68" t="n">
        <v>704529</v>
      </c>
      <c r="AO927" s="69" t="n"/>
      <c r="AP927" s="70" t="n">
        <v>2016</v>
      </c>
      <c r="AQ927" s="74" t="n">
        <v>1.5</v>
      </c>
      <c r="AR927" s="74" t="n">
        <v>1.85</v>
      </c>
      <c r="AS927" s="74" t="n">
        <v>61.7</v>
      </c>
      <c r="AT927" s="74" t="n">
        <v>51.38</v>
      </c>
      <c r="AU927" s="74" t="n">
        <v>49.8</v>
      </c>
      <c r="AV927" s="74" t="n">
        <v>9.051413124</v>
      </c>
      <c r="AW927" s="74" t="n">
        <v>13.420171115</v>
      </c>
      <c r="AX927" s="75" t="n">
        <v>100</v>
      </c>
      <c r="AY927" s="71" t="n">
        <v>65860000</v>
      </c>
      <c r="AZ927" s="71" t="n">
        <v>65860000</v>
      </c>
      <c r="BA927" s="71" t="n">
        <v>3683020</v>
      </c>
      <c r="BB927" s="71" t="n">
        <v>4521802</v>
      </c>
      <c r="BC927" s="69" t="inlineStr">
        <is>
          <t>Acquisition</t>
        </is>
      </c>
      <c r="BD927" s="69" t="inlineStr">
        <is>
          <t>N</t>
        </is>
      </c>
      <c r="BE927" s="71" t="n">
        <v>24949976.69</v>
      </c>
      <c r="BF927" s="71" t="n"/>
      <c r="BG927" s="71" t="n"/>
      <c r="BH927" s="71" t="n">
        <v>0</v>
      </c>
      <c r="BI927" s="71" t="n">
        <v>0</v>
      </c>
      <c r="BJ927" s="69" t="inlineStr">
        <is>
          <t>N</t>
        </is>
      </c>
      <c r="BK927" s="69" t="inlineStr">
        <is>
          <t>Moore OK</t>
        </is>
      </c>
      <c r="BL927" s="75" t="n">
        <v>100</v>
      </c>
      <c r="BM927" s="73" t="n">
        <v>48487</v>
      </c>
      <c r="BN927" s="69" t="inlineStr">
        <is>
          <t>LCN North American Fund II REIT</t>
        </is>
      </c>
      <c r="BO927" s="69" t="inlineStr">
        <is>
          <t>UBS</t>
        </is>
      </c>
      <c r="BP927" s="69" t="inlineStr">
        <is>
          <t>Midland Loan Services</t>
        </is>
      </c>
      <c r="BQ927" s="69" t="inlineStr">
        <is>
          <t>Midland Loan Services</t>
        </is>
      </c>
      <c r="BR927" s="69" t="n"/>
      <c r="BS927" s="73" t="n">
        <v>46276</v>
      </c>
      <c r="BU927" s="76">
        <f>IF($C927="","",IFERROR(INDEX(dmName,MATCH($C927,dmID,0)),"Unmapped"))</f>
        <v/>
      </c>
      <c r="BV927" s="76">
        <f>IF($C927="","",IFERROR(INDEX(dmEntity,MATCH($C927,dmID,0)),"Unmapped"))</f>
        <v/>
      </c>
      <c r="BW927" s="77">
        <f>IF($C927="","",IFERROR(INDEX(dmVintage,MATCH($C927,dmID,0)),""))</f>
        <v/>
      </c>
      <c r="BX927" s="78">
        <f>IFERROR(INDEX(dmInclude,MATCH($C927,dmID,0)),0)</f>
        <v/>
      </c>
      <c r="BY927" s="78">
        <f>IF(N($I927)&gt;0,1,0)</f>
        <v/>
      </c>
      <c r="BZ927" s="76">
        <f>IF($AJ927="","Other / Leased Fee",IFERROR(INDEX(mapPTGroup,MATCH(LEFT(TRIM($AJ927),2),mapPTCode,0)),"Other / Leased Fee"))</f>
        <v/>
      </c>
      <c r="CA927" s="76">
        <f>IF(TRIM($AF927&amp;"")="","NR",LEFT(TRIM($AF927),2))</f>
        <v/>
      </c>
      <c r="CB927" s="76">
        <f>IFERROR(LOOKUP(2,1/(LEFT(TRIM($AI927&amp;""),LEN(mapRegion))=mapRegion),mapRegion),"Not Reported")</f>
        <v/>
      </c>
      <c r="CC927" s="76">
        <f>IF($BY927=0,"",IF(TRIM($W927&amp;"")="REO","REO",IF(TRIM($W927&amp;"")="FC","Foreclosure",IF(TRIM($W927&amp;"")="90+","90+ Days Delinquent",IF(TRIM($W927&amp;"")="60","60 Days Delinquent",IF(TRIM($W927&amp;"")="30","30 Days Delinquent",IF($X927="Non-Performing Matured Balloon","Non-Performing Matured Balloon",IF(OR($X927="Late Payment But Less Than 30 Days Delinquent",LEFT($X927&amp;"",20)="Payment Not Received"),"Late / In Grace (&lt;30 Days)",IF($X927="Performing Matured Balloon","Performing Matured Balloon","Current")))))))))</f>
        <v/>
      </c>
      <c r="CD927" s="78">
        <f>IF(OR($CC927="REO",$CC927="Foreclosure",$CC927="90+ Days Delinquent",$CC927="60 Days Delinquent",$CC927="30 Days Delinquent",$CC927="Non-Performing Matured Balloon"),1,0)</f>
        <v/>
      </c>
      <c r="CE927" s="76">
        <f>IF($AB927="Currently special serv","Currently Specially Serviced",IF($AB927="Returned to master serv","Previously Specially Serviced","Never Specially Serviced"))</f>
        <v/>
      </c>
      <c r="CF927" s="78">
        <f>IF($CE927="Currently Specially Serviced",1,0)</f>
        <v/>
      </c>
      <c r="CG927" s="76">
        <f>IF($AA927="Yes","Currently on Watchlist",IF($AA927="Previously","Previously on Watchlist","Never on Watchlist"))</f>
        <v/>
      </c>
      <c r="CH927" s="78">
        <f>IF($CG927="Currently on Watchlist",1,0)</f>
        <v/>
      </c>
      <c r="CI927" s="76">
        <f>IF($Z927="Full Defeasance","Fully Defeased",IF($Z927="Portion Of Loan Previously Defeased","Partially Defeased",IF($Z927="Defeasance Not Allowable","Not Defeased (Not Permitted)","Not Defeased")))</f>
        <v/>
      </c>
      <c r="CJ927" s="78">
        <f>IF($CI927="Fully Defeased",1,0)</f>
        <v/>
      </c>
      <c r="CK927" s="76">
        <f>IF($R927="IO","Full IO",IF(LEFT($R927&amp;"",7)="IO then","Partial IO","Amortizing"))</f>
        <v/>
      </c>
      <c r="CL927" s="78">
        <f>IF($CK927="Full IO",1,0)</f>
        <v/>
      </c>
      <c r="CM927" s="78">
        <f>IF($CK927="Partial IO",1,0)</f>
        <v/>
      </c>
      <c r="CN927" s="76">
        <f>IF(LEFT($F927&amp;"",10)="SPLIT_LOAN","Pari Passu Split","Standalone")</f>
        <v/>
      </c>
      <c r="CO927" s="78">
        <f>IF($CN927="Pari Passu Split",1,0)</f>
        <v/>
      </c>
      <c r="CP927" s="77">
        <f>IF(ISNUMBER($T927),YEAR($T927),"")</f>
        <v/>
      </c>
      <c r="CQ927" s="79">
        <f>IF(ISNUMBER($V927),$V927,IF(ISNUMBER($U927),$U927,""))</f>
        <v/>
      </c>
      <c r="CR927" s="77">
        <f>IF(ISNUMBER($CQ927),YEAR($CQ927),"")</f>
        <v/>
      </c>
      <c r="CS927" s="78">
        <f>IF(ISNUMBER($M927),MAX(0,$M927),IF(TRIM($M927&amp;"")="matured",0,""))</f>
        <v/>
      </c>
      <c r="CT927" s="78">
        <f>IF(AND(ISNUMBER($CS927),N($CS927)&lt;=mMatWindow),1,0)</f>
        <v/>
      </c>
      <c r="CU927" s="80">
        <f>IF(ISNUMBER($J927),$J927/100,"")</f>
        <v/>
      </c>
      <c r="CV927" s="81">
        <f>IF(ISNUMBER($AQ927),$AQ927,"")</f>
        <v/>
      </c>
      <c r="CW927" s="81">
        <f>IF(ISNUMBER($AR927),$AR927,"")</f>
        <v/>
      </c>
      <c r="CX927" s="82">
        <f>IF(ISNUMBER($AS927),$AS927/100,"")</f>
        <v/>
      </c>
      <c r="CY927" s="82">
        <f>IF(ISNUMBER($AT927),$AT927/100,"")</f>
        <v/>
      </c>
      <c r="CZ927" s="82">
        <f>IF(ISNUMBER($AU927),$AU927/100,"")</f>
        <v/>
      </c>
      <c r="DA927" s="82">
        <f>IF(ISNUMBER($AV927),$AV927/100,"")</f>
        <v/>
      </c>
      <c r="DB927" s="82">
        <f>IF(ISNUMBER($AW927),$AW927/100,"")</f>
        <v/>
      </c>
      <c r="DC927" s="82">
        <f>IF(ISNUMBER($AX927),$AX927/100,"")</f>
        <v/>
      </c>
      <c r="DD927" s="77">
        <f>IFERROR(VALUE(LEFT(TRIM($AO927&amp;""),4)),"")</f>
        <v/>
      </c>
      <c r="DE927" s="78">
        <f>IF(AND($BY927=1,$BX927=1,OR(fDeal="All Deals",$BU927=fDeal),OR(fEntity="All Entities",$BV927=fEntity),OR(fPType="All Property Types",$BZ927=fPType),OR(fDefeased="Include",$CJ927=0)),1,0)</f>
        <v/>
      </c>
      <c r="DF927" s="83">
        <f>$DE927*N($I927)</f>
        <v/>
      </c>
      <c r="DG927" s="78">
        <f>IF($DE927=1,IF(COUNTIFS($F$8:$F927,$F927,$DE$8:$DE927,1)=1,1,0),0)</f>
        <v/>
      </c>
      <c r="DH927" s="83">
        <f>IF($DG927=1,SUMIFS($DF$8:$DF$1600,$F$8:$F$1600,$F927),0)</f>
        <v/>
      </c>
      <c r="DI927" s="78">
        <f>IF($DG927=1,COUNTIFS($F$8:$F$1600,$F927,$DE$8:$DE$1600,1),0)</f>
        <v/>
      </c>
      <c r="DJ927" s="84">
        <f>IF($DG927=1,$DH927+(100000-ROW())/mTieBreak,0)</f>
        <v/>
      </c>
    </row>
    <row r="928">
      <c r="B928" s="68" t="n">
        <v>25</v>
      </c>
      <c r="C928" s="69" t="inlineStr">
        <is>
          <t>CCUB17C1</t>
        </is>
      </c>
      <c r="D928" s="69" t="inlineStr">
        <is>
          <t>25.000</t>
        </is>
      </c>
      <c r="E928" s="69" t="inlineStr">
        <is>
          <t>Manchester Financial Building</t>
        </is>
      </c>
      <c r="F928" s="69" t="inlineStr">
        <is>
          <t>SPLIT_LOAN_01120</t>
        </is>
      </c>
      <c r="G928" s="70" t="n">
        <v>1120</v>
      </c>
      <c r="H928" s="71" t="n">
        <v>10500000</v>
      </c>
      <c r="I928" s="71" t="n">
        <v>9421776.139996501</v>
      </c>
      <c r="J928" s="72" t="n">
        <v>4.5</v>
      </c>
      <c r="K928" s="69" t="inlineStr">
        <is>
          <t>Fixed rate</t>
        </is>
      </c>
      <c r="L928" s="68" t="n">
        <v>120</v>
      </c>
      <c r="M928" s="68" t="n">
        <v>13</v>
      </c>
      <c r="N928" s="68" t="n">
        <v>396</v>
      </c>
      <c r="O928" s="68" t="n">
        <v>36</v>
      </c>
      <c r="P928" s="68" t="n">
        <v>0</v>
      </c>
      <c r="Q928" s="68" t="n">
        <v>107</v>
      </c>
      <c r="R928" s="69" t="inlineStr">
        <is>
          <t>IO then Amort</t>
        </is>
      </c>
      <c r="S928" s="69" t="inlineStr">
        <is>
          <t>No</t>
        </is>
      </c>
      <c r="T928" s="73" t="n">
        <v>43009</v>
      </c>
      <c r="U928" s="73" t="n">
        <v>46666</v>
      </c>
      <c r="V928" s="73" t="n"/>
      <c r="W928" s="69" t="n"/>
      <c r="X928" s="69" t="inlineStr">
        <is>
          <t>Current</t>
        </is>
      </c>
      <c r="Y928" s="68" t="n"/>
      <c r="Z928" s="69" t="inlineStr">
        <is>
          <t>No Defeasance Occurred</t>
        </is>
      </c>
      <c r="AA928" s="69" t="n"/>
      <c r="AB928" s="69" t="inlineStr">
        <is>
          <t>Never special serv</t>
        </is>
      </c>
      <c r="AC928" s="73" t="n"/>
      <c r="AD928" s="69" t="n"/>
      <c r="AE928" s="69" t="n"/>
      <c r="AF928" s="69" t="inlineStr">
        <is>
          <t>CA</t>
        </is>
      </c>
      <c r="AG928" s="69" t="inlineStr">
        <is>
          <t>San Diego</t>
        </is>
      </c>
      <c r="AH928" s="69" t="inlineStr">
        <is>
          <t>San Diego-Chula Vista-Carlsbad, CA</t>
        </is>
      </c>
      <c r="AI928" s="69" t="inlineStr">
        <is>
          <t>West / Pacific South</t>
        </is>
      </c>
      <c r="AJ928" s="69" t="inlineStr">
        <is>
          <t>MX</t>
        </is>
      </c>
      <c r="AK928" s="69" t="inlineStr">
        <is>
          <t>Office/Retail</t>
        </is>
      </c>
      <c r="AL928" s="68" t="n">
        <v>1</v>
      </c>
      <c r="AM928" s="68" t="n"/>
      <c r="AN928" s="68" t="n">
        <v>77659</v>
      </c>
      <c r="AO928" s="69" t="inlineStr">
        <is>
          <t>1974</t>
        </is>
      </c>
      <c r="AP928" s="70" t="n">
        <v>2017</v>
      </c>
      <c r="AQ928" s="74" t="n">
        <v>1.4</v>
      </c>
      <c r="AR928" s="74" t="n">
        <v>1.1</v>
      </c>
      <c r="AS928" s="74" t="n">
        <v>60.7</v>
      </c>
      <c r="AT928" s="74" t="n">
        <v>54.48</v>
      </c>
      <c r="AU928" s="74" t="n">
        <v>53.1</v>
      </c>
      <c r="AV928" s="74" t="n">
        <v>8.517580391999999</v>
      </c>
      <c r="AW928" s="74" t="n">
        <v>10.060052366</v>
      </c>
      <c r="AX928" s="75" t="n">
        <v>76</v>
      </c>
      <c r="AY928" s="71" t="n">
        <v>42000000</v>
      </c>
      <c r="AZ928" s="71" t="n">
        <v>42000000</v>
      </c>
      <c r="BA928" s="71" t="n">
        <v>2171983</v>
      </c>
      <c r="BB928" s="71" t="n">
        <v>1708826.52</v>
      </c>
      <c r="BC928" s="69" t="inlineStr">
        <is>
          <t>Refinance</t>
        </is>
      </c>
      <c r="BD928" s="69" t="inlineStr">
        <is>
          <t>N</t>
        </is>
      </c>
      <c r="BE928" s="71" t="n">
        <v>13459680.2</v>
      </c>
      <c r="BF928" s="71" t="n"/>
      <c r="BG928" s="71" t="n"/>
      <c r="BH928" s="71" t="n">
        <v>0</v>
      </c>
      <c r="BI928" s="71" t="n">
        <v>0</v>
      </c>
      <c r="BJ928" s="69" t="inlineStr">
        <is>
          <t>N</t>
        </is>
      </c>
      <c r="BK928" s="69" t="inlineStr">
        <is>
          <t>Palomar Specialty Insurance Co.</t>
        </is>
      </c>
      <c r="BL928" s="75" t="n">
        <v>18.78</v>
      </c>
      <c r="BM928" s="73" t="n">
        <v>49156</v>
      </c>
      <c r="BN928" s="69" t="inlineStr">
        <is>
          <t>Douglas F. Manchester</t>
        </is>
      </c>
      <c r="BO928" s="69" t="inlineStr">
        <is>
          <t>Cantor Commercial Real Estate Lending</t>
        </is>
      </c>
      <c r="BP928" s="69" t="inlineStr">
        <is>
          <t>Midland Loan Services</t>
        </is>
      </c>
      <c r="BQ928" s="69" t="inlineStr">
        <is>
          <t>K-Star Asset Management LLC</t>
        </is>
      </c>
      <c r="BR928" s="69" t="n"/>
      <c r="BS928" s="73" t="n">
        <v>46276</v>
      </c>
      <c r="BU928" s="76">
        <f>IF($C928="","",IFERROR(INDEX(dmName,MATCH($C928,dmID,0)),"Unmapped"))</f>
        <v/>
      </c>
      <c r="BV928" s="76">
        <f>IF($C928="","",IFERROR(INDEX(dmEntity,MATCH($C928,dmID,0)),"Unmapped"))</f>
        <v/>
      </c>
      <c r="BW928" s="77">
        <f>IF($C928="","",IFERROR(INDEX(dmVintage,MATCH($C928,dmID,0)),""))</f>
        <v/>
      </c>
      <c r="BX928" s="78">
        <f>IFERROR(INDEX(dmInclude,MATCH($C928,dmID,0)),0)</f>
        <v/>
      </c>
      <c r="BY928" s="78">
        <f>IF(N($I928)&gt;0,1,0)</f>
        <v/>
      </c>
      <c r="BZ928" s="76">
        <f>IF($AJ928="","Other / Leased Fee",IFERROR(INDEX(mapPTGroup,MATCH(LEFT(TRIM($AJ928),2),mapPTCode,0)),"Other / Leased Fee"))</f>
        <v/>
      </c>
      <c r="CA928" s="76">
        <f>IF(TRIM($AF928&amp;"")="","NR",LEFT(TRIM($AF928),2))</f>
        <v/>
      </c>
      <c r="CB928" s="76">
        <f>IFERROR(LOOKUP(2,1/(LEFT(TRIM($AI928&amp;""),LEN(mapRegion))=mapRegion),mapRegion),"Not Reported")</f>
        <v/>
      </c>
      <c r="CC928" s="76">
        <f>IF($BY928=0,"",IF(TRIM($W928&amp;"")="REO","REO",IF(TRIM($W928&amp;"")="FC","Foreclosure",IF(TRIM($W928&amp;"")="90+","90+ Days Delinquent",IF(TRIM($W928&amp;"")="60","60 Days Delinquent",IF(TRIM($W928&amp;"")="30","30 Days Delinquent",IF($X928="Non-Performing Matured Balloon","Non-Performing Matured Balloon",IF(OR($X928="Late Payment But Less Than 30 Days Delinquent",LEFT($X928&amp;"",20)="Payment Not Received"),"Late / In Grace (&lt;30 Days)",IF($X928="Performing Matured Balloon","Performing Matured Balloon","Current")))))))))</f>
        <v/>
      </c>
      <c r="CD928" s="78">
        <f>IF(OR($CC928="REO",$CC928="Foreclosure",$CC928="90+ Days Delinquent",$CC928="60 Days Delinquent",$CC928="30 Days Delinquent",$CC928="Non-Performing Matured Balloon"),1,0)</f>
        <v/>
      </c>
      <c r="CE928" s="76">
        <f>IF($AB928="Currently special serv","Currently Specially Serviced",IF($AB928="Returned to master serv","Previously Specially Serviced","Never Specially Serviced"))</f>
        <v/>
      </c>
      <c r="CF928" s="78">
        <f>IF($CE928="Currently Specially Serviced",1,0)</f>
        <v/>
      </c>
      <c r="CG928" s="76">
        <f>IF($AA928="Yes","Currently on Watchlist",IF($AA928="Previously","Previously on Watchlist","Never on Watchlist"))</f>
        <v/>
      </c>
      <c r="CH928" s="78">
        <f>IF($CG928="Currently on Watchlist",1,0)</f>
        <v/>
      </c>
      <c r="CI928" s="76">
        <f>IF($Z928="Full Defeasance","Fully Defeased",IF($Z928="Portion Of Loan Previously Defeased","Partially Defeased",IF($Z928="Defeasance Not Allowable","Not Defeased (Not Permitted)","Not Defeased")))</f>
        <v/>
      </c>
      <c r="CJ928" s="78">
        <f>IF($CI928="Fully Defeased",1,0)</f>
        <v/>
      </c>
      <c r="CK928" s="76">
        <f>IF($R928="IO","Full IO",IF(LEFT($R928&amp;"",7)="IO then","Partial IO","Amortizing"))</f>
        <v/>
      </c>
      <c r="CL928" s="78">
        <f>IF($CK928="Full IO",1,0)</f>
        <v/>
      </c>
      <c r="CM928" s="78">
        <f>IF($CK928="Partial IO",1,0)</f>
        <v/>
      </c>
      <c r="CN928" s="76">
        <f>IF(LEFT($F928&amp;"",10)="SPLIT_LOAN","Pari Passu Split","Standalone")</f>
        <v/>
      </c>
      <c r="CO928" s="78">
        <f>IF($CN928="Pari Passu Split",1,0)</f>
        <v/>
      </c>
      <c r="CP928" s="77">
        <f>IF(ISNUMBER($T928),YEAR($T928),"")</f>
        <v/>
      </c>
      <c r="CQ928" s="79">
        <f>IF(ISNUMBER($V928),$V928,IF(ISNUMBER($U928),$U928,""))</f>
        <v/>
      </c>
      <c r="CR928" s="77">
        <f>IF(ISNUMBER($CQ928),YEAR($CQ928),"")</f>
        <v/>
      </c>
      <c r="CS928" s="78">
        <f>IF(ISNUMBER($M928),MAX(0,$M928),IF(TRIM($M928&amp;"")="matured",0,""))</f>
        <v/>
      </c>
      <c r="CT928" s="78">
        <f>IF(AND(ISNUMBER($CS928),N($CS928)&lt;=mMatWindow),1,0)</f>
        <v/>
      </c>
      <c r="CU928" s="80">
        <f>IF(ISNUMBER($J928),$J928/100,"")</f>
        <v/>
      </c>
      <c r="CV928" s="81">
        <f>IF(ISNUMBER($AQ928),$AQ928,"")</f>
        <v/>
      </c>
      <c r="CW928" s="81">
        <f>IF(ISNUMBER($AR928),$AR928,"")</f>
        <v/>
      </c>
      <c r="CX928" s="82">
        <f>IF(ISNUMBER($AS928),$AS928/100,"")</f>
        <v/>
      </c>
      <c r="CY928" s="82">
        <f>IF(ISNUMBER($AT928),$AT928/100,"")</f>
        <v/>
      </c>
      <c r="CZ928" s="82">
        <f>IF(ISNUMBER($AU928),$AU928/100,"")</f>
        <v/>
      </c>
      <c r="DA928" s="82">
        <f>IF(ISNUMBER($AV928),$AV928/100,"")</f>
        <v/>
      </c>
      <c r="DB928" s="82">
        <f>IF(ISNUMBER($AW928),$AW928/100,"")</f>
        <v/>
      </c>
      <c r="DC928" s="82">
        <f>IF(ISNUMBER($AX928),$AX928/100,"")</f>
        <v/>
      </c>
      <c r="DD928" s="77">
        <f>IFERROR(VALUE(LEFT(TRIM($AO928&amp;""),4)),"")</f>
        <v/>
      </c>
      <c r="DE928" s="78">
        <f>IF(AND($BY928=1,$BX928=1,OR(fDeal="All Deals",$BU928=fDeal),OR(fEntity="All Entities",$BV928=fEntity),OR(fPType="All Property Types",$BZ928=fPType),OR(fDefeased="Include",$CJ928=0)),1,0)</f>
        <v/>
      </c>
      <c r="DF928" s="83">
        <f>$DE928*N($I928)</f>
        <v/>
      </c>
      <c r="DG928" s="78">
        <f>IF($DE928=1,IF(COUNTIFS($F$8:$F928,$F928,$DE$8:$DE928,1)=1,1,0),0)</f>
        <v/>
      </c>
      <c r="DH928" s="83">
        <f>IF($DG928=1,SUMIFS($DF$8:$DF$1600,$F$8:$F$1600,$F928),0)</f>
        <v/>
      </c>
      <c r="DI928" s="78">
        <f>IF($DG928=1,COUNTIFS($F$8:$F$1600,$F928,$DE$8:$DE$1600,1),0)</f>
        <v/>
      </c>
      <c r="DJ928" s="84">
        <f>IF($DG928=1,$DH928+(100000-ROW())/mTieBreak,0)</f>
        <v/>
      </c>
    </row>
    <row r="929">
      <c r="B929" s="68" t="n">
        <v>26</v>
      </c>
      <c r="C929" s="69" t="inlineStr">
        <is>
          <t>CCUB17C1</t>
        </is>
      </c>
      <c r="D929" s="69" t="inlineStr">
        <is>
          <t>26.000</t>
        </is>
      </c>
      <c r="E929" s="69" t="inlineStr">
        <is>
          <t>Rimrock Crossing</t>
        </is>
      </c>
      <c r="F929" s="69" t="inlineStr">
        <is>
          <t>LNCCUB17C1-26.000</t>
        </is>
      </c>
      <c r="G929" s="70" t="n"/>
      <c r="H929" s="71" t="n">
        <v>9750000</v>
      </c>
      <c r="I929" s="71" t="n">
        <v>9750000</v>
      </c>
      <c r="J929" s="72" t="n">
        <v>4.5167</v>
      </c>
      <c r="K929" s="69" t="inlineStr">
        <is>
          <t>Fixed rate</t>
        </is>
      </c>
      <c r="L929" s="68" t="n">
        <v>120</v>
      </c>
      <c r="M929" s="68" t="n">
        <v>14</v>
      </c>
      <c r="N929" s="68" t="n">
        <v>120</v>
      </c>
      <c r="O929" s="68" t="n">
        <v>120</v>
      </c>
      <c r="P929" s="68" t="n">
        <v>14</v>
      </c>
      <c r="Q929" s="68" t="n">
        <v>106</v>
      </c>
      <c r="R929" s="69" t="inlineStr">
        <is>
          <t>IO</t>
        </is>
      </c>
      <c r="S929" s="69" t="inlineStr">
        <is>
          <t>Yes</t>
        </is>
      </c>
      <c r="T929" s="73" t="n">
        <v>43040</v>
      </c>
      <c r="U929" s="73" t="n">
        <v>46697</v>
      </c>
      <c r="V929" s="73" t="n"/>
      <c r="W929" s="69" t="n"/>
      <c r="X929" s="69" t="inlineStr">
        <is>
          <t>Current</t>
        </is>
      </c>
      <c r="Y929" s="68" t="n"/>
      <c r="Z929" s="69" t="inlineStr">
        <is>
          <t>Defeasance Not Allowable</t>
        </is>
      </c>
      <c r="AA929" s="69" t="inlineStr">
        <is>
          <t>Previously</t>
        </is>
      </c>
      <c r="AB929" s="69" t="inlineStr">
        <is>
          <t>Never special serv</t>
        </is>
      </c>
      <c r="AC929" s="73" t="n"/>
      <c r="AD929" s="69" t="n"/>
      <c r="AE929" s="69" t="n"/>
      <c r="AF929" s="69" t="inlineStr">
        <is>
          <t>CO</t>
        </is>
      </c>
      <c r="AG929" s="69" t="inlineStr">
        <is>
          <t>Grand Junction</t>
        </is>
      </c>
      <c r="AH929" s="69" t="inlineStr">
        <is>
          <t>Grand Junction, CO</t>
        </is>
      </c>
      <c r="AI929" s="69" t="inlineStr">
        <is>
          <t>West / Mountain</t>
        </is>
      </c>
      <c r="AJ929" s="69" t="inlineStr">
        <is>
          <t>RT</t>
        </is>
      </c>
      <c r="AK929" s="69" t="inlineStr">
        <is>
          <t>Anchored</t>
        </is>
      </c>
      <c r="AL929" s="68" t="n">
        <v>1</v>
      </c>
      <c r="AM929" s="68" t="n"/>
      <c r="AN929" s="68" t="n">
        <v>84163</v>
      </c>
      <c r="AO929" s="69" t="inlineStr">
        <is>
          <t>2011</t>
        </is>
      </c>
      <c r="AP929" s="70" t="n">
        <v>2011</v>
      </c>
      <c r="AQ929" s="74" t="n">
        <v>2.1</v>
      </c>
      <c r="AR929" s="74" t="n">
        <v>2.37</v>
      </c>
      <c r="AS929" s="74" t="n">
        <v>62.4</v>
      </c>
      <c r="AT929" s="74" t="n">
        <v>62.38</v>
      </c>
      <c r="AU929" s="74" t="n">
        <v>62.4</v>
      </c>
      <c r="AV929" s="74" t="n">
        <v>9.625117949</v>
      </c>
      <c r="AW929" s="74" t="n">
        <v>9.860660718</v>
      </c>
      <c r="AX929" s="75" t="n">
        <v>100</v>
      </c>
      <c r="AY929" s="71" t="n">
        <v>15630000</v>
      </c>
      <c r="AZ929" s="71" t="n">
        <v>15630000</v>
      </c>
      <c r="BA929" s="71" t="n">
        <v>938449</v>
      </c>
      <c r="BB929" s="71" t="n">
        <v>1059230.5</v>
      </c>
      <c r="BC929" s="69" t="inlineStr">
        <is>
          <t>Refinance</t>
        </is>
      </c>
      <c r="BD929" s="69" t="inlineStr">
        <is>
          <t>N</t>
        </is>
      </c>
      <c r="BE929" s="71" t="n"/>
      <c r="BF929" s="71" t="n"/>
      <c r="BG929" s="71" t="n"/>
      <c r="BH929" s="71" t="n">
        <v>0</v>
      </c>
      <c r="BI929" s="71" t="n">
        <v>0</v>
      </c>
      <c r="BJ929" s="69" t="inlineStr">
        <is>
          <t>N</t>
        </is>
      </c>
      <c r="BK929" s="69" t="inlineStr">
        <is>
          <t>Hobby Lobby</t>
        </is>
      </c>
      <c r="BL929" s="75" t="n">
        <v>66.73</v>
      </c>
      <c r="BM929" s="73" t="n">
        <v>47999</v>
      </c>
      <c r="BN929" s="69" t="inlineStr">
        <is>
          <t>Enos Stanley Kroenke</t>
        </is>
      </c>
      <c r="BO929" s="69" t="inlineStr">
        <is>
          <t>UBS</t>
        </is>
      </c>
      <c r="BP929" s="69" t="inlineStr">
        <is>
          <t>Midland Loan Services</t>
        </is>
      </c>
      <c r="BQ929" s="69" t="inlineStr">
        <is>
          <t>Midland Loan Services</t>
        </is>
      </c>
      <c r="BR929" s="69" t="n"/>
      <c r="BS929" s="73" t="n">
        <v>46276</v>
      </c>
      <c r="BU929" s="76">
        <f>IF($C929="","",IFERROR(INDEX(dmName,MATCH($C929,dmID,0)),"Unmapped"))</f>
        <v/>
      </c>
      <c r="BV929" s="76">
        <f>IF($C929="","",IFERROR(INDEX(dmEntity,MATCH($C929,dmID,0)),"Unmapped"))</f>
        <v/>
      </c>
      <c r="BW929" s="77">
        <f>IF($C929="","",IFERROR(INDEX(dmVintage,MATCH($C929,dmID,0)),""))</f>
        <v/>
      </c>
      <c r="BX929" s="78">
        <f>IFERROR(INDEX(dmInclude,MATCH($C929,dmID,0)),0)</f>
        <v/>
      </c>
      <c r="BY929" s="78">
        <f>IF(N($I929)&gt;0,1,0)</f>
        <v/>
      </c>
      <c r="BZ929" s="76">
        <f>IF($AJ929="","Other / Leased Fee",IFERROR(INDEX(mapPTGroup,MATCH(LEFT(TRIM($AJ929),2),mapPTCode,0)),"Other / Leased Fee"))</f>
        <v/>
      </c>
      <c r="CA929" s="76">
        <f>IF(TRIM($AF929&amp;"")="","NR",LEFT(TRIM($AF929),2))</f>
        <v/>
      </c>
      <c r="CB929" s="76">
        <f>IFERROR(LOOKUP(2,1/(LEFT(TRIM($AI929&amp;""),LEN(mapRegion))=mapRegion),mapRegion),"Not Reported")</f>
        <v/>
      </c>
      <c r="CC929" s="76">
        <f>IF($BY929=0,"",IF(TRIM($W929&amp;"")="REO","REO",IF(TRIM($W929&amp;"")="FC","Foreclosure",IF(TRIM($W929&amp;"")="90+","90+ Days Delinquent",IF(TRIM($W929&amp;"")="60","60 Days Delinquent",IF(TRIM($W929&amp;"")="30","30 Days Delinquent",IF($X929="Non-Performing Matured Balloon","Non-Performing Matured Balloon",IF(OR($X929="Late Payment But Less Than 30 Days Delinquent",LEFT($X929&amp;"",20)="Payment Not Received"),"Late / In Grace (&lt;30 Days)",IF($X929="Performing Matured Balloon","Performing Matured Balloon","Current")))))))))</f>
        <v/>
      </c>
      <c r="CD929" s="78">
        <f>IF(OR($CC929="REO",$CC929="Foreclosure",$CC929="90+ Days Delinquent",$CC929="60 Days Delinquent",$CC929="30 Days Delinquent",$CC929="Non-Performing Matured Balloon"),1,0)</f>
        <v/>
      </c>
      <c r="CE929" s="76">
        <f>IF($AB929="Currently special serv","Currently Specially Serviced",IF($AB929="Returned to master serv","Previously Specially Serviced","Never Specially Serviced"))</f>
        <v/>
      </c>
      <c r="CF929" s="78">
        <f>IF($CE929="Currently Specially Serviced",1,0)</f>
        <v/>
      </c>
      <c r="CG929" s="76">
        <f>IF($AA929="Yes","Currently on Watchlist",IF($AA929="Previously","Previously on Watchlist","Never on Watchlist"))</f>
        <v/>
      </c>
      <c r="CH929" s="78">
        <f>IF($CG929="Currently on Watchlist",1,0)</f>
        <v/>
      </c>
      <c r="CI929" s="76">
        <f>IF($Z929="Full Defeasance","Fully Defeased",IF($Z929="Portion Of Loan Previously Defeased","Partially Defeased",IF($Z929="Defeasance Not Allowable","Not Defeased (Not Permitted)","Not Defeased")))</f>
        <v/>
      </c>
      <c r="CJ929" s="78">
        <f>IF($CI929="Fully Defeased",1,0)</f>
        <v/>
      </c>
      <c r="CK929" s="76">
        <f>IF($R929="IO","Full IO",IF(LEFT($R929&amp;"",7)="IO then","Partial IO","Amortizing"))</f>
        <v/>
      </c>
      <c r="CL929" s="78">
        <f>IF($CK929="Full IO",1,0)</f>
        <v/>
      </c>
      <c r="CM929" s="78">
        <f>IF($CK929="Partial IO",1,0)</f>
        <v/>
      </c>
      <c r="CN929" s="76">
        <f>IF(LEFT($F929&amp;"",10)="SPLIT_LOAN","Pari Passu Split","Standalone")</f>
        <v/>
      </c>
      <c r="CO929" s="78">
        <f>IF($CN929="Pari Passu Split",1,0)</f>
        <v/>
      </c>
      <c r="CP929" s="77">
        <f>IF(ISNUMBER($T929),YEAR($T929),"")</f>
        <v/>
      </c>
      <c r="CQ929" s="79">
        <f>IF(ISNUMBER($V929),$V929,IF(ISNUMBER($U929),$U929,""))</f>
        <v/>
      </c>
      <c r="CR929" s="77">
        <f>IF(ISNUMBER($CQ929),YEAR($CQ929),"")</f>
        <v/>
      </c>
      <c r="CS929" s="78">
        <f>IF(ISNUMBER($M929),MAX(0,$M929),IF(TRIM($M929&amp;"")="matured",0,""))</f>
        <v/>
      </c>
      <c r="CT929" s="78">
        <f>IF(AND(ISNUMBER($CS929),N($CS929)&lt;=mMatWindow),1,0)</f>
        <v/>
      </c>
      <c r="CU929" s="80">
        <f>IF(ISNUMBER($J929),$J929/100,"")</f>
        <v/>
      </c>
      <c r="CV929" s="81">
        <f>IF(ISNUMBER($AQ929),$AQ929,"")</f>
        <v/>
      </c>
      <c r="CW929" s="81">
        <f>IF(ISNUMBER($AR929),$AR929,"")</f>
        <v/>
      </c>
      <c r="CX929" s="82">
        <f>IF(ISNUMBER($AS929),$AS929/100,"")</f>
        <v/>
      </c>
      <c r="CY929" s="82">
        <f>IF(ISNUMBER($AT929),$AT929/100,"")</f>
        <v/>
      </c>
      <c r="CZ929" s="82">
        <f>IF(ISNUMBER($AU929),$AU929/100,"")</f>
        <v/>
      </c>
      <c r="DA929" s="82">
        <f>IF(ISNUMBER($AV929),$AV929/100,"")</f>
        <v/>
      </c>
      <c r="DB929" s="82">
        <f>IF(ISNUMBER($AW929),$AW929/100,"")</f>
        <v/>
      </c>
      <c r="DC929" s="82">
        <f>IF(ISNUMBER($AX929),$AX929/100,"")</f>
        <v/>
      </c>
      <c r="DD929" s="77">
        <f>IFERROR(VALUE(LEFT(TRIM($AO929&amp;""),4)),"")</f>
        <v/>
      </c>
      <c r="DE929" s="78">
        <f>IF(AND($BY929=1,$BX929=1,OR(fDeal="All Deals",$BU929=fDeal),OR(fEntity="All Entities",$BV929=fEntity),OR(fPType="All Property Types",$BZ929=fPType),OR(fDefeased="Include",$CJ929=0)),1,0)</f>
        <v/>
      </c>
      <c r="DF929" s="83">
        <f>$DE929*N($I929)</f>
        <v/>
      </c>
      <c r="DG929" s="78">
        <f>IF($DE929=1,IF(COUNTIFS($F$8:$F929,$F929,$DE$8:$DE929,1)=1,1,0),0)</f>
        <v/>
      </c>
      <c r="DH929" s="83">
        <f>IF($DG929=1,SUMIFS($DF$8:$DF$1600,$F$8:$F$1600,$F929),0)</f>
        <v/>
      </c>
      <c r="DI929" s="78">
        <f>IF($DG929=1,COUNTIFS($F$8:$F$1600,$F929,$DE$8:$DE$1600,1),0)</f>
        <v/>
      </c>
      <c r="DJ929" s="84">
        <f>IF($DG929=1,$DH929+(100000-ROW())/mTieBreak,0)</f>
        <v/>
      </c>
    </row>
    <row r="930">
      <c r="B930" s="68" t="n">
        <v>27</v>
      </c>
      <c r="C930" s="69" t="inlineStr">
        <is>
          <t>CCUB17C1</t>
        </is>
      </c>
      <c r="D930" s="69" t="inlineStr">
        <is>
          <t>27.000</t>
        </is>
      </c>
      <c r="E930" s="69" t="inlineStr">
        <is>
          <t>Walgreens Santee</t>
        </is>
      </c>
      <c r="F930" s="69" t="inlineStr">
        <is>
          <t>LNCCUB17C1-27.000</t>
        </is>
      </c>
      <c r="G930" s="70" t="n"/>
      <c r="H930" s="71" t="n">
        <v>6105000</v>
      </c>
      <c r="I930" s="71" t="n">
        <v>0</v>
      </c>
      <c r="J930" s="72" t="n">
        <v>4.3</v>
      </c>
      <c r="K930" s="69" t="inlineStr">
        <is>
          <t>Fixed rate</t>
        </is>
      </c>
      <c r="L930" s="68" t="n">
        <v>120</v>
      </c>
      <c r="M930" s="68" t="n"/>
      <c r="N930" s="68" t="n">
        <v>120</v>
      </c>
      <c r="O930" s="68" t="n">
        <v>120</v>
      </c>
      <c r="P930" s="68" t="n"/>
      <c r="Q930" s="68" t="n"/>
      <c r="R930" s="69" t="inlineStr">
        <is>
          <t>IO</t>
        </is>
      </c>
      <c r="S930" s="69" t="inlineStr">
        <is>
          <t>Yes</t>
        </is>
      </c>
      <c r="T930" s="73" t="n">
        <v>42948</v>
      </c>
      <c r="U930" s="73" t="n">
        <v>46605</v>
      </c>
      <c r="V930" s="73" t="n"/>
      <c r="W930" s="69" t="n"/>
      <c r="X930" s="69" t="inlineStr">
        <is>
          <t>Current</t>
        </is>
      </c>
      <c r="Y930" s="68" t="n"/>
      <c r="Z930" s="69" t="inlineStr">
        <is>
          <t>Defeasance Not Allowable</t>
        </is>
      </c>
      <c r="AA930" s="69" t="inlineStr">
        <is>
          <t>Previously</t>
        </is>
      </c>
      <c r="AB930" s="69" t="inlineStr">
        <is>
          <t>Never special serv</t>
        </is>
      </c>
      <c r="AC930" s="73" t="n"/>
      <c r="AD930" s="69" t="n"/>
      <c r="AE930" s="69" t="n"/>
      <c r="AF930" s="69" t="inlineStr">
        <is>
          <t>CA</t>
        </is>
      </c>
      <c r="AG930" s="69" t="inlineStr">
        <is>
          <t>Santee</t>
        </is>
      </c>
      <c r="AH930" s="69" t="inlineStr">
        <is>
          <t>San Diego-Chula Vista-Carlsbad, CA</t>
        </is>
      </c>
      <c r="AI930" s="69" t="inlineStr">
        <is>
          <t>West / Pacific South</t>
        </is>
      </c>
      <c r="AJ930" s="69" t="inlineStr">
        <is>
          <t>RT</t>
        </is>
      </c>
      <c r="AK930" s="69" t="inlineStr">
        <is>
          <t>Single Tenant</t>
        </is>
      </c>
      <c r="AL930" s="68" t="n">
        <v>1</v>
      </c>
      <c r="AM930" s="68" t="n"/>
      <c r="AN930" s="68" t="n">
        <v>13666</v>
      </c>
      <c r="AO930" s="69" t="inlineStr">
        <is>
          <t>2008</t>
        </is>
      </c>
      <c r="AP930" s="70" t="n">
        <v>2008</v>
      </c>
      <c r="AQ930" s="74" t="n">
        <v>2.03</v>
      </c>
      <c r="AR930" s="74" t="n">
        <v>2.16</v>
      </c>
      <c r="AS930" s="74" t="n">
        <v>55</v>
      </c>
      <c r="AT930" s="74" t="n"/>
      <c r="AU930" s="74" t="n">
        <v>55</v>
      </c>
      <c r="AV930" s="74" t="n">
        <v>8.856052416000001</v>
      </c>
      <c r="AW930" s="74" t="n"/>
      <c r="AX930" s="75" t="n">
        <v>100</v>
      </c>
      <c r="AY930" s="71" t="n">
        <v>11100000</v>
      </c>
      <c r="AZ930" s="71" t="n">
        <v>11100000</v>
      </c>
      <c r="BA930" s="71" t="n">
        <v>540662</v>
      </c>
      <c r="BB930" s="71" t="n">
        <v>143751</v>
      </c>
      <c r="BC930" s="69" t="inlineStr">
        <is>
          <t>Acquisition</t>
        </is>
      </c>
      <c r="BD930" s="69" t="inlineStr">
        <is>
          <t>N</t>
        </is>
      </c>
      <c r="BE930" s="71" t="n"/>
      <c r="BF930" s="71" t="n"/>
      <c r="BG930" s="71" t="n"/>
      <c r="BH930" s="71" t="n">
        <v>0</v>
      </c>
      <c r="BI930" s="71" t="n">
        <v>0</v>
      </c>
      <c r="BJ930" s="69" t="inlineStr">
        <is>
          <t>N</t>
        </is>
      </c>
      <c r="BK930" s="69" t="inlineStr">
        <is>
          <t>Walgreens</t>
        </is>
      </c>
      <c r="BL930" s="75" t="n">
        <v>100</v>
      </c>
      <c r="BM930" s="73" t="n">
        <v>48395</v>
      </c>
      <c r="BN930" s="69" t="inlineStr">
        <is>
          <t>Martin Shapiro and Linda Chase</t>
        </is>
      </c>
      <c r="BO930" s="69" t="inlineStr">
        <is>
          <t>Cantor Commercial Real Estate Lending</t>
        </is>
      </c>
      <c r="BP930" s="69" t="inlineStr">
        <is>
          <t>Midland Loan Services</t>
        </is>
      </c>
      <c r="BQ930" s="69" t="inlineStr">
        <is>
          <t>Midland Loan Services</t>
        </is>
      </c>
      <c r="BR930" s="69" t="inlineStr">
        <is>
          <t>Payoff With Yield Maintenance</t>
        </is>
      </c>
      <c r="BS930" s="73" t="n">
        <v>45727</v>
      </c>
      <c r="BU930" s="76">
        <f>IF($C930="","",IFERROR(INDEX(dmName,MATCH($C930,dmID,0)),"Unmapped"))</f>
        <v/>
      </c>
      <c r="BV930" s="76">
        <f>IF($C930="","",IFERROR(INDEX(dmEntity,MATCH($C930,dmID,0)),"Unmapped"))</f>
        <v/>
      </c>
      <c r="BW930" s="77">
        <f>IF($C930="","",IFERROR(INDEX(dmVintage,MATCH($C930,dmID,0)),""))</f>
        <v/>
      </c>
      <c r="BX930" s="78">
        <f>IFERROR(INDEX(dmInclude,MATCH($C930,dmID,0)),0)</f>
        <v/>
      </c>
      <c r="BY930" s="78">
        <f>IF(N($I930)&gt;0,1,0)</f>
        <v/>
      </c>
      <c r="BZ930" s="76">
        <f>IF($AJ930="","Other / Leased Fee",IFERROR(INDEX(mapPTGroup,MATCH(LEFT(TRIM($AJ930),2),mapPTCode,0)),"Other / Leased Fee"))</f>
        <v/>
      </c>
      <c r="CA930" s="76">
        <f>IF(TRIM($AF930&amp;"")="","NR",LEFT(TRIM($AF930),2))</f>
        <v/>
      </c>
      <c r="CB930" s="76">
        <f>IFERROR(LOOKUP(2,1/(LEFT(TRIM($AI930&amp;""),LEN(mapRegion))=mapRegion),mapRegion),"Not Reported")</f>
        <v/>
      </c>
      <c r="CC930" s="76">
        <f>IF($BY930=0,"",IF(TRIM($W930&amp;"")="REO","REO",IF(TRIM($W930&amp;"")="FC","Foreclosure",IF(TRIM($W930&amp;"")="90+","90+ Days Delinquent",IF(TRIM($W930&amp;"")="60","60 Days Delinquent",IF(TRIM($W930&amp;"")="30","30 Days Delinquent",IF($X930="Non-Performing Matured Balloon","Non-Performing Matured Balloon",IF(OR($X930="Late Payment But Less Than 30 Days Delinquent",LEFT($X930&amp;"",20)="Payment Not Received"),"Late / In Grace (&lt;30 Days)",IF($X930="Performing Matured Balloon","Performing Matured Balloon","Current")))))))))</f>
        <v/>
      </c>
      <c r="CD930" s="78">
        <f>IF(OR($CC930="REO",$CC930="Foreclosure",$CC930="90+ Days Delinquent",$CC930="60 Days Delinquent",$CC930="30 Days Delinquent",$CC930="Non-Performing Matured Balloon"),1,0)</f>
        <v/>
      </c>
      <c r="CE930" s="76">
        <f>IF($AB930="Currently special serv","Currently Specially Serviced",IF($AB930="Returned to master serv","Previously Specially Serviced","Never Specially Serviced"))</f>
        <v/>
      </c>
      <c r="CF930" s="78">
        <f>IF($CE930="Currently Specially Serviced",1,0)</f>
        <v/>
      </c>
      <c r="CG930" s="76">
        <f>IF($AA930="Yes","Currently on Watchlist",IF($AA930="Previously","Previously on Watchlist","Never on Watchlist"))</f>
        <v/>
      </c>
      <c r="CH930" s="78">
        <f>IF($CG930="Currently on Watchlist",1,0)</f>
        <v/>
      </c>
      <c r="CI930" s="76">
        <f>IF($Z930="Full Defeasance","Fully Defeased",IF($Z930="Portion Of Loan Previously Defeased","Partially Defeased",IF($Z930="Defeasance Not Allowable","Not Defeased (Not Permitted)","Not Defeased")))</f>
        <v/>
      </c>
      <c r="CJ930" s="78">
        <f>IF($CI930="Fully Defeased",1,0)</f>
        <v/>
      </c>
      <c r="CK930" s="76">
        <f>IF($R930="IO","Full IO",IF(LEFT($R930&amp;"",7)="IO then","Partial IO","Amortizing"))</f>
        <v/>
      </c>
      <c r="CL930" s="78">
        <f>IF($CK930="Full IO",1,0)</f>
        <v/>
      </c>
      <c r="CM930" s="78">
        <f>IF($CK930="Partial IO",1,0)</f>
        <v/>
      </c>
      <c r="CN930" s="76">
        <f>IF(LEFT($F930&amp;"",10)="SPLIT_LOAN","Pari Passu Split","Standalone")</f>
        <v/>
      </c>
      <c r="CO930" s="78">
        <f>IF($CN930="Pari Passu Split",1,0)</f>
        <v/>
      </c>
      <c r="CP930" s="77">
        <f>IF(ISNUMBER($T930),YEAR($T930),"")</f>
        <v/>
      </c>
      <c r="CQ930" s="79">
        <f>IF(ISNUMBER($V930),$V930,IF(ISNUMBER($U930),$U930,""))</f>
        <v/>
      </c>
      <c r="CR930" s="77">
        <f>IF(ISNUMBER($CQ930),YEAR($CQ930),"")</f>
        <v/>
      </c>
      <c r="CS930" s="78">
        <f>IF(ISNUMBER($M930),MAX(0,$M930),IF(TRIM($M930&amp;"")="matured",0,""))</f>
        <v/>
      </c>
      <c r="CT930" s="78">
        <f>IF(AND(ISNUMBER($CS930),N($CS930)&lt;=mMatWindow),1,0)</f>
        <v/>
      </c>
      <c r="CU930" s="80">
        <f>IF(ISNUMBER($J930),$J930/100,"")</f>
        <v/>
      </c>
      <c r="CV930" s="81">
        <f>IF(ISNUMBER($AQ930),$AQ930,"")</f>
        <v/>
      </c>
      <c r="CW930" s="81">
        <f>IF(ISNUMBER($AR930),$AR930,"")</f>
        <v/>
      </c>
      <c r="CX930" s="82">
        <f>IF(ISNUMBER($AS930),$AS930/100,"")</f>
        <v/>
      </c>
      <c r="CY930" s="82">
        <f>IF(ISNUMBER($AT930),$AT930/100,"")</f>
        <v/>
      </c>
      <c r="CZ930" s="82">
        <f>IF(ISNUMBER($AU930),$AU930/100,"")</f>
        <v/>
      </c>
      <c r="DA930" s="82">
        <f>IF(ISNUMBER($AV930),$AV930/100,"")</f>
        <v/>
      </c>
      <c r="DB930" s="82">
        <f>IF(ISNUMBER($AW930),$AW930/100,"")</f>
        <v/>
      </c>
      <c r="DC930" s="82">
        <f>IF(ISNUMBER($AX930),$AX930/100,"")</f>
        <v/>
      </c>
      <c r="DD930" s="77">
        <f>IFERROR(VALUE(LEFT(TRIM($AO930&amp;""),4)),"")</f>
        <v/>
      </c>
      <c r="DE930" s="78">
        <f>IF(AND($BY930=1,$BX930=1,OR(fDeal="All Deals",$BU930=fDeal),OR(fEntity="All Entities",$BV930=fEntity),OR(fPType="All Property Types",$BZ930=fPType),OR(fDefeased="Include",$CJ930=0)),1,0)</f>
        <v/>
      </c>
      <c r="DF930" s="83">
        <f>$DE930*N($I930)</f>
        <v/>
      </c>
      <c r="DG930" s="78">
        <f>IF($DE930=1,IF(COUNTIFS($F$8:$F930,$F930,$DE$8:$DE930,1)=1,1,0),0)</f>
        <v/>
      </c>
      <c r="DH930" s="83">
        <f>IF($DG930=1,SUMIFS($DF$8:$DF$1600,$F$8:$F$1600,$F930),0)</f>
        <v/>
      </c>
      <c r="DI930" s="78">
        <f>IF($DG930=1,COUNTIFS($F$8:$F$1600,$F930,$DE$8:$DE$1600,1),0)</f>
        <v/>
      </c>
      <c r="DJ930" s="84">
        <f>IF($DG930=1,$DH930+(100000-ROW())/mTieBreak,0)</f>
        <v/>
      </c>
    </row>
    <row r="931">
      <c r="B931" s="68" t="n">
        <v>28</v>
      </c>
      <c r="C931" s="69" t="inlineStr">
        <is>
          <t>CCUB17C1</t>
        </is>
      </c>
      <c r="D931" s="69" t="inlineStr">
        <is>
          <t>28.000</t>
        </is>
      </c>
      <c r="E931" s="69" t="inlineStr">
        <is>
          <t>Kohl's Reno</t>
        </is>
      </c>
      <c r="F931" s="69" t="inlineStr">
        <is>
          <t>LNCCUB17C1-28.000</t>
        </is>
      </c>
      <c r="G931" s="70" t="n"/>
      <c r="H931" s="71" t="n">
        <v>6075000</v>
      </c>
      <c r="I931" s="71" t="n">
        <v>5049414.7499997</v>
      </c>
      <c r="J931" s="72" t="n">
        <v>4.4</v>
      </c>
      <c r="K931" s="69" t="inlineStr">
        <is>
          <t>Fixed rate</t>
        </is>
      </c>
      <c r="L931" s="68" t="n">
        <v>120</v>
      </c>
      <c r="M931" s="68" t="n">
        <v>13</v>
      </c>
      <c r="N931" s="68" t="n">
        <v>360</v>
      </c>
      <c r="O931" s="68" t="n"/>
      <c r="P931" s="68" t="n"/>
      <c r="Q931" s="68" t="n">
        <v>107</v>
      </c>
      <c r="R931" s="69" t="n"/>
      <c r="S931" s="69" t="inlineStr">
        <is>
          <t>No</t>
        </is>
      </c>
      <c r="T931" s="73" t="n">
        <v>43009</v>
      </c>
      <c r="U931" s="73" t="n">
        <v>46666</v>
      </c>
      <c r="V931" s="73" t="n"/>
      <c r="W931" s="69" t="n"/>
      <c r="X931" s="69" t="inlineStr">
        <is>
          <t>Current</t>
        </is>
      </c>
      <c r="Y931" s="68" t="n"/>
      <c r="Z931" s="69" t="inlineStr">
        <is>
          <t>No Defeasance Occurred</t>
        </is>
      </c>
      <c r="AA931" s="69" t="inlineStr">
        <is>
          <t>Yes</t>
        </is>
      </c>
      <c r="AB931" s="69" t="inlineStr">
        <is>
          <t>Never special serv</t>
        </is>
      </c>
      <c r="AC931" s="73" t="n"/>
      <c r="AD931" s="69" t="n"/>
      <c r="AE931" s="69" t="n"/>
      <c r="AF931" s="69" t="inlineStr">
        <is>
          <t>NV</t>
        </is>
      </c>
      <c r="AG931" s="69" t="inlineStr">
        <is>
          <t>Reno</t>
        </is>
      </c>
      <c r="AH931" s="69" t="inlineStr">
        <is>
          <t>Reno, NV</t>
        </is>
      </c>
      <c r="AI931" s="69" t="inlineStr">
        <is>
          <t>West / Mountain</t>
        </is>
      </c>
      <c r="AJ931" s="69" t="inlineStr">
        <is>
          <t>RT</t>
        </is>
      </c>
      <c r="AK931" s="69" t="inlineStr">
        <is>
          <t>Single Tenant</t>
        </is>
      </c>
      <c r="AL931" s="68" t="n">
        <v>1</v>
      </c>
      <c r="AM931" s="68" t="n"/>
      <c r="AN931" s="68" t="n">
        <v>94385</v>
      </c>
      <c r="AO931" s="69" t="inlineStr">
        <is>
          <t>1990</t>
        </is>
      </c>
      <c r="AP931" s="70" t="n">
        <v>2007</v>
      </c>
      <c r="AQ931" s="74" t="n">
        <v>1.83</v>
      </c>
      <c r="AR931" s="74" t="n">
        <v>1.32</v>
      </c>
      <c r="AS931" s="74" t="n">
        <v>64.89</v>
      </c>
      <c r="AT931" s="74" t="n">
        <v>54</v>
      </c>
      <c r="AU931" s="74" t="n">
        <v>52.3</v>
      </c>
      <c r="AV931" s="74" t="n">
        <v>11.024888889</v>
      </c>
      <c r="AW931" s="74" t="n">
        <v>9.636386474</v>
      </c>
      <c r="AX931" s="75" t="n">
        <v>100</v>
      </c>
      <c r="AY931" s="71" t="n">
        <v>9350000</v>
      </c>
      <c r="AZ931" s="71" t="n">
        <v>9350000</v>
      </c>
      <c r="BA931" s="71" t="n">
        <v>669762</v>
      </c>
      <c r="BB931" s="71" t="n">
        <v>960187.64</v>
      </c>
      <c r="BC931" s="69" t="inlineStr">
        <is>
          <t>Acquisition</t>
        </is>
      </c>
      <c r="BD931" s="69" t="inlineStr">
        <is>
          <t>N</t>
        </is>
      </c>
      <c r="BE931" s="71" t="n"/>
      <c r="BF931" s="71" t="n"/>
      <c r="BG931" s="71" t="n"/>
      <c r="BH931" s="71" t="n">
        <v>0</v>
      </c>
      <c r="BI931" s="71" t="n">
        <v>0</v>
      </c>
      <c r="BJ931" s="69" t="inlineStr">
        <is>
          <t>N</t>
        </is>
      </c>
      <c r="BK931" s="69" t="inlineStr">
        <is>
          <t>Kohl's Department Store</t>
        </is>
      </c>
      <c r="BL931" s="75" t="n">
        <v>100</v>
      </c>
      <c r="BM931" s="73" t="n">
        <v>46783</v>
      </c>
      <c r="BN931" s="69" t="inlineStr">
        <is>
          <t>Mark Cunningham</t>
        </is>
      </c>
      <c r="BO931" s="69" t="inlineStr">
        <is>
          <t>Cantor Commercial Real Estate Lending</t>
        </is>
      </c>
      <c r="BP931" s="69" t="inlineStr">
        <is>
          <t>Midland Loan Services</t>
        </is>
      </c>
      <c r="BQ931" s="69" t="inlineStr">
        <is>
          <t>Midland Loan Services</t>
        </is>
      </c>
      <c r="BR931" s="69" t="n"/>
      <c r="BS931" s="73" t="n">
        <v>46276</v>
      </c>
      <c r="BU931" s="76">
        <f>IF($C931="","",IFERROR(INDEX(dmName,MATCH($C931,dmID,0)),"Unmapped"))</f>
        <v/>
      </c>
      <c r="BV931" s="76">
        <f>IF($C931="","",IFERROR(INDEX(dmEntity,MATCH($C931,dmID,0)),"Unmapped"))</f>
        <v/>
      </c>
      <c r="BW931" s="77">
        <f>IF($C931="","",IFERROR(INDEX(dmVintage,MATCH($C931,dmID,0)),""))</f>
        <v/>
      </c>
      <c r="BX931" s="78">
        <f>IFERROR(INDEX(dmInclude,MATCH($C931,dmID,0)),0)</f>
        <v/>
      </c>
      <c r="BY931" s="78">
        <f>IF(N($I931)&gt;0,1,0)</f>
        <v/>
      </c>
      <c r="BZ931" s="76">
        <f>IF($AJ931="","Other / Leased Fee",IFERROR(INDEX(mapPTGroup,MATCH(LEFT(TRIM($AJ931),2),mapPTCode,0)),"Other / Leased Fee"))</f>
        <v/>
      </c>
      <c r="CA931" s="76">
        <f>IF(TRIM($AF931&amp;"")="","NR",LEFT(TRIM($AF931),2))</f>
        <v/>
      </c>
      <c r="CB931" s="76">
        <f>IFERROR(LOOKUP(2,1/(LEFT(TRIM($AI931&amp;""),LEN(mapRegion))=mapRegion),mapRegion),"Not Reported")</f>
        <v/>
      </c>
      <c r="CC931" s="76">
        <f>IF($BY931=0,"",IF(TRIM($W931&amp;"")="REO","REO",IF(TRIM($W931&amp;"")="FC","Foreclosure",IF(TRIM($W931&amp;"")="90+","90+ Days Delinquent",IF(TRIM($W931&amp;"")="60","60 Days Delinquent",IF(TRIM($W931&amp;"")="30","30 Days Delinquent",IF($X931="Non-Performing Matured Balloon","Non-Performing Matured Balloon",IF(OR($X931="Late Payment But Less Than 30 Days Delinquent",LEFT($X931&amp;"",20)="Payment Not Received"),"Late / In Grace (&lt;30 Days)",IF($X931="Performing Matured Balloon","Performing Matured Balloon","Current")))))))))</f>
        <v/>
      </c>
      <c r="CD931" s="78">
        <f>IF(OR($CC931="REO",$CC931="Foreclosure",$CC931="90+ Days Delinquent",$CC931="60 Days Delinquent",$CC931="30 Days Delinquent",$CC931="Non-Performing Matured Balloon"),1,0)</f>
        <v/>
      </c>
      <c r="CE931" s="76">
        <f>IF($AB931="Currently special serv","Currently Specially Serviced",IF($AB931="Returned to master serv","Previously Specially Serviced","Never Specially Serviced"))</f>
        <v/>
      </c>
      <c r="CF931" s="78">
        <f>IF($CE931="Currently Specially Serviced",1,0)</f>
        <v/>
      </c>
      <c r="CG931" s="76">
        <f>IF($AA931="Yes","Currently on Watchlist",IF($AA931="Previously","Previously on Watchlist","Never on Watchlist"))</f>
        <v/>
      </c>
      <c r="CH931" s="78">
        <f>IF($CG931="Currently on Watchlist",1,0)</f>
        <v/>
      </c>
      <c r="CI931" s="76">
        <f>IF($Z931="Full Defeasance","Fully Defeased",IF($Z931="Portion Of Loan Previously Defeased","Partially Defeased",IF($Z931="Defeasance Not Allowable","Not Defeased (Not Permitted)","Not Defeased")))</f>
        <v/>
      </c>
      <c r="CJ931" s="78">
        <f>IF($CI931="Fully Defeased",1,0)</f>
        <v/>
      </c>
      <c r="CK931" s="76">
        <f>IF($R931="IO","Full IO",IF(LEFT($R931&amp;"",7)="IO then","Partial IO","Amortizing"))</f>
        <v/>
      </c>
      <c r="CL931" s="78">
        <f>IF($CK931="Full IO",1,0)</f>
        <v/>
      </c>
      <c r="CM931" s="78">
        <f>IF($CK931="Partial IO",1,0)</f>
        <v/>
      </c>
      <c r="CN931" s="76">
        <f>IF(LEFT($F931&amp;"",10)="SPLIT_LOAN","Pari Passu Split","Standalone")</f>
        <v/>
      </c>
      <c r="CO931" s="78">
        <f>IF($CN931="Pari Passu Split",1,0)</f>
        <v/>
      </c>
      <c r="CP931" s="77">
        <f>IF(ISNUMBER($T931),YEAR($T931),"")</f>
        <v/>
      </c>
      <c r="CQ931" s="79">
        <f>IF(ISNUMBER($V931),$V931,IF(ISNUMBER($U931),$U931,""))</f>
        <v/>
      </c>
      <c r="CR931" s="77">
        <f>IF(ISNUMBER($CQ931),YEAR($CQ931),"")</f>
        <v/>
      </c>
      <c r="CS931" s="78">
        <f>IF(ISNUMBER($M931),MAX(0,$M931),IF(TRIM($M931&amp;"")="matured",0,""))</f>
        <v/>
      </c>
      <c r="CT931" s="78">
        <f>IF(AND(ISNUMBER($CS931),N($CS931)&lt;=mMatWindow),1,0)</f>
        <v/>
      </c>
      <c r="CU931" s="80">
        <f>IF(ISNUMBER($J931),$J931/100,"")</f>
        <v/>
      </c>
      <c r="CV931" s="81">
        <f>IF(ISNUMBER($AQ931),$AQ931,"")</f>
        <v/>
      </c>
      <c r="CW931" s="81">
        <f>IF(ISNUMBER($AR931),$AR931,"")</f>
        <v/>
      </c>
      <c r="CX931" s="82">
        <f>IF(ISNUMBER($AS931),$AS931/100,"")</f>
        <v/>
      </c>
      <c r="CY931" s="82">
        <f>IF(ISNUMBER($AT931),$AT931/100,"")</f>
        <v/>
      </c>
      <c r="CZ931" s="82">
        <f>IF(ISNUMBER($AU931),$AU931/100,"")</f>
        <v/>
      </c>
      <c r="DA931" s="82">
        <f>IF(ISNUMBER($AV931),$AV931/100,"")</f>
        <v/>
      </c>
      <c r="DB931" s="82">
        <f>IF(ISNUMBER($AW931),$AW931/100,"")</f>
        <v/>
      </c>
      <c r="DC931" s="82">
        <f>IF(ISNUMBER($AX931),$AX931/100,"")</f>
        <v/>
      </c>
      <c r="DD931" s="77">
        <f>IFERROR(VALUE(LEFT(TRIM($AO931&amp;""),4)),"")</f>
        <v/>
      </c>
      <c r="DE931" s="78">
        <f>IF(AND($BY931=1,$BX931=1,OR(fDeal="All Deals",$BU931=fDeal),OR(fEntity="All Entities",$BV931=fEntity),OR(fPType="All Property Types",$BZ931=fPType),OR(fDefeased="Include",$CJ931=0)),1,0)</f>
        <v/>
      </c>
      <c r="DF931" s="83">
        <f>$DE931*N($I931)</f>
        <v/>
      </c>
      <c r="DG931" s="78">
        <f>IF($DE931=1,IF(COUNTIFS($F$8:$F931,$F931,$DE$8:$DE931,1)=1,1,0),0)</f>
        <v/>
      </c>
      <c r="DH931" s="83">
        <f>IF($DG931=1,SUMIFS($DF$8:$DF$1600,$F$8:$F$1600,$F931),0)</f>
        <v/>
      </c>
      <c r="DI931" s="78">
        <f>IF($DG931=1,COUNTIFS($F$8:$F$1600,$F931,$DE$8:$DE$1600,1),0)</f>
        <v/>
      </c>
      <c r="DJ931" s="84">
        <f>IF($DG931=1,$DH931+(100000-ROW())/mTieBreak,0)</f>
        <v/>
      </c>
    </row>
    <row r="932">
      <c r="B932" s="68" t="n">
        <v>29</v>
      </c>
      <c r="C932" s="69" t="inlineStr">
        <is>
          <t>CCUB17C1</t>
        </is>
      </c>
      <c r="D932" s="69" t="inlineStr">
        <is>
          <t>29.000</t>
        </is>
      </c>
      <c r="E932" s="69" t="inlineStr">
        <is>
          <t>Minges Creek</t>
        </is>
      </c>
      <c r="F932" s="69" t="inlineStr">
        <is>
          <t>LNCCUB17C1-29.000</t>
        </is>
      </c>
      <c r="G932" s="70" t="n"/>
      <c r="H932" s="71" t="n">
        <v>5750000</v>
      </c>
      <c r="I932" s="71" t="n">
        <v>5358921.40000125</v>
      </c>
      <c r="J932" s="72" t="n">
        <v>4.36</v>
      </c>
      <c r="K932" s="69" t="inlineStr">
        <is>
          <t>Fixed rate</t>
        </is>
      </c>
      <c r="L932" s="68" t="n">
        <v>120</v>
      </c>
      <c r="M932" s="68" t="n">
        <v>12</v>
      </c>
      <c r="N932" s="68" t="n">
        <v>420</v>
      </c>
      <c r="O932" s="68" t="n">
        <v>60</v>
      </c>
      <c r="P932" s="68" t="n">
        <v>0</v>
      </c>
      <c r="Q932" s="68" t="n">
        <v>108</v>
      </c>
      <c r="R932" s="69" t="inlineStr">
        <is>
          <t>IO then Amort</t>
        </is>
      </c>
      <c r="S932" s="69" t="inlineStr">
        <is>
          <t>No</t>
        </is>
      </c>
      <c r="T932" s="73" t="n">
        <v>42979</v>
      </c>
      <c r="U932" s="73" t="n">
        <v>46636</v>
      </c>
      <c r="V932" s="73" t="n"/>
      <c r="W932" s="69" t="n"/>
      <c r="X932" s="69" t="inlineStr">
        <is>
          <t>Current</t>
        </is>
      </c>
      <c r="Y932" s="68" t="n"/>
      <c r="Z932" s="69" t="inlineStr">
        <is>
          <t>No Defeasance Occurred</t>
        </is>
      </c>
      <c r="AA932" s="69" t="inlineStr">
        <is>
          <t>Previously</t>
        </is>
      </c>
      <c r="AB932" s="69" t="inlineStr">
        <is>
          <t>Never special serv</t>
        </is>
      </c>
      <c r="AC932" s="73" t="n"/>
      <c r="AD932" s="69" t="n"/>
      <c r="AE932" s="69" t="n"/>
      <c r="AF932" s="69" t="inlineStr">
        <is>
          <t>MI</t>
        </is>
      </c>
      <c r="AG932" s="69" t="inlineStr">
        <is>
          <t>Battle Creek</t>
        </is>
      </c>
      <c r="AH932" s="69" t="inlineStr">
        <is>
          <t>Battle Creek, MI</t>
        </is>
      </c>
      <c r="AI932" s="69" t="inlineStr">
        <is>
          <t>Midwest / Central East</t>
        </is>
      </c>
      <c r="AJ932" s="69" t="inlineStr">
        <is>
          <t>RT</t>
        </is>
      </c>
      <c r="AK932" s="69" t="inlineStr">
        <is>
          <t>Shadow Anchored</t>
        </is>
      </c>
      <c r="AL932" s="68" t="n">
        <v>1</v>
      </c>
      <c r="AM932" s="68" t="n"/>
      <c r="AN932" s="68" t="n">
        <v>85837</v>
      </c>
      <c r="AO932" s="69" t="inlineStr">
        <is>
          <t>1989</t>
        </is>
      </c>
      <c r="AP932" s="70" t="n">
        <v>1998</v>
      </c>
      <c r="AQ932" s="74" t="n">
        <v>2.05</v>
      </c>
      <c r="AR932" s="74" t="n">
        <v>1.7</v>
      </c>
      <c r="AS932" s="74" t="n">
        <v>49.1</v>
      </c>
      <c r="AT932" s="74" t="n">
        <v>45.8</v>
      </c>
      <c r="AU932" s="74" t="n">
        <v>44.9</v>
      </c>
      <c r="AV932" s="74" t="n">
        <v>12.264765217</v>
      </c>
      <c r="AW932" s="74" t="n">
        <v>12.925400436</v>
      </c>
      <c r="AX932" s="75" t="n">
        <v>95</v>
      </c>
      <c r="AY932" s="71" t="n">
        <v>11700000</v>
      </c>
      <c r="AZ932" s="71" t="n">
        <v>11700000</v>
      </c>
      <c r="BA932" s="71" t="n">
        <v>705224</v>
      </c>
      <c r="BB932" s="71" t="n">
        <v>582910.04</v>
      </c>
      <c r="BC932" s="69" t="inlineStr">
        <is>
          <t>Refinance</t>
        </is>
      </c>
      <c r="BD932" s="69" t="inlineStr">
        <is>
          <t>N</t>
        </is>
      </c>
      <c r="BE932" s="71" t="n"/>
      <c r="BF932" s="71" t="n"/>
      <c r="BG932" s="71" t="n"/>
      <c r="BH932" s="71" t="n">
        <v>0</v>
      </c>
      <c r="BI932" s="71" t="n">
        <v>0</v>
      </c>
      <c r="BJ932" s="69" t="inlineStr">
        <is>
          <t>N</t>
        </is>
      </c>
      <c r="BK932" s="69" t="inlineStr">
        <is>
          <t>Target stores  Non collateral 101909</t>
        </is>
      </c>
      <c r="BL932" s="75" t="n">
        <v>37.61</v>
      </c>
      <c r="BM932" s="73" t="n">
        <v>47483</v>
      </c>
      <c r="BN932" s="69" t="inlineStr">
        <is>
          <t>Daniel L. Stern and Redico Properties LLC</t>
        </is>
      </c>
      <c r="BO932" s="69" t="inlineStr">
        <is>
          <t>Cantor Commercial Real Estate Lending</t>
        </is>
      </c>
      <c r="BP932" s="69" t="inlineStr">
        <is>
          <t>Midland Loan Services</t>
        </is>
      </c>
      <c r="BQ932" s="69" t="inlineStr">
        <is>
          <t>Midland Loan Services</t>
        </is>
      </c>
      <c r="BR932" s="69" t="n"/>
      <c r="BS932" s="73" t="n">
        <v>46276</v>
      </c>
      <c r="BU932" s="76">
        <f>IF($C932="","",IFERROR(INDEX(dmName,MATCH($C932,dmID,0)),"Unmapped"))</f>
        <v/>
      </c>
      <c r="BV932" s="76">
        <f>IF($C932="","",IFERROR(INDEX(dmEntity,MATCH($C932,dmID,0)),"Unmapped"))</f>
        <v/>
      </c>
      <c r="BW932" s="77">
        <f>IF($C932="","",IFERROR(INDEX(dmVintage,MATCH($C932,dmID,0)),""))</f>
        <v/>
      </c>
      <c r="BX932" s="78">
        <f>IFERROR(INDEX(dmInclude,MATCH($C932,dmID,0)),0)</f>
        <v/>
      </c>
      <c r="BY932" s="78">
        <f>IF(N($I932)&gt;0,1,0)</f>
        <v/>
      </c>
      <c r="BZ932" s="76">
        <f>IF($AJ932="","Other / Leased Fee",IFERROR(INDEX(mapPTGroup,MATCH(LEFT(TRIM($AJ932),2),mapPTCode,0)),"Other / Leased Fee"))</f>
        <v/>
      </c>
      <c r="CA932" s="76">
        <f>IF(TRIM($AF932&amp;"")="","NR",LEFT(TRIM($AF932),2))</f>
        <v/>
      </c>
      <c r="CB932" s="76">
        <f>IFERROR(LOOKUP(2,1/(LEFT(TRIM($AI932&amp;""),LEN(mapRegion))=mapRegion),mapRegion),"Not Reported")</f>
        <v/>
      </c>
      <c r="CC932" s="76">
        <f>IF($BY932=0,"",IF(TRIM($W932&amp;"")="REO","REO",IF(TRIM($W932&amp;"")="FC","Foreclosure",IF(TRIM($W932&amp;"")="90+","90+ Days Delinquent",IF(TRIM($W932&amp;"")="60","60 Days Delinquent",IF(TRIM($W932&amp;"")="30","30 Days Delinquent",IF($X932="Non-Performing Matured Balloon","Non-Performing Matured Balloon",IF(OR($X932="Late Payment But Less Than 30 Days Delinquent",LEFT($X932&amp;"",20)="Payment Not Received"),"Late / In Grace (&lt;30 Days)",IF($X932="Performing Matured Balloon","Performing Matured Balloon","Current")))))))))</f>
        <v/>
      </c>
      <c r="CD932" s="78">
        <f>IF(OR($CC932="REO",$CC932="Foreclosure",$CC932="90+ Days Delinquent",$CC932="60 Days Delinquent",$CC932="30 Days Delinquent",$CC932="Non-Performing Matured Balloon"),1,0)</f>
        <v/>
      </c>
      <c r="CE932" s="76">
        <f>IF($AB932="Currently special serv","Currently Specially Serviced",IF($AB932="Returned to master serv","Previously Specially Serviced","Never Specially Serviced"))</f>
        <v/>
      </c>
      <c r="CF932" s="78">
        <f>IF($CE932="Currently Specially Serviced",1,0)</f>
        <v/>
      </c>
      <c r="CG932" s="76">
        <f>IF($AA932="Yes","Currently on Watchlist",IF($AA932="Previously","Previously on Watchlist","Never on Watchlist"))</f>
        <v/>
      </c>
      <c r="CH932" s="78">
        <f>IF($CG932="Currently on Watchlist",1,0)</f>
        <v/>
      </c>
      <c r="CI932" s="76">
        <f>IF($Z932="Full Defeasance","Fully Defeased",IF($Z932="Portion Of Loan Previously Defeased","Partially Defeased",IF($Z932="Defeasance Not Allowable","Not Defeased (Not Permitted)","Not Defeased")))</f>
        <v/>
      </c>
      <c r="CJ932" s="78">
        <f>IF($CI932="Fully Defeased",1,0)</f>
        <v/>
      </c>
      <c r="CK932" s="76">
        <f>IF($R932="IO","Full IO",IF(LEFT($R932&amp;"",7)="IO then","Partial IO","Amortizing"))</f>
        <v/>
      </c>
      <c r="CL932" s="78">
        <f>IF($CK932="Full IO",1,0)</f>
        <v/>
      </c>
      <c r="CM932" s="78">
        <f>IF($CK932="Partial IO",1,0)</f>
        <v/>
      </c>
      <c r="CN932" s="76">
        <f>IF(LEFT($F932&amp;"",10)="SPLIT_LOAN","Pari Passu Split","Standalone")</f>
        <v/>
      </c>
      <c r="CO932" s="78">
        <f>IF($CN932="Pari Passu Split",1,0)</f>
        <v/>
      </c>
      <c r="CP932" s="77">
        <f>IF(ISNUMBER($T932),YEAR($T932),"")</f>
        <v/>
      </c>
      <c r="CQ932" s="79">
        <f>IF(ISNUMBER($V932),$V932,IF(ISNUMBER($U932),$U932,""))</f>
        <v/>
      </c>
      <c r="CR932" s="77">
        <f>IF(ISNUMBER($CQ932),YEAR($CQ932),"")</f>
        <v/>
      </c>
      <c r="CS932" s="78">
        <f>IF(ISNUMBER($M932),MAX(0,$M932),IF(TRIM($M932&amp;"")="matured",0,""))</f>
        <v/>
      </c>
      <c r="CT932" s="78">
        <f>IF(AND(ISNUMBER($CS932),N($CS932)&lt;=mMatWindow),1,0)</f>
        <v/>
      </c>
      <c r="CU932" s="80">
        <f>IF(ISNUMBER($J932),$J932/100,"")</f>
        <v/>
      </c>
      <c r="CV932" s="81">
        <f>IF(ISNUMBER($AQ932),$AQ932,"")</f>
        <v/>
      </c>
      <c r="CW932" s="81">
        <f>IF(ISNUMBER($AR932),$AR932,"")</f>
        <v/>
      </c>
      <c r="CX932" s="82">
        <f>IF(ISNUMBER($AS932),$AS932/100,"")</f>
        <v/>
      </c>
      <c r="CY932" s="82">
        <f>IF(ISNUMBER($AT932),$AT932/100,"")</f>
        <v/>
      </c>
      <c r="CZ932" s="82">
        <f>IF(ISNUMBER($AU932),$AU932/100,"")</f>
        <v/>
      </c>
      <c r="DA932" s="82">
        <f>IF(ISNUMBER($AV932),$AV932/100,"")</f>
        <v/>
      </c>
      <c r="DB932" s="82">
        <f>IF(ISNUMBER($AW932),$AW932/100,"")</f>
        <v/>
      </c>
      <c r="DC932" s="82">
        <f>IF(ISNUMBER($AX932),$AX932/100,"")</f>
        <v/>
      </c>
      <c r="DD932" s="77">
        <f>IFERROR(VALUE(LEFT(TRIM($AO932&amp;""),4)),"")</f>
        <v/>
      </c>
      <c r="DE932" s="78">
        <f>IF(AND($BY932=1,$BX932=1,OR(fDeal="All Deals",$BU932=fDeal),OR(fEntity="All Entities",$BV932=fEntity),OR(fPType="All Property Types",$BZ932=fPType),OR(fDefeased="Include",$CJ932=0)),1,0)</f>
        <v/>
      </c>
      <c r="DF932" s="83">
        <f>$DE932*N($I932)</f>
        <v/>
      </c>
      <c r="DG932" s="78">
        <f>IF($DE932=1,IF(COUNTIFS($F$8:$F932,$F932,$DE$8:$DE932,1)=1,1,0),0)</f>
        <v/>
      </c>
      <c r="DH932" s="83">
        <f>IF($DG932=1,SUMIFS($DF$8:$DF$1600,$F$8:$F$1600,$F932),0)</f>
        <v/>
      </c>
      <c r="DI932" s="78">
        <f>IF($DG932=1,COUNTIFS($F$8:$F$1600,$F932,$DE$8:$DE$1600,1),0)</f>
        <v/>
      </c>
      <c r="DJ932" s="84">
        <f>IF($DG932=1,$DH932+(100000-ROW())/mTieBreak,0)</f>
        <v/>
      </c>
    </row>
    <row r="933">
      <c r="B933" s="68" t="n">
        <v>30</v>
      </c>
      <c r="C933" s="69" t="inlineStr">
        <is>
          <t>CCUB17C1</t>
        </is>
      </c>
      <c r="D933" s="69" t="inlineStr">
        <is>
          <t>30.000</t>
        </is>
      </c>
      <c r="E933" s="69" t="inlineStr">
        <is>
          <t>1827 Adams Mill Road</t>
        </is>
      </c>
      <c r="F933" s="69" t="inlineStr">
        <is>
          <t>LNCCUB17C1-30.000</t>
        </is>
      </c>
      <c r="G933" s="70" t="n"/>
      <c r="H933" s="71" t="n">
        <v>5350000</v>
      </c>
      <c r="I933" s="71" t="n">
        <v>5350000</v>
      </c>
      <c r="J933" s="72" t="n">
        <v>4.47</v>
      </c>
      <c r="K933" s="69" t="inlineStr">
        <is>
          <t>Fixed rate</t>
        </is>
      </c>
      <c r="L933" s="68" t="n">
        <v>120</v>
      </c>
      <c r="M933" s="68" t="n">
        <v>14</v>
      </c>
      <c r="N933" s="68" t="n">
        <v>120</v>
      </c>
      <c r="O933" s="68" t="n">
        <v>120</v>
      </c>
      <c r="P933" s="68" t="n">
        <v>14</v>
      </c>
      <c r="Q933" s="68" t="n">
        <v>106</v>
      </c>
      <c r="R933" s="69" t="inlineStr">
        <is>
          <t>IO</t>
        </is>
      </c>
      <c r="S933" s="69" t="inlineStr">
        <is>
          <t>Yes</t>
        </is>
      </c>
      <c r="T933" s="73" t="n">
        <v>43040</v>
      </c>
      <c r="U933" s="73" t="n">
        <v>46697</v>
      </c>
      <c r="V933" s="73" t="n"/>
      <c r="W933" s="69" t="n"/>
      <c r="X933" s="69" t="inlineStr">
        <is>
          <t>Current</t>
        </is>
      </c>
      <c r="Y933" s="68" t="n"/>
      <c r="Z933" s="69" t="inlineStr">
        <is>
          <t>No Defeasance Occurred</t>
        </is>
      </c>
      <c r="AA933" s="69" t="inlineStr">
        <is>
          <t>Yes</t>
        </is>
      </c>
      <c r="AB933" s="69" t="inlineStr">
        <is>
          <t>Never special serv</t>
        </is>
      </c>
      <c r="AC933" s="73" t="n"/>
      <c r="AD933" s="69" t="n"/>
      <c r="AE933" s="69" t="n"/>
      <c r="AF933" s="69" t="inlineStr">
        <is>
          <t>DC</t>
        </is>
      </c>
      <c r="AG933" s="69" t="inlineStr">
        <is>
          <t>Washington</t>
        </is>
      </c>
      <c r="AH933" s="69" t="inlineStr">
        <is>
          <t>Washington-Arlington-Alexandria, DC-VA-MD-WV</t>
        </is>
      </c>
      <c r="AI933" s="69" t="inlineStr">
        <is>
          <t>South / Atlantic</t>
        </is>
      </c>
      <c r="AJ933" s="69" t="inlineStr">
        <is>
          <t>RT</t>
        </is>
      </c>
      <c r="AK933" s="69" t="inlineStr">
        <is>
          <t>Unanchored</t>
        </is>
      </c>
      <c r="AL933" s="68" t="n">
        <v>1</v>
      </c>
      <c r="AM933" s="68" t="n"/>
      <c r="AN933" s="68" t="n">
        <v>8570</v>
      </c>
      <c r="AO933" s="69" t="inlineStr">
        <is>
          <t>2015</t>
        </is>
      </c>
      <c r="AP933" s="70" t="n">
        <v>2015</v>
      </c>
      <c r="AQ933" s="74" t="n">
        <v>1.84</v>
      </c>
      <c r="AR933" s="74" t="n">
        <v>2.18</v>
      </c>
      <c r="AS933" s="74" t="n">
        <v>51.9</v>
      </c>
      <c r="AT933" s="74" t="n">
        <v>51.94</v>
      </c>
      <c r="AU933" s="74" t="n">
        <v>51.9</v>
      </c>
      <c r="AV933" s="74" t="n">
        <v>8.355401869</v>
      </c>
      <c r="AW933" s="74" t="n">
        <v>9.860048598000001</v>
      </c>
      <c r="AX933" s="75" t="n">
        <v>100</v>
      </c>
      <c r="AY933" s="71" t="n">
        <v>10300000</v>
      </c>
      <c r="AZ933" s="71" t="n">
        <v>10300000</v>
      </c>
      <c r="BA933" s="71" t="n">
        <v>447014</v>
      </c>
      <c r="BB933" s="71" t="n">
        <v>527512.6</v>
      </c>
      <c r="BC933" s="69" t="inlineStr">
        <is>
          <t>Refinance</t>
        </is>
      </c>
      <c r="BD933" s="69" t="inlineStr">
        <is>
          <t>N</t>
        </is>
      </c>
      <c r="BE933" s="71" t="n"/>
      <c r="BF933" s="71" t="n"/>
      <c r="BG933" s="71" t="n"/>
      <c r="BH933" s="71" t="n">
        <v>0</v>
      </c>
      <c r="BI933" s="71" t="n">
        <v>0</v>
      </c>
      <c r="BJ933" s="69" t="inlineStr">
        <is>
          <t>N</t>
        </is>
      </c>
      <c r="BK933" s="69" t="inlineStr">
        <is>
          <t>Life Healthcare Inc.</t>
        </is>
      </c>
      <c r="BL933" s="75" t="n">
        <v>43.52</v>
      </c>
      <c r="BM933" s="73" t="n">
        <v>46387</v>
      </c>
      <c r="BN933" s="69" t="inlineStr">
        <is>
          <t>Robert L. Cohen</t>
        </is>
      </c>
      <c r="BO933" s="69" t="inlineStr">
        <is>
          <t>Citi Real Estate Funding</t>
        </is>
      </c>
      <c r="BP933" s="69" t="inlineStr">
        <is>
          <t>Midland Loan Services</t>
        </is>
      </c>
      <c r="BQ933" s="69" t="inlineStr">
        <is>
          <t>Midland Loan Services</t>
        </is>
      </c>
      <c r="BR933" s="69" t="n"/>
      <c r="BS933" s="73" t="n">
        <v>46276</v>
      </c>
      <c r="BU933" s="76">
        <f>IF($C933="","",IFERROR(INDEX(dmName,MATCH($C933,dmID,0)),"Unmapped"))</f>
        <v/>
      </c>
      <c r="BV933" s="76">
        <f>IF($C933="","",IFERROR(INDEX(dmEntity,MATCH($C933,dmID,0)),"Unmapped"))</f>
        <v/>
      </c>
      <c r="BW933" s="77">
        <f>IF($C933="","",IFERROR(INDEX(dmVintage,MATCH($C933,dmID,0)),""))</f>
        <v/>
      </c>
      <c r="BX933" s="78">
        <f>IFERROR(INDEX(dmInclude,MATCH($C933,dmID,0)),0)</f>
        <v/>
      </c>
      <c r="BY933" s="78">
        <f>IF(N($I933)&gt;0,1,0)</f>
        <v/>
      </c>
      <c r="BZ933" s="76">
        <f>IF($AJ933="","Other / Leased Fee",IFERROR(INDEX(mapPTGroup,MATCH(LEFT(TRIM($AJ933),2),mapPTCode,0)),"Other / Leased Fee"))</f>
        <v/>
      </c>
      <c r="CA933" s="76">
        <f>IF(TRIM($AF933&amp;"")="","NR",LEFT(TRIM($AF933),2))</f>
        <v/>
      </c>
      <c r="CB933" s="76">
        <f>IFERROR(LOOKUP(2,1/(LEFT(TRIM($AI933&amp;""),LEN(mapRegion))=mapRegion),mapRegion),"Not Reported")</f>
        <v/>
      </c>
      <c r="CC933" s="76">
        <f>IF($BY933=0,"",IF(TRIM($W933&amp;"")="REO","REO",IF(TRIM($W933&amp;"")="FC","Foreclosure",IF(TRIM($W933&amp;"")="90+","90+ Days Delinquent",IF(TRIM($W933&amp;"")="60","60 Days Delinquent",IF(TRIM($W933&amp;"")="30","30 Days Delinquent",IF($X933="Non-Performing Matured Balloon","Non-Performing Matured Balloon",IF(OR($X933="Late Payment But Less Than 30 Days Delinquent",LEFT($X933&amp;"",20)="Payment Not Received"),"Late / In Grace (&lt;30 Days)",IF($X933="Performing Matured Balloon","Performing Matured Balloon","Current")))))))))</f>
        <v/>
      </c>
      <c r="CD933" s="78">
        <f>IF(OR($CC933="REO",$CC933="Foreclosure",$CC933="90+ Days Delinquent",$CC933="60 Days Delinquent",$CC933="30 Days Delinquent",$CC933="Non-Performing Matured Balloon"),1,0)</f>
        <v/>
      </c>
      <c r="CE933" s="76">
        <f>IF($AB933="Currently special serv","Currently Specially Serviced",IF($AB933="Returned to master serv","Previously Specially Serviced","Never Specially Serviced"))</f>
        <v/>
      </c>
      <c r="CF933" s="78">
        <f>IF($CE933="Currently Specially Serviced",1,0)</f>
        <v/>
      </c>
      <c r="CG933" s="76">
        <f>IF($AA933="Yes","Currently on Watchlist",IF($AA933="Previously","Previously on Watchlist","Never on Watchlist"))</f>
        <v/>
      </c>
      <c r="CH933" s="78">
        <f>IF($CG933="Currently on Watchlist",1,0)</f>
        <v/>
      </c>
      <c r="CI933" s="76">
        <f>IF($Z933="Full Defeasance","Fully Defeased",IF($Z933="Portion Of Loan Previously Defeased","Partially Defeased",IF($Z933="Defeasance Not Allowable","Not Defeased (Not Permitted)","Not Defeased")))</f>
        <v/>
      </c>
      <c r="CJ933" s="78">
        <f>IF($CI933="Fully Defeased",1,0)</f>
        <v/>
      </c>
      <c r="CK933" s="76">
        <f>IF($R933="IO","Full IO",IF(LEFT($R933&amp;"",7)="IO then","Partial IO","Amortizing"))</f>
        <v/>
      </c>
      <c r="CL933" s="78">
        <f>IF($CK933="Full IO",1,0)</f>
        <v/>
      </c>
      <c r="CM933" s="78">
        <f>IF($CK933="Partial IO",1,0)</f>
        <v/>
      </c>
      <c r="CN933" s="76">
        <f>IF(LEFT($F933&amp;"",10)="SPLIT_LOAN","Pari Passu Split","Standalone")</f>
        <v/>
      </c>
      <c r="CO933" s="78">
        <f>IF($CN933="Pari Passu Split",1,0)</f>
        <v/>
      </c>
      <c r="CP933" s="77">
        <f>IF(ISNUMBER($T933),YEAR($T933),"")</f>
        <v/>
      </c>
      <c r="CQ933" s="79">
        <f>IF(ISNUMBER($V933),$V933,IF(ISNUMBER($U933),$U933,""))</f>
        <v/>
      </c>
      <c r="CR933" s="77">
        <f>IF(ISNUMBER($CQ933),YEAR($CQ933),"")</f>
        <v/>
      </c>
      <c r="CS933" s="78">
        <f>IF(ISNUMBER($M933),MAX(0,$M933),IF(TRIM($M933&amp;"")="matured",0,""))</f>
        <v/>
      </c>
      <c r="CT933" s="78">
        <f>IF(AND(ISNUMBER($CS933),N($CS933)&lt;=mMatWindow),1,0)</f>
        <v/>
      </c>
      <c r="CU933" s="80">
        <f>IF(ISNUMBER($J933),$J933/100,"")</f>
        <v/>
      </c>
      <c r="CV933" s="81">
        <f>IF(ISNUMBER($AQ933),$AQ933,"")</f>
        <v/>
      </c>
      <c r="CW933" s="81">
        <f>IF(ISNUMBER($AR933),$AR933,"")</f>
        <v/>
      </c>
      <c r="CX933" s="82">
        <f>IF(ISNUMBER($AS933),$AS933/100,"")</f>
        <v/>
      </c>
      <c r="CY933" s="82">
        <f>IF(ISNUMBER($AT933),$AT933/100,"")</f>
        <v/>
      </c>
      <c r="CZ933" s="82">
        <f>IF(ISNUMBER($AU933),$AU933/100,"")</f>
        <v/>
      </c>
      <c r="DA933" s="82">
        <f>IF(ISNUMBER($AV933),$AV933/100,"")</f>
        <v/>
      </c>
      <c r="DB933" s="82">
        <f>IF(ISNUMBER($AW933),$AW933/100,"")</f>
        <v/>
      </c>
      <c r="DC933" s="82">
        <f>IF(ISNUMBER($AX933),$AX933/100,"")</f>
        <v/>
      </c>
      <c r="DD933" s="77">
        <f>IFERROR(VALUE(LEFT(TRIM($AO933&amp;""),4)),"")</f>
        <v/>
      </c>
      <c r="DE933" s="78">
        <f>IF(AND($BY933=1,$BX933=1,OR(fDeal="All Deals",$BU933=fDeal),OR(fEntity="All Entities",$BV933=fEntity),OR(fPType="All Property Types",$BZ933=fPType),OR(fDefeased="Include",$CJ933=0)),1,0)</f>
        <v/>
      </c>
      <c r="DF933" s="83">
        <f>$DE933*N($I933)</f>
        <v/>
      </c>
      <c r="DG933" s="78">
        <f>IF($DE933=1,IF(COUNTIFS($F$8:$F933,$F933,$DE$8:$DE933,1)=1,1,0),0)</f>
        <v/>
      </c>
      <c r="DH933" s="83">
        <f>IF($DG933=1,SUMIFS($DF$8:$DF$1600,$F$8:$F$1600,$F933),0)</f>
        <v/>
      </c>
      <c r="DI933" s="78">
        <f>IF($DG933=1,COUNTIFS($F$8:$F$1600,$F933,$DE$8:$DE$1600,1),0)</f>
        <v/>
      </c>
      <c r="DJ933" s="84">
        <f>IF($DG933=1,$DH933+(100000-ROW())/mTieBreak,0)</f>
        <v/>
      </c>
    </row>
    <row r="934">
      <c r="B934" s="68" t="n">
        <v>31</v>
      </c>
      <c r="C934" s="69" t="inlineStr">
        <is>
          <t>CCUB17C1</t>
        </is>
      </c>
      <c r="D934" s="69" t="inlineStr">
        <is>
          <t>31.000</t>
        </is>
      </c>
      <c r="E934" s="69" t="inlineStr">
        <is>
          <t>Country Inn &amp; Suites Romeoville</t>
        </is>
      </c>
      <c r="F934" s="69" t="inlineStr">
        <is>
          <t>LNCCUB17C1-31.000</t>
        </is>
      </c>
      <c r="G934" s="70" t="n"/>
      <c r="H934" s="71" t="n">
        <v>4700000</v>
      </c>
      <c r="I934" s="71" t="n">
        <v>3968649.969998601</v>
      </c>
      <c r="J934" s="72" t="n">
        <v>5.009</v>
      </c>
      <c r="K934" s="69" t="inlineStr">
        <is>
          <t>Fixed rate</t>
        </is>
      </c>
      <c r="L934" s="68" t="n">
        <v>120</v>
      </c>
      <c r="M934" s="68" t="n">
        <v>12</v>
      </c>
      <c r="N934" s="68" t="n">
        <v>360</v>
      </c>
      <c r="O934" s="68" t="n"/>
      <c r="P934" s="68" t="n"/>
      <c r="Q934" s="68" t="n">
        <v>108</v>
      </c>
      <c r="R934" s="69" t="n"/>
      <c r="S934" s="69" t="inlineStr">
        <is>
          <t>No</t>
        </is>
      </c>
      <c r="T934" s="73" t="n">
        <v>42979</v>
      </c>
      <c r="U934" s="73" t="n">
        <v>46636</v>
      </c>
      <c r="V934" s="73" t="n"/>
      <c r="W934" s="69" t="n"/>
      <c r="X934" s="69" t="inlineStr">
        <is>
          <t>Current</t>
        </is>
      </c>
      <c r="Y934" s="68" t="n"/>
      <c r="Z934" s="69" t="inlineStr">
        <is>
          <t>No Defeasance Occurred</t>
        </is>
      </c>
      <c r="AA934" s="69" t="inlineStr">
        <is>
          <t>Yes</t>
        </is>
      </c>
      <c r="AB934" s="69" t="inlineStr">
        <is>
          <t>Never special serv</t>
        </is>
      </c>
      <c r="AC934" s="73" t="n"/>
      <c r="AD934" s="69" t="n"/>
      <c r="AE934" s="69" t="n"/>
      <c r="AF934" s="69" t="inlineStr">
        <is>
          <t>IL</t>
        </is>
      </c>
      <c r="AG934" s="69" t="inlineStr">
        <is>
          <t>Romeoville</t>
        </is>
      </c>
      <c r="AH934" s="69" t="inlineStr">
        <is>
          <t>Chicago-Naperville-Elgin, IL-IN</t>
        </is>
      </c>
      <c r="AI934" s="69" t="inlineStr">
        <is>
          <t>Midwest / Central East</t>
        </is>
      </c>
      <c r="AJ934" s="69" t="inlineStr">
        <is>
          <t>HT</t>
        </is>
      </c>
      <c r="AK934" s="69" t="inlineStr">
        <is>
          <t>Limited Service</t>
        </is>
      </c>
      <c r="AL934" s="68" t="n">
        <v>1</v>
      </c>
      <c r="AM934" s="68" t="n">
        <v>84</v>
      </c>
      <c r="AN934" s="68" t="n"/>
      <c r="AO934" s="69" t="inlineStr">
        <is>
          <t>1997</t>
        </is>
      </c>
      <c r="AP934" s="70" t="n">
        <v>2015</v>
      </c>
      <c r="AQ934" s="74" t="n">
        <v>2.45</v>
      </c>
      <c r="AR934" s="74" t="n">
        <v>0.5600000000000001</v>
      </c>
      <c r="AS934" s="74" t="n">
        <v>59.4</v>
      </c>
      <c r="AT934" s="74" t="n">
        <v>50.24</v>
      </c>
      <c r="AU934" s="74" t="n">
        <v>48.9</v>
      </c>
      <c r="AV934" s="74" t="n">
        <v>15.801297872</v>
      </c>
      <c r="AW934" s="74" t="n">
        <v>4.241602592</v>
      </c>
      <c r="AX934" s="75" t="n">
        <v>69</v>
      </c>
      <c r="AY934" s="71" t="n">
        <v>7900000</v>
      </c>
      <c r="AZ934" s="71" t="n">
        <v>7900000</v>
      </c>
      <c r="BA934" s="71" t="n">
        <v>742661</v>
      </c>
      <c r="BB934" s="71" t="n">
        <v>168334.36</v>
      </c>
      <c r="BC934" s="69" t="inlineStr">
        <is>
          <t>Refinance</t>
        </is>
      </c>
      <c r="BD934" s="69" t="inlineStr">
        <is>
          <t>N</t>
        </is>
      </c>
      <c r="BE934" s="71" t="n"/>
      <c r="BF934" s="71" t="n"/>
      <c r="BG934" s="71" t="n"/>
      <c r="BH934" s="71" t="n">
        <v>0</v>
      </c>
      <c r="BI934" s="71" t="n">
        <v>0</v>
      </c>
      <c r="BJ934" s="69" t="inlineStr">
        <is>
          <t>Y</t>
        </is>
      </c>
      <c r="BK934" s="69" t="n"/>
      <c r="BL934" s="75" t="n"/>
      <c r="BM934" s="73" t="n"/>
      <c r="BN934" s="69" t="inlineStr">
        <is>
          <t>Kamlesh K. Patel, Sandeep Desai, Niyati R. Patel</t>
        </is>
      </c>
      <c r="BO934" s="69" t="inlineStr">
        <is>
          <t>Cantor Commercial Real Estate Lending</t>
        </is>
      </c>
      <c r="BP934" s="69" t="inlineStr">
        <is>
          <t>Midland Loan Services</t>
        </is>
      </c>
      <c r="BQ934" s="69" t="inlineStr">
        <is>
          <t>Midland Loan Services</t>
        </is>
      </c>
      <c r="BR934" s="69" t="n"/>
      <c r="BS934" s="73" t="n">
        <v>46276</v>
      </c>
      <c r="BU934" s="76">
        <f>IF($C934="","",IFERROR(INDEX(dmName,MATCH($C934,dmID,0)),"Unmapped"))</f>
        <v/>
      </c>
      <c r="BV934" s="76">
        <f>IF($C934="","",IFERROR(INDEX(dmEntity,MATCH($C934,dmID,0)),"Unmapped"))</f>
        <v/>
      </c>
      <c r="BW934" s="77">
        <f>IF($C934="","",IFERROR(INDEX(dmVintage,MATCH($C934,dmID,0)),""))</f>
        <v/>
      </c>
      <c r="BX934" s="78">
        <f>IFERROR(INDEX(dmInclude,MATCH($C934,dmID,0)),0)</f>
        <v/>
      </c>
      <c r="BY934" s="78">
        <f>IF(N($I934)&gt;0,1,0)</f>
        <v/>
      </c>
      <c r="BZ934" s="76">
        <f>IF($AJ934="","Other / Leased Fee",IFERROR(INDEX(mapPTGroup,MATCH(LEFT(TRIM($AJ934),2),mapPTCode,0)),"Other / Leased Fee"))</f>
        <v/>
      </c>
      <c r="CA934" s="76">
        <f>IF(TRIM($AF934&amp;"")="","NR",LEFT(TRIM($AF934),2))</f>
        <v/>
      </c>
      <c r="CB934" s="76">
        <f>IFERROR(LOOKUP(2,1/(LEFT(TRIM($AI934&amp;""),LEN(mapRegion))=mapRegion),mapRegion),"Not Reported")</f>
        <v/>
      </c>
      <c r="CC934" s="76">
        <f>IF($BY934=0,"",IF(TRIM($W934&amp;"")="REO","REO",IF(TRIM($W934&amp;"")="FC","Foreclosure",IF(TRIM($W934&amp;"")="90+","90+ Days Delinquent",IF(TRIM($W934&amp;"")="60","60 Days Delinquent",IF(TRIM($W934&amp;"")="30","30 Days Delinquent",IF($X934="Non-Performing Matured Balloon","Non-Performing Matured Balloon",IF(OR($X934="Late Payment But Less Than 30 Days Delinquent",LEFT($X934&amp;"",20)="Payment Not Received"),"Late / In Grace (&lt;30 Days)",IF($X934="Performing Matured Balloon","Performing Matured Balloon","Current")))))))))</f>
        <v/>
      </c>
      <c r="CD934" s="78">
        <f>IF(OR($CC934="REO",$CC934="Foreclosure",$CC934="90+ Days Delinquent",$CC934="60 Days Delinquent",$CC934="30 Days Delinquent",$CC934="Non-Performing Matured Balloon"),1,0)</f>
        <v/>
      </c>
      <c r="CE934" s="76">
        <f>IF($AB934="Currently special serv","Currently Specially Serviced",IF($AB934="Returned to master serv","Previously Specially Serviced","Never Specially Serviced"))</f>
        <v/>
      </c>
      <c r="CF934" s="78">
        <f>IF($CE934="Currently Specially Serviced",1,0)</f>
        <v/>
      </c>
      <c r="CG934" s="76">
        <f>IF($AA934="Yes","Currently on Watchlist",IF($AA934="Previously","Previously on Watchlist","Never on Watchlist"))</f>
        <v/>
      </c>
      <c r="CH934" s="78">
        <f>IF($CG934="Currently on Watchlist",1,0)</f>
        <v/>
      </c>
      <c r="CI934" s="76">
        <f>IF($Z934="Full Defeasance","Fully Defeased",IF($Z934="Portion Of Loan Previously Defeased","Partially Defeased",IF($Z934="Defeasance Not Allowable","Not Defeased (Not Permitted)","Not Defeased")))</f>
        <v/>
      </c>
      <c r="CJ934" s="78">
        <f>IF($CI934="Fully Defeased",1,0)</f>
        <v/>
      </c>
      <c r="CK934" s="76">
        <f>IF($R934="IO","Full IO",IF(LEFT($R934&amp;"",7)="IO then","Partial IO","Amortizing"))</f>
        <v/>
      </c>
      <c r="CL934" s="78">
        <f>IF($CK934="Full IO",1,0)</f>
        <v/>
      </c>
      <c r="CM934" s="78">
        <f>IF($CK934="Partial IO",1,0)</f>
        <v/>
      </c>
      <c r="CN934" s="76">
        <f>IF(LEFT($F934&amp;"",10)="SPLIT_LOAN","Pari Passu Split","Standalone")</f>
        <v/>
      </c>
      <c r="CO934" s="78">
        <f>IF($CN934="Pari Passu Split",1,0)</f>
        <v/>
      </c>
      <c r="CP934" s="77">
        <f>IF(ISNUMBER($T934),YEAR($T934),"")</f>
        <v/>
      </c>
      <c r="CQ934" s="79">
        <f>IF(ISNUMBER($V934),$V934,IF(ISNUMBER($U934),$U934,""))</f>
        <v/>
      </c>
      <c r="CR934" s="77">
        <f>IF(ISNUMBER($CQ934),YEAR($CQ934),"")</f>
        <v/>
      </c>
      <c r="CS934" s="78">
        <f>IF(ISNUMBER($M934),MAX(0,$M934),IF(TRIM($M934&amp;"")="matured",0,""))</f>
        <v/>
      </c>
      <c r="CT934" s="78">
        <f>IF(AND(ISNUMBER($CS934),N($CS934)&lt;=mMatWindow),1,0)</f>
        <v/>
      </c>
      <c r="CU934" s="80">
        <f>IF(ISNUMBER($J934),$J934/100,"")</f>
        <v/>
      </c>
      <c r="CV934" s="81">
        <f>IF(ISNUMBER($AQ934),$AQ934,"")</f>
        <v/>
      </c>
      <c r="CW934" s="81">
        <f>IF(ISNUMBER($AR934),$AR934,"")</f>
        <v/>
      </c>
      <c r="CX934" s="82">
        <f>IF(ISNUMBER($AS934),$AS934/100,"")</f>
        <v/>
      </c>
      <c r="CY934" s="82">
        <f>IF(ISNUMBER($AT934),$AT934/100,"")</f>
        <v/>
      </c>
      <c r="CZ934" s="82">
        <f>IF(ISNUMBER($AU934),$AU934/100,"")</f>
        <v/>
      </c>
      <c r="DA934" s="82">
        <f>IF(ISNUMBER($AV934),$AV934/100,"")</f>
        <v/>
      </c>
      <c r="DB934" s="82">
        <f>IF(ISNUMBER($AW934),$AW934/100,"")</f>
        <v/>
      </c>
      <c r="DC934" s="82">
        <f>IF(ISNUMBER($AX934),$AX934/100,"")</f>
        <v/>
      </c>
      <c r="DD934" s="77">
        <f>IFERROR(VALUE(LEFT(TRIM($AO934&amp;""),4)),"")</f>
        <v/>
      </c>
      <c r="DE934" s="78">
        <f>IF(AND($BY934=1,$BX934=1,OR(fDeal="All Deals",$BU934=fDeal),OR(fEntity="All Entities",$BV934=fEntity),OR(fPType="All Property Types",$BZ934=fPType),OR(fDefeased="Include",$CJ934=0)),1,0)</f>
        <v/>
      </c>
      <c r="DF934" s="83">
        <f>$DE934*N($I934)</f>
        <v/>
      </c>
      <c r="DG934" s="78">
        <f>IF($DE934=1,IF(COUNTIFS($F$8:$F934,$F934,$DE$8:$DE934,1)=1,1,0),0)</f>
        <v/>
      </c>
      <c r="DH934" s="83">
        <f>IF($DG934=1,SUMIFS($DF$8:$DF$1600,$F$8:$F$1600,$F934),0)</f>
        <v/>
      </c>
      <c r="DI934" s="78">
        <f>IF($DG934=1,COUNTIFS($F$8:$F$1600,$F934,$DE$8:$DE$1600,1),0)</f>
        <v/>
      </c>
      <c r="DJ934" s="84">
        <f>IF($DG934=1,$DH934+(100000-ROW())/mTieBreak,0)</f>
        <v/>
      </c>
    </row>
    <row r="935">
      <c r="B935" s="68" t="n">
        <v>32</v>
      </c>
      <c r="C935" s="69" t="inlineStr">
        <is>
          <t>CCUB17C1</t>
        </is>
      </c>
      <c r="D935" s="69" t="inlineStr">
        <is>
          <t>32.000</t>
        </is>
      </c>
      <c r="E935" s="69" t="inlineStr">
        <is>
          <t>14th Street</t>
        </is>
      </c>
      <c r="F935" s="69" t="inlineStr">
        <is>
          <t>LNCCUB17C1-32.000</t>
        </is>
      </c>
      <c r="G935" s="70" t="n"/>
      <c r="H935" s="71" t="n">
        <v>4600000</v>
      </c>
      <c r="I935" s="71" t="n">
        <v>3863739.2599986</v>
      </c>
      <c r="J935" s="72" t="n">
        <v>4.75</v>
      </c>
      <c r="K935" s="69" t="inlineStr">
        <is>
          <t>Fixed rate</t>
        </is>
      </c>
      <c r="L935" s="68" t="n">
        <v>120</v>
      </c>
      <c r="M935" s="68" t="n">
        <v>13</v>
      </c>
      <c r="N935" s="68" t="n">
        <v>360</v>
      </c>
      <c r="O935" s="68" t="n"/>
      <c r="P935" s="68" t="n"/>
      <c r="Q935" s="68" t="n">
        <v>107</v>
      </c>
      <c r="R935" s="69" t="n"/>
      <c r="S935" s="69" t="inlineStr">
        <is>
          <t>No</t>
        </is>
      </c>
      <c r="T935" s="73" t="n">
        <v>43009</v>
      </c>
      <c r="U935" s="73" t="n">
        <v>46666</v>
      </c>
      <c r="V935" s="73" t="n"/>
      <c r="W935" s="69" t="n"/>
      <c r="X935" s="69" t="inlineStr">
        <is>
          <t>Current</t>
        </is>
      </c>
      <c r="Y935" s="68" t="n"/>
      <c r="Z935" s="69" t="inlineStr">
        <is>
          <t>Full Defeasance</t>
        </is>
      </c>
      <c r="AA935" s="69" t="inlineStr">
        <is>
          <t>Previously</t>
        </is>
      </c>
      <c r="AB935" s="69" t="inlineStr">
        <is>
          <t>Returned to master serv</t>
        </is>
      </c>
      <c r="AC935" s="73" t="n"/>
      <c r="AD935" s="69" t="inlineStr">
        <is>
          <t>Other</t>
        </is>
      </c>
      <c r="AE935" s="69" t="inlineStr">
        <is>
          <t>Resolved</t>
        </is>
      </c>
      <c r="AF935" s="69" t="inlineStr">
        <is>
          <t>CA</t>
        </is>
      </c>
      <c r="AG935" s="69" t="inlineStr">
        <is>
          <t>Santa Monica</t>
        </is>
      </c>
      <c r="AH935" s="69" t="inlineStr">
        <is>
          <t>Los Angeles-Long Beach-Anaheim, CA</t>
        </is>
      </c>
      <c r="AI935" s="69" t="inlineStr">
        <is>
          <t>West / Pacific South</t>
        </is>
      </c>
      <c r="AJ935" s="69" t="inlineStr">
        <is>
          <t>OF</t>
        </is>
      </c>
      <c r="AK935" s="69" t="inlineStr">
        <is>
          <t>CBD</t>
        </is>
      </c>
      <c r="AL935" s="68" t="n">
        <v>1</v>
      </c>
      <c r="AM935" s="68" t="n"/>
      <c r="AN935" s="68" t="n">
        <v>9600</v>
      </c>
      <c r="AO935" s="69" t="inlineStr">
        <is>
          <t>1964</t>
        </is>
      </c>
      <c r="AP935" s="70" t="n">
        <v>2017</v>
      </c>
      <c r="AQ935" s="74" t="n">
        <v>1.29</v>
      </c>
      <c r="AR935" s="74" t="n">
        <v>1.63</v>
      </c>
      <c r="AS935" s="74" t="n">
        <v>58.2</v>
      </c>
      <c r="AT935" s="74" t="n">
        <v>48.91</v>
      </c>
      <c r="AU935" s="74" t="n">
        <v>47.5</v>
      </c>
      <c r="AV935" s="74" t="n">
        <v>8.072434783</v>
      </c>
      <c r="AW935" s="74" t="n">
        <v>7.181538177</v>
      </c>
      <c r="AX935" s="75" t="n">
        <v>100</v>
      </c>
      <c r="AY935" s="71" t="n">
        <v>7900000</v>
      </c>
      <c r="AZ935" s="71" t="n">
        <v>7900000</v>
      </c>
      <c r="BA935" s="71" t="n">
        <v>371332</v>
      </c>
      <c r="BB935" s="71" t="n">
        <v>469052.27</v>
      </c>
      <c r="BC935" s="69" t="inlineStr">
        <is>
          <t>Refinance</t>
        </is>
      </c>
      <c r="BD935" s="69" t="inlineStr">
        <is>
          <t>N</t>
        </is>
      </c>
      <c r="BE935" s="71" t="n"/>
      <c r="BF935" s="71" t="n"/>
      <c r="BG935" s="71" t="n"/>
      <c r="BH935" s="71" t="n">
        <v>0</v>
      </c>
      <c r="BI935" s="71" t="n">
        <v>0</v>
      </c>
      <c r="BJ935" s="69" t="inlineStr">
        <is>
          <t>N</t>
        </is>
      </c>
      <c r="BK935" s="69" t="inlineStr">
        <is>
          <t>Cabin Editing Company LLC</t>
        </is>
      </c>
      <c r="BL935" s="75" t="n">
        <v>100</v>
      </c>
      <c r="BM935" s="73" t="n">
        <v>47030</v>
      </c>
      <c r="BN935" s="69" t="inlineStr">
        <is>
          <t>Adam Goodman and Jessica Goodman</t>
        </is>
      </c>
      <c r="BO935" s="69" t="inlineStr">
        <is>
          <t>Cantor Commercial Real Estate Lending</t>
        </is>
      </c>
      <c r="BP935" s="69" t="inlineStr">
        <is>
          <t>Midland Loan Services</t>
        </is>
      </c>
      <c r="BQ935" s="69" t="inlineStr">
        <is>
          <t>Midland Loan Services</t>
        </is>
      </c>
      <c r="BR935" s="69" t="n"/>
      <c r="BS935" s="73" t="n">
        <v>46276</v>
      </c>
      <c r="BU935" s="76">
        <f>IF($C935="","",IFERROR(INDEX(dmName,MATCH($C935,dmID,0)),"Unmapped"))</f>
        <v/>
      </c>
      <c r="BV935" s="76">
        <f>IF($C935="","",IFERROR(INDEX(dmEntity,MATCH($C935,dmID,0)),"Unmapped"))</f>
        <v/>
      </c>
      <c r="BW935" s="77">
        <f>IF($C935="","",IFERROR(INDEX(dmVintage,MATCH($C935,dmID,0)),""))</f>
        <v/>
      </c>
      <c r="BX935" s="78">
        <f>IFERROR(INDEX(dmInclude,MATCH($C935,dmID,0)),0)</f>
        <v/>
      </c>
      <c r="BY935" s="78">
        <f>IF(N($I935)&gt;0,1,0)</f>
        <v/>
      </c>
      <c r="BZ935" s="76">
        <f>IF($AJ935="","Other / Leased Fee",IFERROR(INDEX(mapPTGroup,MATCH(LEFT(TRIM($AJ935),2),mapPTCode,0)),"Other / Leased Fee"))</f>
        <v/>
      </c>
      <c r="CA935" s="76">
        <f>IF(TRIM($AF935&amp;"")="","NR",LEFT(TRIM($AF935),2))</f>
        <v/>
      </c>
      <c r="CB935" s="76">
        <f>IFERROR(LOOKUP(2,1/(LEFT(TRIM($AI935&amp;""),LEN(mapRegion))=mapRegion),mapRegion),"Not Reported")</f>
        <v/>
      </c>
      <c r="CC935" s="76">
        <f>IF($BY935=0,"",IF(TRIM($W935&amp;"")="REO","REO",IF(TRIM($W935&amp;"")="FC","Foreclosure",IF(TRIM($W935&amp;"")="90+","90+ Days Delinquent",IF(TRIM($W935&amp;"")="60","60 Days Delinquent",IF(TRIM($W935&amp;"")="30","30 Days Delinquent",IF($X935="Non-Performing Matured Balloon","Non-Performing Matured Balloon",IF(OR($X935="Late Payment But Less Than 30 Days Delinquent",LEFT($X935&amp;"",20)="Payment Not Received"),"Late / In Grace (&lt;30 Days)",IF($X935="Performing Matured Balloon","Performing Matured Balloon","Current")))))))))</f>
        <v/>
      </c>
      <c r="CD935" s="78">
        <f>IF(OR($CC935="REO",$CC935="Foreclosure",$CC935="90+ Days Delinquent",$CC935="60 Days Delinquent",$CC935="30 Days Delinquent",$CC935="Non-Performing Matured Balloon"),1,0)</f>
        <v/>
      </c>
      <c r="CE935" s="76">
        <f>IF($AB935="Currently special serv","Currently Specially Serviced",IF($AB935="Returned to master serv","Previously Specially Serviced","Never Specially Serviced"))</f>
        <v/>
      </c>
      <c r="CF935" s="78">
        <f>IF($CE935="Currently Specially Serviced",1,0)</f>
        <v/>
      </c>
      <c r="CG935" s="76">
        <f>IF($AA935="Yes","Currently on Watchlist",IF($AA935="Previously","Previously on Watchlist","Never on Watchlist"))</f>
        <v/>
      </c>
      <c r="CH935" s="78">
        <f>IF($CG935="Currently on Watchlist",1,0)</f>
        <v/>
      </c>
      <c r="CI935" s="76">
        <f>IF($Z935="Full Defeasance","Fully Defeased",IF($Z935="Portion Of Loan Previously Defeased","Partially Defeased",IF($Z935="Defeasance Not Allowable","Not Defeased (Not Permitted)","Not Defeased")))</f>
        <v/>
      </c>
      <c r="CJ935" s="78">
        <f>IF($CI935="Fully Defeased",1,0)</f>
        <v/>
      </c>
      <c r="CK935" s="76">
        <f>IF($R935="IO","Full IO",IF(LEFT($R935&amp;"",7)="IO then","Partial IO","Amortizing"))</f>
        <v/>
      </c>
      <c r="CL935" s="78">
        <f>IF($CK935="Full IO",1,0)</f>
        <v/>
      </c>
      <c r="CM935" s="78">
        <f>IF($CK935="Partial IO",1,0)</f>
        <v/>
      </c>
      <c r="CN935" s="76">
        <f>IF(LEFT($F935&amp;"",10)="SPLIT_LOAN","Pari Passu Split","Standalone")</f>
        <v/>
      </c>
      <c r="CO935" s="78">
        <f>IF($CN935="Pari Passu Split",1,0)</f>
        <v/>
      </c>
      <c r="CP935" s="77">
        <f>IF(ISNUMBER($T935),YEAR($T935),"")</f>
        <v/>
      </c>
      <c r="CQ935" s="79">
        <f>IF(ISNUMBER($V935),$V935,IF(ISNUMBER($U935),$U935,""))</f>
        <v/>
      </c>
      <c r="CR935" s="77">
        <f>IF(ISNUMBER($CQ935),YEAR($CQ935),"")</f>
        <v/>
      </c>
      <c r="CS935" s="78">
        <f>IF(ISNUMBER($M935),MAX(0,$M935),IF(TRIM($M935&amp;"")="matured",0,""))</f>
        <v/>
      </c>
      <c r="CT935" s="78">
        <f>IF(AND(ISNUMBER($CS935),N($CS935)&lt;=mMatWindow),1,0)</f>
        <v/>
      </c>
      <c r="CU935" s="80">
        <f>IF(ISNUMBER($J935),$J935/100,"")</f>
        <v/>
      </c>
      <c r="CV935" s="81">
        <f>IF(ISNUMBER($AQ935),$AQ935,"")</f>
        <v/>
      </c>
      <c r="CW935" s="81">
        <f>IF(ISNUMBER($AR935),$AR935,"")</f>
        <v/>
      </c>
      <c r="CX935" s="82">
        <f>IF(ISNUMBER($AS935),$AS935/100,"")</f>
        <v/>
      </c>
      <c r="CY935" s="82">
        <f>IF(ISNUMBER($AT935),$AT935/100,"")</f>
        <v/>
      </c>
      <c r="CZ935" s="82">
        <f>IF(ISNUMBER($AU935),$AU935/100,"")</f>
        <v/>
      </c>
      <c r="DA935" s="82">
        <f>IF(ISNUMBER($AV935),$AV935/100,"")</f>
        <v/>
      </c>
      <c r="DB935" s="82">
        <f>IF(ISNUMBER($AW935),$AW935/100,"")</f>
        <v/>
      </c>
      <c r="DC935" s="82">
        <f>IF(ISNUMBER($AX935),$AX935/100,"")</f>
        <v/>
      </c>
      <c r="DD935" s="77">
        <f>IFERROR(VALUE(LEFT(TRIM($AO935&amp;""),4)),"")</f>
        <v/>
      </c>
      <c r="DE935" s="78">
        <f>IF(AND($BY935=1,$BX935=1,OR(fDeal="All Deals",$BU935=fDeal),OR(fEntity="All Entities",$BV935=fEntity),OR(fPType="All Property Types",$BZ935=fPType),OR(fDefeased="Include",$CJ935=0)),1,0)</f>
        <v/>
      </c>
      <c r="DF935" s="83">
        <f>$DE935*N($I935)</f>
        <v/>
      </c>
      <c r="DG935" s="78">
        <f>IF($DE935=1,IF(COUNTIFS($F$8:$F935,$F935,$DE$8:$DE935,1)=1,1,0),0)</f>
        <v/>
      </c>
      <c r="DH935" s="83">
        <f>IF($DG935=1,SUMIFS($DF$8:$DF$1600,$F$8:$F$1600,$F935),0)</f>
        <v/>
      </c>
      <c r="DI935" s="78">
        <f>IF($DG935=1,COUNTIFS($F$8:$F$1600,$F935,$DE$8:$DE$1600,1),0)</f>
        <v/>
      </c>
      <c r="DJ935" s="84">
        <f>IF($DG935=1,$DH935+(100000-ROW())/mTieBreak,0)</f>
        <v/>
      </c>
    </row>
    <row r="936">
      <c r="B936" s="68" t="n">
        <v>33</v>
      </c>
      <c r="C936" s="69" t="inlineStr">
        <is>
          <t>CCUB17C1</t>
        </is>
      </c>
      <c r="D936" s="69" t="inlineStr">
        <is>
          <t>33.000</t>
        </is>
      </c>
      <c r="E936" s="69" t="inlineStr">
        <is>
          <t>Southpointe Retail</t>
        </is>
      </c>
      <c r="F936" s="69" t="inlineStr">
        <is>
          <t>LNCCUB17C1-33.000</t>
        </is>
      </c>
      <c r="G936" s="70" t="n"/>
      <c r="H936" s="71" t="n">
        <v>3550000</v>
      </c>
      <c r="I936" s="71" t="n">
        <v>3159435.68999985</v>
      </c>
      <c r="J936" s="72" t="n">
        <v>5.08</v>
      </c>
      <c r="K936" s="69" t="inlineStr">
        <is>
          <t>Fixed rate</t>
        </is>
      </c>
      <c r="L936" s="68" t="n">
        <v>120</v>
      </c>
      <c r="M936" s="68" t="n">
        <v>14</v>
      </c>
      <c r="N936" s="68" t="n">
        <v>384</v>
      </c>
      <c r="O936" s="68" t="n">
        <v>24</v>
      </c>
      <c r="P936" s="68" t="n">
        <v>0</v>
      </c>
      <c r="Q936" s="68" t="n">
        <v>106</v>
      </c>
      <c r="R936" s="69" t="inlineStr">
        <is>
          <t>IO then Amort</t>
        </is>
      </c>
      <c r="S936" s="69" t="inlineStr">
        <is>
          <t>No</t>
        </is>
      </c>
      <c r="T936" s="73" t="n">
        <v>43040</v>
      </c>
      <c r="U936" s="73" t="n">
        <v>46697</v>
      </c>
      <c r="V936" s="73" t="n"/>
      <c r="W936" s="69" t="n"/>
      <c r="X936" s="69" t="inlineStr">
        <is>
          <t>Current</t>
        </is>
      </c>
      <c r="Y936" s="68" t="n"/>
      <c r="Z936" s="69" t="inlineStr">
        <is>
          <t>No Defeasance Occurred</t>
        </is>
      </c>
      <c r="AA936" s="69" t="inlineStr">
        <is>
          <t>Previously</t>
        </is>
      </c>
      <c r="AB936" s="69" t="inlineStr">
        <is>
          <t>Never special serv</t>
        </is>
      </c>
      <c r="AC936" s="73" t="n"/>
      <c r="AD936" s="69" t="n"/>
      <c r="AE936" s="69" t="n"/>
      <c r="AF936" s="69" t="inlineStr">
        <is>
          <t>NC</t>
        </is>
      </c>
      <c r="AG936" s="69" t="inlineStr">
        <is>
          <t>Durham</t>
        </is>
      </c>
      <c r="AH936" s="69" t="inlineStr">
        <is>
          <t>Durham-Chapel Hill, NC</t>
        </is>
      </c>
      <c r="AI936" s="69" t="inlineStr">
        <is>
          <t>South / Atlantic</t>
        </is>
      </c>
      <c r="AJ936" s="69" t="inlineStr">
        <is>
          <t>RT</t>
        </is>
      </c>
      <c r="AK936" s="69" t="inlineStr">
        <is>
          <t>Unanchored</t>
        </is>
      </c>
      <c r="AL936" s="68" t="n">
        <v>1</v>
      </c>
      <c r="AM936" s="68" t="n"/>
      <c r="AN936" s="68" t="n">
        <v>10366</v>
      </c>
      <c r="AO936" s="69" t="inlineStr">
        <is>
          <t>2004</t>
        </is>
      </c>
      <c r="AP936" s="70" t="n">
        <v>2004</v>
      </c>
      <c r="AQ936" s="74" t="n">
        <v>1.33</v>
      </c>
      <c r="AR936" s="74" t="n">
        <v>1.26</v>
      </c>
      <c r="AS936" s="74" t="n">
        <v>72.40000000000001</v>
      </c>
      <c r="AT936" s="74" t="n">
        <v>64.48</v>
      </c>
      <c r="AU936" s="74" t="n">
        <v>62.8</v>
      </c>
      <c r="AV936" s="74" t="n">
        <v>8.625098592000001</v>
      </c>
      <c r="AW936" s="74" t="n">
        <v>9.190047162999999</v>
      </c>
      <c r="AX936" s="75" t="n">
        <v>100</v>
      </c>
      <c r="AY936" s="71" t="n">
        <v>4900000</v>
      </c>
      <c r="AZ936" s="71" t="n">
        <v>4900000</v>
      </c>
      <c r="BA936" s="71" t="n">
        <v>306191</v>
      </c>
      <c r="BB936" s="71" t="n">
        <v>290353.63</v>
      </c>
      <c r="BC936" s="69" t="inlineStr">
        <is>
          <t>Refinance</t>
        </is>
      </c>
      <c r="BD936" s="69" t="inlineStr">
        <is>
          <t>N</t>
        </is>
      </c>
      <c r="BE936" s="71" t="n"/>
      <c r="BF936" s="71" t="n"/>
      <c r="BG936" s="71" t="n"/>
      <c r="BH936" s="71" t="n">
        <v>0</v>
      </c>
      <c r="BI936" s="71" t="n">
        <v>0</v>
      </c>
      <c r="BJ936" s="69" t="inlineStr">
        <is>
          <t>N</t>
        </is>
      </c>
      <c r="BK936" s="69" t="inlineStr">
        <is>
          <t>Mattress Firm Inc. Store #013014 00018609</t>
        </is>
      </c>
      <c r="BL936" s="75" t="n">
        <v>26.34</v>
      </c>
      <c r="BM936" s="73" t="n">
        <v>47026</v>
      </c>
      <c r="BN936" s="69" t="inlineStr">
        <is>
          <t>Amy Khan</t>
        </is>
      </c>
      <c r="BO936" s="69" t="inlineStr">
        <is>
          <t>Cantor Commercial Real Estate Lending</t>
        </is>
      </c>
      <c r="BP936" s="69" t="inlineStr">
        <is>
          <t>Midland Loan Services</t>
        </is>
      </c>
      <c r="BQ936" s="69" t="inlineStr">
        <is>
          <t>Midland Loan Services</t>
        </is>
      </c>
      <c r="BR936" s="69" t="n"/>
      <c r="BS936" s="73" t="n">
        <v>46276</v>
      </c>
      <c r="BU936" s="76">
        <f>IF($C936="","",IFERROR(INDEX(dmName,MATCH($C936,dmID,0)),"Unmapped"))</f>
        <v/>
      </c>
      <c r="BV936" s="76">
        <f>IF($C936="","",IFERROR(INDEX(dmEntity,MATCH($C936,dmID,0)),"Unmapped"))</f>
        <v/>
      </c>
      <c r="BW936" s="77">
        <f>IF($C936="","",IFERROR(INDEX(dmVintage,MATCH($C936,dmID,0)),""))</f>
        <v/>
      </c>
      <c r="BX936" s="78">
        <f>IFERROR(INDEX(dmInclude,MATCH($C936,dmID,0)),0)</f>
        <v/>
      </c>
      <c r="BY936" s="78">
        <f>IF(N($I936)&gt;0,1,0)</f>
        <v/>
      </c>
      <c r="BZ936" s="76">
        <f>IF($AJ936="","Other / Leased Fee",IFERROR(INDEX(mapPTGroup,MATCH(LEFT(TRIM($AJ936),2),mapPTCode,0)),"Other / Leased Fee"))</f>
        <v/>
      </c>
      <c r="CA936" s="76">
        <f>IF(TRIM($AF936&amp;"")="","NR",LEFT(TRIM($AF936),2))</f>
        <v/>
      </c>
      <c r="CB936" s="76">
        <f>IFERROR(LOOKUP(2,1/(LEFT(TRIM($AI936&amp;""),LEN(mapRegion))=mapRegion),mapRegion),"Not Reported")</f>
        <v/>
      </c>
      <c r="CC936" s="76">
        <f>IF($BY936=0,"",IF(TRIM($W936&amp;"")="REO","REO",IF(TRIM($W936&amp;"")="FC","Foreclosure",IF(TRIM($W936&amp;"")="90+","90+ Days Delinquent",IF(TRIM($W936&amp;"")="60","60 Days Delinquent",IF(TRIM($W936&amp;"")="30","30 Days Delinquent",IF($X936="Non-Performing Matured Balloon","Non-Performing Matured Balloon",IF(OR($X936="Late Payment But Less Than 30 Days Delinquent",LEFT($X936&amp;"",20)="Payment Not Received"),"Late / In Grace (&lt;30 Days)",IF($X936="Performing Matured Balloon","Performing Matured Balloon","Current")))))))))</f>
        <v/>
      </c>
      <c r="CD936" s="78">
        <f>IF(OR($CC936="REO",$CC936="Foreclosure",$CC936="90+ Days Delinquent",$CC936="60 Days Delinquent",$CC936="30 Days Delinquent",$CC936="Non-Performing Matured Balloon"),1,0)</f>
        <v/>
      </c>
      <c r="CE936" s="76">
        <f>IF($AB936="Currently special serv","Currently Specially Serviced",IF($AB936="Returned to master serv","Previously Specially Serviced","Never Specially Serviced"))</f>
        <v/>
      </c>
      <c r="CF936" s="78">
        <f>IF($CE936="Currently Specially Serviced",1,0)</f>
        <v/>
      </c>
      <c r="CG936" s="76">
        <f>IF($AA936="Yes","Currently on Watchlist",IF($AA936="Previously","Previously on Watchlist","Never on Watchlist"))</f>
        <v/>
      </c>
      <c r="CH936" s="78">
        <f>IF($CG936="Currently on Watchlist",1,0)</f>
        <v/>
      </c>
      <c r="CI936" s="76">
        <f>IF($Z936="Full Defeasance","Fully Defeased",IF($Z936="Portion Of Loan Previously Defeased","Partially Defeased",IF($Z936="Defeasance Not Allowable","Not Defeased (Not Permitted)","Not Defeased")))</f>
        <v/>
      </c>
      <c r="CJ936" s="78">
        <f>IF($CI936="Fully Defeased",1,0)</f>
        <v/>
      </c>
      <c r="CK936" s="76">
        <f>IF($R936="IO","Full IO",IF(LEFT($R936&amp;"",7)="IO then","Partial IO","Amortizing"))</f>
        <v/>
      </c>
      <c r="CL936" s="78">
        <f>IF($CK936="Full IO",1,0)</f>
        <v/>
      </c>
      <c r="CM936" s="78">
        <f>IF($CK936="Partial IO",1,0)</f>
        <v/>
      </c>
      <c r="CN936" s="76">
        <f>IF(LEFT($F936&amp;"",10)="SPLIT_LOAN","Pari Passu Split","Standalone")</f>
        <v/>
      </c>
      <c r="CO936" s="78">
        <f>IF($CN936="Pari Passu Split",1,0)</f>
        <v/>
      </c>
      <c r="CP936" s="77">
        <f>IF(ISNUMBER($T936),YEAR($T936),"")</f>
        <v/>
      </c>
      <c r="CQ936" s="79">
        <f>IF(ISNUMBER($V936),$V936,IF(ISNUMBER($U936),$U936,""))</f>
        <v/>
      </c>
      <c r="CR936" s="77">
        <f>IF(ISNUMBER($CQ936),YEAR($CQ936),"")</f>
        <v/>
      </c>
      <c r="CS936" s="78">
        <f>IF(ISNUMBER($M936),MAX(0,$M936),IF(TRIM($M936&amp;"")="matured",0,""))</f>
        <v/>
      </c>
      <c r="CT936" s="78">
        <f>IF(AND(ISNUMBER($CS936),N($CS936)&lt;=mMatWindow),1,0)</f>
        <v/>
      </c>
      <c r="CU936" s="80">
        <f>IF(ISNUMBER($J936),$J936/100,"")</f>
        <v/>
      </c>
      <c r="CV936" s="81">
        <f>IF(ISNUMBER($AQ936),$AQ936,"")</f>
        <v/>
      </c>
      <c r="CW936" s="81">
        <f>IF(ISNUMBER($AR936),$AR936,"")</f>
        <v/>
      </c>
      <c r="CX936" s="82">
        <f>IF(ISNUMBER($AS936),$AS936/100,"")</f>
        <v/>
      </c>
      <c r="CY936" s="82">
        <f>IF(ISNUMBER($AT936),$AT936/100,"")</f>
        <v/>
      </c>
      <c r="CZ936" s="82">
        <f>IF(ISNUMBER($AU936),$AU936/100,"")</f>
        <v/>
      </c>
      <c r="DA936" s="82">
        <f>IF(ISNUMBER($AV936),$AV936/100,"")</f>
        <v/>
      </c>
      <c r="DB936" s="82">
        <f>IF(ISNUMBER($AW936),$AW936/100,"")</f>
        <v/>
      </c>
      <c r="DC936" s="82">
        <f>IF(ISNUMBER($AX936),$AX936/100,"")</f>
        <v/>
      </c>
      <c r="DD936" s="77">
        <f>IFERROR(VALUE(LEFT(TRIM($AO936&amp;""),4)),"")</f>
        <v/>
      </c>
      <c r="DE936" s="78">
        <f>IF(AND($BY936=1,$BX936=1,OR(fDeal="All Deals",$BU936=fDeal),OR(fEntity="All Entities",$BV936=fEntity),OR(fPType="All Property Types",$BZ936=fPType),OR(fDefeased="Include",$CJ936=0)),1,0)</f>
        <v/>
      </c>
      <c r="DF936" s="83">
        <f>$DE936*N($I936)</f>
        <v/>
      </c>
      <c r="DG936" s="78">
        <f>IF($DE936=1,IF(COUNTIFS($F$8:$F936,$F936,$DE$8:$DE936,1)=1,1,0),0)</f>
        <v/>
      </c>
      <c r="DH936" s="83">
        <f>IF($DG936=1,SUMIFS($DF$8:$DF$1600,$F$8:$F$1600,$F936),0)</f>
        <v/>
      </c>
      <c r="DI936" s="78">
        <f>IF($DG936=1,COUNTIFS($F$8:$F$1600,$F936,$DE$8:$DE$1600,1),0)</f>
        <v/>
      </c>
      <c r="DJ936" s="84">
        <f>IF($DG936=1,$DH936+(100000-ROW())/mTieBreak,0)</f>
        <v/>
      </c>
    </row>
    <row r="937">
      <c r="B937" s="68" t="n">
        <v>34</v>
      </c>
      <c r="C937" s="69" t="inlineStr">
        <is>
          <t>CCUB17C1</t>
        </is>
      </c>
      <c r="D937" s="69" t="inlineStr">
        <is>
          <t>34.000</t>
        </is>
      </c>
      <c r="E937" s="69" t="inlineStr">
        <is>
          <t>Willowood Apartments</t>
        </is>
      </c>
      <c r="F937" s="69" t="inlineStr">
        <is>
          <t>LNCCUB17C1-34.000</t>
        </is>
      </c>
      <c r="G937" s="70" t="n"/>
      <c r="H937" s="71" t="n">
        <v>3200000</v>
      </c>
      <c r="I937" s="71" t="n">
        <v>2724440.1</v>
      </c>
      <c r="J937" s="72" t="n">
        <v>5.1537</v>
      </c>
      <c r="K937" s="69" t="inlineStr">
        <is>
          <t>Fixed rate</t>
        </is>
      </c>
      <c r="L937" s="68" t="n">
        <v>120</v>
      </c>
      <c r="M937" s="68" t="n">
        <v>14</v>
      </c>
      <c r="N937" s="68" t="n">
        <v>360</v>
      </c>
      <c r="O937" s="68" t="n"/>
      <c r="P937" s="68" t="n"/>
      <c r="Q937" s="68" t="n">
        <v>106</v>
      </c>
      <c r="R937" s="69" t="n"/>
      <c r="S937" s="69" t="inlineStr">
        <is>
          <t>No</t>
        </is>
      </c>
      <c r="T937" s="73" t="n">
        <v>43040</v>
      </c>
      <c r="U937" s="73" t="n">
        <v>46697</v>
      </c>
      <c r="V937" s="73" t="n"/>
      <c r="W937" s="69" t="n"/>
      <c r="X937" s="69" t="inlineStr">
        <is>
          <t>Current</t>
        </is>
      </c>
      <c r="Y937" s="68" t="n"/>
      <c r="Z937" s="69" t="inlineStr">
        <is>
          <t>Full Defeasance</t>
        </is>
      </c>
      <c r="AA937" s="69" t="inlineStr">
        <is>
          <t>Previously</t>
        </is>
      </c>
      <c r="AB937" s="69" t="inlineStr">
        <is>
          <t>Never special serv</t>
        </is>
      </c>
      <c r="AC937" s="73" t="n"/>
      <c r="AD937" s="69" t="n"/>
      <c r="AE937" s="69" t="n"/>
      <c r="AF937" s="69" t="inlineStr">
        <is>
          <t>OH</t>
        </is>
      </c>
      <c r="AG937" s="69" t="inlineStr">
        <is>
          <t>Trotwood</t>
        </is>
      </c>
      <c r="AH937" s="69" t="inlineStr">
        <is>
          <t>Dayton-Kettering-Beavercreek, OH</t>
        </is>
      </c>
      <c r="AI937" s="69" t="inlineStr">
        <is>
          <t>Midwest / Central East</t>
        </is>
      </c>
      <c r="AJ937" s="69" t="inlineStr">
        <is>
          <t>MF</t>
        </is>
      </c>
      <c r="AK937" s="69" t="inlineStr">
        <is>
          <t>Garden</t>
        </is>
      </c>
      <c r="AL937" s="68" t="n">
        <v>1</v>
      </c>
      <c r="AM937" s="68" t="n">
        <v>124</v>
      </c>
      <c r="AN937" s="68" t="n"/>
      <c r="AO937" s="69" t="inlineStr">
        <is>
          <t>1985; 1986</t>
        </is>
      </c>
      <c r="AP937" s="70" t="n">
        <v>1986</v>
      </c>
      <c r="AQ937" s="74" t="n">
        <v>1.58</v>
      </c>
      <c r="AR937" s="74" t="n">
        <v>2.86</v>
      </c>
      <c r="AS937" s="74" t="n">
        <v>73.40000000000001</v>
      </c>
      <c r="AT937" s="74" t="n">
        <v>62.49</v>
      </c>
      <c r="AU937" s="74" t="n">
        <v>60.6</v>
      </c>
      <c r="AV937" s="74" t="n">
        <v>10.3808125</v>
      </c>
      <c r="AW937" s="74" t="n">
        <v>17.866378123</v>
      </c>
      <c r="AX937" s="75" t="n">
        <v>93</v>
      </c>
      <c r="AY937" s="71" t="n">
        <v>4360000</v>
      </c>
      <c r="AZ937" s="71" t="n">
        <v>4360000</v>
      </c>
      <c r="BA937" s="71" t="n">
        <v>332186</v>
      </c>
      <c r="BB937" s="71" t="n">
        <v>599016.3</v>
      </c>
      <c r="BC937" s="69" t="inlineStr">
        <is>
          <t>Refinance</t>
        </is>
      </c>
      <c r="BD937" s="69" t="inlineStr">
        <is>
          <t>N</t>
        </is>
      </c>
      <c r="BE937" s="71" t="n"/>
      <c r="BF937" s="71" t="n"/>
      <c r="BG937" s="71" t="n"/>
      <c r="BH937" s="71" t="n">
        <v>0</v>
      </c>
      <c r="BI937" s="71" t="n">
        <v>0</v>
      </c>
      <c r="BJ937" s="69" t="inlineStr">
        <is>
          <t>N</t>
        </is>
      </c>
      <c r="BK937" s="69" t="n"/>
      <c r="BL937" s="75" t="n"/>
      <c r="BM937" s="73" t="n"/>
      <c r="BN937" s="69" t="inlineStr">
        <is>
          <t>Miriam Taub</t>
        </is>
      </c>
      <c r="BO937" s="69" t="inlineStr">
        <is>
          <t>UBS</t>
        </is>
      </c>
      <c r="BP937" s="69" t="inlineStr">
        <is>
          <t>Midland Loan Services</t>
        </is>
      </c>
      <c r="BQ937" s="69" t="inlineStr">
        <is>
          <t>Midland Loan Services</t>
        </is>
      </c>
      <c r="BR937" s="69" t="n"/>
      <c r="BS937" s="73" t="n">
        <v>46276</v>
      </c>
      <c r="BU937" s="76">
        <f>IF($C937="","",IFERROR(INDEX(dmName,MATCH($C937,dmID,0)),"Unmapped"))</f>
        <v/>
      </c>
      <c r="BV937" s="76">
        <f>IF($C937="","",IFERROR(INDEX(dmEntity,MATCH($C937,dmID,0)),"Unmapped"))</f>
        <v/>
      </c>
      <c r="BW937" s="77">
        <f>IF($C937="","",IFERROR(INDEX(dmVintage,MATCH($C937,dmID,0)),""))</f>
        <v/>
      </c>
      <c r="BX937" s="78">
        <f>IFERROR(INDEX(dmInclude,MATCH($C937,dmID,0)),0)</f>
        <v/>
      </c>
      <c r="BY937" s="78">
        <f>IF(N($I937)&gt;0,1,0)</f>
        <v/>
      </c>
      <c r="BZ937" s="76">
        <f>IF($AJ937="","Other / Leased Fee",IFERROR(INDEX(mapPTGroup,MATCH(LEFT(TRIM($AJ937),2),mapPTCode,0)),"Other / Leased Fee"))</f>
        <v/>
      </c>
      <c r="CA937" s="76">
        <f>IF(TRIM($AF937&amp;"")="","NR",LEFT(TRIM($AF937),2))</f>
        <v/>
      </c>
      <c r="CB937" s="76">
        <f>IFERROR(LOOKUP(2,1/(LEFT(TRIM($AI937&amp;""),LEN(mapRegion))=mapRegion),mapRegion),"Not Reported")</f>
        <v/>
      </c>
      <c r="CC937" s="76">
        <f>IF($BY937=0,"",IF(TRIM($W937&amp;"")="REO","REO",IF(TRIM($W937&amp;"")="FC","Foreclosure",IF(TRIM($W937&amp;"")="90+","90+ Days Delinquent",IF(TRIM($W937&amp;"")="60","60 Days Delinquent",IF(TRIM($W937&amp;"")="30","30 Days Delinquent",IF($X937="Non-Performing Matured Balloon","Non-Performing Matured Balloon",IF(OR($X937="Late Payment But Less Than 30 Days Delinquent",LEFT($X937&amp;"",20)="Payment Not Received"),"Late / In Grace (&lt;30 Days)",IF($X937="Performing Matured Balloon","Performing Matured Balloon","Current")))))))))</f>
        <v/>
      </c>
      <c r="CD937" s="78">
        <f>IF(OR($CC937="REO",$CC937="Foreclosure",$CC937="90+ Days Delinquent",$CC937="60 Days Delinquent",$CC937="30 Days Delinquent",$CC937="Non-Performing Matured Balloon"),1,0)</f>
        <v/>
      </c>
      <c r="CE937" s="76">
        <f>IF($AB937="Currently special serv","Currently Specially Serviced",IF($AB937="Returned to master serv","Previously Specially Serviced","Never Specially Serviced"))</f>
        <v/>
      </c>
      <c r="CF937" s="78">
        <f>IF($CE937="Currently Specially Serviced",1,0)</f>
        <v/>
      </c>
      <c r="CG937" s="76">
        <f>IF($AA937="Yes","Currently on Watchlist",IF($AA937="Previously","Previously on Watchlist","Never on Watchlist"))</f>
        <v/>
      </c>
      <c r="CH937" s="78">
        <f>IF($CG937="Currently on Watchlist",1,0)</f>
        <v/>
      </c>
      <c r="CI937" s="76">
        <f>IF($Z937="Full Defeasance","Fully Defeased",IF($Z937="Portion Of Loan Previously Defeased","Partially Defeased",IF($Z937="Defeasance Not Allowable","Not Defeased (Not Permitted)","Not Defeased")))</f>
        <v/>
      </c>
      <c r="CJ937" s="78">
        <f>IF($CI937="Fully Defeased",1,0)</f>
        <v/>
      </c>
      <c r="CK937" s="76">
        <f>IF($R937="IO","Full IO",IF(LEFT($R937&amp;"",7)="IO then","Partial IO","Amortizing"))</f>
        <v/>
      </c>
      <c r="CL937" s="78">
        <f>IF($CK937="Full IO",1,0)</f>
        <v/>
      </c>
      <c r="CM937" s="78">
        <f>IF($CK937="Partial IO",1,0)</f>
        <v/>
      </c>
      <c r="CN937" s="76">
        <f>IF(LEFT($F937&amp;"",10)="SPLIT_LOAN","Pari Passu Split","Standalone")</f>
        <v/>
      </c>
      <c r="CO937" s="78">
        <f>IF($CN937="Pari Passu Split",1,0)</f>
        <v/>
      </c>
      <c r="CP937" s="77">
        <f>IF(ISNUMBER($T937),YEAR($T937),"")</f>
        <v/>
      </c>
      <c r="CQ937" s="79">
        <f>IF(ISNUMBER($V937),$V937,IF(ISNUMBER($U937),$U937,""))</f>
        <v/>
      </c>
      <c r="CR937" s="77">
        <f>IF(ISNUMBER($CQ937),YEAR($CQ937),"")</f>
        <v/>
      </c>
      <c r="CS937" s="78">
        <f>IF(ISNUMBER($M937),MAX(0,$M937),IF(TRIM($M937&amp;"")="matured",0,""))</f>
        <v/>
      </c>
      <c r="CT937" s="78">
        <f>IF(AND(ISNUMBER($CS937),N($CS937)&lt;=mMatWindow),1,0)</f>
        <v/>
      </c>
      <c r="CU937" s="80">
        <f>IF(ISNUMBER($J937),$J937/100,"")</f>
        <v/>
      </c>
      <c r="CV937" s="81">
        <f>IF(ISNUMBER($AQ937),$AQ937,"")</f>
        <v/>
      </c>
      <c r="CW937" s="81">
        <f>IF(ISNUMBER($AR937),$AR937,"")</f>
        <v/>
      </c>
      <c r="CX937" s="82">
        <f>IF(ISNUMBER($AS937),$AS937/100,"")</f>
        <v/>
      </c>
      <c r="CY937" s="82">
        <f>IF(ISNUMBER($AT937),$AT937/100,"")</f>
        <v/>
      </c>
      <c r="CZ937" s="82">
        <f>IF(ISNUMBER($AU937),$AU937/100,"")</f>
        <v/>
      </c>
      <c r="DA937" s="82">
        <f>IF(ISNUMBER($AV937),$AV937/100,"")</f>
        <v/>
      </c>
      <c r="DB937" s="82">
        <f>IF(ISNUMBER($AW937),$AW937/100,"")</f>
        <v/>
      </c>
      <c r="DC937" s="82">
        <f>IF(ISNUMBER($AX937),$AX937/100,"")</f>
        <v/>
      </c>
      <c r="DD937" s="77">
        <f>IFERROR(VALUE(LEFT(TRIM($AO937&amp;""),4)),"")</f>
        <v/>
      </c>
      <c r="DE937" s="78">
        <f>IF(AND($BY937=1,$BX937=1,OR(fDeal="All Deals",$BU937=fDeal),OR(fEntity="All Entities",$BV937=fEntity),OR(fPType="All Property Types",$BZ937=fPType),OR(fDefeased="Include",$CJ937=0)),1,0)</f>
        <v/>
      </c>
      <c r="DF937" s="83">
        <f>$DE937*N($I937)</f>
        <v/>
      </c>
      <c r="DG937" s="78">
        <f>IF($DE937=1,IF(COUNTIFS($F$8:$F937,$F937,$DE$8:$DE937,1)=1,1,0),0)</f>
        <v/>
      </c>
      <c r="DH937" s="83">
        <f>IF($DG937=1,SUMIFS($DF$8:$DF$1600,$F$8:$F$1600,$F937),0)</f>
        <v/>
      </c>
      <c r="DI937" s="78">
        <f>IF($DG937=1,COUNTIFS($F$8:$F$1600,$F937,$DE$8:$DE$1600,1),0)</f>
        <v/>
      </c>
      <c r="DJ937" s="84">
        <f>IF($DG937=1,$DH937+(100000-ROW())/mTieBreak,0)</f>
        <v/>
      </c>
    </row>
    <row r="938">
      <c r="B938" s="68" t="n">
        <v>35</v>
      </c>
      <c r="C938" s="69" t="inlineStr">
        <is>
          <t>CCUB17C1</t>
        </is>
      </c>
      <c r="D938" s="69" t="inlineStr">
        <is>
          <t>35.000</t>
        </is>
      </c>
      <c r="E938" s="69" t="inlineStr">
        <is>
          <t>Bluebonnet Crossing</t>
        </is>
      </c>
      <c r="F938" s="69" t="inlineStr">
        <is>
          <t>LNCCUB17C1-35.000</t>
        </is>
      </c>
      <c r="G938" s="70" t="n"/>
      <c r="H938" s="71" t="n">
        <v>2650000</v>
      </c>
      <c r="I938" s="71" t="n">
        <v>2248584.5899988</v>
      </c>
      <c r="J938" s="72" t="n">
        <v>5.102</v>
      </c>
      <c r="K938" s="69" t="inlineStr">
        <is>
          <t>Fixed rate</t>
        </is>
      </c>
      <c r="L938" s="68" t="n">
        <v>120</v>
      </c>
      <c r="M938" s="68" t="n">
        <v>13</v>
      </c>
      <c r="N938" s="68" t="n">
        <v>360</v>
      </c>
      <c r="O938" s="68" t="n"/>
      <c r="P938" s="68" t="n"/>
      <c r="Q938" s="68" t="n">
        <v>107</v>
      </c>
      <c r="R938" s="69" t="n"/>
      <c r="S938" s="69" t="inlineStr">
        <is>
          <t>No</t>
        </is>
      </c>
      <c r="T938" s="73" t="n">
        <v>43009</v>
      </c>
      <c r="U938" s="73" t="n">
        <v>46666</v>
      </c>
      <c r="V938" s="73" t="n"/>
      <c r="W938" s="69" t="n"/>
      <c r="X938" s="69" t="inlineStr">
        <is>
          <t>Current</t>
        </is>
      </c>
      <c r="Y938" s="68" t="n"/>
      <c r="Z938" s="69" t="inlineStr">
        <is>
          <t>No Defeasance Occurred</t>
        </is>
      </c>
      <c r="AA938" s="69" t="inlineStr">
        <is>
          <t>Previously</t>
        </is>
      </c>
      <c r="AB938" s="69" t="inlineStr">
        <is>
          <t>Never special serv</t>
        </is>
      </c>
      <c r="AC938" s="73" t="n"/>
      <c r="AD938" s="69" t="n"/>
      <c r="AE938" s="69" t="n"/>
      <c r="AF938" s="69" t="inlineStr">
        <is>
          <t>LA</t>
        </is>
      </c>
      <c r="AG938" s="69" t="inlineStr">
        <is>
          <t>Baton Rouge</t>
        </is>
      </c>
      <c r="AH938" s="69" t="inlineStr">
        <is>
          <t>Baton Rouge, LA</t>
        </is>
      </c>
      <c r="AI938" s="69" t="inlineStr">
        <is>
          <t>South / Central West</t>
        </is>
      </c>
      <c r="AJ938" s="69" t="inlineStr">
        <is>
          <t>RT</t>
        </is>
      </c>
      <c r="AK938" s="69" t="inlineStr">
        <is>
          <t>Unanchored</t>
        </is>
      </c>
      <c r="AL938" s="68" t="n">
        <v>1</v>
      </c>
      <c r="AM938" s="68" t="n"/>
      <c r="AN938" s="68" t="n">
        <v>14398</v>
      </c>
      <c r="AO938" s="69" t="inlineStr">
        <is>
          <t>2005</t>
        </is>
      </c>
      <c r="AP938" s="70" t="n">
        <v>2005</v>
      </c>
      <c r="AQ938" s="74" t="n">
        <v>1.47</v>
      </c>
      <c r="AR938" s="74" t="n">
        <v>1.42</v>
      </c>
      <c r="AS938" s="74" t="n">
        <v>62.9</v>
      </c>
      <c r="AT938" s="74" t="n">
        <v>53.41</v>
      </c>
      <c r="AU938" s="74" t="n">
        <v>51.9</v>
      </c>
      <c r="AV938" s="74" t="n">
        <v>9.592603774000001</v>
      </c>
      <c r="AW938" s="74" t="n">
        <v>11.294396534</v>
      </c>
      <c r="AX938" s="75" t="n">
        <v>88</v>
      </c>
      <c r="AY938" s="71" t="n">
        <v>4210000</v>
      </c>
      <c r="AZ938" s="71" t="n">
        <v>4210000</v>
      </c>
      <c r="BA938" s="71" t="n">
        <v>254204</v>
      </c>
      <c r="BB938" s="71" t="n">
        <v>244734.5</v>
      </c>
      <c r="BC938" s="69" t="inlineStr">
        <is>
          <t>Refinance</t>
        </is>
      </c>
      <c r="BD938" s="69" t="inlineStr">
        <is>
          <t>N</t>
        </is>
      </c>
      <c r="BE938" s="71" t="n"/>
      <c r="BF938" s="71" t="n"/>
      <c r="BG938" s="71" t="n"/>
      <c r="BH938" s="71" t="n">
        <v>0</v>
      </c>
      <c r="BI938" s="71" t="n">
        <v>0</v>
      </c>
      <c r="BJ938" s="69" t="inlineStr">
        <is>
          <t>N</t>
        </is>
      </c>
      <c r="BK938" s="69" t="inlineStr">
        <is>
          <t>K&amp;F Restaurant #2 dba Izzo's Illegal Burrito t0075529</t>
        </is>
      </c>
      <c r="BL938" s="75" t="n">
        <v>23.34</v>
      </c>
      <c r="BM938" s="73" t="n">
        <v>47391</v>
      </c>
      <c r="BN938" s="69" t="inlineStr">
        <is>
          <t>Catherine Whiddon and Steven M. Samberg</t>
        </is>
      </c>
      <c r="BO938" s="69" t="inlineStr">
        <is>
          <t>Cantor Commercial Real Estate Lending</t>
        </is>
      </c>
      <c r="BP938" s="69" t="inlineStr">
        <is>
          <t>Midland Loan Services</t>
        </is>
      </c>
      <c r="BQ938" s="69" t="inlineStr">
        <is>
          <t>Midland Loan Services</t>
        </is>
      </c>
      <c r="BR938" s="69" t="n"/>
      <c r="BS938" s="73" t="n">
        <v>46276</v>
      </c>
      <c r="BU938" s="76">
        <f>IF($C938="","",IFERROR(INDEX(dmName,MATCH($C938,dmID,0)),"Unmapped"))</f>
        <v/>
      </c>
      <c r="BV938" s="76">
        <f>IF($C938="","",IFERROR(INDEX(dmEntity,MATCH($C938,dmID,0)),"Unmapped"))</f>
        <v/>
      </c>
      <c r="BW938" s="77">
        <f>IF($C938="","",IFERROR(INDEX(dmVintage,MATCH($C938,dmID,0)),""))</f>
        <v/>
      </c>
      <c r="BX938" s="78">
        <f>IFERROR(INDEX(dmInclude,MATCH($C938,dmID,0)),0)</f>
        <v/>
      </c>
      <c r="BY938" s="78">
        <f>IF(N($I938)&gt;0,1,0)</f>
        <v/>
      </c>
      <c r="BZ938" s="76">
        <f>IF($AJ938="","Other / Leased Fee",IFERROR(INDEX(mapPTGroup,MATCH(LEFT(TRIM($AJ938),2),mapPTCode,0)),"Other / Leased Fee"))</f>
        <v/>
      </c>
      <c r="CA938" s="76">
        <f>IF(TRIM($AF938&amp;"")="","NR",LEFT(TRIM($AF938),2))</f>
        <v/>
      </c>
      <c r="CB938" s="76">
        <f>IFERROR(LOOKUP(2,1/(LEFT(TRIM($AI938&amp;""),LEN(mapRegion))=mapRegion),mapRegion),"Not Reported")</f>
        <v/>
      </c>
      <c r="CC938" s="76">
        <f>IF($BY938=0,"",IF(TRIM($W938&amp;"")="REO","REO",IF(TRIM($W938&amp;"")="FC","Foreclosure",IF(TRIM($W938&amp;"")="90+","90+ Days Delinquent",IF(TRIM($W938&amp;"")="60","60 Days Delinquent",IF(TRIM($W938&amp;"")="30","30 Days Delinquent",IF($X938="Non-Performing Matured Balloon","Non-Performing Matured Balloon",IF(OR($X938="Late Payment But Less Than 30 Days Delinquent",LEFT($X938&amp;"",20)="Payment Not Received"),"Late / In Grace (&lt;30 Days)",IF($X938="Performing Matured Balloon","Performing Matured Balloon","Current")))))))))</f>
        <v/>
      </c>
      <c r="CD938" s="78">
        <f>IF(OR($CC938="REO",$CC938="Foreclosure",$CC938="90+ Days Delinquent",$CC938="60 Days Delinquent",$CC938="30 Days Delinquent",$CC938="Non-Performing Matured Balloon"),1,0)</f>
        <v/>
      </c>
      <c r="CE938" s="76">
        <f>IF($AB938="Currently special serv","Currently Specially Serviced",IF($AB938="Returned to master serv","Previously Specially Serviced","Never Specially Serviced"))</f>
        <v/>
      </c>
      <c r="CF938" s="78">
        <f>IF($CE938="Currently Specially Serviced",1,0)</f>
        <v/>
      </c>
      <c r="CG938" s="76">
        <f>IF($AA938="Yes","Currently on Watchlist",IF($AA938="Previously","Previously on Watchlist","Never on Watchlist"))</f>
        <v/>
      </c>
      <c r="CH938" s="78">
        <f>IF($CG938="Currently on Watchlist",1,0)</f>
        <v/>
      </c>
      <c r="CI938" s="76">
        <f>IF($Z938="Full Defeasance","Fully Defeased",IF($Z938="Portion Of Loan Previously Defeased","Partially Defeased",IF($Z938="Defeasance Not Allowable","Not Defeased (Not Permitted)","Not Defeased")))</f>
        <v/>
      </c>
      <c r="CJ938" s="78">
        <f>IF($CI938="Fully Defeased",1,0)</f>
        <v/>
      </c>
      <c r="CK938" s="76">
        <f>IF($R938="IO","Full IO",IF(LEFT($R938&amp;"",7)="IO then","Partial IO","Amortizing"))</f>
        <v/>
      </c>
      <c r="CL938" s="78">
        <f>IF($CK938="Full IO",1,0)</f>
        <v/>
      </c>
      <c r="CM938" s="78">
        <f>IF($CK938="Partial IO",1,0)</f>
        <v/>
      </c>
      <c r="CN938" s="76">
        <f>IF(LEFT($F938&amp;"",10)="SPLIT_LOAN","Pari Passu Split","Standalone")</f>
        <v/>
      </c>
      <c r="CO938" s="78">
        <f>IF($CN938="Pari Passu Split",1,0)</f>
        <v/>
      </c>
      <c r="CP938" s="77">
        <f>IF(ISNUMBER($T938),YEAR($T938),"")</f>
        <v/>
      </c>
      <c r="CQ938" s="79">
        <f>IF(ISNUMBER($V938),$V938,IF(ISNUMBER($U938),$U938,""))</f>
        <v/>
      </c>
      <c r="CR938" s="77">
        <f>IF(ISNUMBER($CQ938),YEAR($CQ938),"")</f>
        <v/>
      </c>
      <c r="CS938" s="78">
        <f>IF(ISNUMBER($M938),MAX(0,$M938),IF(TRIM($M938&amp;"")="matured",0,""))</f>
        <v/>
      </c>
      <c r="CT938" s="78">
        <f>IF(AND(ISNUMBER($CS938),N($CS938)&lt;=mMatWindow),1,0)</f>
        <v/>
      </c>
      <c r="CU938" s="80">
        <f>IF(ISNUMBER($J938),$J938/100,"")</f>
        <v/>
      </c>
      <c r="CV938" s="81">
        <f>IF(ISNUMBER($AQ938),$AQ938,"")</f>
        <v/>
      </c>
      <c r="CW938" s="81">
        <f>IF(ISNUMBER($AR938),$AR938,"")</f>
        <v/>
      </c>
      <c r="CX938" s="82">
        <f>IF(ISNUMBER($AS938),$AS938/100,"")</f>
        <v/>
      </c>
      <c r="CY938" s="82">
        <f>IF(ISNUMBER($AT938),$AT938/100,"")</f>
        <v/>
      </c>
      <c r="CZ938" s="82">
        <f>IF(ISNUMBER($AU938),$AU938/100,"")</f>
        <v/>
      </c>
      <c r="DA938" s="82">
        <f>IF(ISNUMBER($AV938),$AV938/100,"")</f>
        <v/>
      </c>
      <c r="DB938" s="82">
        <f>IF(ISNUMBER($AW938),$AW938/100,"")</f>
        <v/>
      </c>
      <c r="DC938" s="82">
        <f>IF(ISNUMBER($AX938),$AX938/100,"")</f>
        <v/>
      </c>
      <c r="DD938" s="77">
        <f>IFERROR(VALUE(LEFT(TRIM($AO938&amp;""),4)),"")</f>
        <v/>
      </c>
      <c r="DE938" s="78">
        <f>IF(AND($BY938=1,$BX938=1,OR(fDeal="All Deals",$BU938=fDeal),OR(fEntity="All Entities",$BV938=fEntity),OR(fPType="All Property Types",$BZ938=fPType),OR(fDefeased="Include",$CJ938=0)),1,0)</f>
        <v/>
      </c>
      <c r="DF938" s="83">
        <f>$DE938*N($I938)</f>
        <v/>
      </c>
      <c r="DG938" s="78">
        <f>IF($DE938=1,IF(COUNTIFS($F$8:$F938,$F938,$DE$8:$DE938,1)=1,1,0),0)</f>
        <v/>
      </c>
      <c r="DH938" s="83">
        <f>IF($DG938=1,SUMIFS($DF$8:$DF$1600,$F$8:$F$1600,$F938),0)</f>
        <v/>
      </c>
      <c r="DI938" s="78">
        <f>IF($DG938=1,COUNTIFS($F$8:$F$1600,$F938,$DE$8:$DE$1600,1),0)</f>
        <v/>
      </c>
      <c r="DJ938" s="84">
        <f>IF($DG938=1,$DH938+(100000-ROW())/mTieBreak,0)</f>
        <v/>
      </c>
    </row>
    <row r="939">
      <c r="B939" s="68" t="n">
        <v>36</v>
      </c>
      <c r="C939" s="69" t="inlineStr">
        <is>
          <t>CCUB17C1</t>
        </is>
      </c>
      <c r="D939" s="69" t="inlineStr">
        <is>
          <t>36.000</t>
        </is>
      </c>
      <c r="E939" s="69" t="inlineStr">
        <is>
          <t>James Perse Building</t>
        </is>
      </c>
      <c r="F939" s="69" t="inlineStr">
        <is>
          <t>LNCCUB17C1-36.000</t>
        </is>
      </c>
      <c r="G939" s="70" t="n"/>
      <c r="H939" s="71" t="n">
        <v>2500000</v>
      </c>
      <c r="I939" s="71" t="n">
        <v>2500000</v>
      </c>
      <c r="J939" s="72" t="n">
        <v>3.75</v>
      </c>
      <c r="K939" s="69" t="inlineStr">
        <is>
          <t>Fixed rate</t>
        </is>
      </c>
      <c r="L939" s="68" t="n">
        <v>120</v>
      </c>
      <c r="M939" s="68" t="n">
        <v>9</v>
      </c>
      <c r="N939" s="68" t="n">
        <v>120</v>
      </c>
      <c r="O939" s="68" t="n">
        <v>120</v>
      </c>
      <c r="P939" s="68" t="n">
        <v>9</v>
      </c>
      <c r="Q939" s="68" t="n">
        <v>111</v>
      </c>
      <c r="R939" s="69" t="inlineStr">
        <is>
          <t>IO</t>
        </is>
      </c>
      <c r="S939" s="69" t="inlineStr">
        <is>
          <t>Yes</t>
        </is>
      </c>
      <c r="T939" s="73" t="n">
        <v>42887</v>
      </c>
      <c r="U939" s="73" t="n">
        <v>46544</v>
      </c>
      <c r="V939" s="73" t="n"/>
      <c r="W939" s="69" t="n"/>
      <c r="X939" s="69" t="inlineStr">
        <is>
          <t>Late Payment But Less Than 30 Days Delinquent</t>
        </is>
      </c>
      <c r="Y939" s="68" t="n"/>
      <c r="Z939" s="69" t="inlineStr">
        <is>
          <t>No Defeasance Occurred</t>
        </is>
      </c>
      <c r="AA939" s="69" t="n"/>
      <c r="AB939" s="69" t="inlineStr">
        <is>
          <t>Never special serv</t>
        </is>
      </c>
      <c r="AC939" s="73" t="n"/>
      <c r="AD939" s="69" t="n"/>
      <c r="AE939" s="69" t="n"/>
      <c r="AF939" s="69" t="inlineStr">
        <is>
          <t>CA</t>
        </is>
      </c>
      <c r="AG939" s="69" t="inlineStr">
        <is>
          <t>Beverly Hills</t>
        </is>
      </c>
      <c r="AH939" s="69" t="inlineStr">
        <is>
          <t>Los Angeles-Long Beach-Anaheim, CA</t>
        </is>
      </c>
      <c r="AI939" s="69" t="inlineStr">
        <is>
          <t>West / Pacific South</t>
        </is>
      </c>
      <c r="AJ939" s="69" t="inlineStr">
        <is>
          <t>MX</t>
        </is>
      </c>
      <c r="AK939" s="69" t="inlineStr">
        <is>
          <t>Retail/Office</t>
        </is>
      </c>
      <c r="AL939" s="68" t="n">
        <v>1</v>
      </c>
      <c r="AM939" s="68" t="n"/>
      <c r="AN939" s="68" t="n">
        <v>9000</v>
      </c>
      <c r="AO939" s="69" t="inlineStr">
        <is>
          <t>1947</t>
        </is>
      </c>
      <c r="AP939" s="70" t="n">
        <v>2003</v>
      </c>
      <c r="AQ939" s="74" t="n">
        <v>6.73</v>
      </c>
      <c r="AR939" s="74" t="n">
        <v>6.5</v>
      </c>
      <c r="AS939" s="74" t="n">
        <v>17.2</v>
      </c>
      <c r="AT939" s="74" t="n">
        <v>17.17</v>
      </c>
      <c r="AU939" s="74" t="n">
        <v>17.2</v>
      </c>
      <c r="AV939" s="74" t="n">
        <v>25.5912</v>
      </c>
      <c r="AW939" s="74" t="n">
        <v>24.7142196</v>
      </c>
      <c r="AX939" s="75" t="n">
        <v>100</v>
      </c>
      <c r="AY939" s="71" t="n">
        <v>14560000</v>
      </c>
      <c r="AZ939" s="71" t="n">
        <v>14560000</v>
      </c>
      <c r="BA939" s="71" t="n">
        <v>639780</v>
      </c>
      <c r="BB939" s="71" t="n">
        <v>617855.49</v>
      </c>
      <c r="BC939" s="69" t="inlineStr">
        <is>
          <t>Refinance</t>
        </is>
      </c>
      <c r="BD939" s="69" t="inlineStr">
        <is>
          <t>N</t>
        </is>
      </c>
      <c r="BE939" s="71" t="n"/>
      <c r="BF939" s="71" t="n"/>
      <c r="BG939" s="71" t="n"/>
      <c r="BH939" s="71" t="n">
        <v>0</v>
      </c>
      <c r="BI939" s="71" t="n">
        <v>8062.16</v>
      </c>
      <c r="BJ939" s="69" t="inlineStr">
        <is>
          <t>N</t>
        </is>
      </c>
      <c r="BK939" s="69" t="inlineStr">
        <is>
          <t>James Pee</t>
        </is>
      </c>
      <c r="BL939" s="75" t="n">
        <v>50</v>
      </c>
      <c r="BM939" s="73" t="n">
        <v>46538</v>
      </c>
      <c r="BN939" s="69" t="inlineStr">
        <is>
          <t>John Bendheim</t>
        </is>
      </c>
      <c r="BO939" s="69" t="inlineStr">
        <is>
          <t>Cantor Commercial Real Estate Lending</t>
        </is>
      </c>
      <c r="BP939" s="69" t="inlineStr">
        <is>
          <t>Midland Loan Services</t>
        </is>
      </c>
      <c r="BQ939" s="69" t="inlineStr">
        <is>
          <t>Midland Loan Services</t>
        </is>
      </c>
      <c r="BR939" s="69" t="n"/>
      <c r="BS939" s="73" t="n">
        <v>46276</v>
      </c>
      <c r="BU939" s="76">
        <f>IF($C939="","",IFERROR(INDEX(dmName,MATCH($C939,dmID,0)),"Unmapped"))</f>
        <v/>
      </c>
      <c r="BV939" s="76">
        <f>IF($C939="","",IFERROR(INDEX(dmEntity,MATCH($C939,dmID,0)),"Unmapped"))</f>
        <v/>
      </c>
      <c r="BW939" s="77">
        <f>IF($C939="","",IFERROR(INDEX(dmVintage,MATCH($C939,dmID,0)),""))</f>
        <v/>
      </c>
      <c r="BX939" s="78">
        <f>IFERROR(INDEX(dmInclude,MATCH($C939,dmID,0)),0)</f>
        <v/>
      </c>
      <c r="BY939" s="78">
        <f>IF(N($I939)&gt;0,1,0)</f>
        <v/>
      </c>
      <c r="BZ939" s="76">
        <f>IF($AJ939="","Other / Leased Fee",IFERROR(INDEX(mapPTGroup,MATCH(LEFT(TRIM($AJ939),2),mapPTCode,0)),"Other / Leased Fee"))</f>
        <v/>
      </c>
      <c r="CA939" s="76">
        <f>IF(TRIM($AF939&amp;"")="","NR",LEFT(TRIM($AF939),2))</f>
        <v/>
      </c>
      <c r="CB939" s="76">
        <f>IFERROR(LOOKUP(2,1/(LEFT(TRIM($AI939&amp;""),LEN(mapRegion))=mapRegion),mapRegion),"Not Reported")</f>
        <v/>
      </c>
      <c r="CC939" s="76">
        <f>IF($BY939=0,"",IF(TRIM($W939&amp;"")="REO","REO",IF(TRIM($W939&amp;"")="FC","Foreclosure",IF(TRIM($W939&amp;"")="90+","90+ Days Delinquent",IF(TRIM($W939&amp;"")="60","60 Days Delinquent",IF(TRIM($W939&amp;"")="30","30 Days Delinquent",IF($X939="Non-Performing Matured Balloon","Non-Performing Matured Balloon",IF(OR($X939="Late Payment But Less Than 30 Days Delinquent",LEFT($X939&amp;"",20)="Payment Not Received"),"Late / In Grace (&lt;30 Days)",IF($X939="Performing Matured Balloon","Performing Matured Balloon","Current")))))))))</f>
        <v/>
      </c>
      <c r="CD939" s="78">
        <f>IF(OR($CC939="REO",$CC939="Foreclosure",$CC939="90+ Days Delinquent",$CC939="60 Days Delinquent",$CC939="30 Days Delinquent",$CC939="Non-Performing Matured Balloon"),1,0)</f>
        <v/>
      </c>
      <c r="CE939" s="76">
        <f>IF($AB939="Currently special serv","Currently Specially Serviced",IF($AB939="Returned to master serv","Previously Specially Serviced","Never Specially Serviced"))</f>
        <v/>
      </c>
      <c r="CF939" s="78">
        <f>IF($CE939="Currently Specially Serviced",1,0)</f>
        <v/>
      </c>
      <c r="CG939" s="76">
        <f>IF($AA939="Yes","Currently on Watchlist",IF($AA939="Previously","Previously on Watchlist","Never on Watchlist"))</f>
        <v/>
      </c>
      <c r="CH939" s="78">
        <f>IF($CG939="Currently on Watchlist",1,0)</f>
        <v/>
      </c>
      <c r="CI939" s="76">
        <f>IF($Z939="Full Defeasance","Fully Defeased",IF($Z939="Portion Of Loan Previously Defeased","Partially Defeased",IF($Z939="Defeasance Not Allowable","Not Defeased (Not Permitted)","Not Defeased")))</f>
        <v/>
      </c>
      <c r="CJ939" s="78">
        <f>IF($CI939="Fully Defeased",1,0)</f>
        <v/>
      </c>
      <c r="CK939" s="76">
        <f>IF($R939="IO","Full IO",IF(LEFT($R939&amp;"",7)="IO then","Partial IO","Amortizing"))</f>
        <v/>
      </c>
      <c r="CL939" s="78">
        <f>IF($CK939="Full IO",1,0)</f>
        <v/>
      </c>
      <c r="CM939" s="78">
        <f>IF($CK939="Partial IO",1,0)</f>
        <v/>
      </c>
      <c r="CN939" s="76">
        <f>IF(LEFT($F939&amp;"",10)="SPLIT_LOAN","Pari Passu Split","Standalone")</f>
        <v/>
      </c>
      <c r="CO939" s="78">
        <f>IF($CN939="Pari Passu Split",1,0)</f>
        <v/>
      </c>
      <c r="CP939" s="77">
        <f>IF(ISNUMBER($T939),YEAR($T939),"")</f>
        <v/>
      </c>
      <c r="CQ939" s="79">
        <f>IF(ISNUMBER($V939),$V939,IF(ISNUMBER($U939),$U939,""))</f>
        <v/>
      </c>
      <c r="CR939" s="77">
        <f>IF(ISNUMBER($CQ939),YEAR($CQ939),"")</f>
        <v/>
      </c>
      <c r="CS939" s="78">
        <f>IF(ISNUMBER($M939),MAX(0,$M939),IF(TRIM($M939&amp;"")="matured",0,""))</f>
        <v/>
      </c>
      <c r="CT939" s="78">
        <f>IF(AND(ISNUMBER($CS939),N($CS939)&lt;=mMatWindow),1,0)</f>
        <v/>
      </c>
      <c r="CU939" s="80">
        <f>IF(ISNUMBER($J939),$J939/100,"")</f>
        <v/>
      </c>
      <c r="CV939" s="81">
        <f>IF(ISNUMBER($AQ939),$AQ939,"")</f>
        <v/>
      </c>
      <c r="CW939" s="81">
        <f>IF(ISNUMBER($AR939),$AR939,"")</f>
        <v/>
      </c>
      <c r="CX939" s="82">
        <f>IF(ISNUMBER($AS939),$AS939/100,"")</f>
        <v/>
      </c>
      <c r="CY939" s="82">
        <f>IF(ISNUMBER($AT939),$AT939/100,"")</f>
        <v/>
      </c>
      <c r="CZ939" s="82">
        <f>IF(ISNUMBER($AU939),$AU939/100,"")</f>
        <v/>
      </c>
      <c r="DA939" s="82">
        <f>IF(ISNUMBER($AV939),$AV939/100,"")</f>
        <v/>
      </c>
      <c r="DB939" s="82">
        <f>IF(ISNUMBER($AW939),$AW939/100,"")</f>
        <v/>
      </c>
      <c r="DC939" s="82">
        <f>IF(ISNUMBER($AX939),$AX939/100,"")</f>
        <v/>
      </c>
      <c r="DD939" s="77">
        <f>IFERROR(VALUE(LEFT(TRIM($AO939&amp;""),4)),"")</f>
        <v/>
      </c>
      <c r="DE939" s="78">
        <f>IF(AND($BY939=1,$BX939=1,OR(fDeal="All Deals",$BU939=fDeal),OR(fEntity="All Entities",$BV939=fEntity),OR(fPType="All Property Types",$BZ939=fPType),OR(fDefeased="Include",$CJ939=0)),1,0)</f>
        <v/>
      </c>
      <c r="DF939" s="83">
        <f>$DE939*N($I939)</f>
        <v/>
      </c>
      <c r="DG939" s="78">
        <f>IF($DE939=1,IF(COUNTIFS($F$8:$F939,$F939,$DE$8:$DE939,1)=1,1,0),0)</f>
        <v/>
      </c>
      <c r="DH939" s="83">
        <f>IF($DG939=1,SUMIFS($DF$8:$DF$1600,$F$8:$F$1600,$F939),0)</f>
        <v/>
      </c>
      <c r="DI939" s="78">
        <f>IF($DG939=1,COUNTIFS($F$8:$F$1600,$F939,$DE$8:$DE$1600,1),0)</f>
        <v/>
      </c>
      <c r="DJ939" s="84">
        <f>IF($DG939=1,$DH939+(100000-ROW())/mTieBreak,0)</f>
        <v/>
      </c>
    </row>
    <row r="940">
      <c r="B940" s="68" t="n">
        <v>37</v>
      </c>
      <c r="C940" s="69" t="inlineStr">
        <is>
          <t>CCUB17C1</t>
        </is>
      </c>
      <c r="D940" s="69" t="inlineStr">
        <is>
          <t>37.000</t>
        </is>
      </c>
      <c r="E940" s="69" t="inlineStr">
        <is>
          <t>Marc Brooklyn Multifamily</t>
        </is>
      </c>
      <c r="F940" s="69" t="inlineStr">
        <is>
          <t>LNCCUB17C1-37.000</t>
        </is>
      </c>
      <c r="G940" s="70" t="n"/>
      <c r="H940" s="71" t="n">
        <v>2440000</v>
      </c>
      <c r="I940" s="71" t="n">
        <v>2440000</v>
      </c>
      <c r="J940" s="72" t="n">
        <v>5.15</v>
      </c>
      <c r="K940" s="69" t="inlineStr">
        <is>
          <t>Fixed rate</t>
        </is>
      </c>
      <c r="L940" s="68" t="n">
        <v>120</v>
      </c>
      <c r="M940" s="68" t="n">
        <v>13</v>
      </c>
      <c r="N940" s="68" t="n">
        <v>120</v>
      </c>
      <c r="O940" s="68" t="n">
        <v>120</v>
      </c>
      <c r="P940" s="68" t="n">
        <v>13</v>
      </c>
      <c r="Q940" s="68" t="n">
        <v>107</v>
      </c>
      <c r="R940" s="69" t="inlineStr">
        <is>
          <t>IO</t>
        </is>
      </c>
      <c r="S940" s="69" t="inlineStr">
        <is>
          <t>Yes</t>
        </is>
      </c>
      <c r="T940" s="73" t="n">
        <v>43009</v>
      </c>
      <c r="U940" s="73" t="n">
        <v>46666</v>
      </c>
      <c r="V940" s="73" t="n"/>
      <c r="W940" s="69" t="n"/>
      <c r="X940" s="69" t="inlineStr">
        <is>
          <t>Current</t>
        </is>
      </c>
      <c r="Y940" s="68" t="n"/>
      <c r="Z940" s="69" t="inlineStr">
        <is>
          <t>No Defeasance Occurred</t>
        </is>
      </c>
      <c r="AA940" s="69" t="inlineStr">
        <is>
          <t>Previously</t>
        </is>
      </c>
      <c r="AB940" s="69" t="inlineStr">
        <is>
          <t>Never special serv</t>
        </is>
      </c>
      <c r="AC940" s="73" t="n"/>
      <c r="AD940" s="69" t="n"/>
      <c r="AE940" s="69" t="n"/>
      <c r="AF940" s="69" t="inlineStr">
        <is>
          <t>NY</t>
        </is>
      </c>
      <c r="AG940" s="69" t="inlineStr">
        <is>
          <t>Brooklyn</t>
        </is>
      </c>
      <c r="AH940" s="69" t="inlineStr">
        <is>
          <t>New York-Newark-Jersey City, NY-NJ</t>
        </is>
      </c>
      <c r="AI940" s="69" t="inlineStr">
        <is>
          <t>Northeast / Mid-Atlantic</t>
        </is>
      </c>
      <c r="AJ940" s="69" t="inlineStr">
        <is>
          <t>MX</t>
        </is>
      </c>
      <c r="AK940" s="69" t="inlineStr">
        <is>
          <t>Multifamily/Retail</t>
        </is>
      </c>
      <c r="AL940" s="68" t="n">
        <v>1</v>
      </c>
      <c r="AM940" s="68" t="n"/>
      <c r="AN940" s="68" t="n">
        <v>4225</v>
      </c>
      <c r="AO940" s="69" t="inlineStr">
        <is>
          <t>1910</t>
        </is>
      </c>
      <c r="AP940" s="70" t="n">
        <v>2016</v>
      </c>
      <c r="AQ940" s="74" t="n">
        <v>1.52</v>
      </c>
      <c r="AR940" s="74" t="n">
        <v>1.65</v>
      </c>
      <c r="AS940" s="74" t="n">
        <v>56.7</v>
      </c>
      <c r="AT940" s="74" t="n">
        <v>56.74</v>
      </c>
      <c r="AU940" s="74" t="n">
        <v>56.7</v>
      </c>
      <c r="AV940" s="74" t="n">
        <v>7.917704918</v>
      </c>
      <c r="AW940" s="74" t="n">
        <v>8.582463525</v>
      </c>
      <c r="AX940" s="75" t="n">
        <v>100</v>
      </c>
      <c r="AY940" s="71" t="n">
        <v>4300000</v>
      </c>
      <c r="AZ940" s="71" t="n">
        <v>4300000</v>
      </c>
      <c r="BA940" s="71" t="n">
        <v>193192</v>
      </c>
      <c r="BB940" s="71" t="n">
        <v>210623.28</v>
      </c>
      <c r="BC940" s="69" t="inlineStr">
        <is>
          <t>Refinance</t>
        </is>
      </c>
      <c r="BD940" s="69" t="inlineStr">
        <is>
          <t>N</t>
        </is>
      </c>
      <c r="BE940" s="71" t="n"/>
      <c r="BF940" s="71" t="n"/>
      <c r="BG940" s="71" t="n"/>
      <c r="BH940" s="71" t="n">
        <v>0</v>
      </c>
      <c r="BI940" s="71" t="n">
        <v>0</v>
      </c>
      <c r="BJ940" s="69" t="inlineStr">
        <is>
          <t>N</t>
        </is>
      </c>
      <c r="BK940" s="69" t="inlineStr">
        <is>
          <t>WE FIT IN</t>
        </is>
      </c>
      <c r="BL940" s="75" t="n">
        <v>9.470000000000001</v>
      </c>
      <c r="BM940" s="73" t="n">
        <v>45688</v>
      </c>
      <c r="BN940" s="69" t="inlineStr">
        <is>
          <t>Jeffrey Schleider and Schleider Family Investments LLC</t>
        </is>
      </c>
      <c r="BO940" s="69" t="inlineStr">
        <is>
          <t>Cantor Commercial Real Estate Lending</t>
        </is>
      </c>
      <c r="BP940" s="69" t="inlineStr">
        <is>
          <t>Midland Loan Services</t>
        </is>
      </c>
      <c r="BQ940" s="69" t="inlineStr">
        <is>
          <t>Midland Loan Services</t>
        </is>
      </c>
      <c r="BR940" s="69" t="n"/>
      <c r="BS940" s="73" t="n">
        <v>46276</v>
      </c>
      <c r="BU940" s="76">
        <f>IF($C940="","",IFERROR(INDEX(dmName,MATCH($C940,dmID,0)),"Unmapped"))</f>
        <v/>
      </c>
      <c r="BV940" s="76">
        <f>IF($C940="","",IFERROR(INDEX(dmEntity,MATCH($C940,dmID,0)),"Unmapped"))</f>
        <v/>
      </c>
      <c r="BW940" s="77">
        <f>IF($C940="","",IFERROR(INDEX(dmVintage,MATCH($C940,dmID,0)),""))</f>
        <v/>
      </c>
      <c r="BX940" s="78">
        <f>IFERROR(INDEX(dmInclude,MATCH($C940,dmID,0)),0)</f>
        <v/>
      </c>
      <c r="BY940" s="78">
        <f>IF(N($I940)&gt;0,1,0)</f>
        <v/>
      </c>
      <c r="BZ940" s="76">
        <f>IF($AJ940="","Other / Leased Fee",IFERROR(INDEX(mapPTGroup,MATCH(LEFT(TRIM($AJ940),2),mapPTCode,0)),"Other / Leased Fee"))</f>
        <v/>
      </c>
      <c r="CA940" s="76">
        <f>IF(TRIM($AF940&amp;"")="","NR",LEFT(TRIM($AF940),2))</f>
        <v/>
      </c>
      <c r="CB940" s="76">
        <f>IFERROR(LOOKUP(2,1/(LEFT(TRIM($AI940&amp;""),LEN(mapRegion))=mapRegion),mapRegion),"Not Reported")</f>
        <v/>
      </c>
      <c r="CC940" s="76">
        <f>IF($BY940=0,"",IF(TRIM($W940&amp;"")="REO","REO",IF(TRIM($W940&amp;"")="FC","Foreclosure",IF(TRIM($W940&amp;"")="90+","90+ Days Delinquent",IF(TRIM($W940&amp;"")="60","60 Days Delinquent",IF(TRIM($W940&amp;"")="30","30 Days Delinquent",IF($X940="Non-Performing Matured Balloon","Non-Performing Matured Balloon",IF(OR($X940="Late Payment But Less Than 30 Days Delinquent",LEFT($X940&amp;"",20)="Payment Not Received"),"Late / In Grace (&lt;30 Days)",IF($X940="Performing Matured Balloon","Performing Matured Balloon","Current")))))))))</f>
        <v/>
      </c>
      <c r="CD940" s="78">
        <f>IF(OR($CC940="REO",$CC940="Foreclosure",$CC940="90+ Days Delinquent",$CC940="60 Days Delinquent",$CC940="30 Days Delinquent",$CC940="Non-Performing Matured Balloon"),1,0)</f>
        <v/>
      </c>
      <c r="CE940" s="76">
        <f>IF($AB940="Currently special serv","Currently Specially Serviced",IF($AB940="Returned to master serv","Previously Specially Serviced","Never Specially Serviced"))</f>
        <v/>
      </c>
      <c r="CF940" s="78">
        <f>IF($CE940="Currently Specially Serviced",1,0)</f>
        <v/>
      </c>
      <c r="CG940" s="76">
        <f>IF($AA940="Yes","Currently on Watchlist",IF($AA940="Previously","Previously on Watchlist","Never on Watchlist"))</f>
        <v/>
      </c>
      <c r="CH940" s="78">
        <f>IF($CG940="Currently on Watchlist",1,0)</f>
        <v/>
      </c>
      <c r="CI940" s="76">
        <f>IF($Z940="Full Defeasance","Fully Defeased",IF($Z940="Portion Of Loan Previously Defeased","Partially Defeased",IF($Z940="Defeasance Not Allowable","Not Defeased (Not Permitted)","Not Defeased")))</f>
        <v/>
      </c>
      <c r="CJ940" s="78">
        <f>IF($CI940="Fully Defeased",1,0)</f>
        <v/>
      </c>
      <c r="CK940" s="76">
        <f>IF($R940="IO","Full IO",IF(LEFT($R940&amp;"",7)="IO then","Partial IO","Amortizing"))</f>
        <v/>
      </c>
      <c r="CL940" s="78">
        <f>IF($CK940="Full IO",1,0)</f>
        <v/>
      </c>
      <c r="CM940" s="78">
        <f>IF($CK940="Partial IO",1,0)</f>
        <v/>
      </c>
      <c r="CN940" s="76">
        <f>IF(LEFT($F940&amp;"",10)="SPLIT_LOAN","Pari Passu Split","Standalone")</f>
        <v/>
      </c>
      <c r="CO940" s="78">
        <f>IF($CN940="Pari Passu Split",1,0)</f>
        <v/>
      </c>
      <c r="CP940" s="77">
        <f>IF(ISNUMBER($T940),YEAR($T940),"")</f>
        <v/>
      </c>
      <c r="CQ940" s="79">
        <f>IF(ISNUMBER($V940),$V940,IF(ISNUMBER($U940),$U940,""))</f>
        <v/>
      </c>
      <c r="CR940" s="77">
        <f>IF(ISNUMBER($CQ940),YEAR($CQ940),"")</f>
        <v/>
      </c>
      <c r="CS940" s="78">
        <f>IF(ISNUMBER($M940),MAX(0,$M940),IF(TRIM($M940&amp;"")="matured",0,""))</f>
        <v/>
      </c>
      <c r="CT940" s="78">
        <f>IF(AND(ISNUMBER($CS940),N($CS940)&lt;=mMatWindow),1,0)</f>
        <v/>
      </c>
      <c r="CU940" s="80">
        <f>IF(ISNUMBER($J940),$J940/100,"")</f>
        <v/>
      </c>
      <c r="CV940" s="81">
        <f>IF(ISNUMBER($AQ940),$AQ940,"")</f>
        <v/>
      </c>
      <c r="CW940" s="81">
        <f>IF(ISNUMBER($AR940),$AR940,"")</f>
        <v/>
      </c>
      <c r="CX940" s="82">
        <f>IF(ISNUMBER($AS940),$AS940/100,"")</f>
        <v/>
      </c>
      <c r="CY940" s="82">
        <f>IF(ISNUMBER($AT940),$AT940/100,"")</f>
        <v/>
      </c>
      <c r="CZ940" s="82">
        <f>IF(ISNUMBER($AU940),$AU940/100,"")</f>
        <v/>
      </c>
      <c r="DA940" s="82">
        <f>IF(ISNUMBER($AV940),$AV940/100,"")</f>
        <v/>
      </c>
      <c r="DB940" s="82">
        <f>IF(ISNUMBER($AW940),$AW940/100,"")</f>
        <v/>
      </c>
      <c r="DC940" s="82">
        <f>IF(ISNUMBER($AX940),$AX940/100,"")</f>
        <v/>
      </c>
      <c r="DD940" s="77">
        <f>IFERROR(VALUE(LEFT(TRIM($AO940&amp;""),4)),"")</f>
        <v/>
      </c>
      <c r="DE940" s="78">
        <f>IF(AND($BY940=1,$BX940=1,OR(fDeal="All Deals",$BU940=fDeal),OR(fEntity="All Entities",$BV940=fEntity),OR(fPType="All Property Types",$BZ940=fPType),OR(fDefeased="Include",$CJ940=0)),1,0)</f>
        <v/>
      </c>
      <c r="DF940" s="83">
        <f>$DE940*N($I940)</f>
        <v/>
      </c>
      <c r="DG940" s="78">
        <f>IF($DE940=1,IF(COUNTIFS($F$8:$F940,$F940,$DE$8:$DE940,1)=1,1,0),0)</f>
        <v/>
      </c>
      <c r="DH940" s="83">
        <f>IF($DG940=1,SUMIFS($DF$8:$DF$1600,$F$8:$F$1600,$F940),0)</f>
        <v/>
      </c>
      <c r="DI940" s="78">
        <f>IF($DG940=1,COUNTIFS($F$8:$F$1600,$F940,$DE$8:$DE$1600,1),0)</f>
        <v/>
      </c>
      <c r="DJ940" s="84">
        <f>IF($DG940=1,$DH940+(100000-ROW())/mTieBreak,0)</f>
        <v/>
      </c>
    </row>
    <row r="941">
      <c r="B941" s="68" t="n">
        <v>1</v>
      </c>
      <c r="C941" s="69" t="inlineStr">
        <is>
          <t>WFC18C43</t>
        </is>
      </c>
      <c r="D941" s="69" t="inlineStr">
        <is>
          <t>1.000</t>
        </is>
      </c>
      <c r="E941" s="69" t="inlineStr">
        <is>
          <t>Moffett Towers II - Building 2</t>
        </is>
      </c>
      <c r="F941" s="69" t="inlineStr">
        <is>
          <t>SPLIT_LOAN_01162</t>
        </is>
      </c>
      <c r="G941" s="70" t="n">
        <v>1162</v>
      </c>
      <c r="H941" s="71" t="n">
        <v>54000000</v>
      </c>
      <c r="I941" s="71" t="n">
        <v>50106951.659988</v>
      </c>
      <c r="J941" s="72" t="n">
        <v>3.6189</v>
      </c>
      <c r="K941" s="69" t="inlineStr">
        <is>
          <t>Fixed rate</t>
        </is>
      </c>
      <c r="L941" s="68" t="n">
        <v>120</v>
      </c>
      <c r="M941" s="68" t="n">
        <v>15</v>
      </c>
      <c r="N941" s="68" t="n">
        <v>420</v>
      </c>
      <c r="O941" s="68" t="n">
        <v>60</v>
      </c>
      <c r="P941" s="68" t="n">
        <v>0</v>
      </c>
      <c r="Q941" s="68" t="n">
        <v>105</v>
      </c>
      <c r="R941" s="69" t="inlineStr">
        <is>
          <t>IO then Amort</t>
        </is>
      </c>
      <c r="S941" s="69" t="inlineStr">
        <is>
          <t>No</t>
        </is>
      </c>
      <c r="T941" s="73" t="n">
        <v>43070</v>
      </c>
      <c r="U941" s="73" t="n">
        <v>46727</v>
      </c>
      <c r="V941" s="73" t="n"/>
      <c r="W941" s="69" t="n"/>
      <c r="X941" s="69" t="inlineStr">
        <is>
          <t>Current</t>
        </is>
      </c>
      <c r="Y941" s="68" t="n"/>
      <c r="Z941" s="69" t="inlineStr">
        <is>
          <t>No Defeasance Occurred</t>
        </is>
      </c>
      <c r="AA941" s="69" t="inlineStr">
        <is>
          <t>Yes</t>
        </is>
      </c>
      <c r="AB941" s="69" t="inlineStr">
        <is>
          <t>Never special serv</t>
        </is>
      </c>
      <c r="AC941" s="73" t="n"/>
      <c r="AD941" s="69" t="n"/>
      <c r="AE941" s="69" t="n"/>
      <c r="AF941" s="69" t="inlineStr">
        <is>
          <t>CA</t>
        </is>
      </c>
      <c r="AG941" s="69" t="inlineStr">
        <is>
          <t>Sunnyvale</t>
        </is>
      </c>
      <c r="AH941" s="69" t="inlineStr">
        <is>
          <t>San Jose-Sunnyvale-Santa Clara, CA</t>
        </is>
      </c>
      <c r="AI941" s="69" t="inlineStr">
        <is>
          <t>West / Pacific North</t>
        </is>
      </c>
      <c r="AJ941" s="69" t="inlineStr">
        <is>
          <t>OF</t>
        </is>
      </c>
      <c r="AK941" s="69" t="inlineStr">
        <is>
          <t>Suburban</t>
        </is>
      </c>
      <c r="AL941" s="68" t="n">
        <v>1</v>
      </c>
      <c r="AM941" s="68" t="n"/>
      <c r="AN941" s="68" t="n">
        <v>362563</v>
      </c>
      <c r="AO941" s="69" t="inlineStr">
        <is>
          <t>2017</t>
        </is>
      </c>
      <c r="AP941" s="70" t="n">
        <v>2017</v>
      </c>
      <c r="AQ941" s="74" t="n">
        <v>2.08</v>
      </c>
      <c r="AR941" s="74" t="n">
        <v>2.66</v>
      </c>
      <c r="AS941" s="74" t="n">
        <v>47</v>
      </c>
      <c r="AT941" s="74" t="n">
        <v>43.62</v>
      </c>
      <c r="AU941" s="74" t="n">
        <v>42.4</v>
      </c>
      <c r="AV941" s="74" t="n">
        <v>11.397369315</v>
      </c>
      <c r="AW941" s="74" t="n">
        <v>15.128342287</v>
      </c>
      <c r="AX941" s="75" t="n">
        <v>100</v>
      </c>
      <c r="AY941" s="71" t="n">
        <v>351000000</v>
      </c>
      <c r="AZ941" s="71" t="n">
        <v>351000000</v>
      </c>
      <c r="BA941" s="71" t="n">
        <v>18805659.37</v>
      </c>
      <c r="BB941" s="71" t="n">
        <v>6002447.89</v>
      </c>
      <c r="BC941" s="69" t="inlineStr">
        <is>
          <t>Refinance</t>
        </is>
      </c>
      <c r="BD941" s="69" t="inlineStr">
        <is>
          <t>N</t>
        </is>
      </c>
      <c r="BE941" s="71" t="n">
        <v>102997622.86</v>
      </c>
      <c r="BF941" s="71" t="n"/>
      <c r="BG941" s="71" t="n">
        <v>105000000</v>
      </c>
      <c r="BH941" s="71" t="n">
        <v>0</v>
      </c>
      <c r="BI941" s="71" t="n">
        <v>0</v>
      </c>
      <c r="BJ941" s="69" t="inlineStr">
        <is>
          <t>N</t>
        </is>
      </c>
      <c r="BK941" s="69" t="inlineStr">
        <is>
          <t>Amazon.com</t>
        </is>
      </c>
      <c r="BL941" s="75" t="n">
        <v>96.70999999999999</v>
      </c>
      <c r="BM941" s="73" t="n">
        <v>46873</v>
      </c>
      <c r="BN941" s="69" t="inlineStr">
        <is>
          <t>The Jay Paul Company</t>
        </is>
      </c>
      <c r="BO941" s="69" t="inlineStr">
        <is>
          <t>Barclays</t>
        </is>
      </c>
      <c r="BP941" s="69" t="inlineStr">
        <is>
          <t>TriMont Real Estate Advisors</t>
        </is>
      </c>
      <c r="BQ941" s="69" t="inlineStr">
        <is>
          <t>K-Star Asset Management LLC</t>
        </is>
      </c>
      <c r="BR941" s="69" t="n"/>
      <c r="BS941" s="73" t="n">
        <v>46276</v>
      </c>
      <c r="BU941" s="76">
        <f>IF($C941="","",IFERROR(INDEX(dmName,MATCH($C941,dmID,0)),"Unmapped"))</f>
        <v/>
      </c>
      <c r="BV941" s="76">
        <f>IF($C941="","",IFERROR(INDEX(dmEntity,MATCH($C941,dmID,0)),"Unmapped"))</f>
        <v/>
      </c>
      <c r="BW941" s="77">
        <f>IF($C941="","",IFERROR(INDEX(dmVintage,MATCH($C941,dmID,0)),""))</f>
        <v/>
      </c>
      <c r="BX941" s="78">
        <f>IFERROR(INDEX(dmInclude,MATCH($C941,dmID,0)),0)</f>
        <v/>
      </c>
      <c r="BY941" s="78">
        <f>IF(N($I941)&gt;0,1,0)</f>
        <v/>
      </c>
      <c r="BZ941" s="76">
        <f>IF($AJ941="","Other / Leased Fee",IFERROR(INDEX(mapPTGroup,MATCH(LEFT(TRIM($AJ941),2),mapPTCode,0)),"Other / Leased Fee"))</f>
        <v/>
      </c>
      <c r="CA941" s="76">
        <f>IF(TRIM($AF941&amp;"")="","NR",LEFT(TRIM($AF941),2))</f>
        <v/>
      </c>
      <c r="CB941" s="76">
        <f>IFERROR(LOOKUP(2,1/(LEFT(TRIM($AI941&amp;""),LEN(mapRegion))=mapRegion),mapRegion),"Not Reported")</f>
        <v/>
      </c>
      <c r="CC941" s="76">
        <f>IF($BY941=0,"",IF(TRIM($W941&amp;"")="REO","REO",IF(TRIM($W941&amp;"")="FC","Foreclosure",IF(TRIM($W941&amp;"")="90+","90+ Days Delinquent",IF(TRIM($W941&amp;"")="60","60 Days Delinquent",IF(TRIM($W941&amp;"")="30","30 Days Delinquent",IF($X941="Non-Performing Matured Balloon","Non-Performing Matured Balloon",IF(OR($X941="Late Payment But Less Than 30 Days Delinquent",LEFT($X941&amp;"",20)="Payment Not Received"),"Late / In Grace (&lt;30 Days)",IF($X941="Performing Matured Balloon","Performing Matured Balloon","Current")))))))))</f>
        <v/>
      </c>
      <c r="CD941" s="78">
        <f>IF(OR($CC941="REO",$CC941="Foreclosure",$CC941="90+ Days Delinquent",$CC941="60 Days Delinquent",$CC941="30 Days Delinquent",$CC941="Non-Performing Matured Balloon"),1,0)</f>
        <v/>
      </c>
      <c r="CE941" s="76">
        <f>IF($AB941="Currently special serv","Currently Specially Serviced",IF($AB941="Returned to master serv","Previously Specially Serviced","Never Specially Serviced"))</f>
        <v/>
      </c>
      <c r="CF941" s="78">
        <f>IF($CE941="Currently Specially Serviced",1,0)</f>
        <v/>
      </c>
      <c r="CG941" s="76">
        <f>IF($AA941="Yes","Currently on Watchlist",IF($AA941="Previously","Previously on Watchlist","Never on Watchlist"))</f>
        <v/>
      </c>
      <c r="CH941" s="78">
        <f>IF($CG941="Currently on Watchlist",1,0)</f>
        <v/>
      </c>
      <c r="CI941" s="76">
        <f>IF($Z941="Full Defeasance","Fully Defeased",IF($Z941="Portion Of Loan Previously Defeased","Partially Defeased",IF($Z941="Defeasance Not Allowable","Not Defeased (Not Permitted)","Not Defeased")))</f>
        <v/>
      </c>
      <c r="CJ941" s="78">
        <f>IF($CI941="Fully Defeased",1,0)</f>
        <v/>
      </c>
      <c r="CK941" s="76">
        <f>IF($R941="IO","Full IO",IF(LEFT($R941&amp;"",7)="IO then","Partial IO","Amortizing"))</f>
        <v/>
      </c>
      <c r="CL941" s="78">
        <f>IF($CK941="Full IO",1,0)</f>
        <v/>
      </c>
      <c r="CM941" s="78">
        <f>IF($CK941="Partial IO",1,0)</f>
        <v/>
      </c>
      <c r="CN941" s="76">
        <f>IF(LEFT($F941&amp;"",10)="SPLIT_LOAN","Pari Passu Split","Standalone")</f>
        <v/>
      </c>
      <c r="CO941" s="78">
        <f>IF($CN941="Pari Passu Split",1,0)</f>
        <v/>
      </c>
      <c r="CP941" s="77">
        <f>IF(ISNUMBER($T941),YEAR($T941),"")</f>
        <v/>
      </c>
      <c r="CQ941" s="79">
        <f>IF(ISNUMBER($V941),$V941,IF(ISNUMBER($U941),$U941,""))</f>
        <v/>
      </c>
      <c r="CR941" s="77">
        <f>IF(ISNUMBER($CQ941),YEAR($CQ941),"")</f>
        <v/>
      </c>
      <c r="CS941" s="78">
        <f>IF(ISNUMBER($M941),MAX(0,$M941),IF(TRIM($M941&amp;"")="matured",0,""))</f>
        <v/>
      </c>
      <c r="CT941" s="78">
        <f>IF(AND(ISNUMBER($CS941),N($CS941)&lt;=mMatWindow),1,0)</f>
        <v/>
      </c>
      <c r="CU941" s="80">
        <f>IF(ISNUMBER($J941),$J941/100,"")</f>
        <v/>
      </c>
      <c r="CV941" s="81">
        <f>IF(ISNUMBER($AQ941),$AQ941,"")</f>
        <v/>
      </c>
      <c r="CW941" s="81">
        <f>IF(ISNUMBER($AR941),$AR941,"")</f>
        <v/>
      </c>
      <c r="CX941" s="82">
        <f>IF(ISNUMBER($AS941),$AS941/100,"")</f>
        <v/>
      </c>
      <c r="CY941" s="82">
        <f>IF(ISNUMBER($AT941),$AT941/100,"")</f>
        <v/>
      </c>
      <c r="CZ941" s="82">
        <f>IF(ISNUMBER($AU941),$AU941/100,"")</f>
        <v/>
      </c>
      <c r="DA941" s="82">
        <f>IF(ISNUMBER($AV941),$AV941/100,"")</f>
        <v/>
      </c>
      <c r="DB941" s="82">
        <f>IF(ISNUMBER($AW941),$AW941/100,"")</f>
        <v/>
      </c>
      <c r="DC941" s="82">
        <f>IF(ISNUMBER($AX941),$AX941/100,"")</f>
        <v/>
      </c>
      <c r="DD941" s="77">
        <f>IFERROR(VALUE(LEFT(TRIM($AO941&amp;""),4)),"")</f>
        <v/>
      </c>
      <c r="DE941" s="78">
        <f>IF(AND($BY941=1,$BX941=1,OR(fDeal="All Deals",$BU941=fDeal),OR(fEntity="All Entities",$BV941=fEntity),OR(fPType="All Property Types",$BZ941=fPType),OR(fDefeased="Include",$CJ941=0)),1,0)</f>
        <v/>
      </c>
      <c r="DF941" s="83">
        <f>$DE941*N($I941)</f>
        <v/>
      </c>
      <c r="DG941" s="78">
        <f>IF($DE941=1,IF(COUNTIFS($F$8:$F941,$F941,$DE$8:$DE941,1)=1,1,0),0)</f>
        <v/>
      </c>
      <c r="DH941" s="83">
        <f>IF($DG941=1,SUMIFS($DF$8:$DF$1600,$F$8:$F$1600,$F941),0)</f>
        <v/>
      </c>
      <c r="DI941" s="78">
        <f>IF($DG941=1,COUNTIFS($F$8:$F$1600,$F941,$DE$8:$DE$1600,1),0)</f>
        <v/>
      </c>
      <c r="DJ941" s="84">
        <f>IF($DG941=1,$DH941+(100000-ROW())/mTieBreak,0)</f>
        <v/>
      </c>
    </row>
    <row r="942">
      <c r="B942" s="68" t="n">
        <v>2</v>
      </c>
      <c r="C942" s="69" t="inlineStr">
        <is>
          <t>WFC18C43</t>
        </is>
      </c>
      <c r="D942" s="69" t="inlineStr">
        <is>
          <t>2.000</t>
        </is>
      </c>
      <c r="E942" s="69" t="inlineStr">
        <is>
          <t>Airport Business Center</t>
        </is>
      </c>
      <c r="F942" s="69" t="inlineStr">
        <is>
          <t>SPLIT_LOAN_01252</t>
        </is>
      </c>
      <c r="G942" s="70" t="n">
        <v>1252</v>
      </c>
      <c r="H942" s="71" t="n">
        <v>50000000</v>
      </c>
      <c r="I942" s="71" t="n">
        <v>50000000</v>
      </c>
      <c r="J942" s="72" t="n">
        <v>4.375</v>
      </c>
      <c r="K942" s="69" t="inlineStr">
        <is>
          <t>Fixed rate</t>
        </is>
      </c>
      <c r="L942" s="68" t="n">
        <v>120</v>
      </c>
      <c r="M942" s="68" t="n">
        <v>17</v>
      </c>
      <c r="N942" s="68" t="n">
        <v>120</v>
      </c>
      <c r="O942" s="68" t="n">
        <v>120</v>
      </c>
      <c r="P942" s="68" t="n">
        <v>17</v>
      </c>
      <c r="Q942" s="68" t="n">
        <v>103</v>
      </c>
      <c r="R942" s="69" t="inlineStr">
        <is>
          <t>IO</t>
        </is>
      </c>
      <c r="S942" s="69" t="inlineStr">
        <is>
          <t>Yes</t>
        </is>
      </c>
      <c r="T942" s="73" t="n">
        <v>43132</v>
      </c>
      <c r="U942" s="73" t="n">
        <v>46790</v>
      </c>
      <c r="V942" s="73" t="n"/>
      <c r="W942" s="69" t="n"/>
      <c r="X942" s="69" t="inlineStr">
        <is>
          <t>Current</t>
        </is>
      </c>
      <c r="Y942" s="68" t="n"/>
      <c r="Z942" s="69" t="inlineStr">
        <is>
          <t>No Defeasance Occurred</t>
        </is>
      </c>
      <c r="AA942" s="69" t="n"/>
      <c r="AB942" s="69" t="inlineStr">
        <is>
          <t>Never special serv</t>
        </is>
      </c>
      <c r="AC942" s="73" t="n"/>
      <c r="AD942" s="69" t="n"/>
      <c r="AE942" s="69" t="n"/>
      <c r="AF942" s="69" t="inlineStr">
        <is>
          <t>CA</t>
        </is>
      </c>
      <c r="AG942" s="69" t="inlineStr">
        <is>
          <t>Irvine</t>
        </is>
      </c>
      <c r="AH942" s="69" t="inlineStr">
        <is>
          <t>Los Angeles-Long Beach-Anaheim, CA</t>
        </is>
      </c>
      <c r="AI942" s="69" t="inlineStr">
        <is>
          <t>West / Pacific South</t>
        </is>
      </c>
      <c r="AJ942" s="69" t="inlineStr">
        <is>
          <t>IN</t>
        </is>
      </c>
      <c r="AK942" s="69" t="inlineStr">
        <is>
          <t>Flex</t>
        </is>
      </c>
      <c r="AL942" s="68" t="n">
        <v>1</v>
      </c>
      <c r="AM942" s="68" t="n"/>
      <c r="AN942" s="68" t="n">
        <v>1170571</v>
      </c>
      <c r="AO942" s="69" t="inlineStr">
        <is>
          <t>1969</t>
        </is>
      </c>
      <c r="AP942" s="70" t="n">
        <v>2005</v>
      </c>
      <c r="AQ942" s="74" t="n">
        <v>2.12</v>
      </c>
      <c r="AR942" s="74" t="n">
        <v>3.06</v>
      </c>
      <c r="AS942" s="74" t="n">
        <v>61.3</v>
      </c>
      <c r="AT942" s="74" t="n">
        <v>61.32</v>
      </c>
      <c r="AU942" s="74" t="n">
        <v>61.3</v>
      </c>
      <c r="AV942" s="74" t="n">
        <v>9.411099332999999</v>
      </c>
      <c r="AW942" s="74" t="n">
        <v>13.574841433</v>
      </c>
      <c r="AX942" s="75" t="n">
        <v>90</v>
      </c>
      <c r="AY942" s="71" t="n">
        <v>244600000</v>
      </c>
      <c r="AZ942" s="71" t="n">
        <v>244600000</v>
      </c>
      <c r="BA942" s="71" t="n">
        <v>14116649</v>
      </c>
      <c r="BB942" s="71" t="n">
        <v>10162236.28</v>
      </c>
      <c r="BC942" s="69" t="inlineStr">
        <is>
          <t>Refinance</t>
        </is>
      </c>
      <c r="BD942" s="69" t="inlineStr">
        <is>
          <t>N</t>
        </is>
      </c>
      <c r="BE942" s="71" t="n">
        <v>100000000</v>
      </c>
      <c r="BF942" s="71" t="n"/>
      <c r="BG942" s="71" t="n">
        <v>20000000</v>
      </c>
      <c r="BH942" s="71" t="n">
        <v>0</v>
      </c>
      <c r="BI942" s="71" t="n">
        <v>0</v>
      </c>
      <c r="BJ942" s="69" t="inlineStr">
        <is>
          <t>N</t>
        </is>
      </c>
      <c r="BK942" s="69" t="inlineStr">
        <is>
          <t>JustFoodForDogs  LLC</t>
        </is>
      </c>
      <c r="BL942" s="75" t="n">
        <v>1.55</v>
      </c>
      <c r="BM942" s="73" t="n">
        <v>46934</v>
      </c>
      <c r="BN942" s="69" t="inlineStr">
        <is>
          <t>DK Properties, L.P.</t>
        </is>
      </c>
      <c r="BO942" s="69" t="inlineStr">
        <is>
          <t>Wells Fargo</t>
        </is>
      </c>
      <c r="BP942" s="69" t="inlineStr">
        <is>
          <t>TriMont Real Estate Advisors</t>
        </is>
      </c>
      <c r="BQ942" s="69" t="inlineStr">
        <is>
          <t>LNR Partners</t>
        </is>
      </c>
      <c r="BR942" s="69" t="n"/>
      <c r="BS942" s="73" t="n">
        <v>46276</v>
      </c>
      <c r="BU942" s="76">
        <f>IF($C942="","",IFERROR(INDEX(dmName,MATCH($C942,dmID,0)),"Unmapped"))</f>
        <v/>
      </c>
      <c r="BV942" s="76">
        <f>IF($C942="","",IFERROR(INDEX(dmEntity,MATCH($C942,dmID,0)),"Unmapped"))</f>
        <v/>
      </c>
      <c r="BW942" s="77">
        <f>IF($C942="","",IFERROR(INDEX(dmVintage,MATCH($C942,dmID,0)),""))</f>
        <v/>
      </c>
      <c r="BX942" s="78">
        <f>IFERROR(INDEX(dmInclude,MATCH($C942,dmID,0)),0)</f>
        <v/>
      </c>
      <c r="BY942" s="78">
        <f>IF(N($I942)&gt;0,1,0)</f>
        <v/>
      </c>
      <c r="BZ942" s="76">
        <f>IF($AJ942="","Other / Leased Fee",IFERROR(INDEX(mapPTGroup,MATCH(LEFT(TRIM($AJ942),2),mapPTCode,0)),"Other / Leased Fee"))</f>
        <v/>
      </c>
      <c r="CA942" s="76">
        <f>IF(TRIM($AF942&amp;"")="","NR",LEFT(TRIM($AF942),2))</f>
        <v/>
      </c>
      <c r="CB942" s="76">
        <f>IFERROR(LOOKUP(2,1/(LEFT(TRIM($AI942&amp;""),LEN(mapRegion))=mapRegion),mapRegion),"Not Reported")</f>
        <v/>
      </c>
      <c r="CC942" s="76">
        <f>IF($BY942=0,"",IF(TRIM($W942&amp;"")="REO","REO",IF(TRIM($W942&amp;"")="FC","Foreclosure",IF(TRIM($W942&amp;"")="90+","90+ Days Delinquent",IF(TRIM($W942&amp;"")="60","60 Days Delinquent",IF(TRIM($W942&amp;"")="30","30 Days Delinquent",IF($X942="Non-Performing Matured Balloon","Non-Performing Matured Balloon",IF(OR($X942="Late Payment But Less Than 30 Days Delinquent",LEFT($X942&amp;"",20)="Payment Not Received"),"Late / In Grace (&lt;30 Days)",IF($X942="Performing Matured Balloon","Performing Matured Balloon","Current")))))))))</f>
        <v/>
      </c>
      <c r="CD942" s="78">
        <f>IF(OR($CC942="REO",$CC942="Foreclosure",$CC942="90+ Days Delinquent",$CC942="60 Days Delinquent",$CC942="30 Days Delinquent",$CC942="Non-Performing Matured Balloon"),1,0)</f>
        <v/>
      </c>
      <c r="CE942" s="76">
        <f>IF($AB942="Currently special serv","Currently Specially Serviced",IF($AB942="Returned to master serv","Previously Specially Serviced","Never Specially Serviced"))</f>
        <v/>
      </c>
      <c r="CF942" s="78">
        <f>IF($CE942="Currently Specially Serviced",1,0)</f>
        <v/>
      </c>
      <c r="CG942" s="76">
        <f>IF($AA942="Yes","Currently on Watchlist",IF($AA942="Previously","Previously on Watchlist","Never on Watchlist"))</f>
        <v/>
      </c>
      <c r="CH942" s="78">
        <f>IF($CG942="Currently on Watchlist",1,0)</f>
        <v/>
      </c>
      <c r="CI942" s="76">
        <f>IF($Z942="Full Defeasance","Fully Defeased",IF($Z942="Portion Of Loan Previously Defeased","Partially Defeased",IF($Z942="Defeasance Not Allowable","Not Defeased (Not Permitted)","Not Defeased")))</f>
        <v/>
      </c>
      <c r="CJ942" s="78">
        <f>IF($CI942="Fully Defeased",1,0)</f>
        <v/>
      </c>
      <c r="CK942" s="76">
        <f>IF($R942="IO","Full IO",IF(LEFT($R942&amp;"",7)="IO then","Partial IO","Amortizing"))</f>
        <v/>
      </c>
      <c r="CL942" s="78">
        <f>IF($CK942="Full IO",1,0)</f>
        <v/>
      </c>
      <c r="CM942" s="78">
        <f>IF($CK942="Partial IO",1,0)</f>
        <v/>
      </c>
      <c r="CN942" s="76">
        <f>IF(LEFT($F942&amp;"",10)="SPLIT_LOAN","Pari Passu Split","Standalone")</f>
        <v/>
      </c>
      <c r="CO942" s="78">
        <f>IF($CN942="Pari Passu Split",1,0)</f>
        <v/>
      </c>
      <c r="CP942" s="77">
        <f>IF(ISNUMBER($T942),YEAR($T942),"")</f>
        <v/>
      </c>
      <c r="CQ942" s="79">
        <f>IF(ISNUMBER($V942),$V942,IF(ISNUMBER($U942),$U942,""))</f>
        <v/>
      </c>
      <c r="CR942" s="77">
        <f>IF(ISNUMBER($CQ942),YEAR($CQ942),"")</f>
        <v/>
      </c>
      <c r="CS942" s="78">
        <f>IF(ISNUMBER($M942),MAX(0,$M942),IF(TRIM($M942&amp;"")="matured",0,""))</f>
        <v/>
      </c>
      <c r="CT942" s="78">
        <f>IF(AND(ISNUMBER($CS942),N($CS942)&lt;=mMatWindow),1,0)</f>
        <v/>
      </c>
      <c r="CU942" s="80">
        <f>IF(ISNUMBER($J942),$J942/100,"")</f>
        <v/>
      </c>
      <c r="CV942" s="81">
        <f>IF(ISNUMBER($AQ942),$AQ942,"")</f>
        <v/>
      </c>
      <c r="CW942" s="81">
        <f>IF(ISNUMBER($AR942),$AR942,"")</f>
        <v/>
      </c>
      <c r="CX942" s="82">
        <f>IF(ISNUMBER($AS942),$AS942/100,"")</f>
        <v/>
      </c>
      <c r="CY942" s="82">
        <f>IF(ISNUMBER($AT942),$AT942/100,"")</f>
        <v/>
      </c>
      <c r="CZ942" s="82">
        <f>IF(ISNUMBER($AU942),$AU942/100,"")</f>
        <v/>
      </c>
      <c r="DA942" s="82">
        <f>IF(ISNUMBER($AV942),$AV942/100,"")</f>
        <v/>
      </c>
      <c r="DB942" s="82">
        <f>IF(ISNUMBER($AW942),$AW942/100,"")</f>
        <v/>
      </c>
      <c r="DC942" s="82">
        <f>IF(ISNUMBER($AX942),$AX942/100,"")</f>
        <v/>
      </c>
      <c r="DD942" s="77">
        <f>IFERROR(VALUE(LEFT(TRIM($AO942&amp;""),4)),"")</f>
        <v/>
      </c>
      <c r="DE942" s="78">
        <f>IF(AND($BY942=1,$BX942=1,OR(fDeal="All Deals",$BU942=fDeal),OR(fEntity="All Entities",$BV942=fEntity),OR(fPType="All Property Types",$BZ942=fPType),OR(fDefeased="Include",$CJ942=0)),1,0)</f>
        <v/>
      </c>
      <c r="DF942" s="83">
        <f>$DE942*N($I942)</f>
        <v/>
      </c>
      <c r="DG942" s="78">
        <f>IF($DE942=1,IF(COUNTIFS($F$8:$F942,$F942,$DE$8:$DE942,1)=1,1,0),0)</f>
        <v/>
      </c>
      <c r="DH942" s="83">
        <f>IF($DG942=1,SUMIFS($DF$8:$DF$1600,$F$8:$F$1600,$F942),0)</f>
        <v/>
      </c>
      <c r="DI942" s="78">
        <f>IF($DG942=1,COUNTIFS($F$8:$F$1600,$F942,$DE$8:$DE$1600,1),0)</f>
        <v/>
      </c>
      <c r="DJ942" s="84">
        <f>IF($DG942=1,$DH942+(100000-ROW())/mTieBreak,0)</f>
        <v/>
      </c>
    </row>
    <row r="943">
      <c r="B943" s="68" t="n">
        <v>3</v>
      </c>
      <c r="C943" s="69" t="inlineStr">
        <is>
          <t>WFC18C43</t>
        </is>
      </c>
      <c r="D943" s="69" t="inlineStr">
        <is>
          <t>3.000</t>
        </is>
      </c>
      <c r="E943" s="69" t="inlineStr">
        <is>
          <t>The SoCal Portfolio</t>
        </is>
      </c>
      <c r="F943" s="69" t="inlineStr">
        <is>
          <t>SPLIT_LOAN_01249</t>
        </is>
      </c>
      <c r="G943" s="70" t="n">
        <v>1249</v>
      </c>
      <c r="H943" s="71" t="n">
        <v>45000000</v>
      </c>
      <c r="I943" s="71" t="n">
        <v>42528251.569995</v>
      </c>
      <c r="J943" s="72" t="n">
        <v>4.89</v>
      </c>
      <c r="K943" s="69" t="inlineStr">
        <is>
          <t>Fixed rate</t>
        </is>
      </c>
      <c r="L943" s="68" t="n">
        <v>120</v>
      </c>
      <c r="M943" s="68" t="n">
        <v>17</v>
      </c>
      <c r="N943" s="68" t="n">
        <v>420</v>
      </c>
      <c r="O943" s="68" t="n">
        <v>60</v>
      </c>
      <c r="P943" s="68" t="n">
        <v>0</v>
      </c>
      <c r="Q943" s="68" t="n">
        <v>103</v>
      </c>
      <c r="R943" s="69" t="inlineStr">
        <is>
          <t>IO then Amort</t>
        </is>
      </c>
      <c r="S943" s="69" t="inlineStr">
        <is>
          <t>No</t>
        </is>
      </c>
      <c r="T943" s="73" t="n">
        <v>43132</v>
      </c>
      <c r="U943" s="73" t="n">
        <v>46789</v>
      </c>
      <c r="V943" s="73" t="n"/>
      <c r="W943" s="69" t="n"/>
      <c r="X943" s="69" t="inlineStr">
        <is>
          <t>Current</t>
        </is>
      </c>
      <c r="Y943" s="68" t="n"/>
      <c r="Z943" s="69" t="inlineStr">
        <is>
          <t>No Defeasance Occurred</t>
        </is>
      </c>
      <c r="AA943" s="69" t="inlineStr">
        <is>
          <t>Yes</t>
        </is>
      </c>
      <c r="AB943" s="69" t="inlineStr">
        <is>
          <t>Never special serv</t>
        </is>
      </c>
      <c r="AC943" s="73" t="n"/>
      <c r="AD943" s="69" t="n"/>
      <c r="AE943" s="69" t="n"/>
      <c r="AF943" s="69" t="inlineStr">
        <is>
          <t>CA</t>
        </is>
      </c>
      <c r="AG943" s="69" t="n"/>
      <c r="AH943" s="69" t="inlineStr">
        <is>
          <t>Los Angeles-Long Beach-Anaheim, CA-49.582220010% Riverside-San Bernardino-Ontario, CA-41.454589994% Fresno, CA-6.541650003% Bakersfield-Delano, CA-2.421539993%</t>
        </is>
      </c>
      <c r="AI943" s="69" t="inlineStr">
        <is>
          <t>West / Pacific South-93.458349997% West / Pacific North-6.541650003%</t>
        </is>
      </c>
      <c r="AJ943" s="69" t="inlineStr">
        <is>
          <t>OF-36.037799966% RT-34.577180032% MX-21.751140003% IN-7.633879998%</t>
        </is>
      </c>
      <c r="AK943" s="69" t="n"/>
      <c r="AL943" s="68" t="n">
        <v>24</v>
      </c>
      <c r="AM943" s="68" t="n"/>
      <c r="AN943" s="68" t="n">
        <v>2194425</v>
      </c>
      <c r="AO943" s="69" t="n"/>
      <c r="AP943" s="70" t="n">
        <v>2017</v>
      </c>
      <c r="AQ943" s="74" t="n">
        <v>1.48</v>
      </c>
      <c r="AR943" s="74" t="n">
        <v>2.11</v>
      </c>
      <c r="AS943" s="74" t="n">
        <v>59.4</v>
      </c>
      <c r="AT943" s="74" t="n">
        <v>56.12</v>
      </c>
      <c r="AU943" s="74" t="n">
        <v>54.7</v>
      </c>
      <c r="AV943" s="74" t="n">
        <v>9.413429721</v>
      </c>
      <c r="AW943" s="74" t="n">
        <v>13.995681565</v>
      </c>
      <c r="AX943" s="75" t="n">
        <v>86</v>
      </c>
      <c r="AY943" s="71" t="n">
        <v>386140000</v>
      </c>
      <c r="AZ943" s="71" t="n">
        <v>386140000</v>
      </c>
      <c r="BA943" s="71" t="n">
        <v>21584994.35</v>
      </c>
      <c r="BB943" s="71" t="n">
        <v>7693023.45</v>
      </c>
      <c r="BC943" s="69" t="inlineStr">
        <is>
          <t>Refinance</t>
        </is>
      </c>
      <c r="BD943" s="69" t="inlineStr">
        <is>
          <t>Y</t>
        </is>
      </c>
      <c r="BE943" s="71" t="n">
        <v>174176816.99</v>
      </c>
      <c r="BF943" s="71" t="n"/>
      <c r="BG943" s="71" t="n"/>
      <c r="BH943" s="71" t="n">
        <v>0</v>
      </c>
      <c r="BI943" s="71" t="n">
        <v>0</v>
      </c>
      <c r="BJ943" s="69" t="inlineStr">
        <is>
          <t>N</t>
        </is>
      </c>
      <c r="BK943" s="69" t="inlineStr">
        <is>
          <t>Caro Nut Company</t>
        </is>
      </c>
      <c r="BL943" s="75" t="n">
        <v>5.7</v>
      </c>
      <c r="BM943" s="73" t="n">
        <v>48730</v>
      </c>
      <c r="BN943" s="69" t="inlineStr">
        <is>
          <t>The Abbey Company</t>
        </is>
      </c>
      <c r="BO943" s="69" t="inlineStr">
        <is>
          <t>Barclays</t>
        </is>
      </c>
      <c r="BP943" s="69" t="inlineStr">
        <is>
          <t>TriMont Real Estate Advisors</t>
        </is>
      </c>
      <c r="BQ943" s="69" t="inlineStr">
        <is>
          <t>K-Star Asset Management LLC</t>
        </is>
      </c>
      <c r="BR943" s="69" t="n"/>
      <c r="BS943" s="73" t="n">
        <v>46276</v>
      </c>
      <c r="BU943" s="76">
        <f>IF($C943="","",IFERROR(INDEX(dmName,MATCH($C943,dmID,0)),"Unmapped"))</f>
        <v/>
      </c>
      <c r="BV943" s="76">
        <f>IF($C943="","",IFERROR(INDEX(dmEntity,MATCH($C943,dmID,0)),"Unmapped"))</f>
        <v/>
      </c>
      <c r="BW943" s="77">
        <f>IF($C943="","",IFERROR(INDEX(dmVintage,MATCH($C943,dmID,0)),""))</f>
        <v/>
      </c>
      <c r="BX943" s="78">
        <f>IFERROR(INDEX(dmInclude,MATCH($C943,dmID,0)),0)</f>
        <v/>
      </c>
      <c r="BY943" s="78">
        <f>IF(N($I943)&gt;0,1,0)</f>
        <v/>
      </c>
      <c r="BZ943" s="76">
        <f>IF($AJ943="","Other / Leased Fee",IFERROR(INDEX(mapPTGroup,MATCH(LEFT(TRIM($AJ943),2),mapPTCode,0)),"Other / Leased Fee"))</f>
        <v/>
      </c>
      <c r="CA943" s="76">
        <f>IF(TRIM($AF943&amp;"")="","NR",LEFT(TRIM($AF943),2))</f>
        <v/>
      </c>
      <c r="CB943" s="76">
        <f>IFERROR(LOOKUP(2,1/(LEFT(TRIM($AI943&amp;""),LEN(mapRegion))=mapRegion),mapRegion),"Not Reported")</f>
        <v/>
      </c>
      <c r="CC943" s="76">
        <f>IF($BY943=0,"",IF(TRIM($W943&amp;"")="REO","REO",IF(TRIM($W943&amp;"")="FC","Foreclosure",IF(TRIM($W943&amp;"")="90+","90+ Days Delinquent",IF(TRIM($W943&amp;"")="60","60 Days Delinquent",IF(TRIM($W943&amp;"")="30","30 Days Delinquent",IF($X943="Non-Performing Matured Balloon","Non-Performing Matured Balloon",IF(OR($X943="Late Payment But Less Than 30 Days Delinquent",LEFT($X943&amp;"",20)="Payment Not Received"),"Late / In Grace (&lt;30 Days)",IF($X943="Performing Matured Balloon","Performing Matured Balloon","Current")))))))))</f>
        <v/>
      </c>
      <c r="CD943" s="78">
        <f>IF(OR($CC943="REO",$CC943="Foreclosure",$CC943="90+ Days Delinquent",$CC943="60 Days Delinquent",$CC943="30 Days Delinquent",$CC943="Non-Performing Matured Balloon"),1,0)</f>
        <v/>
      </c>
      <c r="CE943" s="76">
        <f>IF($AB943="Currently special serv","Currently Specially Serviced",IF($AB943="Returned to master serv","Previously Specially Serviced","Never Specially Serviced"))</f>
        <v/>
      </c>
      <c r="CF943" s="78">
        <f>IF($CE943="Currently Specially Serviced",1,0)</f>
        <v/>
      </c>
      <c r="CG943" s="76">
        <f>IF($AA943="Yes","Currently on Watchlist",IF($AA943="Previously","Previously on Watchlist","Never on Watchlist"))</f>
        <v/>
      </c>
      <c r="CH943" s="78">
        <f>IF($CG943="Currently on Watchlist",1,0)</f>
        <v/>
      </c>
      <c r="CI943" s="76">
        <f>IF($Z943="Full Defeasance","Fully Defeased",IF($Z943="Portion Of Loan Previously Defeased","Partially Defeased",IF($Z943="Defeasance Not Allowable","Not Defeased (Not Permitted)","Not Defeased")))</f>
        <v/>
      </c>
      <c r="CJ943" s="78">
        <f>IF($CI943="Fully Defeased",1,0)</f>
        <v/>
      </c>
      <c r="CK943" s="76">
        <f>IF($R943="IO","Full IO",IF(LEFT($R943&amp;"",7)="IO then","Partial IO","Amortizing"))</f>
        <v/>
      </c>
      <c r="CL943" s="78">
        <f>IF($CK943="Full IO",1,0)</f>
        <v/>
      </c>
      <c r="CM943" s="78">
        <f>IF($CK943="Partial IO",1,0)</f>
        <v/>
      </c>
      <c r="CN943" s="76">
        <f>IF(LEFT($F943&amp;"",10)="SPLIT_LOAN","Pari Passu Split","Standalone")</f>
        <v/>
      </c>
      <c r="CO943" s="78">
        <f>IF($CN943="Pari Passu Split",1,0)</f>
        <v/>
      </c>
      <c r="CP943" s="77">
        <f>IF(ISNUMBER($T943),YEAR($T943),"")</f>
        <v/>
      </c>
      <c r="CQ943" s="79">
        <f>IF(ISNUMBER($V943),$V943,IF(ISNUMBER($U943),$U943,""))</f>
        <v/>
      </c>
      <c r="CR943" s="77">
        <f>IF(ISNUMBER($CQ943),YEAR($CQ943),"")</f>
        <v/>
      </c>
      <c r="CS943" s="78">
        <f>IF(ISNUMBER($M943),MAX(0,$M943),IF(TRIM($M943&amp;"")="matured",0,""))</f>
        <v/>
      </c>
      <c r="CT943" s="78">
        <f>IF(AND(ISNUMBER($CS943),N($CS943)&lt;=mMatWindow),1,0)</f>
        <v/>
      </c>
      <c r="CU943" s="80">
        <f>IF(ISNUMBER($J943),$J943/100,"")</f>
        <v/>
      </c>
      <c r="CV943" s="81">
        <f>IF(ISNUMBER($AQ943),$AQ943,"")</f>
        <v/>
      </c>
      <c r="CW943" s="81">
        <f>IF(ISNUMBER($AR943),$AR943,"")</f>
        <v/>
      </c>
      <c r="CX943" s="82">
        <f>IF(ISNUMBER($AS943),$AS943/100,"")</f>
        <v/>
      </c>
      <c r="CY943" s="82">
        <f>IF(ISNUMBER($AT943),$AT943/100,"")</f>
        <v/>
      </c>
      <c r="CZ943" s="82">
        <f>IF(ISNUMBER($AU943),$AU943/100,"")</f>
        <v/>
      </c>
      <c r="DA943" s="82">
        <f>IF(ISNUMBER($AV943),$AV943/100,"")</f>
        <v/>
      </c>
      <c r="DB943" s="82">
        <f>IF(ISNUMBER($AW943),$AW943/100,"")</f>
        <v/>
      </c>
      <c r="DC943" s="82">
        <f>IF(ISNUMBER($AX943),$AX943/100,"")</f>
        <v/>
      </c>
      <c r="DD943" s="77">
        <f>IFERROR(VALUE(LEFT(TRIM($AO943&amp;""),4)),"")</f>
        <v/>
      </c>
      <c r="DE943" s="78">
        <f>IF(AND($BY943=1,$BX943=1,OR(fDeal="All Deals",$BU943=fDeal),OR(fEntity="All Entities",$BV943=fEntity),OR(fPType="All Property Types",$BZ943=fPType),OR(fDefeased="Include",$CJ943=0)),1,0)</f>
        <v/>
      </c>
      <c r="DF943" s="83">
        <f>$DE943*N($I943)</f>
        <v/>
      </c>
      <c r="DG943" s="78">
        <f>IF($DE943=1,IF(COUNTIFS($F$8:$F943,$F943,$DE$8:$DE943,1)=1,1,0),0)</f>
        <v/>
      </c>
      <c r="DH943" s="83">
        <f>IF($DG943=1,SUMIFS($DF$8:$DF$1600,$F$8:$F$1600,$F943),0)</f>
        <v/>
      </c>
      <c r="DI943" s="78">
        <f>IF($DG943=1,COUNTIFS($F$8:$F$1600,$F943,$DE$8:$DE$1600,1),0)</f>
        <v/>
      </c>
      <c r="DJ943" s="84">
        <f>IF($DG943=1,$DH943+(100000-ROW())/mTieBreak,0)</f>
        <v/>
      </c>
    </row>
    <row r="944">
      <c r="B944" s="68" t="n">
        <v>4</v>
      </c>
      <c r="C944" s="69" t="inlineStr">
        <is>
          <t>WFC18C43</t>
        </is>
      </c>
      <c r="D944" s="69" t="inlineStr">
        <is>
          <t>4.000</t>
        </is>
      </c>
      <c r="E944" s="69" t="inlineStr">
        <is>
          <t>Southpoint Office Center</t>
        </is>
      </c>
      <c r="F944" s="69" t="inlineStr">
        <is>
          <t>LNWFC18C43-4.000</t>
        </is>
      </c>
      <c r="G944" s="70" t="n"/>
      <c r="H944" s="71" t="n">
        <v>37200000</v>
      </c>
      <c r="I944" s="71" t="n">
        <v>32738744.9199984</v>
      </c>
      <c r="J944" s="72" t="n">
        <v>4.305</v>
      </c>
      <c r="K944" s="69" t="inlineStr">
        <is>
          <t>Fixed rate</t>
        </is>
      </c>
      <c r="L944" s="68" t="n">
        <v>120</v>
      </c>
      <c r="M944" s="68" t="n">
        <v>17</v>
      </c>
      <c r="N944" s="68" t="n">
        <v>384</v>
      </c>
      <c r="O944" s="68" t="n">
        <v>24</v>
      </c>
      <c r="P944" s="68" t="n">
        <v>0</v>
      </c>
      <c r="Q944" s="68" t="n">
        <v>103</v>
      </c>
      <c r="R944" s="69" t="inlineStr">
        <is>
          <t>IO then Amort</t>
        </is>
      </c>
      <c r="S944" s="69" t="inlineStr">
        <is>
          <t>No</t>
        </is>
      </c>
      <c r="T944" s="73" t="n">
        <v>43132</v>
      </c>
      <c r="U944" s="73" t="n">
        <v>46789</v>
      </c>
      <c r="V944" s="73" t="n"/>
      <c r="W944" s="69" t="n"/>
      <c r="X944" s="69" t="inlineStr">
        <is>
          <t>Current</t>
        </is>
      </c>
      <c r="Y944" s="68" t="n"/>
      <c r="Z944" s="69" t="inlineStr">
        <is>
          <t>No Defeasance Occurred</t>
        </is>
      </c>
      <c r="AA944" s="69" t="inlineStr">
        <is>
          <t>Previously</t>
        </is>
      </c>
      <c r="AB944" s="69" t="inlineStr">
        <is>
          <t>Currently special serv</t>
        </is>
      </c>
      <c r="AC944" s="73" t="n">
        <v>46247</v>
      </c>
      <c r="AD944" s="69" t="inlineStr">
        <is>
          <t>Imminent Monetary Default (Balloon/Maturity Default)</t>
        </is>
      </c>
      <c r="AE944" s="69" t="inlineStr">
        <is>
          <t>TBD</t>
        </is>
      </c>
      <c r="AF944" s="69" t="inlineStr">
        <is>
          <t>MN</t>
        </is>
      </c>
      <c r="AG944" s="69" t="inlineStr">
        <is>
          <t>Bloomington</t>
        </is>
      </c>
      <c r="AH944" s="69" t="inlineStr">
        <is>
          <t>Minneapolis-St. Paul-Bloomington, MN-WI</t>
        </is>
      </c>
      <c r="AI944" s="69" t="inlineStr">
        <is>
          <t>Midwest / Central West</t>
        </is>
      </c>
      <c r="AJ944" s="69" t="inlineStr">
        <is>
          <t>OF</t>
        </is>
      </c>
      <c r="AK944" s="69" t="inlineStr">
        <is>
          <t>Suburban</t>
        </is>
      </c>
      <c r="AL944" s="68" t="n">
        <v>1</v>
      </c>
      <c r="AM944" s="68" t="n"/>
      <c r="AN944" s="68" t="n">
        <v>366808</v>
      </c>
      <c r="AO944" s="69" t="inlineStr">
        <is>
          <t>1984</t>
        </is>
      </c>
      <c r="AP944" s="70" t="n">
        <v>2016</v>
      </c>
      <c r="AQ944" s="74" t="n">
        <v>1.82</v>
      </c>
      <c r="AR944" s="74" t="n">
        <v>1.14</v>
      </c>
      <c r="AS944" s="74" t="n">
        <v>74.40000000000001</v>
      </c>
      <c r="AT944" s="74" t="n">
        <v>65.48</v>
      </c>
      <c r="AU944" s="74" t="n">
        <v>63.2</v>
      </c>
      <c r="AV944" s="74" t="n">
        <v>10.80510414</v>
      </c>
      <c r="AW944" s="74" t="n">
        <v>8.229569662999999</v>
      </c>
      <c r="AX944" s="75" t="n">
        <v>58</v>
      </c>
      <c r="AY944" s="71" t="n">
        <v>50000000</v>
      </c>
      <c r="AZ944" s="71" t="n">
        <v>50000000</v>
      </c>
      <c r="BA944" s="71" t="n">
        <v>4019498.74</v>
      </c>
      <c r="BB944" s="71" t="n">
        <v>1260269.07</v>
      </c>
      <c r="BC944" s="69" t="inlineStr">
        <is>
          <t>Acquisition</t>
        </is>
      </c>
      <c r="BD944" s="69" t="inlineStr">
        <is>
          <t>N</t>
        </is>
      </c>
      <c r="BE944" s="71" t="n"/>
      <c r="BF944" s="71" t="n"/>
      <c r="BG944" s="71" t="n"/>
      <c r="BH944" s="71" t="n">
        <v>0</v>
      </c>
      <c r="BI944" s="71" t="n">
        <v>0</v>
      </c>
      <c r="BJ944" s="69" t="inlineStr">
        <is>
          <t>N</t>
        </is>
      </c>
      <c r="BK944" s="69" t="inlineStr">
        <is>
          <t>Marquette Transportation Finance</t>
        </is>
      </c>
      <c r="BL944" s="75" t="n">
        <v>5.33</v>
      </c>
      <c r="BM944" s="73" t="n">
        <v>46387</v>
      </c>
      <c r="BN944" s="69" t="inlineStr">
        <is>
          <t>Felton Properties, Inc.</t>
        </is>
      </c>
      <c r="BO944" s="69" t="inlineStr">
        <is>
          <t>Barclays</t>
        </is>
      </c>
      <c r="BP944" s="69" t="inlineStr">
        <is>
          <t>TriMont Real Estate Advisors</t>
        </is>
      </c>
      <c r="BQ944" s="69" t="inlineStr">
        <is>
          <t>K-Star Asset Management LLC</t>
        </is>
      </c>
      <c r="BR944" s="69" t="n"/>
      <c r="BS944" s="73" t="n">
        <v>46276</v>
      </c>
      <c r="BU944" s="76">
        <f>IF($C944="","",IFERROR(INDEX(dmName,MATCH($C944,dmID,0)),"Unmapped"))</f>
        <v/>
      </c>
      <c r="BV944" s="76">
        <f>IF($C944="","",IFERROR(INDEX(dmEntity,MATCH($C944,dmID,0)),"Unmapped"))</f>
        <v/>
      </c>
      <c r="BW944" s="77">
        <f>IF($C944="","",IFERROR(INDEX(dmVintage,MATCH($C944,dmID,0)),""))</f>
        <v/>
      </c>
      <c r="BX944" s="78">
        <f>IFERROR(INDEX(dmInclude,MATCH($C944,dmID,0)),0)</f>
        <v/>
      </c>
      <c r="BY944" s="78">
        <f>IF(N($I944)&gt;0,1,0)</f>
        <v/>
      </c>
      <c r="BZ944" s="76">
        <f>IF($AJ944="","Other / Leased Fee",IFERROR(INDEX(mapPTGroup,MATCH(LEFT(TRIM($AJ944),2),mapPTCode,0)),"Other / Leased Fee"))</f>
        <v/>
      </c>
      <c r="CA944" s="76">
        <f>IF(TRIM($AF944&amp;"")="","NR",LEFT(TRIM($AF944),2))</f>
        <v/>
      </c>
      <c r="CB944" s="76">
        <f>IFERROR(LOOKUP(2,1/(LEFT(TRIM($AI944&amp;""),LEN(mapRegion))=mapRegion),mapRegion),"Not Reported")</f>
        <v/>
      </c>
      <c r="CC944" s="76">
        <f>IF($BY944=0,"",IF(TRIM($W944&amp;"")="REO","REO",IF(TRIM($W944&amp;"")="FC","Foreclosure",IF(TRIM($W944&amp;"")="90+","90+ Days Delinquent",IF(TRIM($W944&amp;"")="60","60 Days Delinquent",IF(TRIM($W944&amp;"")="30","30 Days Delinquent",IF($X944="Non-Performing Matured Balloon","Non-Performing Matured Balloon",IF(OR($X944="Late Payment But Less Than 30 Days Delinquent",LEFT($X944&amp;"",20)="Payment Not Received"),"Late / In Grace (&lt;30 Days)",IF($X944="Performing Matured Balloon","Performing Matured Balloon","Current")))))))))</f>
        <v/>
      </c>
      <c r="CD944" s="78">
        <f>IF(OR($CC944="REO",$CC944="Foreclosure",$CC944="90+ Days Delinquent",$CC944="60 Days Delinquent",$CC944="30 Days Delinquent",$CC944="Non-Performing Matured Balloon"),1,0)</f>
        <v/>
      </c>
      <c r="CE944" s="76">
        <f>IF($AB944="Currently special serv","Currently Specially Serviced",IF($AB944="Returned to master serv","Previously Specially Serviced","Never Specially Serviced"))</f>
        <v/>
      </c>
      <c r="CF944" s="78">
        <f>IF($CE944="Currently Specially Serviced",1,0)</f>
        <v/>
      </c>
      <c r="CG944" s="76">
        <f>IF($AA944="Yes","Currently on Watchlist",IF($AA944="Previously","Previously on Watchlist","Never on Watchlist"))</f>
        <v/>
      </c>
      <c r="CH944" s="78">
        <f>IF($CG944="Currently on Watchlist",1,0)</f>
        <v/>
      </c>
      <c r="CI944" s="76">
        <f>IF($Z944="Full Defeasance","Fully Defeased",IF($Z944="Portion Of Loan Previously Defeased","Partially Defeased",IF($Z944="Defeasance Not Allowable","Not Defeased (Not Permitted)","Not Defeased")))</f>
        <v/>
      </c>
      <c r="CJ944" s="78">
        <f>IF($CI944="Fully Defeased",1,0)</f>
        <v/>
      </c>
      <c r="CK944" s="76">
        <f>IF($R944="IO","Full IO",IF(LEFT($R944&amp;"",7)="IO then","Partial IO","Amortizing"))</f>
        <v/>
      </c>
      <c r="CL944" s="78">
        <f>IF($CK944="Full IO",1,0)</f>
        <v/>
      </c>
      <c r="CM944" s="78">
        <f>IF($CK944="Partial IO",1,0)</f>
        <v/>
      </c>
      <c r="CN944" s="76">
        <f>IF(LEFT($F944&amp;"",10)="SPLIT_LOAN","Pari Passu Split","Standalone")</f>
        <v/>
      </c>
      <c r="CO944" s="78">
        <f>IF($CN944="Pari Passu Split",1,0)</f>
        <v/>
      </c>
      <c r="CP944" s="77">
        <f>IF(ISNUMBER($T944),YEAR($T944),"")</f>
        <v/>
      </c>
      <c r="CQ944" s="79">
        <f>IF(ISNUMBER($V944),$V944,IF(ISNUMBER($U944),$U944,""))</f>
        <v/>
      </c>
      <c r="CR944" s="77">
        <f>IF(ISNUMBER($CQ944),YEAR($CQ944),"")</f>
        <v/>
      </c>
      <c r="CS944" s="78">
        <f>IF(ISNUMBER($M944),MAX(0,$M944),IF(TRIM($M944&amp;"")="matured",0,""))</f>
        <v/>
      </c>
      <c r="CT944" s="78">
        <f>IF(AND(ISNUMBER($CS944),N($CS944)&lt;=mMatWindow),1,0)</f>
        <v/>
      </c>
      <c r="CU944" s="80">
        <f>IF(ISNUMBER($J944),$J944/100,"")</f>
        <v/>
      </c>
      <c r="CV944" s="81">
        <f>IF(ISNUMBER($AQ944),$AQ944,"")</f>
        <v/>
      </c>
      <c r="CW944" s="81">
        <f>IF(ISNUMBER($AR944),$AR944,"")</f>
        <v/>
      </c>
      <c r="CX944" s="82">
        <f>IF(ISNUMBER($AS944),$AS944/100,"")</f>
        <v/>
      </c>
      <c r="CY944" s="82">
        <f>IF(ISNUMBER($AT944),$AT944/100,"")</f>
        <v/>
      </c>
      <c r="CZ944" s="82">
        <f>IF(ISNUMBER($AU944),$AU944/100,"")</f>
        <v/>
      </c>
      <c r="DA944" s="82">
        <f>IF(ISNUMBER($AV944),$AV944/100,"")</f>
        <v/>
      </c>
      <c r="DB944" s="82">
        <f>IF(ISNUMBER($AW944),$AW944/100,"")</f>
        <v/>
      </c>
      <c r="DC944" s="82">
        <f>IF(ISNUMBER($AX944),$AX944/100,"")</f>
        <v/>
      </c>
      <c r="DD944" s="77">
        <f>IFERROR(VALUE(LEFT(TRIM($AO944&amp;""),4)),"")</f>
        <v/>
      </c>
      <c r="DE944" s="78">
        <f>IF(AND($BY944=1,$BX944=1,OR(fDeal="All Deals",$BU944=fDeal),OR(fEntity="All Entities",$BV944=fEntity),OR(fPType="All Property Types",$BZ944=fPType),OR(fDefeased="Include",$CJ944=0)),1,0)</f>
        <v/>
      </c>
      <c r="DF944" s="83">
        <f>$DE944*N($I944)</f>
        <v/>
      </c>
      <c r="DG944" s="78">
        <f>IF($DE944=1,IF(COUNTIFS($F$8:$F944,$F944,$DE$8:$DE944,1)=1,1,0),0)</f>
        <v/>
      </c>
      <c r="DH944" s="83">
        <f>IF($DG944=1,SUMIFS($DF$8:$DF$1600,$F$8:$F$1600,$F944),0)</f>
        <v/>
      </c>
      <c r="DI944" s="78">
        <f>IF($DG944=1,COUNTIFS($F$8:$F$1600,$F944,$DE$8:$DE$1600,1),0)</f>
        <v/>
      </c>
      <c r="DJ944" s="84">
        <f>IF($DG944=1,$DH944+(100000-ROW())/mTieBreak,0)</f>
        <v/>
      </c>
    </row>
    <row r="945">
      <c r="B945" s="68" t="n">
        <v>5</v>
      </c>
      <c r="C945" s="69" t="inlineStr">
        <is>
          <t>WFC18C43</t>
        </is>
      </c>
      <c r="D945" s="69" t="inlineStr">
        <is>
          <t>5.000</t>
        </is>
      </c>
      <c r="E945" s="69" t="inlineStr">
        <is>
          <t>ExchangeRight Net Leased Portfolio #19</t>
        </is>
      </c>
      <c r="F945" s="69" t="inlineStr">
        <is>
          <t>LNWFC18C43-5.000</t>
        </is>
      </c>
      <c r="G945" s="70" t="n"/>
      <c r="H945" s="71" t="n">
        <v>35840000</v>
      </c>
      <c r="I945" s="71" t="n">
        <v>35840000</v>
      </c>
      <c r="J945" s="72" t="n">
        <v>4.0533</v>
      </c>
      <c r="K945" s="69" t="inlineStr">
        <is>
          <t>Fixed rate</t>
        </is>
      </c>
      <c r="L945" s="68" t="n">
        <v>120</v>
      </c>
      <c r="M945" s="68" t="n">
        <v>16</v>
      </c>
      <c r="N945" s="68" t="n">
        <v>120</v>
      </c>
      <c r="O945" s="68" t="n">
        <v>120</v>
      </c>
      <c r="P945" s="68" t="n">
        <v>16</v>
      </c>
      <c r="Q945" s="68" t="n">
        <v>104</v>
      </c>
      <c r="R945" s="69" t="inlineStr">
        <is>
          <t>IO</t>
        </is>
      </c>
      <c r="S945" s="69" t="inlineStr">
        <is>
          <t>Yes</t>
        </is>
      </c>
      <c r="T945" s="73" t="n">
        <v>43101</v>
      </c>
      <c r="U945" s="73" t="n">
        <v>46758</v>
      </c>
      <c r="V945" s="73" t="n"/>
      <c r="W945" s="69" t="n"/>
      <c r="X945" s="69" t="inlineStr">
        <is>
          <t>Current</t>
        </is>
      </c>
      <c r="Y945" s="68" t="n"/>
      <c r="Z945" s="69" t="inlineStr">
        <is>
          <t>No Defeasance Occurred</t>
        </is>
      </c>
      <c r="AA945" s="69" t="inlineStr">
        <is>
          <t>Previously</t>
        </is>
      </c>
      <c r="AB945" s="69" t="inlineStr">
        <is>
          <t>Never special serv</t>
        </is>
      </c>
      <c r="AC945" s="73" t="n"/>
      <c r="AD945" s="69" t="n"/>
      <c r="AE945" s="69" t="n"/>
      <c r="AF945" s="69" t="inlineStr">
        <is>
          <t>GA-24.023427623% TX-16.254688365% IL-15.792408426% TN-14.439178544% OH-11.988958817% FL-11.669868806% NC-5.831469420%</t>
        </is>
      </c>
      <c r="AG945" s="69" t="n"/>
      <c r="AH945" s="69" t="inlineStr">
        <is>
          <t>Warner Robins, GA-12.388388783% Dayton-Kettering-Beavercreek, OH-11.988958817% Nashville-Davidson--Murfreesboro--Franklin, TN-11.690848828% Chicago-Naperville-Elgin, IL-IN-11.607138839% Houston-Pasadena-The Woodlands, TX-9.893079018% Gainesville, FL-8.349559152% Atlanta-Sandy Springs-Roswell, GA-6.640619336% Charlotte-Concord-Gastonia, NC-SC-5.831469420% Rome, GA-4.994419503% Rockford, IL-4.185269587% Las Cruces, NM-3.906249609% Lakeland-Winter Haven, FL-3.320309654% Johnson City, TN-2.748329715% San Angelo, TX-2.455359738%</t>
        </is>
      </c>
      <c r="AI945" s="69" t="inlineStr">
        <is>
          <t>South / Atlantic-41.524765848% Midwest / Central East-27.781367243% South / Central East-14.439178544% South / Central West-12.348438756% West / Mountain-3.906249609%</t>
        </is>
      </c>
      <c r="AJ945" s="69" t="inlineStr">
        <is>
          <t>RT-86.941971289% OF-13.058028711%</t>
        </is>
      </c>
      <c r="AK945" s="69" t="n"/>
      <c r="AL945" s="68" t="n">
        <v>21</v>
      </c>
      <c r="AM945" s="68" t="n"/>
      <c r="AN945" s="68" t="n">
        <v>257355</v>
      </c>
      <c r="AO945" s="69" t="n"/>
      <c r="AP945" s="70" t="n">
        <v>2017</v>
      </c>
      <c r="AQ945" s="74" t="n">
        <v>2.37</v>
      </c>
      <c r="AR945" s="74" t="n">
        <v>2.47</v>
      </c>
      <c r="AS945" s="74" t="n">
        <v>60.7</v>
      </c>
      <c r="AT945" s="74" t="n">
        <v>60.7</v>
      </c>
      <c r="AU945" s="74" t="n">
        <v>60.7</v>
      </c>
      <c r="AV945" s="74" t="n">
        <v>9.755648214000001</v>
      </c>
      <c r="AW945" s="74" t="n">
        <v>11.526688058</v>
      </c>
      <c r="AX945" s="75" t="n">
        <v>100</v>
      </c>
      <c r="AY945" s="71" t="n">
        <v>59040000</v>
      </c>
      <c r="AZ945" s="71" t="n">
        <v>59040000</v>
      </c>
      <c r="BA945" s="71" t="n">
        <v>3496424.32</v>
      </c>
      <c r="BB945" s="71" t="n">
        <v>1818897</v>
      </c>
      <c r="BC945" s="69" t="inlineStr">
        <is>
          <t>Acquisition</t>
        </is>
      </c>
      <c r="BD945" s="69" t="inlineStr">
        <is>
          <t>N</t>
        </is>
      </c>
      <c r="BE945" s="71" t="n"/>
      <c r="BF945" s="71" t="n"/>
      <c r="BG945" s="71" t="n"/>
      <c r="BH945" s="71" t="n">
        <v>0</v>
      </c>
      <c r="BI945" s="71" t="n">
        <v>0</v>
      </c>
      <c r="BJ945" s="69" t="inlineStr">
        <is>
          <t>N</t>
        </is>
      </c>
      <c r="BK945" s="69" t="inlineStr">
        <is>
          <t>Dollar General</t>
        </is>
      </c>
      <c r="BL945" s="75" t="n">
        <v>33.62</v>
      </c>
      <c r="BM945" s="73" t="n">
        <v>47361</v>
      </c>
      <c r="BN945" s="69" t="inlineStr">
        <is>
          <t>ExchangeRight Real Estate</t>
        </is>
      </c>
      <c r="BO945" s="69" t="inlineStr">
        <is>
          <t>Barclays</t>
        </is>
      </c>
      <c r="BP945" s="69" t="inlineStr">
        <is>
          <t>TriMont Real Estate Advisors</t>
        </is>
      </c>
      <c r="BQ945" s="69" t="inlineStr">
        <is>
          <t>K-Star Asset Management LLC</t>
        </is>
      </c>
      <c r="BR945" s="69" t="n"/>
      <c r="BS945" s="73" t="n">
        <v>46276</v>
      </c>
      <c r="BU945" s="76">
        <f>IF($C945="","",IFERROR(INDEX(dmName,MATCH($C945,dmID,0)),"Unmapped"))</f>
        <v/>
      </c>
      <c r="BV945" s="76">
        <f>IF($C945="","",IFERROR(INDEX(dmEntity,MATCH($C945,dmID,0)),"Unmapped"))</f>
        <v/>
      </c>
      <c r="BW945" s="77">
        <f>IF($C945="","",IFERROR(INDEX(dmVintage,MATCH($C945,dmID,0)),""))</f>
        <v/>
      </c>
      <c r="BX945" s="78">
        <f>IFERROR(INDEX(dmInclude,MATCH($C945,dmID,0)),0)</f>
        <v/>
      </c>
      <c r="BY945" s="78">
        <f>IF(N($I945)&gt;0,1,0)</f>
        <v/>
      </c>
      <c r="BZ945" s="76">
        <f>IF($AJ945="","Other / Leased Fee",IFERROR(INDEX(mapPTGroup,MATCH(LEFT(TRIM($AJ945),2),mapPTCode,0)),"Other / Leased Fee"))</f>
        <v/>
      </c>
      <c r="CA945" s="76">
        <f>IF(TRIM($AF945&amp;"")="","NR",LEFT(TRIM($AF945),2))</f>
        <v/>
      </c>
      <c r="CB945" s="76">
        <f>IFERROR(LOOKUP(2,1/(LEFT(TRIM($AI945&amp;""),LEN(mapRegion))=mapRegion),mapRegion),"Not Reported")</f>
        <v/>
      </c>
      <c r="CC945" s="76">
        <f>IF($BY945=0,"",IF(TRIM($W945&amp;"")="REO","REO",IF(TRIM($W945&amp;"")="FC","Foreclosure",IF(TRIM($W945&amp;"")="90+","90+ Days Delinquent",IF(TRIM($W945&amp;"")="60","60 Days Delinquent",IF(TRIM($W945&amp;"")="30","30 Days Delinquent",IF($X945="Non-Performing Matured Balloon","Non-Performing Matured Balloon",IF(OR($X945="Late Payment But Less Than 30 Days Delinquent",LEFT($X945&amp;"",20)="Payment Not Received"),"Late / In Grace (&lt;30 Days)",IF($X945="Performing Matured Balloon","Performing Matured Balloon","Current")))))))))</f>
        <v/>
      </c>
      <c r="CD945" s="78">
        <f>IF(OR($CC945="REO",$CC945="Foreclosure",$CC945="90+ Days Delinquent",$CC945="60 Days Delinquent",$CC945="30 Days Delinquent",$CC945="Non-Performing Matured Balloon"),1,0)</f>
        <v/>
      </c>
      <c r="CE945" s="76">
        <f>IF($AB945="Currently special serv","Currently Specially Serviced",IF($AB945="Returned to master serv","Previously Specially Serviced","Never Specially Serviced"))</f>
        <v/>
      </c>
      <c r="CF945" s="78">
        <f>IF($CE945="Currently Specially Serviced",1,0)</f>
        <v/>
      </c>
      <c r="CG945" s="76">
        <f>IF($AA945="Yes","Currently on Watchlist",IF($AA945="Previously","Previously on Watchlist","Never on Watchlist"))</f>
        <v/>
      </c>
      <c r="CH945" s="78">
        <f>IF($CG945="Currently on Watchlist",1,0)</f>
        <v/>
      </c>
      <c r="CI945" s="76">
        <f>IF($Z945="Full Defeasance","Fully Defeased",IF($Z945="Portion Of Loan Previously Defeased","Partially Defeased",IF($Z945="Defeasance Not Allowable","Not Defeased (Not Permitted)","Not Defeased")))</f>
        <v/>
      </c>
      <c r="CJ945" s="78">
        <f>IF($CI945="Fully Defeased",1,0)</f>
        <v/>
      </c>
      <c r="CK945" s="76">
        <f>IF($R945="IO","Full IO",IF(LEFT($R945&amp;"",7)="IO then","Partial IO","Amortizing"))</f>
        <v/>
      </c>
      <c r="CL945" s="78">
        <f>IF($CK945="Full IO",1,0)</f>
        <v/>
      </c>
      <c r="CM945" s="78">
        <f>IF($CK945="Partial IO",1,0)</f>
        <v/>
      </c>
      <c r="CN945" s="76">
        <f>IF(LEFT($F945&amp;"",10)="SPLIT_LOAN","Pari Passu Split","Standalone")</f>
        <v/>
      </c>
      <c r="CO945" s="78">
        <f>IF($CN945="Pari Passu Split",1,0)</f>
        <v/>
      </c>
      <c r="CP945" s="77">
        <f>IF(ISNUMBER($T945),YEAR($T945),"")</f>
        <v/>
      </c>
      <c r="CQ945" s="79">
        <f>IF(ISNUMBER($V945),$V945,IF(ISNUMBER($U945),$U945,""))</f>
        <v/>
      </c>
      <c r="CR945" s="77">
        <f>IF(ISNUMBER($CQ945),YEAR($CQ945),"")</f>
        <v/>
      </c>
      <c r="CS945" s="78">
        <f>IF(ISNUMBER($M945),MAX(0,$M945),IF(TRIM($M945&amp;"")="matured",0,""))</f>
        <v/>
      </c>
      <c r="CT945" s="78">
        <f>IF(AND(ISNUMBER($CS945),N($CS945)&lt;=mMatWindow),1,0)</f>
        <v/>
      </c>
      <c r="CU945" s="80">
        <f>IF(ISNUMBER($J945),$J945/100,"")</f>
        <v/>
      </c>
      <c r="CV945" s="81">
        <f>IF(ISNUMBER($AQ945),$AQ945,"")</f>
        <v/>
      </c>
      <c r="CW945" s="81">
        <f>IF(ISNUMBER($AR945),$AR945,"")</f>
        <v/>
      </c>
      <c r="CX945" s="82">
        <f>IF(ISNUMBER($AS945),$AS945/100,"")</f>
        <v/>
      </c>
      <c r="CY945" s="82">
        <f>IF(ISNUMBER($AT945),$AT945/100,"")</f>
        <v/>
      </c>
      <c r="CZ945" s="82">
        <f>IF(ISNUMBER($AU945),$AU945/100,"")</f>
        <v/>
      </c>
      <c r="DA945" s="82">
        <f>IF(ISNUMBER($AV945),$AV945/100,"")</f>
        <v/>
      </c>
      <c r="DB945" s="82">
        <f>IF(ISNUMBER($AW945),$AW945/100,"")</f>
        <v/>
      </c>
      <c r="DC945" s="82">
        <f>IF(ISNUMBER($AX945),$AX945/100,"")</f>
        <v/>
      </c>
      <c r="DD945" s="77">
        <f>IFERROR(VALUE(LEFT(TRIM($AO945&amp;""),4)),"")</f>
        <v/>
      </c>
      <c r="DE945" s="78">
        <f>IF(AND($BY945=1,$BX945=1,OR(fDeal="All Deals",$BU945=fDeal),OR(fEntity="All Entities",$BV945=fEntity),OR(fPType="All Property Types",$BZ945=fPType),OR(fDefeased="Include",$CJ945=0)),1,0)</f>
        <v/>
      </c>
      <c r="DF945" s="83">
        <f>$DE945*N($I945)</f>
        <v/>
      </c>
      <c r="DG945" s="78">
        <f>IF($DE945=1,IF(COUNTIFS($F$8:$F945,$F945,$DE$8:$DE945,1)=1,1,0),0)</f>
        <v/>
      </c>
      <c r="DH945" s="83">
        <f>IF($DG945=1,SUMIFS($DF$8:$DF$1600,$F$8:$F$1600,$F945),0)</f>
        <v/>
      </c>
      <c r="DI945" s="78">
        <f>IF($DG945=1,COUNTIFS($F$8:$F$1600,$F945,$DE$8:$DE$1600,1),0)</f>
        <v/>
      </c>
      <c r="DJ945" s="84">
        <f>IF($DG945=1,$DH945+(100000-ROW())/mTieBreak,0)</f>
        <v/>
      </c>
    </row>
    <row r="946">
      <c r="B946" s="68" t="n">
        <v>6</v>
      </c>
      <c r="C946" s="69" t="inlineStr">
        <is>
          <t>WFC18C43</t>
        </is>
      </c>
      <c r="D946" s="69" t="inlineStr">
        <is>
          <t>6.000</t>
        </is>
      </c>
      <c r="E946" s="69" t="inlineStr">
        <is>
          <t>Houston Distribution Center</t>
        </is>
      </c>
      <c r="F946" s="69" t="inlineStr">
        <is>
          <t>SPLIT_LOAN_01238</t>
        </is>
      </c>
      <c r="G946" s="70" t="n">
        <v>1238</v>
      </c>
      <c r="H946" s="71" t="n">
        <v>35000000</v>
      </c>
      <c r="I946" s="71" t="n">
        <v>0</v>
      </c>
      <c r="J946" s="72" t="n">
        <v>5.141</v>
      </c>
      <c r="K946" s="69" t="inlineStr">
        <is>
          <t>Fixed rate</t>
        </is>
      </c>
      <c r="L946" s="68" t="n">
        <v>120</v>
      </c>
      <c r="M946" s="68" t="n"/>
      <c r="N946" s="68" t="n">
        <v>360</v>
      </c>
      <c r="O946" s="68" t="n"/>
      <c r="P946" s="68" t="n"/>
      <c r="Q946" s="68" t="n"/>
      <c r="R946" s="69" t="n"/>
      <c r="S946" s="69" t="inlineStr">
        <is>
          <t>No</t>
        </is>
      </c>
      <c r="T946" s="73" t="n">
        <v>43132</v>
      </c>
      <c r="U946" s="73" t="n">
        <v>46784</v>
      </c>
      <c r="V946" s="73" t="n"/>
      <c r="W946" s="69" t="n"/>
      <c r="X946" s="69" t="inlineStr">
        <is>
          <t>Current</t>
        </is>
      </c>
      <c r="Y946" s="68" t="n"/>
      <c r="Z946" s="69" t="inlineStr">
        <is>
          <t>Defeasance Not Allowable</t>
        </is>
      </c>
      <c r="AA946" s="69" t="n"/>
      <c r="AB946" s="69" t="inlineStr">
        <is>
          <t>Never special serv</t>
        </is>
      </c>
      <c r="AC946" s="73" t="n"/>
      <c r="AD946" s="69" t="n"/>
      <c r="AE946" s="69" t="n"/>
      <c r="AF946" s="69" t="inlineStr">
        <is>
          <t>TX</t>
        </is>
      </c>
      <c r="AG946" s="69" t="inlineStr">
        <is>
          <t>Katy</t>
        </is>
      </c>
      <c r="AH946" s="69" t="inlineStr">
        <is>
          <t>Houston-Pasadena-The Woodlands, TX</t>
        </is>
      </c>
      <c r="AI946" s="69" t="inlineStr">
        <is>
          <t>South / Central West</t>
        </is>
      </c>
      <c r="AJ946" s="69" t="inlineStr">
        <is>
          <t>IN</t>
        </is>
      </c>
      <c r="AK946" s="69" t="inlineStr">
        <is>
          <t>Warehouse/Distribution</t>
        </is>
      </c>
      <c r="AL946" s="68" t="n">
        <v>1</v>
      </c>
      <c r="AM946" s="68" t="n"/>
      <c r="AN946" s="68" t="n">
        <v>1500596</v>
      </c>
      <c r="AO946" s="69" t="inlineStr">
        <is>
          <t>1973, 2000-2005</t>
        </is>
      </c>
      <c r="AP946" s="70" t="n">
        <v>2005</v>
      </c>
      <c r="AQ946" s="74" t="n">
        <v>1.44</v>
      </c>
      <c r="AR946" s="74" t="n">
        <v>1.44</v>
      </c>
      <c r="AS946" s="74" t="n">
        <v>58.2</v>
      </c>
      <c r="AT946" s="74" t="n"/>
      <c r="AU946" s="74" t="n">
        <v>48.2</v>
      </c>
      <c r="AV946" s="74" t="n">
        <v>9.395449631</v>
      </c>
      <c r="AW946" s="74" t="n"/>
      <c r="AX946" s="75" t="n">
        <v>100</v>
      </c>
      <c r="AY946" s="71" t="n">
        <v>144000000</v>
      </c>
      <c r="AZ946" s="71" t="n">
        <v>144000000</v>
      </c>
      <c r="BA946" s="71" t="n">
        <v>7892177.69</v>
      </c>
      <c r="BB946" s="71" t="n">
        <v>7926900</v>
      </c>
      <c r="BC946" s="69" t="inlineStr">
        <is>
          <t>Recapitalization</t>
        </is>
      </c>
      <c r="BD946" s="69" t="inlineStr">
        <is>
          <t>N</t>
        </is>
      </c>
      <c r="BE946" s="71" t="n">
        <v>0</v>
      </c>
      <c r="BF946" s="71" t="n"/>
      <c r="BG946" s="71" t="n"/>
      <c r="BH946" s="71" t="n">
        <v>0</v>
      </c>
      <c r="BI946" s="71" t="n">
        <v>0</v>
      </c>
      <c r="BJ946" s="69" t="inlineStr">
        <is>
          <t>N</t>
        </is>
      </c>
      <c r="BK946" s="69" t="inlineStr">
        <is>
          <t>Academy Sports + Outdoors</t>
        </is>
      </c>
      <c r="BL946" s="75" t="n">
        <v>100</v>
      </c>
      <c r="BM946" s="73" t="n">
        <v>48244</v>
      </c>
      <c r="BN946" s="69" t="inlineStr">
        <is>
          <t>Spirit Realty, L.P.</t>
        </is>
      </c>
      <c r="BO946" s="69" t="inlineStr">
        <is>
          <t>Barclays</t>
        </is>
      </c>
      <c r="BP946" s="69" t="inlineStr">
        <is>
          <t>Wells Fargo</t>
        </is>
      </c>
      <c r="BQ946" s="69" t="inlineStr">
        <is>
          <t>Midland Loan Services</t>
        </is>
      </c>
      <c r="BR946" s="69" t="inlineStr">
        <is>
          <t>Payoff With Yield Maintenance</t>
        </is>
      </c>
      <c r="BS946" s="73" t="n">
        <v>44692</v>
      </c>
      <c r="BU946" s="76">
        <f>IF($C946="","",IFERROR(INDEX(dmName,MATCH($C946,dmID,0)),"Unmapped"))</f>
        <v/>
      </c>
      <c r="BV946" s="76">
        <f>IF($C946="","",IFERROR(INDEX(dmEntity,MATCH($C946,dmID,0)),"Unmapped"))</f>
        <v/>
      </c>
      <c r="BW946" s="77">
        <f>IF($C946="","",IFERROR(INDEX(dmVintage,MATCH($C946,dmID,0)),""))</f>
        <v/>
      </c>
      <c r="BX946" s="78">
        <f>IFERROR(INDEX(dmInclude,MATCH($C946,dmID,0)),0)</f>
        <v/>
      </c>
      <c r="BY946" s="78">
        <f>IF(N($I946)&gt;0,1,0)</f>
        <v/>
      </c>
      <c r="BZ946" s="76">
        <f>IF($AJ946="","Other / Leased Fee",IFERROR(INDEX(mapPTGroup,MATCH(LEFT(TRIM($AJ946),2),mapPTCode,0)),"Other / Leased Fee"))</f>
        <v/>
      </c>
      <c r="CA946" s="76">
        <f>IF(TRIM($AF946&amp;"")="","NR",LEFT(TRIM($AF946),2))</f>
        <v/>
      </c>
      <c r="CB946" s="76">
        <f>IFERROR(LOOKUP(2,1/(LEFT(TRIM($AI946&amp;""),LEN(mapRegion))=mapRegion),mapRegion),"Not Reported")</f>
        <v/>
      </c>
      <c r="CC946" s="76">
        <f>IF($BY946=0,"",IF(TRIM($W946&amp;"")="REO","REO",IF(TRIM($W946&amp;"")="FC","Foreclosure",IF(TRIM($W946&amp;"")="90+","90+ Days Delinquent",IF(TRIM($W946&amp;"")="60","60 Days Delinquent",IF(TRIM($W946&amp;"")="30","30 Days Delinquent",IF($X946="Non-Performing Matured Balloon","Non-Performing Matured Balloon",IF(OR($X946="Late Payment But Less Than 30 Days Delinquent",LEFT($X946&amp;"",20)="Payment Not Received"),"Late / In Grace (&lt;30 Days)",IF($X946="Performing Matured Balloon","Performing Matured Balloon","Current")))))))))</f>
        <v/>
      </c>
      <c r="CD946" s="78">
        <f>IF(OR($CC946="REO",$CC946="Foreclosure",$CC946="90+ Days Delinquent",$CC946="60 Days Delinquent",$CC946="30 Days Delinquent",$CC946="Non-Performing Matured Balloon"),1,0)</f>
        <v/>
      </c>
      <c r="CE946" s="76">
        <f>IF($AB946="Currently special serv","Currently Specially Serviced",IF($AB946="Returned to master serv","Previously Specially Serviced","Never Specially Serviced"))</f>
        <v/>
      </c>
      <c r="CF946" s="78">
        <f>IF($CE946="Currently Specially Serviced",1,0)</f>
        <v/>
      </c>
      <c r="CG946" s="76">
        <f>IF($AA946="Yes","Currently on Watchlist",IF($AA946="Previously","Previously on Watchlist","Never on Watchlist"))</f>
        <v/>
      </c>
      <c r="CH946" s="78">
        <f>IF($CG946="Currently on Watchlist",1,0)</f>
        <v/>
      </c>
      <c r="CI946" s="76">
        <f>IF($Z946="Full Defeasance","Fully Defeased",IF($Z946="Portion Of Loan Previously Defeased","Partially Defeased",IF($Z946="Defeasance Not Allowable","Not Defeased (Not Permitted)","Not Defeased")))</f>
        <v/>
      </c>
      <c r="CJ946" s="78">
        <f>IF($CI946="Fully Defeased",1,0)</f>
        <v/>
      </c>
      <c r="CK946" s="76">
        <f>IF($R946="IO","Full IO",IF(LEFT($R946&amp;"",7)="IO then","Partial IO","Amortizing"))</f>
        <v/>
      </c>
      <c r="CL946" s="78">
        <f>IF($CK946="Full IO",1,0)</f>
        <v/>
      </c>
      <c r="CM946" s="78">
        <f>IF($CK946="Partial IO",1,0)</f>
        <v/>
      </c>
      <c r="CN946" s="76">
        <f>IF(LEFT($F946&amp;"",10)="SPLIT_LOAN","Pari Passu Split","Standalone")</f>
        <v/>
      </c>
      <c r="CO946" s="78">
        <f>IF($CN946="Pari Passu Split",1,0)</f>
        <v/>
      </c>
      <c r="CP946" s="77">
        <f>IF(ISNUMBER($T946),YEAR($T946),"")</f>
        <v/>
      </c>
      <c r="CQ946" s="79">
        <f>IF(ISNUMBER($V946),$V946,IF(ISNUMBER($U946),$U946,""))</f>
        <v/>
      </c>
      <c r="CR946" s="77">
        <f>IF(ISNUMBER($CQ946),YEAR($CQ946),"")</f>
        <v/>
      </c>
      <c r="CS946" s="78">
        <f>IF(ISNUMBER($M946),MAX(0,$M946),IF(TRIM($M946&amp;"")="matured",0,""))</f>
        <v/>
      </c>
      <c r="CT946" s="78">
        <f>IF(AND(ISNUMBER($CS946),N($CS946)&lt;=mMatWindow),1,0)</f>
        <v/>
      </c>
      <c r="CU946" s="80">
        <f>IF(ISNUMBER($J946),$J946/100,"")</f>
        <v/>
      </c>
      <c r="CV946" s="81">
        <f>IF(ISNUMBER($AQ946),$AQ946,"")</f>
        <v/>
      </c>
      <c r="CW946" s="81">
        <f>IF(ISNUMBER($AR946),$AR946,"")</f>
        <v/>
      </c>
      <c r="CX946" s="82">
        <f>IF(ISNUMBER($AS946),$AS946/100,"")</f>
        <v/>
      </c>
      <c r="CY946" s="82">
        <f>IF(ISNUMBER($AT946),$AT946/100,"")</f>
        <v/>
      </c>
      <c r="CZ946" s="82">
        <f>IF(ISNUMBER($AU946),$AU946/100,"")</f>
        <v/>
      </c>
      <c r="DA946" s="82">
        <f>IF(ISNUMBER($AV946),$AV946/100,"")</f>
        <v/>
      </c>
      <c r="DB946" s="82">
        <f>IF(ISNUMBER($AW946),$AW946/100,"")</f>
        <v/>
      </c>
      <c r="DC946" s="82">
        <f>IF(ISNUMBER($AX946),$AX946/100,"")</f>
        <v/>
      </c>
      <c r="DD946" s="77">
        <f>IFERROR(VALUE(LEFT(TRIM($AO946&amp;""),4)),"")</f>
        <v/>
      </c>
      <c r="DE946" s="78">
        <f>IF(AND($BY946=1,$BX946=1,OR(fDeal="All Deals",$BU946=fDeal),OR(fEntity="All Entities",$BV946=fEntity),OR(fPType="All Property Types",$BZ946=fPType),OR(fDefeased="Include",$CJ946=0)),1,0)</f>
        <v/>
      </c>
      <c r="DF946" s="83">
        <f>$DE946*N($I946)</f>
        <v/>
      </c>
      <c r="DG946" s="78">
        <f>IF($DE946=1,IF(COUNTIFS($F$8:$F946,$F946,$DE$8:$DE946,1)=1,1,0),0)</f>
        <v/>
      </c>
      <c r="DH946" s="83">
        <f>IF($DG946=1,SUMIFS($DF$8:$DF$1600,$F$8:$F$1600,$F946),0)</f>
        <v/>
      </c>
      <c r="DI946" s="78">
        <f>IF($DG946=1,COUNTIFS($F$8:$F$1600,$F946,$DE$8:$DE$1600,1),0)</f>
        <v/>
      </c>
      <c r="DJ946" s="84">
        <f>IF($DG946=1,$DH946+(100000-ROW())/mTieBreak,0)</f>
        <v/>
      </c>
    </row>
    <row r="947">
      <c r="B947" s="68" t="n">
        <v>7</v>
      </c>
      <c r="C947" s="69" t="inlineStr">
        <is>
          <t>WFC18C43</t>
        </is>
      </c>
      <c r="D947" s="69" t="inlineStr">
        <is>
          <t>7.000</t>
        </is>
      </c>
      <c r="E947" s="69" t="inlineStr">
        <is>
          <t>Apple Campus 3</t>
        </is>
      </c>
      <c r="F947" s="69" t="inlineStr">
        <is>
          <t>SPLIT_LOAN_01178</t>
        </is>
      </c>
      <c r="G947" s="70" t="n">
        <v>1178</v>
      </c>
      <c r="H947" s="71" t="n">
        <v>30000000</v>
      </c>
      <c r="I947" s="71" t="n">
        <v>30000000</v>
      </c>
      <c r="J947" s="72" t="n">
        <v>3.364978</v>
      </c>
      <c r="K947" s="69" t="inlineStr">
        <is>
          <t>Fixed rate</t>
        </is>
      </c>
      <c r="L947" s="68" t="n">
        <v>120</v>
      </c>
      <c r="M947" s="68" t="n">
        <v>16</v>
      </c>
      <c r="N947" s="68" t="n">
        <v>120</v>
      </c>
      <c r="O947" s="68" t="n">
        <v>120</v>
      </c>
      <c r="P947" s="68" t="n">
        <v>16</v>
      </c>
      <c r="Q947" s="68" t="n">
        <v>104</v>
      </c>
      <c r="R947" s="69" t="inlineStr">
        <is>
          <t>IO</t>
        </is>
      </c>
      <c r="S947" s="69" t="inlineStr">
        <is>
          <t>Yes</t>
        </is>
      </c>
      <c r="T947" s="73" t="n">
        <v>43101</v>
      </c>
      <c r="U947" s="73" t="n">
        <v>47944</v>
      </c>
      <c r="V947" s="73" t="n">
        <v>46758</v>
      </c>
      <c r="W947" s="69" t="n"/>
      <c r="X947" s="69" t="inlineStr">
        <is>
          <t>Current</t>
        </is>
      </c>
      <c r="Y947" s="68" t="n"/>
      <c r="Z947" s="69" t="inlineStr">
        <is>
          <t>No Defeasance Occurred</t>
        </is>
      </c>
      <c r="AA947" s="69" t="inlineStr">
        <is>
          <t>Previously</t>
        </is>
      </c>
      <c r="AB947" s="69" t="inlineStr">
        <is>
          <t>Never special serv</t>
        </is>
      </c>
      <c r="AC947" s="73" t="n"/>
      <c r="AD947" s="69" t="n"/>
      <c r="AE947" s="69" t="n"/>
      <c r="AF947" s="69" t="inlineStr">
        <is>
          <t>CA</t>
        </is>
      </c>
      <c r="AG947" s="69" t="inlineStr">
        <is>
          <t>Sunnyvale</t>
        </is>
      </c>
      <c r="AH947" s="69" t="inlineStr">
        <is>
          <t>San Jose-Sunnyvale-Santa Clara, CA</t>
        </is>
      </c>
      <c r="AI947" s="69" t="inlineStr">
        <is>
          <t>West / Pacific North</t>
        </is>
      </c>
      <c r="AJ947" s="69" t="inlineStr">
        <is>
          <t>OF</t>
        </is>
      </c>
      <c r="AK947" s="69" t="inlineStr">
        <is>
          <t>Suburban</t>
        </is>
      </c>
      <c r="AL947" s="68" t="n">
        <v>1</v>
      </c>
      <c r="AM947" s="68" t="n"/>
      <c r="AN947" s="68" t="n">
        <v>882657</v>
      </c>
      <c r="AO947" s="69" t="inlineStr">
        <is>
          <t>2017</t>
        </is>
      </c>
      <c r="AP947" s="70" t="n">
        <v>2017</v>
      </c>
      <c r="AQ947" s="74" t="n">
        <v>3.55</v>
      </c>
      <c r="AR947" s="74" t="n">
        <v>3.76</v>
      </c>
      <c r="AS947" s="74" t="n">
        <v>44</v>
      </c>
      <c r="AT947" s="74" t="n">
        <v>43.95</v>
      </c>
      <c r="AU947" s="74" t="n">
        <v>44</v>
      </c>
      <c r="AV947" s="74" t="n">
        <v>12.120318235</v>
      </c>
      <c r="AW947" s="74" t="n">
        <v>12.427470735</v>
      </c>
      <c r="AX947" s="75" t="n">
        <v>100</v>
      </c>
      <c r="AY947" s="71" t="n">
        <v>773600000</v>
      </c>
      <c r="AZ947" s="71" t="n">
        <v>773600000</v>
      </c>
      <c r="BA947" s="71" t="n">
        <v>41209082</v>
      </c>
      <c r="BB947" s="71" t="n">
        <v>21771873.79</v>
      </c>
      <c r="BC947" s="69" t="inlineStr">
        <is>
          <t>Refinance</t>
        </is>
      </c>
      <c r="BD947" s="69" t="inlineStr">
        <is>
          <t>N</t>
        </is>
      </c>
      <c r="BE947" s="71" t="n">
        <v>310000000</v>
      </c>
      <c r="BF947" s="71" t="n"/>
      <c r="BG947" s="71" t="n">
        <v>235000000</v>
      </c>
      <c r="BH947" s="71" t="n">
        <v>0</v>
      </c>
      <c r="BI947" s="71" t="n">
        <v>0</v>
      </c>
      <c r="BJ947" s="69" t="inlineStr">
        <is>
          <t>N</t>
        </is>
      </c>
      <c r="BK947" s="69" t="inlineStr">
        <is>
          <t>Apple</t>
        </is>
      </c>
      <c r="BL947" s="75" t="n">
        <v>100</v>
      </c>
      <c r="BM947" s="73" t="n">
        <v>47907</v>
      </c>
      <c r="BN947" s="69" t="inlineStr">
        <is>
          <t>Paul Guarantor LLC</t>
        </is>
      </c>
      <c r="BO947" s="69" t="inlineStr">
        <is>
          <t>Wells Fargo</t>
        </is>
      </c>
      <c r="BP947" s="69" t="inlineStr">
        <is>
          <t>TriMont Real Estate Advisors</t>
        </is>
      </c>
      <c r="BQ947" s="69" t="inlineStr">
        <is>
          <t>Torchlight Loan Services</t>
        </is>
      </c>
      <c r="BR947" s="69" t="n"/>
      <c r="BS947" s="73" t="n">
        <v>46276</v>
      </c>
      <c r="BU947" s="76">
        <f>IF($C947="","",IFERROR(INDEX(dmName,MATCH($C947,dmID,0)),"Unmapped"))</f>
        <v/>
      </c>
      <c r="BV947" s="76">
        <f>IF($C947="","",IFERROR(INDEX(dmEntity,MATCH($C947,dmID,0)),"Unmapped"))</f>
        <v/>
      </c>
      <c r="BW947" s="77">
        <f>IF($C947="","",IFERROR(INDEX(dmVintage,MATCH($C947,dmID,0)),""))</f>
        <v/>
      </c>
      <c r="BX947" s="78">
        <f>IFERROR(INDEX(dmInclude,MATCH($C947,dmID,0)),0)</f>
        <v/>
      </c>
      <c r="BY947" s="78">
        <f>IF(N($I947)&gt;0,1,0)</f>
        <v/>
      </c>
      <c r="BZ947" s="76">
        <f>IF($AJ947="","Other / Leased Fee",IFERROR(INDEX(mapPTGroup,MATCH(LEFT(TRIM($AJ947),2),mapPTCode,0)),"Other / Leased Fee"))</f>
        <v/>
      </c>
      <c r="CA947" s="76">
        <f>IF(TRIM($AF947&amp;"")="","NR",LEFT(TRIM($AF947),2))</f>
        <v/>
      </c>
      <c r="CB947" s="76">
        <f>IFERROR(LOOKUP(2,1/(LEFT(TRIM($AI947&amp;""),LEN(mapRegion))=mapRegion),mapRegion),"Not Reported")</f>
        <v/>
      </c>
      <c r="CC947" s="76">
        <f>IF($BY947=0,"",IF(TRIM($W947&amp;"")="REO","REO",IF(TRIM($W947&amp;"")="FC","Foreclosure",IF(TRIM($W947&amp;"")="90+","90+ Days Delinquent",IF(TRIM($W947&amp;"")="60","60 Days Delinquent",IF(TRIM($W947&amp;"")="30","30 Days Delinquent",IF($X947="Non-Performing Matured Balloon","Non-Performing Matured Balloon",IF(OR($X947="Late Payment But Less Than 30 Days Delinquent",LEFT($X947&amp;"",20)="Payment Not Received"),"Late / In Grace (&lt;30 Days)",IF($X947="Performing Matured Balloon","Performing Matured Balloon","Current")))))))))</f>
        <v/>
      </c>
      <c r="CD947" s="78">
        <f>IF(OR($CC947="REO",$CC947="Foreclosure",$CC947="90+ Days Delinquent",$CC947="60 Days Delinquent",$CC947="30 Days Delinquent",$CC947="Non-Performing Matured Balloon"),1,0)</f>
        <v/>
      </c>
      <c r="CE947" s="76">
        <f>IF($AB947="Currently special serv","Currently Specially Serviced",IF($AB947="Returned to master serv","Previously Specially Serviced","Never Specially Serviced"))</f>
        <v/>
      </c>
      <c r="CF947" s="78">
        <f>IF($CE947="Currently Specially Serviced",1,0)</f>
        <v/>
      </c>
      <c r="CG947" s="76">
        <f>IF($AA947="Yes","Currently on Watchlist",IF($AA947="Previously","Previously on Watchlist","Never on Watchlist"))</f>
        <v/>
      </c>
      <c r="CH947" s="78">
        <f>IF($CG947="Currently on Watchlist",1,0)</f>
        <v/>
      </c>
      <c r="CI947" s="76">
        <f>IF($Z947="Full Defeasance","Fully Defeased",IF($Z947="Portion Of Loan Previously Defeased","Partially Defeased",IF($Z947="Defeasance Not Allowable","Not Defeased (Not Permitted)","Not Defeased")))</f>
        <v/>
      </c>
      <c r="CJ947" s="78">
        <f>IF($CI947="Fully Defeased",1,0)</f>
        <v/>
      </c>
      <c r="CK947" s="76">
        <f>IF($R947="IO","Full IO",IF(LEFT($R947&amp;"",7)="IO then","Partial IO","Amortizing"))</f>
        <v/>
      </c>
      <c r="CL947" s="78">
        <f>IF($CK947="Full IO",1,0)</f>
        <v/>
      </c>
      <c r="CM947" s="78">
        <f>IF($CK947="Partial IO",1,0)</f>
        <v/>
      </c>
      <c r="CN947" s="76">
        <f>IF(LEFT($F947&amp;"",10)="SPLIT_LOAN","Pari Passu Split","Standalone")</f>
        <v/>
      </c>
      <c r="CO947" s="78">
        <f>IF($CN947="Pari Passu Split",1,0)</f>
        <v/>
      </c>
      <c r="CP947" s="77">
        <f>IF(ISNUMBER($T947),YEAR($T947),"")</f>
        <v/>
      </c>
      <c r="CQ947" s="79">
        <f>IF(ISNUMBER($V947),$V947,IF(ISNUMBER($U947),$U947,""))</f>
        <v/>
      </c>
      <c r="CR947" s="77">
        <f>IF(ISNUMBER($CQ947),YEAR($CQ947),"")</f>
        <v/>
      </c>
      <c r="CS947" s="78">
        <f>IF(ISNUMBER($M947),MAX(0,$M947),IF(TRIM($M947&amp;"")="matured",0,""))</f>
        <v/>
      </c>
      <c r="CT947" s="78">
        <f>IF(AND(ISNUMBER($CS947),N($CS947)&lt;=mMatWindow),1,0)</f>
        <v/>
      </c>
      <c r="CU947" s="80">
        <f>IF(ISNUMBER($J947),$J947/100,"")</f>
        <v/>
      </c>
      <c r="CV947" s="81">
        <f>IF(ISNUMBER($AQ947),$AQ947,"")</f>
        <v/>
      </c>
      <c r="CW947" s="81">
        <f>IF(ISNUMBER($AR947),$AR947,"")</f>
        <v/>
      </c>
      <c r="CX947" s="82">
        <f>IF(ISNUMBER($AS947),$AS947/100,"")</f>
        <v/>
      </c>
      <c r="CY947" s="82">
        <f>IF(ISNUMBER($AT947),$AT947/100,"")</f>
        <v/>
      </c>
      <c r="CZ947" s="82">
        <f>IF(ISNUMBER($AU947),$AU947/100,"")</f>
        <v/>
      </c>
      <c r="DA947" s="82">
        <f>IF(ISNUMBER($AV947),$AV947/100,"")</f>
        <v/>
      </c>
      <c r="DB947" s="82">
        <f>IF(ISNUMBER($AW947),$AW947/100,"")</f>
        <v/>
      </c>
      <c r="DC947" s="82">
        <f>IF(ISNUMBER($AX947),$AX947/100,"")</f>
        <v/>
      </c>
      <c r="DD947" s="77">
        <f>IFERROR(VALUE(LEFT(TRIM($AO947&amp;""),4)),"")</f>
        <v/>
      </c>
      <c r="DE947" s="78">
        <f>IF(AND($BY947=1,$BX947=1,OR(fDeal="All Deals",$BU947=fDeal),OR(fEntity="All Entities",$BV947=fEntity),OR(fPType="All Property Types",$BZ947=fPType),OR(fDefeased="Include",$CJ947=0)),1,0)</f>
        <v/>
      </c>
      <c r="DF947" s="83">
        <f>$DE947*N($I947)</f>
        <v/>
      </c>
      <c r="DG947" s="78">
        <f>IF($DE947=1,IF(COUNTIFS($F$8:$F947,$F947,$DE$8:$DE947,1)=1,1,0),0)</f>
        <v/>
      </c>
      <c r="DH947" s="83">
        <f>IF($DG947=1,SUMIFS($DF$8:$DF$1600,$F$8:$F$1600,$F947),0)</f>
        <v/>
      </c>
      <c r="DI947" s="78">
        <f>IF($DG947=1,COUNTIFS($F$8:$F$1600,$F947,$DE$8:$DE$1600,1),0)</f>
        <v/>
      </c>
      <c r="DJ947" s="84">
        <f>IF($DG947=1,$DH947+(100000-ROW())/mTieBreak,0)</f>
        <v/>
      </c>
    </row>
    <row r="948">
      <c r="B948" s="68" t="n">
        <v>8</v>
      </c>
      <c r="C948" s="69" t="inlineStr">
        <is>
          <t>WFC18C43</t>
        </is>
      </c>
      <c r="D948" s="69" t="inlineStr">
        <is>
          <t>8.000</t>
        </is>
      </c>
      <c r="E948" s="69" t="inlineStr">
        <is>
          <t>Walmart Supercenter Houston</t>
        </is>
      </c>
      <c r="F948" s="69" t="inlineStr">
        <is>
          <t>LNWFC18C43-8.000</t>
        </is>
      </c>
      <c r="G948" s="70" t="n"/>
      <c r="H948" s="71" t="n">
        <v>26500000</v>
      </c>
      <c r="I948" s="71" t="n">
        <v>26500000</v>
      </c>
      <c r="J948" s="72" t="n">
        <v>4.44</v>
      </c>
      <c r="K948" s="69" t="inlineStr">
        <is>
          <t>Fixed rate</t>
        </is>
      </c>
      <c r="L948" s="68" t="n">
        <v>120</v>
      </c>
      <c r="M948" s="68" t="n">
        <v>18</v>
      </c>
      <c r="N948" s="68" t="n">
        <v>120</v>
      </c>
      <c r="O948" s="68" t="n">
        <v>120</v>
      </c>
      <c r="P948" s="68" t="n">
        <v>18</v>
      </c>
      <c r="Q948" s="68" t="n">
        <v>102</v>
      </c>
      <c r="R948" s="69" t="inlineStr">
        <is>
          <t>IO</t>
        </is>
      </c>
      <c r="S948" s="69" t="inlineStr">
        <is>
          <t>Yes</t>
        </is>
      </c>
      <c r="T948" s="73" t="n">
        <v>43160</v>
      </c>
      <c r="U948" s="73" t="n">
        <v>46818</v>
      </c>
      <c r="V948" s="73" t="n"/>
      <c r="W948" s="69" t="n"/>
      <c r="X948" s="69" t="inlineStr">
        <is>
          <t>Current</t>
        </is>
      </c>
      <c r="Y948" s="68" t="n"/>
      <c r="Z948" s="69" t="inlineStr">
        <is>
          <t>No Defeasance Occurred</t>
        </is>
      </c>
      <c r="AA948" s="69" t="inlineStr">
        <is>
          <t>Previously</t>
        </is>
      </c>
      <c r="AB948" s="69" t="inlineStr">
        <is>
          <t>Never special serv</t>
        </is>
      </c>
      <c r="AC948" s="73" t="n"/>
      <c r="AD948" s="69" t="n"/>
      <c r="AE948" s="69" t="n"/>
      <c r="AF948" s="69" t="inlineStr">
        <is>
          <t>TX</t>
        </is>
      </c>
      <c r="AG948" s="69" t="inlineStr">
        <is>
          <t>Houston</t>
        </is>
      </c>
      <c r="AH948" s="69" t="inlineStr">
        <is>
          <t>Houston-Pasadena-The Woodlands, TX</t>
        </is>
      </c>
      <c r="AI948" s="69" t="inlineStr">
        <is>
          <t>South / Central West</t>
        </is>
      </c>
      <c r="AJ948" s="69" t="inlineStr">
        <is>
          <t>RT</t>
        </is>
      </c>
      <c r="AK948" s="69" t="inlineStr">
        <is>
          <t>Single Tenant</t>
        </is>
      </c>
      <c r="AL948" s="68" t="n">
        <v>1</v>
      </c>
      <c r="AM948" s="68" t="n"/>
      <c r="AN948" s="68" t="n">
        <v>177514</v>
      </c>
      <c r="AO948" s="69" t="inlineStr">
        <is>
          <t>2015</t>
        </is>
      </c>
      <c r="AP948" s="70" t="n">
        <v>2015</v>
      </c>
      <c r="AQ948" s="74" t="n">
        <v>1.74</v>
      </c>
      <c r="AR948" s="74" t="n">
        <v>1.72</v>
      </c>
      <c r="AS948" s="74" t="n">
        <v>62.1</v>
      </c>
      <c r="AT948" s="74" t="n">
        <v>62.1</v>
      </c>
      <c r="AU948" s="74" t="n">
        <v>62.1</v>
      </c>
      <c r="AV948" s="74" t="n">
        <v>7.854286792</v>
      </c>
      <c r="AW948" s="74" t="n">
        <v>7.73465283</v>
      </c>
      <c r="AX948" s="75" t="n">
        <v>100</v>
      </c>
      <c r="AY948" s="71" t="n">
        <v>42670000</v>
      </c>
      <c r="AZ948" s="71" t="n">
        <v>42670000</v>
      </c>
      <c r="BA948" s="71" t="n">
        <v>2081386</v>
      </c>
      <c r="BB948" s="71" t="n">
        <v>1021210.5</v>
      </c>
      <c r="BC948" s="69" t="inlineStr">
        <is>
          <t>Recapitalization</t>
        </is>
      </c>
      <c r="BD948" s="69" t="inlineStr">
        <is>
          <t>N</t>
        </is>
      </c>
      <c r="BE948" s="71" t="n"/>
      <c r="BF948" s="71" t="n"/>
      <c r="BG948" s="71" t="n"/>
      <c r="BH948" s="71" t="n">
        <v>0</v>
      </c>
      <c r="BI948" s="71" t="n">
        <v>0</v>
      </c>
      <c r="BJ948" s="69" t="inlineStr">
        <is>
          <t>N</t>
        </is>
      </c>
      <c r="BK948" s="69" t="inlineStr">
        <is>
          <t>Walmart</t>
        </is>
      </c>
      <c r="BL948" s="75" t="n">
        <v>100</v>
      </c>
      <c r="BM948" s="73" t="n">
        <v>49502</v>
      </c>
      <c r="BN948" s="69" t="inlineStr">
        <is>
          <t>Midway Risknet Partners I, L. P.</t>
        </is>
      </c>
      <c r="BO948" s="69" t="inlineStr">
        <is>
          <t>RMF</t>
        </is>
      </c>
      <c r="BP948" s="69" t="inlineStr">
        <is>
          <t>TriMont Real Estate Advisors</t>
        </is>
      </c>
      <c r="BQ948" s="69" t="inlineStr">
        <is>
          <t>K-Star Asset Management LLC</t>
        </is>
      </c>
      <c r="BR948" s="69" t="n"/>
      <c r="BS948" s="73" t="n">
        <v>46276</v>
      </c>
      <c r="BU948" s="76">
        <f>IF($C948="","",IFERROR(INDEX(dmName,MATCH($C948,dmID,0)),"Unmapped"))</f>
        <v/>
      </c>
      <c r="BV948" s="76">
        <f>IF($C948="","",IFERROR(INDEX(dmEntity,MATCH($C948,dmID,0)),"Unmapped"))</f>
        <v/>
      </c>
      <c r="BW948" s="77">
        <f>IF($C948="","",IFERROR(INDEX(dmVintage,MATCH($C948,dmID,0)),""))</f>
        <v/>
      </c>
      <c r="BX948" s="78">
        <f>IFERROR(INDEX(dmInclude,MATCH($C948,dmID,0)),0)</f>
        <v/>
      </c>
      <c r="BY948" s="78">
        <f>IF(N($I948)&gt;0,1,0)</f>
        <v/>
      </c>
      <c r="BZ948" s="76">
        <f>IF($AJ948="","Other / Leased Fee",IFERROR(INDEX(mapPTGroup,MATCH(LEFT(TRIM($AJ948),2),mapPTCode,0)),"Other / Leased Fee"))</f>
        <v/>
      </c>
      <c r="CA948" s="76">
        <f>IF(TRIM($AF948&amp;"")="","NR",LEFT(TRIM($AF948),2))</f>
        <v/>
      </c>
      <c r="CB948" s="76">
        <f>IFERROR(LOOKUP(2,1/(LEFT(TRIM($AI948&amp;""),LEN(mapRegion))=mapRegion),mapRegion),"Not Reported")</f>
        <v/>
      </c>
      <c r="CC948" s="76">
        <f>IF($BY948=0,"",IF(TRIM($W948&amp;"")="REO","REO",IF(TRIM($W948&amp;"")="FC","Foreclosure",IF(TRIM($W948&amp;"")="90+","90+ Days Delinquent",IF(TRIM($W948&amp;"")="60","60 Days Delinquent",IF(TRIM($W948&amp;"")="30","30 Days Delinquent",IF($X948="Non-Performing Matured Balloon","Non-Performing Matured Balloon",IF(OR($X948="Late Payment But Less Than 30 Days Delinquent",LEFT($X948&amp;"",20)="Payment Not Received"),"Late / In Grace (&lt;30 Days)",IF($X948="Performing Matured Balloon","Performing Matured Balloon","Current")))))))))</f>
        <v/>
      </c>
      <c r="CD948" s="78">
        <f>IF(OR($CC948="REO",$CC948="Foreclosure",$CC948="90+ Days Delinquent",$CC948="60 Days Delinquent",$CC948="30 Days Delinquent",$CC948="Non-Performing Matured Balloon"),1,0)</f>
        <v/>
      </c>
      <c r="CE948" s="76">
        <f>IF($AB948="Currently special serv","Currently Specially Serviced",IF($AB948="Returned to master serv","Previously Specially Serviced","Never Specially Serviced"))</f>
        <v/>
      </c>
      <c r="CF948" s="78">
        <f>IF($CE948="Currently Specially Serviced",1,0)</f>
        <v/>
      </c>
      <c r="CG948" s="76">
        <f>IF($AA948="Yes","Currently on Watchlist",IF($AA948="Previously","Previously on Watchlist","Never on Watchlist"))</f>
        <v/>
      </c>
      <c r="CH948" s="78">
        <f>IF($CG948="Currently on Watchlist",1,0)</f>
        <v/>
      </c>
      <c r="CI948" s="76">
        <f>IF($Z948="Full Defeasance","Fully Defeased",IF($Z948="Portion Of Loan Previously Defeased","Partially Defeased",IF($Z948="Defeasance Not Allowable","Not Defeased (Not Permitted)","Not Defeased")))</f>
        <v/>
      </c>
      <c r="CJ948" s="78">
        <f>IF($CI948="Fully Defeased",1,0)</f>
        <v/>
      </c>
      <c r="CK948" s="76">
        <f>IF($R948="IO","Full IO",IF(LEFT($R948&amp;"",7)="IO then","Partial IO","Amortizing"))</f>
        <v/>
      </c>
      <c r="CL948" s="78">
        <f>IF($CK948="Full IO",1,0)</f>
        <v/>
      </c>
      <c r="CM948" s="78">
        <f>IF($CK948="Partial IO",1,0)</f>
        <v/>
      </c>
      <c r="CN948" s="76">
        <f>IF(LEFT($F948&amp;"",10)="SPLIT_LOAN","Pari Passu Split","Standalone")</f>
        <v/>
      </c>
      <c r="CO948" s="78">
        <f>IF($CN948="Pari Passu Split",1,0)</f>
        <v/>
      </c>
      <c r="CP948" s="77">
        <f>IF(ISNUMBER($T948),YEAR($T948),"")</f>
        <v/>
      </c>
      <c r="CQ948" s="79">
        <f>IF(ISNUMBER($V948),$V948,IF(ISNUMBER($U948),$U948,""))</f>
        <v/>
      </c>
      <c r="CR948" s="77">
        <f>IF(ISNUMBER($CQ948),YEAR($CQ948),"")</f>
        <v/>
      </c>
      <c r="CS948" s="78">
        <f>IF(ISNUMBER($M948),MAX(0,$M948),IF(TRIM($M948&amp;"")="matured",0,""))</f>
        <v/>
      </c>
      <c r="CT948" s="78">
        <f>IF(AND(ISNUMBER($CS948),N($CS948)&lt;=mMatWindow),1,0)</f>
        <v/>
      </c>
      <c r="CU948" s="80">
        <f>IF(ISNUMBER($J948),$J948/100,"")</f>
        <v/>
      </c>
      <c r="CV948" s="81">
        <f>IF(ISNUMBER($AQ948),$AQ948,"")</f>
        <v/>
      </c>
      <c r="CW948" s="81">
        <f>IF(ISNUMBER($AR948),$AR948,"")</f>
        <v/>
      </c>
      <c r="CX948" s="82">
        <f>IF(ISNUMBER($AS948),$AS948/100,"")</f>
        <v/>
      </c>
      <c r="CY948" s="82">
        <f>IF(ISNUMBER($AT948),$AT948/100,"")</f>
        <v/>
      </c>
      <c r="CZ948" s="82">
        <f>IF(ISNUMBER($AU948),$AU948/100,"")</f>
        <v/>
      </c>
      <c r="DA948" s="82">
        <f>IF(ISNUMBER($AV948),$AV948/100,"")</f>
        <v/>
      </c>
      <c r="DB948" s="82">
        <f>IF(ISNUMBER($AW948),$AW948/100,"")</f>
        <v/>
      </c>
      <c r="DC948" s="82">
        <f>IF(ISNUMBER($AX948),$AX948/100,"")</f>
        <v/>
      </c>
      <c r="DD948" s="77">
        <f>IFERROR(VALUE(LEFT(TRIM($AO948&amp;""),4)),"")</f>
        <v/>
      </c>
      <c r="DE948" s="78">
        <f>IF(AND($BY948=1,$BX948=1,OR(fDeal="All Deals",$BU948=fDeal),OR(fEntity="All Entities",$BV948=fEntity),OR(fPType="All Property Types",$BZ948=fPType),OR(fDefeased="Include",$CJ948=0)),1,0)</f>
        <v/>
      </c>
      <c r="DF948" s="83">
        <f>$DE948*N($I948)</f>
        <v/>
      </c>
      <c r="DG948" s="78">
        <f>IF($DE948=1,IF(COUNTIFS($F$8:$F948,$F948,$DE$8:$DE948,1)=1,1,0),0)</f>
        <v/>
      </c>
      <c r="DH948" s="83">
        <f>IF($DG948=1,SUMIFS($DF$8:$DF$1600,$F$8:$F$1600,$F948),0)</f>
        <v/>
      </c>
      <c r="DI948" s="78">
        <f>IF($DG948=1,COUNTIFS($F$8:$F$1600,$F948,$DE$8:$DE$1600,1),0)</f>
        <v/>
      </c>
      <c r="DJ948" s="84">
        <f>IF($DG948=1,$DH948+(100000-ROW())/mTieBreak,0)</f>
        <v/>
      </c>
    </row>
    <row r="949">
      <c r="B949" s="68" t="n">
        <v>9</v>
      </c>
      <c r="C949" s="69" t="inlineStr">
        <is>
          <t>WFC18C43</t>
        </is>
      </c>
      <c r="D949" s="69" t="inlineStr">
        <is>
          <t>9.000</t>
        </is>
      </c>
      <c r="E949" s="69" t="inlineStr">
        <is>
          <t>35 Waterview Boulevard</t>
        </is>
      </c>
      <c r="F949" s="69" t="inlineStr">
        <is>
          <t>LNWFC18C43-9.000</t>
        </is>
      </c>
      <c r="G949" s="70" t="n"/>
      <c r="H949" s="71" t="n">
        <v>22000000</v>
      </c>
      <c r="I949" s="71" t="n">
        <v>19203149.36001</v>
      </c>
      <c r="J949" s="72" t="n">
        <v>4.865</v>
      </c>
      <c r="K949" s="69" t="inlineStr">
        <is>
          <t>Fixed rate</t>
        </is>
      </c>
      <c r="L949" s="68" t="n">
        <v>120</v>
      </c>
      <c r="M949" s="68" t="n">
        <v>18</v>
      </c>
      <c r="N949" s="68" t="n">
        <v>372</v>
      </c>
      <c r="O949" s="68" t="n">
        <v>12</v>
      </c>
      <c r="P949" s="68" t="n">
        <v>0</v>
      </c>
      <c r="Q949" s="68" t="n">
        <v>102</v>
      </c>
      <c r="R949" s="69" t="inlineStr">
        <is>
          <t>IO then Amort</t>
        </is>
      </c>
      <c r="S949" s="69" t="inlineStr">
        <is>
          <t>No</t>
        </is>
      </c>
      <c r="T949" s="73" t="n">
        <v>43160</v>
      </c>
      <c r="U949" s="73" t="n">
        <v>46823</v>
      </c>
      <c r="V949" s="73" t="n"/>
      <c r="W949" s="69" t="n"/>
      <c r="X949" s="69" t="inlineStr">
        <is>
          <t>Current</t>
        </is>
      </c>
      <c r="Y949" s="68" t="n"/>
      <c r="Z949" s="69" t="inlineStr">
        <is>
          <t>No Defeasance Occurred</t>
        </is>
      </c>
      <c r="AA949" s="69" t="inlineStr">
        <is>
          <t>Yes</t>
        </is>
      </c>
      <c r="AB949" s="69" t="inlineStr">
        <is>
          <t>Never special serv</t>
        </is>
      </c>
      <c r="AC949" s="73" t="n"/>
      <c r="AD949" s="69" t="n"/>
      <c r="AE949" s="69" t="n"/>
      <c r="AF949" s="69" t="inlineStr">
        <is>
          <t>NJ</t>
        </is>
      </c>
      <c r="AG949" s="69" t="inlineStr">
        <is>
          <t>Parsippany</t>
        </is>
      </c>
      <c r="AH949" s="69" t="inlineStr">
        <is>
          <t>New York-Newark-Jersey City, NY-NJ</t>
        </is>
      </c>
      <c r="AI949" s="69" t="inlineStr">
        <is>
          <t>Northeast / Mid-Atlantic</t>
        </is>
      </c>
      <c r="AJ949" s="69" t="inlineStr">
        <is>
          <t>OF</t>
        </is>
      </c>
      <c r="AK949" s="69" t="inlineStr">
        <is>
          <t>Suburban</t>
        </is>
      </c>
      <c r="AL949" s="68" t="n">
        <v>1</v>
      </c>
      <c r="AM949" s="68" t="n"/>
      <c r="AN949" s="68" t="n">
        <v>172498</v>
      </c>
      <c r="AO949" s="69" t="inlineStr">
        <is>
          <t>1990</t>
        </is>
      </c>
      <c r="AP949" s="70" t="n">
        <v>1990</v>
      </c>
      <c r="AQ949" s="74" t="n">
        <v>1.75</v>
      </c>
      <c r="AR949" s="74" t="n">
        <v>1.22</v>
      </c>
      <c r="AS949" s="74" t="n">
        <v>72.59999999999999</v>
      </c>
      <c r="AT949" s="74" t="n">
        <v>63.38</v>
      </c>
      <c r="AU949" s="74" t="n">
        <v>61.1</v>
      </c>
      <c r="AV949" s="74" t="n">
        <v>11.128309091</v>
      </c>
      <c r="AW949" s="74" t="n">
        <v>10.767727945</v>
      </c>
      <c r="AX949" s="75" t="n">
        <v>86</v>
      </c>
      <c r="AY949" s="71" t="n">
        <v>30300000</v>
      </c>
      <c r="AZ949" s="71" t="n">
        <v>30300000</v>
      </c>
      <c r="BA949" s="71" t="n">
        <v>2448228</v>
      </c>
      <c r="BB949" s="71" t="n">
        <v>853171.98</v>
      </c>
      <c r="BC949" s="69" t="inlineStr">
        <is>
          <t>Acquisition</t>
        </is>
      </c>
      <c r="BD949" s="69" t="inlineStr">
        <is>
          <t>N</t>
        </is>
      </c>
      <c r="BE949" s="71" t="n"/>
      <c r="BF949" s="71" t="n"/>
      <c r="BG949" s="71" t="n"/>
      <c r="BH949" s="71" t="n">
        <v>0</v>
      </c>
      <c r="BI949" s="71" t="n">
        <v>0</v>
      </c>
      <c r="BJ949" s="69" t="inlineStr">
        <is>
          <t>N</t>
        </is>
      </c>
      <c r="BK949" s="69" t="inlineStr">
        <is>
          <t>SUN CHEMICAL MANAGEMENT LLC</t>
        </is>
      </c>
      <c r="BL949" s="75" t="n">
        <v>32.54</v>
      </c>
      <c r="BM949" s="73" t="n">
        <v>47483</v>
      </c>
      <c r="BN949" s="69" t="inlineStr">
        <is>
          <t>Joseph Popack</t>
        </is>
      </c>
      <c r="BO949" s="69" t="inlineStr">
        <is>
          <t>Wells Fargo</t>
        </is>
      </c>
      <c r="BP949" s="69" t="inlineStr">
        <is>
          <t>TriMont Real Estate Advisors</t>
        </is>
      </c>
      <c r="BQ949" s="69" t="inlineStr">
        <is>
          <t>K-Star Asset Management LLC</t>
        </is>
      </c>
      <c r="BR949" s="69" t="n"/>
      <c r="BS949" s="73" t="n">
        <v>46276</v>
      </c>
      <c r="BU949" s="76">
        <f>IF($C949="","",IFERROR(INDEX(dmName,MATCH($C949,dmID,0)),"Unmapped"))</f>
        <v/>
      </c>
      <c r="BV949" s="76">
        <f>IF($C949="","",IFERROR(INDEX(dmEntity,MATCH($C949,dmID,0)),"Unmapped"))</f>
        <v/>
      </c>
      <c r="BW949" s="77">
        <f>IF($C949="","",IFERROR(INDEX(dmVintage,MATCH($C949,dmID,0)),""))</f>
        <v/>
      </c>
      <c r="BX949" s="78">
        <f>IFERROR(INDEX(dmInclude,MATCH($C949,dmID,0)),0)</f>
        <v/>
      </c>
      <c r="BY949" s="78">
        <f>IF(N($I949)&gt;0,1,0)</f>
        <v/>
      </c>
      <c r="BZ949" s="76">
        <f>IF($AJ949="","Other / Leased Fee",IFERROR(INDEX(mapPTGroup,MATCH(LEFT(TRIM($AJ949),2),mapPTCode,0)),"Other / Leased Fee"))</f>
        <v/>
      </c>
      <c r="CA949" s="76">
        <f>IF(TRIM($AF949&amp;"")="","NR",LEFT(TRIM($AF949),2))</f>
        <v/>
      </c>
      <c r="CB949" s="76">
        <f>IFERROR(LOOKUP(2,1/(LEFT(TRIM($AI949&amp;""),LEN(mapRegion))=mapRegion),mapRegion),"Not Reported")</f>
        <v/>
      </c>
      <c r="CC949" s="76">
        <f>IF($BY949=0,"",IF(TRIM($W949&amp;"")="REO","REO",IF(TRIM($W949&amp;"")="FC","Foreclosure",IF(TRIM($W949&amp;"")="90+","90+ Days Delinquent",IF(TRIM($W949&amp;"")="60","60 Days Delinquent",IF(TRIM($W949&amp;"")="30","30 Days Delinquent",IF($X949="Non-Performing Matured Balloon","Non-Performing Matured Balloon",IF(OR($X949="Late Payment But Less Than 30 Days Delinquent",LEFT($X949&amp;"",20)="Payment Not Received"),"Late / In Grace (&lt;30 Days)",IF($X949="Performing Matured Balloon","Performing Matured Balloon","Current")))))))))</f>
        <v/>
      </c>
      <c r="CD949" s="78">
        <f>IF(OR($CC949="REO",$CC949="Foreclosure",$CC949="90+ Days Delinquent",$CC949="60 Days Delinquent",$CC949="30 Days Delinquent",$CC949="Non-Performing Matured Balloon"),1,0)</f>
        <v/>
      </c>
      <c r="CE949" s="76">
        <f>IF($AB949="Currently special serv","Currently Specially Serviced",IF($AB949="Returned to master serv","Previously Specially Serviced","Never Specially Serviced"))</f>
        <v/>
      </c>
      <c r="CF949" s="78">
        <f>IF($CE949="Currently Specially Serviced",1,0)</f>
        <v/>
      </c>
      <c r="CG949" s="76">
        <f>IF($AA949="Yes","Currently on Watchlist",IF($AA949="Previously","Previously on Watchlist","Never on Watchlist"))</f>
        <v/>
      </c>
      <c r="CH949" s="78">
        <f>IF($CG949="Currently on Watchlist",1,0)</f>
        <v/>
      </c>
      <c r="CI949" s="76">
        <f>IF($Z949="Full Defeasance","Fully Defeased",IF($Z949="Portion Of Loan Previously Defeased","Partially Defeased",IF($Z949="Defeasance Not Allowable","Not Defeased (Not Permitted)","Not Defeased")))</f>
        <v/>
      </c>
      <c r="CJ949" s="78">
        <f>IF($CI949="Fully Defeased",1,0)</f>
        <v/>
      </c>
      <c r="CK949" s="76">
        <f>IF($R949="IO","Full IO",IF(LEFT($R949&amp;"",7)="IO then","Partial IO","Amortizing"))</f>
        <v/>
      </c>
      <c r="CL949" s="78">
        <f>IF($CK949="Full IO",1,0)</f>
        <v/>
      </c>
      <c r="CM949" s="78">
        <f>IF($CK949="Partial IO",1,0)</f>
        <v/>
      </c>
      <c r="CN949" s="76">
        <f>IF(LEFT($F949&amp;"",10)="SPLIT_LOAN","Pari Passu Split","Standalone")</f>
        <v/>
      </c>
      <c r="CO949" s="78">
        <f>IF($CN949="Pari Passu Split",1,0)</f>
        <v/>
      </c>
      <c r="CP949" s="77">
        <f>IF(ISNUMBER($T949),YEAR($T949),"")</f>
        <v/>
      </c>
      <c r="CQ949" s="79">
        <f>IF(ISNUMBER($V949),$V949,IF(ISNUMBER($U949),$U949,""))</f>
        <v/>
      </c>
      <c r="CR949" s="77">
        <f>IF(ISNUMBER($CQ949),YEAR($CQ949),"")</f>
        <v/>
      </c>
      <c r="CS949" s="78">
        <f>IF(ISNUMBER($M949),MAX(0,$M949),IF(TRIM($M949&amp;"")="matured",0,""))</f>
        <v/>
      </c>
      <c r="CT949" s="78">
        <f>IF(AND(ISNUMBER($CS949),N($CS949)&lt;=mMatWindow),1,0)</f>
        <v/>
      </c>
      <c r="CU949" s="80">
        <f>IF(ISNUMBER($J949),$J949/100,"")</f>
        <v/>
      </c>
      <c r="CV949" s="81">
        <f>IF(ISNUMBER($AQ949),$AQ949,"")</f>
        <v/>
      </c>
      <c r="CW949" s="81">
        <f>IF(ISNUMBER($AR949),$AR949,"")</f>
        <v/>
      </c>
      <c r="CX949" s="82">
        <f>IF(ISNUMBER($AS949),$AS949/100,"")</f>
        <v/>
      </c>
      <c r="CY949" s="82">
        <f>IF(ISNUMBER($AT949),$AT949/100,"")</f>
        <v/>
      </c>
      <c r="CZ949" s="82">
        <f>IF(ISNUMBER($AU949),$AU949/100,"")</f>
        <v/>
      </c>
      <c r="DA949" s="82">
        <f>IF(ISNUMBER($AV949),$AV949/100,"")</f>
        <v/>
      </c>
      <c r="DB949" s="82">
        <f>IF(ISNUMBER($AW949),$AW949/100,"")</f>
        <v/>
      </c>
      <c r="DC949" s="82">
        <f>IF(ISNUMBER($AX949),$AX949/100,"")</f>
        <v/>
      </c>
      <c r="DD949" s="77">
        <f>IFERROR(VALUE(LEFT(TRIM($AO949&amp;""),4)),"")</f>
        <v/>
      </c>
      <c r="DE949" s="78">
        <f>IF(AND($BY949=1,$BX949=1,OR(fDeal="All Deals",$BU949=fDeal),OR(fEntity="All Entities",$BV949=fEntity),OR(fPType="All Property Types",$BZ949=fPType),OR(fDefeased="Include",$CJ949=0)),1,0)</f>
        <v/>
      </c>
      <c r="DF949" s="83">
        <f>$DE949*N($I949)</f>
        <v/>
      </c>
      <c r="DG949" s="78">
        <f>IF($DE949=1,IF(COUNTIFS($F$8:$F949,$F949,$DE$8:$DE949,1)=1,1,0),0)</f>
        <v/>
      </c>
      <c r="DH949" s="83">
        <f>IF($DG949=1,SUMIFS($DF$8:$DF$1600,$F$8:$F$1600,$F949),0)</f>
        <v/>
      </c>
      <c r="DI949" s="78">
        <f>IF($DG949=1,COUNTIFS($F$8:$F$1600,$F949,$DE$8:$DE$1600,1),0)</f>
        <v/>
      </c>
      <c r="DJ949" s="84">
        <f>IF($DG949=1,$DH949+(100000-ROW())/mTieBreak,0)</f>
        <v/>
      </c>
    </row>
    <row r="950">
      <c r="B950" s="68" t="n">
        <v>10</v>
      </c>
      <c r="C950" s="69" t="inlineStr">
        <is>
          <t>WFC18C43</t>
        </is>
      </c>
      <c r="D950" s="69" t="inlineStr">
        <is>
          <t>10.000</t>
        </is>
      </c>
      <c r="E950" s="69" t="inlineStr">
        <is>
          <t>FedEx Distribution Center</t>
        </is>
      </c>
      <c r="F950" s="69" t="inlineStr">
        <is>
          <t>LNWFC18C43-10.000</t>
        </is>
      </c>
      <c r="G950" s="70" t="n"/>
      <c r="H950" s="71" t="n">
        <v>21100000</v>
      </c>
      <c r="I950" s="71" t="n">
        <v>21100000</v>
      </c>
      <c r="J950" s="72" t="n">
        <v>4.76</v>
      </c>
      <c r="K950" s="69" t="inlineStr">
        <is>
          <t>Fixed rate</t>
        </is>
      </c>
      <c r="L950" s="68" t="n">
        <v>120</v>
      </c>
      <c r="M950" s="68" t="n">
        <v>18</v>
      </c>
      <c r="N950" s="68" t="n">
        <v>120</v>
      </c>
      <c r="O950" s="68" t="n">
        <v>120</v>
      </c>
      <c r="P950" s="68" t="n">
        <v>18</v>
      </c>
      <c r="Q950" s="68" t="n">
        <v>102</v>
      </c>
      <c r="R950" s="69" t="inlineStr">
        <is>
          <t>IO</t>
        </is>
      </c>
      <c r="S950" s="69" t="inlineStr">
        <is>
          <t>Yes</t>
        </is>
      </c>
      <c r="T950" s="73" t="n">
        <v>43160</v>
      </c>
      <c r="U950" s="73" t="n">
        <v>46823</v>
      </c>
      <c r="V950" s="73" t="n"/>
      <c r="W950" s="69" t="n"/>
      <c r="X950" s="69" t="inlineStr">
        <is>
          <t>Current</t>
        </is>
      </c>
      <c r="Y950" s="68" t="n"/>
      <c r="Z950" s="69" t="inlineStr">
        <is>
          <t>No Defeasance Occurred</t>
        </is>
      </c>
      <c r="AA950" s="69" t="n"/>
      <c r="AB950" s="69" t="inlineStr">
        <is>
          <t>Never special serv</t>
        </is>
      </c>
      <c r="AC950" s="73" t="n"/>
      <c r="AD950" s="69" t="n"/>
      <c r="AE950" s="69" t="n"/>
      <c r="AF950" s="69" t="inlineStr">
        <is>
          <t>OH</t>
        </is>
      </c>
      <c r="AG950" s="69" t="inlineStr">
        <is>
          <t>Groveport</t>
        </is>
      </c>
      <c r="AH950" s="69" t="inlineStr">
        <is>
          <t>Columbus, OH</t>
        </is>
      </c>
      <c r="AI950" s="69" t="inlineStr">
        <is>
          <t>Midwest / Central East</t>
        </is>
      </c>
      <c r="AJ950" s="69" t="inlineStr">
        <is>
          <t>IN</t>
        </is>
      </c>
      <c r="AK950" s="69" t="inlineStr">
        <is>
          <t>Warehouse</t>
        </is>
      </c>
      <c r="AL950" s="68" t="n">
        <v>1</v>
      </c>
      <c r="AM950" s="68" t="n"/>
      <c r="AN950" s="68" t="n">
        <v>305250</v>
      </c>
      <c r="AO950" s="69" t="inlineStr">
        <is>
          <t>2013</t>
        </is>
      </c>
      <c r="AP950" s="70" t="n">
        <v>2013</v>
      </c>
      <c r="AQ950" s="74" t="n">
        <v>1.77</v>
      </c>
      <c r="AR950" s="74" t="n">
        <v>2.25</v>
      </c>
      <c r="AS950" s="74" t="n">
        <v>66.59999999999999</v>
      </c>
      <c r="AT950" s="74" t="n">
        <v>66.56</v>
      </c>
      <c r="AU950" s="74" t="n">
        <v>66.59999999999999</v>
      </c>
      <c r="AV950" s="74" t="n">
        <v>8.558328294000001</v>
      </c>
      <c r="AW950" s="74" t="n">
        <v>8.978498626</v>
      </c>
      <c r="AX950" s="75" t="n">
        <v>100</v>
      </c>
      <c r="AY950" s="71" t="n">
        <v>31700000</v>
      </c>
      <c r="AZ950" s="71" t="n">
        <v>31700000</v>
      </c>
      <c r="BA950" s="71" t="n">
        <v>1805807.27</v>
      </c>
      <c r="BB950" s="71" t="n">
        <v>1144312.54</v>
      </c>
      <c r="BC950" s="69" t="inlineStr">
        <is>
          <t>Acquisition</t>
        </is>
      </c>
      <c r="BD950" s="69" t="inlineStr">
        <is>
          <t>N</t>
        </is>
      </c>
      <c r="BE950" s="71" t="n"/>
      <c r="BF950" s="71" t="n"/>
      <c r="BG950" s="71" t="n"/>
      <c r="BH950" s="71" t="n">
        <v>0</v>
      </c>
      <c r="BI950" s="71" t="n">
        <v>0</v>
      </c>
      <c r="BJ950" s="69" t="inlineStr">
        <is>
          <t>N</t>
        </is>
      </c>
      <c r="BK950" s="69" t="inlineStr">
        <is>
          <t>FedEx</t>
        </is>
      </c>
      <c r="BL950" s="75" t="n">
        <v>100</v>
      </c>
      <c r="BM950" s="73" t="n">
        <v>46630</v>
      </c>
      <c r="BN950" s="69" t="inlineStr">
        <is>
          <t>Paul M. Zeller</t>
        </is>
      </c>
      <c r="BO950" s="69" t="inlineStr">
        <is>
          <t>Wells Fargo</t>
        </is>
      </c>
      <c r="BP950" s="69" t="inlineStr">
        <is>
          <t>TriMont Real Estate Advisors</t>
        </is>
      </c>
      <c r="BQ950" s="69" t="inlineStr">
        <is>
          <t>K-Star Asset Management LLC</t>
        </is>
      </c>
      <c r="BR950" s="69" t="n"/>
      <c r="BS950" s="73" t="n">
        <v>46276</v>
      </c>
      <c r="BU950" s="76">
        <f>IF($C950="","",IFERROR(INDEX(dmName,MATCH($C950,dmID,0)),"Unmapped"))</f>
        <v/>
      </c>
      <c r="BV950" s="76">
        <f>IF($C950="","",IFERROR(INDEX(dmEntity,MATCH($C950,dmID,0)),"Unmapped"))</f>
        <v/>
      </c>
      <c r="BW950" s="77">
        <f>IF($C950="","",IFERROR(INDEX(dmVintage,MATCH($C950,dmID,0)),""))</f>
        <v/>
      </c>
      <c r="BX950" s="78">
        <f>IFERROR(INDEX(dmInclude,MATCH($C950,dmID,0)),0)</f>
        <v/>
      </c>
      <c r="BY950" s="78">
        <f>IF(N($I950)&gt;0,1,0)</f>
        <v/>
      </c>
      <c r="BZ950" s="76">
        <f>IF($AJ950="","Other / Leased Fee",IFERROR(INDEX(mapPTGroup,MATCH(LEFT(TRIM($AJ950),2),mapPTCode,0)),"Other / Leased Fee"))</f>
        <v/>
      </c>
      <c r="CA950" s="76">
        <f>IF(TRIM($AF950&amp;"")="","NR",LEFT(TRIM($AF950),2))</f>
        <v/>
      </c>
      <c r="CB950" s="76">
        <f>IFERROR(LOOKUP(2,1/(LEFT(TRIM($AI950&amp;""),LEN(mapRegion))=mapRegion),mapRegion),"Not Reported")</f>
        <v/>
      </c>
      <c r="CC950" s="76">
        <f>IF($BY950=0,"",IF(TRIM($W950&amp;"")="REO","REO",IF(TRIM($W950&amp;"")="FC","Foreclosure",IF(TRIM($W950&amp;"")="90+","90+ Days Delinquent",IF(TRIM($W950&amp;"")="60","60 Days Delinquent",IF(TRIM($W950&amp;"")="30","30 Days Delinquent",IF($X950="Non-Performing Matured Balloon","Non-Performing Matured Balloon",IF(OR($X950="Late Payment But Less Than 30 Days Delinquent",LEFT($X950&amp;"",20)="Payment Not Received"),"Late / In Grace (&lt;30 Days)",IF($X950="Performing Matured Balloon","Performing Matured Balloon","Current")))))))))</f>
        <v/>
      </c>
      <c r="CD950" s="78">
        <f>IF(OR($CC950="REO",$CC950="Foreclosure",$CC950="90+ Days Delinquent",$CC950="60 Days Delinquent",$CC950="30 Days Delinquent",$CC950="Non-Performing Matured Balloon"),1,0)</f>
        <v/>
      </c>
      <c r="CE950" s="76">
        <f>IF($AB950="Currently special serv","Currently Specially Serviced",IF($AB950="Returned to master serv","Previously Specially Serviced","Never Specially Serviced"))</f>
        <v/>
      </c>
      <c r="CF950" s="78">
        <f>IF($CE950="Currently Specially Serviced",1,0)</f>
        <v/>
      </c>
      <c r="CG950" s="76">
        <f>IF($AA950="Yes","Currently on Watchlist",IF($AA950="Previously","Previously on Watchlist","Never on Watchlist"))</f>
        <v/>
      </c>
      <c r="CH950" s="78">
        <f>IF($CG950="Currently on Watchlist",1,0)</f>
        <v/>
      </c>
      <c r="CI950" s="76">
        <f>IF($Z950="Full Defeasance","Fully Defeased",IF($Z950="Portion Of Loan Previously Defeased","Partially Defeased",IF($Z950="Defeasance Not Allowable","Not Defeased (Not Permitted)","Not Defeased")))</f>
        <v/>
      </c>
      <c r="CJ950" s="78">
        <f>IF($CI950="Fully Defeased",1,0)</f>
        <v/>
      </c>
      <c r="CK950" s="76">
        <f>IF($R950="IO","Full IO",IF(LEFT($R950&amp;"",7)="IO then","Partial IO","Amortizing"))</f>
        <v/>
      </c>
      <c r="CL950" s="78">
        <f>IF($CK950="Full IO",1,0)</f>
        <v/>
      </c>
      <c r="CM950" s="78">
        <f>IF($CK950="Partial IO",1,0)</f>
        <v/>
      </c>
      <c r="CN950" s="76">
        <f>IF(LEFT($F950&amp;"",10)="SPLIT_LOAN","Pari Passu Split","Standalone")</f>
        <v/>
      </c>
      <c r="CO950" s="78">
        <f>IF($CN950="Pari Passu Split",1,0)</f>
        <v/>
      </c>
      <c r="CP950" s="77">
        <f>IF(ISNUMBER($T950),YEAR($T950),"")</f>
        <v/>
      </c>
      <c r="CQ950" s="79">
        <f>IF(ISNUMBER($V950),$V950,IF(ISNUMBER($U950),$U950,""))</f>
        <v/>
      </c>
      <c r="CR950" s="77">
        <f>IF(ISNUMBER($CQ950),YEAR($CQ950),"")</f>
        <v/>
      </c>
      <c r="CS950" s="78">
        <f>IF(ISNUMBER($M950),MAX(0,$M950),IF(TRIM($M950&amp;"")="matured",0,""))</f>
        <v/>
      </c>
      <c r="CT950" s="78">
        <f>IF(AND(ISNUMBER($CS950),N($CS950)&lt;=mMatWindow),1,0)</f>
        <v/>
      </c>
      <c r="CU950" s="80">
        <f>IF(ISNUMBER($J950),$J950/100,"")</f>
        <v/>
      </c>
      <c r="CV950" s="81">
        <f>IF(ISNUMBER($AQ950),$AQ950,"")</f>
        <v/>
      </c>
      <c r="CW950" s="81">
        <f>IF(ISNUMBER($AR950),$AR950,"")</f>
        <v/>
      </c>
      <c r="CX950" s="82">
        <f>IF(ISNUMBER($AS950),$AS950/100,"")</f>
        <v/>
      </c>
      <c r="CY950" s="82">
        <f>IF(ISNUMBER($AT950),$AT950/100,"")</f>
        <v/>
      </c>
      <c r="CZ950" s="82">
        <f>IF(ISNUMBER($AU950),$AU950/100,"")</f>
        <v/>
      </c>
      <c r="DA950" s="82">
        <f>IF(ISNUMBER($AV950),$AV950/100,"")</f>
        <v/>
      </c>
      <c r="DB950" s="82">
        <f>IF(ISNUMBER($AW950),$AW950/100,"")</f>
        <v/>
      </c>
      <c r="DC950" s="82">
        <f>IF(ISNUMBER($AX950),$AX950/100,"")</f>
        <v/>
      </c>
      <c r="DD950" s="77">
        <f>IFERROR(VALUE(LEFT(TRIM($AO950&amp;""),4)),"")</f>
        <v/>
      </c>
      <c r="DE950" s="78">
        <f>IF(AND($BY950=1,$BX950=1,OR(fDeal="All Deals",$BU950=fDeal),OR(fEntity="All Entities",$BV950=fEntity),OR(fPType="All Property Types",$BZ950=fPType),OR(fDefeased="Include",$CJ950=0)),1,0)</f>
        <v/>
      </c>
      <c r="DF950" s="83">
        <f>$DE950*N($I950)</f>
        <v/>
      </c>
      <c r="DG950" s="78">
        <f>IF($DE950=1,IF(COUNTIFS($F$8:$F950,$F950,$DE$8:$DE950,1)=1,1,0),0)</f>
        <v/>
      </c>
      <c r="DH950" s="83">
        <f>IF($DG950=1,SUMIFS($DF$8:$DF$1600,$F$8:$F$1600,$F950),0)</f>
        <v/>
      </c>
      <c r="DI950" s="78">
        <f>IF($DG950=1,COUNTIFS($F$8:$F$1600,$F950,$DE$8:$DE$1600,1),0)</f>
        <v/>
      </c>
      <c r="DJ950" s="84">
        <f>IF($DG950=1,$DH950+(100000-ROW())/mTieBreak,0)</f>
        <v/>
      </c>
    </row>
    <row r="951">
      <c r="B951" s="68" t="n">
        <v>11</v>
      </c>
      <c r="C951" s="69" t="inlineStr">
        <is>
          <t>WFC18C43</t>
        </is>
      </c>
      <c r="D951" s="69" t="inlineStr">
        <is>
          <t>11.000</t>
        </is>
      </c>
      <c r="E951" s="69" t="inlineStr">
        <is>
          <t>Riverside and Rialto Industrial Portfolio</t>
        </is>
      </c>
      <c r="F951" s="69" t="inlineStr">
        <is>
          <t>LNWFC18C43-11.000</t>
        </is>
      </c>
      <c r="G951" s="70" t="n"/>
      <c r="H951" s="71" t="n">
        <v>21000000</v>
      </c>
      <c r="I951" s="71" t="n">
        <v>21000000</v>
      </c>
      <c r="J951" s="72" t="n">
        <v>4.99</v>
      </c>
      <c r="K951" s="69" t="inlineStr">
        <is>
          <t>Fixed rate</t>
        </is>
      </c>
      <c r="L951" s="68" t="n">
        <v>120</v>
      </c>
      <c r="M951" s="68" t="n">
        <v>18</v>
      </c>
      <c r="N951" s="68" t="n">
        <v>120</v>
      </c>
      <c r="O951" s="68" t="n">
        <v>120</v>
      </c>
      <c r="P951" s="68" t="n">
        <v>18</v>
      </c>
      <c r="Q951" s="68" t="n">
        <v>102</v>
      </c>
      <c r="R951" s="69" t="inlineStr">
        <is>
          <t>IO</t>
        </is>
      </c>
      <c r="S951" s="69" t="inlineStr">
        <is>
          <t>Yes</t>
        </is>
      </c>
      <c r="T951" s="73" t="n">
        <v>43160</v>
      </c>
      <c r="U951" s="73" t="n">
        <v>46818</v>
      </c>
      <c r="V951" s="73" t="n"/>
      <c r="W951" s="69" t="n"/>
      <c r="X951" s="69" t="inlineStr">
        <is>
          <t>Current</t>
        </is>
      </c>
      <c r="Y951" s="68" t="n"/>
      <c r="Z951" s="69" t="inlineStr">
        <is>
          <t>No Defeasance Occurred</t>
        </is>
      </c>
      <c r="AA951" s="69" t="inlineStr">
        <is>
          <t>Yes</t>
        </is>
      </c>
      <c r="AB951" s="69" t="inlineStr">
        <is>
          <t>Never special serv</t>
        </is>
      </c>
      <c r="AC951" s="73" t="n"/>
      <c r="AD951" s="69" t="n"/>
      <c r="AE951" s="69" t="n"/>
      <c r="AF951" s="69" t="inlineStr">
        <is>
          <t>CA</t>
        </is>
      </c>
      <c r="AG951" s="69" t="n"/>
      <c r="AH951" s="69" t="inlineStr">
        <is>
          <t>Riverside-San Bernardino-Ontario, CA</t>
        </is>
      </c>
      <c r="AI951" s="69" t="inlineStr">
        <is>
          <t>West / Pacific South</t>
        </is>
      </c>
      <c r="AJ951" s="69" t="inlineStr">
        <is>
          <t>IN</t>
        </is>
      </c>
      <c r="AK951" s="69" t="inlineStr">
        <is>
          <t>Flex</t>
        </is>
      </c>
      <c r="AL951" s="68" t="n">
        <v>2</v>
      </c>
      <c r="AM951" s="68" t="n"/>
      <c r="AN951" s="68" t="n">
        <v>407112</v>
      </c>
      <c r="AO951" s="69" t="n"/>
      <c r="AP951" s="70" t="n">
        <v>1973</v>
      </c>
      <c r="AQ951" s="74" t="n">
        <v>1.85</v>
      </c>
      <c r="AR951" s="74" t="n">
        <v>3.2</v>
      </c>
      <c r="AS951" s="74" t="n">
        <v>56.1</v>
      </c>
      <c r="AT951" s="74" t="n">
        <v>56.07</v>
      </c>
      <c r="AU951" s="74" t="n">
        <v>56.1</v>
      </c>
      <c r="AV951" s="74" t="n">
        <v>9.374180952</v>
      </c>
      <c r="AW951" s="74" t="n">
        <v>16.991328905</v>
      </c>
      <c r="AX951" s="75" t="n">
        <v>90</v>
      </c>
      <c r="AY951" s="71" t="n">
        <v>37450000</v>
      </c>
      <c r="AZ951" s="71" t="n">
        <v>37450000</v>
      </c>
      <c r="BA951" s="71" t="n">
        <v>1968578</v>
      </c>
      <c r="BB951" s="71" t="n">
        <v>1693029.41</v>
      </c>
      <c r="BC951" s="69" t="inlineStr">
        <is>
          <t>Recapitalization</t>
        </is>
      </c>
      <c r="BD951" s="69" t="inlineStr">
        <is>
          <t>N</t>
        </is>
      </c>
      <c r="BE951" s="71" t="n"/>
      <c r="BF951" s="71" t="n"/>
      <c r="BG951" s="71" t="n"/>
      <c r="BH951" s="71" t="n">
        <v>0</v>
      </c>
      <c r="BI951" s="71" t="n">
        <v>0</v>
      </c>
      <c r="BJ951" s="69" t="inlineStr">
        <is>
          <t>N</t>
        </is>
      </c>
      <c r="BK951" s="69" t="inlineStr">
        <is>
          <t>United Pipe and Steel Corp</t>
        </is>
      </c>
      <c r="BL951" s="75" t="n">
        <v>22.01</v>
      </c>
      <c r="BM951" s="73" t="n">
        <v>47907</v>
      </c>
      <c r="BN951" s="69" t="inlineStr">
        <is>
          <t>DT Grat JMT, LLC</t>
        </is>
      </c>
      <c r="BO951" s="69" t="inlineStr">
        <is>
          <t>BSPRT</t>
        </is>
      </c>
      <c r="BP951" s="69" t="inlineStr">
        <is>
          <t>TriMont Real Estate Advisors</t>
        </is>
      </c>
      <c r="BQ951" s="69" t="inlineStr">
        <is>
          <t>K-Star Asset Management LLC</t>
        </is>
      </c>
      <c r="BR951" s="69" t="n"/>
      <c r="BS951" s="73" t="n">
        <v>46276</v>
      </c>
      <c r="BU951" s="76">
        <f>IF($C951="","",IFERROR(INDEX(dmName,MATCH($C951,dmID,0)),"Unmapped"))</f>
        <v/>
      </c>
      <c r="BV951" s="76">
        <f>IF($C951="","",IFERROR(INDEX(dmEntity,MATCH($C951,dmID,0)),"Unmapped"))</f>
        <v/>
      </c>
      <c r="BW951" s="77">
        <f>IF($C951="","",IFERROR(INDEX(dmVintage,MATCH($C951,dmID,0)),""))</f>
        <v/>
      </c>
      <c r="BX951" s="78">
        <f>IFERROR(INDEX(dmInclude,MATCH($C951,dmID,0)),0)</f>
        <v/>
      </c>
      <c r="BY951" s="78">
        <f>IF(N($I951)&gt;0,1,0)</f>
        <v/>
      </c>
      <c r="BZ951" s="76">
        <f>IF($AJ951="","Other / Leased Fee",IFERROR(INDEX(mapPTGroup,MATCH(LEFT(TRIM($AJ951),2),mapPTCode,0)),"Other / Leased Fee"))</f>
        <v/>
      </c>
      <c r="CA951" s="76">
        <f>IF(TRIM($AF951&amp;"")="","NR",LEFT(TRIM($AF951),2))</f>
        <v/>
      </c>
      <c r="CB951" s="76">
        <f>IFERROR(LOOKUP(2,1/(LEFT(TRIM($AI951&amp;""),LEN(mapRegion))=mapRegion),mapRegion),"Not Reported")</f>
        <v/>
      </c>
      <c r="CC951" s="76">
        <f>IF($BY951=0,"",IF(TRIM($W951&amp;"")="REO","REO",IF(TRIM($W951&amp;"")="FC","Foreclosure",IF(TRIM($W951&amp;"")="90+","90+ Days Delinquent",IF(TRIM($W951&amp;"")="60","60 Days Delinquent",IF(TRIM($W951&amp;"")="30","30 Days Delinquent",IF($X951="Non-Performing Matured Balloon","Non-Performing Matured Balloon",IF(OR($X951="Late Payment But Less Than 30 Days Delinquent",LEFT($X951&amp;"",20)="Payment Not Received"),"Late / In Grace (&lt;30 Days)",IF($X951="Performing Matured Balloon","Performing Matured Balloon","Current")))))))))</f>
        <v/>
      </c>
      <c r="CD951" s="78">
        <f>IF(OR($CC951="REO",$CC951="Foreclosure",$CC951="90+ Days Delinquent",$CC951="60 Days Delinquent",$CC951="30 Days Delinquent",$CC951="Non-Performing Matured Balloon"),1,0)</f>
        <v/>
      </c>
      <c r="CE951" s="76">
        <f>IF($AB951="Currently special serv","Currently Specially Serviced",IF($AB951="Returned to master serv","Previously Specially Serviced","Never Specially Serviced"))</f>
        <v/>
      </c>
      <c r="CF951" s="78">
        <f>IF($CE951="Currently Specially Serviced",1,0)</f>
        <v/>
      </c>
      <c r="CG951" s="76">
        <f>IF($AA951="Yes","Currently on Watchlist",IF($AA951="Previously","Previously on Watchlist","Never on Watchlist"))</f>
        <v/>
      </c>
      <c r="CH951" s="78">
        <f>IF($CG951="Currently on Watchlist",1,0)</f>
        <v/>
      </c>
      <c r="CI951" s="76">
        <f>IF($Z951="Full Defeasance","Fully Defeased",IF($Z951="Portion Of Loan Previously Defeased","Partially Defeased",IF($Z951="Defeasance Not Allowable","Not Defeased (Not Permitted)","Not Defeased")))</f>
        <v/>
      </c>
      <c r="CJ951" s="78">
        <f>IF($CI951="Fully Defeased",1,0)</f>
        <v/>
      </c>
      <c r="CK951" s="76">
        <f>IF($R951="IO","Full IO",IF(LEFT($R951&amp;"",7)="IO then","Partial IO","Amortizing"))</f>
        <v/>
      </c>
      <c r="CL951" s="78">
        <f>IF($CK951="Full IO",1,0)</f>
        <v/>
      </c>
      <c r="CM951" s="78">
        <f>IF($CK951="Partial IO",1,0)</f>
        <v/>
      </c>
      <c r="CN951" s="76">
        <f>IF(LEFT($F951&amp;"",10)="SPLIT_LOAN","Pari Passu Split","Standalone")</f>
        <v/>
      </c>
      <c r="CO951" s="78">
        <f>IF($CN951="Pari Passu Split",1,0)</f>
        <v/>
      </c>
      <c r="CP951" s="77">
        <f>IF(ISNUMBER($T951),YEAR($T951),"")</f>
        <v/>
      </c>
      <c r="CQ951" s="79">
        <f>IF(ISNUMBER($V951),$V951,IF(ISNUMBER($U951),$U951,""))</f>
        <v/>
      </c>
      <c r="CR951" s="77">
        <f>IF(ISNUMBER($CQ951),YEAR($CQ951),"")</f>
        <v/>
      </c>
      <c r="CS951" s="78">
        <f>IF(ISNUMBER($M951),MAX(0,$M951),IF(TRIM($M951&amp;"")="matured",0,""))</f>
        <v/>
      </c>
      <c r="CT951" s="78">
        <f>IF(AND(ISNUMBER($CS951),N($CS951)&lt;=mMatWindow),1,0)</f>
        <v/>
      </c>
      <c r="CU951" s="80">
        <f>IF(ISNUMBER($J951),$J951/100,"")</f>
        <v/>
      </c>
      <c r="CV951" s="81">
        <f>IF(ISNUMBER($AQ951),$AQ951,"")</f>
        <v/>
      </c>
      <c r="CW951" s="81">
        <f>IF(ISNUMBER($AR951),$AR951,"")</f>
        <v/>
      </c>
      <c r="CX951" s="82">
        <f>IF(ISNUMBER($AS951),$AS951/100,"")</f>
        <v/>
      </c>
      <c r="CY951" s="82">
        <f>IF(ISNUMBER($AT951),$AT951/100,"")</f>
        <v/>
      </c>
      <c r="CZ951" s="82">
        <f>IF(ISNUMBER($AU951),$AU951/100,"")</f>
        <v/>
      </c>
      <c r="DA951" s="82">
        <f>IF(ISNUMBER($AV951),$AV951/100,"")</f>
        <v/>
      </c>
      <c r="DB951" s="82">
        <f>IF(ISNUMBER($AW951),$AW951/100,"")</f>
        <v/>
      </c>
      <c r="DC951" s="82">
        <f>IF(ISNUMBER($AX951),$AX951/100,"")</f>
        <v/>
      </c>
      <c r="DD951" s="77">
        <f>IFERROR(VALUE(LEFT(TRIM($AO951&amp;""),4)),"")</f>
        <v/>
      </c>
      <c r="DE951" s="78">
        <f>IF(AND($BY951=1,$BX951=1,OR(fDeal="All Deals",$BU951=fDeal),OR(fEntity="All Entities",$BV951=fEntity),OR(fPType="All Property Types",$BZ951=fPType),OR(fDefeased="Include",$CJ951=0)),1,0)</f>
        <v/>
      </c>
      <c r="DF951" s="83">
        <f>$DE951*N($I951)</f>
        <v/>
      </c>
      <c r="DG951" s="78">
        <f>IF($DE951=1,IF(COUNTIFS($F$8:$F951,$F951,$DE$8:$DE951,1)=1,1,0),0)</f>
        <v/>
      </c>
      <c r="DH951" s="83">
        <f>IF($DG951=1,SUMIFS($DF$8:$DF$1600,$F$8:$F$1600,$F951),0)</f>
        <v/>
      </c>
      <c r="DI951" s="78">
        <f>IF($DG951=1,COUNTIFS($F$8:$F$1600,$F951,$DE$8:$DE$1600,1),0)</f>
        <v/>
      </c>
      <c r="DJ951" s="84">
        <f>IF($DG951=1,$DH951+(100000-ROW())/mTieBreak,0)</f>
        <v/>
      </c>
    </row>
    <row r="952">
      <c r="B952" s="68" t="n">
        <v>12</v>
      </c>
      <c r="C952" s="69" t="inlineStr">
        <is>
          <t>WFC18C43</t>
        </is>
      </c>
      <c r="D952" s="69" t="inlineStr">
        <is>
          <t>12.000</t>
        </is>
      </c>
      <c r="E952" s="69" t="inlineStr">
        <is>
          <t>Albany Capital Self Storage Portfolio</t>
        </is>
      </c>
      <c r="F952" s="69" t="inlineStr">
        <is>
          <t>LNWFC18C43-12.000</t>
        </is>
      </c>
      <c r="G952" s="70" t="n"/>
      <c r="H952" s="71" t="n">
        <v>21000000</v>
      </c>
      <c r="I952" s="71" t="n">
        <v>18805275.93</v>
      </c>
      <c r="J952" s="72" t="n">
        <v>5.13</v>
      </c>
      <c r="K952" s="69" t="inlineStr">
        <is>
          <t>Fixed rate</t>
        </is>
      </c>
      <c r="L952" s="68" t="n">
        <v>117</v>
      </c>
      <c r="M952" s="68" t="n">
        <v>14</v>
      </c>
      <c r="N952" s="68" t="n">
        <v>384</v>
      </c>
      <c r="O952" s="68" t="n">
        <v>24</v>
      </c>
      <c r="P952" s="68" t="n">
        <v>0</v>
      </c>
      <c r="Q952" s="68" t="n">
        <v>103</v>
      </c>
      <c r="R952" s="69" t="inlineStr">
        <is>
          <t>IO then Amort</t>
        </is>
      </c>
      <c r="S952" s="69" t="inlineStr">
        <is>
          <t>No</t>
        </is>
      </c>
      <c r="T952" s="73" t="n">
        <v>43132</v>
      </c>
      <c r="U952" s="73" t="n">
        <v>46697</v>
      </c>
      <c r="V952" s="73" t="n"/>
      <c r="W952" s="69" t="n"/>
      <c r="X952" s="69" t="inlineStr">
        <is>
          <t>Current</t>
        </is>
      </c>
      <c r="Y952" s="68" t="n"/>
      <c r="Z952" s="69" t="inlineStr">
        <is>
          <t>Full Defeasance</t>
        </is>
      </c>
      <c r="AA952" s="69" t="n"/>
      <c r="AB952" s="69" t="inlineStr">
        <is>
          <t>Never special serv</t>
        </is>
      </c>
      <c r="AC952" s="73" t="n"/>
      <c r="AD952" s="69" t="n"/>
      <c r="AE952" s="69" t="n"/>
      <c r="AF952" s="69" t="inlineStr">
        <is>
          <t>NY-75.476190008% MA-24.523809992%</t>
        </is>
      </c>
      <c r="AG952" s="69" t="n"/>
      <c r="AH952" s="69" t="inlineStr">
        <is>
          <t>Albany-Schenectady-Troy, NY-52.619050003% Pittsfield, MA-24.523809992% New York-Newark-Jersey City, NY-NJ-22.857140005%</t>
        </is>
      </c>
      <c r="AI952" s="69" t="inlineStr">
        <is>
          <t>Northeast / Mid-Atlantic-75.476190008% Northeast / New England-24.523809992%</t>
        </is>
      </c>
      <c r="AJ952" s="69" t="inlineStr">
        <is>
          <t>SS</t>
        </is>
      </c>
      <c r="AK952" s="69" t="n"/>
      <c r="AL952" s="68" t="n">
        <v>4</v>
      </c>
      <c r="AM952" s="68" t="n"/>
      <c r="AN952" s="68" t="n">
        <v>237275</v>
      </c>
      <c r="AO952" s="69" t="n"/>
      <c r="AP952" s="70" t="n">
        <v>2005</v>
      </c>
      <c r="AQ952" s="74" t="n">
        <v>1.37</v>
      </c>
      <c r="AR952" s="74" t="n">
        <v>1.73</v>
      </c>
      <c r="AS952" s="74" t="n">
        <v>62.8</v>
      </c>
      <c r="AT952" s="74" t="n">
        <v>56.24</v>
      </c>
      <c r="AU952" s="74" t="n">
        <v>54.5</v>
      </c>
      <c r="AV952" s="74" t="n">
        <v>8.984942857</v>
      </c>
      <c r="AW952" s="74" t="n">
        <v>11.704846013</v>
      </c>
      <c r="AX952" s="75" t="n">
        <v>93</v>
      </c>
      <c r="AY952" s="71" t="n">
        <v>33440000</v>
      </c>
      <c r="AZ952" s="71" t="n">
        <v>33440000</v>
      </c>
      <c r="BA952" s="71" t="n">
        <v>1886838</v>
      </c>
      <c r="BB952" s="71" t="n">
        <v>592398.4399999999</v>
      </c>
      <c r="BC952" s="69" t="inlineStr">
        <is>
          <t>Refinance</t>
        </is>
      </c>
      <c r="BD952" s="69" t="inlineStr">
        <is>
          <t>N</t>
        </is>
      </c>
      <c r="BE952" s="71" t="n"/>
      <c r="BF952" s="71" t="n"/>
      <c r="BG952" s="71" t="n"/>
      <c r="BH952" s="71" t="n">
        <v>0</v>
      </c>
      <c r="BI952" s="71" t="n">
        <v>0</v>
      </c>
      <c r="BJ952" s="69" t="inlineStr">
        <is>
          <t>N</t>
        </is>
      </c>
      <c r="BK952" s="69" t="n"/>
      <c r="BL952" s="75" t="n"/>
      <c r="BM952" s="73" t="n"/>
      <c r="BN952" s="69" t="inlineStr">
        <is>
          <t>Robert Moser; Prime Storage Fund I, LLC</t>
        </is>
      </c>
      <c r="BO952" s="69" t="inlineStr">
        <is>
          <t>RMF</t>
        </is>
      </c>
      <c r="BP952" s="69" t="inlineStr">
        <is>
          <t>TriMont Real Estate Advisors</t>
        </is>
      </c>
      <c r="BQ952" s="69" t="inlineStr">
        <is>
          <t>K-Star Asset Management LLC</t>
        </is>
      </c>
      <c r="BR952" s="69" t="n"/>
      <c r="BS952" s="73" t="n">
        <v>46276</v>
      </c>
      <c r="BU952" s="76">
        <f>IF($C952="","",IFERROR(INDEX(dmName,MATCH($C952,dmID,0)),"Unmapped"))</f>
        <v/>
      </c>
      <c r="BV952" s="76">
        <f>IF($C952="","",IFERROR(INDEX(dmEntity,MATCH($C952,dmID,0)),"Unmapped"))</f>
        <v/>
      </c>
      <c r="BW952" s="77">
        <f>IF($C952="","",IFERROR(INDEX(dmVintage,MATCH($C952,dmID,0)),""))</f>
        <v/>
      </c>
      <c r="BX952" s="78">
        <f>IFERROR(INDEX(dmInclude,MATCH($C952,dmID,0)),0)</f>
        <v/>
      </c>
      <c r="BY952" s="78">
        <f>IF(N($I952)&gt;0,1,0)</f>
        <v/>
      </c>
      <c r="BZ952" s="76">
        <f>IF($AJ952="","Other / Leased Fee",IFERROR(INDEX(mapPTGroup,MATCH(LEFT(TRIM($AJ952),2),mapPTCode,0)),"Other / Leased Fee"))</f>
        <v/>
      </c>
      <c r="CA952" s="76">
        <f>IF(TRIM($AF952&amp;"")="","NR",LEFT(TRIM($AF952),2))</f>
        <v/>
      </c>
      <c r="CB952" s="76">
        <f>IFERROR(LOOKUP(2,1/(LEFT(TRIM($AI952&amp;""),LEN(mapRegion))=mapRegion),mapRegion),"Not Reported")</f>
        <v/>
      </c>
      <c r="CC952" s="76">
        <f>IF($BY952=0,"",IF(TRIM($W952&amp;"")="REO","REO",IF(TRIM($W952&amp;"")="FC","Foreclosure",IF(TRIM($W952&amp;"")="90+","90+ Days Delinquent",IF(TRIM($W952&amp;"")="60","60 Days Delinquent",IF(TRIM($W952&amp;"")="30","30 Days Delinquent",IF($X952="Non-Performing Matured Balloon","Non-Performing Matured Balloon",IF(OR($X952="Late Payment But Less Than 30 Days Delinquent",LEFT($X952&amp;"",20)="Payment Not Received"),"Late / In Grace (&lt;30 Days)",IF($X952="Performing Matured Balloon","Performing Matured Balloon","Current")))))))))</f>
        <v/>
      </c>
      <c r="CD952" s="78">
        <f>IF(OR($CC952="REO",$CC952="Foreclosure",$CC952="90+ Days Delinquent",$CC952="60 Days Delinquent",$CC952="30 Days Delinquent",$CC952="Non-Performing Matured Balloon"),1,0)</f>
        <v/>
      </c>
      <c r="CE952" s="76">
        <f>IF($AB952="Currently special serv","Currently Specially Serviced",IF($AB952="Returned to master serv","Previously Specially Serviced","Never Specially Serviced"))</f>
        <v/>
      </c>
      <c r="CF952" s="78">
        <f>IF($CE952="Currently Specially Serviced",1,0)</f>
        <v/>
      </c>
      <c r="CG952" s="76">
        <f>IF($AA952="Yes","Currently on Watchlist",IF($AA952="Previously","Previously on Watchlist","Never on Watchlist"))</f>
        <v/>
      </c>
      <c r="CH952" s="78">
        <f>IF($CG952="Currently on Watchlist",1,0)</f>
        <v/>
      </c>
      <c r="CI952" s="76">
        <f>IF($Z952="Full Defeasance","Fully Defeased",IF($Z952="Portion Of Loan Previously Defeased","Partially Defeased",IF($Z952="Defeasance Not Allowable","Not Defeased (Not Permitted)","Not Defeased")))</f>
        <v/>
      </c>
      <c r="CJ952" s="78">
        <f>IF($CI952="Fully Defeased",1,0)</f>
        <v/>
      </c>
      <c r="CK952" s="76">
        <f>IF($R952="IO","Full IO",IF(LEFT($R952&amp;"",7)="IO then","Partial IO","Amortizing"))</f>
        <v/>
      </c>
      <c r="CL952" s="78">
        <f>IF($CK952="Full IO",1,0)</f>
        <v/>
      </c>
      <c r="CM952" s="78">
        <f>IF($CK952="Partial IO",1,0)</f>
        <v/>
      </c>
      <c r="CN952" s="76">
        <f>IF(LEFT($F952&amp;"",10)="SPLIT_LOAN","Pari Passu Split","Standalone")</f>
        <v/>
      </c>
      <c r="CO952" s="78">
        <f>IF($CN952="Pari Passu Split",1,0)</f>
        <v/>
      </c>
      <c r="CP952" s="77">
        <f>IF(ISNUMBER($T952),YEAR($T952),"")</f>
        <v/>
      </c>
      <c r="CQ952" s="79">
        <f>IF(ISNUMBER($V952),$V952,IF(ISNUMBER($U952),$U952,""))</f>
        <v/>
      </c>
      <c r="CR952" s="77">
        <f>IF(ISNUMBER($CQ952),YEAR($CQ952),"")</f>
        <v/>
      </c>
      <c r="CS952" s="78">
        <f>IF(ISNUMBER($M952),MAX(0,$M952),IF(TRIM($M952&amp;"")="matured",0,""))</f>
        <v/>
      </c>
      <c r="CT952" s="78">
        <f>IF(AND(ISNUMBER($CS952),N($CS952)&lt;=mMatWindow),1,0)</f>
        <v/>
      </c>
      <c r="CU952" s="80">
        <f>IF(ISNUMBER($J952),$J952/100,"")</f>
        <v/>
      </c>
      <c r="CV952" s="81">
        <f>IF(ISNUMBER($AQ952),$AQ952,"")</f>
        <v/>
      </c>
      <c r="CW952" s="81">
        <f>IF(ISNUMBER($AR952),$AR952,"")</f>
        <v/>
      </c>
      <c r="CX952" s="82">
        <f>IF(ISNUMBER($AS952),$AS952/100,"")</f>
        <v/>
      </c>
      <c r="CY952" s="82">
        <f>IF(ISNUMBER($AT952),$AT952/100,"")</f>
        <v/>
      </c>
      <c r="CZ952" s="82">
        <f>IF(ISNUMBER($AU952),$AU952/100,"")</f>
        <v/>
      </c>
      <c r="DA952" s="82">
        <f>IF(ISNUMBER($AV952),$AV952/100,"")</f>
        <v/>
      </c>
      <c r="DB952" s="82">
        <f>IF(ISNUMBER($AW952),$AW952/100,"")</f>
        <v/>
      </c>
      <c r="DC952" s="82">
        <f>IF(ISNUMBER($AX952),$AX952/100,"")</f>
        <v/>
      </c>
      <c r="DD952" s="77">
        <f>IFERROR(VALUE(LEFT(TRIM($AO952&amp;""),4)),"")</f>
        <v/>
      </c>
      <c r="DE952" s="78">
        <f>IF(AND($BY952=1,$BX952=1,OR(fDeal="All Deals",$BU952=fDeal),OR(fEntity="All Entities",$BV952=fEntity),OR(fPType="All Property Types",$BZ952=fPType),OR(fDefeased="Include",$CJ952=0)),1,0)</f>
        <v/>
      </c>
      <c r="DF952" s="83">
        <f>$DE952*N($I952)</f>
        <v/>
      </c>
      <c r="DG952" s="78">
        <f>IF($DE952=1,IF(COUNTIFS($F$8:$F952,$F952,$DE$8:$DE952,1)=1,1,0),0)</f>
        <v/>
      </c>
      <c r="DH952" s="83">
        <f>IF($DG952=1,SUMIFS($DF$8:$DF$1600,$F$8:$F$1600,$F952),0)</f>
        <v/>
      </c>
      <c r="DI952" s="78">
        <f>IF($DG952=1,COUNTIFS($F$8:$F$1600,$F952,$DE$8:$DE$1600,1),0)</f>
        <v/>
      </c>
      <c r="DJ952" s="84">
        <f>IF($DG952=1,$DH952+(100000-ROW())/mTieBreak,0)</f>
        <v/>
      </c>
    </row>
    <row r="953">
      <c r="B953" s="68" t="n">
        <v>13</v>
      </c>
      <c r="C953" s="69" t="inlineStr">
        <is>
          <t>WFC18C43</t>
        </is>
      </c>
      <c r="D953" s="69" t="inlineStr">
        <is>
          <t>13.000</t>
        </is>
      </c>
      <c r="E953" s="69" t="inlineStr">
        <is>
          <t>Forest Office Park</t>
        </is>
      </c>
      <c r="F953" s="69" t="inlineStr">
        <is>
          <t>LNWFC18C43-13.000</t>
        </is>
      </c>
      <c r="G953" s="70" t="n"/>
      <c r="H953" s="71" t="n">
        <v>18000000</v>
      </c>
      <c r="I953" s="71" t="n">
        <v>18000000</v>
      </c>
      <c r="J953" s="72" t="n">
        <v>4.21</v>
      </c>
      <c r="K953" s="69" t="inlineStr">
        <is>
          <t>Fixed rate</t>
        </is>
      </c>
      <c r="L953" s="68" t="n">
        <v>120</v>
      </c>
      <c r="M953" s="68" t="n">
        <v>16</v>
      </c>
      <c r="N953" s="68" t="n">
        <v>120</v>
      </c>
      <c r="O953" s="68" t="n">
        <v>120</v>
      </c>
      <c r="P953" s="68" t="n">
        <v>16</v>
      </c>
      <c r="Q953" s="68" t="n">
        <v>104</v>
      </c>
      <c r="R953" s="69" t="inlineStr">
        <is>
          <t>IO</t>
        </is>
      </c>
      <c r="S953" s="69" t="inlineStr">
        <is>
          <t>Yes</t>
        </is>
      </c>
      <c r="T953" s="73" t="n">
        <v>43101</v>
      </c>
      <c r="U953" s="73" t="n">
        <v>46763</v>
      </c>
      <c r="V953" s="73" t="n"/>
      <c r="W953" s="69" t="n"/>
      <c r="X953" s="69" t="inlineStr">
        <is>
          <t>Current</t>
        </is>
      </c>
      <c r="Y953" s="68" t="n"/>
      <c r="Z953" s="69" t="inlineStr">
        <is>
          <t>No Defeasance Occurred</t>
        </is>
      </c>
      <c r="AA953" s="69" t="inlineStr">
        <is>
          <t>Yes</t>
        </is>
      </c>
      <c r="AB953" s="69" t="inlineStr">
        <is>
          <t>Never special serv</t>
        </is>
      </c>
      <c r="AC953" s="73" t="n"/>
      <c r="AD953" s="69" t="n"/>
      <c r="AE953" s="69" t="n"/>
      <c r="AF953" s="69" t="inlineStr">
        <is>
          <t>VA</t>
        </is>
      </c>
      <c r="AG953" s="69" t="inlineStr">
        <is>
          <t>Richmond</t>
        </is>
      </c>
      <c r="AH953" s="69" t="inlineStr">
        <is>
          <t>Richmond, VA</t>
        </is>
      </c>
      <c r="AI953" s="69" t="inlineStr">
        <is>
          <t>South / Atlantic</t>
        </is>
      </c>
      <c r="AJ953" s="69" t="inlineStr">
        <is>
          <t>OF</t>
        </is>
      </c>
      <c r="AK953" s="69" t="inlineStr">
        <is>
          <t>Suburban</t>
        </is>
      </c>
      <c r="AL953" s="68" t="n">
        <v>1</v>
      </c>
      <c r="AM953" s="68" t="n"/>
      <c r="AN953" s="68" t="n">
        <v>229065</v>
      </c>
      <c r="AO953" s="69" t="inlineStr">
        <is>
          <t>1975</t>
        </is>
      </c>
      <c r="AP953" s="70" t="n">
        <v>1975</v>
      </c>
      <c r="AQ953" s="74" t="n">
        <v>2.68</v>
      </c>
      <c r="AR953" s="74" t="n">
        <v>-0.16</v>
      </c>
      <c r="AS953" s="74" t="n">
        <v>62.9</v>
      </c>
      <c r="AT953" s="74" t="n">
        <v>62.94</v>
      </c>
      <c r="AU953" s="74" t="n">
        <v>62.9</v>
      </c>
      <c r="AV953" s="74" t="n">
        <v>11.428716667</v>
      </c>
      <c r="AW953" s="74" t="n">
        <v>7.993147222</v>
      </c>
      <c r="AX953" s="75" t="n">
        <v>61</v>
      </c>
      <c r="AY953" s="71" t="n">
        <v>28600000</v>
      </c>
      <c r="AZ953" s="71" t="n">
        <v>28600000</v>
      </c>
      <c r="BA953" s="71" t="n">
        <v>2057169</v>
      </c>
      <c r="BB953" s="71" t="n">
        <v>-30141.01</v>
      </c>
      <c r="BC953" s="69" t="inlineStr">
        <is>
          <t>Refinance</t>
        </is>
      </c>
      <c r="BD953" s="69" t="inlineStr">
        <is>
          <t>N</t>
        </is>
      </c>
      <c r="BE953" s="71" t="n"/>
      <c r="BF953" s="71" t="n"/>
      <c r="BG953" s="71" t="n"/>
      <c r="BH953" s="71" t="n">
        <v>0</v>
      </c>
      <c r="BI953" s="71" t="n">
        <v>0</v>
      </c>
      <c r="BJ953" s="69" t="inlineStr">
        <is>
          <t>N</t>
        </is>
      </c>
      <c r="BK953" s="69" t="inlineStr">
        <is>
          <t>United States Government</t>
        </is>
      </c>
      <c r="BL953" s="75" t="n">
        <v>21.3</v>
      </c>
      <c r="BM953" s="73" t="n">
        <v>46965</v>
      </c>
      <c r="BN953" s="69" t="inlineStr">
        <is>
          <t>Allen C. De Olazarra</t>
        </is>
      </c>
      <c r="BO953" s="69" t="inlineStr">
        <is>
          <t>Wells Fargo</t>
        </is>
      </c>
      <c r="BP953" s="69" t="inlineStr">
        <is>
          <t>TriMont Real Estate Advisors</t>
        </is>
      </c>
      <c r="BQ953" s="69" t="inlineStr">
        <is>
          <t>K-Star Asset Management LLC</t>
        </is>
      </c>
      <c r="BR953" s="69" t="n"/>
      <c r="BS953" s="73" t="n">
        <v>46276</v>
      </c>
      <c r="BU953" s="76">
        <f>IF($C953="","",IFERROR(INDEX(dmName,MATCH($C953,dmID,0)),"Unmapped"))</f>
        <v/>
      </c>
      <c r="BV953" s="76">
        <f>IF($C953="","",IFERROR(INDEX(dmEntity,MATCH($C953,dmID,0)),"Unmapped"))</f>
        <v/>
      </c>
      <c r="BW953" s="77">
        <f>IF($C953="","",IFERROR(INDEX(dmVintage,MATCH($C953,dmID,0)),""))</f>
        <v/>
      </c>
      <c r="BX953" s="78">
        <f>IFERROR(INDEX(dmInclude,MATCH($C953,dmID,0)),0)</f>
        <v/>
      </c>
      <c r="BY953" s="78">
        <f>IF(N($I953)&gt;0,1,0)</f>
        <v/>
      </c>
      <c r="BZ953" s="76">
        <f>IF($AJ953="","Other / Leased Fee",IFERROR(INDEX(mapPTGroup,MATCH(LEFT(TRIM($AJ953),2),mapPTCode,0)),"Other / Leased Fee"))</f>
        <v/>
      </c>
      <c r="CA953" s="76">
        <f>IF(TRIM($AF953&amp;"")="","NR",LEFT(TRIM($AF953),2))</f>
        <v/>
      </c>
      <c r="CB953" s="76">
        <f>IFERROR(LOOKUP(2,1/(LEFT(TRIM($AI953&amp;""),LEN(mapRegion))=mapRegion),mapRegion),"Not Reported")</f>
        <v/>
      </c>
      <c r="CC953" s="76">
        <f>IF($BY953=0,"",IF(TRIM($W953&amp;"")="REO","REO",IF(TRIM($W953&amp;"")="FC","Foreclosure",IF(TRIM($W953&amp;"")="90+","90+ Days Delinquent",IF(TRIM($W953&amp;"")="60","60 Days Delinquent",IF(TRIM($W953&amp;"")="30","30 Days Delinquent",IF($X953="Non-Performing Matured Balloon","Non-Performing Matured Balloon",IF(OR($X953="Late Payment But Less Than 30 Days Delinquent",LEFT($X953&amp;"",20)="Payment Not Received"),"Late / In Grace (&lt;30 Days)",IF($X953="Performing Matured Balloon","Performing Matured Balloon","Current")))))))))</f>
        <v/>
      </c>
      <c r="CD953" s="78">
        <f>IF(OR($CC953="REO",$CC953="Foreclosure",$CC953="90+ Days Delinquent",$CC953="60 Days Delinquent",$CC953="30 Days Delinquent",$CC953="Non-Performing Matured Balloon"),1,0)</f>
        <v/>
      </c>
      <c r="CE953" s="76">
        <f>IF($AB953="Currently special serv","Currently Specially Serviced",IF($AB953="Returned to master serv","Previously Specially Serviced","Never Specially Serviced"))</f>
        <v/>
      </c>
      <c r="CF953" s="78">
        <f>IF($CE953="Currently Specially Serviced",1,0)</f>
        <v/>
      </c>
      <c r="CG953" s="76">
        <f>IF($AA953="Yes","Currently on Watchlist",IF($AA953="Previously","Previously on Watchlist","Never on Watchlist"))</f>
        <v/>
      </c>
      <c r="CH953" s="78">
        <f>IF($CG953="Currently on Watchlist",1,0)</f>
        <v/>
      </c>
      <c r="CI953" s="76">
        <f>IF($Z953="Full Defeasance","Fully Defeased",IF($Z953="Portion Of Loan Previously Defeased","Partially Defeased",IF($Z953="Defeasance Not Allowable","Not Defeased (Not Permitted)","Not Defeased")))</f>
        <v/>
      </c>
      <c r="CJ953" s="78">
        <f>IF($CI953="Fully Defeased",1,0)</f>
        <v/>
      </c>
      <c r="CK953" s="76">
        <f>IF($R953="IO","Full IO",IF(LEFT($R953&amp;"",7)="IO then","Partial IO","Amortizing"))</f>
        <v/>
      </c>
      <c r="CL953" s="78">
        <f>IF($CK953="Full IO",1,0)</f>
        <v/>
      </c>
      <c r="CM953" s="78">
        <f>IF($CK953="Partial IO",1,0)</f>
        <v/>
      </c>
      <c r="CN953" s="76">
        <f>IF(LEFT($F953&amp;"",10)="SPLIT_LOAN","Pari Passu Split","Standalone")</f>
        <v/>
      </c>
      <c r="CO953" s="78">
        <f>IF($CN953="Pari Passu Split",1,0)</f>
        <v/>
      </c>
      <c r="CP953" s="77">
        <f>IF(ISNUMBER($T953),YEAR($T953),"")</f>
        <v/>
      </c>
      <c r="CQ953" s="79">
        <f>IF(ISNUMBER($V953),$V953,IF(ISNUMBER($U953),$U953,""))</f>
        <v/>
      </c>
      <c r="CR953" s="77">
        <f>IF(ISNUMBER($CQ953),YEAR($CQ953),"")</f>
        <v/>
      </c>
      <c r="CS953" s="78">
        <f>IF(ISNUMBER($M953),MAX(0,$M953),IF(TRIM($M953&amp;"")="matured",0,""))</f>
        <v/>
      </c>
      <c r="CT953" s="78">
        <f>IF(AND(ISNUMBER($CS953),N($CS953)&lt;=mMatWindow),1,0)</f>
        <v/>
      </c>
      <c r="CU953" s="80">
        <f>IF(ISNUMBER($J953),$J953/100,"")</f>
        <v/>
      </c>
      <c r="CV953" s="81">
        <f>IF(ISNUMBER($AQ953),$AQ953,"")</f>
        <v/>
      </c>
      <c r="CW953" s="81">
        <f>IF(ISNUMBER($AR953),$AR953,"")</f>
        <v/>
      </c>
      <c r="CX953" s="82">
        <f>IF(ISNUMBER($AS953),$AS953/100,"")</f>
        <v/>
      </c>
      <c r="CY953" s="82">
        <f>IF(ISNUMBER($AT953),$AT953/100,"")</f>
        <v/>
      </c>
      <c r="CZ953" s="82">
        <f>IF(ISNUMBER($AU953),$AU953/100,"")</f>
        <v/>
      </c>
      <c r="DA953" s="82">
        <f>IF(ISNUMBER($AV953),$AV953/100,"")</f>
        <v/>
      </c>
      <c r="DB953" s="82">
        <f>IF(ISNUMBER($AW953),$AW953/100,"")</f>
        <v/>
      </c>
      <c r="DC953" s="82">
        <f>IF(ISNUMBER($AX953),$AX953/100,"")</f>
        <v/>
      </c>
      <c r="DD953" s="77">
        <f>IFERROR(VALUE(LEFT(TRIM($AO953&amp;""),4)),"")</f>
        <v/>
      </c>
      <c r="DE953" s="78">
        <f>IF(AND($BY953=1,$BX953=1,OR(fDeal="All Deals",$BU953=fDeal),OR(fEntity="All Entities",$BV953=fEntity),OR(fPType="All Property Types",$BZ953=fPType),OR(fDefeased="Include",$CJ953=0)),1,0)</f>
        <v/>
      </c>
      <c r="DF953" s="83">
        <f>$DE953*N($I953)</f>
        <v/>
      </c>
      <c r="DG953" s="78">
        <f>IF($DE953=1,IF(COUNTIFS($F$8:$F953,$F953,$DE$8:$DE953,1)=1,1,0),0)</f>
        <v/>
      </c>
      <c r="DH953" s="83">
        <f>IF($DG953=1,SUMIFS($DF$8:$DF$1600,$F$8:$F$1600,$F953),0)</f>
        <v/>
      </c>
      <c r="DI953" s="78">
        <f>IF($DG953=1,COUNTIFS($F$8:$F$1600,$F953,$DE$8:$DE$1600,1),0)</f>
        <v/>
      </c>
      <c r="DJ953" s="84">
        <f>IF($DG953=1,$DH953+(100000-ROW())/mTieBreak,0)</f>
        <v/>
      </c>
    </row>
    <row r="954">
      <c r="B954" s="68" t="n">
        <v>14</v>
      </c>
      <c r="C954" s="69" t="inlineStr">
        <is>
          <t>WFC18C43</t>
        </is>
      </c>
      <c r="D954" s="69" t="inlineStr">
        <is>
          <t>14.000</t>
        </is>
      </c>
      <c r="E954" s="69" t="inlineStr">
        <is>
          <t>Connecticut Industrial Portfolio</t>
        </is>
      </c>
      <c r="F954" s="69" t="inlineStr">
        <is>
          <t>LNWFC18C43-14.000</t>
        </is>
      </c>
      <c r="G954" s="70" t="n"/>
      <c r="H954" s="71" t="n">
        <v>16850000</v>
      </c>
      <c r="I954" s="71" t="n">
        <v>15362082.870006</v>
      </c>
      <c r="J954" s="72" t="n">
        <v>4.88</v>
      </c>
      <c r="K954" s="69" t="inlineStr">
        <is>
          <t>Fixed rate</t>
        </is>
      </c>
      <c r="L954" s="68" t="n">
        <v>117</v>
      </c>
      <c r="M954" s="68" t="n">
        <v>15</v>
      </c>
      <c r="N954" s="68" t="n">
        <v>396</v>
      </c>
      <c r="O954" s="68" t="n">
        <v>36</v>
      </c>
      <c r="P954" s="68" t="n">
        <v>0</v>
      </c>
      <c r="Q954" s="68" t="n">
        <v>102</v>
      </c>
      <c r="R954" s="69" t="inlineStr">
        <is>
          <t>IO then Amort</t>
        </is>
      </c>
      <c r="S954" s="69" t="inlineStr">
        <is>
          <t>No</t>
        </is>
      </c>
      <c r="T954" s="73" t="n">
        <v>43160</v>
      </c>
      <c r="U954" s="73" t="n">
        <v>46727</v>
      </c>
      <c r="V954" s="73" t="n"/>
      <c r="W954" s="69" t="n"/>
      <c r="X954" s="69" t="inlineStr">
        <is>
          <t>Current</t>
        </is>
      </c>
      <c r="Y954" s="68" t="n"/>
      <c r="Z954" s="69" t="inlineStr">
        <is>
          <t>Full Defeasance</t>
        </is>
      </c>
      <c r="AA954" s="69" t="inlineStr">
        <is>
          <t>Previously</t>
        </is>
      </c>
      <c r="AB954" s="69" t="inlineStr">
        <is>
          <t>Never special serv</t>
        </is>
      </c>
      <c r="AC954" s="73" t="n"/>
      <c r="AD954" s="69" t="n"/>
      <c r="AE954" s="69" t="n"/>
      <c r="AF954" s="69" t="inlineStr">
        <is>
          <t>CT</t>
        </is>
      </c>
      <c r="AG954" s="69" t="inlineStr">
        <is>
          <t>Meriden</t>
        </is>
      </c>
      <c r="AH954" s="69" t="inlineStr">
        <is>
          <t>Hartford-West Hartford-East Hartford, CT</t>
        </is>
      </c>
      <c r="AI954" s="69" t="inlineStr">
        <is>
          <t>Northeast / New England</t>
        </is>
      </c>
      <c r="AJ954" s="69" t="inlineStr">
        <is>
          <t>IN</t>
        </is>
      </c>
      <c r="AK954" s="69" t="n"/>
      <c r="AL954" s="68" t="n">
        <v>2</v>
      </c>
      <c r="AM954" s="68" t="n"/>
      <c r="AN954" s="68" t="n">
        <v>568084</v>
      </c>
      <c r="AO954" s="69" t="n"/>
      <c r="AP954" s="70" t="n">
        <v>1987</v>
      </c>
      <c r="AQ954" s="74" t="n">
        <v>1.69</v>
      </c>
      <c r="AR954" s="74" t="n">
        <v>2.05</v>
      </c>
      <c r="AS954" s="74" t="n">
        <v>62.6</v>
      </c>
      <c r="AT954" s="74" t="n">
        <v>57.11</v>
      </c>
      <c r="AU954" s="74" t="n">
        <v>55.3</v>
      </c>
      <c r="AV954" s="74" t="n">
        <v>10.755810089</v>
      </c>
      <c r="AW954" s="74" t="n">
        <v>14.264240654</v>
      </c>
      <c r="AX954" s="75" t="n">
        <v>100</v>
      </c>
      <c r="AY954" s="71" t="n">
        <v>26900000</v>
      </c>
      <c r="AZ954" s="71" t="n">
        <v>26900000</v>
      </c>
      <c r="BA954" s="71" t="n">
        <v>1812354</v>
      </c>
      <c r="BB954" s="71" t="n">
        <v>2191284.47</v>
      </c>
      <c r="BC954" s="69" t="inlineStr">
        <is>
          <t>Acquisition</t>
        </is>
      </c>
      <c r="BD954" s="69" t="inlineStr">
        <is>
          <t>N</t>
        </is>
      </c>
      <c r="BE954" s="71" t="n"/>
      <c r="BF954" s="71" t="n"/>
      <c r="BG954" s="71" t="n"/>
      <c r="BH954" s="71" t="n">
        <v>0</v>
      </c>
      <c r="BI954" s="71" t="n">
        <v>0</v>
      </c>
      <c r="BJ954" s="69" t="inlineStr">
        <is>
          <t>N</t>
        </is>
      </c>
      <c r="BK954" s="69" t="inlineStr">
        <is>
          <t>Bob's Stores</t>
        </is>
      </c>
      <c r="BL954" s="75" t="n">
        <v>38.9</v>
      </c>
      <c r="BM954" s="73" t="n">
        <v>46829</v>
      </c>
      <c r="BN954" s="69" t="inlineStr">
        <is>
          <t>Sky Management Services LLC</t>
        </is>
      </c>
      <c r="BO954" s="69" t="inlineStr">
        <is>
          <t>BSPRT</t>
        </is>
      </c>
      <c r="BP954" s="69" t="inlineStr">
        <is>
          <t>TriMont Real Estate Advisors</t>
        </is>
      </c>
      <c r="BQ954" s="69" t="inlineStr">
        <is>
          <t>K-Star Asset Management LLC</t>
        </is>
      </c>
      <c r="BR954" s="69" t="n"/>
      <c r="BS954" s="73" t="n">
        <v>46276</v>
      </c>
      <c r="BU954" s="76">
        <f>IF($C954="","",IFERROR(INDEX(dmName,MATCH($C954,dmID,0)),"Unmapped"))</f>
        <v/>
      </c>
      <c r="BV954" s="76">
        <f>IF($C954="","",IFERROR(INDEX(dmEntity,MATCH($C954,dmID,0)),"Unmapped"))</f>
        <v/>
      </c>
      <c r="BW954" s="77">
        <f>IF($C954="","",IFERROR(INDEX(dmVintage,MATCH($C954,dmID,0)),""))</f>
        <v/>
      </c>
      <c r="BX954" s="78">
        <f>IFERROR(INDEX(dmInclude,MATCH($C954,dmID,0)),0)</f>
        <v/>
      </c>
      <c r="BY954" s="78">
        <f>IF(N($I954)&gt;0,1,0)</f>
        <v/>
      </c>
      <c r="BZ954" s="76">
        <f>IF($AJ954="","Other / Leased Fee",IFERROR(INDEX(mapPTGroup,MATCH(LEFT(TRIM($AJ954),2),mapPTCode,0)),"Other / Leased Fee"))</f>
        <v/>
      </c>
      <c r="CA954" s="76">
        <f>IF(TRIM($AF954&amp;"")="","NR",LEFT(TRIM($AF954),2))</f>
        <v/>
      </c>
      <c r="CB954" s="76">
        <f>IFERROR(LOOKUP(2,1/(LEFT(TRIM($AI954&amp;""),LEN(mapRegion))=mapRegion),mapRegion),"Not Reported")</f>
        <v/>
      </c>
      <c r="CC954" s="76">
        <f>IF($BY954=0,"",IF(TRIM($W954&amp;"")="REO","REO",IF(TRIM($W954&amp;"")="FC","Foreclosure",IF(TRIM($W954&amp;"")="90+","90+ Days Delinquent",IF(TRIM($W954&amp;"")="60","60 Days Delinquent",IF(TRIM($W954&amp;"")="30","30 Days Delinquent",IF($X954="Non-Performing Matured Balloon","Non-Performing Matured Balloon",IF(OR($X954="Late Payment But Less Than 30 Days Delinquent",LEFT($X954&amp;"",20)="Payment Not Received"),"Late / In Grace (&lt;30 Days)",IF($X954="Performing Matured Balloon","Performing Matured Balloon","Current")))))))))</f>
        <v/>
      </c>
      <c r="CD954" s="78">
        <f>IF(OR($CC954="REO",$CC954="Foreclosure",$CC954="90+ Days Delinquent",$CC954="60 Days Delinquent",$CC954="30 Days Delinquent",$CC954="Non-Performing Matured Balloon"),1,0)</f>
        <v/>
      </c>
      <c r="CE954" s="76">
        <f>IF($AB954="Currently special serv","Currently Specially Serviced",IF($AB954="Returned to master serv","Previously Specially Serviced","Never Specially Serviced"))</f>
        <v/>
      </c>
      <c r="CF954" s="78">
        <f>IF($CE954="Currently Specially Serviced",1,0)</f>
        <v/>
      </c>
      <c r="CG954" s="76">
        <f>IF($AA954="Yes","Currently on Watchlist",IF($AA954="Previously","Previously on Watchlist","Never on Watchlist"))</f>
        <v/>
      </c>
      <c r="CH954" s="78">
        <f>IF($CG954="Currently on Watchlist",1,0)</f>
        <v/>
      </c>
      <c r="CI954" s="76">
        <f>IF($Z954="Full Defeasance","Fully Defeased",IF($Z954="Portion Of Loan Previously Defeased","Partially Defeased",IF($Z954="Defeasance Not Allowable","Not Defeased (Not Permitted)","Not Defeased")))</f>
        <v/>
      </c>
      <c r="CJ954" s="78">
        <f>IF($CI954="Fully Defeased",1,0)</f>
        <v/>
      </c>
      <c r="CK954" s="76">
        <f>IF($R954="IO","Full IO",IF(LEFT($R954&amp;"",7)="IO then","Partial IO","Amortizing"))</f>
        <v/>
      </c>
      <c r="CL954" s="78">
        <f>IF($CK954="Full IO",1,0)</f>
        <v/>
      </c>
      <c r="CM954" s="78">
        <f>IF($CK954="Partial IO",1,0)</f>
        <v/>
      </c>
      <c r="CN954" s="76">
        <f>IF(LEFT($F954&amp;"",10)="SPLIT_LOAN","Pari Passu Split","Standalone")</f>
        <v/>
      </c>
      <c r="CO954" s="78">
        <f>IF($CN954="Pari Passu Split",1,0)</f>
        <v/>
      </c>
      <c r="CP954" s="77">
        <f>IF(ISNUMBER($T954),YEAR($T954),"")</f>
        <v/>
      </c>
      <c r="CQ954" s="79">
        <f>IF(ISNUMBER($V954),$V954,IF(ISNUMBER($U954),$U954,""))</f>
        <v/>
      </c>
      <c r="CR954" s="77">
        <f>IF(ISNUMBER($CQ954),YEAR($CQ954),"")</f>
        <v/>
      </c>
      <c r="CS954" s="78">
        <f>IF(ISNUMBER($M954),MAX(0,$M954),IF(TRIM($M954&amp;"")="matured",0,""))</f>
        <v/>
      </c>
      <c r="CT954" s="78">
        <f>IF(AND(ISNUMBER($CS954),N($CS954)&lt;=mMatWindow),1,0)</f>
        <v/>
      </c>
      <c r="CU954" s="80">
        <f>IF(ISNUMBER($J954),$J954/100,"")</f>
        <v/>
      </c>
      <c r="CV954" s="81">
        <f>IF(ISNUMBER($AQ954),$AQ954,"")</f>
        <v/>
      </c>
      <c r="CW954" s="81">
        <f>IF(ISNUMBER($AR954),$AR954,"")</f>
        <v/>
      </c>
      <c r="CX954" s="82">
        <f>IF(ISNUMBER($AS954),$AS954/100,"")</f>
        <v/>
      </c>
      <c r="CY954" s="82">
        <f>IF(ISNUMBER($AT954),$AT954/100,"")</f>
        <v/>
      </c>
      <c r="CZ954" s="82">
        <f>IF(ISNUMBER($AU954),$AU954/100,"")</f>
        <v/>
      </c>
      <c r="DA954" s="82">
        <f>IF(ISNUMBER($AV954),$AV954/100,"")</f>
        <v/>
      </c>
      <c r="DB954" s="82">
        <f>IF(ISNUMBER($AW954),$AW954/100,"")</f>
        <v/>
      </c>
      <c r="DC954" s="82">
        <f>IF(ISNUMBER($AX954),$AX954/100,"")</f>
        <v/>
      </c>
      <c r="DD954" s="77">
        <f>IFERROR(VALUE(LEFT(TRIM($AO954&amp;""),4)),"")</f>
        <v/>
      </c>
      <c r="DE954" s="78">
        <f>IF(AND($BY954=1,$BX954=1,OR(fDeal="All Deals",$BU954=fDeal),OR(fEntity="All Entities",$BV954=fEntity),OR(fPType="All Property Types",$BZ954=fPType),OR(fDefeased="Include",$CJ954=0)),1,0)</f>
        <v/>
      </c>
      <c r="DF954" s="83">
        <f>$DE954*N($I954)</f>
        <v/>
      </c>
      <c r="DG954" s="78">
        <f>IF($DE954=1,IF(COUNTIFS($F$8:$F954,$F954,$DE$8:$DE954,1)=1,1,0),0)</f>
        <v/>
      </c>
      <c r="DH954" s="83">
        <f>IF($DG954=1,SUMIFS($DF$8:$DF$1600,$F$8:$F$1600,$F954),0)</f>
        <v/>
      </c>
      <c r="DI954" s="78">
        <f>IF($DG954=1,COUNTIFS($F$8:$F$1600,$F954,$DE$8:$DE$1600,1),0)</f>
        <v/>
      </c>
      <c r="DJ954" s="84">
        <f>IF($DG954=1,$DH954+(100000-ROW())/mTieBreak,0)</f>
        <v/>
      </c>
    </row>
    <row r="955">
      <c r="B955" s="68" t="n">
        <v>15</v>
      </c>
      <c r="C955" s="69" t="inlineStr">
        <is>
          <t>WFC18C43</t>
        </is>
      </c>
      <c r="D955" s="69" t="inlineStr">
        <is>
          <t>15.000</t>
        </is>
      </c>
      <c r="E955" s="69" t="inlineStr">
        <is>
          <t>Galleria Oaks</t>
        </is>
      </c>
      <c r="F955" s="69" t="inlineStr">
        <is>
          <t>LNWFC18C43-15.000</t>
        </is>
      </c>
      <c r="G955" s="70" t="n"/>
      <c r="H955" s="71" t="n">
        <v>16000000</v>
      </c>
      <c r="I955" s="71" t="n">
        <v>0</v>
      </c>
      <c r="J955" s="72" t="n">
        <v>5.04</v>
      </c>
      <c r="K955" s="69" t="inlineStr">
        <is>
          <t>Fixed rate</t>
        </is>
      </c>
      <c r="L955" s="68" t="n">
        <v>120</v>
      </c>
      <c r="M955" s="68" t="n"/>
      <c r="N955" s="68" t="n">
        <v>360</v>
      </c>
      <c r="O955" s="68" t="n"/>
      <c r="P955" s="68" t="n"/>
      <c r="Q955" s="68" t="n"/>
      <c r="R955" s="69" t="n"/>
      <c r="S955" s="69" t="inlineStr">
        <is>
          <t>No</t>
        </is>
      </c>
      <c r="T955" s="73" t="n">
        <v>43132</v>
      </c>
      <c r="U955" s="73" t="n">
        <v>46789</v>
      </c>
      <c r="V955" s="73" t="n"/>
      <c r="W955" s="69" t="n"/>
      <c r="X955" s="69" t="inlineStr">
        <is>
          <t>Current</t>
        </is>
      </c>
      <c r="Y955" s="68" t="n"/>
      <c r="Z955" s="69" t="inlineStr">
        <is>
          <t>No Defeasance Occurred</t>
        </is>
      </c>
      <c r="AA955" s="69" t="inlineStr">
        <is>
          <t>Previously</t>
        </is>
      </c>
      <c r="AB955" s="69" t="inlineStr">
        <is>
          <t>Currently special serv</t>
        </is>
      </c>
      <c r="AC955" s="73" t="n">
        <v>45747</v>
      </c>
      <c r="AD955" s="69" t="inlineStr">
        <is>
          <t>Non-Monetary Default (excluding Bankruptcy, Receiver and Foreclosure)</t>
        </is>
      </c>
      <c r="AE955" s="69" t="inlineStr">
        <is>
          <t>Note Sale</t>
        </is>
      </c>
      <c r="AF955" s="69" t="inlineStr">
        <is>
          <t>TX</t>
        </is>
      </c>
      <c r="AG955" s="69" t="inlineStr">
        <is>
          <t>Austin</t>
        </is>
      </c>
      <c r="AH955" s="69" t="inlineStr">
        <is>
          <t>Austin-Round Rock-San Marcos, TX</t>
        </is>
      </c>
      <c r="AI955" s="69" t="inlineStr">
        <is>
          <t>South / Central West</t>
        </is>
      </c>
      <c r="AJ955" s="69" t="inlineStr">
        <is>
          <t>RT</t>
        </is>
      </c>
      <c r="AK955" s="69" t="inlineStr">
        <is>
          <t>Unanchored</t>
        </is>
      </c>
      <c r="AL955" s="68" t="n">
        <v>1</v>
      </c>
      <c r="AM955" s="68" t="n"/>
      <c r="AN955" s="68" t="n">
        <v>98522</v>
      </c>
      <c r="AO955" s="69" t="inlineStr">
        <is>
          <t>1989</t>
        </is>
      </c>
      <c r="AP955" s="70" t="n">
        <v>1989</v>
      </c>
      <c r="AQ955" s="74" t="n">
        <v>1.33</v>
      </c>
      <c r="AR955" s="74" t="n">
        <v>0.82</v>
      </c>
      <c r="AS955" s="74" t="n">
        <v>69.5</v>
      </c>
      <c r="AT955" s="74" t="n"/>
      <c r="AU955" s="74" t="n">
        <v>57.3</v>
      </c>
      <c r="AV955" s="74" t="n">
        <v>8.085851186999999</v>
      </c>
      <c r="AW955" s="74" t="n"/>
      <c r="AX955" s="75" t="n">
        <v>63.79</v>
      </c>
      <c r="AY955" s="71" t="n">
        <v>23000000</v>
      </c>
      <c r="AZ955" s="71" t="n">
        <v>23000000</v>
      </c>
      <c r="BA955" s="71" t="n">
        <v>1293736.19</v>
      </c>
      <c r="BB955" s="71" t="n">
        <v>845772</v>
      </c>
      <c r="BC955" s="69" t="inlineStr">
        <is>
          <t>Refinance</t>
        </is>
      </c>
      <c r="BD955" s="69" t="inlineStr">
        <is>
          <t>N</t>
        </is>
      </c>
      <c r="BE955" s="71" t="n"/>
      <c r="BF955" s="71" t="n"/>
      <c r="BG955" s="71" t="n"/>
      <c r="BH955" s="71" t="n">
        <v>0</v>
      </c>
      <c r="BI955" s="71" t="n">
        <v>0</v>
      </c>
      <c r="BJ955" s="69" t="inlineStr">
        <is>
          <t>N</t>
        </is>
      </c>
      <c r="BK955" s="69" t="inlineStr">
        <is>
          <t>North Austin Bingo--ABH Property Management  LLC</t>
        </is>
      </c>
      <c r="BL955" s="75" t="n">
        <v>10.26</v>
      </c>
      <c r="BM955" s="73" t="n">
        <v>46783</v>
      </c>
      <c r="BN955" s="69" t="inlineStr">
        <is>
          <t>World Class Capital Group</t>
        </is>
      </c>
      <c r="BO955" s="69" t="inlineStr">
        <is>
          <t>Barclays</t>
        </is>
      </c>
      <c r="BP955" s="69" t="inlineStr">
        <is>
          <t>TriMont Real Estate Advisors</t>
        </is>
      </c>
      <c r="BQ955" s="69" t="inlineStr">
        <is>
          <t>K-Star Asset Management LLC</t>
        </is>
      </c>
      <c r="BR955" s="69" t="inlineStr">
        <is>
          <t>Disposition / Liquidation</t>
        </is>
      </c>
      <c r="BS955" s="73" t="n">
        <v>46276</v>
      </c>
      <c r="BU955" s="76">
        <f>IF($C955="","",IFERROR(INDEX(dmName,MATCH($C955,dmID,0)),"Unmapped"))</f>
        <v/>
      </c>
      <c r="BV955" s="76">
        <f>IF($C955="","",IFERROR(INDEX(dmEntity,MATCH($C955,dmID,0)),"Unmapped"))</f>
        <v/>
      </c>
      <c r="BW955" s="77">
        <f>IF($C955="","",IFERROR(INDEX(dmVintage,MATCH($C955,dmID,0)),""))</f>
        <v/>
      </c>
      <c r="BX955" s="78">
        <f>IFERROR(INDEX(dmInclude,MATCH($C955,dmID,0)),0)</f>
        <v/>
      </c>
      <c r="BY955" s="78">
        <f>IF(N($I955)&gt;0,1,0)</f>
        <v/>
      </c>
      <c r="BZ955" s="76">
        <f>IF($AJ955="","Other / Leased Fee",IFERROR(INDEX(mapPTGroup,MATCH(LEFT(TRIM($AJ955),2),mapPTCode,0)),"Other / Leased Fee"))</f>
        <v/>
      </c>
      <c r="CA955" s="76">
        <f>IF(TRIM($AF955&amp;"")="","NR",LEFT(TRIM($AF955),2))</f>
        <v/>
      </c>
      <c r="CB955" s="76">
        <f>IFERROR(LOOKUP(2,1/(LEFT(TRIM($AI955&amp;""),LEN(mapRegion))=mapRegion),mapRegion),"Not Reported")</f>
        <v/>
      </c>
      <c r="CC955" s="76">
        <f>IF($BY955=0,"",IF(TRIM($W955&amp;"")="REO","REO",IF(TRIM($W955&amp;"")="FC","Foreclosure",IF(TRIM($W955&amp;"")="90+","90+ Days Delinquent",IF(TRIM($W955&amp;"")="60","60 Days Delinquent",IF(TRIM($W955&amp;"")="30","30 Days Delinquent",IF($X955="Non-Performing Matured Balloon","Non-Performing Matured Balloon",IF(OR($X955="Late Payment But Less Than 30 Days Delinquent",LEFT($X955&amp;"",20)="Payment Not Received"),"Late / In Grace (&lt;30 Days)",IF($X955="Performing Matured Balloon","Performing Matured Balloon","Current")))))))))</f>
        <v/>
      </c>
      <c r="CD955" s="78">
        <f>IF(OR($CC955="REO",$CC955="Foreclosure",$CC955="90+ Days Delinquent",$CC955="60 Days Delinquent",$CC955="30 Days Delinquent",$CC955="Non-Performing Matured Balloon"),1,0)</f>
        <v/>
      </c>
      <c r="CE955" s="76">
        <f>IF($AB955="Currently special serv","Currently Specially Serviced",IF($AB955="Returned to master serv","Previously Specially Serviced","Never Specially Serviced"))</f>
        <v/>
      </c>
      <c r="CF955" s="78">
        <f>IF($CE955="Currently Specially Serviced",1,0)</f>
        <v/>
      </c>
      <c r="CG955" s="76">
        <f>IF($AA955="Yes","Currently on Watchlist",IF($AA955="Previously","Previously on Watchlist","Never on Watchlist"))</f>
        <v/>
      </c>
      <c r="CH955" s="78">
        <f>IF($CG955="Currently on Watchlist",1,0)</f>
        <v/>
      </c>
      <c r="CI955" s="76">
        <f>IF($Z955="Full Defeasance","Fully Defeased",IF($Z955="Portion Of Loan Previously Defeased","Partially Defeased",IF($Z955="Defeasance Not Allowable","Not Defeased (Not Permitted)","Not Defeased")))</f>
        <v/>
      </c>
      <c r="CJ955" s="78">
        <f>IF($CI955="Fully Defeased",1,0)</f>
        <v/>
      </c>
      <c r="CK955" s="76">
        <f>IF($R955="IO","Full IO",IF(LEFT($R955&amp;"",7)="IO then","Partial IO","Amortizing"))</f>
        <v/>
      </c>
      <c r="CL955" s="78">
        <f>IF($CK955="Full IO",1,0)</f>
        <v/>
      </c>
      <c r="CM955" s="78">
        <f>IF($CK955="Partial IO",1,0)</f>
        <v/>
      </c>
      <c r="CN955" s="76">
        <f>IF(LEFT($F955&amp;"",10)="SPLIT_LOAN","Pari Passu Split","Standalone")</f>
        <v/>
      </c>
      <c r="CO955" s="78">
        <f>IF($CN955="Pari Passu Split",1,0)</f>
        <v/>
      </c>
      <c r="CP955" s="77">
        <f>IF(ISNUMBER($T955),YEAR($T955),"")</f>
        <v/>
      </c>
      <c r="CQ955" s="79">
        <f>IF(ISNUMBER($V955),$V955,IF(ISNUMBER($U955),$U955,""))</f>
        <v/>
      </c>
      <c r="CR955" s="77">
        <f>IF(ISNUMBER($CQ955),YEAR($CQ955),"")</f>
        <v/>
      </c>
      <c r="CS955" s="78">
        <f>IF(ISNUMBER($M955),MAX(0,$M955),IF(TRIM($M955&amp;"")="matured",0,""))</f>
        <v/>
      </c>
      <c r="CT955" s="78">
        <f>IF(AND(ISNUMBER($CS955),N($CS955)&lt;=mMatWindow),1,0)</f>
        <v/>
      </c>
      <c r="CU955" s="80">
        <f>IF(ISNUMBER($J955),$J955/100,"")</f>
        <v/>
      </c>
      <c r="CV955" s="81">
        <f>IF(ISNUMBER($AQ955),$AQ955,"")</f>
        <v/>
      </c>
      <c r="CW955" s="81">
        <f>IF(ISNUMBER($AR955),$AR955,"")</f>
        <v/>
      </c>
      <c r="CX955" s="82">
        <f>IF(ISNUMBER($AS955),$AS955/100,"")</f>
        <v/>
      </c>
      <c r="CY955" s="82">
        <f>IF(ISNUMBER($AT955),$AT955/100,"")</f>
        <v/>
      </c>
      <c r="CZ955" s="82">
        <f>IF(ISNUMBER($AU955),$AU955/100,"")</f>
        <v/>
      </c>
      <c r="DA955" s="82">
        <f>IF(ISNUMBER($AV955),$AV955/100,"")</f>
        <v/>
      </c>
      <c r="DB955" s="82">
        <f>IF(ISNUMBER($AW955),$AW955/100,"")</f>
        <v/>
      </c>
      <c r="DC955" s="82">
        <f>IF(ISNUMBER($AX955),$AX955/100,"")</f>
        <v/>
      </c>
      <c r="DD955" s="77">
        <f>IFERROR(VALUE(LEFT(TRIM($AO955&amp;""),4)),"")</f>
        <v/>
      </c>
      <c r="DE955" s="78">
        <f>IF(AND($BY955=1,$BX955=1,OR(fDeal="All Deals",$BU955=fDeal),OR(fEntity="All Entities",$BV955=fEntity),OR(fPType="All Property Types",$BZ955=fPType),OR(fDefeased="Include",$CJ955=0)),1,0)</f>
        <v/>
      </c>
      <c r="DF955" s="83">
        <f>$DE955*N($I955)</f>
        <v/>
      </c>
      <c r="DG955" s="78">
        <f>IF($DE955=1,IF(COUNTIFS($F$8:$F955,$F955,$DE$8:$DE955,1)=1,1,0),0)</f>
        <v/>
      </c>
      <c r="DH955" s="83">
        <f>IF($DG955=1,SUMIFS($DF$8:$DF$1600,$F$8:$F$1600,$F955),0)</f>
        <v/>
      </c>
      <c r="DI955" s="78">
        <f>IF($DG955=1,COUNTIFS($F$8:$F$1600,$F955,$DE$8:$DE$1600,1),0)</f>
        <v/>
      </c>
      <c r="DJ955" s="84">
        <f>IF($DG955=1,$DH955+(100000-ROW())/mTieBreak,0)</f>
        <v/>
      </c>
    </row>
    <row r="956">
      <c r="B956" s="68" t="n">
        <v>16</v>
      </c>
      <c r="C956" s="69" t="inlineStr">
        <is>
          <t>WFC18C43</t>
        </is>
      </c>
      <c r="D956" s="69" t="inlineStr">
        <is>
          <t>16.000</t>
        </is>
      </c>
      <c r="E956" s="69" t="inlineStr">
        <is>
          <t>Brookstone Crossing</t>
        </is>
      </c>
      <c r="F956" s="69" t="inlineStr">
        <is>
          <t>LNWFC18C43-16.000</t>
        </is>
      </c>
      <c r="G956" s="70" t="n"/>
      <c r="H956" s="71" t="n">
        <v>15000000</v>
      </c>
      <c r="I956" s="71" t="n">
        <v>13374857.34</v>
      </c>
      <c r="J956" s="72" t="n">
        <v>5</v>
      </c>
      <c r="K956" s="69" t="inlineStr">
        <is>
          <t>Fixed rate</t>
        </is>
      </c>
      <c r="L956" s="68" t="n">
        <v>120</v>
      </c>
      <c r="M956" s="68" t="n">
        <v>16</v>
      </c>
      <c r="N956" s="68" t="n">
        <v>384</v>
      </c>
      <c r="O956" s="68" t="n">
        <v>24</v>
      </c>
      <c r="P956" s="68" t="n">
        <v>0</v>
      </c>
      <c r="Q956" s="68" t="n">
        <v>104</v>
      </c>
      <c r="R956" s="69" t="inlineStr">
        <is>
          <t>IO then Amort</t>
        </is>
      </c>
      <c r="S956" s="69" t="inlineStr">
        <is>
          <t>No</t>
        </is>
      </c>
      <c r="T956" s="73" t="n">
        <v>43101</v>
      </c>
      <c r="U956" s="73" t="n">
        <v>46758</v>
      </c>
      <c r="V956" s="73" t="n"/>
      <c r="W956" s="69" t="n"/>
      <c r="X956" s="69" t="inlineStr">
        <is>
          <t>Current</t>
        </is>
      </c>
      <c r="Y956" s="68" t="n"/>
      <c r="Z956" s="69" t="inlineStr">
        <is>
          <t>No Defeasance Occurred</t>
        </is>
      </c>
      <c r="AA956" s="69" t="inlineStr">
        <is>
          <t>Previously</t>
        </is>
      </c>
      <c r="AB956" s="69" t="inlineStr">
        <is>
          <t>Never special serv</t>
        </is>
      </c>
      <c r="AC956" s="73" t="n"/>
      <c r="AD956" s="69" t="n"/>
      <c r="AE956" s="69" t="n"/>
      <c r="AF956" s="69" t="inlineStr">
        <is>
          <t>GA</t>
        </is>
      </c>
      <c r="AG956" s="69" t="inlineStr">
        <is>
          <t>Atlanta</t>
        </is>
      </c>
      <c r="AH956" s="69" t="inlineStr">
        <is>
          <t>Atlanta-Sandy Springs-Roswell, GA</t>
        </is>
      </c>
      <c r="AI956" s="69" t="inlineStr">
        <is>
          <t>South / Atlantic</t>
        </is>
      </c>
      <c r="AJ956" s="69" t="inlineStr">
        <is>
          <t>MF</t>
        </is>
      </c>
      <c r="AK956" s="69" t="inlineStr">
        <is>
          <t>Garden</t>
        </is>
      </c>
      <c r="AL956" s="68" t="n">
        <v>1</v>
      </c>
      <c r="AM956" s="68" t="n">
        <v>199</v>
      </c>
      <c r="AN956" s="68" t="n"/>
      <c r="AO956" s="69" t="inlineStr">
        <is>
          <t>1964</t>
        </is>
      </c>
      <c r="AP956" s="70" t="n">
        <v>2017</v>
      </c>
      <c r="AQ956" s="74" t="n">
        <v>1.44</v>
      </c>
      <c r="AR956" s="74" t="n">
        <v>2.33</v>
      </c>
      <c r="AS956" s="74" t="n">
        <v>67.59999999999999</v>
      </c>
      <c r="AT956" s="74" t="n">
        <v>60.25</v>
      </c>
      <c r="AU956" s="74" t="n">
        <v>58.5</v>
      </c>
      <c r="AV956" s="74" t="n">
        <v>9.271993332999999</v>
      </c>
      <c r="AW956" s="74" t="n">
        <v>19.277422887</v>
      </c>
      <c r="AX956" s="75" t="n">
        <v>88</v>
      </c>
      <c r="AY956" s="71" t="n">
        <v>22200000</v>
      </c>
      <c r="AZ956" s="71" t="n">
        <v>22200000</v>
      </c>
      <c r="BA956" s="71" t="n">
        <v>1390799</v>
      </c>
      <c r="BB956" s="71" t="n">
        <v>1123316.04</v>
      </c>
      <c r="BC956" s="69" t="inlineStr">
        <is>
          <t>Acquisition</t>
        </is>
      </c>
      <c r="BD956" s="69" t="inlineStr">
        <is>
          <t>N</t>
        </is>
      </c>
      <c r="BE956" s="71" t="n"/>
      <c r="BF956" s="71" t="n"/>
      <c r="BG956" s="71" t="n"/>
      <c r="BH956" s="71" t="n">
        <v>0</v>
      </c>
      <c r="BI956" s="71" t="n">
        <v>0</v>
      </c>
      <c r="BJ956" s="69" t="inlineStr">
        <is>
          <t>N</t>
        </is>
      </c>
      <c r="BK956" s="69" t="n"/>
      <c r="BL956" s="75" t="n"/>
      <c r="BM956" s="73" t="n"/>
      <c r="BN956" s="69" t="inlineStr">
        <is>
          <t>Gideon Levy</t>
        </is>
      </c>
      <c r="BO956" s="69" t="inlineStr">
        <is>
          <t>BSPRT</t>
        </is>
      </c>
      <c r="BP956" s="69" t="inlineStr">
        <is>
          <t>TriMont Real Estate Advisors</t>
        </is>
      </c>
      <c r="BQ956" s="69" t="inlineStr">
        <is>
          <t>K-Star Asset Management LLC</t>
        </is>
      </c>
      <c r="BR956" s="69" t="n"/>
      <c r="BS956" s="73" t="n">
        <v>46276</v>
      </c>
      <c r="BU956" s="76">
        <f>IF($C956="","",IFERROR(INDEX(dmName,MATCH($C956,dmID,0)),"Unmapped"))</f>
        <v/>
      </c>
      <c r="BV956" s="76">
        <f>IF($C956="","",IFERROR(INDEX(dmEntity,MATCH($C956,dmID,0)),"Unmapped"))</f>
        <v/>
      </c>
      <c r="BW956" s="77">
        <f>IF($C956="","",IFERROR(INDEX(dmVintage,MATCH($C956,dmID,0)),""))</f>
        <v/>
      </c>
      <c r="BX956" s="78">
        <f>IFERROR(INDEX(dmInclude,MATCH($C956,dmID,0)),0)</f>
        <v/>
      </c>
      <c r="BY956" s="78">
        <f>IF(N($I956)&gt;0,1,0)</f>
        <v/>
      </c>
      <c r="BZ956" s="76">
        <f>IF($AJ956="","Other / Leased Fee",IFERROR(INDEX(mapPTGroup,MATCH(LEFT(TRIM($AJ956),2),mapPTCode,0)),"Other / Leased Fee"))</f>
        <v/>
      </c>
      <c r="CA956" s="76">
        <f>IF(TRIM($AF956&amp;"")="","NR",LEFT(TRIM($AF956),2))</f>
        <v/>
      </c>
      <c r="CB956" s="76">
        <f>IFERROR(LOOKUP(2,1/(LEFT(TRIM($AI956&amp;""),LEN(mapRegion))=mapRegion),mapRegion),"Not Reported")</f>
        <v/>
      </c>
      <c r="CC956" s="76">
        <f>IF($BY956=0,"",IF(TRIM($W956&amp;"")="REO","REO",IF(TRIM($W956&amp;"")="FC","Foreclosure",IF(TRIM($W956&amp;"")="90+","90+ Days Delinquent",IF(TRIM($W956&amp;"")="60","60 Days Delinquent",IF(TRIM($W956&amp;"")="30","30 Days Delinquent",IF($X956="Non-Performing Matured Balloon","Non-Performing Matured Balloon",IF(OR($X956="Late Payment But Less Than 30 Days Delinquent",LEFT($X956&amp;"",20)="Payment Not Received"),"Late / In Grace (&lt;30 Days)",IF($X956="Performing Matured Balloon","Performing Matured Balloon","Current")))))))))</f>
        <v/>
      </c>
      <c r="CD956" s="78">
        <f>IF(OR($CC956="REO",$CC956="Foreclosure",$CC956="90+ Days Delinquent",$CC956="60 Days Delinquent",$CC956="30 Days Delinquent",$CC956="Non-Performing Matured Balloon"),1,0)</f>
        <v/>
      </c>
      <c r="CE956" s="76">
        <f>IF($AB956="Currently special serv","Currently Specially Serviced",IF($AB956="Returned to master serv","Previously Specially Serviced","Never Specially Serviced"))</f>
        <v/>
      </c>
      <c r="CF956" s="78">
        <f>IF($CE956="Currently Specially Serviced",1,0)</f>
        <v/>
      </c>
      <c r="CG956" s="76">
        <f>IF($AA956="Yes","Currently on Watchlist",IF($AA956="Previously","Previously on Watchlist","Never on Watchlist"))</f>
        <v/>
      </c>
      <c r="CH956" s="78">
        <f>IF($CG956="Currently on Watchlist",1,0)</f>
        <v/>
      </c>
      <c r="CI956" s="76">
        <f>IF($Z956="Full Defeasance","Fully Defeased",IF($Z956="Portion Of Loan Previously Defeased","Partially Defeased",IF($Z956="Defeasance Not Allowable","Not Defeased (Not Permitted)","Not Defeased")))</f>
        <v/>
      </c>
      <c r="CJ956" s="78">
        <f>IF($CI956="Fully Defeased",1,0)</f>
        <v/>
      </c>
      <c r="CK956" s="76">
        <f>IF($R956="IO","Full IO",IF(LEFT($R956&amp;"",7)="IO then","Partial IO","Amortizing"))</f>
        <v/>
      </c>
      <c r="CL956" s="78">
        <f>IF($CK956="Full IO",1,0)</f>
        <v/>
      </c>
      <c r="CM956" s="78">
        <f>IF($CK956="Partial IO",1,0)</f>
        <v/>
      </c>
      <c r="CN956" s="76">
        <f>IF(LEFT($F956&amp;"",10)="SPLIT_LOAN","Pari Passu Split","Standalone")</f>
        <v/>
      </c>
      <c r="CO956" s="78">
        <f>IF($CN956="Pari Passu Split",1,0)</f>
        <v/>
      </c>
      <c r="CP956" s="77">
        <f>IF(ISNUMBER($T956),YEAR($T956),"")</f>
        <v/>
      </c>
      <c r="CQ956" s="79">
        <f>IF(ISNUMBER($V956),$V956,IF(ISNUMBER($U956),$U956,""))</f>
        <v/>
      </c>
      <c r="CR956" s="77">
        <f>IF(ISNUMBER($CQ956),YEAR($CQ956),"")</f>
        <v/>
      </c>
      <c r="CS956" s="78">
        <f>IF(ISNUMBER($M956),MAX(0,$M956),IF(TRIM($M956&amp;"")="matured",0,""))</f>
        <v/>
      </c>
      <c r="CT956" s="78">
        <f>IF(AND(ISNUMBER($CS956),N($CS956)&lt;=mMatWindow),1,0)</f>
        <v/>
      </c>
      <c r="CU956" s="80">
        <f>IF(ISNUMBER($J956),$J956/100,"")</f>
        <v/>
      </c>
      <c r="CV956" s="81">
        <f>IF(ISNUMBER($AQ956),$AQ956,"")</f>
        <v/>
      </c>
      <c r="CW956" s="81">
        <f>IF(ISNUMBER($AR956),$AR956,"")</f>
        <v/>
      </c>
      <c r="CX956" s="82">
        <f>IF(ISNUMBER($AS956),$AS956/100,"")</f>
        <v/>
      </c>
      <c r="CY956" s="82">
        <f>IF(ISNUMBER($AT956),$AT956/100,"")</f>
        <v/>
      </c>
      <c r="CZ956" s="82">
        <f>IF(ISNUMBER($AU956),$AU956/100,"")</f>
        <v/>
      </c>
      <c r="DA956" s="82">
        <f>IF(ISNUMBER($AV956),$AV956/100,"")</f>
        <v/>
      </c>
      <c r="DB956" s="82">
        <f>IF(ISNUMBER($AW956),$AW956/100,"")</f>
        <v/>
      </c>
      <c r="DC956" s="82">
        <f>IF(ISNUMBER($AX956),$AX956/100,"")</f>
        <v/>
      </c>
      <c r="DD956" s="77">
        <f>IFERROR(VALUE(LEFT(TRIM($AO956&amp;""),4)),"")</f>
        <v/>
      </c>
      <c r="DE956" s="78">
        <f>IF(AND($BY956=1,$BX956=1,OR(fDeal="All Deals",$BU956=fDeal),OR(fEntity="All Entities",$BV956=fEntity),OR(fPType="All Property Types",$BZ956=fPType),OR(fDefeased="Include",$CJ956=0)),1,0)</f>
        <v/>
      </c>
      <c r="DF956" s="83">
        <f>$DE956*N($I956)</f>
        <v/>
      </c>
      <c r="DG956" s="78">
        <f>IF($DE956=1,IF(COUNTIFS($F$8:$F956,$F956,$DE$8:$DE956,1)=1,1,0),0)</f>
        <v/>
      </c>
      <c r="DH956" s="83">
        <f>IF($DG956=1,SUMIFS($DF$8:$DF$1600,$F$8:$F$1600,$F956),0)</f>
        <v/>
      </c>
      <c r="DI956" s="78">
        <f>IF($DG956=1,COUNTIFS($F$8:$F$1600,$F956,$DE$8:$DE$1600,1),0)</f>
        <v/>
      </c>
      <c r="DJ956" s="84">
        <f>IF($DG956=1,$DH956+(100000-ROW())/mTieBreak,0)</f>
        <v/>
      </c>
    </row>
    <row r="957">
      <c r="B957" s="68" t="n">
        <v>17</v>
      </c>
      <c r="C957" s="69" t="inlineStr">
        <is>
          <t>WFC18C43</t>
        </is>
      </c>
      <c r="D957" s="69" t="inlineStr">
        <is>
          <t>17.000</t>
        </is>
      </c>
      <c r="E957" s="69" t="inlineStr">
        <is>
          <t>Corvac Composites Portfolio</t>
        </is>
      </c>
      <c r="F957" s="69" t="inlineStr">
        <is>
          <t>LNWFC18C43-17.000</t>
        </is>
      </c>
      <c r="G957" s="70" t="n"/>
      <c r="H957" s="71" t="n">
        <v>13330000</v>
      </c>
      <c r="I957" s="71" t="n">
        <v>0</v>
      </c>
      <c r="J957" s="72" t="n">
        <v>4.82</v>
      </c>
      <c r="K957" s="69" t="inlineStr">
        <is>
          <t>Fixed rate</t>
        </is>
      </c>
      <c r="L957" s="68" t="n">
        <v>120</v>
      </c>
      <c r="M957" s="68" t="n"/>
      <c r="N957" s="68" t="n">
        <v>420</v>
      </c>
      <c r="O957" s="68" t="n">
        <v>60</v>
      </c>
      <c r="P957" s="68" t="n"/>
      <c r="Q957" s="68" t="n"/>
      <c r="R957" s="69" t="inlineStr">
        <is>
          <t>IO then Amort</t>
        </is>
      </c>
      <c r="S957" s="69" t="inlineStr">
        <is>
          <t>No</t>
        </is>
      </c>
      <c r="T957" s="73" t="n">
        <v>43160</v>
      </c>
      <c r="U957" s="73" t="n">
        <v>49014</v>
      </c>
      <c r="V957" s="73" t="n">
        <v>46823</v>
      </c>
      <c r="W957" s="69" t="n"/>
      <c r="X957" s="69" t="inlineStr">
        <is>
          <t>Current</t>
        </is>
      </c>
      <c r="Y957" s="68" t="n"/>
      <c r="Z957" s="69" t="inlineStr">
        <is>
          <t>Defeasance Not Allowable</t>
        </is>
      </c>
      <c r="AA957" s="69" t="n"/>
      <c r="AB957" s="69" t="inlineStr">
        <is>
          <t>Never special serv</t>
        </is>
      </c>
      <c r="AC957" s="73" t="n"/>
      <c r="AD957" s="69" t="n"/>
      <c r="AE957" s="69" t="n"/>
      <c r="AF957" s="69" t="inlineStr">
        <is>
          <t>MI-40.510127532% OH-32.408102026% KY-27.081770443%</t>
        </is>
      </c>
      <c r="AG957" s="69" t="n"/>
      <c r="AH957" s="69" t="inlineStr">
        <is>
          <t>Grand Rapids-Wyoming-Kentwood, MI-40.510127532% Bowling Green, KY-27.081770443%</t>
        </is>
      </c>
      <c r="AI957" s="69" t="inlineStr">
        <is>
          <t>Midwest / Central East-72.918229557% South / Central East-27.081770443%</t>
        </is>
      </c>
      <c r="AJ957" s="69" t="inlineStr">
        <is>
          <t>IN</t>
        </is>
      </c>
      <c r="AK957" s="69" t="inlineStr">
        <is>
          <t>Manufacturing</t>
        </is>
      </c>
      <c r="AL957" s="68" t="n">
        <v>4</v>
      </c>
      <c r="AM957" s="68" t="n"/>
      <c r="AN957" s="68" t="n">
        <v>514462</v>
      </c>
      <c r="AO957" s="69" t="n"/>
      <c r="AP957" s="70" t="n">
        <v>1989</v>
      </c>
      <c r="AQ957" s="74" t="n">
        <v>1.73</v>
      </c>
      <c r="AR957" s="74" t="n">
        <v>1.97</v>
      </c>
      <c r="AS957" s="74" t="n">
        <v>64.09999999999999</v>
      </c>
      <c r="AT957" s="74" t="n"/>
      <c r="AU957" s="74" t="n">
        <v>59</v>
      </c>
      <c r="AV957" s="74" t="n">
        <v>10.907732858</v>
      </c>
      <c r="AW957" s="74" t="n"/>
      <c r="AX957" s="75" t="n">
        <v>100</v>
      </c>
      <c r="AY957" s="71" t="n">
        <v>20800000</v>
      </c>
      <c r="AZ957" s="71" t="n">
        <v>20800000</v>
      </c>
      <c r="BA957" s="71" t="n">
        <v>1454000.79</v>
      </c>
      <c r="BB957" s="71" t="n">
        <v>1560073.7</v>
      </c>
      <c r="BC957" s="69" t="inlineStr">
        <is>
          <t>Acquisition</t>
        </is>
      </c>
      <c r="BD957" s="69" t="inlineStr">
        <is>
          <t>N</t>
        </is>
      </c>
      <c r="BE957" s="71" t="n"/>
      <c r="BF957" s="71" t="n"/>
      <c r="BG957" s="71" t="n"/>
      <c r="BH957" s="71" t="n">
        <v>0</v>
      </c>
      <c r="BI957" s="71" t="n">
        <v>0</v>
      </c>
      <c r="BJ957" s="69" t="inlineStr">
        <is>
          <t>N</t>
        </is>
      </c>
      <c r="BK957" s="69" t="inlineStr">
        <is>
          <t>Corvac Composites</t>
        </is>
      </c>
      <c r="BL957" s="75" t="n">
        <v>81.78</v>
      </c>
      <c r="BM957" s="73" t="n">
        <v>50221</v>
      </c>
      <c r="BN957" s="69" t="inlineStr">
        <is>
          <t>AG Net Lease III Corp.; AG Net Lease III (SO) Corp.</t>
        </is>
      </c>
      <c r="BO957" s="69" t="inlineStr">
        <is>
          <t>Wells Fargo</t>
        </is>
      </c>
      <c r="BP957" s="69" t="inlineStr">
        <is>
          <t>Wells Fargo</t>
        </is>
      </c>
      <c r="BQ957" s="69" t="inlineStr">
        <is>
          <t>K-Star Asset Management LLC</t>
        </is>
      </c>
      <c r="BR957" s="69" t="inlineStr">
        <is>
          <t>Payoff With Yield Maintenance</t>
        </is>
      </c>
      <c r="BS957" s="73" t="n">
        <v>45454</v>
      </c>
      <c r="BU957" s="76">
        <f>IF($C957="","",IFERROR(INDEX(dmName,MATCH($C957,dmID,0)),"Unmapped"))</f>
        <v/>
      </c>
      <c r="BV957" s="76">
        <f>IF($C957="","",IFERROR(INDEX(dmEntity,MATCH($C957,dmID,0)),"Unmapped"))</f>
        <v/>
      </c>
      <c r="BW957" s="77">
        <f>IF($C957="","",IFERROR(INDEX(dmVintage,MATCH($C957,dmID,0)),""))</f>
        <v/>
      </c>
      <c r="BX957" s="78">
        <f>IFERROR(INDEX(dmInclude,MATCH($C957,dmID,0)),0)</f>
        <v/>
      </c>
      <c r="BY957" s="78">
        <f>IF(N($I957)&gt;0,1,0)</f>
        <v/>
      </c>
      <c r="BZ957" s="76">
        <f>IF($AJ957="","Other / Leased Fee",IFERROR(INDEX(mapPTGroup,MATCH(LEFT(TRIM($AJ957),2),mapPTCode,0)),"Other / Leased Fee"))</f>
        <v/>
      </c>
      <c r="CA957" s="76">
        <f>IF(TRIM($AF957&amp;"")="","NR",LEFT(TRIM($AF957),2))</f>
        <v/>
      </c>
      <c r="CB957" s="76">
        <f>IFERROR(LOOKUP(2,1/(LEFT(TRIM($AI957&amp;""),LEN(mapRegion))=mapRegion),mapRegion),"Not Reported")</f>
        <v/>
      </c>
      <c r="CC957" s="76">
        <f>IF($BY957=0,"",IF(TRIM($W957&amp;"")="REO","REO",IF(TRIM($W957&amp;"")="FC","Foreclosure",IF(TRIM($W957&amp;"")="90+","90+ Days Delinquent",IF(TRIM($W957&amp;"")="60","60 Days Delinquent",IF(TRIM($W957&amp;"")="30","30 Days Delinquent",IF($X957="Non-Performing Matured Balloon","Non-Performing Matured Balloon",IF(OR($X957="Late Payment But Less Than 30 Days Delinquent",LEFT($X957&amp;"",20)="Payment Not Received"),"Late / In Grace (&lt;30 Days)",IF($X957="Performing Matured Balloon","Performing Matured Balloon","Current")))))))))</f>
        <v/>
      </c>
      <c r="CD957" s="78">
        <f>IF(OR($CC957="REO",$CC957="Foreclosure",$CC957="90+ Days Delinquent",$CC957="60 Days Delinquent",$CC957="30 Days Delinquent",$CC957="Non-Performing Matured Balloon"),1,0)</f>
        <v/>
      </c>
      <c r="CE957" s="76">
        <f>IF($AB957="Currently special serv","Currently Specially Serviced",IF($AB957="Returned to master serv","Previously Specially Serviced","Never Specially Serviced"))</f>
        <v/>
      </c>
      <c r="CF957" s="78">
        <f>IF($CE957="Currently Specially Serviced",1,0)</f>
        <v/>
      </c>
      <c r="CG957" s="76">
        <f>IF($AA957="Yes","Currently on Watchlist",IF($AA957="Previously","Previously on Watchlist","Never on Watchlist"))</f>
        <v/>
      </c>
      <c r="CH957" s="78">
        <f>IF($CG957="Currently on Watchlist",1,0)</f>
        <v/>
      </c>
      <c r="CI957" s="76">
        <f>IF($Z957="Full Defeasance","Fully Defeased",IF($Z957="Portion Of Loan Previously Defeased","Partially Defeased",IF($Z957="Defeasance Not Allowable","Not Defeased (Not Permitted)","Not Defeased")))</f>
        <v/>
      </c>
      <c r="CJ957" s="78">
        <f>IF($CI957="Fully Defeased",1,0)</f>
        <v/>
      </c>
      <c r="CK957" s="76">
        <f>IF($R957="IO","Full IO",IF(LEFT($R957&amp;"",7)="IO then","Partial IO","Amortizing"))</f>
        <v/>
      </c>
      <c r="CL957" s="78">
        <f>IF($CK957="Full IO",1,0)</f>
        <v/>
      </c>
      <c r="CM957" s="78">
        <f>IF($CK957="Partial IO",1,0)</f>
        <v/>
      </c>
      <c r="CN957" s="76">
        <f>IF(LEFT($F957&amp;"",10)="SPLIT_LOAN","Pari Passu Split","Standalone")</f>
        <v/>
      </c>
      <c r="CO957" s="78">
        <f>IF($CN957="Pari Passu Split",1,0)</f>
        <v/>
      </c>
      <c r="CP957" s="77">
        <f>IF(ISNUMBER($T957),YEAR($T957),"")</f>
        <v/>
      </c>
      <c r="CQ957" s="79">
        <f>IF(ISNUMBER($V957),$V957,IF(ISNUMBER($U957),$U957,""))</f>
        <v/>
      </c>
      <c r="CR957" s="77">
        <f>IF(ISNUMBER($CQ957),YEAR($CQ957),"")</f>
        <v/>
      </c>
      <c r="CS957" s="78">
        <f>IF(ISNUMBER($M957),MAX(0,$M957),IF(TRIM($M957&amp;"")="matured",0,""))</f>
        <v/>
      </c>
      <c r="CT957" s="78">
        <f>IF(AND(ISNUMBER($CS957),N($CS957)&lt;=mMatWindow),1,0)</f>
        <v/>
      </c>
      <c r="CU957" s="80">
        <f>IF(ISNUMBER($J957),$J957/100,"")</f>
        <v/>
      </c>
      <c r="CV957" s="81">
        <f>IF(ISNUMBER($AQ957),$AQ957,"")</f>
        <v/>
      </c>
      <c r="CW957" s="81">
        <f>IF(ISNUMBER($AR957),$AR957,"")</f>
        <v/>
      </c>
      <c r="CX957" s="82">
        <f>IF(ISNUMBER($AS957),$AS957/100,"")</f>
        <v/>
      </c>
      <c r="CY957" s="82">
        <f>IF(ISNUMBER($AT957),$AT957/100,"")</f>
        <v/>
      </c>
      <c r="CZ957" s="82">
        <f>IF(ISNUMBER($AU957),$AU957/100,"")</f>
        <v/>
      </c>
      <c r="DA957" s="82">
        <f>IF(ISNUMBER($AV957),$AV957/100,"")</f>
        <v/>
      </c>
      <c r="DB957" s="82">
        <f>IF(ISNUMBER($AW957),$AW957/100,"")</f>
        <v/>
      </c>
      <c r="DC957" s="82">
        <f>IF(ISNUMBER($AX957),$AX957/100,"")</f>
        <v/>
      </c>
      <c r="DD957" s="77">
        <f>IFERROR(VALUE(LEFT(TRIM($AO957&amp;""),4)),"")</f>
        <v/>
      </c>
      <c r="DE957" s="78">
        <f>IF(AND($BY957=1,$BX957=1,OR(fDeal="All Deals",$BU957=fDeal),OR(fEntity="All Entities",$BV957=fEntity),OR(fPType="All Property Types",$BZ957=fPType),OR(fDefeased="Include",$CJ957=0)),1,0)</f>
        <v/>
      </c>
      <c r="DF957" s="83">
        <f>$DE957*N($I957)</f>
        <v/>
      </c>
      <c r="DG957" s="78">
        <f>IF($DE957=1,IF(COUNTIFS($F$8:$F957,$F957,$DE$8:$DE957,1)=1,1,0),0)</f>
        <v/>
      </c>
      <c r="DH957" s="83">
        <f>IF($DG957=1,SUMIFS($DF$8:$DF$1600,$F$8:$F$1600,$F957),0)</f>
        <v/>
      </c>
      <c r="DI957" s="78">
        <f>IF($DG957=1,COUNTIFS($F$8:$F$1600,$F957,$DE$8:$DE$1600,1),0)</f>
        <v/>
      </c>
      <c r="DJ957" s="84">
        <f>IF($DG957=1,$DH957+(100000-ROW())/mTieBreak,0)</f>
        <v/>
      </c>
    </row>
    <row r="958">
      <c r="B958" s="68" t="n">
        <v>18</v>
      </c>
      <c r="C958" s="69" t="inlineStr">
        <is>
          <t>WFC18C43</t>
        </is>
      </c>
      <c r="D958" s="69" t="inlineStr">
        <is>
          <t>18.000</t>
        </is>
      </c>
      <c r="E958" s="69" t="inlineStr">
        <is>
          <t>Oxford Alabama Hotel Portfolio</t>
        </is>
      </c>
      <c r="F958" s="69" t="inlineStr">
        <is>
          <t>LNWFC18C43-18.000</t>
        </is>
      </c>
      <c r="G958" s="70" t="n"/>
      <c r="H958" s="71" t="n">
        <v>13000000</v>
      </c>
      <c r="I958" s="71" t="n">
        <v>10281737.459994</v>
      </c>
      <c r="J958" s="72" t="n">
        <v>4.98</v>
      </c>
      <c r="K958" s="69" t="inlineStr">
        <is>
          <t>Fixed rate</t>
        </is>
      </c>
      <c r="L958" s="68" t="n">
        <v>120</v>
      </c>
      <c r="M958" s="68" t="n">
        <v>17</v>
      </c>
      <c r="N958" s="68" t="n">
        <v>300</v>
      </c>
      <c r="O958" s="68" t="n"/>
      <c r="P958" s="68" t="n"/>
      <c r="Q958" s="68" t="n">
        <v>103</v>
      </c>
      <c r="R958" s="69" t="n"/>
      <c r="S958" s="69" t="inlineStr">
        <is>
          <t>No</t>
        </is>
      </c>
      <c r="T958" s="73" t="n">
        <v>43132</v>
      </c>
      <c r="U958" s="73" t="n">
        <v>46789</v>
      </c>
      <c r="V958" s="73" t="n"/>
      <c r="W958" s="69" t="n"/>
      <c r="X958" s="69" t="inlineStr">
        <is>
          <t>Current</t>
        </is>
      </c>
      <c r="Y958" s="68" t="n"/>
      <c r="Z958" s="69" t="inlineStr">
        <is>
          <t>No Defeasance Occurred</t>
        </is>
      </c>
      <c r="AA958" s="69" t="inlineStr">
        <is>
          <t>Yes</t>
        </is>
      </c>
      <c r="AB958" s="69" t="inlineStr">
        <is>
          <t>Never special serv</t>
        </is>
      </c>
      <c r="AC958" s="73" t="n"/>
      <c r="AD958" s="69" t="n"/>
      <c r="AE958" s="69" t="n"/>
      <c r="AF958" s="69" t="inlineStr">
        <is>
          <t>AL</t>
        </is>
      </c>
      <c r="AG958" s="69" t="inlineStr">
        <is>
          <t>Oxford</t>
        </is>
      </c>
      <c r="AH958" s="69" t="inlineStr">
        <is>
          <t>Anniston-Oxford, AL</t>
        </is>
      </c>
      <c r="AI958" s="69" t="inlineStr">
        <is>
          <t>South / Central East</t>
        </is>
      </c>
      <c r="AJ958" s="69" t="inlineStr">
        <is>
          <t>HT</t>
        </is>
      </c>
      <c r="AK958" s="69" t="inlineStr">
        <is>
          <t>Limited Service</t>
        </is>
      </c>
      <c r="AL958" s="68" t="n">
        <v>2</v>
      </c>
      <c r="AM958" s="68" t="n">
        <v>173</v>
      </c>
      <c r="AN958" s="68" t="n"/>
      <c r="AO958" s="69" t="n"/>
      <c r="AP958" s="70" t="n">
        <v>2016</v>
      </c>
      <c r="AQ958" s="74" t="n">
        <v>1.68</v>
      </c>
      <c r="AR958" s="74" t="n">
        <v>1.21</v>
      </c>
      <c r="AS958" s="74" t="n">
        <v>60.9</v>
      </c>
      <c r="AT958" s="74" t="n">
        <v>48.27</v>
      </c>
      <c r="AU958" s="74" t="n">
        <v>45.6</v>
      </c>
      <c r="AV958" s="74" t="n">
        <v>11.757915385</v>
      </c>
      <c r="AW958" s="74" t="n">
        <v>10.737214934</v>
      </c>
      <c r="AX958" s="75" t="n">
        <v>59</v>
      </c>
      <c r="AY958" s="71" t="n">
        <v>21300000</v>
      </c>
      <c r="AZ958" s="71" t="n">
        <v>21300000</v>
      </c>
      <c r="BA958" s="71" t="n">
        <v>1528529</v>
      </c>
      <c r="BB958" s="71" t="n">
        <v>1103972.25</v>
      </c>
      <c r="BC958" s="69" t="inlineStr">
        <is>
          <t>Refinance</t>
        </is>
      </c>
      <c r="BD958" s="69" t="inlineStr">
        <is>
          <t>N</t>
        </is>
      </c>
      <c r="BE958" s="71" t="n"/>
      <c r="BF958" s="71" t="n"/>
      <c r="BG958" s="71" t="n"/>
      <c r="BH958" s="71" t="n">
        <v>0</v>
      </c>
      <c r="BI958" s="71" t="n">
        <v>0</v>
      </c>
      <c r="BJ958" s="69" t="inlineStr">
        <is>
          <t>N</t>
        </is>
      </c>
      <c r="BK958" s="69" t="n"/>
      <c r="BL958" s="75" t="n"/>
      <c r="BM958" s="73" t="n"/>
      <c r="BN958" s="69" t="inlineStr">
        <is>
          <t>Chander P. Bhateja</t>
        </is>
      </c>
      <c r="BO958" s="69" t="inlineStr">
        <is>
          <t>BSPRT</t>
        </is>
      </c>
      <c r="BP958" s="69" t="inlineStr">
        <is>
          <t>TriMont Real Estate Advisors</t>
        </is>
      </c>
      <c r="BQ958" s="69" t="inlineStr">
        <is>
          <t>K-Star Asset Management LLC</t>
        </is>
      </c>
      <c r="BR958" s="69" t="n"/>
      <c r="BS958" s="73" t="n">
        <v>46276</v>
      </c>
      <c r="BU958" s="76">
        <f>IF($C958="","",IFERROR(INDEX(dmName,MATCH($C958,dmID,0)),"Unmapped"))</f>
        <v/>
      </c>
      <c r="BV958" s="76">
        <f>IF($C958="","",IFERROR(INDEX(dmEntity,MATCH($C958,dmID,0)),"Unmapped"))</f>
        <v/>
      </c>
      <c r="BW958" s="77">
        <f>IF($C958="","",IFERROR(INDEX(dmVintage,MATCH($C958,dmID,0)),""))</f>
        <v/>
      </c>
      <c r="BX958" s="78">
        <f>IFERROR(INDEX(dmInclude,MATCH($C958,dmID,0)),0)</f>
        <v/>
      </c>
      <c r="BY958" s="78">
        <f>IF(N($I958)&gt;0,1,0)</f>
        <v/>
      </c>
      <c r="BZ958" s="76">
        <f>IF($AJ958="","Other / Leased Fee",IFERROR(INDEX(mapPTGroup,MATCH(LEFT(TRIM($AJ958),2),mapPTCode,0)),"Other / Leased Fee"))</f>
        <v/>
      </c>
      <c r="CA958" s="76">
        <f>IF(TRIM($AF958&amp;"")="","NR",LEFT(TRIM($AF958),2))</f>
        <v/>
      </c>
      <c r="CB958" s="76">
        <f>IFERROR(LOOKUP(2,1/(LEFT(TRIM($AI958&amp;""),LEN(mapRegion))=mapRegion),mapRegion),"Not Reported")</f>
        <v/>
      </c>
      <c r="CC958" s="76">
        <f>IF($BY958=0,"",IF(TRIM($W958&amp;"")="REO","REO",IF(TRIM($W958&amp;"")="FC","Foreclosure",IF(TRIM($W958&amp;"")="90+","90+ Days Delinquent",IF(TRIM($W958&amp;"")="60","60 Days Delinquent",IF(TRIM($W958&amp;"")="30","30 Days Delinquent",IF($X958="Non-Performing Matured Balloon","Non-Performing Matured Balloon",IF(OR($X958="Late Payment But Less Than 30 Days Delinquent",LEFT($X958&amp;"",20)="Payment Not Received"),"Late / In Grace (&lt;30 Days)",IF($X958="Performing Matured Balloon","Performing Matured Balloon","Current")))))))))</f>
        <v/>
      </c>
      <c r="CD958" s="78">
        <f>IF(OR($CC958="REO",$CC958="Foreclosure",$CC958="90+ Days Delinquent",$CC958="60 Days Delinquent",$CC958="30 Days Delinquent",$CC958="Non-Performing Matured Balloon"),1,0)</f>
        <v/>
      </c>
      <c r="CE958" s="76">
        <f>IF($AB958="Currently special serv","Currently Specially Serviced",IF($AB958="Returned to master serv","Previously Specially Serviced","Never Specially Serviced"))</f>
        <v/>
      </c>
      <c r="CF958" s="78">
        <f>IF($CE958="Currently Specially Serviced",1,0)</f>
        <v/>
      </c>
      <c r="CG958" s="76">
        <f>IF($AA958="Yes","Currently on Watchlist",IF($AA958="Previously","Previously on Watchlist","Never on Watchlist"))</f>
        <v/>
      </c>
      <c r="CH958" s="78">
        <f>IF($CG958="Currently on Watchlist",1,0)</f>
        <v/>
      </c>
      <c r="CI958" s="76">
        <f>IF($Z958="Full Defeasance","Fully Defeased",IF($Z958="Portion Of Loan Previously Defeased","Partially Defeased",IF($Z958="Defeasance Not Allowable","Not Defeased (Not Permitted)","Not Defeased")))</f>
        <v/>
      </c>
      <c r="CJ958" s="78">
        <f>IF($CI958="Fully Defeased",1,0)</f>
        <v/>
      </c>
      <c r="CK958" s="76">
        <f>IF($R958="IO","Full IO",IF(LEFT($R958&amp;"",7)="IO then","Partial IO","Amortizing"))</f>
        <v/>
      </c>
      <c r="CL958" s="78">
        <f>IF($CK958="Full IO",1,0)</f>
        <v/>
      </c>
      <c r="CM958" s="78">
        <f>IF($CK958="Partial IO",1,0)</f>
        <v/>
      </c>
      <c r="CN958" s="76">
        <f>IF(LEFT($F958&amp;"",10)="SPLIT_LOAN","Pari Passu Split","Standalone")</f>
        <v/>
      </c>
      <c r="CO958" s="78">
        <f>IF($CN958="Pari Passu Split",1,0)</f>
        <v/>
      </c>
      <c r="CP958" s="77">
        <f>IF(ISNUMBER($T958),YEAR($T958),"")</f>
        <v/>
      </c>
      <c r="CQ958" s="79">
        <f>IF(ISNUMBER($V958),$V958,IF(ISNUMBER($U958),$U958,""))</f>
        <v/>
      </c>
      <c r="CR958" s="77">
        <f>IF(ISNUMBER($CQ958),YEAR($CQ958),"")</f>
        <v/>
      </c>
      <c r="CS958" s="78">
        <f>IF(ISNUMBER($M958),MAX(0,$M958),IF(TRIM($M958&amp;"")="matured",0,""))</f>
        <v/>
      </c>
      <c r="CT958" s="78">
        <f>IF(AND(ISNUMBER($CS958),N($CS958)&lt;=mMatWindow),1,0)</f>
        <v/>
      </c>
      <c r="CU958" s="80">
        <f>IF(ISNUMBER($J958),$J958/100,"")</f>
        <v/>
      </c>
      <c r="CV958" s="81">
        <f>IF(ISNUMBER($AQ958),$AQ958,"")</f>
        <v/>
      </c>
      <c r="CW958" s="81">
        <f>IF(ISNUMBER($AR958),$AR958,"")</f>
        <v/>
      </c>
      <c r="CX958" s="82">
        <f>IF(ISNUMBER($AS958),$AS958/100,"")</f>
        <v/>
      </c>
      <c r="CY958" s="82">
        <f>IF(ISNUMBER($AT958),$AT958/100,"")</f>
        <v/>
      </c>
      <c r="CZ958" s="82">
        <f>IF(ISNUMBER($AU958),$AU958/100,"")</f>
        <v/>
      </c>
      <c r="DA958" s="82">
        <f>IF(ISNUMBER($AV958),$AV958/100,"")</f>
        <v/>
      </c>
      <c r="DB958" s="82">
        <f>IF(ISNUMBER($AW958),$AW958/100,"")</f>
        <v/>
      </c>
      <c r="DC958" s="82">
        <f>IF(ISNUMBER($AX958),$AX958/100,"")</f>
        <v/>
      </c>
      <c r="DD958" s="77">
        <f>IFERROR(VALUE(LEFT(TRIM($AO958&amp;""),4)),"")</f>
        <v/>
      </c>
      <c r="DE958" s="78">
        <f>IF(AND($BY958=1,$BX958=1,OR(fDeal="All Deals",$BU958=fDeal),OR(fEntity="All Entities",$BV958=fEntity),OR(fPType="All Property Types",$BZ958=fPType),OR(fDefeased="Include",$CJ958=0)),1,0)</f>
        <v/>
      </c>
      <c r="DF958" s="83">
        <f>$DE958*N($I958)</f>
        <v/>
      </c>
      <c r="DG958" s="78">
        <f>IF($DE958=1,IF(COUNTIFS($F$8:$F958,$F958,$DE$8:$DE958,1)=1,1,0),0)</f>
        <v/>
      </c>
      <c r="DH958" s="83">
        <f>IF($DG958=1,SUMIFS($DF$8:$DF$1600,$F$8:$F$1600,$F958),0)</f>
        <v/>
      </c>
      <c r="DI958" s="78">
        <f>IF($DG958=1,COUNTIFS($F$8:$F$1600,$F958,$DE$8:$DE$1600,1),0)</f>
        <v/>
      </c>
      <c r="DJ958" s="84">
        <f>IF($DG958=1,$DH958+(100000-ROW())/mTieBreak,0)</f>
        <v/>
      </c>
    </row>
    <row r="959">
      <c r="B959" s="68" t="n">
        <v>19</v>
      </c>
      <c r="C959" s="69" t="inlineStr">
        <is>
          <t>WFC18C43</t>
        </is>
      </c>
      <c r="D959" s="69" t="inlineStr">
        <is>
          <t>19.000</t>
        </is>
      </c>
      <c r="E959" s="69" t="inlineStr">
        <is>
          <t>Villa Sierra &amp; Wyndchase Apartments</t>
        </is>
      </c>
      <c r="F959" s="69" t="inlineStr">
        <is>
          <t>LNWFC18C43-19.000</t>
        </is>
      </c>
      <c r="G959" s="70" t="n"/>
      <c r="H959" s="71" t="n">
        <v>12900650</v>
      </c>
      <c r="I959" s="71" t="n">
        <v>12900650</v>
      </c>
      <c r="J959" s="72" t="n">
        <v>3.851</v>
      </c>
      <c r="K959" s="69" t="inlineStr">
        <is>
          <t>Fixed rate</t>
        </is>
      </c>
      <c r="L959" s="68" t="n">
        <v>120</v>
      </c>
      <c r="M959" s="68" t="n">
        <v>17</v>
      </c>
      <c r="N959" s="68" t="n">
        <v>120</v>
      </c>
      <c r="O959" s="68" t="n">
        <v>120</v>
      </c>
      <c r="P959" s="68" t="n">
        <v>17</v>
      </c>
      <c r="Q959" s="68" t="n">
        <v>103</v>
      </c>
      <c r="R959" s="69" t="inlineStr">
        <is>
          <t>IO</t>
        </is>
      </c>
      <c r="S959" s="69" t="inlineStr">
        <is>
          <t>Yes</t>
        </is>
      </c>
      <c r="T959" s="73" t="n">
        <v>43132</v>
      </c>
      <c r="U959" s="73" t="n">
        <v>46789</v>
      </c>
      <c r="V959" s="73" t="n"/>
      <c r="W959" s="69" t="n"/>
      <c r="X959" s="69" t="inlineStr">
        <is>
          <t>Current</t>
        </is>
      </c>
      <c r="Y959" s="68" t="n"/>
      <c r="Z959" s="69" t="inlineStr">
        <is>
          <t>Full Defeasance</t>
        </is>
      </c>
      <c r="AA959" s="69" t="n"/>
      <c r="AB959" s="69" t="inlineStr">
        <is>
          <t>Never special serv</t>
        </is>
      </c>
      <c r="AC959" s="73" t="n"/>
      <c r="AD959" s="69" t="n"/>
      <c r="AE959" s="69" t="n"/>
      <c r="AF959" s="69" t="inlineStr">
        <is>
          <t>TX</t>
        </is>
      </c>
      <c r="AG959" s="69" t="inlineStr">
        <is>
          <t>El Paso</t>
        </is>
      </c>
      <c r="AH959" s="69" t="inlineStr">
        <is>
          <t>El Paso, TX</t>
        </is>
      </c>
      <c r="AI959" s="69" t="inlineStr">
        <is>
          <t>South / Central West</t>
        </is>
      </c>
      <c r="AJ959" s="69" t="inlineStr">
        <is>
          <t>MF</t>
        </is>
      </c>
      <c r="AK959" s="69" t="inlineStr">
        <is>
          <t>Garden</t>
        </is>
      </c>
      <c r="AL959" s="68" t="n">
        <v>2</v>
      </c>
      <c r="AM959" s="68" t="n">
        <v>393</v>
      </c>
      <c r="AN959" s="68" t="n"/>
      <c r="AO959" s="69" t="n"/>
      <c r="AP959" s="70" t="n">
        <v>2016</v>
      </c>
      <c r="AQ959" s="74" t="n">
        <v>2.85</v>
      </c>
      <c r="AR959" s="74" t="n">
        <v>4.28</v>
      </c>
      <c r="AS959" s="74" t="n">
        <v>60.6</v>
      </c>
      <c r="AT959" s="74" t="n">
        <v>60.57</v>
      </c>
      <c r="AU959" s="74" t="n">
        <v>60.6</v>
      </c>
      <c r="AV959" s="74" t="n">
        <v>11.137868867</v>
      </c>
      <c r="AW959" s="74" t="n">
        <v>14.882193533</v>
      </c>
      <c r="AX959" s="75" t="n">
        <v>97</v>
      </c>
      <c r="AY959" s="71" t="n">
        <v>21300000</v>
      </c>
      <c r="AZ959" s="71" t="n">
        <v>21300000</v>
      </c>
      <c r="BA959" s="71" t="n">
        <v>1436857.48</v>
      </c>
      <c r="BB959" s="71" t="n">
        <v>1077526.5</v>
      </c>
      <c r="BC959" s="69" t="inlineStr">
        <is>
          <t>Acquisition</t>
        </is>
      </c>
      <c r="BD959" s="69" t="inlineStr">
        <is>
          <t>N</t>
        </is>
      </c>
      <c r="BE959" s="71" t="n"/>
      <c r="BF959" s="71" t="n"/>
      <c r="BG959" s="71" t="n"/>
      <c r="BH959" s="71" t="n">
        <v>0</v>
      </c>
      <c r="BI959" s="71" t="n">
        <v>0</v>
      </c>
      <c r="BJ959" s="69" t="inlineStr">
        <is>
          <t>N</t>
        </is>
      </c>
      <c r="BK959" s="69" t="n"/>
      <c r="BL959" s="75" t="n"/>
      <c r="BM959" s="73" t="n"/>
      <c r="BN959" s="69" t="inlineStr">
        <is>
          <t>ExchangeRight Real Estate</t>
        </is>
      </c>
      <c r="BO959" s="69" t="inlineStr">
        <is>
          <t>Barclays</t>
        </is>
      </c>
      <c r="BP959" s="69" t="inlineStr">
        <is>
          <t>TriMont Real Estate Advisors</t>
        </is>
      </c>
      <c r="BQ959" s="69" t="inlineStr">
        <is>
          <t>K-Star Asset Management LLC</t>
        </is>
      </c>
      <c r="BR959" s="69" t="n"/>
      <c r="BS959" s="73" t="n">
        <v>46276</v>
      </c>
      <c r="BU959" s="76">
        <f>IF($C959="","",IFERROR(INDEX(dmName,MATCH($C959,dmID,0)),"Unmapped"))</f>
        <v/>
      </c>
      <c r="BV959" s="76">
        <f>IF($C959="","",IFERROR(INDEX(dmEntity,MATCH($C959,dmID,0)),"Unmapped"))</f>
        <v/>
      </c>
      <c r="BW959" s="77">
        <f>IF($C959="","",IFERROR(INDEX(dmVintage,MATCH($C959,dmID,0)),""))</f>
        <v/>
      </c>
      <c r="BX959" s="78">
        <f>IFERROR(INDEX(dmInclude,MATCH($C959,dmID,0)),0)</f>
        <v/>
      </c>
      <c r="BY959" s="78">
        <f>IF(N($I959)&gt;0,1,0)</f>
        <v/>
      </c>
      <c r="BZ959" s="76">
        <f>IF($AJ959="","Other / Leased Fee",IFERROR(INDEX(mapPTGroup,MATCH(LEFT(TRIM($AJ959),2),mapPTCode,0)),"Other / Leased Fee"))</f>
        <v/>
      </c>
      <c r="CA959" s="76">
        <f>IF(TRIM($AF959&amp;"")="","NR",LEFT(TRIM($AF959),2))</f>
        <v/>
      </c>
      <c r="CB959" s="76">
        <f>IFERROR(LOOKUP(2,1/(LEFT(TRIM($AI959&amp;""),LEN(mapRegion))=mapRegion),mapRegion),"Not Reported")</f>
        <v/>
      </c>
      <c r="CC959" s="76">
        <f>IF($BY959=0,"",IF(TRIM($W959&amp;"")="REO","REO",IF(TRIM($W959&amp;"")="FC","Foreclosure",IF(TRIM($W959&amp;"")="90+","90+ Days Delinquent",IF(TRIM($W959&amp;"")="60","60 Days Delinquent",IF(TRIM($W959&amp;"")="30","30 Days Delinquent",IF($X959="Non-Performing Matured Balloon","Non-Performing Matured Balloon",IF(OR($X959="Late Payment But Less Than 30 Days Delinquent",LEFT($X959&amp;"",20)="Payment Not Received"),"Late / In Grace (&lt;30 Days)",IF($X959="Performing Matured Balloon","Performing Matured Balloon","Current")))))))))</f>
        <v/>
      </c>
      <c r="CD959" s="78">
        <f>IF(OR($CC959="REO",$CC959="Foreclosure",$CC959="90+ Days Delinquent",$CC959="60 Days Delinquent",$CC959="30 Days Delinquent",$CC959="Non-Performing Matured Balloon"),1,0)</f>
        <v/>
      </c>
      <c r="CE959" s="76">
        <f>IF($AB959="Currently special serv","Currently Specially Serviced",IF($AB959="Returned to master serv","Previously Specially Serviced","Never Specially Serviced"))</f>
        <v/>
      </c>
      <c r="CF959" s="78">
        <f>IF($CE959="Currently Specially Serviced",1,0)</f>
        <v/>
      </c>
      <c r="CG959" s="76">
        <f>IF($AA959="Yes","Currently on Watchlist",IF($AA959="Previously","Previously on Watchlist","Never on Watchlist"))</f>
        <v/>
      </c>
      <c r="CH959" s="78">
        <f>IF($CG959="Currently on Watchlist",1,0)</f>
        <v/>
      </c>
      <c r="CI959" s="76">
        <f>IF($Z959="Full Defeasance","Fully Defeased",IF($Z959="Portion Of Loan Previously Defeased","Partially Defeased",IF($Z959="Defeasance Not Allowable","Not Defeased (Not Permitted)","Not Defeased")))</f>
        <v/>
      </c>
      <c r="CJ959" s="78">
        <f>IF($CI959="Fully Defeased",1,0)</f>
        <v/>
      </c>
      <c r="CK959" s="76">
        <f>IF($R959="IO","Full IO",IF(LEFT($R959&amp;"",7)="IO then","Partial IO","Amortizing"))</f>
        <v/>
      </c>
      <c r="CL959" s="78">
        <f>IF($CK959="Full IO",1,0)</f>
        <v/>
      </c>
      <c r="CM959" s="78">
        <f>IF($CK959="Partial IO",1,0)</f>
        <v/>
      </c>
      <c r="CN959" s="76">
        <f>IF(LEFT($F959&amp;"",10)="SPLIT_LOAN","Pari Passu Split","Standalone")</f>
        <v/>
      </c>
      <c r="CO959" s="78">
        <f>IF($CN959="Pari Passu Split",1,0)</f>
        <v/>
      </c>
      <c r="CP959" s="77">
        <f>IF(ISNUMBER($T959),YEAR($T959),"")</f>
        <v/>
      </c>
      <c r="CQ959" s="79">
        <f>IF(ISNUMBER($V959),$V959,IF(ISNUMBER($U959),$U959,""))</f>
        <v/>
      </c>
      <c r="CR959" s="77">
        <f>IF(ISNUMBER($CQ959),YEAR($CQ959),"")</f>
        <v/>
      </c>
      <c r="CS959" s="78">
        <f>IF(ISNUMBER($M959),MAX(0,$M959),IF(TRIM($M959&amp;"")="matured",0,""))</f>
        <v/>
      </c>
      <c r="CT959" s="78">
        <f>IF(AND(ISNUMBER($CS959),N($CS959)&lt;=mMatWindow),1,0)</f>
        <v/>
      </c>
      <c r="CU959" s="80">
        <f>IF(ISNUMBER($J959),$J959/100,"")</f>
        <v/>
      </c>
      <c r="CV959" s="81">
        <f>IF(ISNUMBER($AQ959),$AQ959,"")</f>
        <v/>
      </c>
      <c r="CW959" s="81">
        <f>IF(ISNUMBER($AR959),$AR959,"")</f>
        <v/>
      </c>
      <c r="CX959" s="82">
        <f>IF(ISNUMBER($AS959),$AS959/100,"")</f>
        <v/>
      </c>
      <c r="CY959" s="82">
        <f>IF(ISNUMBER($AT959),$AT959/100,"")</f>
        <v/>
      </c>
      <c r="CZ959" s="82">
        <f>IF(ISNUMBER($AU959),$AU959/100,"")</f>
        <v/>
      </c>
      <c r="DA959" s="82">
        <f>IF(ISNUMBER($AV959),$AV959/100,"")</f>
        <v/>
      </c>
      <c r="DB959" s="82">
        <f>IF(ISNUMBER($AW959),$AW959/100,"")</f>
        <v/>
      </c>
      <c r="DC959" s="82">
        <f>IF(ISNUMBER($AX959),$AX959/100,"")</f>
        <v/>
      </c>
      <c r="DD959" s="77">
        <f>IFERROR(VALUE(LEFT(TRIM($AO959&amp;""),4)),"")</f>
        <v/>
      </c>
      <c r="DE959" s="78">
        <f>IF(AND($BY959=1,$BX959=1,OR(fDeal="All Deals",$BU959=fDeal),OR(fEntity="All Entities",$BV959=fEntity),OR(fPType="All Property Types",$BZ959=fPType),OR(fDefeased="Include",$CJ959=0)),1,0)</f>
        <v/>
      </c>
      <c r="DF959" s="83">
        <f>$DE959*N($I959)</f>
        <v/>
      </c>
      <c r="DG959" s="78">
        <f>IF($DE959=1,IF(COUNTIFS($F$8:$F959,$F959,$DE$8:$DE959,1)=1,1,0),0)</f>
        <v/>
      </c>
      <c r="DH959" s="83">
        <f>IF($DG959=1,SUMIFS($DF$8:$DF$1600,$F$8:$F$1600,$F959),0)</f>
        <v/>
      </c>
      <c r="DI959" s="78">
        <f>IF($DG959=1,COUNTIFS($F$8:$F$1600,$F959,$DE$8:$DE$1600,1),0)</f>
        <v/>
      </c>
      <c r="DJ959" s="84">
        <f>IF($DG959=1,$DH959+(100000-ROW())/mTieBreak,0)</f>
        <v/>
      </c>
    </row>
    <row r="960">
      <c r="B960" s="68" t="n">
        <v>20</v>
      </c>
      <c r="C960" s="69" t="inlineStr">
        <is>
          <t>WFC18C43</t>
        </is>
      </c>
      <c r="D960" s="69" t="inlineStr">
        <is>
          <t>20.000</t>
        </is>
      </c>
      <c r="E960" s="69" t="inlineStr">
        <is>
          <t>WestRock Industrial</t>
        </is>
      </c>
      <c r="F960" s="69" t="inlineStr">
        <is>
          <t>LNWFC18C43-20.000</t>
        </is>
      </c>
      <c r="G960" s="70" t="n"/>
      <c r="H960" s="71" t="n">
        <v>10500000</v>
      </c>
      <c r="I960" s="71" t="n">
        <v>8996203.419997502</v>
      </c>
      <c r="J960" s="72" t="n">
        <v>5.07</v>
      </c>
      <c r="K960" s="69" t="inlineStr">
        <is>
          <t>Fixed rate</t>
        </is>
      </c>
      <c r="L960" s="68" t="n">
        <v>120</v>
      </c>
      <c r="M960" s="68" t="n">
        <v>18</v>
      </c>
      <c r="N960" s="68" t="n">
        <v>360</v>
      </c>
      <c r="O960" s="68" t="n"/>
      <c r="P960" s="68" t="n"/>
      <c r="Q960" s="68" t="n">
        <v>102</v>
      </c>
      <c r="R960" s="69" t="n"/>
      <c r="S960" s="69" t="inlineStr">
        <is>
          <t>No</t>
        </is>
      </c>
      <c r="T960" s="73" t="n">
        <v>43160</v>
      </c>
      <c r="U960" s="73" t="n">
        <v>46823</v>
      </c>
      <c r="V960" s="73" t="n"/>
      <c r="W960" s="69" t="n"/>
      <c r="X960" s="69" t="inlineStr">
        <is>
          <t>Current</t>
        </is>
      </c>
      <c r="Y960" s="68" t="n"/>
      <c r="Z960" s="69" t="inlineStr">
        <is>
          <t>No Defeasance Occurred</t>
        </is>
      </c>
      <c r="AA960" s="69" t="inlineStr">
        <is>
          <t>Previously</t>
        </is>
      </c>
      <c r="AB960" s="69" t="inlineStr">
        <is>
          <t>Never special serv</t>
        </is>
      </c>
      <c r="AC960" s="73" t="n"/>
      <c r="AD960" s="69" t="n"/>
      <c r="AE960" s="69" t="n"/>
      <c r="AF960" s="69" t="inlineStr">
        <is>
          <t>CA</t>
        </is>
      </c>
      <c r="AG960" s="69" t="inlineStr">
        <is>
          <t>Fresno</t>
        </is>
      </c>
      <c r="AH960" s="69" t="inlineStr">
        <is>
          <t>Fresno, CA</t>
        </is>
      </c>
      <c r="AI960" s="69" t="inlineStr">
        <is>
          <t>West / Pacific North</t>
        </is>
      </c>
      <c r="AJ960" s="69" t="inlineStr">
        <is>
          <t>IN</t>
        </is>
      </c>
      <c r="AK960" s="69" t="inlineStr">
        <is>
          <t>Warehouse</t>
        </is>
      </c>
      <c r="AL960" s="68" t="n">
        <v>1</v>
      </c>
      <c r="AM960" s="68" t="n"/>
      <c r="AN960" s="68" t="n">
        <v>502300</v>
      </c>
      <c r="AO960" s="69" t="inlineStr">
        <is>
          <t>1962</t>
        </is>
      </c>
      <c r="AP960" s="70" t="n">
        <v>2018</v>
      </c>
      <c r="AQ960" s="74" t="n">
        <v>1.82</v>
      </c>
      <c r="AR960" s="74" t="n">
        <v>4.29</v>
      </c>
      <c r="AS960" s="74" t="n">
        <v>47.3</v>
      </c>
      <c r="AT960" s="74" t="n">
        <v>40.52</v>
      </c>
      <c r="AU960" s="74" t="n">
        <v>39</v>
      </c>
      <c r="AV960" s="74" t="n">
        <v>11.818333333</v>
      </c>
      <c r="AW960" s="74" t="n">
        <v>32.502913879</v>
      </c>
      <c r="AX960" s="75" t="n">
        <v>100</v>
      </c>
      <c r="AY960" s="71" t="n">
        <v>22200000</v>
      </c>
      <c r="AZ960" s="71" t="n">
        <v>22200000</v>
      </c>
      <c r="BA960" s="71" t="n">
        <v>1240925</v>
      </c>
      <c r="BB960" s="71" t="n">
        <v>2924028.25</v>
      </c>
      <c r="BC960" s="69" t="inlineStr">
        <is>
          <t>Acquisition</t>
        </is>
      </c>
      <c r="BD960" s="69" t="inlineStr">
        <is>
          <t>N</t>
        </is>
      </c>
      <c r="BE960" s="71" t="n"/>
      <c r="BF960" s="71" t="n"/>
      <c r="BG960" s="71" t="n"/>
      <c r="BH960" s="71" t="n">
        <v>0</v>
      </c>
      <c r="BI960" s="71" t="n">
        <v>0</v>
      </c>
      <c r="BJ960" s="69" t="inlineStr">
        <is>
          <t>N</t>
        </is>
      </c>
      <c r="BK960" s="69" t="inlineStr">
        <is>
          <t>WestRock CP</t>
        </is>
      </c>
      <c r="BL960" s="75" t="n">
        <v>100</v>
      </c>
      <c r="BM960" s="73" t="n">
        <v>49034</v>
      </c>
      <c r="BN960" s="69" t="inlineStr">
        <is>
          <t>Moris Benbenist</t>
        </is>
      </c>
      <c r="BO960" s="69" t="inlineStr">
        <is>
          <t>Wells Fargo</t>
        </is>
      </c>
      <c r="BP960" s="69" t="inlineStr">
        <is>
          <t>TriMont Real Estate Advisors</t>
        </is>
      </c>
      <c r="BQ960" s="69" t="inlineStr">
        <is>
          <t>K-Star Asset Management LLC</t>
        </is>
      </c>
      <c r="BR960" s="69" t="n"/>
      <c r="BS960" s="73" t="n">
        <v>46276</v>
      </c>
      <c r="BU960" s="76">
        <f>IF($C960="","",IFERROR(INDEX(dmName,MATCH($C960,dmID,0)),"Unmapped"))</f>
        <v/>
      </c>
      <c r="BV960" s="76">
        <f>IF($C960="","",IFERROR(INDEX(dmEntity,MATCH($C960,dmID,0)),"Unmapped"))</f>
        <v/>
      </c>
      <c r="BW960" s="77">
        <f>IF($C960="","",IFERROR(INDEX(dmVintage,MATCH($C960,dmID,0)),""))</f>
        <v/>
      </c>
      <c r="BX960" s="78">
        <f>IFERROR(INDEX(dmInclude,MATCH($C960,dmID,0)),0)</f>
        <v/>
      </c>
      <c r="BY960" s="78">
        <f>IF(N($I960)&gt;0,1,0)</f>
        <v/>
      </c>
      <c r="BZ960" s="76">
        <f>IF($AJ960="","Other / Leased Fee",IFERROR(INDEX(mapPTGroup,MATCH(LEFT(TRIM($AJ960),2),mapPTCode,0)),"Other / Leased Fee"))</f>
        <v/>
      </c>
      <c r="CA960" s="76">
        <f>IF(TRIM($AF960&amp;"")="","NR",LEFT(TRIM($AF960),2))</f>
        <v/>
      </c>
      <c r="CB960" s="76">
        <f>IFERROR(LOOKUP(2,1/(LEFT(TRIM($AI960&amp;""),LEN(mapRegion))=mapRegion),mapRegion),"Not Reported")</f>
        <v/>
      </c>
      <c r="CC960" s="76">
        <f>IF($BY960=0,"",IF(TRIM($W960&amp;"")="REO","REO",IF(TRIM($W960&amp;"")="FC","Foreclosure",IF(TRIM($W960&amp;"")="90+","90+ Days Delinquent",IF(TRIM($W960&amp;"")="60","60 Days Delinquent",IF(TRIM($W960&amp;"")="30","30 Days Delinquent",IF($X960="Non-Performing Matured Balloon","Non-Performing Matured Balloon",IF(OR($X960="Late Payment But Less Than 30 Days Delinquent",LEFT($X960&amp;"",20)="Payment Not Received"),"Late / In Grace (&lt;30 Days)",IF($X960="Performing Matured Balloon","Performing Matured Balloon","Current")))))))))</f>
        <v/>
      </c>
      <c r="CD960" s="78">
        <f>IF(OR($CC960="REO",$CC960="Foreclosure",$CC960="90+ Days Delinquent",$CC960="60 Days Delinquent",$CC960="30 Days Delinquent",$CC960="Non-Performing Matured Balloon"),1,0)</f>
        <v/>
      </c>
      <c r="CE960" s="76">
        <f>IF($AB960="Currently special serv","Currently Specially Serviced",IF($AB960="Returned to master serv","Previously Specially Serviced","Never Specially Serviced"))</f>
        <v/>
      </c>
      <c r="CF960" s="78">
        <f>IF($CE960="Currently Specially Serviced",1,0)</f>
        <v/>
      </c>
      <c r="CG960" s="76">
        <f>IF($AA960="Yes","Currently on Watchlist",IF($AA960="Previously","Previously on Watchlist","Never on Watchlist"))</f>
        <v/>
      </c>
      <c r="CH960" s="78">
        <f>IF($CG960="Currently on Watchlist",1,0)</f>
        <v/>
      </c>
      <c r="CI960" s="76">
        <f>IF($Z960="Full Defeasance","Fully Defeased",IF($Z960="Portion Of Loan Previously Defeased","Partially Defeased",IF($Z960="Defeasance Not Allowable","Not Defeased (Not Permitted)","Not Defeased")))</f>
        <v/>
      </c>
      <c r="CJ960" s="78">
        <f>IF($CI960="Fully Defeased",1,0)</f>
        <v/>
      </c>
      <c r="CK960" s="76">
        <f>IF($R960="IO","Full IO",IF(LEFT($R960&amp;"",7)="IO then","Partial IO","Amortizing"))</f>
        <v/>
      </c>
      <c r="CL960" s="78">
        <f>IF($CK960="Full IO",1,0)</f>
        <v/>
      </c>
      <c r="CM960" s="78">
        <f>IF($CK960="Partial IO",1,0)</f>
        <v/>
      </c>
      <c r="CN960" s="76">
        <f>IF(LEFT($F960&amp;"",10)="SPLIT_LOAN","Pari Passu Split","Standalone")</f>
        <v/>
      </c>
      <c r="CO960" s="78">
        <f>IF($CN960="Pari Passu Split",1,0)</f>
        <v/>
      </c>
      <c r="CP960" s="77">
        <f>IF(ISNUMBER($T960),YEAR($T960),"")</f>
        <v/>
      </c>
      <c r="CQ960" s="79">
        <f>IF(ISNUMBER($V960),$V960,IF(ISNUMBER($U960),$U960,""))</f>
        <v/>
      </c>
      <c r="CR960" s="77">
        <f>IF(ISNUMBER($CQ960),YEAR($CQ960),"")</f>
        <v/>
      </c>
      <c r="CS960" s="78">
        <f>IF(ISNUMBER($M960),MAX(0,$M960),IF(TRIM($M960&amp;"")="matured",0,""))</f>
        <v/>
      </c>
      <c r="CT960" s="78">
        <f>IF(AND(ISNUMBER($CS960),N($CS960)&lt;=mMatWindow),1,0)</f>
        <v/>
      </c>
      <c r="CU960" s="80">
        <f>IF(ISNUMBER($J960),$J960/100,"")</f>
        <v/>
      </c>
      <c r="CV960" s="81">
        <f>IF(ISNUMBER($AQ960),$AQ960,"")</f>
        <v/>
      </c>
      <c r="CW960" s="81">
        <f>IF(ISNUMBER($AR960),$AR960,"")</f>
        <v/>
      </c>
      <c r="CX960" s="82">
        <f>IF(ISNUMBER($AS960),$AS960/100,"")</f>
        <v/>
      </c>
      <c r="CY960" s="82">
        <f>IF(ISNUMBER($AT960),$AT960/100,"")</f>
        <v/>
      </c>
      <c r="CZ960" s="82">
        <f>IF(ISNUMBER($AU960),$AU960/100,"")</f>
        <v/>
      </c>
      <c r="DA960" s="82">
        <f>IF(ISNUMBER($AV960),$AV960/100,"")</f>
        <v/>
      </c>
      <c r="DB960" s="82">
        <f>IF(ISNUMBER($AW960),$AW960/100,"")</f>
        <v/>
      </c>
      <c r="DC960" s="82">
        <f>IF(ISNUMBER($AX960),$AX960/100,"")</f>
        <v/>
      </c>
      <c r="DD960" s="77">
        <f>IFERROR(VALUE(LEFT(TRIM($AO960&amp;""),4)),"")</f>
        <v/>
      </c>
      <c r="DE960" s="78">
        <f>IF(AND($BY960=1,$BX960=1,OR(fDeal="All Deals",$BU960=fDeal),OR(fEntity="All Entities",$BV960=fEntity),OR(fPType="All Property Types",$BZ960=fPType),OR(fDefeased="Include",$CJ960=0)),1,0)</f>
        <v/>
      </c>
      <c r="DF960" s="83">
        <f>$DE960*N($I960)</f>
        <v/>
      </c>
      <c r="DG960" s="78">
        <f>IF($DE960=1,IF(COUNTIFS($F$8:$F960,$F960,$DE$8:$DE960,1)=1,1,0),0)</f>
        <v/>
      </c>
      <c r="DH960" s="83">
        <f>IF($DG960=1,SUMIFS($DF$8:$DF$1600,$F$8:$F$1600,$F960),0)</f>
        <v/>
      </c>
      <c r="DI960" s="78">
        <f>IF($DG960=1,COUNTIFS($F$8:$F$1600,$F960,$DE$8:$DE$1600,1),0)</f>
        <v/>
      </c>
      <c r="DJ960" s="84">
        <f>IF($DG960=1,$DH960+(100000-ROW())/mTieBreak,0)</f>
        <v/>
      </c>
    </row>
    <row r="961">
      <c r="B961" s="68" t="n">
        <v>21</v>
      </c>
      <c r="C961" s="69" t="inlineStr">
        <is>
          <t>WFC18C43</t>
        </is>
      </c>
      <c r="D961" s="69" t="inlineStr">
        <is>
          <t>21.000</t>
        </is>
      </c>
      <c r="E961" s="69" t="inlineStr">
        <is>
          <t>Hilton Garden Inn Yuma Pivot Point</t>
        </is>
      </c>
      <c r="F961" s="69" t="inlineStr">
        <is>
          <t>LNWFC18C43-21.000</t>
        </is>
      </c>
      <c r="G961" s="70" t="n"/>
      <c r="H961" s="71" t="n">
        <v>10000000</v>
      </c>
      <c r="I961" s="71" t="n">
        <v>8488900.460000001</v>
      </c>
      <c r="J961" s="72" t="n">
        <v>4.83</v>
      </c>
      <c r="K961" s="69" t="inlineStr">
        <is>
          <t>Fixed rate</t>
        </is>
      </c>
      <c r="L961" s="68" t="n">
        <v>120</v>
      </c>
      <c r="M961" s="68" t="n">
        <v>17</v>
      </c>
      <c r="N961" s="68" t="n">
        <v>360</v>
      </c>
      <c r="O961" s="68" t="n"/>
      <c r="P961" s="68" t="n"/>
      <c r="Q961" s="68" t="n">
        <v>103</v>
      </c>
      <c r="R961" s="69" t="n"/>
      <c r="S961" s="69" t="inlineStr">
        <is>
          <t>No</t>
        </is>
      </c>
      <c r="T961" s="73" t="n">
        <v>43132</v>
      </c>
      <c r="U961" s="73" t="n">
        <v>46794</v>
      </c>
      <c r="V961" s="73" t="n"/>
      <c r="W961" s="69" t="n"/>
      <c r="X961" s="69" t="inlineStr">
        <is>
          <t>Current</t>
        </is>
      </c>
      <c r="Y961" s="68" t="n"/>
      <c r="Z961" s="69" t="inlineStr">
        <is>
          <t>No Defeasance Occurred</t>
        </is>
      </c>
      <c r="AA961" s="69" t="inlineStr">
        <is>
          <t>Previously</t>
        </is>
      </c>
      <c r="AB961" s="69" t="inlineStr">
        <is>
          <t>Never special serv</t>
        </is>
      </c>
      <c r="AC961" s="73" t="n"/>
      <c r="AD961" s="69" t="n"/>
      <c r="AE961" s="69" t="n"/>
      <c r="AF961" s="69" t="inlineStr">
        <is>
          <t>AZ</t>
        </is>
      </c>
      <c r="AG961" s="69" t="inlineStr">
        <is>
          <t>Yuma</t>
        </is>
      </c>
      <c r="AH961" s="69" t="inlineStr">
        <is>
          <t>Yuma, AZ</t>
        </is>
      </c>
      <c r="AI961" s="69" t="inlineStr">
        <is>
          <t>West / Mountain</t>
        </is>
      </c>
      <c r="AJ961" s="69" t="inlineStr">
        <is>
          <t>HT</t>
        </is>
      </c>
      <c r="AK961" s="69" t="inlineStr">
        <is>
          <t>Limited Service</t>
        </is>
      </c>
      <c r="AL961" s="68" t="n">
        <v>1</v>
      </c>
      <c r="AM961" s="68" t="n">
        <v>150</v>
      </c>
      <c r="AN961" s="68" t="n"/>
      <c r="AO961" s="69" t="inlineStr">
        <is>
          <t>2009</t>
        </is>
      </c>
      <c r="AP961" s="70" t="n">
        <v>2009</v>
      </c>
      <c r="AQ961" s="74" t="n">
        <v>2.67</v>
      </c>
      <c r="AR961" s="74" t="n">
        <v>3.05</v>
      </c>
      <c r="AS961" s="74" t="n">
        <v>52.8</v>
      </c>
      <c r="AT961" s="74" t="n">
        <v>44.91</v>
      </c>
      <c r="AU961" s="74" t="n">
        <v>43.2</v>
      </c>
      <c r="AV961" s="74" t="n">
        <v>16.8775626</v>
      </c>
      <c r="AW961" s="74" t="n">
        <v>20.876377316</v>
      </c>
      <c r="AX961" s="75" t="n">
        <v>64</v>
      </c>
      <c r="AY961" s="71" t="n">
        <v>18900000</v>
      </c>
      <c r="AZ961" s="71" t="n">
        <v>18900000</v>
      </c>
      <c r="BA961" s="71" t="n">
        <v>1687756.26</v>
      </c>
      <c r="BB961" s="71" t="n">
        <v>1925018.03</v>
      </c>
      <c r="BC961" s="69" t="inlineStr">
        <is>
          <t>Refinance</t>
        </is>
      </c>
      <c r="BD961" s="69" t="inlineStr">
        <is>
          <t>Y</t>
        </is>
      </c>
      <c r="BE961" s="71" t="n"/>
      <c r="BF961" s="71" t="n"/>
      <c r="BG961" s="71" t="n"/>
      <c r="BH961" s="71" t="n">
        <v>0</v>
      </c>
      <c r="BI961" s="71" t="n">
        <v>0</v>
      </c>
      <c r="BJ961" s="69" t="inlineStr">
        <is>
          <t>N</t>
        </is>
      </c>
      <c r="BK961" s="69" t="n"/>
      <c r="BL961" s="75" t="n"/>
      <c r="BM961" s="73" t="n"/>
      <c r="BN961" s="69" t="inlineStr">
        <is>
          <t>Mitesh R. Kalthia</t>
        </is>
      </c>
      <c r="BO961" s="69" t="inlineStr">
        <is>
          <t>Wells Fargo</t>
        </is>
      </c>
      <c r="BP961" s="69" t="inlineStr">
        <is>
          <t>TriMont Real Estate Advisors</t>
        </is>
      </c>
      <c r="BQ961" s="69" t="inlineStr">
        <is>
          <t>K-Star Asset Management LLC</t>
        </is>
      </c>
      <c r="BR961" s="69" t="n"/>
      <c r="BS961" s="73" t="n">
        <v>46276</v>
      </c>
      <c r="BU961" s="76">
        <f>IF($C961="","",IFERROR(INDEX(dmName,MATCH($C961,dmID,0)),"Unmapped"))</f>
        <v/>
      </c>
      <c r="BV961" s="76">
        <f>IF($C961="","",IFERROR(INDEX(dmEntity,MATCH($C961,dmID,0)),"Unmapped"))</f>
        <v/>
      </c>
      <c r="BW961" s="77">
        <f>IF($C961="","",IFERROR(INDEX(dmVintage,MATCH($C961,dmID,0)),""))</f>
        <v/>
      </c>
      <c r="BX961" s="78">
        <f>IFERROR(INDEX(dmInclude,MATCH($C961,dmID,0)),0)</f>
        <v/>
      </c>
      <c r="BY961" s="78">
        <f>IF(N($I961)&gt;0,1,0)</f>
        <v/>
      </c>
      <c r="BZ961" s="76">
        <f>IF($AJ961="","Other / Leased Fee",IFERROR(INDEX(mapPTGroup,MATCH(LEFT(TRIM($AJ961),2),mapPTCode,0)),"Other / Leased Fee"))</f>
        <v/>
      </c>
      <c r="CA961" s="76">
        <f>IF(TRIM($AF961&amp;"")="","NR",LEFT(TRIM($AF961),2))</f>
        <v/>
      </c>
      <c r="CB961" s="76">
        <f>IFERROR(LOOKUP(2,1/(LEFT(TRIM($AI961&amp;""),LEN(mapRegion))=mapRegion),mapRegion),"Not Reported")</f>
        <v/>
      </c>
      <c r="CC961" s="76">
        <f>IF($BY961=0,"",IF(TRIM($W961&amp;"")="REO","REO",IF(TRIM($W961&amp;"")="FC","Foreclosure",IF(TRIM($W961&amp;"")="90+","90+ Days Delinquent",IF(TRIM($W961&amp;"")="60","60 Days Delinquent",IF(TRIM($W961&amp;"")="30","30 Days Delinquent",IF($X961="Non-Performing Matured Balloon","Non-Performing Matured Balloon",IF(OR($X961="Late Payment But Less Than 30 Days Delinquent",LEFT($X961&amp;"",20)="Payment Not Received"),"Late / In Grace (&lt;30 Days)",IF($X961="Performing Matured Balloon","Performing Matured Balloon","Current")))))))))</f>
        <v/>
      </c>
      <c r="CD961" s="78">
        <f>IF(OR($CC961="REO",$CC961="Foreclosure",$CC961="90+ Days Delinquent",$CC961="60 Days Delinquent",$CC961="30 Days Delinquent",$CC961="Non-Performing Matured Balloon"),1,0)</f>
        <v/>
      </c>
      <c r="CE961" s="76">
        <f>IF($AB961="Currently special serv","Currently Specially Serviced",IF($AB961="Returned to master serv","Previously Specially Serviced","Never Specially Serviced"))</f>
        <v/>
      </c>
      <c r="CF961" s="78">
        <f>IF($CE961="Currently Specially Serviced",1,0)</f>
        <v/>
      </c>
      <c r="CG961" s="76">
        <f>IF($AA961="Yes","Currently on Watchlist",IF($AA961="Previously","Previously on Watchlist","Never on Watchlist"))</f>
        <v/>
      </c>
      <c r="CH961" s="78">
        <f>IF($CG961="Currently on Watchlist",1,0)</f>
        <v/>
      </c>
      <c r="CI961" s="76">
        <f>IF($Z961="Full Defeasance","Fully Defeased",IF($Z961="Portion Of Loan Previously Defeased","Partially Defeased",IF($Z961="Defeasance Not Allowable","Not Defeased (Not Permitted)","Not Defeased")))</f>
        <v/>
      </c>
      <c r="CJ961" s="78">
        <f>IF($CI961="Fully Defeased",1,0)</f>
        <v/>
      </c>
      <c r="CK961" s="76">
        <f>IF($R961="IO","Full IO",IF(LEFT($R961&amp;"",7)="IO then","Partial IO","Amortizing"))</f>
        <v/>
      </c>
      <c r="CL961" s="78">
        <f>IF($CK961="Full IO",1,0)</f>
        <v/>
      </c>
      <c r="CM961" s="78">
        <f>IF($CK961="Partial IO",1,0)</f>
        <v/>
      </c>
      <c r="CN961" s="76">
        <f>IF(LEFT($F961&amp;"",10)="SPLIT_LOAN","Pari Passu Split","Standalone")</f>
        <v/>
      </c>
      <c r="CO961" s="78">
        <f>IF($CN961="Pari Passu Split",1,0)</f>
        <v/>
      </c>
      <c r="CP961" s="77">
        <f>IF(ISNUMBER($T961),YEAR($T961),"")</f>
        <v/>
      </c>
      <c r="CQ961" s="79">
        <f>IF(ISNUMBER($V961),$V961,IF(ISNUMBER($U961),$U961,""))</f>
        <v/>
      </c>
      <c r="CR961" s="77">
        <f>IF(ISNUMBER($CQ961),YEAR($CQ961),"")</f>
        <v/>
      </c>
      <c r="CS961" s="78">
        <f>IF(ISNUMBER($M961),MAX(0,$M961),IF(TRIM($M961&amp;"")="matured",0,""))</f>
        <v/>
      </c>
      <c r="CT961" s="78">
        <f>IF(AND(ISNUMBER($CS961),N($CS961)&lt;=mMatWindow),1,0)</f>
        <v/>
      </c>
      <c r="CU961" s="80">
        <f>IF(ISNUMBER($J961),$J961/100,"")</f>
        <v/>
      </c>
      <c r="CV961" s="81">
        <f>IF(ISNUMBER($AQ961),$AQ961,"")</f>
        <v/>
      </c>
      <c r="CW961" s="81">
        <f>IF(ISNUMBER($AR961),$AR961,"")</f>
        <v/>
      </c>
      <c r="CX961" s="82">
        <f>IF(ISNUMBER($AS961),$AS961/100,"")</f>
        <v/>
      </c>
      <c r="CY961" s="82">
        <f>IF(ISNUMBER($AT961),$AT961/100,"")</f>
        <v/>
      </c>
      <c r="CZ961" s="82">
        <f>IF(ISNUMBER($AU961),$AU961/100,"")</f>
        <v/>
      </c>
      <c r="DA961" s="82">
        <f>IF(ISNUMBER($AV961),$AV961/100,"")</f>
        <v/>
      </c>
      <c r="DB961" s="82">
        <f>IF(ISNUMBER($AW961),$AW961/100,"")</f>
        <v/>
      </c>
      <c r="DC961" s="82">
        <f>IF(ISNUMBER($AX961),$AX961/100,"")</f>
        <v/>
      </c>
      <c r="DD961" s="77">
        <f>IFERROR(VALUE(LEFT(TRIM($AO961&amp;""),4)),"")</f>
        <v/>
      </c>
      <c r="DE961" s="78">
        <f>IF(AND($BY961=1,$BX961=1,OR(fDeal="All Deals",$BU961=fDeal),OR(fEntity="All Entities",$BV961=fEntity),OR(fPType="All Property Types",$BZ961=fPType),OR(fDefeased="Include",$CJ961=0)),1,0)</f>
        <v/>
      </c>
      <c r="DF961" s="83">
        <f>$DE961*N($I961)</f>
        <v/>
      </c>
      <c r="DG961" s="78">
        <f>IF($DE961=1,IF(COUNTIFS($F$8:$F961,$F961,$DE$8:$DE961,1)=1,1,0),0)</f>
        <v/>
      </c>
      <c r="DH961" s="83">
        <f>IF($DG961=1,SUMIFS($DF$8:$DF$1600,$F$8:$F$1600,$F961),0)</f>
        <v/>
      </c>
      <c r="DI961" s="78">
        <f>IF($DG961=1,COUNTIFS($F$8:$F$1600,$F961,$DE$8:$DE$1600,1),0)</f>
        <v/>
      </c>
      <c r="DJ961" s="84">
        <f>IF($DG961=1,$DH961+(100000-ROW())/mTieBreak,0)</f>
        <v/>
      </c>
    </row>
    <row r="962">
      <c r="B962" s="68" t="n">
        <v>22</v>
      </c>
      <c r="C962" s="69" t="inlineStr">
        <is>
          <t>WFC18C43</t>
        </is>
      </c>
      <c r="D962" s="69" t="inlineStr">
        <is>
          <t>22.000</t>
        </is>
      </c>
      <c r="E962" s="69" t="inlineStr">
        <is>
          <t>Mill Creek</t>
        </is>
      </c>
      <c r="F962" s="69" t="inlineStr">
        <is>
          <t>LNWFC18C43-22.000</t>
        </is>
      </c>
      <c r="G962" s="70" t="n"/>
      <c r="H962" s="71" t="n">
        <v>9769000</v>
      </c>
      <c r="I962" s="71" t="n">
        <v>8694633.600003369</v>
      </c>
      <c r="J962" s="72" t="n">
        <v>4.83</v>
      </c>
      <c r="K962" s="69" t="inlineStr">
        <is>
          <t>Fixed rate</t>
        </is>
      </c>
      <c r="L962" s="68" t="n">
        <v>120</v>
      </c>
      <c r="M962" s="68" t="n">
        <v>17</v>
      </c>
      <c r="N962" s="68" t="n">
        <v>384</v>
      </c>
      <c r="O962" s="68" t="n">
        <v>24</v>
      </c>
      <c r="P962" s="68" t="n">
        <v>0</v>
      </c>
      <c r="Q962" s="68" t="n">
        <v>103</v>
      </c>
      <c r="R962" s="69" t="inlineStr">
        <is>
          <t>IO then Amort</t>
        </is>
      </c>
      <c r="S962" s="69" t="inlineStr">
        <is>
          <t>No</t>
        </is>
      </c>
      <c r="T962" s="73" t="n">
        <v>43132</v>
      </c>
      <c r="U962" s="73" t="n">
        <v>46794</v>
      </c>
      <c r="V962" s="73" t="n"/>
      <c r="W962" s="69" t="n"/>
      <c r="X962" s="69" t="inlineStr">
        <is>
          <t>Current</t>
        </is>
      </c>
      <c r="Y962" s="68" t="n"/>
      <c r="Z962" s="69" t="inlineStr">
        <is>
          <t>No Defeasance Occurred</t>
        </is>
      </c>
      <c r="AA962" s="69" t="inlineStr">
        <is>
          <t>Previously</t>
        </is>
      </c>
      <c r="AB962" s="69" t="inlineStr">
        <is>
          <t>Never special serv</t>
        </is>
      </c>
      <c r="AC962" s="73" t="n"/>
      <c r="AD962" s="69" t="n"/>
      <c r="AE962" s="69" t="n"/>
      <c r="AF962" s="69" t="inlineStr">
        <is>
          <t>GA</t>
        </is>
      </c>
      <c r="AG962" s="69" t="inlineStr">
        <is>
          <t>Buford</t>
        </is>
      </c>
      <c r="AH962" s="69" t="inlineStr">
        <is>
          <t>Atlanta-Sandy Springs-Roswell, GA</t>
        </is>
      </c>
      <c r="AI962" s="69" t="inlineStr">
        <is>
          <t>South / Atlantic</t>
        </is>
      </c>
      <c r="AJ962" s="69" t="inlineStr">
        <is>
          <t>RT</t>
        </is>
      </c>
      <c r="AK962" s="69" t="inlineStr">
        <is>
          <t>Anchored</t>
        </is>
      </c>
      <c r="AL962" s="68" t="n">
        <v>1</v>
      </c>
      <c r="AM962" s="68" t="n"/>
      <c r="AN962" s="68" t="n">
        <v>36358</v>
      </c>
      <c r="AO962" s="69" t="inlineStr">
        <is>
          <t>2001</t>
        </is>
      </c>
      <c r="AP962" s="70" t="n">
        <v>2001</v>
      </c>
      <c r="AQ962" s="74" t="n">
        <v>1.4</v>
      </c>
      <c r="AR962" s="74" t="n">
        <v>1.42</v>
      </c>
      <c r="AS962" s="74" t="n">
        <v>70.8</v>
      </c>
      <c r="AT962" s="74" t="n">
        <v>63</v>
      </c>
      <c r="AU962" s="74" t="n">
        <v>61</v>
      </c>
      <c r="AV962" s="74" t="n">
        <v>8.870201657999999</v>
      </c>
      <c r="AW962" s="74" t="n">
        <v>11.737989856</v>
      </c>
      <c r="AX962" s="75" t="n">
        <v>93</v>
      </c>
      <c r="AY962" s="71" t="n">
        <v>13800000</v>
      </c>
      <c r="AZ962" s="71" t="n">
        <v>13800000</v>
      </c>
      <c r="BA962" s="71" t="n">
        <v>866530</v>
      </c>
      <c r="BB962" s="71" t="n">
        <v>439019.5</v>
      </c>
      <c r="BC962" s="69" t="inlineStr">
        <is>
          <t>Acquisition</t>
        </is>
      </c>
      <c r="BD962" s="69" t="inlineStr">
        <is>
          <t>N</t>
        </is>
      </c>
      <c r="BE962" s="71" t="n"/>
      <c r="BF962" s="71" t="n"/>
      <c r="BG962" s="71" t="n"/>
      <c r="BH962" s="71" t="n">
        <v>0</v>
      </c>
      <c r="BI962" s="71" t="n">
        <v>0</v>
      </c>
      <c r="BJ962" s="69" t="inlineStr">
        <is>
          <t>Y</t>
        </is>
      </c>
      <c r="BK962" s="69" t="inlineStr">
        <is>
          <t>Petco</t>
        </is>
      </c>
      <c r="BL962" s="75" t="n">
        <v>37.41</v>
      </c>
      <c r="BM962" s="73" t="n">
        <v>46418</v>
      </c>
      <c r="BN962" s="69" t="inlineStr">
        <is>
          <t>Michael D. Reynolds</t>
        </is>
      </c>
      <c r="BO962" s="69" t="inlineStr">
        <is>
          <t>Wells Fargo</t>
        </is>
      </c>
      <c r="BP962" s="69" t="inlineStr">
        <is>
          <t>TriMont Real Estate Advisors</t>
        </is>
      </c>
      <c r="BQ962" s="69" t="inlineStr">
        <is>
          <t>K-Star Asset Management LLC</t>
        </is>
      </c>
      <c r="BR962" s="69" t="n"/>
      <c r="BS962" s="73" t="n">
        <v>46276</v>
      </c>
      <c r="BU962" s="76">
        <f>IF($C962="","",IFERROR(INDEX(dmName,MATCH($C962,dmID,0)),"Unmapped"))</f>
        <v/>
      </c>
      <c r="BV962" s="76">
        <f>IF($C962="","",IFERROR(INDEX(dmEntity,MATCH($C962,dmID,0)),"Unmapped"))</f>
        <v/>
      </c>
      <c r="BW962" s="77">
        <f>IF($C962="","",IFERROR(INDEX(dmVintage,MATCH($C962,dmID,0)),""))</f>
        <v/>
      </c>
      <c r="BX962" s="78">
        <f>IFERROR(INDEX(dmInclude,MATCH($C962,dmID,0)),0)</f>
        <v/>
      </c>
      <c r="BY962" s="78">
        <f>IF(N($I962)&gt;0,1,0)</f>
        <v/>
      </c>
      <c r="BZ962" s="76">
        <f>IF($AJ962="","Other / Leased Fee",IFERROR(INDEX(mapPTGroup,MATCH(LEFT(TRIM($AJ962),2),mapPTCode,0)),"Other / Leased Fee"))</f>
        <v/>
      </c>
      <c r="CA962" s="76">
        <f>IF(TRIM($AF962&amp;"")="","NR",LEFT(TRIM($AF962),2))</f>
        <v/>
      </c>
      <c r="CB962" s="76">
        <f>IFERROR(LOOKUP(2,1/(LEFT(TRIM($AI962&amp;""),LEN(mapRegion))=mapRegion),mapRegion),"Not Reported")</f>
        <v/>
      </c>
      <c r="CC962" s="76">
        <f>IF($BY962=0,"",IF(TRIM($W962&amp;"")="REO","REO",IF(TRIM($W962&amp;"")="FC","Foreclosure",IF(TRIM($W962&amp;"")="90+","90+ Days Delinquent",IF(TRIM($W962&amp;"")="60","60 Days Delinquent",IF(TRIM($W962&amp;"")="30","30 Days Delinquent",IF($X962="Non-Performing Matured Balloon","Non-Performing Matured Balloon",IF(OR($X962="Late Payment But Less Than 30 Days Delinquent",LEFT($X962&amp;"",20)="Payment Not Received"),"Late / In Grace (&lt;30 Days)",IF($X962="Performing Matured Balloon","Performing Matured Balloon","Current")))))))))</f>
        <v/>
      </c>
      <c r="CD962" s="78">
        <f>IF(OR($CC962="REO",$CC962="Foreclosure",$CC962="90+ Days Delinquent",$CC962="60 Days Delinquent",$CC962="30 Days Delinquent",$CC962="Non-Performing Matured Balloon"),1,0)</f>
        <v/>
      </c>
      <c r="CE962" s="76">
        <f>IF($AB962="Currently special serv","Currently Specially Serviced",IF($AB962="Returned to master serv","Previously Specially Serviced","Never Specially Serviced"))</f>
        <v/>
      </c>
      <c r="CF962" s="78">
        <f>IF($CE962="Currently Specially Serviced",1,0)</f>
        <v/>
      </c>
      <c r="CG962" s="76">
        <f>IF($AA962="Yes","Currently on Watchlist",IF($AA962="Previously","Previously on Watchlist","Never on Watchlist"))</f>
        <v/>
      </c>
      <c r="CH962" s="78">
        <f>IF($CG962="Currently on Watchlist",1,0)</f>
        <v/>
      </c>
      <c r="CI962" s="76">
        <f>IF($Z962="Full Defeasance","Fully Defeased",IF($Z962="Portion Of Loan Previously Defeased","Partially Defeased",IF($Z962="Defeasance Not Allowable","Not Defeased (Not Permitted)","Not Defeased")))</f>
        <v/>
      </c>
      <c r="CJ962" s="78">
        <f>IF($CI962="Fully Defeased",1,0)</f>
        <v/>
      </c>
      <c r="CK962" s="76">
        <f>IF($R962="IO","Full IO",IF(LEFT($R962&amp;"",7)="IO then","Partial IO","Amortizing"))</f>
        <v/>
      </c>
      <c r="CL962" s="78">
        <f>IF($CK962="Full IO",1,0)</f>
        <v/>
      </c>
      <c r="CM962" s="78">
        <f>IF($CK962="Partial IO",1,0)</f>
        <v/>
      </c>
      <c r="CN962" s="76">
        <f>IF(LEFT($F962&amp;"",10)="SPLIT_LOAN","Pari Passu Split","Standalone")</f>
        <v/>
      </c>
      <c r="CO962" s="78">
        <f>IF($CN962="Pari Passu Split",1,0)</f>
        <v/>
      </c>
      <c r="CP962" s="77">
        <f>IF(ISNUMBER($T962),YEAR($T962),"")</f>
        <v/>
      </c>
      <c r="CQ962" s="79">
        <f>IF(ISNUMBER($V962),$V962,IF(ISNUMBER($U962),$U962,""))</f>
        <v/>
      </c>
      <c r="CR962" s="77">
        <f>IF(ISNUMBER($CQ962),YEAR($CQ962),"")</f>
        <v/>
      </c>
      <c r="CS962" s="78">
        <f>IF(ISNUMBER($M962),MAX(0,$M962),IF(TRIM($M962&amp;"")="matured",0,""))</f>
        <v/>
      </c>
      <c r="CT962" s="78">
        <f>IF(AND(ISNUMBER($CS962),N($CS962)&lt;=mMatWindow),1,0)</f>
        <v/>
      </c>
      <c r="CU962" s="80">
        <f>IF(ISNUMBER($J962),$J962/100,"")</f>
        <v/>
      </c>
      <c r="CV962" s="81">
        <f>IF(ISNUMBER($AQ962),$AQ962,"")</f>
        <v/>
      </c>
      <c r="CW962" s="81">
        <f>IF(ISNUMBER($AR962),$AR962,"")</f>
        <v/>
      </c>
      <c r="CX962" s="82">
        <f>IF(ISNUMBER($AS962),$AS962/100,"")</f>
        <v/>
      </c>
      <c r="CY962" s="82">
        <f>IF(ISNUMBER($AT962),$AT962/100,"")</f>
        <v/>
      </c>
      <c r="CZ962" s="82">
        <f>IF(ISNUMBER($AU962),$AU962/100,"")</f>
        <v/>
      </c>
      <c r="DA962" s="82">
        <f>IF(ISNUMBER($AV962),$AV962/100,"")</f>
        <v/>
      </c>
      <c r="DB962" s="82">
        <f>IF(ISNUMBER($AW962),$AW962/100,"")</f>
        <v/>
      </c>
      <c r="DC962" s="82">
        <f>IF(ISNUMBER($AX962),$AX962/100,"")</f>
        <v/>
      </c>
      <c r="DD962" s="77">
        <f>IFERROR(VALUE(LEFT(TRIM($AO962&amp;""),4)),"")</f>
        <v/>
      </c>
      <c r="DE962" s="78">
        <f>IF(AND($BY962=1,$BX962=1,OR(fDeal="All Deals",$BU962=fDeal),OR(fEntity="All Entities",$BV962=fEntity),OR(fPType="All Property Types",$BZ962=fPType),OR(fDefeased="Include",$CJ962=0)),1,0)</f>
        <v/>
      </c>
      <c r="DF962" s="83">
        <f>$DE962*N($I962)</f>
        <v/>
      </c>
      <c r="DG962" s="78">
        <f>IF($DE962=1,IF(COUNTIFS($F$8:$F962,$F962,$DE$8:$DE962,1)=1,1,0),0)</f>
        <v/>
      </c>
      <c r="DH962" s="83">
        <f>IF($DG962=1,SUMIFS($DF$8:$DF$1600,$F$8:$F$1600,$F962),0)</f>
        <v/>
      </c>
      <c r="DI962" s="78">
        <f>IF($DG962=1,COUNTIFS($F$8:$F$1600,$F962,$DE$8:$DE$1600,1),0)</f>
        <v/>
      </c>
      <c r="DJ962" s="84">
        <f>IF($DG962=1,$DH962+(100000-ROW())/mTieBreak,0)</f>
        <v/>
      </c>
    </row>
    <row r="963">
      <c r="B963" s="68" t="n">
        <v>23</v>
      </c>
      <c r="C963" s="69" t="inlineStr">
        <is>
          <t>WFC18C43</t>
        </is>
      </c>
      <c r="D963" s="69" t="inlineStr">
        <is>
          <t>23.000</t>
        </is>
      </c>
      <c r="E963" s="69" t="inlineStr">
        <is>
          <t>930 Harvest Drive</t>
        </is>
      </c>
      <c r="F963" s="69" t="inlineStr">
        <is>
          <t>LNWFC18C43-23.000</t>
        </is>
      </c>
      <c r="G963" s="70" t="n"/>
      <c r="H963" s="71" t="n">
        <v>9600000</v>
      </c>
      <c r="I963" s="71" t="n">
        <v>8162218.8</v>
      </c>
      <c r="J963" s="72" t="n">
        <v>4.79</v>
      </c>
      <c r="K963" s="69" t="inlineStr">
        <is>
          <t>Fixed rate</t>
        </is>
      </c>
      <c r="L963" s="68" t="n">
        <v>120</v>
      </c>
      <c r="M963" s="68" t="n">
        <v>18</v>
      </c>
      <c r="N963" s="68" t="n">
        <v>360</v>
      </c>
      <c r="O963" s="68" t="n"/>
      <c r="P963" s="68" t="n"/>
      <c r="Q963" s="68" t="n">
        <v>102</v>
      </c>
      <c r="R963" s="69" t="n"/>
      <c r="S963" s="69" t="inlineStr">
        <is>
          <t>No</t>
        </is>
      </c>
      <c r="T963" s="73" t="n">
        <v>43160</v>
      </c>
      <c r="U963" s="73" t="n">
        <v>46818</v>
      </c>
      <c r="V963" s="73" t="n"/>
      <c r="W963" s="69" t="n"/>
      <c r="X963" s="69" t="inlineStr">
        <is>
          <t>Current</t>
        </is>
      </c>
      <c r="Y963" s="68" t="n"/>
      <c r="Z963" s="69" t="inlineStr">
        <is>
          <t>No Defeasance Occurred</t>
        </is>
      </c>
      <c r="AA963" s="69" t="inlineStr">
        <is>
          <t>Yes</t>
        </is>
      </c>
      <c r="AB963" s="69" t="inlineStr">
        <is>
          <t>Never special serv</t>
        </is>
      </c>
      <c r="AC963" s="73" t="n"/>
      <c r="AD963" s="69" t="n"/>
      <c r="AE963" s="69" t="n"/>
      <c r="AF963" s="69" t="inlineStr">
        <is>
          <t>PA</t>
        </is>
      </c>
      <c r="AG963" s="69" t="inlineStr">
        <is>
          <t>Blue Bell</t>
        </is>
      </c>
      <c r="AH963" s="69" t="inlineStr">
        <is>
          <t>Philadelphia-Camden-Wilmington, PA-NJ-DE-MD</t>
        </is>
      </c>
      <c r="AI963" s="69" t="inlineStr">
        <is>
          <t>Northeast / Mid-Atlantic</t>
        </is>
      </c>
      <c r="AJ963" s="69" t="inlineStr">
        <is>
          <t>OF</t>
        </is>
      </c>
      <c r="AK963" s="69" t="inlineStr">
        <is>
          <t>Suburban</t>
        </is>
      </c>
      <c r="AL963" s="68" t="n">
        <v>1</v>
      </c>
      <c r="AM963" s="68" t="n"/>
      <c r="AN963" s="68" t="n">
        <v>121994</v>
      </c>
      <c r="AO963" s="69" t="inlineStr">
        <is>
          <t>1991</t>
        </is>
      </c>
      <c r="AP963" s="70" t="n">
        <v>2012</v>
      </c>
      <c r="AQ963" s="74" t="n">
        <v>1.74</v>
      </c>
      <c r="AR963" s="74" t="n">
        <v>1.29</v>
      </c>
      <c r="AS963" s="74" t="n">
        <v>60.8</v>
      </c>
      <c r="AT963" s="74" t="n">
        <v>51.66</v>
      </c>
      <c r="AU963" s="74" t="n">
        <v>49.6</v>
      </c>
      <c r="AV963" s="74" t="n">
        <v>10.958673125</v>
      </c>
      <c r="AW963" s="74" t="n">
        <v>12.850034478</v>
      </c>
      <c r="AX963" s="75" t="n">
        <v>51</v>
      </c>
      <c r="AY963" s="71" t="n">
        <v>15800000</v>
      </c>
      <c r="AZ963" s="71" t="n">
        <v>15800000</v>
      </c>
      <c r="BA963" s="71" t="n">
        <v>1052032.62</v>
      </c>
      <c r="BB963" s="71" t="n">
        <v>389308.25</v>
      </c>
      <c r="BC963" s="69" t="inlineStr">
        <is>
          <t>Refinance</t>
        </is>
      </c>
      <c r="BD963" s="69" t="inlineStr">
        <is>
          <t>N</t>
        </is>
      </c>
      <c r="BE963" s="71" t="n"/>
      <c r="BF963" s="71" t="n"/>
      <c r="BG963" s="71" t="n"/>
      <c r="BH963" s="71" t="n">
        <v>0</v>
      </c>
      <c r="BI963" s="71" t="n">
        <v>0</v>
      </c>
      <c r="BJ963" s="69" t="inlineStr">
        <is>
          <t>N</t>
        </is>
      </c>
      <c r="BK963" s="69" t="inlineStr">
        <is>
          <t>Company Voice  LLC</t>
        </is>
      </c>
      <c r="BL963" s="75" t="n">
        <v>22.94</v>
      </c>
      <c r="BM963" s="73" t="n">
        <v>47968</v>
      </c>
      <c r="BN963" s="69" t="inlineStr">
        <is>
          <t>Balashine Capital, LP</t>
        </is>
      </c>
      <c r="BO963" s="69" t="inlineStr">
        <is>
          <t>Barclays</t>
        </is>
      </c>
      <c r="BP963" s="69" t="inlineStr">
        <is>
          <t>TriMont Real Estate Advisors</t>
        </is>
      </c>
      <c r="BQ963" s="69" t="inlineStr">
        <is>
          <t>K-Star Asset Management LLC</t>
        </is>
      </c>
      <c r="BR963" s="69" t="n"/>
      <c r="BS963" s="73" t="n">
        <v>46276</v>
      </c>
      <c r="BU963" s="76">
        <f>IF($C963="","",IFERROR(INDEX(dmName,MATCH($C963,dmID,0)),"Unmapped"))</f>
        <v/>
      </c>
      <c r="BV963" s="76">
        <f>IF($C963="","",IFERROR(INDEX(dmEntity,MATCH($C963,dmID,0)),"Unmapped"))</f>
        <v/>
      </c>
      <c r="BW963" s="77">
        <f>IF($C963="","",IFERROR(INDEX(dmVintage,MATCH($C963,dmID,0)),""))</f>
        <v/>
      </c>
      <c r="BX963" s="78">
        <f>IFERROR(INDEX(dmInclude,MATCH($C963,dmID,0)),0)</f>
        <v/>
      </c>
      <c r="BY963" s="78">
        <f>IF(N($I963)&gt;0,1,0)</f>
        <v/>
      </c>
      <c r="BZ963" s="76">
        <f>IF($AJ963="","Other / Leased Fee",IFERROR(INDEX(mapPTGroup,MATCH(LEFT(TRIM($AJ963),2),mapPTCode,0)),"Other / Leased Fee"))</f>
        <v/>
      </c>
      <c r="CA963" s="76">
        <f>IF(TRIM($AF963&amp;"")="","NR",LEFT(TRIM($AF963),2))</f>
        <v/>
      </c>
      <c r="CB963" s="76">
        <f>IFERROR(LOOKUP(2,1/(LEFT(TRIM($AI963&amp;""),LEN(mapRegion))=mapRegion),mapRegion),"Not Reported")</f>
        <v/>
      </c>
      <c r="CC963" s="76">
        <f>IF($BY963=0,"",IF(TRIM($W963&amp;"")="REO","REO",IF(TRIM($W963&amp;"")="FC","Foreclosure",IF(TRIM($W963&amp;"")="90+","90+ Days Delinquent",IF(TRIM($W963&amp;"")="60","60 Days Delinquent",IF(TRIM($W963&amp;"")="30","30 Days Delinquent",IF($X963="Non-Performing Matured Balloon","Non-Performing Matured Balloon",IF(OR($X963="Late Payment But Less Than 30 Days Delinquent",LEFT($X963&amp;"",20)="Payment Not Received"),"Late / In Grace (&lt;30 Days)",IF($X963="Performing Matured Balloon","Performing Matured Balloon","Current")))))))))</f>
        <v/>
      </c>
      <c r="CD963" s="78">
        <f>IF(OR($CC963="REO",$CC963="Foreclosure",$CC963="90+ Days Delinquent",$CC963="60 Days Delinquent",$CC963="30 Days Delinquent",$CC963="Non-Performing Matured Balloon"),1,0)</f>
        <v/>
      </c>
      <c r="CE963" s="76">
        <f>IF($AB963="Currently special serv","Currently Specially Serviced",IF($AB963="Returned to master serv","Previously Specially Serviced","Never Specially Serviced"))</f>
        <v/>
      </c>
      <c r="CF963" s="78">
        <f>IF($CE963="Currently Specially Serviced",1,0)</f>
        <v/>
      </c>
      <c r="CG963" s="76">
        <f>IF($AA963="Yes","Currently on Watchlist",IF($AA963="Previously","Previously on Watchlist","Never on Watchlist"))</f>
        <v/>
      </c>
      <c r="CH963" s="78">
        <f>IF($CG963="Currently on Watchlist",1,0)</f>
        <v/>
      </c>
      <c r="CI963" s="76">
        <f>IF($Z963="Full Defeasance","Fully Defeased",IF($Z963="Portion Of Loan Previously Defeased","Partially Defeased",IF($Z963="Defeasance Not Allowable","Not Defeased (Not Permitted)","Not Defeased")))</f>
        <v/>
      </c>
      <c r="CJ963" s="78">
        <f>IF($CI963="Fully Defeased",1,0)</f>
        <v/>
      </c>
      <c r="CK963" s="76">
        <f>IF($R963="IO","Full IO",IF(LEFT($R963&amp;"",7)="IO then","Partial IO","Amortizing"))</f>
        <v/>
      </c>
      <c r="CL963" s="78">
        <f>IF($CK963="Full IO",1,0)</f>
        <v/>
      </c>
      <c r="CM963" s="78">
        <f>IF($CK963="Partial IO",1,0)</f>
        <v/>
      </c>
      <c r="CN963" s="76">
        <f>IF(LEFT($F963&amp;"",10)="SPLIT_LOAN","Pari Passu Split","Standalone")</f>
        <v/>
      </c>
      <c r="CO963" s="78">
        <f>IF($CN963="Pari Passu Split",1,0)</f>
        <v/>
      </c>
      <c r="CP963" s="77">
        <f>IF(ISNUMBER($T963),YEAR($T963),"")</f>
        <v/>
      </c>
      <c r="CQ963" s="79">
        <f>IF(ISNUMBER($V963),$V963,IF(ISNUMBER($U963),$U963,""))</f>
        <v/>
      </c>
      <c r="CR963" s="77">
        <f>IF(ISNUMBER($CQ963),YEAR($CQ963),"")</f>
        <v/>
      </c>
      <c r="CS963" s="78">
        <f>IF(ISNUMBER($M963),MAX(0,$M963),IF(TRIM($M963&amp;"")="matured",0,""))</f>
        <v/>
      </c>
      <c r="CT963" s="78">
        <f>IF(AND(ISNUMBER($CS963),N($CS963)&lt;=mMatWindow),1,0)</f>
        <v/>
      </c>
      <c r="CU963" s="80">
        <f>IF(ISNUMBER($J963),$J963/100,"")</f>
        <v/>
      </c>
      <c r="CV963" s="81">
        <f>IF(ISNUMBER($AQ963),$AQ963,"")</f>
        <v/>
      </c>
      <c r="CW963" s="81">
        <f>IF(ISNUMBER($AR963),$AR963,"")</f>
        <v/>
      </c>
      <c r="CX963" s="82">
        <f>IF(ISNUMBER($AS963),$AS963/100,"")</f>
        <v/>
      </c>
      <c r="CY963" s="82">
        <f>IF(ISNUMBER($AT963),$AT963/100,"")</f>
        <v/>
      </c>
      <c r="CZ963" s="82">
        <f>IF(ISNUMBER($AU963),$AU963/100,"")</f>
        <v/>
      </c>
      <c r="DA963" s="82">
        <f>IF(ISNUMBER($AV963),$AV963/100,"")</f>
        <v/>
      </c>
      <c r="DB963" s="82">
        <f>IF(ISNUMBER($AW963),$AW963/100,"")</f>
        <v/>
      </c>
      <c r="DC963" s="82">
        <f>IF(ISNUMBER($AX963),$AX963/100,"")</f>
        <v/>
      </c>
      <c r="DD963" s="77">
        <f>IFERROR(VALUE(LEFT(TRIM($AO963&amp;""),4)),"")</f>
        <v/>
      </c>
      <c r="DE963" s="78">
        <f>IF(AND($BY963=1,$BX963=1,OR(fDeal="All Deals",$BU963=fDeal),OR(fEntity="All Entities",$BV963=fEntity),OR(fPType="All Property Types",$BZ963=fPType),OR(fDefeased="Include",$CJ963=0)),1,0)</f>
        <v/>
      </c>
      <c r="DF963" s="83">
        <f>$DE963*N($I963)</f>
        <v/>
      </c>
      <c r="DG963" s="78">
        <f>IF($DE963=1,IF(COUNTIFS($F$8:$F963,$F963,$DE$8:$DE963,1)=1,1,0),0)</f>
        <v/>
      </c>
      <c r="DH963" s="83">
        <f>IF($DG963=1,SUMIFS($DF$8:$DF$1600,$F$8:$F$1600,$F963),0)</f>
        <v/>
      </c>
      <c r="DI963" s="78">
        <f>IF($DG963=1,COUNTIFS($F$8:$F$1600,$F963,$DE$8:$DE$1600,1),0)</f>
        <v/>
      </c>
      <c r="DJ963" s="84">
        <f>IF($DG963=1,$DH963+(100000-ROW())/mTieBreak,0)</f>
        <v/>
      </c>
    </row>
    <row r="964">
      <c r="B964" s="68" t="n">
        <v>24</v>
      </c>
      <c r="C964" s="69" t="inlineStr">
        <is>
          <t>WFC18C43</t>
        </is>
      </c>
      <c r="D964" s="69" t="inlineStr">
        <is>
          <t>24.000</t>
        </is>
      </c>
      <c r="E964" s="69" t="inlineStr">
        <is>
          <t>Fairfield Inn &amp; Suites - Willow Grove</t>
        </is>
      </c>
      <c r="F964" s="69" t="inlineStr">
        <is>
          <t>LNWFC18C43-24.000</t>
        </is>
      </c>
      <c r="G964" s="70" t="n"/>
      <c r="H964" s="71" t="n">
        <v>8700000</v>
      </c>
      <c r="I964" s="71" t="n">
        <v>0</v>
      </c>
      <c r="J964" s="72" t="n">
        <v>5.04</v>
      </c>
      <c r="K964" s="69" t="inlineStr">
        <is>
          <t>Fixed rate</t>
        </is>
      </c>
      <c r="L964" s="68" t="n">
        <v>120</v>
      </c>
      <c r="M964" s="68" t="n"/>
      <c r="N964" s="68" t="n">
        <v>240</v>
      </c>
      <c r="O964" s="68" t="n"/>
      <c r="P964" s="68" t="n"/>
      <c r="Q964" s="68" t="n"/>
      <c r="R964" s="69" t="n"/>
      <c r="S964" s="69" t="inlineStr">
        <is>
          <t>No</t>
        </is>
      </c>
      <c r="T964" s="73" t="n">
        <v>43040</v>
      </c>
      <c r="U964" s="73" t="n">
        <v>46702</v>
      </c>
      <c r="V964" s="73" t="n"/>
      <c r="W964" s="69" t="n"/>
      <c r="X964" s="69" t="inlineStr">
        <is>
          <t>Current</t>
        </is>
      </c>
      <c r="Y964" s="68" t="n"/>
      <c r="Z964" s="69" t="inlineStr">
        <is>
          <t>No Defeasance Occurred</t>
        </is>
      </c>
      <c r="AA964" s="69" t="inlineStr">
        <is>
          <t>Previously</t>
        </is>
      </c>
      <c r="AB964" s="69" t="inlineStr">
        <is>
          <t>Currently special serv</t>
        </is>
      </c>
      <c r="AC964" s="73" t="n">
        <v>43998</v>
      </c>
      <c r="AD964" s="69" t="inlineStr">
        <is>
          <t>Payment Default (all payments excluding Balloon/Maturity Payment)</t>
        </is>
      </c>
      <c r="AE964" s="69" t="inlineStr">
        <is>
          <t>TBD</t>
        </is>
      </c>
      <c r="AF964" s="69" t="inlineStr">
        <is>
          <t>PA</t>
        </is>
      </c>
      <c r="AG964" s="69" t="inlineStr">
        <is>
          <t>Willow Grove</t>
        </is>
      </c>
      <c r="AH964" s="69" t="inlineStr">
        <is>
          <t>Philadelphia-Camden-Wilmington, PA-NJ-DE-MD</t>
        </is>
      </c>
      <c r="AI964" s="69" t="inlineStr">
        <is>
          <t>Northeast / Mid-Atlantic</t>
        </is>
      </c>
      <c r="AJ964" s="69" t="inlineStr">
        <is>
          <t>HT</t>
        </is>
      </c>
      <c r="AK964" s="69" t="inlineStr">
        <is>
          <t>Limited Service</t>
        </is>
      </c>
      <c r="AL964" s="68" t="n">
        <v>1</v>
      </c>
      <c r="AM964" s="68" t="n">
        <v>108</v>
      </c>
      <c r="AN964" s="68" t="n"/>
      <c r="AO964" s="69" t="inlineStr">
        <is>
          <t>2016</t>
        </is>
      </c>
      <c r="AP964" s="70" t="n">
        <v>2016</v>
      </c>
      <c r="AQ964" s="74" t="n">
        <v>1.59</v>
      </c>
      <c r="AR964" s="74" t="n">
        <v>0.19</v>
      </c>
      <c r="AS964" s="74" t="n">
        <v>57.4</v>
      </c>
      <c r="AT964" s="74" t="n"/>
      <c r="AU964" s="74" t="n">
        <v>36.6</v>
      </c>
      <c r="AV964" s="74" t="n">
        <v>12.621965402</v>
      </c>
      <c r="AW964" s="74" t="n"/>
      <c r="AX964" s="75" t="n">
        <v>35.9</v>
      </c>
      <c r="AY964" s="71" t="n">
        <v>15000000</v>
      </c>
      <c r="AZ964" s="71" t="n">
        <v>15000000</v>
      </c>
      <c r="BA964" s="71" t="n">
        <v>1098110.99</v>
      </c>
      <c r="BB964" s="71" t="n">
        <v>131615</v>
      </c>
      <c r="BC964" s="69" t="inlineStr">
        <is>
          <t>Refinance</t>
        </is>
      </c>
      <c r="BD964" s="69" t="inlineStr">
        <is>
          <t>N</t>
        </is>
      </c>
      <c r="BE964" s="71" t="n"/>
      <c r="BF964" s="71" t="n"/>
      <c r="BG964" s="71" t="n"/>
      <c r="BH964" s="71" t="n">
        <v>0</v>
      </c>
      <c r="BI964" s="71" t="n">
        <v>0</v>
      </c>
      <c r="BJ964" s="69" t="inlineStr">
        <is>
          <t>N</t>
        </is>
      </c>
      <c r="BK964" s="69" t="n"/>
      <c r="BL964" s="75" t="n"/>
      <c r="BM964" s="73" t="n"/>
      <c r="BN964" s="69" t="inlineStr">
        <is>
          <t>Ajesh Patel</t>
        </is>
      </c>
      <c r="BO964" s="69" t="inlineStr">
        <is>
          <t>CIII Capital</t>
        </is>
      </c>
      <c r="BP964" s="69" t="inlineStr">
        <is>
          <t>Wells Fargo</t>
        </is>
      </c>
      <c r="BQ964" s="69" t="inlineStr">
        <is>
          <t>Midland Loan Services</t>
        </is>
      </c>
      <c r="BR964" s="69" t="inlineStr">
        <is>
          <t>Disposition / Liquidation</t>
        </is>
      </c>
      <c r="BS964" s="73" t="n">
        <v>46276</v>
      </c>
      <c r="BU964" s="76">
        <f>IF($C964="","",IFERROR(INDEX(dmName,MATCH($C964,dmID,0)),"Unmapped"))</f>
        <v/>
      </c>
      <c r="BV964" s="76">
        <f>IF($C964="","",IFERROR(INDEX(dmEntity,MATCH($C964,dmID,0)),"Unmapped"))</f>
        <v/>
      </c>
      <c r="BW964" s="77">
        <f>IF($C964="","",IFERROR(INDEX(dmVintage,MATCH($C964,dmID,0)),""))</f>
        <v/>
      </c>
      <c r="BX964" s="78">
        <f>IFERROR(INDEX(dmInclude,MATCH($C964,dmID,0)),0)</f>
        <v/>
      </c>
      <c r="BY964" s="78">
        <f>IF(N($I964)&gt;0,1,0)</f>
        <v/>
      </c>
      <c r="BZ964" s="76">
        <f>IF($AJ964="","Other / Leased Fee",IFERROR(INDEX(mapPTGroup,MATCH(LEFT(TRIM($AJ964),2),mapPTCode,0)),"Other / Leased Fee"))</f>
        <v/>
      </c>
      <c r="CA964" s="76">
        <f>IF(TRIM($AF964&amp;"")="","NR",LEFT(TRIM($AF964),2))</f>
        <v/>
      </c>
      <c r="CB964" s="76">
        <f>IFERROR(LOOKUP(2,1/(LEFT(TRIM($AI964&amp;""),LEN(mapRegion))=mapRegion),mapRegion),"Not Reported")</f>
        <v/>
      </c>
      <c r="CC964" s="76">
        <f>IF($BY964=0,"",IF(TRIM($W964&amp;"")="REO","REO",IF(TRIM($W964&amp;"")="FC","Foreclosure",IF(TRIM($W964&amp;"")="90+","90+ Days Delinquent",IF(TRIM($W964&amp;"")="60","60 Days Delinquent",IF(TRIM($W964&amp;"")="30","30 Days Delinquent",IF($X964="Non-Performing Matured Balloon","Non-Performing Matured Balloon",IF(OR($X964="Late Payment But Less Than 30 Days Delinquent",LEFT($X964&amp;"",20)="Payment Not Received"),"Late / In Grace (&lt;30 Days)",IF($X964="Performing Matured Balloon","Performing Matured Balloon","Current")))))))))</f>
        <v/>
      </c>
      <c r="CD964" s="78">
        <f>IF(OR($CC964="REO",$CC964="Foreclosure",$CC964="90+ Days Delinquent",$CC964="60 Days Delinquent",$CC964="30 Days Delinquent",$CC964="Non-Performing Matured Balloon"),1,0)</f>
        <v/>
      </c>
      <c r="CE964" s="76">
        <f>IF($AB964="Currently special serv","Currently Specially Serviced",IF($AB964="Returned to master serv","Previously Specially Serviced","Never Specially Serviced"))</f>
        <v/>
      </c>
      <c r="CF964" s="78">
        <f>IF($CE964="Currently Specially Serviced",1,0)</f>
        <v/>
      </c>
      <c r="CG964" s="76">
        <f>IF($AA964="Yes","Currently on Watchlist",IF($AA964="Previously","Previously on Watchlist","Never on Watchlist"))</f>
        <v/>
      </c>
      <c r="CH964" s="78">
        <f>IF($CG964="Currently on Watchlist",1,0)</f>
        <v/>
      </c>
      <c r="CI964" s="76">
        <f>IF($Z964="Full Defeasance","Fully Defeased",IF($Z964="Portion Of Loan Previously Defeased","Partially Defeased",IF($Z964="Defeasance Not Allowable","Not Defeased (Not Permitted)","Not Defeased")))</f>
        <v/>
      </c>
      <c r="CJ964" s="78">
        <f>IF($CI964="Fully Defeased",1,0)</f>
        <v/>
      </c>
      <c r="CK964" s="76">
        <f>IF($R964="IO","Full IO",IF(LEFT($R964&amp;"",7)="IO then","Partial IO","Amortizing"))</f>
        <v/>
      </c>
      <c r="CL964" s="78">
        <f>IF($CK964="Full IO",1,0)</f>
        <v/>
      </c>
      <c r="CM964" s="78">
        <f>IF($CK964="Partial IO",1,0)</f>
        <v/>
      </c>
      <c r="CN964" s="76">
        <f>IF(LEFT($F964&amp;"",10)="SPLIT_LOAN","Pari Passu Split","Standalone")</f>
        <v/>
      </c>
      <c r="CO964" s="78">
        <f>IF($CN964="Pari Passu Split",1,0)</f>
        <v/>
      </c>
      <c r="CP964" s="77">
        <f>IF(ISNUMBER($T964),YEAR($T964),"")</f>
        <v/>
      </c>
      <c r="CQ964" s="79">
        <f>IF(ISNUMBER($V964),$V964,IF(ISNUMBER($U964),$U964,""))</f>
        <v/>
      </c>
      <c r="CR964" s="77">
        <f>IF(ISNUMBER($CQ964),YEAR($CQ964),"")</f>
        <v/>
      </c>
      <c r="CS964" s="78">
        <f>IF(ISNUMBER($M964),MAX(0,$M964),IF(TRIM($M964&amp;"")="matured",0,""))</f>
        <v/>
      </c>
      <c r="CT964" s="78">
        <f>IF(AND(ISNUMBER($CS964),N($CS964)&lt;=mMatWindow),1,0)</f>
        <v/>
      </c>
      <c r="CU964" s="80">
        <f>IF(ISNUMBER($J964),$J964/100,"")</f>
        <v/>
      </c>
      <c r="CV964" s="81">
        <f>IF(ISNUMBER($AQ964),$AQ964,"")</f>
        <v/>
      </c>
      <c r="CW964" s="81">
        <f>IF(ISNUMBER($AR964),$AR964,"")</f>
        <v/>
      </c>
      <c r="CX964" s="82">
        <f>IF(ISNUMBER($AS964),$AS964/100,"")</f>
        <v/>
      </c>
      <c r="CY964" s="82">
        <f>IF(ISNUMBER($AT964),$AT964/100,"")</f>
        <v/>
      </c>
      <c r="CZ964" s="82">
        <f>IF(ISNUMBER($AU964),$AU964/100,"")</f>
        <v/>
      </c>
      <c r="DA964" s="82">
        <f>IF(ISNUMBER($AV964),$AV964/100,"")</f>
        <v/>
      </c>
      <c r="DB964" s="82">
        <f>IF(ISNUMBER($AW964),$AW964/100,"")</f>
        <v/>
      </c>
      <c r="DC964" s="82">
        <f>IF(ISNUMBER($AX964),$AX964/100,"")</f>
        <v/>
      </c>
      <c r="DD964" s="77">
        <f>IFERROR(VALUE(LEFT(TRIM($AO964&amp;""),4)),"")</f>
        <v/>
      </c>
      <c r="DE964" s="78">
        <f>IF(AND($BY964=1,$BX964=1,OR(fDeal="All Deals",$BU964=fDeal),OR(fEntity="All Entities",$BV964=fEntity),OR(fPType="All Property Types",$BZ964=fPType),OR(fDefeased="Include",$CJ964=0)),1,0)</f>
        <v/>
      </c>
      <c r="DF964" s="83">
        <f>$DE964*N($I964)</f>
        <v/>
      </c>
      <c r="DG964" s="78">
        <f>IF($DE964=1,IF(COUNTIFS($F$8:$F964,$F964,$DE$8:$DE964,1)=1,1,0),0)</f>
        <v/>
      </c>
      <c r="DH964" s="83">
        <f>IF($DG964=1,SUMIFS($DF$8:$DF$1600,$F$8:$F$1600,$F964),0)</f>
        <v/>
      </c>
      <c r="DI964" s="78">
        <f>IF($DG964=1,COUNTIFS($F$8:$F$1600,$F964,$DE$8:$DE$1600,1),0)</f>
        <v/>
      </c>
      <c r="DJ964" s="84">
        <f>IF($DG964=1,$DH964+(100000-ROW())/mTieBreak,0)</f>
        <v/>
      </c>
    </row>
    <row r="965">
      <c r="B965" s="68" t="n">
        <v>25</v>
      </c>
      <c r="C965" s="69" t="inlineStr">
        <is>
          <t>WFC18C43</t>
        </is>
      </c>
      <c r="D965" s="69" t="inlineStr">
        <is>
          <t>25.000</t>
        </is>
      </c>
      <c r="E965" s="69" t="inlineStr">
        <is>
          <t>2900 Westchester</t>
        </is>
      </c>
      <c r="F965" s="69" t="inlineStr">
        <is>
          <t>LNWFC18C43-25.000</t>
        </is>
      </c>
      <c r="G965" s="70" t="n"/>
      <c r="H965" s="71" t="n">
        <v>8500000</v>
      </c>
      <c r="I965" s="71" t="n">
        <v>7229595.27</v>
      </c>
      <c r="J965" s="72" t="n">
        <v>4.9</v>
      </c>
      <c r="K965" s="69" t="inlineStr">
        <is>
          <t>Fixed rate</t>
        </is>
      </c>
      <c r="L965" s="68" t="n">
        <v>120</v>
      </c>
      <c r="M965" s="68" t="n">
        <v>17</v>
      </c>
      <c r="N965" s="68" t="n">
        <v>360</v>
      </c>
      <c r="O965" s="68" t="n"/>
      <c r="P965" s="68" t="n"/>
      <c r="Q965" s="68" t="n">
        <v>103</v>
      </c>
      <c r="R965" s="69" t="n"/>
      <c r="S965" s="69" t="inlineStr">
        <is>
          <t>No</t>
        </is>
      </c>
      <c r="T965" s="73" t="n">
        <v>43132</v>
      </c>
      <c r="U965" s="73" t="n">
        <v>46794</v>
      </c>
      <c r="V965" s="73" t="n"/>
      <c r="W965" s="69" t="n"/>
      <c r="X965" s="69" t="inlineStr">
        <is>
          <t>Current</t>
        </is>
      </c>
      <c r="Y965" s="68" t="n"/>
      <c r="Z965" s="69" t="inlineStr">
        <is>
          <t>No Defeasance Occurred</t>
        </is>
      </c>
      <c r="AA965" s="69" t="inlineStr">
        <is>
          <t>Previously</t>
        </is>
      </c>
      <c r="AB965" s="69" t="inlineStr">
        <is>
          <t>Never special serv</t>
        </is>
      </c>
      <c r="AC965" s="73" t="n"/>
      <c r="AD965" s="69" t="n"/>
      <c r="AE965" s="69" t="n"/>
      <c r="AF965" s="69" t="inlineStr">
        <is>
          <t>NY</t>
        </is>
      </c>
      <c r="AG965" s="69" t="inlineStr">
        <is>
          <t>Purchase</t>
        </is>
      </c>
      <c r="AH965" s="69" t="inlineStr">
        <is>
          <t>New York-Newark-Jersey City, NY-NJ</t>
        </is>
      </c>
      <c r="AI965" s="69" t="inlineStr">
        <is>
          <t>Northeast / Mid-Atlantic</t>
        </is>
      </c>
      <c r="AJ965" s="69" t="inlineStr">
        <is>
          <t>OF</t>
        </is>
      </c>
      <c r="AK965" s="69" t="inlineStr">
        <is>
          <t>Suburban</t>
        </is>
      </c>
      <c r="AL965" s="68" t="n">
        <v>1</v>
      </c>
      <c r="AM965" s="68" t="n"/>
      <c r="AN965" s="68" t="n">
        <v>95157</v>
      </c>
      <c r="AO965" s="69" t="inlineStr">
        <is>
          <t>1981</t>
        </is>
      </c>
      <c r="AP965" s="70" t="n">
        <v>1996</v>
      </c>
      <c r="AQ965" s="74" t="n">
        <v>1.76</v>
      </c>
      <c r="AR965" s="74" t="n">
        <v>1.49</v>
      </c>
      <c r="AS965" s="74" t="n">
        <v>66.8</v>
      </c>
      <c r="AT965" s="74" t="n">
        <v>56.93</v>
      </c>
      <c r="AU965" s="74" t="n">
        <v>54.8</v>
      </c>
      <c r="AV965" s="74" t="n">
        <v>11.227152471</v>
      </c>
      <c r="AW965" s="74" t="n">
        <v>11.153246065</v>
      </c>
      <c r="AX965" s="75" t="n">
        <v>80.04000000000001</v>
      </c>
      <c r="AY965" s="71" t="n">
        <v>12700000</v>
      </c>
      <c r="AZ965" s="71" t="n">
        <v>12700000</v>
      </c>
      <c r="BA965" s="71" t="n">
        <v>954307.96</v>
      </c>
      <c r="BB965" s="71" t="n">
        <v>806334.55</v>
      </c>
      <c r="BC965" s="69" t="inlineStr">
        <is>
          <t>Refinance</t>
        </is>
      </c>
      <c r="BD965" s="69" t="inlineStr">
        <is>
          <t>N</t>
        </is>
      </c>
      <c r="BE965" s="71" t="n"/>
      <c r="BF965" s="71" t="n"/>
      <c r="BG965" s="71" t="n"/>
      <c r="BH965" s="71" t="n">
        <v>0</v>
      </c>
      <c r="BI965" s="71" t="n">
        <v>0</v>
      </c>
      <c r="BJ965" s="69" t="inlineStr">
        <is>
          <t>N</t>
        </is>
      </c>
      <c r="BK965" s="69" t="inlineStr">
        <is>
          <t>Cassin Cassin &amp; Joseph LLP</t>
        </is>
      </c>
      <c r="BL965" s="75" t="n">
        <v>13.13</v>
      </c>
      <c r="BM965" s="73" t="n">
        <v>47087</v>
      </c>
      <c r="BN965" s="69" t="inlineStr">
        <is>
          <t>Angelo Silveri</t>
        </is>
      </c>
      <c r="BO965" s="69" t="inlineStr">
        <is>
          <t>Wells Fargo</t>
        </is>
      </c>
      <c r="BP965" s="69" t="inlineStr">
        <is>
          <t>TriMont Real Estate Advisors</t>
        </is>
      </c>
      <c r="BQ965" s="69" t="inlineStr">
        <is>
          <t>K-Star Asset Management LLC</t>
        </is>
      </c>
      <c r="BR965" s="69" t="n"/>
      <c r="BS965" s="73" t="n">
        <v>46276</v>
      </c>
      <c r="BU965" s="76">
        <f>IF($C965="","",IFERROR(INDEX(dmName,MATCH($C965,dmID,0)),"Unmapped"))</f>
        <v/>
      </c>
      <c r="BV965" s="76">
        <f>IF($C965="","",IFERROR(INDEX(dmEntity,MATCH($C965,dmID,0)),"Unmapped"))</f>
        <v/>
      </c>
      <c r="BW965" s="77">
        <f>IF($C965="","",IFERROR(INDEX(dmVintage,MATCH($C965,dmID,0)),""))</f>
        <v/>
      </c>
      <c r="BX965" s="78">
        <f>IFERROR(INDEX(dmInclude,MATCH($C965,dmID,0)),0)</f>
        <v/>
      </c>
      <c r="BY965" s="78">
        <f>IF(N($I965)&gt;0,1,0)</f>
        <v/>
      </c>
      <c r="BZ965" s="76">
        <f>IF($AJ965="","Other / Leased Fee",IFERROR(INDEX(mapPTGroup,MATCH(LEFT(TRIM($AJ965),2),mapPTCode,0)),"Other / Leased Fee"))</f>
        <v/>
      </c>
      <c r="CA965" s="76">
        <f>IF(TRIM($AF965&amp;"")="","NR",LEFT(TRIM($AF965),2))</f>
        <v/>
      </c>
      <c r="CB965" s="76">
        <f>IFERROR(LOOKUP(2,1/(LEFT(TRIM($AI965&amp;""),LEN(mapRegion))=mapRegion),mapRegion),"Not Reported")</f>
        <v/>
      </c>
      <c r="CC965" s="76">
        <f>IF($BY965=0,"",IF(TRIM($W965&amp;"")="REO","REO",IF(TRIM($W965&amp;"")="FC","Foreclosure",IF(TRIM($W965&amp;"")="90+","90+ Days Delinquent",IF(TRIM($W965&amp;"")="60","60 Days Delinquent",IF(TRIM($W965&amp;"")="30","30 Days Delinquent",IF($X965="Non-Performing Matured Balloon","Non-Performing Matured Balloon",IF(OR($X965="Late Payment But Less Than 30 Days Delinquent",LEFT($X965&amp;"",20)="Payment Not Received"),"Late / In Grace (&lt;30 Days)",IF($X965="Performing Matured Balloon","Performing Matured Balloon","Current")))))))))</f>
        <v/>
      </c>
      <c r="CD965" s="78">
        <f>IF(OR($CC965="REO",$CC965="Foreclosure",$CC965="90+ Days Delinquent",$CC965="60 Days Delinquent",$CC965="30 Days Delinquent",$CC965="Non-Performing Matured Balloon"),1,0)</f>
        <v/>
      </c>
      <c r="CE965" s="76">
        <f>IF($AB965="Currently special serv","Currently Specially Serviced",IF($AB965="Returned to master serv","Previously Specially Serviced","Never Specially Serviced"))</f>
        <v/>
      </c>
      <c r="CF965" s="78">
        <f>IF($CE965="Currently Specially Serviced",1,0)</f>
        <v/>
      </c>
      <c r="CG965" s="76">
        <f>IF($AA965="Yes","Currently on Watchlist",IF($AA965="Previously","Previously on Watchlist","Never on Watchlist"))</f>
        <v/>
      </c>
      <c r="CH965" s="78">
        <f>IF($CG965="Currently on Watchlist",1,0)</f>
        <v/>
      </c>
      <c r="CI965" s="76">
        <f>IF($Z965="Full Defeasance","Fully Defeased",IF($Z965="Portion Of Loan Previously Defeased","Partially Defeased",IF($Z965="Defeasance Not Allowable","Not Defeased (Not Permitted)","Not Defeased")))</f>
        <v/>
      </c>
      <c r="CJ965" s="78">
        <f>IF($CI965="Fully Defeased",1,0)</f>
        <v/>
      </c>
      <c r="CK965" s="76">
        <f>IF($R965="IO","Full IO",IF(LEFT($R965&amp;"",7)="IO then","Partial IO","Amortizing"))</f>
        <v/>
      </c>
      <c r="CL965" s="78">
        <f>IF($CK965="Full IO",1,0)</f>
        <v/>
      </c>
      <c r="CM965" s="78">
        <f>IF($CK965="Partial IO",1,0)</f>
        <v/>
      </c>
      <c r="CN965" s="76">
        <f>IF(LEFT($F965&amp;"",10)="SPLIT_LOAN","Pari Passu Split","Standalone")</f>
        <v/>
      </c>
      <c r="CO965" s="78">
        <f>IF($CN965="Pari Passu Split",1,0)</f>
        <v/>
      </c>
      <c r="CP965" s="77">
        <f>IF(ISNUMBER($T965),YEAR($T965),"")</f>
        <v/>
      </c>
      <c r="CQ965" s="79">
        <f>IF(ISNUMBER($V965),$V965,IF(ISNUMBER($U965),$U965,""))</f>
        <v/>
      </c>
      <c r="CR965" s="77">
        <f>IF(ISNUMBER($CQ965),YEAR($CQ965),"")</f>
        <v/>
      </c>
      <c r="CS965" s="78">
        <f>IF(ISNUMBER($M965),MAX(0,$M965),IF(TRIM($M965&amp;"")="matured",0,""))</f>
        <v/>
      </c>
      <c r="CT965" s="78">
        <f>IF(AND(ISNUMBER($CS965),N($CS965)&lt;=mMatWindow),1,0)</f>
        <v/>
      </c>
      <c r="CU965" s="80">
        <f>IF(ISNUMBER($J965),$J965/100,"")</f>
        <v/>
      </c>
      <c r="CV965" s="81">
        <f>IF(ISNUMBER($AQ965),$AQ965,"")</f>
        <v/>
      </c>
      <c r="CW965" s="81">
        <f>IF(ISNUMBER($AR965),$AR965,"")</f>
        <v/>
      </c>
      <c r="CX965" s="82">
        <f>IF(ISNUMBER($AS965),$AS965/100,"")</f>
        <v/>
      </c>
      <c r="CY965" s="82">
        <f>IF(ISNUMBER($AT965),$AT965/100,"")</f>
        <v/>
      </c>
      <c r="CZ965" s="82">
        <f>IF(ISNUMBER($AU965),$AU965/100,"")</f>
        <v/>
      </c>
      <c r="DA965" s="82">
        <f>IF(ISNUMBER($AV965),$AV965/100,"")</f>
        <v/>
      </c>
      <c r="DB965" s="82">
        <f>IF(ISNUMBER($AW965),$AW965/100,"")</f>
        <v/>
      </c>
      <c r="DC965" s="82">
        <f>IF(ISNUMBER($AX965),$AX965/100,"")</f>
        <v/>
      </c>
      <c r="DD965" s="77">
        <f>IFERROR(VALUE(LEFT(TRIM($AO965&amp;""),4)),"")</f>
        <v/>
      </c>
      <c r="DE965" s="78">
        <f>IF(AND($BY965=1,$BX965=1,OR(fDeal="All Deals",$BU965=fDeal),OR(fEntity="All Entities",$BV965=fEntity),OR(fPType="All Property Types",$BZ965=fPType),OR(fDefeased="Include",$CJ965=0)),1,0)</f>
        <v/>
      </c>
      <c r="DF965" s="83">
        <f>$DE965*N($I965)</f>
        <v/>
      </c>
      <c r="DG965" s="78">
        <f>IF($DE965=1,IF(COUNTIFS($F$8:$F965,$F965,$DE$8:$DE965,1)=1,1,0),0)</f>
        <v/>
      </c>
      <c r="DH965" s="83">
        <f>IF($DG965=1,SUMIFS($DF$8:$DF$1600,$F$8:$F$1600,$F965),0)</f>
        <v/>
      </c>
      <c r="DI965" s="78">
        <f>IF($DG965=1,COUNTIFS($F$8:$F$1600,$F965,$DE$8:$DE$1600,1),0)</f>
        <v/>
      </c>
      <c r="DJ965" s="84">
        <f>IF($DG965=1,$DH965+(100000-ROW())/mTieBreak,0)</f>
        <v/>
      </c>
    </row>
    <row r="966">
      <c r="B966" s="68" t="n">
        <v>26</v>
      </c>
      <c r="C966" s="69" t="inlineStr">
        <is>
          <t>WFC18C43</t>
        </is>
      </c>
      <c r="D966" s="69" t="inlineStr">
        <is>
          <t>26.000</t>
        </is>
      </c>
      <c r="E966" s="69" t="inlineStr">
        <is>
          <t>Twin Oaks Shopping Center</t>
        </is>
      </c>
      <c r="F966" s="69" t="inlineStr">
        <is>
          <t>LNWFC18C43-26.000</t>
        </is>
      </c>
      <c r="G966" s="70" t="n"/>
      <c r="H966" s="71" t="n">
        <v>8025000</v>
      </c>
      <c r="I966" s="71" t="n">
        <v>7248898.930001325</v>
      </c>
      <c r="J966" s="72" t="n">
        <v>5.47</v>
      </c>
      <c r="K966" s="69" t="inlineStr">
        <is>
          <t>Fixed rate</t>
        </is>
      </c>
      <c r="L966" s="68" t="n">
        <v>120</v>
      </c>
      <c r="M966" s="68" t="n">
        <v>18</v>
      </c>
      <c r="N966" s="68" t="n">
        <v>384</v>
      </c>
      <c r="O966" s="68" t="n">
        <v>24</v>
      </c>
      <c r="P966" s="68" t="n">
        <v>0</v>
      </c>
      <c r="Q966" s="68" t="n">
        <v>102</v>
      </c>
      <c r="R966" s="69" t="inlineStr">
        <is>
          <t>IO then Amort</t>
        </is>
      </c>
      <c r="S966" s="69" t="inlineStr">
        <is>
          <t>No</t>
        </is>
      </c>
      <c r="T966" s="73" t="n">
        <v>43160</v>
      </c>
      <c r="U966" s="73" t="n">
        <v>46823</v>
      </c>
      <c r="V966" s="73" t="n"/>
      <c r="W966" s="69" t="n"/>
      <c r="X966" s="69" t="inlineStr">
        <is>
          <t>Current</t>
        </is>
      </c>
      <c r="Y966" s="68" t="n"/>
      <c r="Z966" s="69" t="inlineStr">
        <is>
          <t>No Defeasance Occurred</t>
        </is>
      </c>
      <c r="AA966" s="69" t="inlineStr">
        <is>
          <t>Previously</t>
        </is>
      </c>
      <c r="AB966" s="69" t="inlineStr">
        <is>
          <t>Never special serv</t>
        </is>
      </c>
      <c r="AC966" s="73" t="n"/>
      <c r="AD966" s="69" t="n"/>
      <c r="AE966" s="69" t="n"/>
      <c r="AF966" s="69" t="inlineStr">
        <is>
          <t>AL</t>
        </is>
      </c>
      <c r="AG966" s="69" t="inlineStr">
        <is>
          <t>Montgomery</t>
        </is>
      </c>
      <c r="AH966" s="69" t="inlineStr">
        <is>
          <t>Montgomery, AL</t>
        </is>
      </c>
      <c r="AI966" s="69" t="inlineStr">
        <is>
          <t>South / Central East</t>
        </is>
      </c>
      <c r="AJ966" s="69" t="inlineStr">
        <is>
          <t>RT</t>
        </is>
      </c>
      <c r="AK966" s="69" t="inlineStr">
        <is>
          <t>Anchored</t>
        </is>
      </c>
      <c r="AL966" s="68" t="n">
        <v>1</v>
      </c>
      <c r="AM966" s="68" t="n"/>
      <c r="AN966" s="68" t="n">
        <v>97189</v>
      </c>
      <c r="AO966" s="69" t="inlineStr">
        <is>
          <t>1984</t>
        </is>
      </c>
      <c r="AP966" s="70" t="n">
        <v>2013</v>
      </c>
      <c r="AQ966" s="74" t="n">
        <v>1.34</v>
      </c>
      <c r="AR966" s="74" t="n">
        <v>1.59</v>
      </c>
      <c r="AS966" s="74" t="n">
        <v>75</v>
      </c>
      <c r="AT966" s="74" t="n">
        <v>67.75</v>
      </c>
      <c r="AU966" s="74" t="n">
        <v>65.7</v>
      </c>
      <c r="AV966" s="74" t="n">
        <v>9.102365857000001</v>
      </c>
      <c r="AW966" s="74" t="n">
        <v>10.224678357</v>
      </c>
      <c r="AX966" s="75" t="n">
        <v>98</v>
      </c>
      <c r="AY966" s="71" t="n">
        <v>10700000</v>
      </c>
      <c r="AZ966" s="71" t="n">
        <v>10700000</v>
      </c>
      <c r="BA966" s="71" t="n">
        <v>730464.86</v>
      </c>
      <c r="BB966" s="71" t="n">
        <v>433134.23</v>
      </c>
      <c r="BC966" s="69" t="inlineStr">
        <is>
          <t>Acquisition</t>
        </is>
      </c>
      <c r="BD966" s="69" t="inlineStr">
        <is>
          <t>N</t>
        </is>
      </c>
      <c r="BE966" s="71" t="n"/>
      <c r="BF966" s="71" t="n"/>
      <c r="BG966" s="71" t="n"/>
      <c r="BH966" s="71" t="n">
        <v>0</v>
      </c>
      <c r="BI966" s="71" t="n">
        <v>0</v>
      </c>
      <c r="BJ966" s="69" t="inlineStr">
        <is>
          <t>N</t>
        </is>
      </c>
      <c r="BK966" s="69" t="inlineStr">
        <is>
          <t>TJ Maxx</t>
        </is>
      </c>
      <c r="BL966" s="75" t="n">
        <v>37.86</v>
      </c>
      <c r="BM966" s="73" t="n">
        <v>46538</v>
      </c>
      <c r="BN966" s="69" t="inlineStr">
        <is>
          <t>Daniel Abramson</t>
        </is>
      </c>
      <c r="BO966" s="69" t="inlineStr">
        <is>
          <t>CIII Capital</t>
        </is>
      </c>
      <c r="BP966" s="69" t="inlineStr">
        <is>
          <t>TriMont Real Estate Advisors</t>
        </is>
      </c>
      <c r="BQ966" s="69" t="inlineStr">
        <is>
          <t>K-Star Asset Management LLC</t>
        </is>
      </c>
      <c r="BR966" s="69" t="n"/>
      <c r="BS966" s="73" t="n">
        <v>46276</v>
      </c>
      <c r="BU966" s="76">
        <f>IF($C966="","",IFERROR(INDEX(dmName,MATCH($C966,dmID,0)),"Unmapped"))</f>
        <v/>
      </c>
      <c r="BV966" s="76">
        <f>IF($C966="","",IFERROR(INDEX(dmEntity,MATCH($C966,dmID,0)),"Unmapped"))</f>
        <v/>
      </c>
      <c r="BW966" s="77">
        <f>IF($C966="","",IFERROR(INDEX(dmVintage,MATCH($C966,dmID,0)),""))</f>
        <v/>
      </c>
      <c r="BX966" s="78">
        <f>IFERROR(INDEX(dmInclude,MATCH($C966,dmID,0)),0)</f>
        <v/>
      </c>
      <c r="BY966" s="78">
        <f>IF(N($I966)&gt;0,1,0)</f>
        <v/>
      </c>
      <c r="BZ966" s="76">
        <f>IF($AJ966="","Other / Leased Fee",IFERROR(INDEX(mapPTGroup,MATCH(LEFT(TRIM($AJ966),2),mapPTCode,0)),"Other / Leased Fee"))</f>
        <v/>
      </c>
      <c r="CA966" s="76">
        <f>IF(TRIM($AF966&amp;"")="","NR",LEFT(TRIM($AF966),2))</f>
        <v/>
      </c>
      <c r="CB966" s="76">
        <f>IFERROR(LOOKUP(2,1/(LEFT(TRIM($AI966&amp;""),LEN(mapRegion))=mapRegion),mapRegion),"Not Reported")</f>
        <v/>
      </c>
      <c r="CC966" s="76">
        <f>IF($BY966=0,"",IF(TRIM($W966&amp;"")="REO","REO",IF(TRIM($W966&amp;"")="FC","Foreclosure",IF(TRIM($W966&amp;"")="90+","90+ Days Delinquent",IF(TRIM($W966&amp;"")="60","60 Days Delinquent",IF(TRIM($W966&amp;"")="30","30 Days Delinquent",IF($X966="Non-Performing Matured Balloon","Non-Performing Matured Balloon",IF(OR($X966="Late Payment But Less Than 30 Days Delinquent",LEFT($X966&amp;"",20)="Payment Not Received"),"Late / In Grace (&lt;30 Days)",IF($X966="Performing Matured Balloon","Performing Matured Balloon","Current")))))))))</f>
        <v/>
      </c>
      <c r="CD966" s="78">
        <f>IF(OR($CC966="REO",$CC966="Foreclosure",$CC966="90+ Days Delinquent",$CC966="60 Days Delinquent",$CC966="30 Days Delinquent",$CC966="Non-Performing Matured Balloon"),1,0)</f>
        <v/>
      </c>
      <c r="CE966" s="76">
        <f>IF($AB966="Currently special serv","Currently Specially Serviced",IF($AB966="Returned to master serv","Previously Specially Serviced","Never Specially Serviced"))</f>
        <v/>
      </c>
      <c r="CF966" s="78">
        <f>IF($CE966="Currently Specially Serviced",1,0)</f>
        <v/>
      </c>
      <c r="CG966" s="76">
        <f>IF($AA966="Yes","Currently on Watchlist",IF($AA966="Previously","Previously on Watchlist","Never on Watchlist"))</f>
        <v/>
      </c>
      <c r="CH966" s="78">
        <f>IF($CG966="Currently on Watchlist",1,0)</f>
        <v/>
      </c>
      <c r="CI966" s="76">
        <f>IF($Z966="Full Defeasance","Fully Defeased",IF($Z966="Portion Of Loan Previously Defeased","Partially Defeased",IF($Z966="Defeasance Not Allowable","Not Defeased (Not Permitted)","Not Defeased")))</f>
        <v/>
      </c>
      <c r="CJ966" s="78">
        <f>IF($CI966="Fully Defeased",1,0)</f>
        <v/>
      </c>
      <c r="CK966" s="76">
        <f>IF($R966="IO","Full IO",IF(LEFT($R966&amp;"",7)="IO then","Partial IO","Amortizing"))</f>
        <v/>
      </c>
      <c r="CL966" s="78">
        <f>IF($CK966="Full IO",1,0)</f>
        <v/>
      </c>
      <c r="CM966" s="78">
        <f>IF($CK966="Partial IO",1,0)</f>
        <v/>
      </c>
      <c r="CN966" s="76">
        <f>IF(LEFT($F966&amp;"",10)="SPLIT_LOAN","Pari Passu Split","Standalone")</f>
        <v/>
      </c>
      <c r="CO966" s="78">
        <f>IF($CN966="Pari Passu Split",1,0)</f>
        <v/>
      </c>
      <c r="CP966" s="77">
        <f>IF(ISNUMBER($T966),YEAR($T966),"")</f>
        <v/>
      </c>
      <c r="CQ966" s="79">
        <f>IF(ISNUMBER($V966),$V966,IF(ISNUMBER($U966),$U966,""))</f>
        <v/>
      </c>
      <c r="CR966" s="77">
        <f>IF(ISNUMBER($CQ966),YEAR($CQ966),"")</f>
        <v/>
      </c>
      <c r="CS966" s="78">
        <f>IF(ISNUMBER($M966),MAX(0,$M966),IF(TRIM($M966&amp;"")="matured",0,""))</f>
        <v/>
      </c>
      <c r="CT966" s="78">
        <f>IF(AND(ISNUMBER($CS966),N($CS966)&lt;=mMatWindow),1,0)</f>
        <v/>
      </c>
      <c r="CU966" s="80">
        <f>IF(ISNUMBER($J966),$J966/100,"")</f>
        <v/>
      </c>
      <c r="CV966" s="81">
        <f>IF(ISNUMBER($AQ966),$AQ966,"")</f>
        <v/>
      </c>
      <c r="CW966" s="81">
        <f>IF(ISNUMBER($AR966),$AR966,"")</f>
        <v/>
      </c>
      <c r="CX966" s="82">
        <f>IF(ISNUMBER($AS966),$AS966/100,"")</f>
        <v/>
      </c>
      <c r="CY966" s="82">
        <f>IF(ISNUMBER($AT966),$AT966/100,"")</f>
        <v/>
      </c>
      <c r="CZ966" s="82">
        <f>IF(ISNUMBER($AU966),$AU966/100,"")</f>
        <v/>
      </c>
      <c r="DA966" s="82">
        <f>IF(ISNUMBER($AV966),$AV966/100,"")</f>
        <v/>
      </c>
      <c r="DB966" s="82">
        <f>IF(ISNUMBER($AW966),$AW966/100,"")</f>
        <v/>
      </c>
      <c r="DC966" s="82">
        <f>IF(ISNUMBER($AX966),$AX966/100,"")</f>
        <v/>
      </c>
      <c r="DD966" s="77">
        <f>IFERROR(VALUE(LEFT(TRIM($AO966&amp;""),4)),"")</f>
        <v/>
      </c>
      <c r="DE966" s="78">
        <f>IF(AND($BY966=1,$BX966=1,OR(fDeal="All Deals",$BU966=fDeal),OR(fEntity="All Entities",$BV966=fEntity),OR(fPType="All Property Types",$BZ966=fPType),OR(fDefeased="Include",$CJ966=0)),1,0)</f>
        <v/>
      </c>
      <c r="DF966" s="83">
        <f>$DE966*N($I966)</f>
        <v/>
      </c>
      <c r="DG966" s="78">
        <f>IF($DE966=1,IF(COUNTIFS($F$8:$F966,$F966,$DE$8:$DE966,1)=1,1,0),0)</f>
        <v/>
      </c>
      <c r="DH966" s="83">
        <f>IF($DG966=1,SUMIFS($DF$8:$DF$1600,$F$8:$F$1600,$F966),0)</f>
        <v/>
      </c>
      <c r="DI966" s="78">
        <f>IF($DG966=1,COUNTIFS($F$8:$F$1600,$F966,$DE$8:$DE$1600,1),0)</f>
        <v/>
      </c>
      <c r="DJ966" s="84">
        <f>IF($DG966=1,$DH966+(100000-ROW())/mTieBreak,0)</f>
        <v/>
      </c>
    </row>
    <row r="967">
      <c r="B967" s="68" t="n">
        <v>27</v>
      </c>
      <c r="C967" s="69" t="inlineStr">
        <is>
          <t>WFC18C43</t>
        </is>
      </c>
      <c r="D967" s="69" t="inlineStr">
        <is>
          <t>27.000</t>
        </is>
      </c>
      <c r="E967" s="69" t="inlineStr">
        <is>
          <t>Lakeville and Marina</t>
        </is>
      </c>
      <c r="F967" s="69" t="inlineStr">
        <is>
          <t>LNWFC18C43-27.000</t>
        </is>
      </c>
      <c r="G967" s="70" t="n"/>
      <c r="H967" s="71" t="n">
        <v>7930000</v>
      </c>
      <c r="I967" s="71" t="n">
        <v>7011237.33999754</v>
      </c>
      <c r="J967" s="72" t="n">
        <v>4.6</v>
      </c>
      <c r="K967" s="69" t="inlineStr">
        <is>
          <t>Fixed rate</t>
        </is>
      </c>
      <c r="L967" s="68" t="n">
        <v>120</v>
      </c>
      <c r="M967" s="68" t="n">
        <v>16</v>
      </c>
      <c r="N967" s="68" t="n">
        <v>384</v>
      </c>
      <c r="O967" s="68" t="n">
        <v>24</v>
      </c>
      <c r="P967" s="68" t="n">
        <v>0</v>
      </c>
      <c r="Q967" s="68" t="n">
        <v>104</v>
      </c>
      <c r="R967" s="69" t="inlineStr">
        <is>
          <t>IO then Amort</t>
        </is>
      </c>
      <c r="S967" s="69" t="inlineStr">
        <is>
          <t>No</t>
        </is>
      </c>
      <c r="T967" s="73" t="n">
        <v>43101</v>
      </c>
      <c r="U967" s="73" t="n">
        <v>46763</v>
      </c>
      <c r="V967" s="73" t="n"/>
      <c r="W967" s="69" t="n"/>
      <c r="X967" s="69" t="inlineStr">
        <is>
          <t>Current</t>
        </is>
      </c>
      <c r="Y967" s="68" t="n"/>
      <c r="Z967" s="69" t="inlineStr">
        <is>
          <t>No Defeasance Occurred</t>
        </is>
      </c>
      <c r="AA967" s="69" t="inlineStr">
        <is>
          <t>Yes</t>
        </is>
      </c>
      <c r="AB967" s="69" t="inlineStr">
        <is>
          <t>Never special serv</t>
        </is>
      </c>
      <c r="AC967" s="73" t="n"/>
      <c r="AD967" s="69" t="n"/>
      <c r="AE967" s="69" t="n"/>
      <c r="AF967" s="69" t="inlineStr">
        <is>
          <t>CA</t>
        </is>
      </c>
      <c r="AG967" s="69" t="inlineStr">
        <is>
          <t>Petaluma</t>
        </is>
      </c>
      <c r="AH967" s="69" t="inlineStr">
        <is>
          <t>Santa Rosa-Petaluma, CA</t>
        </is>
      </c>
      <c r="AI967" s="69" t="inlineStr">
        <is>
          <t>West / Pacific North</t>
        </is>
      </c>
      <c r="AJ967" s="69" t="inlineStr">
        <is>
          <t>MX</t>
        </is>
      </c>
      <c r="AK967" s="69" t="inlineStr">
        <is>
          <t>Office/Industrial</t>
        </is>
      </c>
      <c r="AL967" s="68" t="n">
        <v>1</v>
      </c>
      <c r="AM967" s="68" t="n"/>
      <c r="AN967" s="68" t="n">
        <v>72157</v>
      </c>
      <c r="AO967" s="69" t="inlineStr">
        <is>
          <t>1999</t>
        </is>
      </c>
      <c r="AP967" s="70" t="n">
        <v>1999</v>
      </c>
      <c r="AQ967" s="74" t="n">
        <v>1.53</v>
      </c>
      <c r="AR967" s="74" t="n">
        <v>0.53</v>
      </c>
      <c r="AS967" s="74" t="n">
        <v>66.59999999999999</v>
      </c>
      <c r="AT967" s="74" t="n">
        <v>58.92</v>
      </c>
      <c r="AU967" s="74" t="n">
        <v>57.1</v>
      </c>
      <c r="AV967" s="74" t="n">
        <v>9.430025220999999</v>
      </c>
      <c r="AW967" s="74" t="n">
        <v>15.650210181</v>
      </c>
      <c r="AX967" s="75" t="n">
        <v>18</v>
      </c>
      <c r="AY967" s="71" t="n">
        <v>11900000</v>
      </c>
      <c r="AZ967" s="71" t="n">
        <v>11900000</v>
      </c>
      <c r="BA967" s="71" t="n">
        <v>747801</v>
      </c>
      <c r="BB967" s="71" t="n">
        <v>130071.29</v>
      </c>
      <c r="BC967" s="69" t="inlineStr">
        <is>
          <t>Refinance</t>
        </is>
      </c>
      <c r="BD967" s="69" t="inlineStr">
        <is>
          <t>N</t>
        </is>
      </c>
      <c r="BE967" s="71" t="n"/>
      <c r="BF967" s="71" t="n"/>
      <c r="BG967" s="71" t="n"/>
      <c r="BH967" s="71" t="n">
        <v>0</v>
      </c>
      <c r="BI967" s="71" t="n">
        <v>0</v>
      </c>
      <c r="BJ967" s="69" t="inlineStr">
        <is>
          <t>N</t>
        </is>
      </c>
      <c r="BK967" s="69" t="inlineStr">
        <is>
          <t>Stemple Creek Meat Company  Inc.</t>
        </is>
      </c>
      <c r="BL967" s="75" t="n">
        <v>18.35</v>
      </c>
      <c r="BM967" s="73" t="n">
        <v>47968</v>
      </c>
      <c r="BN967" s="69" t="inlineStr">
        <is>
          <t>Lakeville White LLC; Lakeville Frazer LLC; Lakeville Amerivine LLC; Lakeville Heck LLC; Lakeville Wheeler LLC; Matthew T. White; Matthew White Family Trust Dated March 1, 2002</t>
        </is>
      </c>
      <c r="BO967" s="69" t="inlineStr">
        <is>
          <t>Wells Fargo</t>
        </is>
      </c>
      <c r="BP967" s="69" t="inlineStr">
        <is>
          <t>TriMont Real Estate Advisors</t>
        </is>
      </c>
      <c r="BQ967" s="69" t="inlineStr">
        <is>
          <t>K-Star Asset Management LLC</t>
        </is>
      </c>
      <c r="BR967" s="69" t="n"/>
      <c r="BS967" s="73" t="n">
        <v>46276</v>
      </c>
      <c r="BU967" s="76">
        <f>IF($C967="","",IFERROR(INDEX(dmName,MATCH($C967,dmID,0)),"Unmapped"))</f>
        <v/>
      </c>
      <c r="BV967" s="76">
        <f>IF($C967="","",IFERROR(INDEX(dmEntity,MATCH($C967,dmID,0)),"Unmapped"))</f>
        <v/>
      </c>
      <c r="BW967" s="77">
        <f>IF($C967="","",IFERROR(INDEX(dmVintage,MATCH($C967,dmID,0)),""))</f>
        <v/>
      </c>
      <c r="BX967" s="78">
        <f>IFERROR(INDEX(dmInclude,MATCH($C967,dmID,0)),0)</f>
        <v/>
      </c>
      <c r="BY967" s="78">
        <f>IF(N($I967)&gt;0,1,0)</f>
        <v/>
      </c>
      <c r="BZ967" s="76">
        <f>IF($AJ967="","Other / Leased Fee",IFERROR(INDEX(mapPTGroup,MATCH(LEFT(TRIM($AJ967),2),mapPTCode,0)),"Other / Leased Fee"))</f>
        <v/>
      </c>
      <c r="CA967" s="76">
        <f>IF(TRIM($AF967&amp;"")="","NR",LEFT(TRIM($AF967),2))</f>
        <v/>
      </c>
      <c r="CB967" s="76">
        <f>IFERROR(LOOKUP(2,1/(LEFT(TRIM($AI967&amp;""),LEN(mapRegion))=mapRegion),mapRegion),"Not Reported")</f>
        <v/>
      </c>
      <c r="CC967" s="76">
        <f>IF($BY967=0,"",IF(TRIM($W967&amp;"")="REO","REO",IF(TRIM($W967&amp;"")="FC","Foreclosure",IF(TRIM($W967&amp;"")="90+","90+ Days Delinquent",IF(TRIM($W967&amp;"")="60","60 Days Delinquent",IF(TRIM($W967&amp;"")="30","30 Days Delinquent",IF($X967="Non-Performing Matured Balloon","Non-Performing Matured Balloon",IF(OR($X967="Late Payment But Less Than 30 Days Delinquent",LEFT($X967&amp;"",20)="Payment Not Received"),"Late / In Grace (&lt;30 Days)",IF($X967="Performing Matured Balloon","Performing Matured Balloon","Current")))))))))</f>
        <v/>
      </c>
      <c r="CD967" s="78">
        <f>IF(OR($CC967="REO",$CC967="Foreclosure",$CC967="90+ Days Delinquent",$CC967="60 Days Delinquent",$CC967="30 Days Delinquent",$CC967="Non-Performing Matured Balloon"),1,0)</f>
        <v/>
      </c>
      <c r="CE967" s="76">
        <f>IF($AB967="Currently special serv","Currently Specially Serviced",IF($AB967="Returned to master serv","Previously Specially Serviced","Never Specially Serviced"))</f>
        <v/>
      </c>
      <c r="CF967" s="78">
        <f>IF($CE967="Currently Specially Serviced",1,0)</f>
        <v/>
      </c>
      <c r="CG967" s="76">
        <f>IF($AA967="Yes","Currently on Watchlist",IF($AA967="Previously","Previously on Watchlist","Never on Watchlist"))</f>
        <v/>
      </c>
      <c r="CH967" s="78">
        <f>IF($CG967="Currently on Watchlist",1,0)</f>
        <v/>
      </c>
      <c r="CI967" s="76">
        <f>IF($Z967="Full Defeasance","Fully Defeased",IF($Z967="Portion Of Loan Previously Defeased","Partially Defeased",IF($Z967="Defeasance Not Allowable","Not Defeased (Not Permitted)","Not Defeased")))</f>
        <v/>
      </c>
      <c r="CJ967" s="78">
        <f>IF($CI967="Fully Defeased",1,0)</f>
        <v/>
      </c>
      <c r="CK967" s="76">
        <f>IF($R967="IO","Full IO",IF(LEFT($R967&amp;"",7)="IO then","Partial IO","Amortizing"))</f>
        <v/>
      </c>
      <c r="CL967" s="78">
        <f>IF($CK967="Full IO",1,0)</f>
        <v/>
      </c>
      <c r="CM967" s="78">
        <f>IF($CK967="Partial IO",1,0)</f>
        <v/>
      </c>
      <c r="CN967" s="76">
        <f>IF(LEFT($F967&amp;"",10)="SPLIT_LOAN","Pari Passu Split","Standalone")</f>
        <v/>
      </c>
      <c r="CO967" s="78">
        <f>IF($CN967="Pari Passu Split",1,0)</f>
        <v/>
      </c>
      <c r="CP967" s="77">
        <f>IF(ISNUMBER($T967),YEAR($T967),"")</f>
        <v/>
      </c>
      <c r="CQ967" s="79">
        <f>IF(ISNUMBER($V967),$V967,IF(ISNUMBER($U967),$U967,""))</f>
        <v/>
      </c>
      <c r="CR967" s="77">
        <f>IF(ISNUMBER($CQ967),YEAR($CQ967),"")</f>
        <v/>
      </c>
      <c r="CS967" s="78">
        <f>IF(ISNUMBER($M967),MAX(0,$M967),IF(TRIM($M967&amp;"")="matured",0,""))</f>
        <v/>
      </c>
      <c r="CT967" s="78">
        <f>IF(AND(ISNUMBER($CS967),N($CS967)&lt;=mMatWindow),1,0)</f>
        <v/>
      </c>
      <c r="CU967" s="80">
        <f>IF(ISNUMBER($J967),$J967/100,"")</f>
        <v/>
      </c>
      <c r="CV967" s="81">
        <f>IF(ISNUMBER($AQ967),$AQ967,"")</f>
        <v/>
      </c>
      <c r="CW967" s="81">
        <f>IF(ISNUMBER($AR967),$AR967,"")</f>
        <v/>
      </c>
      <c r="CX967" s="82">
        <f>IF(ISNUMBER($AS967),$AS967/100,"")</f>
        <v/>
      </c>
      <c r="CY967" s="82">
        <f>IF(ISNUMBER($AT967),$AT967/100,"")</f>
        <v/>
      </c>
      <c r="CZ967" s="82">
        <f>IF(ISNUMBER($AU967),$AU967/100,"")</f>
        <v/>
      </c>
      <c r="DA967" s="82">
        <f>IF(ISNUMBER($AV967),$AV967/100,"")</f>
        <v/>
      </c>
      <c r="DB967" s="82">
        <f>IF(ISNUMBER($AW967),$AW967/100,"")</f>
        <v/>
      </c>
      <c r="DC967" s="82">
        <f>IF(ISNUMBER($AX967),$AX967/100,"")</f>
        <v/>
      </c>
      <c r="DD967" s="77">
        <f>IFERROR(VALUE(LEFT(TRIM($AO967&amp;""),4)),"")</f>
        <v/>
      </c>
      <c r="DE967" s="78">
        <f>IF(AND($BY967=1,$BX967=1,OR(fDeal="All Deals",$BU967=fDeal),OR(fEntity="All Entities",$BV967=fEntity),OR(fPType="All Property Types",$BZ967=fPType),OR(fDefeased="Include",$CJ967=0)),1,0)</f>
        <v/>
      </c>
      <c r="DF967" s="83">
        <f>$DE967*N($I967)</f>
        <v/>
      </c>
      <c r="DG967" s="78">
        <f>IF($DE967=1,IF(COUNTIFS($F$8:$F967,$F967,$DE$8:$DE967,1)=1,1,0),0)</f>
        <v/>
      </c>
      <c r="DH967" s="83">
        <f>IF($DG967=1,SUMIFS($DF$8:$DF$1600,$F$8:$F$1600,$F967),0)</f>
        <v/>
      </c>
      <c r="DI967" s="78">
        <f>IF($DG967=1,COUNTIFS($F$8:$F$1600,$F967,$DE$8:$DE$1600,1),0)</f>
        <v/>
      </c>
      <c r="DJ967" s="84">
        <f>IF($DG967=1,$DH967+(100000-ROW())/mTieBreak,0)</f>
        <v/>
      </c>
    </row>
    <row r="968">
      <c r="B968" s="68" t="n">
        <v>28</v>
      </c>
      <c r="C968" s="69" t="inlineStr">
        <is>
          <t>WFC18C43</t>
        </is>
      </c>
      <c r="D968" s="69" t="inlineStr">
        <is>
          <t>28.000</t>
        </is>
      </c>
      <c r="E968" s="69" t="inlineStr">
        <is>
          <t>ACG Conlon MHC Portfolio V</t>
        </is>
      </c>
      <c r="F968" s="69" t="inlineStr">
        <is>
          <t>LNWFC18C43-28.000</t>
        </is>
      </c>
      <c r="G968" s="70" t="n"/>
      <c r="H968" s="71" t="n">
        <v>7640000</v>
      </c>
      <c r="I968" s="71" t="n">
        <v>6907695.890003281</v>
      </c>
      <c r="J968" s="72" t="n">
        <v>5.52</v>
      </c>
      <c r="K968" s="69" t="inlineStr">
        <is>
          <t>Fixed rate</t>
        </is>
      </c>
      <c r="L968" s="68" t="n">
        <v>117</v>
      </c>
      <c r="M968" s="68" t="n">
        <v>15</v>
      </c>
      <c r="N968" s="68" t="n">
        <v>384</v>
      </c>
      <c r="O968" s="68" t="n">
        <v>24</v>
      </c>
      <c r="P968" s="68" t="n">
        <v>0</v>
      </c>
      <c r="Q968" s="68" t="n">
        <v>102</v>
      </c>
      <c r="R968" s="69" t="inlineStr">
        <is>
          <t>IO then Amort</t>
        </is>
      </c>
      <c r="S968" s="69" t="inlineStr">
        <is>
          <t>No</t>
        </is>
      </c>
      <c r="T968" s="73" t="n">
        <v>43160</v>
      </c>
      <c r="U968" s="73" t="n">
        <v>46727</v>
      </c>
      <c r="V968" s="73" t="n"/>
      <c r="W968" s="69" t="n"/>
      <c r="X968" s="69" t="inlineStr">
        <is>
          <t>Current</t>
        </is>
      </c>
      <c r="Y968" s="68" t="n"/>
      <c r="Z968" s="69" t="inlineStr">
        <is>
          <t>Full Defeasance</t>
        </is>
      </c>
      <c r="AA968" s="69" t="n"/>
      <c r="AB968" s="69" t="inlineStr">
        <is>
          <t>Never special serv</t>
        </is>
      </c>
      <c r="AC968" s="73" t="n"/>
      <c r="AD968" s="69" t="n"/>
      <c r="AE968" s="69" t="n"/>
      <c r="AF968" s="69" t="inlineStr">
        <is>
          <t>SC-72.251309981% NC-27.748690019%</t>
        </is>
      </c>
      <c r="AG968" s="69" t="n"/>
      <c r="AH968" s="69" t="inlineStr">
        <is>
          <t>Greenville-Anderson-Greer, SC-47.513089926% Burlington, NC-27.748690019% Spartanburg, SC-24.738220055%</t>
        </is>
      </c>
      <c r="AI968" s="69" t="inlineStr">
        <is>
          <t>South / Atlantic</t>
        </is>
      </c>
      <c r="AJ968" s="69" t="inlineStr">
        <is>
          <t>MH</t>
        </is>
      </c>
      <c r="AK968" s="69" t="n"/>
      <c r="AL968" s="68" t="n">
        <v>4</v>
      </c>
      <c r="AM968" s="68" t="n">
        <v>349</v>
      </c>
      <c r="AN968" s="68" t="n"/>
      <c r="AO968" s="69" t="n"/>
      <c r="AP968" s="70" t="n">
        <v>1997</v>
      </c>
      <c r="AQ968" s="74" t="n">
        <v>1.36</v>
      </c>
      <c r="AR968" s="74" t="n">
        <v>1.96</v>
      </c>
      <c r="AS968" s="74" t="n">
        <v>72.40000000000001</v>
      </c>
      <c r="AT968" s="74" t="n">
        <v>65.48</v>
      </c>
      <c r="AU968" s="74" t="n">
        <v>63.5</v>
      </c>
      <c r="AV968" s="74" t="n">
        <v>9.276649215000001</v>
      </c>
      <c r="AW968" s="74" t="n">
        <v>11.037008753</v>
      </c>
      <c r="AX968" s="75" t="n">
        <v>91</v>
      </c>
      <c r="AY968" s="71" t="n">
        <v>10550000</v>
      </c>
      <c r="AZ968" s="71" t="n">
        <v>10550000</v>
      </c>
      <c r="BA968" s="71" t="n">
        <v>708736</v>
      </c>
      <c r="BB968" s="71" t="n">
        <v>720135.3199999999</v>
      </c>
      <c r="BC968" s="69" t="inlineStr">
        <is>
          <t>Acquisition/Refinance</t>
        </is>
      </c>
      <c r="BD968" s="69" t="inlineStr">
        <is>
          <t>N</t>
        </is>
      </c>
      <c r="BE968" s="71" t="n"/>
      <c r="BF968" s="71" t="n"/>
      <c r="BG968" s="71" t="n"/>
      <c r="BH968" s="71" t="n">
        <v>0</v>
      </c>
      <c r="BI968" s="71" t="n">
        <v>0</v>
      </c>
      <c r="BJ968" s="69" t="inlineStr">
        <is>
          <t>N</t>
        </is>
      </c>
      <c r="BK968" s="69" t="n"/>
      <c r="BL968" s="75" t="n"/>
      <c r="BM968" s="73" t="n"/>
      <c r="BN968" s="69" t="inlineStr">
        <is>
          <t>Michael Conlon</t>
        </is>
      </c>
      <c r="BO968" s="69" t="inlineStr">
        <is>
          <t>RMF</t>
        </is>
      </c>
      <c r="BP968" s="69" t="inlineStr">
        <is>
          <t>TriMont Real Estate Advisors</t>
        </is>
      </c>
      <c r="BQ968" s="69" t="inlineStr">
        <is>
          <t>K-Star Asset Management LLC</t>
        </is>
      </c>
      <c r="BR968" s="69" t="n"/>
      <c r="BS968" s="73" t="n">
        <v>46276</v>
      </c>
      <c r="BU968" s="76">
        <f>IF($C968="","",IFERROR(INDEX(dmName,MATCH($C968,dmID,0)),"Unmapped"))</f>
        <v/>
      </c>
      <c r="BV968" s="76">
        <f>IF($C968="","",IFERROR(INDEX(dmEntity,MATCH($C968,dmID,0)),"Unmapped"))</f>
        <v/>
      </c>
      <c r="BW968" s="77">
        <f>IF($C968="","",IFERROR(INDEX(dmVintage,MATCH($C968,dmID,0)),""))</f>
        <v/>
      </c>
      <c r="BX968" s="78">
        <f>IFERROR(INDEX(dmInclude,MATCH($C968,dmID,0)),0)</f>
        <v/>
      </c>
      <c r="BY968" s="78">
        <f>IF(N($I968)&gt;0,1,0)</f>
        <v/>
      </c>
      <c r="BZ968" s="76">
        <f>IF($AJ968="","Other / Leased Fee",IFERROR(INDEX(mapPTGroup,MATCH(LEFT(TRIM($AJ968),2),mapPTCode,0)),"Other / Leased Fee"))</f>
        <v/>
      </c>
      <c r="CA968" s="76">
        <f>IF(TRIM($AF968&amp;"")="","NR",LEFT(TRIM($AF968),2))</f>
        <v/>
      </c>
      <c r="CB968" s="76">
        <f>IFERROR(LOOKUP(2,1/(LEFT(TRIM($AI968&amp;""),LEN(mapRegion))=mapRegion),mapRegion),"Not Reported")</f>
        <v/>
      </c>
      <c r="CC968" s="76">
        <f>IF($BY968=0,"",IF(TRIM($W968&amp;"")="REO","REO",IF(TRIM($W968&amp;"")="FC","Foreclosure",IF(TRIM($W968&amp;"")="90+","90+ Days Delinquent",IF(TRIM($W968&amp;"")="60","60 Days Delinquent",IF(TRIM($W968&amp;"")="30","30 Days Delinquent",IF($X968="Non-Performing Matured Balloon","Non-Performing Matured Balloon",IF(OR($X968="Late Payment But Less Than 30 Days Delinquent",LEFT($X968&amp;"",20)="Payment Not Received"),"Late / In Grace (&lt;30 Days)",IF($X968="Performing Matured Balloon","Performing Matured Balloon","Current")))))))))</f>
        <v/>
      </c>
      <c r="CD968" s="78">
        <f>IF(OR($CC968="REO",$CC968="Foreclosure",$CC968="90+ Days Delinquent",$CC968="60 Days Delinquent",$CC968="30 Days Delinquent",$CC968="Non-Performing Matured Balloon"),1,0)</f>
        <v/>
      </c>
      <c r="CE968" s="76">
        <f>IF($AB968="Currently special serv","Currently Specially Serviced",IF($AB968="Returned to master serv","Previously Specially Serviced","Never Specially Serviced"))</f>
        <v/>
      </c>
      <c r="CF968" s="78">
        <f>IF($CE968="Currently Specially Serviced",1,0)</f>
        <v/>
      </c>
      <c r="CG968" s="76">
        <f>IF($AA968="Yes","Currently on Watchlist",IF($AA968="Previously","Previously on Watchlist","Never on Watchlist"))</f>
        <v/>
      </c>
      <c r="CH968" s="78">
        <f>IF($CG968="Currently on Watchlist",1,0)</f>
        <v/>
      </c>
      <c r="CI968" s="76">
        <f>IF($Z968="Full Defeasance","Fully Defeased",IF($Z968="Portion Of Loan Previously Defeased","Partially Defeased",IF($Z968="Defeasance Not Allowable","Not Defeased (Not Permitted)","Not Defeased")))</f>
        <v/>
      </c>
      <c r="CJ968" s="78">
        <f>IF($CI968="Fully Defeased",1,0)</f>
        <v/>
      </c>
      <c r="CK968" s="76">
        <f>IF($R968="IO","Full IO",IF(LEFT($R968&amp;"",7)="IO then","Partial IO","Amortizing"))</f>
        <v/>
      </c>
      <c r="CL968" s="78">
        <f>IF($CK968="Full IO",1,0)</f>
        <v/>
      </c>
      <c r="CM968" s="78">
        <f>IF($CK968="Partial IO",1,0)</f>
        <v/>
      </c>
      <c r="CN968" s="76">
        <f>IF(LEFT($F968&amp;"",10)="SPLIT_LOAN","Pari Passu Split","Standalone")</f>
        <v/>
      </c>
      <c r="CO968" s="78">
        <f>IF($CN968="Pari Passu Split",1,0)</f>
        <v/>
      </c>
      <c r="CP968" s="77">
        <f>IF(ISNUMBER($T968),YEAR($T968),"")</f>
        <v/>
      </c>
      <c r="CQ968" s="79">
        <f>IF(ISNUMBER($V968),$V968,IF(ISNUMBER($U968),$U968,""))</f>
        <v/>
      </c>
      <c r="CR968" s="77">
        <f>IF(ISNUMBER($CQ968),YEAR($CQ968),"")</f>
        <v/>
      </c>
      <c r="CS968" s="78">
        <f>IF(ISNUMBER($M968),MAX(0,$M968),IF(TRIM($M968&amp;"")="matured",0,""))</f>
        <v/>
      </c>
      <c r="CT968" s="78">
        <f>IF(AND(ISNUMBER($CS968),N($CS968)&lt;=mMatWindow),1,0)</f>
        <v/>
      </c>
      <c r="CU968" s="80">
        <f>IF(ISNUMBER($J968),$J968/100,"")</f>
        <v/>
      </c>
      <c r="CV968" s="81">
        <f>IF(ISNUMBER($AQ968),$AQ968,"")</f>
        <v/>
      </c>
      <c r="CW968" s="81">
        <f>IF(ISNUMBER($AR968),$AR968,"")</f>
        <v/>
      </c>
      <c r="CX968" s="82">
        <f>IF(ISNUMBER($AS968),$AS968/100,"")</f>
        <v/>
      </c>
      <c r="CY968" s="82">
        <f>IF(ISNUMBER($AT968),$AT968/100,"")</f>
        <v/>
      </c>
      <c r="CZ968" s="82">
        <f>IF(ISNUMBER($AU968),$AU968/100,"")</f>
        <v/>
      </c>
      <c r="DA968" s="82">
        <f>IF(ISNUMBER($AV968),$AV968/100,"")</f>
        <v/>
      </c>
      <c r="DB968" s="82">
        <f>IF(ISNUMBER($AW968),$AW968/100,"")</f>
        <v/>
      </c>
      <c r="DC968" s="82">
        <f>IF(ISNUMBER($AX968),$AX968/100,"")</f>
        <v/>
      </c>
      <c r="DD968" s="77">
        <f>IFERROR(VALUE(LEFT(TRIM($AO968&amp;""),4)),"")</f>
        <v/>
      </c>
      <c r="DE968" s="78">
        <f>IF(AND($BY968=1,$BX968=1,OR(fDeal="All Deals",$BU968=fDeal),OR(fEntity="All Entities",$BV968=fEntity),OR(fPType="All Property Types",$BZ968=fPType),OR(fDefeased="Include",$CJ968=0)),1,0)</f>
        <v/>
      </c>
      <c r="DF968" s="83">
        <f>$DE968*N($I968)</f>
        <v/>
      </c>
      <c r="DG968" s="78">
        <f>IF($DE968=1,IF(COUNTIFS($F$8:$F968,$F968,$DE$8:$DE968,1)=1,1,0),0)</f>
        <v/>
      </c>
      <c r="DH968" s="83">
        <f>IF($DG968=1,SUMIFS($DF$8:$DF$1600,$F$8:$F$1600,$F968),0)</f>
        <v/>
      </c>
      <c r="DI968" s="78">
        <f>IF($DG968=1,COUNTIFS($F$8:$F$1600,$F968,$DE$8:$DE$1600,1),0)</f>
        <v/>
      </c>
      <c r="DJ968" s="84">
        <f>IF($DG968=1,$DH968+(100000-ROW())/mTieBreak,0)</f>
        <v/>
      </c>
    </row>
    <row r="969">
      <c r="B969" s="68" t="n">
        <v>29</v>
      </c>
      <c r="C969" s="69" t="inlineStr">
        <is>
          <t>WFC18C43</t>
        </is>
      </c>
      <c r="D969" s="69" t="inlineStr">
        <is>
          <t>29.000</t>
        </is>
      </c>
      <c r="E969" s="69" t="inlineStr">
        <is>
          <t>2222-2226 Cleveland Avenue</t>
        </is>
      </c>
      <c r="F969" s="69" t="inlineStr">
        <is>
          <t>LNWFC18C43-29.000</t>
        </is>
      </c>
      <c r="G969" s="70" t="n"/>
      <c r="H969" s="71" t="n">
        <v>7535000</v>
      </c>
      <c r="I969" s="71" t="n">
        <v>7535000</v>
      </c>
      <c r="J969" s="72" t="n">
        <v>3.863</v>
      </c>
      <c r="K969" s="69" t="inlineStr">
        <is>
          <t>Fixed rate</t>
        </is>
      </c>
      <c r="L969" s="68" t="n">
        <v>120</v>
      </c>
      <c r="M969" s="68" t="n">
        <v>16</v>
      </c>
      <c r="N969" s="68" t="n">
        <v>120</v>
      </c>
      <c r="O969" s="68" t="n">
        <v>120</v>
      </c>
      <c r="P969" s="68" t="n">
        <v>16</v>
      </c>
      <c r="Q969" s="68" t="n">
        <v>104</v>
      </c>
      <c r="R969" s="69" t="inlineStr">
        <is>
          <t>IO</t>
        </is>
      </c>
      <c r="S969" s="69" t="inlineStr">
        <is>
          <t>Yes</t>
        </is>
      </c>
      <c r="T969" s="73" t="n">
        <v>43101</v>
      </c>
      <c r="U969" s="73" t="n">
        <v>46758</v>
      </c>
      <c r="V969" s="73" t="n"/>
      <c r="W969" s="69" t="n"/>
      <c r="X969" s="69" t="inlineStr">
        <is>
          <t>Current</t>
        </is>
      </c>
      <c r="Y969" s="68" t="n"/>
      <c r="Z969" s="69" t="inlineStr">
        <is>
          <t>No Defeasance Occurred</t>
        </is>
      </c>
      <c r="AA969" s="69" t="inlineStr">
        <is>
          <t>Previously</t>
        </is>
      </c>
      <c r="AB969" s="69" t="inlineStr">
        <is>
          <t>Never special serv</t>
        </is>
      </c>
      <c r="AC969" s="73" t="n"/>
      <c r="AD969" s="69" t="n"/>
      <c r="AE969" s="69" t="n"/>
      <c r="AF969" s="69" t="inlineStr">
        <is>
          <t>CA</t>
        </is>
      </c>
      <c r="AG969" s="69" t="inlineStr">
        <is>
          <t>Santa Rosa</t>
        </is>
      </c>
      <c r="AH969" s="69" t="inlineStr">
        <is>
          <t>Santa Rosa-Petaluma, CA</t>
        </is>
      </c>
      <c r="AI969" s="69" t="inlineStr">
        <is>
          <t>West / Pacific North</t>
        </is>
      </c>
      <c r="AJ969" s="69" t="inlineStr">
        <is>
          <t>RT</t>
        </is>
      </c>
      <c r="AK969" s="69" t="inlineStr">
        <is>
          <t>Anchored</t>
        </is>
      </c>
      <c r="AL969" s="68" t="n">
        <v>1</v>
      </c>
      <c r="AM969" s="68" t="n"/>
      <c r="AN969" s="68" t="n">
        <v>49990</v>
      </c>
      <c r="AO969" s="69" t="inlineStr">
        <is>
          <t>1963</t>
        </is>
      </c>
      <c r="AP969" s="70" t="n">
        <v>2007</v>
      </c>
      <c r="AQ969" s="74" t="n">
        <v>3.65</v>
      </c>
      <c r="AR969" s="74" t="n">
        <v>2.8</v>
      </c>
      <c r="AS969" s="74" t="n">
        <v>45.9</v>
      </c>
      <c r="AT969" s="74" t="n">
        <v>45.95</v>
      </c>
      <c r="AU969" s="74" t="n">
        <v>45.9</v>
      </c>
      <c r="AV969" s="74" t="n">
        <v>14.311090644</v>
      </c>
      <c r="AW969" s="74" t="n">
        <v>14.405213935</v>
      </c>
      <c r="AX969" s="75" t="n">
        <v>100</v>
      </c>
      <c r="AY969" s="71" t="n">
        <v>16400000</v>
      </c>
      <c r="AZ969" s="71" t="n">
        <v>16400000</v>
      </c>
      <c r="BA969" s="71" t="n">
        <v>1078340.68</v>
      </c>
      <c r="BB969" s="71" t="n">
        <v>411664.25</v>
      </c>
      <c r="BC969" s="69" t="inlineStr">
        <is>
          <t>Acquisition</t>
        </is>
      </c>
      <c r="BD969" s="69" t="inlineStr">
        <is>
          <t>N</t>
        </is>
      </c>
      <c r="BE969" s="71" t="n"/>
      <c r="BF969" s="71" t="n"/>
      <c r="BG969" s="71" t="n"/>
      <c r="BH969" s="71" t="n">
        <v>0</v>
      </c>
      <c r="BI969" s="71" t="n">
        <v>0</v>
      </c>
      <c r="BJ969" s="69" t="inlineStr">
        <is>
          <t>N</t>
        </is>
      </c>
      <c r="BK969" s="69" t="inlineStr">
        <is>
          <t>TJ Maxx</t>
        </is>
      </c>
      <c r="BL969" s="75" t="n">
        <v>59.22</v>
      </c>
      <c r="BM969" s="73" t="n">
        <v>46691</v>
      </c>
      <c r="BN969" s="69" t="inlineStr">
        <is>
          <t>Josh Jensen</t>
        </is>
      </c>
      <c r="BO969" s="69" t="inlineStr">
        <is>
          <t>Barclays</t>
        </is>
      </c>
      <c r="BP969" s="69" t="inlineStr">
        <is>
          <t>TriMont Real Estate Advisors</t>
        </is>
      </c>
      <c r="BQ969" s="69" t="inlineStr">
        <is>
          <t>K-Star Asset Management LLC</t>
        </is>
      </c>
      <c r="BR969" s="69" t="n"/>
      <c r="BS969" s="73" t="n">
        <v>46276</v>
      </c>
      <c r="BU969" s="76">
        <f>IF($C969="","",IFERROR(INDEX(dmName,MATCH($C969,dmID,0)),"Unmapped"))</f>
        <v/>
      </c>
      <c r="BV969" s="76">
        <f>IF($C969="","",IFERROR(INDEX(dmEntity,MATCH($C969,dmID,0)),"Unmapped"))</f>
        <v/>
      </c>
      <c r="BW969" s="77">
        <f>IF($C969="","",IFERROR(INDEX(dmVintage,MATCH($C969,dmID,0)),""))</f>
        <v/>
      </c>
      <c r="BX969" s="78">
        <f>IFERROR(INDEX(dmInclude,MATCH($C969,dmID,0)),0)</f>
        <v/>
      </c>
      <c r="BY969" s="78">
        <f>IF(N($I969)&gt;0,1,0)</f>
        <v/>
      </c>
      <c r="BZ969" s="76">
        <f>IF($AJ969="","Other / Leased Fee",IFERROR(INDEX(mapPTGroup,MATCH(LEFT(TRIM($AJ969),2),mapPTCode,0)),"Other / Leased Fee"))</f>
        <v/>
      </c>
      <c r="CA969" s="76">
        <f>IF(TRIM($AF969&amp;"")="","NR",LEFT(TRIM($AF969),2))</f>
        <v/>
      </c>
      <c r="CB969" s="76">
        <f>IFERROR(LOOKUP(2,1/(LEFT(TRIM($AI969&amp;""),LEN(mapRegion))=mapRegion),mapRegion),"Not Reported")</f>
        <v/>
      </c>
      <c r="CC969" s="76">
        <f>IF($BY969=0,"",IF(TRIM($W969&amp;"")="REO","REO",IF(TRIM($W969&amp;"")="FC","Foreclosure",IF(TRIM($W969&amp;"")="90+","90+ Days Delinquent",IF(TRIM($W969&amp;"")="60","60 Days Delinquent",IF(TRIM($W969&amp;"")="30","30 Days Delinquent",IF($X969="Non-Performing Matured Balloon","Non-Performing Matured Balloon",IF(OR($X969="Late Payment But Less Than 30 Days Delinquent",LEFT($X969&amp;"",20)="Payment Not Received"),"Late / In Grace (&lt;30 Days)",IF($X969="Performing Matured Balloon","Performing Matured Balloon","Current")))))))))</f>
        <v/>
      </c>
      <c r="CD969" s="78">
        <f>IF(OR($CC969="REO",$CC969="Foreclosure",$CC969="90+ Days Delinquent",$CC969="60 Days Delinquent",$CC969="30 Days Delinquent",$CC969="Non-Performing Matured Balloon"),1,0)</f>
        <v/>
      </c>
      <c r="CE969" s="76">
        <f>IF($AB969="Currently special serv","Currently Specially Serviced",IF($AB969="Returned to master serv","Previously Specially Serviced","Never Specially Serviced"))</f>
        <v/>
      </c>
      <c r="CF969" s="78">
        <f>IF($CE969="Currently Specially Serviced",1,0)</f>
        <v/>
      </c>
      <c r="CG969" s="76">
        <f>IF($AA969="Yes","Currently on Watchlist",IF($AA969="Previously","Previously on Watchlist","Never on Watchlist"))</f>
        <v/>
      </c>
      <c r="CH969" s="78">
        <f>IF($CG969="Currently on Watchlist",1,0)</f>
        <v/>
      </c>
      <c r="CI969" s="76">
        <f>IF($Z969="Full Defeasance","Fully Defeased",IF($Z969="Portion Of Loan Previously Defeased","Partially Defeased",IF($Z969="Defeasance Not Allowable","Not Defeased (Not Permitted)","Not Defeased")))</f>
        <v/>
      </c>
      <c r="CJ969" s="78">
        <f>IF($CI969="Fully Defeased",1,0)</f>
        <v/>
      </c>
      <c r="CK969" s="76">
        <f>IF($R969="IO","Full IO",IF(LEFT($R969&amp;"",7)="IO then","Partial IO","Amortizing"))</f>
        <v/>
      </c>
      <c r="CL969" s="78">
        <f>IF($CK969="Full IO",1,0)</f>
        <v/>
      </c>
      <c r="CM969" s="78">
        <f>IF($CK969="Partial IO",1,0)</f>
        <v/>
      </c>
      <c r="CN969" s="76">
        <f>IF(LEFT($F969&amp;"",10)="SPLIT_LOAN","Pari Passu Split","Standalone")</f>
        <v/>
      </c>
      <c r="CO969" s="78">
        <f>IF($CN969="Pari Passu Split",1,0)</f>
        <v/>
      </c>
      <c r="CP969" s="77">
        <f>IF(ISNUMBER($T969),YEAR($T969),"")</f>
        <v/>
      </c>
      <c r="CQ969" s="79">
        <f>IF(ISNUMBER($V969),$V969,IF(ISNUMBER($U969),$U969,""))</f>
        <v/>
      </c>
      <c r="CR969" s="77">
        <f>IF(ISNUMBER($CQ969),YEAR($CQ969),"")</f>
        <v/>
      </c>
      <c r="CS969" s="78">
        <f>IF(ISNUMBER($M969),MAX(0,$M969),IF(TRIM($M969&amp;"")="matured",0,""))</f>
        <v/>
      </c>
      <c r="CT969" s="78">
        <f>IF(AND(ISNUMBER($CS969),N($CS969)&lt;=mMatWindow),1,0)</f>
        <v/>
      </c>
      <c r="CU969" s="80">
        <f>IF(ISNUMBER($J969),$J969/100,"")</f>
        <v/>
      </c>
      <c r="CV969" s="81">
        <f>IF(ISNUMBER($AQ969),$AQ969,"")</f>
        <v/>
      </c>
      <c r="CW969" s="81">
        <f>IF(ISNUMBER($AR969),$AR969,"")</f>
        <v/>
      </c>
      <c r="CX969" s="82">
        <f>IF(ISNUMBER($AS969),$AS969/100,"")</f>
        <v/>
      </c>
      <c r="CY969" s="82">
        <f>IF(ISNUMBER($AT969),$AT969/100,"")</f>
        <v/>
      </c>
      <c r="CZ969" s="82">
        <f>IF(ISNUMBER($AU969),$AU969/100,"")</f>
        <v/>
      </c>
      <c r="DA969" s="82">
        <f>IF(ISNUMBER($AV969),$AV969/100,"")</f>
        <v/>
      </c>
      <c r="DB969" s="82">
        <f>IF(ISNUMBER($AW969),$AW969/100,"")</f>
        <v/>
      </c>
      <c r="DC969" s="82">
        <f>IF(ISNUMBER($AX969),$AX969/100,"")</f>
        <v/>
      </c>
      <c r="DD969" s="77">
        <f>IFERROR(VALUE(LEFT(TRIM($AO969&amp;""),4)),"")</f>
        <v/>
      </c>
      <c r="DE969" s="78">
        <f>IF(AND($BY969=1,$BX969=1,OR(fDeal="All Deals",$BU969=fDeal),OR(fEntity="All Entities",$BV969=fEntity),OR(fPType="All Property Types",$BZ969=fPType),OR(fDefeased="Include",$CJ969=0)),1,0)</f>
        <v/>
      </c>
      <c r="DF969" s="83">
        <f>$DE969*N($I969)</f>
        <v/>
      </c>
      <c r="DG969" s="78">
        <f>IF($DE969=1,IF(COUNTIFS($F$8:$F969,$F969,$DE$8:$DE969,1)=1,1,0),0)</f>
        <v/>
      </c>
      <c r="DH969" s="83">
        <f>IF($DG969=1,SUMIFS($DF$8:$DF$1600,$F$8:$F$1600,$F969),0)</f>
        <v/>
      </c>
      <c r="DI969" s="78">
        <f>IF($DG969=1,COUNTIFS($F$8:$F$1600,$F969,$DE$8:$DE$1600,1),0)</f>
        <v/>
      </c>
      <c r="DJ969" s="84">
        <f>IF($DG969=1,$DH969+(100000-ROW())/mTieBreak,0)</f>
        <v/>
      </c>
    </row>
    <row r="970">
      <c r="B970" s="68" t="n">
        <v>30</v>
      </c>
      <c r="C970" s="69" t="inlineStr">
        <is>
          <t>WFC18C43</t>
        </is>
      </c>
      <c r="D970" s="69" t="inlineStr">
        <is>
          <t>30.000</t>
        </is>
      </c>
      <c r="E970" s="69" t="inlineStr">
        <is>
          <t>Wichita MHP Portfolio</t>
        </is>
      </c>
      <c r="F970" s="69" t="inlineStr">
        <is>
          <t>LNWFC18C43-30.000</t>
        </is>
      </c>
      <c r="G970" s="70" t="n"/>
      <c r="H970" s="71" t="n">
        <v>7200000</v>
      </c>
      <c r="I970" s="71" t="n">
        <v>0</v>
      </c>
      <c r="J970" s="72" t="n">
        <v>4.87</v>
      </c>
      <c r="K970" s="69" t="inlineStr">
        <is>
          <t>Fixed rate</t>
        </is>
      </c>
      <c r="L970" s="68" t="n">
        <v>120</v>
      </c>
      <c r="M970" s="68" t="n"/>
      <c r="N970" s="68" t="n">
        <v>396</v>
      </c>
      <c r="O970" s="68" t="n">
        <v>36</v>
      </c>
      <c r="P970" s="68" t="n"/>
      <c r="Q970" s="68" t="n"/>
      <c r="R970" s="69" t="inlineStr">
        <is>
          <t>IO then Amort</t>
        </is>
      </c>
      <c r="S970" s="69" t="inlineStr">
        <is>
          <t>No</t>
        </is>
      </c>
      <c r="T970" s="73" t="n">
        <v>43009</v>
      </c>
      <c r="U970" s="73" t="n">
        <v>46666</v>
      </c>
      <c r="V970" s="73" t="n"/>
      <c r="W970" s="69" t="n"/>
      <c r="X970" s="69" t="inlineStr">
        <is>
          <t>Current</t>
        </is>
      </c>
      <c r="Y970" s="68" t="n"/>
      <c r="Z970" s="69" t="inlineStr">
        <is>
          <t>Defeasance Not Allowable</t>
        </is>
      </c>
      <c r="AA970" s="69" t="inlineStr">
        <is>
          <t>Previously</t>
        </is>
      </c>
      <c r="AB970" s="69" t="inlineStr">
        <is>
          <t>Never special serv</t>
        </is>
      </c>
      <c r="AC970" s="73" t="n"/>
      <c r="AD970" s="69" t="n"/>
      <c r="AE970" s="69" t="n"/>
      <c r="AF970" s="69" t="inlineStr">
        <is>
          <t>KS</t>
        </is>
      </c>
      <c r="AG970" s="69" t="inlineStr">
        <is>
          <t>Wichita</t>
        </is>
      </c>
      <c r="AH970" s="69" t="inlineStr">
        <is>
          <t>Wichita, KS</t>
        </is>
      </c>
      <c r="AI970" s="69" t="inlineStr">
        <is>
          <t>Midwest / Central West</t>
        </is>
      </c>
      <c r="AJ970" s="69" t="inlineStr">
        <is>
          <t>MH</t>
        </is>
      </c>
      <c r="AK970" s="69" t="n"/>
      <c r="AL970" s="68" t="n">
        <v>2</v>
      </c>
      <c r="AM970" s="68" t="n">
        <v>499</v>
      </c>
      <c r="AN970" s="68" t="n"/>
      <c r="AO970" s="69" t="n"/>
      <c r="AP970" s="70" t="n">
        <v>1990</v>
      </c>
      <c r="AQ970" s="74" t="n">
        <v>1.7</v>
      </c>
      <c r="AR970" s="74" t="n">
        <v>3.06</v>
      </c>
      <c r="AS970" s="74" t="n">
        <v>49.7</v>
      </c>
      <c r="AT970" s="74" t="n"/>
      <c r="AU970" s="74" t="n">
        <v>43.9</v>
      </c>
      <c r="AV970" s="74" t="n">
        <v>10.773666667</v>
      </c>
      <c r="AW970" s="74" t="n"/>
      <c r="AX970" s="75" t="n">
        <v>90</v>
      </c>
      <c r="AY970" s="71" t="n">
        <v>14490000</v>
      </c>
      <c r="AZ970" s="71" t="n">
        <v>14490000</v>
      </c>
      <c r="BA970" s="71" t="n">
        <v>775704</v>
      </c>
      <c r="BB970" s="71" t="n">
        <v>1087801</v>
      </c>
      <c r="BC970" s="69" t="inlineStr">
        <is>
          <t>Acquisition</t>
        </is>
      </c>
      <c r="BD970" s="69" t="inlineStr">
        <is>
          <t>N</t>
        </is>
      </c>
      <c r="BE970" s="71" t="n"/>
      <c r="BF970" s="71" t="n"/>
      <c r="BG970" s="71" t="n"/>
      <c r="BH970" s="71" t="n">
        <v>0</v>
      </c>
      <c r="BI970" s="71" t="n">
        <v>0</v>
      </c>
      <c r="BJ970" s="69" t="inlineStr">
        <is>
          <t>N</t>
        </is>
      </c>
      <c r="BK970" s="69" t="n"/>
      <c r="BL970" s="75" t="n"/>
      <c r="BM970" s="73" t="n"/>
      <c r="BN970" s="69" t="inlineStr">
        <is>
          <t>Bradley Johnson; Jefferson Lilly</t>
        </is>
      </c>
      <c r="BO970" s="69" t="inlineStr">
        <is>
          <t>BSPRT</t>
        </is>
      </c>
      <c r="BP970" s="69" t="inlineStr">
        <is>
          <t>Wells Fargo</t>
        </is>
      </c>
      <c r="BQ970" s="69" t="inlineStr">
        <is>
          <t>Midland Loan Services</t>
        </is>
      </c>
      <c r="BR970" s="69" t="inlineStr">
        <is>
          <t>Payoff With Yield Maintenance</t>
        </is>
      </c>
      <c r="BS970" s="73" t="n">
        <v>43993</v>
      </c>
      <c r="BU970" s="76">
        <f>IF($C970="","",IFERROR(INDEX(dmName,MATCH($C970,dmID,0)),"Unmapped"))</f>
        <v/>
      </c>
      <c r="BV970" s="76">
        <f>IF($C970="","",IFERROR(INDEX(dmEntity,MATCH($C970,dmID,0)),"Unmapped"))</f>
        <v/>
      </c>
      <c r="BW970" s="77">
        <f>IF($C970="","",IFERROR(INDEX(dmVintage,MATCH($C970,dmID,0)),""))</f>
        <v/>
      </c>
      <c r="BX970" s="78">
        <f>IFERROR(INDEX(dmInclude,MATCH($C970,dmID,0)),0)</f>
        <v/>
      </c>
      <c r="BY970" s="78">
        <f>IF(N($I970)&gt;0,1,0)</f>
        <v/>
      </c>
      <c r="BZ970" s="76">
        <f>IF($AJ970="","Other / Leased Fee",IFERROR(INDEX(mapPTGroup,MATCH(LEFT(TRIM($AJ970),2),mapPTCode,0)),"Other / Leased Fee"))</f>
        <v/>
      </c>
      <c r="CA970" s="76">
        <f>IF(TRIM($AF970&amp;"")="","NR",LEFT(TRIM($AF970),2))</f>
        <v/>
      </c>
      <c r="CB970" s="76">
        <f>IFERROR(LOOKUP(2,1/(LEFT(TRIM($AI970&amp;""),LEN(mapRegion))=mapRegion),mapRegion),"Not Reported")</f>
        <v/>
      </c>
      <c r="CC970" s="76">
        <f>IF($BY970=0,"",IF(TRIM($W970&amp;"")="REO","REO",IF(TRIM($W970&amp;"")="FC","Foreclosure",IF(TRIM($W970&amp;"")="90+","90+ Days Delinquent",IF(TRIM($W970&amp;"")="60","60 Days Delinquent",IF(TRIM($W970&amp;"")="30","30 Days Delinquent",IF($X970="Non-Performing Matured Balloon","Non-Performing Matured Balloon",IF(OR($X970="Late Payment But Less Than 30 Days Delinquent",LEFT($X970&amp;"",20)="Payment Not Received"),"Late / In Grace (&lt;30 Days)",IF($X970="Performing Matured Balloon","Performing Matured Balloon","Current")))))))))</f>
        <v/>
      </c>
      <c r="CD970" s="78">
        <f>IF(OR($CC970="REO",$CC970="Foreclosure",$CC970="90+ Days Delinquent",$CC970="60 Days Delinquent",$CC970="30 Days Delinquent",$CC970="Non-Performing Matured Balloon"),1,0)</f>
        <v/>
      </c>
      <c r="CE970" s="76">
        <f>IF($AB970="Currently special serv","Currently Specially Serviced",IF($AB970="Returned to master serv","Previously Specially Serviced","Never Specially Serviced"))</f>
        <v/>
      </c>
      <c r="CF970" s="78">
        <f>IF($CE970="Currently Specially Serviced",1,0)</f>
        <v/>
      </c>
      <c r="CG970" s="76">
        <f>IF($AA970="Yes","Currently on Watchlist",IF($AA970="Previously","Previously on Watchlist","Never on Watchlist"))</f>
        <v/>
      </c>
      <c r="CH970" s="78">
        <f>IF($CG970="Currently on Watchlist",1,0)</f>
        <v/>
      </c>
      <c r="CI970" s="76">
        <f>IF($Z970="Full Defeasance","Fully Defeased",IF($Z970="Portion Of Loan Previously Defeased","Partially Defeased",IF($Z970="Defeasance Not Allowable","Not Defeased (Not Permitted)","Not Defeased")))</f>
        <v/>
      </c>
      <c r="CJ970" s="78">
        <f>IF($CI970="Fully Defeased",1,0)</f>
        <v/>
      </c>
      <c r="CK970" s="76">
        <f>IF($R970="IO","Full IO",IF(LEFT($R970&amp;"",7)="IO then","Partial IO","Amortizing"))</f>
        <v/>
      </c>
      <c r="CL970" s="78">
        <f>IF($CK970="Full IO",1,0)</f>
        <v/>
      </c>
      <c r="CM970" s="78">
        <f>IF($CK970="Partial IO",1,0)</f>
        <v/>
      </c>
      <c r="CN970" s="76">
        <f>IF(LEFT($F970&amp;"",10)="SPLIT_LOAN","Pari Passu Split","Standalone")</f>
        <v/>
      </c>
      <c r="CO970" s="78">
        <f>IF($CN970="Pari Passu Split",1,0)</f>
        <v/>
      </c>
      <c r="CP970" s="77">
        <f>IF(ISNUMBER($T970),YEAR($T970),"")</f>
        <v/>
      </c>
      <c r="CQ970" s="79">
        <f>IF(ISNUMBER($V970),$V970,IF(ISNUMBER($U970),$U970,""))</f>
        <v/>
      </c>
      <c r="CR970" s="77">
        <f>IF(ISNUMBER($CQ970),YEAR($CQ970),"")</f>
        <v/>
      </c>
      <c r="CS970" s="78">
        <f>IF(ISNUMBER($M970),MAX(0,$M970),IF(TRIM($M970&amp;"")="matured",0,""))</f>
        <v/>
      </c>
      <c r="CT970" s="78">
        <f>IF(AND(ISNUMBER($CS970),N($CS970)&lt;=mMatWindow),1,0)</f>
        <v/>
      </c>
      <c r="CU970" s="80">
        <f>IF(ISNUMBER($J970),$J970/100,"")</f>
        <v/>
      </c>
      <c r="CV970" s="81">
        <f>IF(ISNUMBER($AQ970),$AQ970,"")</f>
        <v/>
      </c>
      <c r="CW970" s="81">
        <f>IF(ISNUMBER($AR970),$AR970,"")</f>
        <v/>
      </c>
      <c r="CX970" s="82">
        <f>IF(ISNUMBER($AS970),$AS970/100,"")</f>
        <v/>
      </c>
      <c r="CY970" s="82">
        <f>IF(ISNUMBER($AT970),$AT970/100,"")</f>
        <v/>
      </c>
      <c r="CZ970" s="82">
        <f>IF(ISNUMBER($AU970),$AU970/100,"")</f>
        <v/>
      </c>
      <c r="DA970" s="82">
        <f>IF(ISNUMBER($AV970),$AV970/100,"")</f>
        <v/>
      </c>
      <c r="DB970" s="82">
        <f>IF(ISNUMBER($AW970),$AW970/100,"")</f>
        <v/>
      </c>
      <c r="DC970" s="82">
        <f>IF(ISNUMBER($AX970),$AX970/100,"")</f>
        <v/>
      </c>
      <c r="DD970" s="77">
        <f>IFERROR(VALUE(LEFT(TRIM($AO970&amp;""),4)),"")</f>
        <v/>
      </c>
      <c r="DE970" s="78">
        <f>IF(AND($BY970=1,$BX970=1,OR(fDeal="All Deals",$BU970=fDeal),OR(fEntity="All Entities",$BV970=fEntity),OR(fPType="All Property Types",$BZ970=fPType),OR(fDefeased="Include",$CJ970=0)),1,0)</f>
        <v/>
      </c>
      <c r="DF970" s="83">
        <f>$DE970*N($I970)</f>
        <v/>
      </c>
      <c r="DG970" s="78">
        <f>IF($DE970=1,IF(COUNTIFS($F$8:$F970,$F970,$DE$8:$DE970,1)=1,1,0),0)</f>
        <v/>
      </c>
      <c r="DH970" s="83">
        <f>IF($DG970=1,SUMIFS($DF$8:$DF$1600,$F$8:$F$1600,$F970),0)</f>
        <v/>
      </c>
      <c r="DI970" s="78">
        <f>IF($DG970=1,COUNTIFS($F$8:$F$1600,$F970,$DE$8:$DE$1600,1),0)</f>
        <v/>
      </c>
      <c r="DJ970" s="84">
        <f>IF($DG970=1,$DH970+(100000-ROW())/mTieBreak,0)</f>
        <v/>
      </c>
    </row>
    <row r="971">
      <c r="B971" s="68" t="n">
        <v>31</v>
      </c>
      <c r="C971" s="69" t="inlineStr">
        <is>
          <t>WFC18C43</t>
        </is>
      </c>
      <c r="D971" s="69" t="inlineStr">
        <is>
          <t>31.000</t>
        </is>
      </c>
      <c r="E971" s="69" t="inlineStr">
        <is>
          <t>Ascension Crossing Shopping Center</t>
        </is>
      </c>
      <c r="F971" s="69" t="inlineStr">
        <is>
          <t>LNWFC18C43-31.000</t>
        </is>
      </c>
      <c r="G971" s="70" t="n"/>
      <c r="H971" s="71" t="n">
        <v>7155000</v>
      </c>
      <c r="I971" s="71" t="n">
        <v>6449033.100001814</v>
      </c>
      <c r="J971" s="72" t="n">
        <v>4.545</v>
      </c>
      <c r="K971" s="69" t="inlineStr">
        <is>
          <t>Fixed rate</t>
        </is>
      </c>
      <c r="L971" s="68" t="n">
        <v>120</v>
      </c>
      <c r="M971" s="68" t="n">
        <v>15</v>
      </c>
      <c r="N971" s="68" t="n">
        <v>396</v>
      </c>
      <c r="O971" s="68" t="n">
        <v>36</v>
      </c>
      <c r="P971" s="68" t="n">
        <v>0</v>
      </c>
      <c r="Q971" s="68" t="n">
        <v>105</v>
      </c>
      <c r="R971" s="69" t="inlineStr">
        <is>
          <t>IO then Amort</t>
        </is>
      </c>
      <c r="S971" s="69" t="inlineStr">
        <is>
          <t>No</t>
        </is>
      </c>
      <c r="T971" s="73" t="n">
        <v>43070</v>
      </c>
      <c r="U971" s="73" t="n">
        <v>46732</v>
      </c>
      <c r="V971" s="73" t="n"/>
      <c r="W971" s="69" t="n"/>
      <c r="X971" s="69" t="inlineStr">
        <is>
          <t>Current</t>
        </is>
      </c>
      <c r="Y971" s="68" t="n"/>
      <c r="Z971" s="69" t="inlineStr">
        <is>
          <t>No Defeasance Occurred</t>
        </is>
      </c>
      <c r="AA971" s="69" t="inlineStr">
        <is>
          <t>Previously</t>
        </is>
      </c>
      <c r="AB971" s="69" t="inlineStr">
        <is>
          <t>Never special serv</t>
        </is>
      </c>
      <c r="AC971" s="73" t="n"/>
      <c r="AD971" s="69" t="n"/>
      <c r="AE971" s="69" t="n"/>
      <c r="AF971" s="69" t="inlineStr">
        <is>
          <t>TX</t>
        </is>
      </c>
      <c r="AG971" s="69" t="inlineStr">
        <is>
          <t>Arlington</t>
        </is>
      </c>
      <c r="AH971" s="69" t="inlineStr">
        <is>
          <t>Dallas-Fort Worth-Arlington, TX</t>
        </is>
      </c>
      <c r="AI971" s="69" t="inlineStr">
        <is>
          <t>South / Central West</t>
        </is>
      </c>
      <c r="AJ971" s="69" t="inlineStr">
        <is>
          <t>RT</t>
        </is>
      </c>
      <c r="AK971" s="69" t="inlineStr">
        <is>
          <t>Anchored</t>
        </is>
      </c>
      <c r="AL971" s="68" t="n">
        <v>1</v>
      </c>
      <c r="AM971" s="68" t="n"/>
      <c r="AN971" s="68" t="n">
        <v>90118</v>
      </c>
      <c r="AO971" s="69" t="inlineStr">
        <is>
          <t>1985</t>
        </is>
      </c>
      <c r="AP971" s="70" t="n">
        <v>2005</v>
      </c>
      <c r="AQ971" s="74" t="n">
        <v>1.64</v>
      </c>
      <c r="AR971" s="74" t="n">
        <v>2.18</v>
      </c>
      <c r="AS971" s="74" t="n">
        <v>66.3</v>
      </c>
      <c r="AT971" s="74" t="n">
        <v>59.71</v>
      </c>
      <c r="AU971" s="74" t="n">
        <v>58</v>
      </c>
      <c r="AV971" s="74" t="n">
        <v>10.000766038</v>
      </c>
      <c r="AW971" s="74" t="n">
        <v>12.449114581</v>
      </c>
      <c r="AX971" s="75" t="n">
        <v>85</v>
      </c>
      <c r="AY971" s="71" t="n">
        <v>10800000</v>
      </c>
      <c r="AZ971" s="71" t="n">
        <v>10800000</v>
      </c>
      <c r="BA971" s="71" t="n">
        <v>715554.8100000001</v>
      </c>
      <c r="BB971" s="71" t="n">
        <v>477304.46</v>
      </c>
      <c r="BC971" s="69" t="inlineStr">
        <is>
          <t>Refinance</t>
        </is>
      </c>
      <c r="BD971" s="69" t="inlineStr">
        <is>
          <t>N</t>
        </is>
      </c>
      <c r="BE971" s="71" t="n"/>
      <c r="BF971" s="71" t="n"/>
      <c r="BG971" s="71" t="n"/>
      <c r="BH971" s="71" t="n">
        <v>0</v>
      </c>
      <c r="BI971" s="71" t="n">
        <v>0</v>
      </c>
      <c r="BJ971" s="69" t="inlineStr">
        <is>
          <t>N</t>
        </is>
      </c>
      <c r="BK971" s="69" t="inlineStr">
        <is>
          <t>Kroger Supermarkets</t>
        </is>
      </c>
      <c r="BL971" s="75" t="n">
        <v>50.52</v>
      </c>
      <c r="BM971" s="73" t="n">
        <v>47817</v>
      </c>
      <c r="BN971" s="69" t="inlineStr">
        <is>
          <t>Jeffrey Seltzer</t>
        </is>
      </c>
      <c r="BO971" s="69" t="inlineStr">
        <is>
          <t>Wells Fargo</t>
        </is>
      </c>
      <c r="BP971" s="69" t="inlineStr">
        <is>
          <t>TriMont Real Estate Advisors</t>
        </is>
      </c>
      <c r="BQ971" s="69" t="inlineStr">
        <is>
          <t>K-Star Asset Management LLC</t>
        </is>
      </c>
      <c r="BR971" s="69" t="n"/>
      <c r="BS971" s="73" t="n">
        <v>46276</v>
      </c>
      <c r="BU971" s="76">
        <f>IF($C971="","",IFERROR(INDEX(dmName,MATCH($C971,dmID,0)),"Unmapped"))</f>
        <v/>
      </c>
      <c r="BV971" s="76">
        <f>IF($C971="","",IFERROR(INDEX(dmEntity,MATCH($C971,dmID,0)),"Unmapped"))</f>
        <v/>
      </c>
      <c r="BW971" s="77">
        <f>IF($C971="","",IFERROR(INDEX(dmVintage,MATCH($C971,dmID,0)),""))</f>
        <v/>
      </c>
      <c r="BX971" s="78">
        <f>IFERROR(INDEX(dmInclude,MATCH($C971,dmID,0)),0)</f>
        <v/>
      </c>
      <c r="BY971" s="78">
        <f>IF(N($I971)&gt;0,1,0)</f>
        <v/>
      </c>
      <c r="BZ971" s="76">
        <f>IF($AJ971="","Other / Leased Fee",IFERROR(INDEX(mapPTGroup,MATCH(LEFT(TRIM($AJ971),2),mapPTCode,0)),"Other / Leased Fee"))</f>
        <v/>
      </c>
      <c r="CA971" s="76">
        <f>IF(TRIM($AF971&amp;"")="","NR",LEFT(TRIM($AF971),2))</f>
        <v/>
      </c>
      <c r="CB971" s="76">
        <f>IFERROR(LOOKUP(2,1/(LEFT(TRIM($AI971&amp;""),LEN(mapRegion))=mapRegion),mapRegion),"Not Reported")</f>
        <v/>
      </c>
      <c r="CC971" s="76">
        <f>IF($BY971=0,"",IF(TRIM($W971&amp;"")="REO","REO",IF(TRIM($W971&amp;"")="FC","Foreclosure",IF(TRIM($W971&amp;"")="90+","90+ Days Delinquent",IF(TRIM($W971&amp;"")="60","60 Days Delinquent",IF(TRIM($W971&amp;"")="30","30 Days Delinquent",IF($X971="Non-Performing Matured Balloon","Non-Performing Matured Balloon",IF(OR($X971="Late Payment But Less Than 30 Days Delinquent",LEFT($X971&amp;"",20)="Payment Not Received"),"Late / In Grace (&lt;30 Days)",IF($X971="Performing Matured Balloon","Performing Matured Balloon","Current")))))))))</f>
        <v/>
      </c>
      <c r="CD971" s="78">
        <f>IF(OR($CC971="REO",$CC971="Foreclosure",$CC971="90+ Days Delinquent",$CC971="60 Days Delinquent",$CC971="30 Days Delinquent",$CC971="Non-Performing Matured Balloon"),1,0)</f>
        <v/>
      </c>
      <c r="CE971" s="76">
        <f>IF($AB971="Currently special serv","Currently Specially Serviced",IF($AB971="Returned to master serv","Previously Specially Serviced","Never Specially Serviced"))</f>
        <v/>
      </c>
      <c r="CF971" s="78">
        <f>IF($CE971="Currently Specially Serviced",1,0)</f>
        <v/>
      </c>
      <c r="CG971" s="76">
        <f>IF($AA971="Yes","Currently on Watchlist",IF($AA971="Previously","Previously on Watchlist","Never on Watchlist"))</f>
        <v/>
      </c>
      <c r="CH971" s="78">
        <f>IF($CG971="Currently on Watchlist",1,0)</f>
        <v/>
      </c>
      <c r="CI971" s="76">
        <f>IF($Z971="Full Defeasance","Fully Defeased",IF($Z971="Portion Of Loan Previously Defeased","Partially Defeased",IF($Z971="Defeasance Not Allowable","Not Defeased (Not Permitted)","Not Defeased")))</f>
        <v/>
      </c>
      <c r="CJ971" s="78">
        <f>IF($CI971="Fully Defeased",1,0)</f>
        <v/>
      </c>
      <c r="CK971" s="76">
        <f>IF($R971="IO","Full IO",IF(LEFT($R971&amp;"",7)="IO then","Partial IO","Amortizing"))</f>
        <v/>
      </c>
      <c r="CL971" s="78">
        <f>IF($CK971="Full IO",1,0)</f>
        <v/>
      </c>
      <c r="CM971" s="78">
        <f>IF($CK971="Partial IO",1,0)</f>
        <v/>
      </c>
      <c r="CN971" s="76">
        <f>IF(LEFT($F971&amp;"",10)="SPLIT_LOAN","Pari Passu Split","Standalone")</f>
        <v/>
      </c>
      <c r="CO971" s="78">
        <f>IF($CN971="Pari Passu Split",1,0)</f>
        <v/>
      </c>
      <c r="CP971" s="77">
        <f>IF(ISNUMBER($T971),YEAR($T971),"")</f>
        <v/>
      </c>
      <c r="CQ971" s="79">
        <f>IF(ISNUMBER($V971),$V971,IF(ISNUMBER($U971),$U971,""))</f>
        <v/>
      </c>
      <c r="CR971" s="77">
        <f>IF(ISNUMBER($CQ971),YEAR($CQ971),"")</f>
        <v/>
      </c>
      <c r="CS971" s="78">
        <f>IF(ISNUMBER($M971),MAX(0,$M971),IF(TRIM($M971&amp;"")="matured",0,""))</f>
        <v/>
      </c>
      <c r="CT971" s="78">
        <f>IF(AND(ISNUMBER($CS971),N($CS971)&lt;=mMatWindow),1,0)</f>
        <v/>
      </c>
      <c r="CU971" s="80">
        <f>IF(ISNUMBER($J971),$J971/100,"")</f>
        <v/>
      </c>
      <c r="CV971" s="81">
        <f>IF(ISNUMBER($AQ971),$AQ971,"")</f>
        <v/>
      </c>
      <c r="CW971" s="81">
        <f>IF(ISNUMBER($AR971),$AR971,"")</f>
        <v/>
      </c>
      <c r="CX971" s="82">
        <f>IF(ISNUMBER($AS971),$AS971/100,"")</f>
        <v/>
      </c>
      <c r="CY971" s="82">
        <f>IF(ISNUMBER($AT971),$AT971/100,"")</f>
        <v/>
      </c>
      <c r="CZ971" s="82">
        <f>IF(ISNUMBER($AU971),$AU971/100,"")</f>
        <v/>
      </c>
      <c r="DA971" s="82">
        <f>IF(ISNUMBER($AV971),$AV971/100,"")</f>
        <v/>
      </c>
      <c r="DB971" s="82">
        <f>IF(ISNUMBER($AW971),$AW971/100,"")</f>
        <v/>
      </c>
      <c r="DC971" s="82">
        <f>IF(ISNUMBER($AX971),$AX971/100,"")</f>
        <v/>
      </c>
      <c r="DD971" s="77">
        <f>IFERROR(VALUE(LEFT(TRIM($AO971&amp;""),4)),"")</f>
        <v/>
      </c>
      <c r="DE971" s="78">
        <f>IF(AND($BY971=1,$BX971=1,OR(fDeal="All Deals",$BU971=fDeal),OR(fEntity="All Entities",$BV971=fEntity),OR(fPType="All Property Types",$BZ971=fPType),OR(fDefeased="Include",$CJ971=0)),1,0)</f>
        <v/>
      </c>
      <c r="DF971" s="83">
        <f>$DE971*N($I971)</f>
        <v/>
      </c>
      <c r="DG971" s="78">
        <f>IF($DE971=1,IF(COUNTIFS($F$8:$F971,$F971,$DE$8:$DE971,1)=1,1,0),0)</f>
        <v/>
      </c>
      <c r="DH971" s="83">
        <f>IF($DG971=1,SUMIFS($DF$8:$DF$1600,$F$8:$F$1600,$F971),0)</f>
        <v/>
      </c>
      <c r="DI971" s="78">
        <f>IF($DG971=1,COUNTIFS($F$8:$F$1600,$F971,$DE$8:$DE$1600,1),0)</f>
        <v/>
      </c>
      <c r="DJ971" s="84">
        <f>IF($DG971=1,$DH971+(100000-ROW())/mTieBreak,0)</f>
        <v/>
      </c>
    </row>
    <row r="972">
      <c r="B972" s="68" t="n">
        <v>32</v>
      </c>
      <c r="C972" s="69" t="inlineStr">
        <is>
          <t>WFC18C43</t>
        </is>
      </c>
      <c r="D972" s="69" t="inlineStr">
        <is>
          <t>32.000</t>
        </is>
      </c>
      <c r="E972" s="69" t="inlineStr">
        <is>
          <t>Arizona MHC Portfolio II</t>
        </is>
      </c>
      <c r="F972" s="69" t="inlineStr">
        <is>
          <t>LNWFC18C43-32.000</t>
        </is>
      </c>
      <c r="G972" s="70" t="n"/>
      <c r="H972" s="71" t="n">
        <v>6331000</v>
      </c>
      <c r="I972" s="71" t="n">
        <v>4987481.259999901</v>
      </c>
      <c r="J972" s="72" t="n">
        <v>4.95</v>
      </c>
      <c r="K972" s="69" t="inlineStr">
        <is>
          <t>Fixed rate</t>
        </is>
      </c>
      <c r="L972" s="68" t="n">
        <v>120</v>
      </c>
      <c r="M972" s="68" t="n">
        <v>16</v>
      </c>
      <c r="N972" s="68" t="n">
        <v>300</v>
      </c>
      <c r="O972" s="68" t="n"/>
      <c r="P972" s="68" t="n"/>
      <c r="Q972" s="68" t="n">
        <v>104</v>
      </c>
      <c r="R972" s="69" t="n"/>
      <c r="S972" s="69" t="inlineStr">
        <is>
          <t>No</t>
        </is>
      </c>
      <c r="T972" s="73" t="n">
        <v>43101</v>
      </c>
      <c r="U972" s="73" t="n">
        <v>46758</v>
      </c>
      <c r="V972" s="73" t="n"/>
      <c r="W972" s="69" t="n"/>
      <c r="X972" s="69" t="inlineStr">
        <is>
          <t>Current</t>
        </is>
      </c>
      <c r="Y972" s="68" t="n"/>
      <c r="Z972" s="69" t="inlineStr">
        <is>
          <t>No Defeasance Occurred</t>
        </is>
      </c>
      <c r="AA972" s="69" t="inlineStr">
        <is>
          <t>Previously</t>
        </is>
      </c>
      <c r="AB972" s="69" t="inlineStr">
        <is>
          <t>Never special serv</t>
        </is>
      </c>
      <c r="AC972" s="73" t="n"/>
      <c r="AD972" s="69" t="n"/>
      <c r="AE972" s="69" t="n"/>
      <c r="AF972" s="69" t="inlineStr">
        <is>
          <t>AZ</t>
        </is>
      </c>
      <c r="AG972" s="69" t="n"/>
      <c r="AH972" s="69" t="inlineStr">
        <is>
          <t>Tucson, AZ-64.065706384% Yuma, AZ-35.934293616%</t>
        </is>
      </c>
      <c r="AI972" s="69" t="inlineStr">
        <is>
          <t>West / Mountain</t>
        </is>
      </c>
      <c r="AJ972" s="69" t="inlineStr">
        <is>
          <t>MH</t>
        </is>
      </c>
      <c r="AK972" s="69" t="n"/>
      <c r="AL972" s="68" t="n">
        <v>5</v>
      </c>
      <c r="AM972" s="68" t="n">
        <v>279</v>
      </c>
      <c r="AN972" s="68" t="n"/>
      <c r="AO972" s="69" t="n"/>
      <c r="AP972" s="70" t="n">
        <v>1983</v>
      </c>
      <c r="AQ972" s="74" t="n">
        <v>1.64</v>
      </c>
      <c r="AR972" s="74" t="n">
        <v>2.55</v>
      </c>
      <c r="AS972" s="74" t="n">
        <v>64.8</v>
      </c>
      <c r="AT972" s="74" t="n">
        <v>51.21</v>
      </c>
      <c r="AU972" s="74" t="n">
        <v>48.5</v>
      </c>
      <c r="AV972" s="74" t="n">
        <v>11.436439741</v>
      </c>
      <c r="AW972" s="74" t="n">
        <v>22.44031329</v>
      </c>
      <c r="AX972" s="75" t="n">
        <v>92</v>
      </c>
      <c r="AY972" s="71" t="n">
        <v>9740000</v>
      </c>
      <c r="AZ972" s="71" t="n">
        <v>9740000</v>
      </c>
      <c r="BA972" s="71" t="n">
        <v>724041</v>
      </c>
      <c r="BB972" s="71" t="n">
        <v>563850.0699999999</v>
      </c>
      <c r="BC972" s="69" t="inlineStr">
        <is>
          <t>Refinance</t>
        </is>
      </c>
      <c r="BD972" s="69" t="inlineStr">
        <is>
          <t>N</t>
        </is>
      </c>
      <c r="BE972" s="71" t="n"/>
      <c r="BF972" s="71" t="n"/>
      <c r="BG972" s="71" t="n"/>
      <c r="BH972" s="71" t="n">
        <v>0</v>
      </c>
      <c r="BI972" s="71" t="n">
        <v>0</v>
      </c>
      <c r="BJ972" s="69" t="inlineStr">
        <is>
          <t>N</t>
        </is>
      </c>
      <c r="BK972" s="69" t="n"/>
      <c r="BL972" s="75" t="n"/>
      <c r="BM972" s="73" t="n"/>
      <c r="BN972" s="69" t="inlineStr">
        <is>
          <t>Jason Kaplan</t>
        </is>
      </c>
      <c r="BO972" s="69" t="inlineStr">
        <is>
          <t>BSPRT</t>
        </is>
      </c>
      <c r="BP972" s="69" t="inlineStr">
        <is>
          <t>TriMont Real Estate Advisors</t>
        </is>
      </c>
      <c r="BQ972" s="69" t="inlineStr">
        <is>
          <t>K-Star Asset Management LLC</t>
        </is>
      </c>
      <c r="BR972" s="69" t="n"/>
      <c r="BS972" s="73" t="n">
        <v>46276</v>
      </c>
      <c r="BU972" s="76">
        <f>IF($C972="","",IFERROR(INDEX(dmName,MATCH($C972,dmID,0)),"Unmapped"))</f>
        <v/>
      </c>
      <c r="BV972" s="76">
        <f>IF($C972="","",IFERROR(INDEX(dmEntity,MATCH($C972,dmID,0)),"Unmapped"))</f>
        <v/>
      </c>
      <c r="BW972" s="77">
        <f>IF($C972="","",IFERROR(INDEX(dmVintage,MATCH($C972,dmID,0)),""))</f>
        <v/>
      </c>
      <c r="BX972" s="78">
        <f>IFERROR(INDEX(dmInclude,MATCH($C972,dmID,0)),0)</f>
        <v/>
      </c>
      <c r="BY972" s="78">
        <f>IF(N($I972)&gt;0,1,0)</f>
        <v/>
      </c>
      <c r="BZ972" s="76">
        <f>IF($AJ972="","Other / Leased Fee",IFERROR(INDEX(mapPTGroup,MATCH(LEFT(TRIM($AJ972),2),mapPTCode,0)),"Other / Leased Fee"))</f>
        <v/>
      </c>
      <c r="CA972" s="76">
        <f>IF(TRIM($AF972&amp;"")="","NR",LEFT(TRIM($AF972),2))</f>
        <v/>
      </c>
      <c r="CB972" s="76">
        <f>IFERROR(LOOKUP(2,1/(LEFT(TRIM($AI972&amp;""),LEN(mapRegion))=mapRegion),mapRegion),"Not Reported")</f>
        <v/>
      </c>
      <c r="CC972" s="76">
        <f>IF($BY972=0,"",IF(TRIM($W972&amp;"")="REO","REO",IF(TRIM($W972&amp;"")="FC","Foreclosure",IF(TRIM($W972&amp;"")="90+","90+ Days Delinquent",IF(TRIM($W972&amp;"")="60","60 Days Delinquent",IF(TRIM($W972&amp;"")="30","30 Days Delinquent",IF($X972="Non-Performing Matured Balloon","Non-Performing Matured Balloon",IF(OR($X972="Late Payment But Less Than 30 Days Delinquent",LEFT($X972&amp;"",20)="Payment Not Received"),"Late / In Grace (&lt;30 Days)",IF($X972="Performing Matured Balloon","Performing Matured Balloon","Current")))))))))</f>
        <v/>
      </c>
      <c r="CD972" s="78">
        <f>IF(OR($CC972="REO",$CC972="Foreclosure",$CC972="90+ Days Delinquent",$CC972="60 Days Delinquent",$CC972="30 Days Delinquent",$CC972="Non-Performing Matured Balloon"),1,0)</f>
        <v/>
      </c>
      <c r="CE972" s="76">
        <f>IF($AB972="Currently special serv","Currently Specially Serviced",IF($AB972="Returned to master serv","Previously Specially Serviced","Never Specially Serviced"))</f>
        <v/>
      </c>
      <c r="CF972" s="78">
        <f>IF($CE972="Currently Specially Serviced",1,0)</f>
        <v/>
      </c>
      <c r="CG972" s="76">
        <f>IF($AA972="Yes","Currently on Watchlist",IF($AA972="Previously","Previously on Watchlist","Never on Watchlist"))</f>
        <v/>
      </c>
      <c r="CH972" s="78">
        <f>IF($CG972="Currently on Watchlist",1,0)</f>
        <v/>
      </c>
      <c r="CI972" s="76">
        <f>IF($Z972="Full Defeasance","Fully Defeased",IF($Z972="Portion Of Loan Previously Defeased","Partially Defeased",IF($Z972="Defeasance Not Allowable","Not Defeased (Not Permitted)","Not Defeased")))</f>
        <v/>
      </c>
      <c r="CJ972" s="78">
        <f>IF($CI972="Fully Defeased",1,0)</f>
        <v/>
      </c>
      <c r="CK972" s="76">
        <f>IF($R972="IO","Full IO",IF(LEFT($R972&amp;"",7)="IO then","Partial IO","Amortizing"))</f>
        <v/>
      </c>
      <c r="CL972" s="78">
        <f>IF($CK972="Full IO",1,0)</f>
        <v/>
      </c>
      <c r="CM972" s="78">
        <f>IF($CK972="Partial IO",1,0)</f>
        <v/>
      </c>
      <c r="CN972" s="76">
        <f>IF(LEFT($F972&amp;"",10)="SPLIT_LOAN","Pari Passu Split","Standalone")</f>
        <v/>
      </c>
      <c r="CO972" s="78">
        <f>IF($CN972="Pari Passu Split",1,0)</f>
        <v/>
      </c>
      <c r="CP972" s="77">
        <f>IF(ISNUMBER($T972),YEAR($T972),"")</f>
        <v/>
      </c>
      <c r="CQ972" s="79">
        <f>IF(ISNUMBER($V972),$V972,IF(ISNUMBER($U972),$U972,""))</f>
        <v/>
      </c>
      <c r="CR972" s="77">
        <f>IF(ISNUMBER($CQ972),YEAR($CQ972),"")</f>
        <v/>
      </c>
      <c r="CS972" s="78">
        <f>IF(ISNUMBER($M972),MAX(0,$M972),IF(TRIM($M972&amp;"")="matured",0,""))</f>
        <v/>
      </c>
      <c r="CT972" s="78">
        <f>IF(AND(ISNUMBER($CS972),N($CS972)&lt;=mMatWindow),1,0)</f>
        <v/>
      </c>
      <c r="CU972" s="80">
        <f>IF(ISNUMBER($J972),$J972/100,"")</f>
        <v/>
      </c>
      <c r="CV972" s="81">
        <f>IF(ISNUMBER($AQ972),$AQ972,"")</f>
        <v/>
      </c>
      <c r="CW972" s="81">
        <f>IF(ISNUMBER($AR972),$AR972,"")</f>
        <v/>
      </c>
      <c r="CX972" s="82">
        <f>IF(ISNUMBER($AS972),$AS972/100,"")</f>
        <v/>
      </c>
      <c r="CY972" s="82">
        <f>IF(ISNUMBER($AT972),$AT972/100,"")</f>
        <v/>
      </c>
      <c r="CZ972" s="82">
        <f>IF(ISNUMBER($AU972),$AU972/100,"")</f>
        <v/>
      </c>
      <c r="DA972" s="82">
        <f>IF(ISNUMBER($AV972),$AV972/100,"")</f>
        <v/>
      </c>
      <c r="DB972" s="82">
        <f>IF(ISNUMBER($AW972),$AW972/100,"")</f>
        <v/>
      </c>
      <c r="DC972" s="82">
        <f>IF(ISNUMBER($AX972),$AX972/100,"")</f>
        <v/>
      </c>
      <c r="DD972" s="77">
        <f>IFERROR(VALUE(LEFT(TRIM($AO972&amp;""),4)),"")</f>
        <v/>
      </c>
      <c r="DE972" s="78">
        <f>IF(AND($BY972=1,$BX972=1,OR(fDeal="All Deals",$BU972=fDeal),OR(fEntity="All Entities",$BV972=fEntity),OR(fPType="All Property Types",$BZ972=fPType),OR(fDefeased="Include",$CJ972=0)),1,0)</f>
        <v/>
      </c>
      <c r="DF972" s="83">
        <f>$DE972*N($I972)</f>
        <v/>
      </c>
      <c r="DG972" s="78">
        <f>IF($DE972=1,IF(COUNTIFS($F$8:$F972,$F972,$DE$8:$DE972,1)=1,1,0),0)</f>
        <v/>
      </c>
      <c r="DH972" s="83">
        <f>IF($DG972=1,SUMIFS($DF$8:$DF$1600,$F$8:$F$1600,$F972),0)</f>
        <v/>
      </c>
      <c r="DI972" s="78">
        <f>IF($DG972=1,COUNTIFS($F$8:$F$1600,$F972,$DE$8:$DE$1600,1),0)</f>
        <v/>
      </c>
      <c r="DJ972" s="84">
        <f>IF($DG972=1,$DH972+(100000-ROW())/mTieBreak,0)</f>
        <v/>
      </c>
    </row>
    <row r="973">
      <c r="B973" s="68" t="n">
        <v>33</v>
      </c>
      <c r="C973" s="69" t="inlineStr">
        <is>
          <t>WFC18C43</t>
        </is>
      </c>
      <c r="D973" s="69" t="inlineStr">
        <is>
          <t>33.000</t>
        </is>
      </c>
      <c r="E973" s="69" t="inlineStr">
        <is>
          <t>Holiday Inn Express - Waldorf</t>
        </is>
      </c>
      <c r="F973" s="69" t="inlineStr">
        <is>
          <t>LNWFC18C43-33.000</t>
        </is>
      </c>
      <c r="G973" s="70" t="n"/>
      <c r="H973" s="71" t="n">
        <v>6240000</v>
      </c>
      <c r="I973" s="71" t="n">
        <v>5421156.309996962</v>
      </c>
      <c r="J973" s="72" t="n">
        <v>5.6</v>
      </c>
      <c r="K973" s="69" t="inlineStr">
        <is>
          <t>Fixed rate</t>
        </is>
      </c>
      <c r="L973" s="68" t="n">
        <v>120</v>
      </c>
      <c r="M973" s="68" t="n">
        <v>18</v>
      </c>
      <c r="N973" s="68" t="n">
        <v>360</v>
      </c>
      <c r="O973" s="68" t="n"/>
      <c r="P973" s="68" t="n"/>
      <c r="Q973" s="68" t="n">
        <v>102</v>
      </c>
      <c r="R973" s="69" t="n"/>
      <c r="S973" s="69" t="inlineStr">
        <is>
          <t>No</t>
        </is>
      </c>
      <c r="T973" s="73" t="n">
        <v>43160</v>
      </c>
      <c r="U973" s="73" t="n">
        <v>46823</v>
      </c>
      <c r="V973" s="73" t="n"/>
      <c r="W973" s="69" t="n"/>
      <c r="X973" s="69" t="inlineStr">
        <is>
          <t>Current</t>
        </is>
      </c>
      <c r="Y973" s="68" t="n"/>
      <c r="Z973" s="69" t="inlineStr">
        <is>
          <t>No Defeasance Occurred</t>
        </is>
      </c>
      <c r="AA973" s="69" t="inlineStr">
        <is>
          <t>Previously</t>
        </is>
      </c>
      <c r="AB973" s="69" t="inlineStr">
        <is>
          <t>Never special serv</t>
        </is>
      </c>
      <c r="AC973" s="73" t="n"/>
      <c r="AD973" s="69" t="n"/>
      <c r="AE973" s="69" t="n"/>
      <c r="AF973" s="69" t="inlineStr">
        <is>
          <t>MD</t>
        </is>
      </c>
      <c r="AG973" s="69" t="inlineStr">
        <is>
          <t>Waldorf</t>
        </is>
      </c>
      <c r="AH973" s="69" t="inlineStr">
        <is>
          <t>Washington-Arlington-Alexandria, DC-VA-MD-WV</t>
        </is>
      </c>
      <c r="AI973" s="69" t="inlineStr">
        <is>
          <t>South / Atlantic</t>
        </is>
      </c>
      <c r="AJ973" s="69" t="inlineStr">
        <is>
          <t>HT</t>
        </is>
      </c>
      <c r="AK973" s="69" t="inlineStr">
        <is>
          <t>Limited Service</t>
        </is>
      </c>
      <c r="AL973" s="68" t="n">
        <v>1</v>
      </c>
      <c r="AM973" s="68" t="n">
        <v>91</v>
      </c>
      <c r="AN973" s="68" t="n"/>
      <c r="AO973" s="69" t="inlineStr">
        <is>
          <t>1987</t>
        </is>
      </c>
      <c r="AP973" s="70" t="n">
        <v>2018</v>
      </c>
      <c r="AQ973" s="74" t="n">
        <v>1.7</v>
      </c>
      <c r="AR973" s="74" t="n">
        <v>2.05</v>
      </c>
      <c r="AS973" s="74" t="n">
        <v>68.59999999999999</v>
      </c>
      <c r="AT973" s="74" t="n">
        <v>59.57</v>
      </c>
      <c r="AU973" s="74" t="n">
        <v>57.5</v>
      </c>
      <c r="AV973" s="74" t="n">
        <v>11.710785737</v>
      </c>
      <c r="AW973" s="74" t="n">
        <v>16.275818839</v>
      </c>
      <c r="AX973" s="75" t="n">
        <v>72</v>
      </c>
      <c r="AY973" s="71" t="n">
        <v>9100000</v>
      </c>
      <c r="AZ973" s="71" t="n">
        <v>9100000</v>
      </c>
      <c r="BA973" s="71" t="n">
        <v>730753.03</v>
      </c>
      <c r="BB973" s="71" t="n">
        <v>882337.58</v>
      </c>
      <c r="BC973" s="69" t="inlineStr">
        <is>
          <t>Acquisition</t>
        </is>
      </c>
      <c r="BD973" s="69" t="inlineStr">
        <is>
          <t>N</t>
        </is>
      </c>
      <c r="BE973" s="71" t="n"/>
      <c r="BF973" s="71" t="n"/>
      <c r="BG973" s="71" t="n"/>
      <c r="BH973" s="71" t="n">
        <v>0</v>
      </c>
      <c r="BI973" s="71" t="n">
        <v>0</v>
      </c>
      <c r="BJ973" s="69" t="inlineStr">
        <is>
          <t>Y</t>
        </is>
      </c>
      <c r="BK973" s="69" t="n"/>
      <c r="BL973" s="75" t="n"/>
      <c r="BM973" s="73" t="n"/>
      <c r="BN973" s="69" t="inlineStr">
        <is>
          <t>Ashni Goel; Madhu Kopparapu</t>
        </is>
      </c>
      <c r="BO973" s="69" t="inlineStr">
        <is>
          <t>CIII Capital</t>
        </is>
      </c>
      <c r="BP973" s="69" t="inlineStr">
        <is>
          <t>TriMont Real Estate Advisors</t>
        </is>
      </c>
      <c r="BQ973" s="69" t="inlineStr">
        <is>
          <t>K-Star Asset Management LLC</t>
        </is>
      </c>
      <c r="BR973" s="69" t="n"/>
      <c r="BS973" s="73" t="n">
        <v>46276</v>
      </c>
      <c r="BU973" s="76">
        <f>IF($C973="","",IFERROR(INDEX(dmName,MATCH($C973,dmID,0)),"Unmapped"))</f>
        <v/>
      </c>
      <c r="BV973" s="76">
        <f>IF($C973="","",IFERROR(INDEX(dmEntity,MATCH($C973,dmID,0)),"Unmapped"))</f>
        <v/>
      </c>
      <c r="BW973" s="77">
        <f>IF($C973="","",IFERROR(INDEX(dmVintage,MATCH($C973,dmID,0)),""))</f>
        <v/>
      </c>
      <c r="BX973" s="78">
        <f>IFERROR(INDEX(dmInclude,MATCH($C973,dmID,0)),0)</f>
        <v/>
      </c>
      <c r="BY973" s="78">
        <f>IF(N($I973)&gt;0,1,0)</f>
        <v/>
      </c>
      <c r="BZ973" s="76">
        <f>IF($AJ973="","Other / Leased Fee",IFERROR(INDEX(mapPTGroup,MATCH(LEFT(TRIM($AJ973),2),mapPTCode,0)),"Other / Leased Fee"))</f>
        <v/>
      </c>
      <c r="CA973" s="76">
        <f>IF(TRIM($AF973&amp;"")="","NR",LEFT(TRIM($AF973),2))</f>
        <v/>
      </c>
      <c r="CB973" s="76">
        <f>IFERROR(LOOKUP(2,1/(LEFT(TRIM($AI973&amp;""),LEN(mapRegion))=mapRegion),mapRegion),"Not Reported")</f>
        <v/>
      </c>
      <c r="CC973" s="76">
        <f>IF($BY973=0,"",IF(TRIM($W973&amp;"")="REO","REO",IF(TRIM($W973&amp;"")="FC","Foreclosure",IF(TRIM($W973&amp;"")="90+","90+ Days Delinquent",IF(TRIM($W973&amp;"")="60","60 Days Delinquent",IF(TRIM($W973&amp;"")="30","30 Days Delinquent",IF($X973="Non-Performing Matured Balloon","Non-Performing Matured Balloon",IF(OR($X973="Late Payment But Less Than 30 Days Delinquent",LEFT($X973&amp;"",20)="Payment Not Received"),"Late / In Grace (&lt;30 Days)",IF($X973="Performing Matured Balloon","Performing Matured Balloon","Current")))))))))</f>
        <v/>
      </c>
      <c r="CD973" s="78">
        <f>IF(OR($CC973="REO",$CC973="Foreclosure",$CC973="90+ Days Delinquent",$CC973="60 Days Delinquent",$CC973="30 Days Delinquent",$CC973="Non-Performing Matured Balloon"),1,0)</f>
        <v/>
      </c>
      <c r="CE973" s="76">
        <f>IF($AB973="Currently special serv","Currently Specially Serviced",IF($AB973="Returned to master serv","Previously Specially Serviced","Never Specially Serviced"))</f>
        <v/>
      </c>
      <c r="CF973" s="78">
        <f>IF($CE973="Currently Specially Serviced",1,0)</f>
        <v/>
      </c>
      <c r="CG973" s="76">
        <f>IF($AA973="Yes","Currently on Watchlist",IF($AA973="Previously","Previously on Watchlist","Never on Watchlist"))</f>
        <v/>
      </c>
      <c r="CH973" s="78">
        <f>IF($CG973="Currently on Watchlist",1,0)</f>
        <v/>
      </c>
      <c r="CI973" s="76">
        <f>IF($Z973="Full Defeasance","Fully Defeased",IF($Z973="Portion Of Loan Previously Defeased","Partially Defeased",IF($Z973="Defeasance Not Allowable","Not Defeased (Not Permitted)","Not Defeased")))</f>
        <v/>
      </c>
      <c r="CJ973" s="78">
        <f>IF($CI973="Fully Defeased",1,0)</f>
        <v/>
      </c>
      <c r="CK973" s="76">
        <f>IF($R973="IO","Full IO",IF(LEFT($R973&amp;"",7)="IO then","Partial IO","Amortizing"))</f>
        <v/>
      </c>
      <c r="CL973" s="78">
        <f>IF($CK973="Full IO",1,0)</f>
        <v/>
      </c>
      <c r="CM973" s="78">
        <f>IF($CK973="Partial IO",1,0)</f>
        <v/>
      </c>
      <c r="CN973" s="76">
        <f>IF(LEFT($F973&amp;"",10)="SPLIT_LOAN","Pari Passu Split","Standalone")</f>
        <v/>
      </c>
      <c r="CO973" s="78">
        <f>IF($CN973="Pari Passu Split",1,0)</f>
        <v/>
      </c>
      <c r="CP973" s="77">
        <f>IF(ISNUMBER($T973),YEAR($T973),"")</f>
        <v/>
      </c>
      <c r="CQ973" s="79">
        <f>IF(ISNUMBER($V973),$V973,IF(ISNUMBER($U973),$U973,""))</f>
        <v/>
      </c>
      <c r="CR973" s="77">
        <f>IF(ISNUMBER($CQ973),YEAR($CQ973),"")</f>
        <v/>
      </c>
      <c r="CS973" s="78">
        <f>IF(ISNUMBER($M973),MAX(0,$M973),IF(TRIM($M973&amp;"")="matured",0,""))</f>
        <v/>
      </c>
      <c r="CT973" s="78">
        <f>IF(AND(ISNUMBER($CS973),N($CS973)&lt;=mMatWindow),1,0)</f>
        <v/>
      </c>
      <c r="CU973" s="80">
        <f>IF(ISNUMBER($J973),$J973/100,"")</f>
        <v/>
      </c>
      <c r="CV973" s="81">
        <f>IF(ISNUMBER($AQ973),$AQ973,"")</f>
        <v/>
      </c>
      <c r="CW973" s="81">
        <f>IF(ISNUMBER($AR973),$AR973,"")</f>
        <v/>
      </c>
      <c r="CX973" s="82">
        <f>IF(ISNUMBER($AS973),$AS973/100,"")</f>
        <v/>
      </c>
      <c r="CY973" s="82">
        <f>IF(ISNUMBER($AT973),$AT973/100,"")</f>
        <v/>
      </c>
      <c r="CZ973" s="82">
        <f>IF(ISNUMBER($AU973),$AU973/100,"")</f>
        <v/>
      </c>
      <c r="DA973" s="82">
        <f>IF(ISNUMBER($AV973),$AV973/100,"")</f>
        <v/>
      </c>
      <c r="DB973" s="82">
        <f>IF(ISNUMBER($AW973),$AW973/100,"")</f>
        <v/>
      </c>
      <c r="DC973" s="82">
        <f>IF(ISNUMBER($AX973),$AX973/100,"")</f>
        <v/>
      </c>
      <c r="DD973" s="77">
        <f>IFERROR(VALUE(LEFT(TRIM($AO973&amp;""),4)),"")</f>
        <v/>
      </c>
      <c r="DE973" s="78">
        <f>IF(AND($BY973=1,$BX973=1,OR(fDeal="All Deals",$BU973=fDeal),OR(fEntity="All Entities",$BV973=fEntity),OR(fPType="All Property Types",$BZ973=fPType),OR(fDefeased="Include",$CJ973=0)),1,0)</f>
        <v/>
      </c>
      <c r="DF973" s="83">
        <f>$DE973*N($I973)</f>
        <v/>
      </c>
      <c r="DG973" s="78">
        <f>IF($DE973=1,IF(COUNTIFS($F$8:$F973,$F973,$DE$8:$DE973,1)=1,1,0),0)</f>
        <v/>
      </c>
      <c r="DH973" s="83">
        <f>IF($DG973=1,SUMIFS($DF$8:$DF$1600,$F$8:$F$1600,$F973),0)</f>
        <v/>
      </c>
      <c r="DI973" s="78">
        <f>IF($DG973=1,COUNTIFS($F$8:$F$1600,$F973,$DE$8:$DE$1600,1),0)</f>
        <v/>
      </c>
      <c r="DJ973" s="84">
        <f>IF($DG973=1,$DH973+(100000-ROW())/mTieBreak,0)</f>
        <v/>
      </c>
    </row>
    <row r="974">
      <c r="B974" s="68" t="n">
        <v>34</v>
      </c>
      <c r="C974" s="69" t="inlineStr">
        <is>
          <t>WFC18C43</t>
        </is>
      </c>
      <c r="D974" s="69" t="inlineStr">
        <is>
          <t>34.000</t>
        </is>
      </c>
      <c r="E974" s="69" t="inlineStr">
        <is>
          <t>All Seasons Mobile Home Park</t>
        </is>
      </c>
      <c r="F974" s="69" t="inlineStr">
        <is>
          <t>LNWFC18C43-34.000</t>
        </is>
      </c>
      <c r="G974" s="70" t="n"/>
      <c r="H974" s="71" t="n">
        <v>6200000</v>
      </c>
      <c r="I974" s="71" t="n">
        <v>5405158.6600002</v>
      </c>
      <c r="J974" s="72" t="n">
        <v>5.84</v>
      </c>
      <c r="K974" s="69" t="inlineStr">
        <is>
          <t>Fixed rate</t>
        </is>
      </c>
      <c r="L974" s="68" t="n">
        <v>120</v>
      </c>
      <c r="M974" s="68" t="n">
        <v>17</v>
      </c>
      <c r="N974" s="68" t="n">
        <v>360</v>
      </c>
      <c r="O974" s="68" t="n"/>
      <c r="P974" s="68" t="n"/>
      <c r="Q974" s="68" t="n">
        <v>103</v>
      </c>
      <c r="R974" s="69" t="n"/>
      <c r="S974" s="69" t="inlineStr">
        <is>
          <t>No</t>
        </is>
      </c>
      <c r="T974" s="73" t="n">
        <v>43132</v>
      </c>
      <c r="U974" s="73" t="n">
        <v>46789</v>
      </c>
      <c r="V974" s="73" t="n"/>
      <c r="W974" s="69" t="n"/>
      <c r="X974" s="69" t="inlineStr">
        <is>
          <t>Current</t>
        </is>
      </c>
      <c r="Y974" s="68" t="n"/>
      <c r="Z974" s="69" t="inlineStr">
        <is>
          <t>No Defeasance Occurred</t>
        </is>
      </c>
      <c r="AA974" s="69" t="n"/>
      <c r="AB974" s="69" t="inlineStr">
        <is>
          <t>Never special serv</t>
        </is>
      </c>
      <c r="AC974" s="73" t="n"/>
      <c r="AD974" s="69" t="n"/>
      <c r="AE974" s="69" t="n"/>
      <c r="AF974" s="69" t="inlineStr">
        <is>
          <t>OH</t>
        </is>
      </c>
      <c r="AG974" s="69" t="inlineStr">
        <is>
          <t>Deerfield</t>
        </is>
      </c>
      <c r="AH974" s="69" t="inlineStr">
        <is>
          <t>Akron, OH</t>
        </is>
      </c>
      <c r="AI974" s="69" t="inlineStr">
        <is>
          <t>Midwest / Central East</t>
        </is>
      </c>
      <c r="AJ974" s="69" t="inlineStr">
        <is>
          <t>MH</t>
        </is>
      </c>
      <c r="AK974" s="69" t="n"/>
      <c r="AL974" s="68" t="n">
        <v>1</v>
      </c>
      <c r="AM974" s="68" t="n">
        <v>203</v>
      </c>
      <c r="AN974" s="68" t="n"/>
      <c r="AO974" s="69" t="inlineStr">
        <is>
          <t>1970</t>
        </is>
      </c>
      <c r="AP974" s="70" t="n">
        <v>1970</v>
      </c>
      <c r="AQ974" s="74" t="n">
        <v>1.35</v>
      </c>
      <c r="AR974" s="74" t="n">
        <v>1.6</v>
      </c>
      <c r="AS974" s="74" t="n">
        <v>63.8</v>
      </c>
      <c r="AT974" s="74" t="n">
        <v>55.72</v>
      </c>
      <c r="AU974" s="74" t="n">
        <v>53.9</v>
      </c>
      <c r="AV974" s="74" t="n">
        <v>9.563516129</v>
      </c>
      <c r="AW974" s="74" t="n">
        <v>12.294882571</v>
      </c>
      <c r="AX974" s="75" t="n">
        <v>98</v>
      </c>
      <c r="AY974" s="71" t="n">
        <v>9700000</v>
      </c>
      <c r="AZ974" s="71" t="n">
        <v>9700000</v>
      </c>
      <c r="BA974" s="71" t="n">
        <v>592938</v>
      </c>
      <c r="BB974" s="71" t="n">
        <v>349770.68</v>
      </c>
      <c r="BC974" s="69" t="inlineStr">
        <is>
          <t>Refinance</t>
        </is>
      </c>
      <c r="BD974" s="69" t="inlineStr">
        <is>
          <t>N</t>
        </is>
      </c>
      <c r="BE974" s="71" t="n"/>
      <c r="BF974" s="71" t="n"/>
      <c r="BG974" s="71" t="n"/>
      <c r="BH974" s="71" t="n">
        <v>0</v>
      </c>
      <c r="BI974" s="71" t="n">
        <v>0</v>
      </c>
      <c r="BJ974" s="69" t="inlineStr">
        <is>
          <t>N</t>
        </is>
      </c>
      <c r="BK974" s="69" t="n"/>
      <c r="BL974" s="75" t="n"/>
      <c r="BM974" s="73" t="n"/>
      <c r="BN974" s="69" t="inlineStr">
        <is>
          <t>Vincent J. Naska; Jacob A. Wilhite; David E. Daywalt</t>
        </is>
      </c>
      <c r="BO974" s="69" t="inlineStr">
        <is>
          <t>RMF</t>
        </is>
      </c>
      <c r="BP974" s="69" t="inlineStr">
        <is>
          <t>TriMont Real Estate Advisors</t>
        </is>
      </c>
      <c r="BQ974" s="69" t="inlineStr">
        <is>
          <t>K-Star Asset Management LLC</t>
        </is>
      </c>
      <c r="BR974" s="69" t="n"/>
      <c r="BS974" s="73" t="n">
        <v>46276</v>
      </c>
      <c r="BU974" s="76">
        <f>IF($C974="","",IFERROR(INDEX(dmName,MATCH($C974,dmID,0)),"Unmapped"))</f>
        <v/>
      </c>
      <c r="BV974" s="76">
        <f>IF($C974="","",IFERROR(INDEX(dmEntity,MATCH($C974,dmID,0)),"Unmapped"))</f>
        <v/>
      </c>
      <c r="BW974" s="77">
        <f>IF($C974="","",IFERROR(INDEX(dmVintage,MATCH($C974,dmID,0)),""))</f>
        <v/>
      </c>
      <c r="BX974" s="78">
        <f>IFERROR(INDEX(dmInclude,MATCH($C974,dmID,0)),0)</f>
        <v/>
      </c>
      <c r="BY974" s="78">
        <f>IF(N($I974)&gt;0,1,0)</f>
        <v/>
      </c>
      <c r="BZ974" s="76">
        <f>IF($AJ974="","Other / Leased Fee",IFERROR(INDEX(mapPTGroup,MATCH(LEFT(TRIM($AJ974),2),mapPTCode,0)),"Other / Leased Fee"))</f>
        <v/>
      </c>
      <c r="CA974" s="76">
        <f>IF(TRIM($AF974&amp;"")="","NR",LEFT(TRIM($AF974),2))</f>
        <v/>
      </c>
      <c r="CB974" s="76">
        <f>IFERROR(LOOKUP(2,1/(LEFT(TRIM($AI974&amp;""),LEN(mapRegion))=mapRegion),mapRegion),"Not Reported")</f>
        <v/>
      </c>
      <c r="CC974" s="76">
        <f>IF($BY974=0,"",IF(TRIM($W974&amp;"")="REO","REO",IF(TRIM($W974&amp;"")="FC","Foreclosure",IF(TRIM($W974&amp;"")="90+","90+ Days Delinquent",IF(TRIM($W974&amp;"")="60","60 Days Delinquent",IF(TRIM($W974&amp;"")="30","30 Days Delinquent",IF($X974="Non-Performing Matured Balloon","Non-Performing Matured Balloon",IF(OR($X974="Late Payment But Less Than 30 Days Delinquent",LEFT($X974&amp;"",20)="Payment Not Received"),"Late / In Grace (&lt;30 Days)",IF($X974="Performing Matured Balloon","Performing Matured Balloon","Current")))))))))</f>
        <v/>
      </c>
      <c r="CD974" s="78">
        <f>IF(OR($CC974="REO",$CC974="Foreclosure",$CC974="90+ Days Delinquent",$CC974="60 Days Delinquent",$CC974="30 Days Delinquent",$CC974="Non-Performing Matured Balloon"),1,0)</f>
        <v/>
      </c>
      <c r="CE974" s="76">
        <f>IF($AB974="Currently special serv","Currently Specially Serviced",IF($AB974="Returned to master serv","Previously Specially Serviced","Never Specially Serviced"))</f>
        <v/>
      </c>
      <c r="CF974" s="78">
        <f>IF($CE974="Currently Specially Serviced",1,0)</f>
        <v/>
      </c>
      <c r="CG974" s="76">
        <f>IF($AA974="Yes","Currently on Watchlist",IF($AA974="Previously","Previously on Watchlist","Never on Watchlist"))</f>
        <v/>
      </c>
      <c r="CH974" s="78">
        <f>IF($CG974="Currently on Watchlist",1,0)</f>
        <v/>
      </c>
      <c r="CI974" s="76">
        <f>IF($Z974="Full Defeasance","Fully Defeased",IF($Z974="Portion Of Loan Previously Defeased","Partially Defeased",IF($Z974="Defeasance Not Allowable","Not Defeased (Not Permitted)","Not Defeased")))</f>
        <v/>
      </c>
      <c r="CJ974" s="78">
        <f>IF($CI974="Fully Defeased",1,0)</f>
        <v/>
      </c>
      <c r="CK974" s="76">
        <f>IF($R974="IO","Full IO",IF(LEFT($R974&amp;"",7)="IO then","Partial IO","Amortizing"))</f>
        <v/>
      </c>
      <c r="CL974" s="78">
        <f>IF($CK974="Full IO",1,0)</f>
        <v/>
      </c>
      <c r="CM974" s="78">
        <f>IF($CK974="Partial IO",1,0)</f>
        <v/>
      </c>
      <c r="CN974" s="76">
        <f>IF(LEFT($F974&amp;"",10)="SPLIT_LOAN","Pari Passu Split","Standalone")</f>
        <v/>
      </c>
      <c r="CO974" s="78">
        <f>IF($CN974="Pari Passu Split",1,0)</f>
        <v/>
      </c>
      <c r="CP974" s="77">
        <f>IF(ISNUMBER($T974),YEAR($T974),"")</f>
        <v/>
      </c>
      <c r="CQ974" s="79">
        <f>IF(ISNUMBER($V974),$V974,IF(ISNUMBER($U974),$U974,""))</f>
        <v/>
      </c>
      <c r="CR974" s="77">
        <f>IF(ISNUMBER($CQ974),YEAR($CQ974),"")</f>
        <v/>
      </c>
      <c r="CS974" s="78">
        <f>IF(ISNUMBER($M974),MAX(0,$M974),IF(TRIM($M974&amp;"")="matured",0,""))</f>
        <v/>
      </c>
      <c r="CT974" s="78">
        <f>IF(AND(ISNUMBER($CS974),N($CS974)&lt;=mMatWindow),1,0)</f>
        <v/>
      </c>
      <c r="CU974" s="80">
        <f>IF(ISNUMBER($J974),$J974/100,"")</f>
        <v/>
      </c>
      <c r="CV974" s="81">
        <f>IF(ISNUMBER($AQ974),$AQ974,"")</f>
        <v/>
      </c>
      <c r="CW974" s="81">
        <f>IF(ISNUMBER($AR974),$AR974,"")</f>
        <v/>
      </c>
      <c r="CX974" s="82">
        <f>IF(ISNUMBER($AS974),$AS974/100,"")</f>
        <v/>
      </c>
      <c r="CY974" s="82">
        <f>IF(ISNUMBER($AT974),$AT974/100,"")</f>
        <v/>
      </c>
      <c r="CZ974" s="82">
        <f>IF(ISNUMBER($AU974),$AU974/100,"")</f>
        <v/>
      </c>
      <c r="DA974" s="82">
        <f>IF(ISNUMBER($AV974),$AV974/100,"")</f>
        <v/>
      </c>
      <c r="DB974" s="82">
        <f>IF(ISNUMBER($AW974),$AW974/100,"")</f>
        <v/>
      </c>
      <c r="DC974" s="82">
        <f>IF(ISNUMBER($AX974),$AX974/100,"")</f>
        <v/>
      </c>
      <c r="DD974" s="77">
        <f>IFERROR(VALUE(LEFT(TRIM($AO974&amp;""),4)),"")</f>
        <v/>
      </c>
      <c r="DE974" s="78">
        <f>IF(AND($BY974=1,$BX974=1,OR(fDeal="All Deals",$BU974=fDeal),OR(fEntity="All Entities",$BV974=fEntity),OR(fPType="All Property Types",$BZ974=fPType),OR(fDefeased="Include",$CJ974=0)),1,0)</f>
        <v/>
      </c>
      <c r="DF974" s="83">
        <f>$DE974*N($I974)</f>
        <v/>
      </c>
      <c r="DG974" s="78">
        <f>IF($DE974=1,IF(COUNTIFS($F$8:$F974,$F974,$DE$8:$DE974,1)=1,1,0),0)</f>
        <v/>
      </c>
      <c r="DH974" s="83">
        <f>IF($DG974=1,SUMIFS($DF$8:$DF$1600,$F$8:$F$1600,$F974),0)</f>
        <v/>
      </c>
      <c r="DI974" s="78">
        <f>IF($DG974=1,COUNTIFS($F$8:$F$1600,$F974,$DE$8:$DE$1600,1),0)</f>
        <v/>
      </c>
      <c r="DJ974" s="84">
        <f>IF($DG974=1,$DH974+(100000-ROW())/mTieBreak,0)</f>
        <v/>
      </c>
    </row>
    <row r="975">
      <c r="B975" s="68" t="n">
        <v>35</v>
      </c>
      <c r="C975" s="69" t="inlineStr">
        <is>
          <t>WFC18C43</t>
        </is>
      </c>
      <c r="D975" s="69" t="inlineStr">
        <is>
          <t>35.000</t>
        </is>
      </c>
      <c r="E975" s="69" t="inlineStr">
        <is>
          <t>8000 Jarvis Avenue</t>
        </is>
      </c>
      <c r="F975" s="69" t="inlineStr">
        <is>
          <t>LNWFC18C43-35.000</t>
        </is>
      </c>
      <c r="G975" s="70" t="n"/>
      <c r="H975" s="71" t="n">
        <v>6100000</v>
      </c>
      <c r="I975" s="71" t="n">
        <v>6100000</v>
      </c>
      <c r="J975" s="72" t="n">
        <v>4.483</v>
      </c>
      <c r="K975" s="69" t="inlineStr">
        <is>
          <t>Fixed rate</t>
        </is>
      </c>
      <c r="L975" s="68" t="n">
        <v>120</v>
      </c>
      <c r="M975" s="68" t="n">
        <v>17</v>
      </c>
      <c r="N975" s="68" t="n">
        <v>120</v>
      </c>
      <c r="O975" s="68" t="n">
        <v>120</v>
      </c>
      <c r="P975" s="68" t="n">
        <v>17</v>
      </c>
      <c r="Q975" s="68" t="n">
        <v>103</v>
      </c>
      <c r="R975" s="69" t="inlineStr">
        <is>
          <t>IO</t>
        </is>
      </c>
      <c r="S975" s="69" t="inlineStr">
        <is>
          <t>Yes</t>
        </is>
      </c>
      <c r="T975" s="73" t="n">
        <v>43132</v>
      </c>
      <c r="U975" s="73" t="n">
        <v>46789</v>
      </c>
      <c r="V975" s="73" t="n"/>
      <c r="W975" s="69" t="inlineStr">
        <is>
          <t>90+</t>
        </is>
      </c>
      <c r="X975" s="69" t="inlineStr">
        <is>
          <t>90-120 Days Delinquent</t>
        </is>
      </c>
      <c r="Y975" s="68" t="n">
        <v>3</v>
      </c>
      <c r="Z975" s="69" t="inlineStr">
        <is>
          <t>No Defeasance Occurred</t>
        </is>
      </c>
      <c r="AA975" s="69" t="inlineStr">
        <is>
          <t>Previously</t>
        </is>
      </c>
      <c r="AB975" s="69" t="inlineStr">
        <is>
          <t>Currently special serv</t>
        </is>
      </c>
      <c r="AC975" s="73" t="n">
        <v>45987</v>
      </c>
      <c r="AD975" s="69" t="inlineStr">
        <is>
          <t>Other</t>
        </is>
      </c>
      <c r="AE975" s="69" t="inlineStr">
        <is>
          <t>Foreclosure</t>
        </is>
      </c>
      <c r="AF975" s="69" t="inlineStr">
        <is>
          <t>CA</t>
        </is>
      </c>
      <c r="AG975" s="69" t="inlineStr">
        <is>
          <t>Newark</t>
        </is>
      </c>
      <c r="AH975" s="69" t="inlineStr">
        <is>
          <t>San Francisco-Oakland-Fremont, CA</t>
        </is>
      </c>
      <c r="AI975" s="69" t="inlineStr">
        <is>
          <t>West / Pacific North</t>
        </is>
      </c>
      <c r="AJ975" s="69" t="inlineStr">
        <is>
          <t>OF</t>
        </is>
      </c>
      <c r="AK975" s="69" t="inlineStr">
        <is>
          <t>Suburban</t>
        </is>
      </c>
      <c r="AL975" s="68" t="n">
        <v>1</v>
      </c>
      <c r="AM975" s="68" t="n"/>
      <c r="AN975" s="68" t="n">
        <v>49580</v>
      </c>
      <c r="AO975" s="69" t="inlineStr">
        <is>
          <t>2002</t>
        </is>
      </c>
      <c r="AP975" s="70" t="n">
        <v>2002</v>
      </c>
      <c r="AQ975" s="74" t="n">
        <v>2.46</v>
      </c>
      <c r="AR975" s="74" t="n">
        <v>1.9</v>
      </c>
      <c r="AS975" s="74" t="n">
        <v>48.5</v>
      </c>
      <c r="AT975" s="74" t="n">
        <v>48.53</v>
      </c>
      <c r="AU975" s="74" t="n">
        <v>48.5</v>
      </c>
      <c r="AV975" s="74" t="n">
        <v>11.193713115</v>
      </c>
      <c r="AW975" s="74" t="n">
        <v>12.398384098</v>
      </c>
      <c r="AX975" s="75" t="n">
        <v>52</v>
      </c>
      <c r="AY975" s="71" t="n">
        <v>12570000</v>
      </c>
      <c r="AZ975" s="71" t="n">
        <v>12570000</v>
      </c>
      <c r="BA975" s="71" t="n">
        <v>682816.5</v>
      </c>
      <c r="BB975" s="71" t="n">
        <v>394657.13</v>
      </c>
      <c r="BC975" s="69" t="inlineStr">
        <is>
          <t>Recapitalization</t>
        </is>
      </c>
      <c r="BD975" s="69" t="inlineStr">
        <is>
          <t>N</t>
        </is>
      </c>
      <c r="BE975" s="71" t="n"/>
      <c r="BF975" s="71" t="n"/>
      <c r="BG975" s="71" t="n"/>
      <c r="BH975" s="71" t="n">
        <v>0</v>
      </c>
      <c r="BI975" s="71" t="n">
        <v>93328.98</v>
      </c>
      <c r="BJ975" s="69" t="inlineStr">
        <is>
          <t>N</t>
        </is>
      </c>
      <c r="BK975" s="69" t="inlineStr">
        <is>
          <t>DeVry  Inc.</t>
        </is>
      </c>
      <c r="BL975" s="75" t="n">
        <v>25.77</v>
      </c>
      <c r="BM975" s="73" t="n">
        <v>47026</v>
      </c>
      <c r="BN975" s="69" t="inlineStr">
        <is>
          <t>Time Equities, Inc.</t>
        </is>
      </c>
      <c r="BO975" s="69" t="inlineStr">
        <is>
          <t>Barclays</t>
        </is>
      </c>
      <c r="BP975" s="69" t="inlineStr">
        <is>
          <t>TriMont Real Estate Advisors</t>
        </is>
      </c>
      <c r="BQ975" s="69" t="inlineStr">
        <is>
          <t>K-Star Asset Management LLC</t>
        </is>
      </c>
      <c r="BR975" s="69" t="n"/>
      <c r="BS975" s="73" t="n">
        <v>46276</v>
      </c>
      <c r="BU975" s="76">
        <f>IF($C975="","",IFERROR(INDEX(dmName,MATCH($C975,dmID,0)),"Unmapped"))</f>
        <v/>
      </c>
      <c r="BV975" s="76">
        <f>IF($C975="","",IFERROR(INDEX(dmEntity,MATCH($C975,dmID,0)),"Unmapped"))</f>
        <v/>
      </c>
      <c r="BW975" s="77">
        <f>IF($C975="","",IFERROR(INDEX(dmVintage,MATCH($C975,dmID,0)),""))</f>
        <v/>
      </c>
      <c r="BX975" s="78">
        <f>IFERROR(INDEX(dmInclude,MATCH($C975,dmID,0)),0)</f>
        <v/>
      </c>
      <c r="BY975" s="78">
        <f>IF(N($I975)&gt;0,1,0)</f>
        <v/>
      </c>
      <c r="BZ975" s="76">
        <f>IF($AJ975="","Other / Leased Fee",IFERROR(INDEX(mapPTGroup,MATCH(LEFT(TRIM($AJ975),2),mapPTCode,0)),"Other / Leased Fee"))</f>
        <v/>
      </c>
      <c r="CA975" s="76">
        <f>IF(TRIM($AF975&amp;"")="","NR",LEFT(TRIM($AF975),2))</f>
        <v/>
      </c>
      <c r="CB975" s="76">
        <f>IFERROR(LOOKUP(2,1/(LEFT(TRIM($AI975&amp;""),LEN(mapRegion))=mapRegion),mapRegion),"Not Reported")</f>
        <v/>
      </c>
      <c r="CC975" s="76">
        <f>IF($BY975=0,"",IF(TRIM($W975&amp;"")="REO","REO",IF(TRIM($W975&amp;"")="FC","Foreclosure",IF(TRIM($W975&amp;"")="90+","90+ Days Delinquent",IF(TRIM($W975&amp;"")="60","60 Days Delinquent",IF(TRIM($W975&amp;"")="30","30 Days Delinquent",IF($X975="Non-Performing Matured Balloon","Non-Performing Matured Balloon",IF(OR($X975="Late Payment But Less Than 30 Days Delinquent",LEFT($X975&amp;"",20)="Payment Not Received"),"Late / In Grace (&lt;30 Days)",IF($X975="Performing Matured Balloon","Performing Matured Balloon","Current")))))))))</f>
        <v/>
      </c>
      <c r="CD975" s="78">
        <f>IF(OR($CC975="REO",$CC975="Foreclosure",$CC975="90+ Days Delinquent",$CC975="60 Days Delinquent",$CC975="30 Days Delinquent",$CC975="Non-Performing Matured Balloon"),1,0)</f>
        <v/>
      </c>
      <c r="CE975" s="76">
        <f>IF($AB975="Currently special serv","Currently Specially Serviced",IF($AB975="Returned to master serv","Previously Specially Serviced","Never Specially Serviced"))</f>
        <v/>
      </c>
      <c r="CF975" s="78">
        <f>IF($CE975="Currently Specially Serviced",1,0)</f>
        <v/>
      </c>
      <c r="CG975" s="76">
        <f>IF($AA975="Yes","Currently on Watchlist",IF($AA975="Previously","Previously on Watchlist","Never on Watchlist"))</f>
        <v/>
      </c>
      <c r="CH975" s="78">
        <f>IF($CG975="Currently on Watchlist",1,0)</f>
        <v/>
      </c>
      <c r="CI975" s="76">
        <f>IF($Z975="Full Defeasance","Fully Defeased",IF($Z975="Portion Of Loan Previously Defeased","Partially Defeased",IF($Z975="Defeasance Not Allowable","Not Defeased (Not Permitted)","Not Defeased")))</f>
        <v/>
      </c>
      <c r="CJ975" s="78">
        <f>IF($CI975="Fully Defeased",1,0)</f>
        <v/>
      </c>
      <c r="CK975" s="76">
        <f>IF($R975="IO","Full IO",IF(LEFT($R975&amp;"",7)="IO then","Partial IO","Amortizing"))</f>
        <v/>
      </c>
      <c r="CL975" s="78">
        <f>IF($CK975="Full IO",1,0)</f>
        <v/>
      </c>
      <c r="CM975" s="78">
        <f>IF($CK975="Partial IO",1,0)</f>
        <v/>
      </c>
      <c r="CN975" s="76">
        <f>IF(LEFT($F975&amp;"",10)="SPLIT_LOAN","Pari Passu Split","Standalone")</f>
        <v/>
      </c>
      <c r="CO975" s="78">
        <f>IF($CN975="Pari Passu Split",1,0)</f>
        <v/>
      </c>
      <c r="CP975" s="77">
        <f>IF(ISNUMBER($T975),YEAR($T975),"")</f>
        <v/>
      </c>
      <c r="CQ975" s="79">
        <f>IF(ISNUMBER($V975),$V975,IF(ISNUMBER($U975),$U975,""))</f>
        <v/>
      </c>
      <c r="CR975" s="77">
        <f>IF(ISNUMBER($CQ975),YEAR($CQ975),"")</f>
        <v/>
      </c>
      <c r="CS975" s="78">
        <f>IF(ISNUMBER($M975),MAX(0,$M975),IF(TRIM($M975&amp;"")="matured",0,""))</f>
        <v/>
      </c>
      <c r="CT975" s="78">
        <f>IF(AND(ISNUMBER($CS975),N($CS975)&lt;=mMatWindow),1,0)</f>
        <v/>
      </c>
      <c r="CU975" s="80">
        <f>IF(ISNUMBER($J975),$J975/100,"")</f>
        <v/>
      </c>
      <c r="CV975" s="81">
        <f>IF(ISNUMBER($AQ975),$AQ975,"")</f>
        <v/>
      </c>
      <c r="CW975" s="81">
        <f>IF(ISNUMBER($AR975),$AR975,"")</f>
        <v/>
      </c>
      <c r="CX975" s="82">
        <f>IF(ISNUMBER($AS975),$AS975/100,"")</f>
        <v/>
      </c>
      <c r="CY975" s="82">
        <f>IF(ISNUMBER($AT975),$AT975/100,"")</f>
        <v/>
      </c>
      <c r="CZ975" s="82">
        <f>IF(ISNUMBER($AU975),$AU975/100,"")</f>
        <v/>
      </c>
      <c r="DA975" s="82">
        <f>IF(ISNUMBER($AV975),$AV975/100,"")</f>
        <v/>
      </c>
      <c r="DB975" s="82">
        <f>IF(ISNUMBER($AW975),$AW975/100,"")</f>
        <v/>
      </c>
      <c r="DC975" s="82">
        <f>IF(ISNUMBER($AX975),$AX975/100,"")</f>
        <v/>
      </c>
      <c r="DD975" s="77">
        <f>IFERROR(VALUE(LEFT(TRIM($AO975&amp;""),4)),"")</f>
        <v/>
      </c>
      <c r="DE975" s="78">
        <f>IF(AND($BY975=1,$BX975=1,OR(fDeal="All Deals",$BU975=fDeal),OR(fEntity="All Entities",$BV975=fEntity),OR(fPType="All Property Types",$BZ975=fPType),OR(fDefeased="Include",$CJ975=0)),1,0)</f>
        <v/>
      </c>
      <c r="DF975" s="83">
        <f>$DE975*N($I975)</f>
        <v/>
      </c>
      <c r="DG975" s="78">
        <f>IF($DE975=1,IF(COUNTIFS($F$8:$F975,$F975,$DE$8:$DE975,1)=1,1,0),0)</f>
        <v/>
      </c>
      <c r="DH975" s="83">
        <f>IF($DG975=1,SUMIFS($DF$8:$DF$1600,$F$8:$F$1600,$F975),0)</f>
        <v/>
      </c>
      <c r="DI975" s="78">
        <f>IF($DG975=1,COUNTIFS($F$8:$F$1600,$F975,$DE$8:$DE$1600,1),0)</f>
        <v/>
      </c>
      <c r="DJ975" s="84">
        <f>IF($DG975=1,$DH975+(100000-ROW())/mTieBreak,0)</f>
        <v/>
      </c>
    </row>
    <row r="976">
      <c r="B976" s="68" t="n">
        <v>36</v>
      </c>
      <c r="C976" s="69" t="inlineStr">
        <is>
          <t>WFC18C43</t>
        </is>
      </c>
      <c r="D976" s="69" t="inlineStr">
        <is>
          <t>36.000</t>
        </is>
      </c>
      <c r="E976" s="69" t="inlineStr">
        <is>
          <t>Newport News Flex Portfolio</t>
        </is>
      </c>
      <c r="F976" s="69" t="inlineStr">
        <is>
          <t>LNWFC18C43-36.000</t>
        </is>
      </c>
      <c r="G976" s="70" t="n"/>
      <c r="H976" s="71" t="n">
        <v>5590000</v>
      </c>
      <c r="I976" s="71" t="n">
        <v>4792189.300000961</v>
      </c>
      <c r="J976" s="72" t="n">
        <v>5.19</v>
      </c>
      <c r="K976" s="69" t="inlineStr">
        <is>
          <t>Fixed rate</t>
        </is>
      </c>
      <c r="L976" s="68" t="n">
        <v>120</v>
      </c>
      <c r="M976" s="68" t="n">
        <v>17</v>
      </c>
      <c r="N976" s="68" t="n">
        <v>360</v>
      </c>
      <c r="O976" s="68" t="n"/>
      <c r="P976" s="68" t="n"/>
      <c r="Q976" s="68" t="n">
        <v>103</v>
      </c>
      <c r="R976" s="69" t="n"/>
      <c r="S976" s="69" t="inlineStr">
        <is>
          <t>No</t>
        </is>
      </c>
      <c r="T976" s="73" t="n">
        <v>43132</v>
      </c>
      <c r="U976" s="73" t="n">
        <v>46794</v>
      </c>
      <c r="V976" s="73" t="n"/>
      <c r="W976" s="69" t="n"/>
      <c r="X976" s="69" t="inlineStr">
        <is>
          <t>Current</t>
        </is>
      </c>
      <c r="Y976" s="68" t="n"/>
      <c r="Z976" s="69" t="inlineStr">
        <is>
          <t>No Defeasance Occurred</t>
        </is>
      </c>
      <c r="AA976" s="69" t="inlineStr">
        <is>
          <t>Previously</t>
        </is>
      </c>
      <c r="AB976" s="69" t="inlineStr">
        <is>
          <t>Never special serv</t>
        </is>
      </c>
      <c r="AC976" s="73" t="n"/>
      <c r="AD976" s="69" t="n"/>
      <c r="AE976" s="69" t="n"/>
      <c r="AF976" s="69" t="inlineStr">
        <is>
          <t>VA</t>
        </is>
      </c>
      <c r="AG976" s="69" t="inlineStr">
        <is>
          <t>Newport News</t>
        </is>
      </c>
      <c r="AH976" s="69" t="inlineStr">
        <is>
          <t>Virginia Beach-Chesapeake-Norfolk, VA-NC</t>
        </is>
      </c>
      <c r="AI976" s="69" t="inlineStr">
        <is>
          <t>South / Atlantic</t>
        </is>
      </c>
      <c r="AJ976" s="69" t="inlineStr">
        <is>
          <t>IN</t>
        </is>
      </c>
      <c r="AK976" s="69" t="inlineStr">
        <is>
          <t>Flex</t>
        </is>
      </c>
      <c r="AL976" s="68" t="n">
        <v>1</v>
      </c>
      <c r="AM976" s="68" t="n"/>
      <c r="AN976" s="68" t="n">
        <v>154799</v>
      </c>
      <c r="AO976" s="69" t="inlineStr">
        <is>
          <t>1999</t>
        </is>
      </c>
      <c r="AP976" s="70" t="n">
        <v>2008</v>
      </c>
      <c r="AQ976" s="74" t="n">
        <v>1.95</v>
      </c>
      <c r="AR976" s="74" t="n">
        <v>2.97</v>
      </c>
      <c r="AS976" s="74" t="n">
        <v>62.7</v>
      </c>
      <c r="AT976" s="74" t="n">
        <v>53.84</v>
      </c>
      <c r="AU976" s="74" t="n">
        <v>51.9</v>
      </c>
      <c r="AV976" s="74" t="n">
        <v>12.830792665</v>
      </c>
      <c r="AW976" s="74" t="n">
        <v>20.056740455</v>
      </c>
      <c r="AX976" s="75" t="n">
        <v>95</v>
      </c>
      <c r="AY976" s="71" t="n">
        <v>8900000</v>
      </c>
      <c r="AZ976" s="71" t="n">
        <v>8900000</v>
      </c>
      <c r="BA976" s="71" t="n">
        <v>717241.3100000001</v>
      </c>
      <c r="BB976" s="71" t="n">
        <v>545841.33</v>
      </c>
      <c r="BC976" s="69" t="inlineStr">
        <is>
          <t>Acquisition</t>
        </is>
      </c>
      <c r="BD976" s="69" t="inlineStr">
        <is>
          <t>N</t>
        </is>
      </c>
      <c r="BE976" s="71" t="n"/>
      <c r="BF976" s="71" t="n"/>
      <c r="BG976" s="71" t="n"/>
      <c r="BH976" s="71" t="n">
        <v>0</v>
      </c>
      <c r="BI976" s="71" t="n">
        <v>0</v>
      </c>
      <c r="BJ976" s="69" t="inlineStr">
        <is>
          <t>N</t>
        </is>
      </c>
      <c r="BK976" s="69" t="inlineStr">
        <is>
          <t>Virginia Wave Volleyball Club</t>
        </is>
      </c>
      <c r="BL976" s="75" t="n">
        <v>11.59</v>
      </c>
      <c r="BM976" s="73" t="n">
        <v>47664</v>
      </c>
      <c r="BN976" s="69" t="inlineStr">
        <is>
          <t>Union Investment Company of Newport News, VA.</t>
        </is>
      </c>
      <c r="BO976" s="69" t="inlineStr">
        <is>
          <t>Wells Fargo</t>
        </is>
      </c>
      <c r="BP976" s="69" t="inlineStr">
        <is>
          <t>TriMont Real Estate Advisors</t>
        </is>
      </c>
      <c r="BQ976" s="69" t="inlineStr">
        <is>
          <t>K-Star Asset Management LLC</t>
        </is>
      </c>
      <c r="BR976" s="69" t="n"/>
      <c r="BS976" s="73" t="n">
        <v>46276</v>
      </c>
      <c r="BU976" s="76">
        <f>IF($C976="","",IFERROR(INDEX(dmName,MATCH($C976,dmID,0)),"Unmapped"))</f>
        <v/>
      </c>
      <c r="BV976" s="76">
        <f>IF($C976="","",IFERROR(INDEX(dmEntity,MATCH($C976,dmID,0)),"Unmapped"))</f>
        <v/>
      </c>
      <c r="BW976" s="77">
        <f>IF($C976="","",IFERROR(INDEX(dmVintage,MATCH($C976,dmID,0)),""))</f>
        <v/>
      </c>
      <c r="BX976" s="78">
        <f>IFERROR(INDEX(dmInclude,MATCH($C976,dmID,0)),0)</f>
        <v/>
      </c>
      <c r="BY976" s="78">
        <f>IF(N($I976)&gt;0,1,0)</f>
        <v/>
      </c>
      <c r="BZ976" s="76">
        <f>IF($AJ976="","Other / Leased Fee",IFERROR(INDEX(mapPTGroup,MATCH(LEFT(TRIM($AJ976),2),mapPTCode,0)),"Other / Leased Fee"))</f>
        <v/>
      </c>
      <c r="CA976" s="76">
        <f>IF(TRIM($AF976&amp;"")="","NR",LEFT(TRIM($AF976),2))</f>
        <v/>
      </c>
      <c r="CB976" s="76">
        <f>IFERROR(LOOKUP(2,1/(LEFT(TRIM($AI976&amp;""),LEN(mapRegion))=mapRegion),mapRegion),"Not Reported")</f>
        <v/>
      </c>
      <c r="CC976" s="76">
        <f>IF($BY976=0,"",IF(TRIM($W976&amp;"")="REO","REO",IF(TRIM($W976&amp;"")="FC","Foreclosure",IF(TRIM($W976&amp;"")="90+","90+ Days Delinquent",IF(TRIM($W976&amp;"")="60","60 Days Delinquent",IF(TRIM($W976&amp;"")="30","30 Days Delinquent",IF($X976="Non-Performing Matured Balloon","Non-Performing Matured Balloon",IF(OR($X976="Late Payment But Less Than 30 Days Delinquent",LEFT($X976&amp;"",20)="Payment Not Received"),"Late / In Grace (&lt;30 Days)",IF($X976="Performing Matured Balloon","Performing Matured Balloon","Current")))))))))</f>
        <v/>
      </c>
      <c r="CD976" s="78">
        <f>IF(OR($CC976="REO",$CC976="Foreclosure",$CC976="90+ Days Delinquent",$CC976="60 Days Delinquent",$CC976="30 Days Delinquent",$CC976="Non-Performing Matured Balloon"),1,0)</f>
        <v/>
      </c>
      <c r="CE976" s="76">
        <f>IF($AB976="Currently special serv","Currently Specially Serviced",IF($AB976="Returned to master serv","Previously Specially Serviced","Never Specially Serviced"))</f>
        <v/>
      </c>
      <c r="CF976" s="78">
        <f>IF($CE976="Currently Specially Serviced",1,0)</f>
        <v/>
      </c>
      <c r="CG976" s="76">
        <f>IF($AA976="Yes","Currently on Watchlist",IF($AA976="Previously","Previously on Watchlist","Never on Watchlist"))</f>
        <v/>
      </c>
      <c r="CH976" s="78">
        <f>IF($CG976="Currently on Watchlist",1,0)</f>
        <v/>
      </c>
      <c r="CI976" s="76">
        <f>IF($Z976="Full Defeasance","Fully Defeased",IF($Z976="Portion Of Loan Previously Defeased","Partially Defeased",IF($Z976="Defeasance Not Allowable","Not Defeased (Not Permitted)","Not Defeased")))</f>
        <v/>
      </c>
      <c r="CJ976" s="78">
        <f>IF($CI976="Fully Defeased",1,0)</f>
        <v/>
      </c>
      <c r="CK976" s="76">
        <f>IF($R976="IO","Full IO",IF(LEFT($R976&amp;"",7)="IO then","Partial IO","Amortizing"))</f>
        <v/>
      </c>
      <c r="CL976" s="78">
        <f>IF($CK976="Full IO",1,0)</f>
        <v/>
      </c>
      <c r="CM976" s="78">
        <f>IF($CK976="Partial IO",1,0)</f>
        <v/>
      </c>
      <c r="CN976" s="76">
        <f>IF(LEFT($F976&amp;"",10)="SPLIT_LOAN","Pari Passu Split","Standalone")</f>
        <v/>
      </c>
      <c r="CO976" s="78">
        <f>IF($CN976="Pari Passu Split",1,0)</f>
        <v/>
      </c>
      <c r="CP976" s="77">
        <f>IF(ISNUMBER($T976),YEAR($T976),"")</f>
        <v/>
      </c>
      <c r="CQ976" s="79">
        <f>IF(ISNUMBER($V976),$V976,IF(ISNUMBER($U976),$U976,""))</f>
        <v/>
      </c>
      <c r="CR976" s="77">
        <f>IF(ISNUMBER($CQ976),YEAR($CQ976),"")</f>
        <v/>
      </c>
      <c r="CS976" s="78">
        <f>IF(ISNUMBER($M976),MAX(0,$M976),IF(TRIM($M976&amp;"")="matured",0,""))</f>
        <v/>
      </c>
      <c r="CT976" s="78">
        <f>IF(AND(ISNUMBER($CS976),N($CS976)&lt;=mMatWindow),1,0)</f>
        <v/>
      </c>
      <c r="CU976" s="80">
        <f>IF(ISNUMBER($J976),$J976/100,"")</f>
        <v/>
      </c>
      <c r="CV976" s="81">
        <f>IF(ISNUMBER($AQ976),$AQ976,"")</f>
        <v/>
      </c>
      <c r="CW976" s="81">
        <f>IF(ISNUMBER($AR976),$AR976,"")</f>
        <v/>
      </c>
      <c r="CX976" s="82">
        <f>IF(ISNUMBER($AS976),$AS976/100,"")</f>
        <v/>
      </c>
      <c r="CY976" s="82">
        <f>IF(ISNUMBER($AT976),$AT976/100,"")</f>
        <v/>
      </c>
      <c r="CZ976" s="82">
        <f>IF(ISNUMBER($AU976),$AU976/100,"")</f>
        <v/>
      </c>
      <c r="DA976" s="82">
        <f>IF(ISNUMBER($AV976),$AV976/100,"")</f>
        <v/>
      </c>
      <c r="DB976" s="82">
        <f>IF(ISNUMBER($AW976),$AW976/100,"")</f>
        <v/>
      </c>
      <c r="DC976" s="82">
        <f>IF(ISNUMBER($AX976),$AX976/100,"")</f>
        <v/>
      </c>
      <c r="DD976" s="77">
        <f>IFERROR(VALUE(LEFT(TRIM($AO976&amp;""),4)),"")</f>
        <v/>
      </c>
      <c r="DE976" s="78">
        <f>IF(AND($BY976=1,$BX976=1,OR(fDeal="All Deals",$BU976=fDeal),OR(fEntity="All Entities",$BV976=fEntity),OR(fPType="All Property Types",$BZ976=fPType),OR(fDefeased="Include",$CJ976=0)),1,0)</f>
        <v/>
      </c>
      <c r="DF976" s="83">
        <f>$DE976*N($I976)</f>
        <v/>
      </c>
      <c r="DG976" s="78">
        <f>IF($DE976=1,IF(COUNTIFS($F$8:$F976,$F976,$DE$8:$DE976,1)=1,1,0),0)</f>
        <v/>
      </c>
      <c r="DH976" s="83">
        <f>IF($DG976=1,SUMIFS($DF$8:$DF$1600,$F$8:$F$1600,$F976),0)</f>
        <v/>
      </c>
      <c r="DI976" s="78">
        <f>IF($DG976=1,COUNTIFS($F$8:$F$1600,$F976,$DE$8:$DE$1600,1),0)</f>
        <v/>
      </c>
      <c r="DJ976" s="84">
        <f>IF($DG976=1,$DH976+(100000-ROW())/mTieBreak,0)</f>
        <v/>
      </c>
    </row>
    <row r="977">
      <c r="B977" s="68" t="n">
        <v>37</v>
      </c>
      <c r="C977" s="69" t="inlineStr">
        <is>
          <t>WFC18C43</t>
        </is>
      </c>
      <c r="D977" s="69" t="inlineStr">
        <is>
          <t>37.000</t>
        </is>
      </c>
      <c r="E977" s="69" t="inlineStr">
        <is>
          <t>Comfort Inn - Blythewood</t>
        </is>
      </c>
      <c r="F977" s="69" t="inlineStr">
        <is>
          <t>LNWFC18C43-37.000</t>
        </is>
      </c>
      <c r="G977" s="70" t="n"/>
      <c r="H977" s="71" t="n">
        <v>5250000</v>
      </c>
      <c r="I977" s="71" t="n">
        <v>4257596.18999925</v>
      </c>
      <c r="J977" s="72" t="n">
        <v>5.7</v>
      </c>
      <c r="K977" s="69" t="inlineStr">
        <is>
          <t>Fixed rate</t>
        </is>
      </c>
      <c r="L977" s="68" t="n">
        <v>120</v>
      </c>
      <c r="M977" s="68" t="n">
        <v>18</v>
      </c>
      <c r="N977" s="68" t="n">
        <v>300</v>
      </c>
      <c r="O977" s="68" t="n"/>
      <c r="P977" s="68" t="n"/>
      <c r="Q977" s="68" t="n">
        <v>102</v>
      </c>
      <c r="R977" s="69" t="n"/>
      <c r="S977" s="69" t="inlineStr">
        <is>
          <t>No</t>
        </is>
      </c>
      <c r="T977" s="73" t="n">
        <v>43160</v>
      </c>
      <c r="U977" s="73" t="n">
        <v>46818</v>
      </c>
      <c r="V977" s="73" t="n"/>
      <c r="W977" s="69" t="n"/>
      <c r="X977" s="69" t="inlineStr">
        <is>
          <t>Current</t>
        </is>
      </c>
      <c r="Y977" s="68" t="n"/>
      <c r="Z977" s="69" t="inlineStr">
        <is>
          <t>No Defeasance Occurred</t>
        </is>
      </c>
      <c r="AA977" s="69" t="inlineStr">
        <is>
          <t>Previously</t>
        </is>
      </c>
      <c r="AB977" s="69" t="inlineStr">
        <is>
          <t>Never special serv</t>
        </is>
      </c>
      <c r="AC977" s="73" t="n"/>
      <c r="AD977" s="69" t="n"/>
      <c r="AE977" s="69" t="n"/>
      <c r="AF977" s="69" t="inlineStr">
        <is>
          <t>SC</t>
        </is>
      </c>
      <c r="AG977" s="69" t="inlineStr">
        <is>
          <t>Blythewood</t>
        </is>
      </c>
      <c r="AH977" s="69" t="inlineStr">
        <is>
          <t>Columbia, SC</t>
        </is>
      </c>
      <c r="AI977" s="69" t="inlineStr">
        <is>
          <t>South / Atlantic</t>
        </is>
      </c>
      <c r="AJ977" s="69" t="inlineStr">
        <is>
          <t>HT</t>
        </is>
      </c>
      <c r="AK977" s="69" t="inlineStr">
        <is>
          <t>Limited Service</t>
        </is>
      </c>
      <c r="AL977" s="68" t="n">
        <v>1</v>
      </c>
      <c r="AM977" s="68" t="n">
        <v>75</v>
      </c>
      <c r="AN977" s="68" t="n"/>
      <c r="AO977" s="69" t="inlineStr">
        <is>
          <t>1999</t>
        </is>
      </c>
      <c r="AP977" s="70" t="n">
        <v>2015</v>
      </c>
      <c r="AQ977" s="74" t="n">
        <v>1.81</v>
      </c>
      <c r="AR977" s="74" t="n">
        <v>2.83</v>
      </c>
      <c r="AS977" s="74" t="n">
        <v>64.8</v>
      </c>
      <c r="AT977" s="74" t="n">
        <v>52.56</v>
      </c>
      <c r="AU977" s="74" t="n">
        <v>49.7</v>
      </c>
      <c r="AV977" s="74" t="n">
        <v>13.630019048</v>
      </c>
      <c r="AW977" s="74" t="n">
        <v>17.90642245</v>
      </c>
      <c r="AX977" s="75" t="n">
        <v>86</v>
      </c>
      <c r="AY977" s="71" t="n">
        <v>8100000</v>
      </c>
      <c r="AZ977" s="71" t="n">
        <v>8100000</v>
      </c>
      <c r="BA977" s="71" t="n">
        <v>715576</v>
      </c>
      <c r="BB977" s="71" t="n">
        <v>557967.99</v>
      </c>
      <c r="BC977" s="69" t="inlineStr">
        <is>
          <t>Refinance</t>
        </is>
      </c>
      <c r="BD977" s="69" t="inlineStr">
        <is>
          <t>N</t>
        </is>
      </c>
      <c r="BE977" s="71" t="n"/>
      <c r="BF977" s="71" t="n"/>
      <c r="BG977" s="71" t="n"/>
      <c r="BH977" s="71" t="n">
        <v>0</v>
      </c>
      <c r="BI977" s="71" t="n">
        <v>0</v>
      </c>
      <c r="BJ977" s="69" t="inlineStr">
        <is>
          <t>N</t>
        </is>
      </c>
      <c r="BK977" s="69" t="n"/>
      <c r="BL977" s="75" t="n"/>
      <c r="BM977" s="73" t="n"/>
      <c r="BN977" s="69" t="inlineStr">
        <is>
          <t>Hitesh N. Jani</t>
        </is>
      </c>
      <c r="BO977" s="69" t="inlineStr">
        <is>
          <t>RMF</t>
        </is>
      </c>
      <c r="BP977" s="69" t="inlineStr">
        <is>
          <t>TriMont Real Estate Advisors</t>
        </is>
      </c>
      <c r="BQ977" s="69" t="inlineStr">
        <is>
          <t>K-Star Asset Management LLC</t>
        </is>
      </c>
      <c r="BR977" s="69" t="n"/>
      <c r="BS977" s="73" t="n">
        <v>46276</v>
      </c>
      <c r="BU977" s="76">
        <f>IF($C977="","",IFERROR(INDEX(dmName,MATCH($C977,dmID,0)),"Unmapped"))</f>
        <v/>
      </c>
      <c r="BV977" s="76">
        <f>IF($C977="","",IFERROR(INDEX(dmEntity,MATCH($C977,dmID,0)),"Unmapped"))</f>
        <v/>
      </c>
      <c r="BW977" s="77">
        <f>IF($C977="","",IFERROR(INDEX(dmVintage,MATCH($C977,dmID,0)),""))</f>
        <v/>
      </c>
      <c r="BX977" s="78">
        <f>IFERROR(INDEX(dmInclude,MATCH($C977,dmID,0)),0)</f>
        <v/>
      </c>
      <c r="BY977" s="78">
        <f>IF(N($I977)&gt;0,1,0)</f>
        <v/>
      </c>
      <c r="BZ977" s="76">
        <f>IF($AJ977="","Other / Leased Fee",IFERROR(INDEX(mapPTGroup,MATCH(LEFT(TRIM($AJ977),2),mapPTCode,0)),"Other / Leased Fee"))</f>
        <v/>
      </c>
      <c r="CA977" s="76">
        <f>IF(TRIM($AF977&amp;"")="","NR",LEFT(TRIM($AF977),2))</f>
        <v/>
      </c>
      <c r="CB977" s="76">
        <f>IFERROR(LOOKUP(2,1/(LEFT(TRIM($AI977&amp;""),LEN(mapRegion))=mapRegion),mapRegion),"Not Reported")</f>
        <v/>
      </c>
      <c r="CC977" s="76">
        <f>IF($BY977=0,"",IF(TRIM($W977&amp;"")="REO","REO",IF(TRIM($W977&amp;"")="FC","Foreclosure",IF(TRIM($W977&amp;"")="90+","90+ Days Delinquent",IF(TRIM($W977&amp;"")="60","60 Days Delinquent",IF(TRIM($W977&amp;"")="30","30 Days Delinquent",IF($X977="Non-Performing Matured Balloon","Non-Performing Matured Balloon",IF(OR($X977="Late Payment But Less Than 30 Days Delinquent",LEFT($X977&amp;"",20)="Payment Not Received"),"Late / In Grace (&lt;30 Days)",IF($X977="Performing Matured Balloon","Performing Matured Balloon","Current")))))))))</f>
        <v/>
      </c>
      <c r="CD977" s="78">
        <f>IF(OR($CC977="REO",$CC977="Foreclosure",$CC977="90+ Days Delinquent",$CC977="60 Days Delinquent",$CC977="30 Days Delinquent",$CC977="Non-Performing Matured Balloon"),1,0)</f>
        <v/>
      </c>
      <c r="CE977" s="76">
        <f>IF($AB977="Currently special serv","Currently Specially Serviced",IF($AB977="Returned to master serv","Previously Specially Serviced","Never Specially Serviced"))</f>
        <v/>
      </c>
      <c r="CF977" s="78">
        <f>IF($CE977="Currently Specially Serviced",1,0)</f>
        <v/>
      </c>
      <c r="CG977" s="76">
        <f>IF($AA977="Yes","Currently on Watchlist",IF($AA977="Previously","Previously on Watchlist","Never on Watchlist"))</f>
        <v/>
      </c>
      <c r="CH977" s="78">
        <f>IF($CG977="Currently on Watchlist",1,0)</f>
        <v/>
      </c>
      <c r="CI977" s="76">
        <f>IF($Z977="Full Defeasance","Fully Defeased",IF($Z977="Portion Of Loan Previously Defeased","Partially Defeased",IF($Z977="Defeasance Not Allowable","Not Defeased (Not Permitted)","Not Defeased")))</f>
        <v/>
      </c>
      <c r="CJ977" s="78">
        <f>IF($CI977="Fully Defeased",1,0)</f>
        <v/>
      </c>
      <c r="CK977" s="76">
        <f>IF($R977="IO","Full IO",IF(LEFT($R977&amp;"",7)="IO then","Partial IO","Amortizing"))</f>
        <v/>
      </c>
      <c r="CL977" s="78">
        <f>IF($CK977="Full IO",1,0)</f>
        <v/>
      </c>
      <c r="CM977" s="78">
        <f>IF($CK977="Partial IO",1,0)</f>
        <v/>
      </c>
      <c r="CN977" s="76">
        <f>IF(LEFT($F977&amp;"",10)="SPLIT_LOAN","Pari Passu Split","Standalone")</f>
        <v/>
      </c>
      <c r="CO977" s="78">
        <f>IF($CN977="Pari Passu Split",1,0)</f>
        <v/>
      </c>
      <c r="CP977" s="77">
        <f>IF(ISNUMBER($T977),YEAR($T977),"")</f>
        <v/>
      </c>
      <c r="CQ977" s="79">
        <f>IF(ISNUMBER($V977),$V977,IF(ISNUMBER($U977),$U977,""))</f>
        <v/>
      </c>
      <c r="CR977" s="77">
        <f>IF(ISNUMBER($CQ977),YEAR($CQ977),"")</f>
        <v/>
      </c>
      <c r="CS977" s="78">
        <f>IF(ISNUMBER($M977),MAX(0,$M977),IF(TRIM($M977&amp;"")="matured",0,""))</f>
        <v/>
      </c>
      <c r="CT977" s="78">
        <f>IF(AND(ISNUMBER($CS977),N($CS977)&lt;=mMatWindow),1,0)</f>
        <v/>
      </c>
      <c r="CU977" s="80">
        <f>IF(ISNUMBER($J977),$J977/100,"")</f>
        <v/>
      </c>
      <c r="CV977" s="81">
        <f>IF(ISNUMBER($AQ977),$AQ977,"")</f>
        <v/>
      </c>
      <c r="CW977" s="81">
        <f>IF(ISNUMBER($AR977),$AR977,"")</f>
        <v/>
      </c>
      <c r="CX977" s="82">
        <f>IF(ISNUMBER($AS977),$AS977/100,"")</f>
        <v/>
      </c>
      <c r="CY977" s="82">
        <f>IF(ISNUMBER($AT977),$AT977/100,"")</f>
        <v/>
      </c>
      <c r="CZ977" s="82">
        <f>IF(ISNUMBER($AU977),$AU977/100,"")</f>
        <v/>
      </c>
      <c r="DA977" s="82">
        <f>IF(ISNUMBER($AV977),$AV977/100,"")</f>
        <v/>
      </c>
      <c r="DB977" s="82">
        <f>IF(ISNUMBER($AW977),$AW977/100,"")</f>
        <v/>
      </c>
      <c r="DC977" s="82">
        <f>IF(ISNUMBER($AX977),$AX977/100,"")</f>
        <v/>
      </c>
      <c r="DD977" s="77">
        <f>IFERROR(VALUE(LEFT(TRIM($AO977&amp;""),4)),"")</f>
        <v/>
      </c>
      <c r="DE977" s="78">
        <f>IF(AND($BY977=1,$BX977=1,OR(fDeal="All Deals",$BU977=fDeal),OR(fEntity="All Entities",$BV977=fEntity),OR(fPType="All Property Types",$BZ977=fPType),OR(fDefeased="Include",$CJ977=0)),1,0)</f>
        <v/>
      </c>
      <c r="DF977" s="83">
        <f>$DE977*N($I977)</f>
        <v/>
      </c>
      <c r="DG977" s="78">
        <f>IF($DE977=1,IF(COUNTIFS($F$8:$F977,$F977,$DE$8:$DE977,1)=1,1,0),0)</f>
        <v/>
      </c>
      <c r="DH977" s="83">
        <f>IF($DG977=1,SUMIFS($DF$8:$DF$1600,$F$8:$F$1600,$F977),0)</f>
        <v/>
      </c>
      <c r="DI977" s="78">
        <f>IF($DG977=1,COUNTIFS($F$8:$F$1600,$F977,$DE$8:$DE$1600,1),0)</f>
        <v/>
      </c>
      <c r="DJ977" s="84">
        <f>IF($DG977=1,$DH977+(100000-ROW())/mTieBreak,0)</f>
        <v/>
      </c>
    </row>
    <row r="978">
      <c r="B978" s="68" t="n">
        <v>38</v>
      </c>
      <c r="C978" s="69" t="inlineStr">
        <is>
          <t>WFC18C43</t>
        </is>
      </c>
      <c r="D978" s="69" t="inlineStr">
        <is>
          <t>38.000</t>
        </is>
      </c>
      <c r="E978" s="69" t="inlineStr">
        <is>
          <t>Holiday Inn Express Greenville Airport</t>
        </is>
      </c>
      <c r="F978" s="69" t="inlineStr">
        <is>
          <t>LNWFC18C43-38.000</t>
        </is>
      </c>
      <c r="G978" s="70" t="n"/>
      <c r="H978" s="71" t="n">
        <v>4970000</v>
      </c>
      <c r="I978" s="71" t="n">
        <v>0</v>
      </c>
      <c r="J978" s="72" t="n">
        <v>5.3</v>
      </c>
      <c r="K978" s="69" t="inlineStr">
        <is>
          <t>Fixed rate</t>
        </is>
      </c>
      <c r="L978" s="68" t="n">
        <v>60</v>
      </c>
      <c r="M978" s="68" t="n"/>
      <c r="N978" s="68" t="n">
        <v>360</v>
      </c>
      <c r="O978" s="68" t="n"/>
      <c r="P978" s="68" t="n"/>
      <c r="Q978" s="68" t="n"/>
      <c r="R978" s="69" t="n"/>
      <c r="S978" s="69" t="inlineStr">
        <is>
          <t>No</t>
        </is>
      </c>
      <c r="T978" s="73" t="n">
        <v>43132</v>
      </c>
      <c r="U978" s="73" t="n">
        <v>44968</v>
      </c>
      <c r="V978" s="73" t="n"/>
      <c r="W978" s="69" t="n"/>
      <c r="X978" s="69" t="inlineStr">
        <is>
          <t>Current</t>
        </is>
      </c>
      <c r="Y978" s="68" t="n"/>
      <c r="Z978" s="69" t="inlineStr">
        <is>
          <t>No Defeasance Occurred</t>
        </is>
      </c>
      <c r="AA978" s="69" t="inlineStr">
        <is>
          <t>Previously</t>
        </is>
      </c>
      <c r="AB978" s="69" t="inlineStr">
        <is>
          <t>Never special serv</t>
        </is>
      </c>
      <c r="AC978" s="73" t="n"/>
      <c r="AD978" s="69" t="n"/>
      <c r="AE978" s="69" t="n"/>
      <c r="AF978" s="69" t="inlineStr">
        <is>
          <t>SC</t>
        </is>
      </c>
      <c r="AG978" s="69" t="inlineStr">
        <is>
          <t>Greer</t>
        </is>
      </c>
      <c r="AH978" s="69" t="inlineStr">
        <is>
          <t>Greenville-Anderson-Greer, SC</t>
        </is>
      </c>
      <c r="AI978" s="69" t="inlineStr">
        <is>
          <t>South / Atlantic</t>
        </is>
      </c>
      <c r="AJ978" s="69" t="inlineStr">
        <is>
          <t>HT</t>
        </is>
      </c>
      <c r="AK978" s="69" t="inlineStr">
        <is>
          <t>Limited Service</t>
        </is>
      </c>
      <c r="AL978" s="68" t="n">
        <v>1</v>
      </c>
      <c r="AM978" s="68" t="n">
        <v>83</v>
      </c>
      <c r="AN978" s="68" t="n"/>
      <c r="AO978" s="69" t="inlineStr">
        <is>
          <t>1994</t>
        </is>
      </c>
      <c r="AP978" s="70" t="n">
        <v>1994</v>
      </c>
      <c r="AQ978" s="74" t="n">
        <v>1.88</v>
      </c>
      <c r="AR978" s="74" t="n">
        <v>0.25</v>
      </c>
      <c r="AS978" s="74" t="n">
        <v>68</v>
      </c>
      <c r="AT978" s="74" t="n"/>
      <c r="AU978" s="74" t="n">
        <v>63.1</v>
      </c>
      <c r="AV978" s="74" t="n">
        <v>12.541609658</v>
      </c>
      <c r="AW978" s="74" t="n"/>
      <c r="AX978" s="75" t="n">
        <v>64</v>
      </c>
      <c r="AY978" s="71" t="n">
        <v>7300000</v>
      </c>
      <c r="AZ978" s="71" t="n">
        <v>7300000</v>
      </c>
      <c r="BA978" s="71" t="n">
        <v>623318</v>
      </c>
      <c r="BB978" s="71" t="n">
        <v>81507.84</v>
      </c>
      <c r="BC978" s="69" t="inlineStr">
        <is>
          <t>Refinance</t>
        </is>
      </c>
      <c r="BD978" s="69" t="inlineStr">
        <is>
          <t>N</t>
        </is>
      </c>
      <c r="BE978" s="71" t="n"/>
      <c r="BF978" s="71" t="n"/>
      <c r="BG978" s="71" t="n"/>
      <c r="BH978" s="71" t="n">
        <v>0</v>
      </c>
      <c r="BI978" s="71" t="n">
        <v>0</v>
      </c>
      <c r="BJ978" s="69" t="inlineStr">
        <is>
          <t>N</t>
        </is>
      </c>
      <c r="BK978" s="69" t="n"/>
      <c r="BL978" s="75" t="n"/>
      <c r="BM978" s="73" t="n"/>
      <c r="BN978" s="69" t="inlineStr">
        <is>
          <t>Leslie Ng; Paul Nussbaum</t>
        </is>
      </c>
      <c r="BO978" s="69" t="inlineStr">
        <is>
          <t>Wells Fargo</t>
        </is>
      </c>
      <c r="BP978" s="69" t="inlineStr">
        <is>
          <t>Wells Fargo</t>
        </is>
      </c>
      <c r="BQ978" s="69" t="inlineStr">
        <is>
          <t>Midland Loan Services</t>
        </is>
      </c>
      <c r="BR978" s="69" t="inlineStr">
        <is>
          <t>Full Payoff At Maturity</t>
        </is>
      </c>
      <c r="BS978" s="73" t="n">
        <v>44970</v>
      </c>
      <c r="BU978" s="76">
        <f>IF($C978="","",IFERROR(INDEX(dmName,MATCH($C978,dmID,0)),"Unmapped"))</f>
        <v/>
      </c>
      <c r="BV978" s="76">
        <f>IF($C978="","",IFERROR(INDEX(dmEntity,MATCH($C978,dmID,0)),"Unmapped"))</f>
        <v/>
      </c>
      <c r="BW978" s="77">
        <f>IF($C978="","",IFERROR(INDEX(dmVintage,MATCH($C978,dmID,0)),""))</f>
        <v/>
      </c>
      <c r="BX978" s="78">
        <f>IFERROR(INDEX(dmInclude,MATCH($C978,dmID,0)),0)</f>
        <v/>
      </c>
      <c r="BY978" s="78">
        <f>IF(N($I978)&gt;0,1,0)</f>
        <v/>
      </c>
      <c r="BZ978" s="76">
        <f>IF($AJ978="","Other / Leased Fee",IFERROR(INDEX(mapPTGroup,MATCH(LEFT(TRIM($AJ978),2),mapPTCode,0)),"Other / Leased Fee"))</f>
        <v/>
      </c>
      <c r="CA978" s="76">
        <f>IF(TRIM($AF978&amp;"")="","NR",LEFT(TRIM($AF978),2))</f>
        <v/>
      </c>
      <c r="CB978" s="76">
        <f>IFERROR(LOOKUP(2,1/(LEFT(TRIM($AI978&amp;""),LEN(mapRegion))=mapRegion),mapRegion),"Not Reported")</f>
        <v/>
      </c>
      <c r="CC978" s="76">
        <f>IF($BY978=0,"",IF(TRIM($W978&amp;"")="REO","REO",IF(TRIM($W978&amp;"")="FC","Foreclosure",IF(TRIM($W978&amp;"")="90+","90+ Days Delinquent",IF(TRIM($W978&amp;"")="60","60 Days Delinquent",IF(TRIM($W978&amp;"")="30","30 Days Delinquent",IF($X978="Non-Performing Matured Balloon","Non-Performing Matured Balloon",IF(OR($X978="Late Payment But Less Than 30 Days Delinquent",LEFT($X978&amp;"",20)="Payment Not Received"),"Late / In Grace (&lt;30 Days)",IF($X978="Performing Matured Balloon","Performing Matured Balloon","Current")))))))))</f>
        <v/>
      </c>
      <c r="CD978" s="78">
        <f>IF(OR($CC978="REO",$CC978="Foreclosure",$CC978="90+ Days Delinquent",$CC978="60 Days Delinquent",$CC978="30 Days Delinquent",$CC978="Non-Performing Matured Balloon"),1,0)</f>
        <v/>
      </c>
      <c r="CE978" s="76">
        <f>IF($AB978="Currently special serv","Currently Specially Serviced",IF($AB978="Returned to master serv","Previously Specially Serviced","Never Specially Serviced"))</f>
        <v/>
      </c>
      <c r="CF978" s="78">
        <f>IF($CE978="Currently Specially Serviced",1,0)</f>
        <v/>
      </c>
      <c r="CG978" s="76">
        <f>IF($AA978="Yes","Currently on Watchlist",IF($AA978="Previously","Previously on Watchlist","Never on Watchlist"))</f>
        <v/>
      </c>
      <c r="CH978" s="78">
        <f>IF($CG978="Currently on Watchlist",1,0)</f>
        <v/>
      </c>
      <c r="CI978" s="76">
        <f>IF($Z978="Full Defeasance","Fully Defeased",IF($Z978="Portion Of Loan Previously Defeased","Partially Defeased",IF($Z978="Defeasance Not Allowable","Not Defeased (Not Permitted)","Not Defeased")))</f>
        <v/>
      </c>
      <c r="CJ978" s="78">
        <f>IF($CI978="Fully Defeased",1,0)</f>
        <v/>
      </c>
      <c r="CK978" s="76">
        <f>IF($R978="IO","Full IO",IF(LEFT($R978&amp;"",7)="IO then","Partial IO","Amortizing"))</f>
        <v/>
      </c>
      <c r="CL978" s="78">
        <f>IF($CK978="Full IO",1,0)</f>
        <v/>
      </c>
      <c r="CM978" s="78">
        <f>IF($CK978="Partial IO",1,0)</f>
        <v/>
      </c>
      <c r="CN978" s="76">
        <f>IF(LEFT($F978&amp;"",10)="SPLIT_LOAN","Pari Passu Split","Standalone")</f>
        <v/>
      </c>
      <c r="CO978" s="78">
        <f>IF($CN978="Pari Passu Split",1,0)</f>
        <v/>
      </c>
      <c r="CP978" s="77">
        <f>IF(ISNUMBER($T978),YEAR($T978),"")</f>
        <v/>
      </c>
      <c r="CQ978" s="79">
        <f>IF(ISNUMBER($V978),$V978,IF(ISNUMBER($U978),$U978,""))</f>
        <v/>
      </c>
      <c r="CR978" s="77">
        <f>IF(ISNUMBER($CQ978),YEAR($CQ978),"")</f>
        <v/>
      </c>
      <c r="CS978" s="78">
        <f>IF(ISNUMBER($M978),MAX(0,$M978),IF(TRIM($M978&amp;"")="matured",0,""))</f>
        <v/>
      </c>
      <c r="CT978" s="78">
        <f>IF(AND(ISNUMBER($CS978),N($CS978)&lt;=mMatWindow),1,0)</f>
        <v/>
      </c>
      <c r="CU978" s="80">
        <f>IF(ISNUMBER($J978),$J978/100,"")</f>
        <v/>
      </c>
      <c r="CV978" s="81">
        <f>IF(ISNUMBER($AQ978),$AQ978,"")</f>
        <v/>
      </c>
      <c r="CW978" s="81">
        <f>IF(ISNUMBER($AR978),$AR978,"")</f>
        <v/>
      </c>
      <c r="CX978" s="82">
        <f>IF(ISNUMBER($AS978),$AS978/100,"")</f>
        <v/>
      </c>
      <c r="CY978" s="82">
        <f>IF(ISNUMBER($AT978),$AT978/100,"")</f>
        <v/>
      </c>
      <c r="CZ978" s="82">
        <f>IF(ISNUMBER($AU978),$AU978/100,"")</f>
        <v/>
      </c>
      <c r="DA978" s="82">
        <f>IF(ISNUMBER($AV978),$AV978/100,"")</f>
        <v/>
      </c>
      <c r="DB978" s="82">
        <f>IF(ISNUMBER($AW978),$AW978/100,"")</f>
        <v/>
      </c>
      <c r="DC978" s="82">
        <f>IF(ISNUMBER($AX978),$AX978/100,"")</f>
        <v/>
      </c>
      <c r="DD978" s="77">
        <f>IFERROR(VALUE(LEFT(TRIM($AO978&amp;""),4)),"")</f>
        <v/>
      </c>
      <c r="DE978" s="78">
        <f>IF(AND($BY978=1,$BX978=1,OR(fDeal="All Deals",$BU978=fDeal),OR(fEntity="All Entities",$BV978=fEntity),OR(fPType="All Property Types",$BZ978=fPType),OR(fDefeased="Include",$CJ978=0)),1,0)</f>
        <v/>
      </c>
      <c r="DF978" s="83">
        <f>$DE978*N($I978)</f>
        <v/>
      </c>
      <c r="DG978" s="78">
        <f>IF($DE978=1,IF(COUNTIFS($F$8:$F978,$F978,$DE$8:$DE978,1)=1,1,0),0)</f>
        <v/>
      </c>
      <c r="DH978" s="83">
        <f>IF($DG978=1,SUMIFS($DF$8:$DF$1600,$F$8:$F$1600,$F978),0)</f>
        <v/>
      </c>
      <c r="DI978" s="78">
        <f>IF($DG978=1,COUNTIFS($F$8:$F$1600,$F978,$DE$8:$DE$1600,1),0)</f>
        <v/>
      </c>
      <c r="DJ978" s="84">
        <f>IF($DG978=1,$DH978+(100000-ROW())/mTieBreak,0)</f>
        <v/>
      </c>
    </row>
    <row r="979">
      <c r="B979" s="68" t="n">
        <v>39</v>
      </c>
      <c r="C979" s="69" t="inlineStr">
        <is>
          <t>WFC18C43</t>
        </is>
      </c>
      <c r="D979" s="69" t="inlineStr">
        <is>
          <t>39.000</t>
        </is>
      </c>
      <c r="E979" s="69" t="inlineStr">
        <is>
          <t>M2i Retail</t>
        </is>
      </c>
      <c r="F979" s="69" t="inlineStr">
        <is>
          <t>LNWFC18C43-39.000</t>
        </is>
      </c>
      <c r="G979" s="70" t="n"/>
      <c r="H979" s="71" t="n">
        <v>4850000</v>
      </c>
      <c r="I979" s="71" t="n">
        <v>4621566.620001851</v>
      </c>
      <c r="J979" s="72" t="n">
        <v>5.7</v>
      </c>
      <c r="K979" s="69" t="inlineStr">
        <is>
          <t>Fixed rate</t>
        </is>
      </c>
      <c r="L979" s="68" t="n">
        <v>120</v>
      </c>
      <c r="M979" s="68" t="n">
        <v>17</v>
      </c>
      <c r="N979" s="68" t="n">
        <v>420</v>
      </c>
      <c r="O979" s="68" t="n">
        <v>60</v>
      </c>
      <c r="P979" s="68" t="n">
        <v>0</v>
      </c>
      <c r="Q979" s="68" t="n">
        <v>103</v>
      </c>
      <c r="R979" s="69" t="inlineStr">
        <is>
          <t>IO then Amort</t>
        </is>
      </c>
      <c r="S979" s="69" t="inlineStr">
        <is>
          <t>No</t>
        </is>
      </c>
      <c r="T979" s="73" t="n">
        <v>43132</v>
      </c>
      <c r="U979" s="73" t="n">
        <v>46789</v>
      </c>
      <c r="V979" s="73" t="n"/>
      <c r="W979" s="69" t="n"/>
      <c r="X979" s="69" t="inlineStr">
        <is>
          <t>Current</t>
        </is>
      </c>
      <c r="Y979" s="68" t="n"/>
      <c r="Z979" s="69" t="inlineStr">
        <is>
          <t>No Defeasance Occurred</t>
        </is>
      </c>
      <c r="AA979" s="69" t="inlineStr">
        <is>
          <t>Yes</t>
        </is>
      </c>
      <c r="AB979" s="69" t="inlineStr">
        <is>
          <t>Never special serv</t>
        </is>
      </c>
      <c r="AC979" s="73" t="n"/>
      <c r="AD979" s="69" t="n"/>
      <c r="AE979" s="69" t="n"/>
      <c r="AF979" s="69" t="inlineStr">
        <is>
          <t>CA</t>
        </is>
      </c>
      <c r="AG979" s="69" t="inlineStr">
        <is>
          <t>San Diego</t>
        </is>
      </c>
      <c r="AH979" s="69" t="inlineStr">
        <is>
          <t>San Diego-Chula Vista-Carlsbad, CA</t>
        </is>
      </c>
      <c r="AI979" s="69" t="inlineStr">
        <is>
          <t>West / Pacific South</t>
        </is>
      </c>
      <c r="AJ979" s="69" t="inlineStr">
        <is>
          <t>RT</t>
        </is>
      </c>
      <c r="AK979" s="69" t="inlineStr">
        <is>
          <t>Unanchored</t>
        </is>
      </c>
      <c r="AL979" s="68" t="n">
        <v>1</v>
      </c>
      <c r="AM979" s="68" t="n"/>
      <c r="AN979" s="68" t="n">
        <v>12947</v>
      </c>
      <c r="AO979" s="69" t="inlineStr">
        <is>
          <t>2005</t>
        </is>
      </c>
      <c r="AP979" s="70" t="n">
        <v>2005</v>
      </c>
      <c r="AQ979" s="74" t="n">
        <v>1.25</v>
      </c>
      <c r="AR979" s="74" t="n">
        <v>0.91</v>
      </c>
      <c r="AS979" s="74" t="n">
        <v>59.9</v>
      </c>
      <c r="AT979" s="74" t="n">
        <v>57.06</v>
      </c>
      <c r="AU979" s="74" t="n">
        <v>55.8</v>
      </c>
      <c r="AV979" s="74" t="n">
        <v>8.678865978999999</v>
      </c>
      <c r="AW979" s="74" t="n">
        <v>7.249944176</v>
      </c>
      <c r="AX979" s="75" t="n">
        <v>85</v>
      </c>
      <c r="AY979" s="71" t="n">
        <v>8100000</v>
      </c>
      <c r="AZ979" s="71" t="n">
        <v>8100000</v>
      </c>
      <c r="BA979" s="71" t="n">
        <v>420925</v>
      </c>
      <c r="BB979" s="71" t="n">
        <v>153386</v>
      </c>
      <c r="BC979" s="69" t="inlineStr">
        <is>
          <t>Refinance</t>
        </is>
      </c>
      <c r="BD979" s="69" t="inlineStr">
        <is>
          <t>N</t>
        </is>
      </c>
      <c r="BE979" s="71" t="n"/>
      <c r="BF979" s="71" t="n"/>
      <c r="BG979" s="71" t="n"/>
      <c r="BH979" s="71" t="n">
        <v>0</v>
      </c>
      <c r="BI979" s="71" t="n">
        <v>0</v>
      </c>
      <c r="BJ979" s="69" t="inlineStr">
        <is>
          <t>N</t>
        </is>
      </c>
      <c r="BK979" s="69" t="inlineStr">
        <is>
          <t>Image-on</t>
        </is>
      </c>
      <c r="BL979" s="75" t="n">
        <v>24.43</v>
      </c>
      <c r="BM979" s="73" t="n">
        <v>47087</v>
      </c>
      <c r="BN979" s="69" t="inlineStr">
        <is>
          <t>Richard V. Gustafson; Russell C. Haley; Vince Hoenigman</t>
        </is>
      </c>
      <c r="BO979" s="69" t="inlineStr">
        <is>
          <t>RMF</t>
        </is>
      </c>
      <c r="BP979" s="69" t="inlineStr">
        <is>
          <t>TriMont Real Estate Advisors</t>
        </is>
      </c>
      <c r="BQ979" s="69" t="inlineStr">
        <is>
          <t>K-Star Asset Management LLC</t>
        </is>
      </c>
      <c r="BR979" s="69" t="n"/>
      <c r="BS979" s="73" t="n">
        <v>46276</v>
      </c>
      <c r="BU979" s="76">
        <f>IF($C979="","",IFERROR(INDEX(dmName,MATCH($C979,dmID,0)),"Unmapped"))</f>
        <v/>
      </c>
      <c r="BV979" s="76">
        <f>IF($C979="","",IFERROR(INDEX(dmEntity,MATCH($C979,dmID,0)),"Unmapped"))</f>
        <v/>
      </c>
      <c r="BW979" s="77">
        <f>IF($C979="","",IFERROR(INDEX(dmVintage,MATCH($C979,dmID,0)),""))</f>
        <v/>
      </c>
      <c r="BX979" s="78">
        <f>IFERROR(INDEX(dmInclude,MATCH($C979,dmID,0)),0)</f>
        <v/>
      </c>
      <c r="BY979" s="78">
        <f>IF(N($I979)&gt;0,1,0)</f>
        <v/>
      </c>
      <c r="BZ979" s="76">
        <f>IF($AJ979="","Other / Leased Fee",IFERROR(INDEX(mapPTGroup,MATCH(LEFT(TRIM($AJ979),2),mapPTCode,0)),"Other / Leased Fee"))</f>
        <v/>
      </c>
      <c r="CA979" s="76">
        <f>IF(TRIM($AF979&amp;"")="","NR",LEFT(TRIM($AF979),2))</f>
        <v/>
      </c>
      <c r="CB979" s="76">
        <f>IFERROR(LOOKUP(2,1/(LEFT(TRIM($AI979&amp;""),LEN(mapRegion))=mapRegion),mapRegion),"Not Reported")</f>
        <v/>
      </c>
      <c r="CC979" s="76">
        <f>IF($BY979=0,"",IF(TRIM($W979&amp;"")="REO","REO",IF(TRIM($W979&amp;"")="FC","Foreclosure",IF(TRIM($W979&amp;"")="90+","90+ Days Delinquent",IF(TRIM($W979&amp;"")="60","60 Days Delinquent",IF(TRIM($W979&amp;"")="30","30 Days Delinquent",IF($X979="Non-Performing Matured Balloon","Non-Performing Matured Balloon",IF(OR($X979="Late Payment But Less Than 30 Days Delinquent",LEFT($X979&amp;"",20)="Payment Not Received"),"Late / In Grace (&lt;30 Days)",IF($X979="Performing Matured Balloon","Performing Matured Balloon","Current")))))))))</f>
        <v/>
      </c>
      <c r="CD979" s="78">
        <f>IF(OR($CC979="REO",$CC979="Foreclosure",$CC979="90+ Days Delinquent",$CC979="60 Days Delinquent",$CC979="30 Days Delinquent",$CC979="Non-Performing Matured Balloon"),1,0)</f>
        <v/>
      </c>
      <c r="CE979" s="76">
        <f>IF($AB979="Currently special serv","Currently Specially Serviced",IF($AB979="Returned to master serv","Previously Specially Serviced","Never Specially Serviced"))</f>
        <v/>
      </c>
      <c r="CF979" s="78">
        <f>IF($CE979="Currently Specially Serviced",1,0)</f>
        <v/>
      </c>
      <c r="CG979" s="76">
        <f>IF($AA979="Yes","Currently on Watchlist",IF($AA979="Previously","Previously on Watchlist","Never on Watchlist"))</f>
        <v/>
      </c>
      <c r="CH979" s="78">
        <f>IF($CG979="Currently on Watchlist",1,0)</f>
        <v/>
      </c>
      <c r="CI979" s="76">
        <f>IF($Z979="Full Defeasance","Fully Defeased",IF($Z979="Portion Of Loan Previously Defeased","Partially Defeased",IF($Z979="Defeasance Not Allowable","Not Defeased (Not Permitted)","Not Defeased")))</f>
        <v/>
      </c>
      <c r="CJ979" s="78">
        <f>IF($CI979="Fully Defeased",1,0)</f>
        <v/>
      </c>
      <c r="CK979" s="76">
        <f>IF($R979="IO","Full IO",IF(LEFT($R979&amp;"",7)="IO then","Partial IO","Amortizing"))</f>
        <v/>
      </c>
      <c r="CL979" s="78">
        <f>IF($CK979="Full IO",1,0)</f>
        <v/>
      </c>
      <c r="CM979" s="78">
        <f>IF($CK979="Partial IO",1,0)</f>
        <v/>
      </c>
      <c r="CN979" s="76">
        <f>IF(LEFT($F979&amp;"",10)="SPLIT_LOAN","Pari Passu Split","Standalone")</f>
        <v/>
      </c>
      <c r="CO979" s="78">
        <f>IF($CN979="Pari Passu Split",1,0)</f>
        <v/>
      </c>
      <c r="CP979" s="77">
        <f>IF(ISNUMBER($T979),YEAR($T979),"")</f>
        <v/>
      </c>
      <c r="CQ979" s="79">
        <f>IF(ISNUMBER($V979),$V979,IF(ISNUMBER($U979),$U979,""))</f>
        <v/>
      </c>
      <c r="CR979" s="77">
        <f>IF(ISNUMBER($CQ979),YEAR($CQ979),"")</f>
        <v/>
      </c>
      <c r="CS979" s="78">
        <f>IF(ISNUMBER($M979),MAX(0,$M979),IF(TRIM($M979&amp;"")="matured",0,""))</f>
        <v/>
      </c>
      <c r="CT979" s="78">
        <f>IF(AND(ISNUMBER($CS979),N($CS979)&lt;=mMatWindow),1,0)</f>
        <v/>
      </c>
      <c r="CU979" s="80">
        <f>IF(ISNUMBER($J979),$J979/100,"")</f>
        <v/>
      </c>
      <c r="CV979" s="81">
        <f>IF(ISNUMBER($AQ979),$AQ979,"")</f>
        <v/>
      </c>
      <c r="CW979" s="81">
        <f>IF(ISNUMBER($AR979),$AR979,"")</f>
        <v/>
      </c>
      <c r="CX979" s="82">
        <f>IF(ISNUMBER($AS979),$AS979/100,"")</f>
        <v/>
      </c>
      <c r="CY979" s="82">
        <f>IF(ISNUMBER($AT979),$AT979/100,"")</f>
        <v/>
      </c>
      <c r="CZ979" s="82">
        <f>IF(ISNUMBER($AU979),$AU979/100,"")</f>
        <v/>
      </c>
      <c r="DA979" s="82">
        <f>IF(ISNUMBER($AV979),$AV979/100,"")</f>
        <v/>
      </c>
      <c r="DB979" s="82">
        <f>IF(ISNUMBER($AW979),$AW979/100,"")</f>
        <v/>
      </c>
      <c r="DC979" s="82">
        <f>IF(ISNUMBER($AX979),$AX979/100,"")</f>
        <v/>
      </c>
      <c r="DD979" s="77">
        <f>IFERROR(VALUE(LEFT(TRIM($AO979&amp;""),4)),"")</f>
        <v/>
      </c>
      <c r="DE979" s="78">
        <f>IF(AND($BY979=1,$BX979=1,OR(fDeal="All Deals",$BU979=fDeal),OR(fEntity="All Entities",$BV979=fEntity),OR(fPType="All Property Types",$BZ979=fPType),OR(fDefeased="Include",$CJ979=0)),1,0)</f>
        <v/>
      </c>
      <c r="DF979" s="83">
        <f>$DE979*N($I979)</f>
        <v/>
      </c>
      <c r="DG979" s="78">
        <f>IF($DE979=1,IF(COUNTIFS($F$8:$F979,$F979,$DE$8:$DE979,1)=1,1,0),0)</f>
        <v/>
      </c>
      <c r="DH979" s="83">
        <f>IF($DG979=1,SUMIFS($DF$8:$DF$1600,$F$8:$F$1600,$F979),0)</f>
        <v/>
      </c>
      <c r="DI979" s="78">
        <f>IF($DG979=1,COUNTIFS($F$8:$F$1600,$F979,$DE$8:$DE$1600,1),0)</f>
        <v/>
      </c>
      <c r="DJ979" s="84">
        <f>IF($DG979=1,$DH979+(100000-ROW())/mTieBreak,0)</f>
        <v/>
      </c>
    </row>
    <row r="980">
      <c r="B980" s="68" t="n">
        <v>40</v>
      </c>
      <c r="C980" s="69" t="inlineStr">
        <is>
          <t>WFC18C43</t>
        </is>
      </c>
      <c r="D980" s="69" t="inlineStr">
        <is>
          <t>40.000</t>
        </is>
      </c>
      <c r="E980" s="69" t="inlineStr">
        <is>
          <t>Elliot Medical Complex</t>
        </is>
      </c>
      <c r="F980" s="69" t="inlineStr">
        <is>
          <t>LNWFC18C43-40.000</t>
        </is>
      </c>
      <c r="G980" s="70" t="n"/>
      <c r="H980" s="71" t="n">
        <v>4668000</v>
      </c>
      <c r="I980" s="71" t="n">
        <v>4109699.369999496</v>
      </c>
      <c r="J980" s="72" t="n">
        <v>5.23</v>
      </c>
      <c r="K980" s="69" t="inlineStr">
        <is>
          <t>Fixed rate</t>
        </is>
      </c>
      <c r="L980" s="68" t="n">
        <v>120</v>
      </c>
      <c r="M980" s="68" t="n">
        <v>18</v>
      </c>
      <c r="N980" s="68" t="n">
        <v>372</v>
      </c>
      <c r="O980" s="68" t="n">
        <v>12</v>
      </c>
      <c r="P980" s="68" t="n">
        <v>0</v>
      </c>
      <c r="Q980" s="68" t="n">
        <v>102</v>
      </c>
      <c r="R980" s="69" t="inlineStr">
        <is>
          <t>IO then Amort</t>
        </is>
      </c>
      <c r="S980" s="69" t="inlineStr">
        <is>
          <t>No</t>
        </is>
      </c>
      <c r="T980" s="73" t="n">
        <v>43160</v>
      </c>
      <c r="U980" s="73" t="n">
        <v>46823</v>
      </c>
      <c r="V980" s="73" t="n"/>
      <c r="W980" s="69" t="n"/>
      <c r="X980" s="69" t="inlineStr">
        <is>
          <t>Current</t>
        </is>
      </c>
      <c r="Y980" s="68" t="n"/>
      <c r="Z980" s="69" t="inlineStr">
        <is>
          <t>No Defeasance Occurred</t>
        </is>
      </c>
      <c r="AA980" s="69" t="inlineStr">
        <is>
          <t>Previously</t>
        </is>
      </c>
      <c r="AB980" s="69" t="inlineStr">
        <is>
          <t>Never special serv</t>
        </is>
      </c>
      <c r="AC980" s="73" t="n"/>
      <c r="AD980" s="69" t="n"/>
      <c r="AE980" s="69" t="n"/>
      <c r="AF980" s="69" t="inlineStr">
        <is>
          <t>TX</t>
        </is>
      </c>
      <c r="AG980" s="69" t="inlineStr">
        <is>
          <t>Nacogdoches</t>
        </is>
      </c>
      <c r="AH980" s="69" t="inlineStr">
        <is>
          <t>Nacogdoches, TX</t>
        </is>
      </c>
      <c r="AI980" s="69" t="inlineStr">
        <is>
          <t>South / Central West</t>
        </is>
      </c>
      <c r="AJ980" s="69" t="inlineStr">
        <is>
          <t>OF</t>
        </is>
      </c>
      <c r="AK980" s="69" t="inlineStr">
        <is>
          <t>Medical</t>
        </is>
      </c>
      <c r="AL980" s="68" t="n">
        <v>1</v>
      </c>
      <c r="AM980" s="68" t="n"/>
      <c r="AN980" s="68" t="n">
        <v>22656</v>
      </c>
      <c r="AO980" s="69" t="inlineStr">
        <is>
          <t>1986</t>
        </is>
      </c>
      <c r="AP980" s="70" t="n">
        <v>1986</v>
      </c>
      <c r="AQ980" s="74" t="n">
        <v>1.3</v>
      </c>
      <c r="AR980" s="74" t="n">
        <v>1.63</v>
      </c>
      <c r="AS980" s="74" t="n">
        <v>59.8</v>
      </c>
      <c r="AT980" s="74" t="n">
        <v>52.69</v>
      </c>
      <c r="AU980" s="74" t="n">
        <v>50.9</v>
      </c>
      <c r="AV980" s="74" t="n">
        <v>8.59552485</v>
      </c>
      <c r="AW980" s="74" t="n">
        <v>12.004625049</v>
      </c>
      <c r="AX980" s="75" t="n">
        <v>100</v>
      </c>
      <c r="AY980" s="71" t="n">
        <v>7800000</v>
      </c>
      <c r="AZ980" s="71" t="n">
        <v>7800000</v>
      </c>
      <c r="BA980" s="71" t="n">
        <v>401239.1</v>
      </c>
      <c r="BB980" s="71" t="n">
        <v>125957.5</v>
      </c>
      <c r="BC980" s="69" t="inlineStr">
        <is>
          <t>Refinance</t>
        </is>
      </c>
      <c r="BD980" s="69" t="inlineStr">
        <is>
          <t>N</t>
        </is>
      </c>
      <c r="BE980" s="71" t="n"/>
      <c r="BF980" s="71" t="n"/>
      <c r="BG980" s="71" t="n"/>
      <c r="BH980" s="71" t="n">
        <v>0</v>
      </c>
      <c r="BI980" s="71" t="n">
        <v>0</v>
      </c>
      <c r="BJ980" s="69" t="inlineStr">
        <is>
          <t>N</t>
        </is>
      </c>
      <c r="BK980" s="69" t="inlineStr">
        <is>
          <t>Nacogdoches County Hospital District</t>
        </is>
      </c>
      <c r="BL980" s="75" t="n">
        <v>100</v>
      </c>
      <c r="BM980" s="73" t="n">
        <v>59154</v>
      </c>
      <c r="BN980" s="69" t="inlineStr">
        <is>
          <t>Gary G. Habeeb; Gary G. Habeeb as trustee of the Habeeb Family Irrevocable Trust dated 12/6/2016</t>
        </is>
      </c>
      <c r="BO980" s="69" t="inlineStr">
        <is>
          <t>CIII Capital</t>
        </is>
      </c>
      <c r="BP980" s="69" t="inlineStr">
        <is>
          <t>TriMont Real Estate Advisors</t>
        </is>
      </c>
      <c r="BQ980" s="69" t="inlineStr">
        <is>
          <t>K-Star Asset Management LLC</t>
        </is>
      </c>
      <c r="BR980" s="69" t="n"/>
      <c r="BS980" s="73" t="n">
        <v>46276</v>
      </c>
      <c r="BU980" s="76">
        <f>IF($C980="","",IFERROR(INDEX(dmName,MATCH($C980,dmID,0)),"Unmapped"))</f>
        <v/>
      </c>
      <c r="BV980" s="76">
        <f>IF($C980="","",IFERROR(INDEX(dmEntity,MATCH($C980,dmID,0)),"Unmapped"))</f>
        <v/>
      </c>
      <c r="BW980" s="77">
        <f>IF($C980="","",IFERROR(INDEX(dmVintage,MATCH($C980,dmID,0)),""))</f>
        <v/>
      </c>
      <c r="BX980" s="78">
        <f>IFERROR(INDEX(dmInclude,MATCH($C980,dmID,0)),0)</f>
        <v/>
      </c>
      <c r="BY980" s="78">
        <f>IF(N($I980)&gt;0,1,0)</f>
        <v/>
      </c>
      <c r="BZ980" s="76">
        <f>IF($AJ980="","Other / Leased Fee",IFERROR(INDEX(mapPTGroup,MATCH(LEFT(TRIM($AJ980),2),mapPTCode,0)),"Other / Leased Fee"))</f>
        <v/>
      </c>
      <c r="CA980" s="76">
        <f>IF(TRIM($AF980&amp;"")="","NR",LEFT(TRIM($AF980),2))</f>
        <v/>
      </c>
      <c r="CB980" s="76">
        <f>IFERROR(LOOKUP(2,1/(LEFT(TRIM($AI980&amp;""),LEN(mapRegion))=mapRegion),mapRegion),"Not Reported")</f>
        <v/>
      </c>
      <c r="CC980" s="76">
        <f>IF($BY980=0,"",IF(TRIM($W980&amp;"")="REO","REO",IF(TRIM($W980&amp;"")="FC","Foreclosure",IF(TRIM($W980&amp;"")="90+","90+ Days Delinquent",IF(TRIM($W980&amp;"")="60","60 Days Delinquent",IF(TRIM($W980&amp;"")="30","30 Days Delinquent",IF($X980="Non-Performing Matured Balloon","Non-Performing Matured Balloon",IF(OR($X980="Late Payment But Less Than 30 Days Delinquent",LEFT($X980&amp;"",20)="Payment Not Received"),"Late / In Grace (&lt;30 Days)",IF($X980="Performing Matured Balloon","Performing Matured Balloon","Current")))))))))</f>
        <v/>
      </c>
      <c r="CD980" s="78">
        <f>IF(OR($CC980="REO",$CC980="Foreclosure",$CC980="90+ Days Delinquent",$CC980="60 Days Delinquent",$CC980="30 Days Delinquent",$CC980="Non-Performing Matured Balloon"),1,0)</f>
        <v/>
      </c>
      <c r="CE980" s="76">
        <f>IF($AB980="Currently special serv","Currently Specially Serviced",IF($AB980="Returned to master serv","Previously Specially Serviced","Never Specially Serviced"))</f>
        <v/>
      </c>
      <c r="CF980" s="78">
        <f>IF($CE980="Currently Specially Serviced",1,0)</f>
        <v/>
      </c>
      <c r="CG980" s="76">
        <f>IF($AA980="Yes","Currently on Watchlist",IF($AA980="Previously","Previously on Watchlist","Never on Watchlist"))</f>
        <v/>
      </c>
      <c r="CH980" s="78">
        <f>IF($CG980="Currently on Watchlist",1,0)</f>
        <v/>
      </c>
      <c r="CI980" s="76">
        <f>IF($Z980="Full Defeasance","Fully Defeased",IF($Z980="Portion Of Loan Previously Defeased","Partially Defeased",IF($Z980="Defeasance Not Allowable","Not Defeased (Not Permitted)","Not Defeased")))</f>
        <v/>
      </c>
      <c r="CJ980" s="78">
        <f>IF($CI980="Fully Defeased",1,0)</f>
        <v/>
      </c>
      <c r="CK980" s="76">
        <f>IF($R980="IO","Full IO",IF(LEFT($R980&amp;"",7)="IO then","Partial IO","Amortizing"))</f>
        <v/>
      </c>
      <c r="CL980" s="78">
        <f>IF($CK980="Full IO",1,0)</f>
        <v/>
      </c>
      <c r="CM980" s="78">
        <f>IF($CK980="Partial IO",1,0)</f>
        <v/>
      </c>
      <c r="CN980" s="76">
        <f>IF(LEFT($F980&amp;"",10)="SPLIT_LOAN","Pari Passu Split","Standalone")</f>
        <v/>
      </c>
      <c r="CO980" s="78">
        <f>IF($CN980="Pari Passu Split",1,0)</f>
        <v/>
      </c>
      <c r="CP980" s="77">
        <f>IF(ISNUMBER($T980),YEAR($T980),"")</f>
        <v/>
      </c>
      <c r="CQ980" s="79">
        <f>IF(ISNUMBER($V980),$V980,IF(ISNUMBER($U980),$U980,""))</f>
        <v/>
      </c>
      <c r="CR980" s="77">
        <f>IF(ISNUMBER($CQ980),YEAR($CQ980),"")</f>
        <v/>
      </c>
      <c r="CS980" s="78">
        <f>IF(ISNUMBER($M980),MAX(0,$M980),IF(TRIM($M980&amp;"")="matured",0,""))</f>
        <v/>
      </c>
      <c r="CT980" s="78">
        <f>IF(AND(ISNUMBER($CS980),N($CS980)&lt;=mMatWindow),1,0)</f>
        <v/>
      </c>
      <c r="CU980" s="80">
        <f>IF(ISNUMBER($J980),$J980/100,"")</f>
        <v/>
      </c>
      <c r="CV980" s="81">
        <f>IF(ISNUMBER($AQ980),$AQ980,"")</f>
        <v/>
      </c>
      <c r="CW980" s="81">
        <f>IF(ISNUMBER($AR980),$AR980,"")</f>
        <v/>
      </c>
      <c r="CX980" s="82">
        <f>IF(ISNUMBER($AS980),$AS980/100,"")</f>
        <v/>
      </c>
      <c r="CY980" s="82">
        <f>IF(ISNUMBER($AT980),$AT980/100,"")</f>
        <v/>
      </c>
      <c r="CZ980" s="82">
        <f>IF(ISNUMBER($AU980),$AU980/100,"")</f>
        <v/>
      </c>
      <c r="DA980" s="82">
        <f>IF(ISNUMBER($AV980),$AV980/100,"")</f>
        <v/>
      </c>
      <c r="DB980" s="82">
        <f>IF(ISNUMBER($AW980),$AW980/100,"")</f>
        <v/>
      </c>
      <c r="DC980" s="82">
        <f>IF(ISNUMBER($AX980),$AX980/100,"")</f>
        <v/>
      </c>
      <c r="DD980" s="77">
        <f>IFERROR(VALUE(LEFT(TRIM($AO980&amp;""),4)),"")</f>
        <v/>
      </c>
      <c r="DE980" s="78">
        <f>IF(AND($BY980=1,$BX980=1,OR(fDeal="All Deals",$BU980=fDeal),OR(fEntity="All Entities",$BV980=fEntity),OR(fPType="All Property Types",$BZ980=fPType),OR(fDefeased="Include",$CJ980=0)),1,0)</f>
        <v/>
      </c>
      <c r="DF980" s="83">
        <f>$DE980*N($I980)</f>
        <v/>
      </c>
      <c r="DG980" s="78">
        <f>IF($DE980=1,IF(COUNTIFS($F$8:$F980,$F980,$DE$8:$DE980,1)=1,1,0),0)</f>
        <v/>
      </c>
      <c r="DH980" s="83">
        <f>IF($DG980=1,SUMIFS($DF$8:$DF$1600,$F$8:$F$1600,$F980),0)</f>
        <v/>
      </c>
      <c r="DI980" s="78">
        <f>IF($DG980=1,COUNTIFS($F$8:$F$1600,$F980,$DE$8:$DE$1600,1),0)</f>
        <v/>
      </c>
      <c r="DJ980" s="84">
        <f>IF($DG980=1,$DH980+(100000-ROW())/mTieBreak,0)</f>
        <v/>
      </c>
    </row>
    <row r="981">
      <c r="B981" s="68" t="n">
        <v>41</v>
      </c>
      <c r="C981" s="69" t="inlineStr">
        <is>
          <t>WFC18C43</t>
        </is>
      </c>
      <c r="D981" s="69" t="inlineStr">
        <is>
          <t>41.000</t>
        </is>
      </c>
      <c r="E981" s="69" t="inlineStr">
        <is>
          <t>Hayward Industrial Park - CA</t>
        </is>
      </c>
      <c r="F981" s="69" t="inlineStr">
        <is>
          <t>LNWFC18C43-41.000</t>
        </is>
      </c>
      <c r="G981" s="70" t="n"/>
      <c r="H981" s="71" t="n">
        <v>4550000</v>
      </c>
      <c r="I981" s="71" t="n">
        <v>4102696.990000701</v>
      </c>
      <c r="J981" s="72" t="n">
        <v>4.38</v>
      </c>
      <c r="K981" s="69" t="inlineStr">
        <is>
          <t>Fixed rate</t>
        </is>
      </c>
      <c r="L981" s="68" t="n">
        <v>120</v>
      </c>
      <c r="M981" s="68" t="n">
        <v>17</v>
      </c>
      <c r="N981" s="68" t="n">
        <v>396</v>
      </c>
      <c r="O981" s="68" t="n">
        <v>36</v>
      </c>
      <c r="P981" s="68" t="n">
        <v>0</v>
      </c>
      <c r="Q981" s="68" t="n">
        <v>103</v>
      </c>
      <c r="R981" s="69" t="inlineStr">
        <is>
          <t>IO then Amort</t>
        </is>
      </c>
      <c r="S981" s="69" t="inlineStr">
        <is>
          <t>No</t>
        </is>
      </c>
      <c r="T981" s="73" t="n">
        <v>43132</v>
      </c>
      <c r="U981" s="73" t="n">
        <v>46794</v>
      </c>
      <c r="V981" s="73" t="n"/>
      <c r="W981" s="69" t="n"/>
      <c r="X981" s="69" t="inlineStr">
        <is>
          <t>Current</t>
        </is>
      </c>
      <c r="Y981" s="68" t="n"/>
      <c r="Z981" s="69" t="inlineStr">
        <is>
          <t>No Defeasance Occurred</t>
        </is>
      </c>
      <c r="AA981" s="69" t="inlineStr">
        <is>
          <t>Yes</t>
        </is>
      </c>
      <c r="AB981" s="69" t="inlineStr">
        <is>
          <t>Never special serv</t>
        </is>
      </c>
      <c r="AC981" s="73" t="n"/>
      <c r="AD981" s="69" t="n"/>
      <c r="AE981" s="69" t="n"/>
      <c r="AF981" s="69" t="inlineStr">
        <is>
          <t>CA</t>
        </is>
      </c>
      <c r="AG981" s="69" t="inlineStr">
        <is>
          <t>Hayward</t>
        </is>
      </c>
      <c r="AH981" s="69" t="inlineStr">
        <is>
          <t>San Francisco-Oakland-Fremont, CA</t>
        </is>
      </c>
      <c r="AI981" s="69" t="inlineStr">
        <is>
          <t>West / Pacific North</t>
        </is>
      </c>
      <c r="AJ981" s="69" t="inlineStr">
        <is>
          <t>IN</t>
        </is>
      </c>
      <c r="AK981" s="69" t="inlineStr">
        <is>
          <t>Flex</t>
        </is>
      </c>
      <c r="AL981" s="68" t="n">
        <v>1</v>
      </c>
      <c r="AM981" s="68" t="n"/>
      <c r="AN981" s="68" t="n">
        <v>78427</v>
      </c>
      <c r="AO981" s="69" t="inlineStr">
        <is>
          <t>1973</t>
        </is>
      </c>
      <c r="AP981" s="70" t="n">
        <v>1973</v>
      </c>
      <c r="AQ981" s="74" t="n">
        <v>1.86</v>
      </c>
      <c r="AR981" s="74" t="n">
        <v>3.09</v>
      </c>
      <c r="AS981" s="74" t="n">
        <v>43.8</v>
      </c>
      <c r="AT981" s="74" t="n">
        <v>39.45</v>
      </c>
      <c r="AU981" s="74" t="n">
        <v>38.2</v>
      </c>
      <c r="AV981" s="74" t="n">
        <v>11.163054945</v>
      </c>
      <c r="AW981" s="74" t="n">
        <v>22.893018965</v>
      </c>
      <c r="AX981" s="75" t="n">
        <v>91</v>
      </c>
      <c r="AY981" s="71" t="n">
        <v>10400000</v>
      </c>
      <c r="AZ981" s="71" t="n">
        <v>10400000</v>
      </c>
      <c r="BA981" s="71" t="n">
        <v>507919</v>
      </c>
      <c r="BB981" s="71" t="n">
        <v>421069.8</v>
      </c>
      <c r="BC981" s="69" t="inlineStr">
        <is>
          <t>Refinance</t>
        </is>
      </c>
      <c r="BD981" s="69" t="inlineStr">
        <is>
          <t>N</t>
        </is>
      </c>
      <c r="BE981" s="71" t="n"/>
      <c r="BF981" s="71" t="n"/>
      <c r="BG981" s="71" t="n"/>
      <c r="BH981" s="71" t="n">
        <v>0</v>
      </c>
      <c r="BI981" s="71" t="n">
        <v>0</v>
      </c>
      <c r="BJ981" s="69" t="inlineStr">
        <is>
          <t>N</t>
        </is>
      </c>
      <c r="BK981" s="69" t="inlineStr">
        <is>
          <t>Kurt Brodie  dba A1 Transmission &amp; Marine</t>
        </is>
      </c>
      <c r="BL981" s="75" t="n">
        <v>14.67</v>
      </c>
      <c r="BM981" s="73" t="n">
        <v>47787</v>
      </c>
      <c r="BN981" s="69" t="inlineStr">
        <is>
          <t>Michael S. Peiser; J. Virginia Peiser</t>
        </is>
      </c>
      <c r="BO981" s="69" t="inlineStr">
        <is>
          <t>Wells Fargo</t>
        </is>
      </c>
      <c r="BP981" s="69" t="inlineStr">
        <is>
          <t>TriMont Real Estate Advisors</t>
        </is>
      </c>
      <c r="BQ981" s="69" t="inlineStr">
        <is>
          <t>K-Star Asset Management LLC</t>
        </is>
      </c>
      <c r="BR981" s="69" t="n"/>
      <c r="BS981" s="73" t="n">
        <v>46276</v>
      </c>
      <c r="BU981" s="76">
        <f>IF($C981="","",IFERROR(INDEX(dmName,MATCH($C981,dmID,0)),"Unmapped"))</f>
        <v/>
      </c>
      <c r="BV981" s="76">
        <f>IF($C981="","",IFERROR(INDEX(dmEntity,MATCH($C981,dmID,0)),"Unmapped"))</f>
        <v/>
      </c>
      <c r="BW981" s="77">
        <f>IF($C981="","",IFERROR(INDEX(dmVintage,MATCH($C981,dmID,0)),""))</f>
        <v/>
      </c>
      <c r="BX981" s="78">
        <f>IFERROR(INDEX(dmInclude,MATCH($C981,dmID,0)),0)</f>
        <v/>
      </c>
      <c r="BY981" s="78">
        <f>IF(N($I981)&gt;0,1,0)</f>
        <v/>
      </c>
      <c r="BZ981" s="76">
        <f>IF($AJ981="","Other / Leased Fee",IFERROR(INDEX(mapPTGroup,MATCH(LEFT(TRIM($AJ981),2),mapPTCode,0)),"Other / Leased Fee"))</f>
        <v/>
      </c>
      <c r="CA981" s="76">
        <f>IF(TRIM($AF981&amp;"")="","NR",LEFT(TRIM($AF981),2))</f>
        <v/>
      </c>
      <c r="CB981" s="76">
        <f>IFERROR(LOOKUP(2,1/(LEFT(TRIM($AI981&amp;""),LEN(mapRegion))=mapRegion),mapRegion),"Not Reported")</f>
        <v/>
      </c>
      <c r="CC981" s="76">
        <f>IF($BY981=0,"",IF(TRIM($W981&amp;"")="REO","REO",IF(TRIM($W981&amp;"")="FC","Foreclosure",IF(TRIM($W981&amp;"")="90+","90+ Days Delinquent",IF(TRIM($W981&amp;"")="60","60 Days Delinquent",IF(TRIM($W981&amp;"")="30","30 Days Delinquent",IF($X981="Non-Performing Matured Balloon","Non-Performing Matured Balloon",IF(OR($X981="Late Payment But Less Than 30 Days Delinquent",LEFT($X981&amp;"",20)="Payment Not Received"),"Late / In Grace (&lt;30 Days)",IF($X981="Performing Matured Balloon","Performing Matured Balloon","Current")))))))))</f>
        <v/>
      </c>
      <c r="CD981" s="78">
        <f>IF(OR($CC981="REO",$CC981="Foreclosure",$CC981="90+ Days Delinquent",$CC981="60 Days Delinquent",$CC981="30 Days Delinquent",$CC981="Non-Performing Matured Balloon"),1,0)</f>
        <v/>
      </c>
      <c r="CE981" s="76">
        <f>IF($AB981="Currently special serv","Currently Specially Serviced",IF($AB981="Returned to master serv","Previously Specially Serviced","Never Specially Serviced"))</f>
        <v/>
      </c>
      <c r="CF981" s="78">
        <f>IF($CE981="Currently Specially Serviced",1,0)</f>
        <v/>
      </c>
      <c r="CG981" s="76">
        <f>IF($AA981="Yes","Currently on Watchlist",IF($AA981="Previously","Previously on Watchlist","Never on Watchlist"))</f>
        <v/>
      </c>
      <c r="CH981" s="78">
        <f>IF($CG981="Currently on Watchlist",1,0)</f>
        <v/>
      </c>
      <c r="CI981" s="76">
        <f>IF($Z981="Full Defeasance","Fully Defeased",IF($Z981="Portion Of Loan Previously Defeased","Partially Defeased",IF($Z981="Defeasance Not Allowable","Not Defeased (Not Permitted)","Not Defeased")))</f>
        <v/>
      </c>
      <c r="CJ981" s="78">
        <f>IF($CI981="Fully Defeased",1,0)</f>
        <v/>
      </c>
      <c r="CK981" s="76">
        <f>IF($R981="IO","Full IO",IF(LEFT($R981&amp;"",7)="IO then","Partial IO","Amortizing"))</f>
        <v/>
      </c>
      <c r="CL981" s="78">
        <f>IF($CK981="Full IO",1,0)</f>
        <v/>
      </c>
      <c r="CM981" s="78">
        <f>IF($CK981="Partial IO",1,0)</f>
        <v/>
      </c>
      <c r="CN981" s="76">
        <f>IF(LEFT($F981&amp;"",10)="SPLIT_LOAN","Pari Passu Split","Standalone")</f>
        <v/>
      </c>
      <c r="CO981" s="78">
        <f>IF($CN981="Pari Passu Split",1,0)</f>
        <v/>
      </c>
      <c r="CP981" s="77">
        <f>IF(ISNUMBER($T981),YEAR($T981),"")</f>
        <v/>
      </c>
      <c r="CQ981" s="79">
        <f>IF(ISNUMBER($V981),$V981,IF(ISNUMBER($U981),$U981,""))</f>
        <v/>
      </c>
      <c r="CR981" s="77">
        <f>IF(ISNUMBER($CQ981),YEAR($CQ981),"")</f>
        <v/>
      </c>
      <c r="CS981" s="78">
        <f>IF(ISNUMBER($M981),MAX(0,$M981),IF(TRIM($M981&amp;"")="matured",0,""))</f>
        <v/>
      </c>
      <c r="CT981" s="78">
        <f>IF(AND(ISNUMBER($CS981),N($CS981)&lt;=mMatWindow),1,0)</f>
        <v/>
      </c>
      <c r="CU981" s="80">
        <f>IF(ISNUMBER($J981),$J981/100,"")</f>
        <v/>
      </c>
      <c r="CV981" s="81">
        <f>IF(ISNUMBER($AQ981),$AQ981,"")</f>
        <v/>
      </c>
      <c r="CW981" s="81">
        <f>IF(ISNUMBER($AR981),$AR981,"")</f>
        <v/>
      </c>
      <c r="CX981" s="82">
        <f>IF(ISNUMBER($AS981),$AS981/100,"")</f>
        <v/>
      </c>
      <c r="CY981" s="82">
        <f>IF(ISNUMBER($AT981),$AT981/100,"")</f>
        <v/>
      </c>
      <c r="CZ981" s="82">
        <f>IF(ISNUMBER($AU981),$AU981/100,"")</f>
        <v/>
      </c>
      <c r="DA981" s="82">
        <f>IF(ISNUMBER($AV981),$AV981/100,"")</f>
        <v/>
      </c>
      <c r="DB981" s="82">
        <f>IF(ISNUMBER($AW981),$AW981/100,"")</f>
        <v/>
      </c>
      <c r="DC981" s="82">
        <f>IF(ISNUMBER($AX981),$AX981/100,"")</f>
        <v/>
      </c>
      <c r="DD981" s="77">
        <f>IFERROR(VALUE(LEFT(TRIM($AO981&amp;""),4)),"")</f>
        <v/>
      </c>
      <c r="DE981" s="78">
        <f>IF(AND($BY981=1,$BX981=1,OR(fDeal="All Deals",$BU981=fDeal),OR(fEntity="All Entities",$BV981=fEntity),OR(fPType="All Property Types",$BZ981=fPType),OR(fDefeased="Include",$CJ981=0)),1,0)</f>
        <v/>
      </c>
      <c r="DF981" s="83">
        <f>$DE981*N($I981)</f>
        <v/>
      </c>
      <c r="DG981" s="78">
        <f>IF($DE981=1,IF(COUNTIFS($F$8:$F981,$F981,$DE$8:$DE981,1)=1,1,0),0)</f>
        <v/>
      </c>
      <c r="DH981" s="83">
        <f>IF($DG981=1,SUMIFS($DF$8:$DF$1600,$F$8:$F$1600,$F981),0)</f>
        <v/>
      </c>
      <c r="DI981" s="78">
        <f>IF($DG981=1,COUNTIFS($F$8:$F$1600,$F981,$DE$8:$DE$1600,1),0)</f>
        <v/>
      </c>
      <c r="DJ981" s="84">
        <f>IF($DG981=1,$DH981+(100000-ROW())/mTieBreak,0)</f>
        <v/>
      </c>
    </row>
    <row r="982">
      <c r="B982" s="68" t="n">
        <v>42</v>
      </c>
      <c r="C982" s="69" t="inlineStr">
        <is>
          <t>WFC18C43</t>
        </is>
      </c>
      <c r="D982" s="69" t="inlineStr">
        <is>
          <t>42.000</t>
        </is>
      </c>
      <c r="E982" s="69" t="inlineStr">
        <is>
          <t>Front Range MHP Portfolio</t>
        </is>
      </c>
      <c r="F982" s="69" t="inlineStr">
        <is>
          <t>LNWFC18C43-42.000</t>
        </is>
      </c>
      <c r="G982" s="70" t="n"/>
      <c r="H982" s="71" t="n">
        <v>4075000</v>
      </c>
      <c r="I982" s="71" t="n">
        <v>3522791.190000725</v>
      </c>
      <c r="J982" s="72" t="n">
        <v>5.19</v>
      </c>
      <c r="K982" s="69" t="inlineStr">
        <is>
          <t>Fixed rate</t>
        </is>
      </c>
      <c r="L982" s="68" t="n">
        <v>120</v>
      </c>
      <c r="M982" s="68" t="n">
        <v>15</v>
      </c>
      <c r="N982" s="68" t="n">
        <v>366</v>
      </c>
      <c r="O982" s="68" t="n">
        <v>6</v>
      </c>
      <c r="P982" s="68" t="n">
        <v>0</v>
      </c>
      <c r="Q982" s="68" t="n">
        <v>105</v>
      </c>
      <c r="R982" s="69" t="inlineStr">
        <is>
          <t>IO then Amort</t>
        </is>
      </c>
      <c r="S982" s="69" t="inlineStr">
        <is>
          <t>No</t>
        </is>
      </c>
      <c r="T982" s="73" t="n">
        <v>43070</v>
      </c>
      <c r="U982" s="73" t="n">
        <v>46732</v>
      </c>
      <c r="V982" s="73" t="n"/>
      <c r="W982" s="69" t="n"/>
      <c r="X982" s="69" t="inlineStr">
        <is>
          <t>Current</t>
        </is>
      </c>
      <c r="Y982" s="68" t="n"/>
      <c r="Z982" s="69" t="inlineStr">
        <is>
          <t>No Defeasance Occurred</t>
        </is>
      </c>
      <c r="AA982" s="69" t="inlineStr">
        <is>
          <t>Previously</t>
        </is>
      </c>
      <c r="AB982" s="69" t="inlineStr">
        <is>
          <t>Never special serv</t>
        </is>
      </c>
      <c r="AC982" s="73" t="n"/>
      <c r="AD982" s="69" t="n"/>
      <c r="AE982" s="69" t="n"/>
      <c r="AF982" s="69" t="inlineStr">
        <is>
          <t>CO</t>
        </is>
      </c>
      <c r="AG982" s="69" t="n"/>
      <c r="AH982" s="69" t="inlineStr">
        <is>
          <t>Denver-Aurora-Centennial, CO</t>
        </is>
      </c>
      <c r="AI982" s="69" t="inlineStr">
        <is>
          <t>West / Mountain</t>
        </is>
      </c>
      <c r="AJ982" s="69" t="inlineStr">
        <is>
          <t>MH</t>
        </is>
      </c>
      <c r="AK982" s="69" t="n"/>
      <c r="AL982" s="68" t="n">
        <v>2</v>
      </c>
      <c r="AM982" s="68" t="n">
        <v>104</v>
      </c>
      <c r="AN982" s="68" t="n"/>
      <c r="AO982" s="69" t="n"/>
      <c r="AP982" s="70" t="n">
        <v>1970</v>
      </c>
      <c r="AQ982" s="74" t="n">
        <v>1.44</v>
      </c>
      <c r="AR982" s="74" t="n">
        <v>3.21</v>
      </c>
      <c r="AS982" s="74" t="n">
        <v>63</v>
      </c>
      <c r="AT982" s="74" t="n">
        <v>54.45</v>
      </c>
      <c r="AU982" s="74" t="n">
        <v>52.8</v>
      </c>
      <c r="AV982" s="74" t="n">
        <v>9.452513865</v>
      </c>
      <c r="AW982" s="74" t="n">
        <v>19.314156114</v>
      </c>
      <c r="AX982" s="75" t="n">
        <v>100</v>
      </c>
      <c r="AY982" s="71" t="n">
        <v>6470000</v>
      </c>
      <c r="AZ982" s="71" t="n">
        <v>6470000</v>
      </c>
      <c r="BA982" s="71" t="n">
        <v>385189.94</v>
      </c>
      <c r="BB982" s="71" t="n">
        <v>430624.34</v>
      </c>
      <c r="BC982" s="69" t="inlineStr">
        <is>
          <t>Refinance</t>
        </is>
      </c>
      <c r="BD982" s="69" t="inlineStr">
        <is>
          <t>N</t>
        </is>
      </c>
      <c r="BE982" s="71" t="n"/>
      <c r="BF982" s="71" t="n"/>
      <c r="BG982" s="71" t="n"/>
      <c r="BH982" s="71" t="n">
        <v>0</v>
      </c>
      <c r="BI982" s="71" t="n">
        <v>0</v>
      </c>
      <c r="BJ982" s="69" t="inlineStr">
        <is>
          <t>N</t>
        </is>
      </c>
      <c r="BK982" s="69" t="n"/>
      <c r="BL982" s="75" t="n"/>
      <c r="BM982" s="73" t="n"/>
      <c r="BN982" s="69" t="inlineStr">
        <is>
          <t>Joy Rasmussen; Brent Richards</t>
        </is>
      </c>
      <c r="BO982" s="69" t="inlineStr">
        <is>
          <t>CIII Capital</t>
        </is>
      </c>
      <c r="BP982" s="69" t="inlineStr">
        <is>
          <t>TriMont Real Estate Advisors</t>
        </is>
      </c>
      <c r="BQ982" s="69" t="inlineStr">
        <is>
          <t>K-Star Asset Management LLC</t>
        </is>
      </c>
      <c r="BR982" s="69" t="n"/>
      <c r="BS982" s="73" t="n">
        <v>46276</v>
      </c>
      <c r="BU982" s="76">
        <f>IF($C982="","",IFERROR(INDEX(dmName,MATCH($C982,dmID,0)),"Unmapped"))</f>
        <v/>
      </c>
      <c r="BV982" s="76">
        <f>IF($C982="","",IFERROR(INDEX(dmEntity,MATCH($C982,dmID,0)),"Unmapped"))</f>
        <v/>
      </c>
      <c r="BW982" s="77">
        <f>IF($C982="","",IFERROR(INDEX(dmVintage,MATCH($C982,dmID,0)),""))</f>
        <v/>
      </c>
      <c r="BX982" s="78">
        <f>IFERROR(INDEX(dmInclude,MATCH($C982,dmID,0)),0)</f>
        <v/>
      </c>
      <c r="BY982" s="78">
        <f>IF(N($I982)&gt;0,1,0)</f>
        <v/>
      </c>
      <c r="BZ982" s="76">
        <f>IF($AJ982="","Other / Leased Fee",IFERROR(INDEX(mapPTGroup,MATCH(LEFT(TRIM($AJ982),2),mapPTCode,0)),"Other / Leased Fee"))</f>
        <v/>
      </c>
      <c r="CA982" s="76">
        <f>IF(TRIM($AF982&amp;"")="","NR",LEFT(TRIM($AF982),2))</f>
        <v/>
      </c>
      <c r="CB982" s="76">
        <f>IFERROR(LOOKUP(2,1/(LEFT(TRIM($AI982&amp;""),LEN(mapRegion))=mapRegion),mapRegion),"Not Reported")</f>
        <v/>
      </c>
      <c r="CC982" s="76">
        <f>IF($BY982=0,"",IF(TRIM($W982&amp;"")="REO","REO",IF(TRIM($W982&amp;"")="FC","Foreclosure",IF(TRIM($W982&amp;"")="90+","90+ Days Delinquent",IF(TRIM($W982&amp;"")="60","60 Days Delinquent",IF(TRIM($W982&amp;"")="30","30 Days Delinquent",IF($X982="Non-Performing Matured Balloon","Non-Performing Matured Balloon",IF(OR($X982="Late Payment But Less Than 30 Days Delinquent",LEFT($X982&amp;"",20)="Payment Not Received"),"Late / In Grace (&lt;30 Days)",IF($X982="Performing Matured Balloon","Performing Matured Balloon","Current")))))))))</f>
        <v/>
      </c>
      <c r="CD982" s="78">
        <f>IF(OR($CC982="REO",$CC982="Foreclosure",$CC982="90+ Days Delinquent",$CC982="60 Days Delinquent",$CC982="30 Days Delinquent",$CC982="Non-Performing Matured Balloon"),1,0)</f>
        <v/>
      </c>
      <c r="CE982" s="76">
        <f>IF($AB982="Currently special serv","Currently Specially Serviced",IF($AB982="Returned to master serv","Previously Specially Serviced","Never Specially Serviced"))</f>
        <v/>
      </c>
      <c r="CF982" s="78">
        <f>IF($CE982="Currently Specially Serviced",1,0)</f>
        <v/>
      </c>
      <c r="CG982" s="76">
        <f>IF($AA982="Yes","Currently on Watchlist",IF($AA982="Previously","Previously on Watchlist","Never on Watchlist"))</f>
        <v/>
      </c>
      <c r="CH982" s="78">
        <f>IF($CG982="Currently on Watchlist",1,0)</f>
        <v/>
      </c>
      <c r="CI982" s="76">
        <f>IF($Z982="Full Defeasance","Fully Defeased",IF($Z982="Portion Of Loan Previously Defeased","Partially Defeased",IF($Z982="Defeasance Not Allowable","Not Defeased (Not Permitted)","Not Defeased")))</f>
        <v/>
      </c>
      <c r="CJ982" s="78">
        <f>IF($CI982="Fully Defeased",1,0)</f>
        <v/>
      </c>
      <c r="CK982" s="76">
        <f>IF($R982="IO","Full IO",IF(LEFT($R982&amp;"",7)="IO then","Partial IO","Amortizing"))</f>
        <v/>
      </c>
      <c r="CL982" s="78">
        <f>IF($CK982="Full IO",1,0)</f>
        <v/>
      </c>
      <c r="CM982" s="78">
        <f>IF($CK982="Partial IO",1,0)</f>
        <v/>
      </c>
      <c r="CN982" s="76">
        <f>IF(LEFT($F982&amp;"",10)="SPLIT_LOAN","Pari Passu Split","Standalone")</f>
        <v/>
      </c>
      <c r="CO982" s="78">
        <f>IF($CN982="Pari Passu Split",1,0)</f>
        <v/>
      </c>
      <c r="CP982" s="77">
        <f>IF(ISNUMBER($T982),YEAR($T982),"")</f>
        <v/>
      </c>
      <c r="CQ982" s="79">
        <f>IF(ISNUMBER($V982),$V982,IF(ISNUMBER($U982),$U982,""))</f>
        <v/>
      </c>
      <c r="CR982" s="77">
        <f>IF(ISNUMBER($CQ982),YEAR($CQ982),"")</f>
        <v/>
      </c>
      <c r="CS982" s="78">
        <f>IF(ISNUMBER($M982),MAX(0,$M982),IF(TRIM($M982&amp;"")="matured",0,""))</f>
        <v/>
      </c>
      <c r="CT982" s="78">
        <f>IF(AND(ISNUMBER($CS982),N($CS982)&lt;=mMatWindow),1,0)</f>
        <v/>
      </c>
      <c r="CU982" s="80">
        <f>IF(ISNUMBER($J982),$J982/100,"")</f>
        <v/>
      </c>
      <c r="CV982" s="81">
        <f>IF(ISNUMBER($AQ982),$AQ982,"")</f>
        <v/>
      </c>
      <c r="CW982" s="81">
        <f>IF(ISNUMBER($AR982),$AR982,"")</f>
        <v/>
      </c>
      <c r="CX982" s="82">
        <f>IF(ISNUMBER($AS982),$AS982/100,"")</f>
        <v/>
      </c>
      <c r="CY982" s="82">
        <f>IF(ISNUMBER($AT982),$AT982/100,"")</f>
        <v/>
      </c>
      <c r="CZ982" s="82">
        <f>IF(ISNUMBER($AU982),$AU982/100,"")</f>
        <v/>
      </c>
      <c r="DA982" s="82">
        <f>IF(ISNUMBER($AV982),$AV982/100,"")</f>
        <v/>
      </c>
      <c r="DB982" s="82">
        <f>IF(ISNUMBER($AW982),$AW982/100,"")</f>
        <v/>
      </c>
      <c r="DC982" s="82">
        <f>IF(ISNUMBER($AX982),$AX982/100,"")</f>
        <v/>
      </c>
      <c r="DD982" s="77">
        <f>IFERROR(VALUE(LEFT(TRIM($AO982&amp;""),4)),"")</f>
        <v/>
      </c>
      <c r="DE982" s="78">
        <f>IF(AND($BY982=1,$BX982=1,OR(fDeal="All Deals",$BU982=fDeal),OR(fEntity="All Entities",$BV982=fEntity),OR(fPType="All Property Types",$BZ982=fPType),OR(fDefeased="Include",$CJ982=0)),1,0)</f>
        <v/>
      </c>
      <c r="DF982" s="83">
        <f>$DE982*N($I982)</f>
        <v/>
      </c>
      <c r="DG982" s="78">
        <f>IF($DE982=1,IF(COUNTIFS($F$8:$F982,$F982,$DE$8:$DE982,1)=1,1,0),0)</f>
        <v/>
      </c>
      <c r="DH982" s="83">
        <f>IF($DG982=1,SUMIFS($DF$8:$DF$1600,$F$8:$F$1600,$F982),0)</f>
        <v/>
      </c>
      <c r="DI982" s="78">
        <f>IF($DG982=1,COUNTIFS($F$8:$F$1600,$F982,$DE$8:$DE$1600,1),0)</f>
        <v/>
      </c>
      <c r="DJ982" s="84">
        <f>IF($DG982=1,$DH982+(100000-ROW())/mTieBreak,0)</f>
        <v/>
      </c>
    </row>
    <row r="983">
      <c r="B983" s="68" t="n">
        <v>43</v>
      </c>
      <c r="C983" s="69" t="inlineStr">
        <is>
          <t>WFC18C43</t>
        </is>
      </c>
      <c r="D983" s="69" t="inlineStr">
        <is>
          <t>43.000</t>
        </is>
      </c>
      <c r="E983" s="69" t="inlineStr">
        <is>
          <t>Metropolitan Medical Complex</t>
        </is>
      </c>
      <c r="F983" s="69" t="inlineStr">
        <is>
          <t>LNWFC18C43-43.000</t>
        </is>
      </c>
      <c r="G983" s="70" t="n"/>
      <c r="H983" s="71" t="n">
        <v>4000000</v>
      </c>
      <c r="I983" s="71" t="n">
        <v>4000000</v>
      </c>
      <c r="J983" s="72" t="n">
        <v>4.76</v>
      </c>
      <c r="K983" s="69" t="inlineStr">
        <is>
          <t>Fixed rate</t>
        </is>
      </c>
      <c r="L983" s="68" t="n">
        <v>117</v>
      </c>
      <c r="M983" s="68" t="n">
        <v>14</v>
      </c>
      <c r="N983" s="68" t="n">
        <v>120</v>
      </c>
      <c r="O983" s="68" t="n">
        <v>117</v>
      </c>
      <c r="P983" s="68" t="n">
        <v>14</v>
      </c>
      <c r="Q983" s="68" t="n">
        <v>103</v>
      </c>
      <c r="R983" s="69" t="inlineStr">
        <is>
          <t>IO</t>
        </is>
      </c>
      <c r="S983" s="69" t="inlineStr">
        <is>
          <t>Yes</t>
        </is>
      </c>
      <c r="T983" s="73" t="n">
        <v>43132</v>
      </c>
      <c r="U983" s="73" t="n">
        <v>46697</v>
      </c>
      <c r="V983" s="73" t="n"/>
      <c r="W983" s="69" t="n"/>
      <c r="X983" s="69" t="inlineStr">
        <is>
          <t>Current</t>
        </is>
      </c>
      <c r="Y983" s="68" t="n"/>
      <c r="Z983" s="69" t="inlineStr">
        <is>
          <t>Full Defeasance</t>
        </is>
      </c>
      <c r="AA983" s="69" t="n"/>
      <c r="AB983" s="69" t="inlineStr">
        <is>
          <t>Never special serv</t>
        </is>
      </c>
      <c r="AC983" s="73" t="n"/>
      <c r="AD983" s="69" t="n"/>
      <c r="AE983" s="69" t="n"/>
      <c r="AF983" s="69" t="inlineStr">
        <is>
          <t>FL</t>
        </is>
      </c>
      <c r="AG983" s="69" t="inlineStr">
        <is>
          <t>Fort Myers</t>
        </is>
      </c>
      <c r="AH983" s="69" t="inlineStr">
        <is>
          <t>Cape Coral-Fort Myers, FL</t>
        </is>
      </c>
      <c r="AI983" s="69" t="inlineStr">
        <is>
          <t>South / Atlantic</t>
        </is>
      </c>
      <c r="AJ983" s="69" t="inlineStr">
        <is>
          <t>OF</t>
        </is>
      </c>
      <c r="AK983" s="69" t="inlineStr">
        <is>
          <t>Medical</t>
        </is>
      </c>
      <c r="AL983" s="68" t="n">
        <v>1</v>
      </c>
      <c r="AM983" s="68" t="n"/>
      <c r="AN983" s="68" t="n">
        <v>33797</v>
      </c>
      <c r="AO983" s="69" t="inlineStr">
        <is>
          <t>1995</t>
        </is>
      </c>
      <c r="AP983" s="70" t="n">
        <v>1995</v>
      </c>
      <c r="AQ983" s="74" t="n">
        <v>2.02</v>
      </c>
      <c r="AR983" s="74" t="n">
        <v>2.26</v>
      </c>
      <c r="AS983" s="74" t="n">
        <v>58.8</v>
      </c>
      <c r="AT983" s="74" t="n">
        <v>58.82</v>
      </c>
      <c r="AU983" s="74" t="n">
        <v>58.8</v>
      </c>
      <c r="AV983" s="74" t="n">
        <v>9.73930625</v>
      </c>
      <c r="AW983" s="74" t="n">
        <v>12.1619035</v>
      </c>
      <c r="AX983" s="75" t="n">
        <v>91</v>
      </c>
      <c r="AY983" s="71" t="n">
        <v>6800000</v>
      </c>
      <c r="AZ983" s="71" t="n">
        <v>6800000</v>
      </c>
      <c r="BA983" s="71" t="n">
        <v>389572.25</v>
      </c>
      <c r="BB983" s="71" t="n">
        <v>327121.25</v>
      </c>
      <c r="BC983" s="69" t="inlineStr">
        <is>
          <t>Refinance</t>
        </is>
      </c>
      <c r="BD983" s="69" t="inlineStr">
        <is>
          <t>N</t>
        </is>
      </c>
      <c r="BE983" s="71" t="n"/>
      <c r="BF983" s="71" t="n"/>
      <c r="BG983" s="71" t="n"/>
      <c r="BH983" s="71" t="n">
        <v>0</v>
      </c>
      <c r="BI983" s="71" t="n">
        <v>0</v>
      </c>
      <c r="BJ983" s="69" t="inlineStr">
        <is>
          <t>N</t>
        </is>
      </c>
      <c r="BK983" s="69" t="inlineStr">
        <is>
          <t>Island Coast Pediatrics</t>
        </is>
      </c>
      <c r="BL983" s="75" t="n">
        <v>15.71</v>
      </c>
      <c r="BM983" s="73" t="n">
        <v>46022</v>
      </c>
      <c r="BN983" s="69" t="inlineStr">
        <is>
          <t>Ted L. Barr; Joseph G. Greulich</t>
        </is>
      </c>
      <c r="BO983" s="69" t="inlineStr">
        <is>
          <t>Barclays</t>
        </is>
      </c>
      <c r="BP983" s="69" t="inlineStr">
        <is>
          <t>TriMont Real Estate Advisors</t>
        </is>
      </c>
      <c r="BQ983" s="69" t="inlineStr">
        <is>
          <t>K-Star Asset Management LLC</t>
        </is>
      </c>
      <c r="BR983" s="69" t="n"/>
      <c r="BS983" s="73" t="n">
        <v>46276</v>
      </c>
      <c r="BU983" s="76">
        <f>IF($C983="","",IFERROR(INDEX(dmName,MATCH($C983,dmID,0)),"Unmapped"))</f>
        <v/>
      </c>
      <c r="BV983" s="76">
        <f>IF($C983="","",IFERROR(INDEX(dmEntity,MATCH($C983,dmID,0)),"Unmapped"))</f>
        <v/>
      </c>
      <c r="BW983" s="77">
        <f>IF($C983="","",IFERROR(INDEX(dmVintage,MATCH($C983,dmID,0)),""))</f>
        <v/>
      </c>
      <c r="BX983" s="78">
        <f>IFERROR(INDEX(dmInclude,MATCH($C983,dmID,0)),0)</f>
        <v/>
      </c>
      <c r="BY983" s="78">
        <f>IF(N($I983)&gt;0,1,0)</f>
        <v/>
      </c>
      <c r="BZ983" s="76">
        <f>IF($AJ983="","Other / Leased Fee",IFERROR(INDEX(mapPTGroup,MATCH(LEFT(TRIM($AJ983),2),mapPTCode,0)),"Other / Leased Fee"))</f>
        <v/>
      </c>
      <c r="CA983" s="76">
        <f>IF(TRIM($AF983&amp;"")="","NR",LEFT(TRIM($AF983),2))</f>
        <v/>
      </c>
      <c r="CB983" s="76">
        <f>IFERROR(LOOKUP(2,1/(LEFT(TRIM($AI983&amp;""),LEN(mapRegion))=mapRegion),mapRegion),"Not Reported")</f>
        <v/>
      </c>
      <c r="CC983" s="76">
        <f>IF($BY983=0,"",IF(TRIM($W983&amp;"")="REO","REO",IF(TRIM($W983&amp;"")="FC","Foreclosure",IF(TRIM($W983&amp;"")="90+","90+ Days Delinquent",IF(TRIM($W983&amp;"")="60","60 Days Delinquent",IF(TRIM($W983&amp;"")="30","30 Days Delinquent",IF($X983="Non-Performing Matured Balloon","Non-Performing Matured Balloon",IF(OR($X983="Late Payment But Less Than 30 Days Delinquent",LEFT($X983&amp;"",20)="Payment Not Received"),"Late / In Grace (&lt;30 Days)",IF($X983="Performing Matured Balloon","Performing Matured Balloon","Current")))))))))</f>
        <v/>
      </c>
      <c r="CD983" s="78">
        <f>IF(OR($CC983="REO",$CC983="Foreclosure",$CC983="90+ Days Delinquent",$CC983="60 Days Delinquent",$CC983="30 Days Delinquent",$CC983="Non-Performing Matured Balloon"),1,0)</f>
        <v/>
      </c>
      <c r="CE983" s="76">
        <f>IF($AB983="Currently special serv","Currently Specially Serviced",IF($AB983="Returned to master serv","Previously Specially Serviced","Never Specially Serviced"))</f>
        <v/>
      </c>
      <c r="CF983" s="78">
        <f>IF($CE983="Currently Specially Serviced",1,0)</f>
        <v/>
      </c>
      <c r="CG983" s="76">
        <f>IF($AA983="Yes","Currently on Watchlist",IF($AA983="Previously","Previously on Watchlist","Never on Watchlist"))</f>
        <v/>
      </c>
      <c r="CH983" s="78">
        <f>IF($CG983="Currently on Watchlist",1,0)</f>
        <v/>
      </c>
      <c r="CI983" s="76">
        <f>IF($Z983="Full Defeasance","Fully Defeased",IF($Z983="Portion Of Loan Previously Defeased","Partially Defeased",IF($Z983="Defeasance Not Allowable","Not Defeased (Not Permitted)","Not Defeased")))</f>
        <v/>
      </c>
      <c r="CJ983" s="78">
        <f>IF($CI983="Fully Defeased",1,0)</f>
        <v/>
      </c>
      <c r="CK983" s="76">
        <f>IF($R983="IO","Full IO",IF(LEFT($R983&amp;"",7)="IO then","Partial IO","Amortizing"))</f>
        <v/>
      </c>
      <c r="CL983" s="78">
        <f>IF($CK983="Full IO",1,0)</f>
        <v/>
      </c>
      <c r="CM983" s="78">
        <f>IF($CK983="Partial IO",1,0)</f>
        <v/>
      </c>
      <c r="CN983" s="76">
        <f>IF(LEFT($F983&amp;"",10)="SPLIT_LOAN","Pari Passu Split","Standalone")</f>
        <v/>
      </c>
      <c r="CO983" s="78">
        <f>IF($CN983="Pari Passu Split",1,0)</f>
        <v/>
      </c>
      <c r="CP983" s="77">
        <f>IF(ISNUMBER($T983),YEAR($T983),"")</f>
        <v/>
      </c>
      <c r="CQ983" s="79">
        <f>IF(ISNUMBER($V983),$V983,IF(ISNUMBER($U983),$U983,""))</f>
        <v/>
      </c>
      <c r="CR983" s="77">
        <f>IF(ISNUMBER($CQ983),YEAR($CQ983),"")</f>
        <v/>
      </c>
      <c r="CS983" s="78">
        <f>IF(ISNUMBER($M983),MAX(0,$M983),IF(TRIM($M983&amp;"")="matured",0,""))</f>
        <v/>
      </c>
      <c r="CT983" s="78">
        <f>IF(AND(ISNUMBER($CS983),N($CS983)&lt;=mMatWindow),1,0)</f>
        <v/>
      </c>
      <c r="CU983" s="80">
        <f>IF(ISNUMBER($J983),$J983/100,"")</f>
        <v/>
      </c>
      <c r="CV983" s="81">
        <f>IF(ISNUMBER($AQ983),$AQ983,"")</f>
        <v/>
      </c>
      <c r="CW983" s="81">
        <f>IF(ISNUMBER($AR983),$AR983,"")</f>
        <v/>
      </c>
      <c r="CX983" s="82">
        <f>IF(ISNUMBER($AS983),$AS983/100,"")</f>
        <v/>
      </c>
      <c r="CY983" s="82">
        <f>IF(ISNUMBER($AT983),$AT983/100,"")</f>
        <v/>
      </c>
      <c r="CZ983" s="82">
        <f>IF(ISNUMBER($AU983),$AU983/100,"")</f>
        <v/>
      </c>
      <c r="DA983" s="82">
        <f>IF(ISNUMBER($AV983),$AV983/100,"")</f>
        <v/>
      </c>
      <c r="DB983" s="82">
        <f>IF(ISNUMBER($AW983),$AW983/100,"")</f>
        <v/>
      </c>
      <c r="DC983" s="82">
        <f>IF(ISNUMBER($AX983),$AX983/100,"")</f>
        <v/>
      </c>
      <c r="DD983" s="77">
        <f>IFERROR(VALUE(LEFT(TRIM($AO983&amp;""),4)),"")</f>
        <v/>
      </c>
      <c r="DE983" s="78">
        <f>IF(AND($BY983=1,$BX983=1,OR(fDeal="All Deals",$BU983=fDeal),OR(fEntity="All Entities",$BV983=fEntity),OR(fPType="All Property Types",$BZ983=fPType),OR(fDefeased="Include",$CJ983=0)),1,0)</f>
        <v/>
      </c>
      <c r="DF983" s="83">
        <f>$DE983*N($I983)</f>
        <v/>
      </c>
      <c r="DG983" s="78">
        <f>IF($DE983=1,IF(COUNTIFS($F$8:$F983,$F983,$DE$8:$DE983,1)=1,1,0),0)</f>
        <v/>
      </c>
      <c r="DH983" s="83">
        <f>IF($DG983=1,SUMIFS($DF$8:$DF$1600,$F$8:$F$1600,$F983),0)</f>
        <v/>
      </c>
      <c r="DI983" s="78">
        <f>IF($DG983=1,COUNTIFS($F$8:$F$1600,$F983,$DE$8:$DE$1600,1),0)</f>
        <v/>
      </c>
      <c r="DJ983" s="84">
        <f>IF($DG983=1,$DH983+(100000-ROW())/mTieBreak,0)</f>
        <v/>
      </c>
    </row>
    <row r="984">
      <c r="B984" s="68" t="n">
        <v>44</v>
      </c>
      <c r="C984" s="69" t="inlineStr">
        <is>
          <t>WFC18C43</t>
        </is>
      </c>
      <c r="D984" s="69" t="inlineStr">
        <is>
          <t>44.000</t>
        </is>
      </c>
      <c r="E984" s="69" t="inlineStr">
        <is>
          <t>SSA MHP Portfolio</t>
        </is>
      </c>
      <c r="F984" s="69" t="inlineStr">
        <is>
          <t>LNWFC18C43-44.000</t>
        </is>
      </c>
      <c r="G984" s="70" t="n"/>
      <c r="H984" s="71" t="n">
        <v>3712500</v>
      </c>
      <c r="I984" s="71" t="n">
        <v>3237574.030001438</v>
      </c>
      <c r="J984" s="72" t="n">
        <v>5.75</v>
      </c>
      <c r="K984" s="69" t="inlineStr">
        <is>
          <t>Fixed rate</t>
        </is>
      </c>
      <c r="L984" s="68" t="n">
        <v>120</v>
      </c>
      <c r="M984" s="68" t="n">
        <v>18</v>
      </c>
      <c r="N984" s="68" t="n">
        <v>360</v>
      </c>
      <c r="O984" s="68" t="n"/>
      <c r="P984" s="68" t="n"/>
      <c r="Q984" s="68" t="n">
        <v>102</v>
      </c>
      <c r="R984" s="69" t="n"/>
      <c r="S984" s="69" t="inlineStr">
        <is>
          <t>No</t>
        </is>
      </c>
      <c r="T984" s="73" t="n">
        <v>43160</v>
      </c>
      <c r="U984" s="73" t="n">
        <v>46823</v>
      </c>
      <c r="V984" s="73" t="n"/>
      <c r="W984" s="69" t="n"/>
      <c r="X984" s="69" t="inlineStr">
        <is>
          <t>Current</t>
        </is>
      </c>
      <c r="Y984" s="68" t="n"/>
      <c r="Z984" s="69" t="inlineStr">
        <is>
          <t>Full Defeasance</t>
        </is>
      </c>
      <c r="AA984" s="69" t="n"/>
      <c r="AB984" s="69" t="inlineStr">
        <is>
          <t>Never special serv</t>
        </is>
      </c>
      <c r="AC984" s="73" t="n"/>
      <c r="AD984" s="69" t="n"/>
      <c r="AE984" s="69" t="n"/>
      <c r="AF984" s="69" t="inlineStr">
        <is>
          <t>OH-45.239060063% MI-35.932660048% IL-18.828279890%</t>
        </is>
      </c>
      <c r="AG984" s="69" t="n"/>
      <c r="AH984" s="69" t="inlineStr">
        <is>
          <t>Lansing-East Lansing, MI-35.932660048% Springfield, OH-23.757579993% Toledo, OH-21.481480070% Quincy, IL-MO-18.828279890%</t>
        </is>
      </c>
      <c r="AI984" s="69" t="inlineStr">
        <is>
          <t>Midwest / Central East</t>
        </is>
      </c>
      <c r="AJ984" s="69" t="inlineStr">
        <is>
          <t>MH</t>
        </is>
      </c>
      <c r="AK984" s="69" t="n"/>
      <c r="AL984" s="68" t="n">
        <v>4</v>
      </c>
      <c r="AM984" s="68" t="n">
        <v>235</v>
      </c>
      <c r="AN984" s="68" t="n"/>
      <c r="AO984" s="69" t="n"/>
      <c r="AP984" s="70" t="n">
        <v>1970</v>
      </c>
      <c r="AQ984" s="74" t="n">
        <v>1.62</v>
      </c>
      <c r="AR984" s="74" t="n">
        <v>1.78</v>
      </c>
      <c r="AS984" s="74" t="n">
        <v>70.59999999999999</v>
      </c>
      <c r="AT984" s="74" t="n">
        <v>61.55</v>
      </c>
      <c r="AU984" s="74" t="n">
        <v>59.4</v>
      </c>
      <c r="AV984" s="74" t="n">
        <v>11.357457239</v>
      </c>
      <c r="AW984" s="74" t="n">
        <v>11.780178506</v>
      </c>
      <c r="AX984" s="75" t="n">
        <v>90</v>
      </c>
      <c r="AY984" s="71" t="n">
        <v>5260000</v>
      </c>
      <c r="AZ984" s="71" t="n">
        <v>5260000</v>
      </c>
      <c r="BA984" s="71" t="n">
        <v>421645.6</v>
      </c>
      <c r="BB984" s="71" t="n">
        <v>231776.58</v>
      </c>
      <c r="BC984" s="69" t="inlineStr">
        <is>
          <t>Acquisition</t>
        </is>
      </c>
      <c r="BD984" s="69" t="inlineStr">
        <is>
          <t>N</t>
        </is>
      </c>
      <c r="BE984" s="71" t="n"/>
      <c r="BF984" s="71" t="n"/>
      <c r="BG984" s="71" t="n"/>
      <c r="BH984" s="71" t="n">
        <v>0</v>
      </c>
      <c r="BI984" s="71" t="n">
        <v>0</v>
      </c>
      <c r="BJ984" s="69" t="inlineStr">
        <is>
          <t>N</t>
        </is>
      </c>
      <c r="BK984" s="69" t="n"/>
      <c r="BL984" s="75" t="n"/>
      <c r="BM984" s="73" t="n"/>
      <c r="BN984" s="69" t="inlineStr">
        <is>
          <t>Michael Calin; S. John Whitehill; Jennifer A. Satler and J. Michael Sabatini, trustees of the John G. Shively Credit Shelter Trust</t>
        </is>
      </c>
      <c r="BO984" s="69" t="inlineStr">
        <is>
          <t>CIII Capital</t>
        </is>
      </c>
      <c r="BP984" s="69" t="inlineStr">
        <is>
          <t>TriMont Real Estate Advisors</t>
        </is>
      </c>
      <c r="BQ984" s="69" t="inlineStr">
        <is>
          <t>K-Star Asset Management LLC</t>
        </is>
      </c>
      <c r="BR984" s="69" t="n"/>
      <c r="BS984" s="73" t="n">
        <v>46276</v>
      </c>
      <c r="BU984" s="76">
        <f>IF($C984="","",IFERROR(INDEX(dmName,MATCH($C984,dmID,0)),"Unmapped"))</f>
        <v/>
      </c>
      <c r="BV984" s="76">
        <f>IF($C984="","",IFERROR(INDEX(dmEntity,MATCH($C984,dmID,0)),"Unmapped"))</f>
        <v/>
      </c>
      <c r="BW984" s="77">
        <f>IF($C984="","",IFERROR(INDEX(dmVintage,MATCH($C984,dmID,0)),""))</f>
        <v/>
      </c>
      <c r="BX984" s="78">
        <f>IFERROR(INDEX(dmInclude,MATCH($C984,dmID,0)),0)</f>
        <v/>
      </c>
      <c r="BY984" s="78">
        <f>IF(N($I984)&gt;0,1,0)</f>
        <v/>
      </c>
      <c r="BZ984" s="76">
        <f>IF($AJ984="","Other / Leased Fee",IFERROR(INDEX(mapPTGroup,MATCH(LEFT(TRIM($AJ984),2),mapPTCode,0)),"Other / Leased Fee"))</f>
        <v/>
      </c>
      <c r="CA984" s="76">
        <f>IF(TRIM($AF984&amp;"")="","NR",LEFT(TRIM($AF984),2))</f>
        <v/>
      </c>
      <c r="CB984" s="76">
        <f>IFERROR(LOOKUP(2,1/(LEFT(TRIM($AI984&amp;""),LEN(mapRegion))=mapRegion),mapRegion),"Not Reported")</f>
        <v/>
      </c>
      <c r="CC984" s="76">
        <f>IF($BY984=0,"",IF(TRIM($W984&amp;"")="REO","REO",IF(TRIM($W984&amp;"")="FC","Foreclosure",IF(TRIM($W984&amp;"")="90+","90+ Days Delinquent",IF(TRIM($W984&amp;"")="60","60 Days Delinquent",IF(TRIM($W984&amp;"")="30","30 Days Delinquent",IF($X984="Non-Performing Matured Balloon","Non-Performing Matured Balloon",IF(OR($X984="Late Payment But Less Than 30 Days Delinquent",LEFT($X984&amp;"",20)="Payment Not Received"),"Late / In Grace (&lt;30 Days)",IF($X984="Performing Matured Balloon","Performing Matured Balloon","Current")))))))))</f>
        <v/>
      </c>
      <c r="CD984" s="78">
        <f>IF(OR($CC984="REO",$CC984="Foreclosure",$CC984="90+ Days Delinquent",$CC984="60 Days Delinquent",$CC984="30 Days Delinquent",$CC984="Non-Performing Matured Balloon"),1,0)</f>
        <v/>
      </c>
      <c r="CE984" s="76">
        <f>IF($AB984="Currently special serv","Currently Specially Serviced",IF($AB984="Returned to master serv","Previously Specially Serviced","Never Specially Serviced"))</f>
        <v/>
      </c>
      <c r="CF984" s="78">
        <f>IF($CE984="Currently Specially Serviced",1,0)</f>
        <v/>
      </c>
      <c r="CG984" s="76">
        <f>IF($AA984="Yes","Currently on Watchlist",IF($AA984="Previously","Previously on Watchlist","Never on Watchlist"))</f>
        <v/>
      </c>
      <c r="CH984" s="78">
        <f>IF($CG984="Currently on Watchlist",1,0)</f>
        <v/>
      </c>
      <c r="CI984" s="76">
        <f>IF($Z984="Full Defeasance","Fully Defeased",IF($Z984="Portion Of Loan Previously Defeased","Partially Defeased",IF($Z984="Defeasance Not Allowable","Not Defeased (Not Permitted)","Not Defeased")))</f>
        <v/>
      </c>
      <c r="CJ984" s="78">
        <f>IF($CI984="Fully Defeased",1,0)</f>
        <v/>
      </c>
      <c r="CK984" s="76">
        <f>IF($R984="IO","Full IO",IF(LEFT($R984&amp;"",7)="IO then","Partial IO","Amortizing"))</f>
        <v/>
      </c>
      <c r="CL984" s="78">
        <f>IF($CK984="Full IO",1,0)</f>
        <v/>
      </c>
      <c r="CM984" s="78">
        <f>IF($CK984="Partial IO",1,0)</f>
        <v/>
      </c>
      <c r="CN984" s="76">
        <f>IF(LEFT($F984&amp;"",10)="SPLIT_LOAN","Pari Passu Split","Standalone")</f>
        <v/>
      </c>
      <c r="CO984" s="78">
        <f>IF($CN984="Pari Passu Split",1,0)</f>
        <v/>
      </c>
      <c r="CP984" s="77">
        <f>IF(ISNUMBER($T984),YEAR($T984),"")</f>
        <v/>
      </c>
      <c r="CQ984" s="79">
        <f>IF(ISNUMBER($V984),$V984,IF(ISNUMBER($U984),$U984,""))</f>
        <v/>
      </c>
      <c r="CR984" s="77">
        <f>IF(ISNUMBER($CQ984),YEAR($CQ984),"")</f>
        <v/>
      </c>
      <c r="CS984" s="78">
        <f>IF(ISNUMBER($M984),MAX(0,$M984),IF(TRIM($M984&amp;"")="matured",0,""))</f>
        <v/>
      </c>
      <c r="CT984" s="78">
        <f>IF(AND(ISNUMBER($CS984),N($CS984)&lt;=mMatWindow),1,0)</f>
        <v/>
      </c>
      <c r="CU984" s="80">
        <f>IF(ISNUMBER($J984),$J984/100,"")</f>
        <v/>
      </c>
      <c r="CV984" s="81">
        <f>IF(ISNUMBER($AQ984),$AQ984,"")</f>
        <v/>
      </c>
      <c r="CW984" s="81">
        <f>IF(ISNUMBER($AR984),$AR984,"")</f>
        <v/>
      </c>
      <c r="CX984" s="82">
        <f>IF(ISNUMBER($AS984),$AS984/100,"")</f>
        <v/>
      </c>
      <c r="CY984" s="82">
        <f>IF(ISNUMBER($AT984),$AT984/100,"")</f>
        <v/>
      </c>
      <c r="CZ984" s="82">
        <f>IF(ISNUMBER($AU984),$AU984/100,"")</f>
        <v/>
      </c>
      <c r="DA984" s="82">
        <f>IF(ISNUMBER($AV984),$AV984/100,"")</f>
        <v/>
      </c>
      <c r="DB984" s="82">
        <f>IF(ISNUMBER($AW984),$AW984/100,"")</f>
        <v/>
      </c>
      <c r="DC984" s="82">
        <f>IF(ISNUMBER($AX984),$AX984/100,"")</f>
        <v/>
      </c>
      <c r="DD984" s="77">
        <f>IFERROR(VALUE(LEFT(TRIM($AO984&amp;""),4)),"")</f>
        <v/>
      </c>
      <c r="DE984" s="78">
        <f>IF(AND($BY984=1,$BX984=1,OR(fDeal="All Deals",$BU984=fDeal),OR(fEntity="All Entities",$BV984=fEntity),OR(fPType="All Property Types",$BZ984=fPType),OR(fDefeased="Include",$CJ984=0)),1,0)</f>
        <v/>
      </c>
      <c r="DF984" s="83">
        <f>$DE984*N($I984)</f>
        <v/>
      </c>
      <c r="DG984" s="78">
        <f>IF($DE984=1,IF(COUNTIFS($F$8:$F984,$F984,$DE$8:$DE984,1)=1,1,0),0)</f>
        <v/>
      </c>
      <c r="DH984" s="83">
        <f>IF($DG984=1,SUMIFS($DF$8:$DF$1600,$F$8:$F$1600,$F984),0)</f>
        <v/>
      </c>
      <c r="DI984" s="78">
        <f>IF($DG984=1,COUNTIFS($F$8:$F$1600,$F984,$DE$8:$DE$1600,1),0)</f>
        <v/>
      </c>
      <c r="DJ984" s="84">
        <f>IF($DG984=1,$DH984+(100000-ROW())/mTieBreak,0)</f>
        <v/>
      </c>
    </row>
    <row r="985">
      <c r="B985" s="68" t="n">
        <v>45</v>
      </c>
      <c r="C985" s="69" t="inlineStr">
        <is>
          <t>WFC18C43</t>
        </is>
      </c>
      <c r="D985" s="69" t="inlineStr">
        <is>
          <t>45.000</t>
        </is>
      </c>
      <c r="E985" s="69" t="inlineStr">
        <is>
          <t>Parklane and North Dohr Apartments</t>
        </is>
      </c>
      <c r="F985" s="69" t="inlineStr">
        <is>
          <t>LNWFC18C43-45.000</t>
        </is>
      </c>
      <c r="G985" s="70" t="n"/>
      <c r="H985" s="71" t="n">
        <v>3575000</v>
      </c>
      <c r="I985" s="71" t="n">
        <v>3018082.319999175</v>
      </c>
      <c r="J985" s="72" t="n">
        <v>5.07</v>
      </c>
      <c r="K985" s="69" t="inlineStr">
        <is>
          <t>Fixed rate</t>
        </is>
      </c>
      <c r="L985" s="68" t="n">
        <v>120</v>
      </c>
      <c r="M985" s="68" t="n">
        <v>11</v>
      </c>
      <c r="N985" s="68" t="n">
        <v>360</v>
      </c>
      <c r="O985" s="68" t="n"/>
      <c r="P985" s="68" t="n"/>
      <c r="Q985" s="68" t="n">
        <v>109</v>
      </c>
      <c r="R985" s="69" t="n"/>
      <c r="S985" s="69" t="inlineStr">
        <is>
          <t>No</t>
        </is>
      </c>
      <c r="T985" s="73" t="n">
        <v>42948</v>
      </c>
      <c r="U985" s="73" t="n">
        <v>46610</v>
      </c>
      <c r="V985" s="73" t="n"/>
      <c r="W985" s="69" t="n"/>
      <c r="X985" s="69" t="inlineStr">
        <is>
          <t>Current</t>
        </is>
      </c>
      <c r="Y985" s="68" t="n"/>
      <c r="Z985" s="69" t="inlineStr">
        <is>
          <t>Full Defeasance</t>
        </is>
      </c>
      <c r="AA985" s="69" t="inlineStr">
        <is>
          <t>Previously</t>
        </is>
      </c>
      <c r="AB985" s="69" t="inlineStr">
        <is>
          <t>Never special serv</t>
        </is>
      </c>
      <c r="AC985" s="73" t="n"/>
      <c r="AD985" s="69" t="n"/>
      <c r="AE985" s="69" t="n"/>
      <c r="AF985" s="69" t="inlineStr">
        <is>
          <t>NY</t>
        </is>
      </c>
      <c r="AG985" s="69" t="n"/>
      <c r="AH985" s="69" t="inlineStr">
        <is>
          <t>Rochester, NY</t>
        </is>
      </c>
      <c r="AI985" s="69" t="inlineStr">
        <is>
          <t>Northeast / Mid-Atlantic</t>
        </is>
      </c>
      <c r="AJ985" s="69" t="inlineStr">
        <is>
          <t>MF</t>
        </is>
      </c>
      <c r="AK985" s="69" t="inlineStr">
        <is>
          <t>Garden</t>
        </is>
      </c>
      <c r="AL985" s="68" t="n">
        <v>2</v>
      </c>
      <c r="AM985" s="68" t="n">
        <v>87</v>
      </c>
      <c r="AN985" s="68" t="n"/>
      <c r="AO985" s="69" t="n"/>
      <c r="AP985" s="70" t="n">
        <v>2014</v>
      </c>
      <c r="AQ985" s="74" t="n">
        <v>1.3</v>
      </c>
      <c r="AR985" s="74" t="n">
        <v>1.67</v>
      </c>
      <c r="AS985" s="74" t="n">
        <v>69.5</v>
      </c>
      <c r="AT985" s="74" t="n">
        <v>59.18</v>
      </c>
      <c r="AU985" s="74" t="n">
        <v>57.8</v>
      </c>
      <c r="AV985" s="74" t="n">
        <v>8.417770629</v>
      </c>
      <c r="AW985" s="74" t="n">
        <v>12.877150415</v>
      </c>
      <c r="AX985" s="75" t="n">
        <v>90</v>
      </c>
      <c r="AY985" s="71" t="n">
        <v>5100000</v>
      </c>
      <c r="AZ985" s="71" t="n">
        <v>5100000</v>
      </c>
      <c r="BA985" s="71" t="n">
        <v>300935.3</v>
      </c>
      <c r="BB985" s="71" t="n">
        <v>388643</v>
      </c>
      <c r="BC985" s="69" t="inlineStr">
        <is>
          <t>Refinance</t>
        </is>
      </c>
      <c r="BD985" s="69" t="inlineStr">
        <is>
          <t>N</t>
        </is>
      </c>
      <c r="BE985" s="71" t="n"/>
      <c r="BF985" s="71" t="n"/>
      <c r="BG985" s="71" t="n"/>
      <c r="BH985" s="71" t="n">
        <v>0</v>
      </c>
      <c r="BI985" s="71" t="n">
        <v>0</v>
      </c>
      <c r="BJ985" s="69" t="inlineStr">
        <is>
          <t>N</t>
        </is>
      </c>
      <c r="BK985" s="69" t="n"/>
      <c r="BL985" s="75" t="n"/>
      <c r="BM985" s="73" t="n"/>
      <c r="BN985" s="69" t="inlineStr">
        <is>
          <t>Richard J. Chiarenza</t>
        </is>
      </c>
      <c r="BO985" s="69" t="inlineStr">
        <is>
          <t>CIII Capital</t>
        </is>
      </c>
      <c r="BP985" s="69" t="inlineStr">
        <is>
          <t>TriMont Real Estate Advisors</t>
        </is>
      </c>
      <c r="BQ985" s="69" t="inlineStr">
        <is>
          <t>K-Star Asset Management LLC</t>
        </is>
      </c>
      <c r="BR985" s="69" t="n"/>
      <c r="BS985" s="73" t="n">
        <v>46276</v>
      </c>
      <c r="BU985" s="76">
        <f>IF($C985="","",IFERROR(INDEX(dmName,MATCH($C985,dmID,0)),"Unmapped"))</f>
        <v/>
      </c>
      <c r="BV985" s="76">
        <f>IF($C985="","",IFERROR(INDEX(dmEntity,MATCH($C985,dmID,0)),"Unmapped"))</f>
        <v/>
      </c>
      <c r="BW985" s="77">
        <f>IF($C985="","",IFERROR(INDEX(dmVintage,MATCH($C985,dmID,0)),""))</f>
        <v/>
      </c>
      <c r="BX985" s="78">
        <f>IFERROR(INDEX(dmInclude,MATCH($C985,dmID,0)),0)</f>
        <v/>
      </c>
      <c r="BY985" s="78">
        <f>IF(N($I985)&gt;0,1,0)</f>
        <v/>
      </c>
      <c r="BZ985" s="76">
        <f>IF($AJ985="","Other / Leased Fee",IFERROR(INDEX(mapPTGroup,MATCH(LEFT(TRIM($AJ985),2),mapPTCode,0)),"Other / Leased Fee"))</f>
        <v/>
      </c>
      <c r="CA985" s="76">
        <f>IF(TRIM($AF985&amp;"")="","NR",LEFT(TRIM($AF985),2))</f>
        <v/>
      </c>
      <c r="CB985" s="76">
        <f>IFERROR(LOOKUP(2,1/(LEFT(TRIM($AI985&amp;""),LEN(mapRegion))=mapRegion),mapRegion),"Not Reported")</f>
        <v/>
      </c>
      <c r="CC985" s="76">
        <f>IF($BY985=0,"",IF(TRIM($W985&amp;"")="REO","REO",IF(TRIM($W985&amp;"")="FC","Foreclosure",IF(TRIM($W985&amp;"")="90+","90+ Days Delinquent",IF(TRIM($W985&amp;"")="60","60 Days Delinquent",IF(TRIM($W985&amp;"")="30","30 Days Delinquent",IF($X985="Non-Performing Matured Balloon","Non-Performing Matured Balloon",IF(OR($X985="Late Payment But Less Than 30 Days Delinquent",LEFT($X985&amp;"",20)="Payment Not Received"),"Late / In Grace (&lt;30 Days)",IF($X985="Performing Matured Balloon","Performing Matured Balloon","Current")))))))))</f>
        <v/>
      </c>
      <c r="CD985" s="78">
        <f>IF(OR($CC985="REO",$CC985="Foreclosure",$CC985="90+ Days Delinquent",$CC985="60 Days Delinquent",$CC985="30 Days Delinquent",$CC985="Non-Performing Matured Balloon"),1,0)</f>
        <v/>
      </c>
      <c r="CE985" s="76">
        <f>IF($AB985="Currently special serv","Currently Specially Serviced",IF($AB985="Returned to master serv","Previously Specially Serviced","Never Specially Serviced"))</f>
        <v/>
      </c>
      <c r="CF985" s="78">
        <f>IF($CE985="Currently Specially Serviced",1,0)</f>
        <v/>
      </c>
      <c r="CG985" s="76">
        <f>IF($AA985="Yes","Currently on Watchlist",IF($AA985="Previously","Previously on Watchlist","Never on Watchlist"))</f>
        <v/>
      </c>
      <c r="CH985" s="78">
        <f>IF($CG985="Currently on Watchlist",1,0)</f>
        <v/>
      </c>
      <c r="CI985" s="76">
        <f>IF($Z985="Full Defeasance","Fully Defeased",IF($Z985="Portion Of Loan Previously Defeased","Partially Defeased",IF($Z985="Defeasance Not Allowable","Not Defeased (Not Permitted)","Not Defeased")))</f>
        <v/>
      </c>
      <c r="CJ985" s="78">
        <f>IF($CI985="Fully Defeased",1,0)</f>
        <v/>
      </c>
      <c r="CK985" s="76">
        <f>IF($R985="IO","Full IO",IF(LEFT($R985&amp;"",7)="IO then","Partial IO","Amortizing"))</f>
        <v/>
      </c>
      <c r="CL985" s="78">
        <f>IF($CK985="Full IO",1,0)</f>
        <v/>
      </c>
      <c r="CM985" s="78">
        <f>IF($CK985="Partial IO",1,0)</f>
        <v/>
      </c>
      <c r="CN985" s="76">
        <f>IF(LEFT($F985&amp;"",10)="SPLIT_LOAN","Pari Passu Split","Standalone")</f>
        <v/>
      </c>
      <c r="CO985" s="78">
        <f>IF($CN985="Pari Passu Split",1,0)</f>
        <v/>
      </c>
      <c r="CP985" s="77">
        <f>IF(ISNUMBER($T985),YEAR($T985),"")</f>
        <v/>
      </c>
      <c r="CQ985" s="79">
        <f>IF(ISNUMBER($V985),$V985,IF(ISNUMBER($U985),$U985,""))</f>
        <v/>
      </c>
      <c r="CR985" s="77">
        <f>IF(ISNUMBER($CQ985),YEAR($CQ985),"")</f>
        <v/>
      </c>
      <c r="CS985" s="78">
        <f>IF(ISNUMBER($M985),MAX(0,$M985),IF(TRIM($M985&amp;"")="matured",0,""))</f>
        <v/>
      </c>
      <c r="CT985" s="78">
        <f>IF(AND(ISNUMBER($CS985),N($CS985)&lt;=mMatWindow),1,0)</f>
        <v/>
      </c>
      <c r="CU985" s="80">
        <f>IF(ISNUMBER($J985),$J985/100,"")</f>
        <v/>
      </c>
      <c r="CV985" s="81">
        <f>IF(ISNUMBER($AQ985),$AQ985,"")</f>
        <v/>
      </c>
      <c r="CW985" s="81">
        <f>IF(ISNUMBER($AR985),$AR985,"")</f>
        <v/>
      </c>
      <c r="CX985" s="82">
        <f>IF(ISNUMBER($AS985),$AS985/100,"")</f>
        <v/>
      </c>
      <c r="CY985" s="82">
        <f>IF(ISNUMBER($AT985),$AT985/100,"")</f>
        <v/>
      </c>
      <c r="CZ985" s="82">
        <f>IF(ISNUMBER($AU985),$AU985/100,"")</f>
        <v/>
      </c>
      <c r="DA985" s="82">
        <f>IF(ISNUMBER($AV985),$AV985/100,"")</f>
        <v/>
      </c>
      <c r="DB985" s="82">
        <f>IF(ISNUMBER($AW985),$AW985/100,"")</f>
        <v/>
      </c>
      <c r="DC985" s="82">
        <f>IF(ISNUMBER($AX985),$AX985/100,"")</f>
        <v/>
      </c>
      <c r="DD985" s="77">
        <f>IFERROR(VALUE(LEFT(TRIM($AO985&amp;""),4)),"")</f>
        <v/>
      </c>
      <c r="DE985" s="78">
        <f>IF(AND($BY985=1,$BX985=1,OR(fDeal="All Deals",$BU985=fDeal),OR(fEntity="All Entities",$BV985=fEntity),OR(fPType="All Property Types",$BZ985=fPType),OR(fDefeased="Include",$CJ985=0)),1,0)</f>
        <v/>
      </c>
      <c r="DF985" s="83">
        <f>$DE985*N($I985)</f>
        <v/>
      </c>
      <c r="DG985" s="78">
        <f>IF($DE985=1,IF(COUNTIFS($F$8:$F985,$F985,$DE$8:$DE985,1)=1,1,0),0)</f>
        <v/>
      </c>
      <c r="DH985" s="83">
        <f>IF($DG985=1,SUMIFS($DF$8:$DF$1600,$F$8:$F$1600,$F985),0)</f>
        <v/>
      </c>
      <c r="DI985" s="78">
        <f>IF($DG985=1,COUNTIFS($F$8:$F$1600,$F985,$DE$8:$DE$1600,1),0)</f>
        <v/>
      </c>
      <c r="DJ985" s="84">
        <f>IF($DG985=1,$DH985+(100000-ROW())/mTieBreak,0)</f>
        <v/>
      </c>
    </row>
    <row r="986">
      <c r="B986" s="68" t="n">
        <v>46</v>
      </c>
      <c r="C986" s="69" t="inlineStr">
        <is>
          <t>WFC18C43</t>
        </is>
      </c>
      <c r="D986" s="69" t="inlineStr">
        <is>
          <t>46.000</t>
        </is>
      </c>
      <c r="E986" s="69" t="inlineStr">
        <is>
          <t>Vero Beach Retail Portfolio</t>
        </is>
      </c>
      <c r="F986" s="69" t="inlineStr">
        <is>
          <t>LNWFC18C43-46.000</t>
        </is>
      </c>
      <c r="G986" s="70" t="n"/>
      <c r="H986" s="71" t="n">
        <v>3500000</v>
      </c>
      <c r="I986" s="71" t="n">
        <v>3018765.4400015</v>
      </c>
      <c r="J986" s="72" t="n">
        <v>5.32</v>
      </c>
      <c r="K986" s="69" t="inlineStr">
        <is>
          <t>Fixed rate</t>
        </is>
      </c>
      <c r="L986" s="68" t="n">
        <v>120</v>
      </c>
      <c r="M986" s="68" t="n">
        <v>18</v>
      </c>
      <c r="N986" s="68" t="n">
        <v>360</v>
      </c>
      <c r="O986" s="68" t="n"/>
      <c r="P986" s="68" t="n"/>
      <c r="Q986" s="68" t="n">
        <v>102</v>
      </c>
      <c r="R986" s="69" t="n"/>
      <c r="S986" s="69" t="inlineStr">
        <is>
          <t>No</t>
        </is>
      </c>
      <c r="T986" s="73" t="n">
        <v>43160</v>
      </c>
      <c r="U986" s="73" t="n">
        <v>46823</v>
      </c>
      <c r="V986" s="73" t="n"/>
      <c r="W986" s="69" t="n"/>
      <c r="X986" s="69" t="inlineStr">
        <is>
          <t>Current</t>
        </is>
      </c>
      <c r="Y986" s="68" t="n"/>
      <c r="Z986" s="69" t="inlineStr">
        <is>
          <t>Full Defeasance</t>
        </is>
      </c>
      <c r="AA986" s="69" t="inlineStr">
        <is>
          <t>Previously</t>
        </is>
      </c>
      <c r="AB986" s="69" t="inlineStr">
        <is>
          <t>Never special serv</t>
        </is>
      </c>
      <c r="AC986" s="73" t="n"/>
      <c r="AD986" s="69" t="n"/>
      <c r="AE986" s="69" t="n"/>
      <c r="AF986" s="69" t="inlineStr">
        <is>
          <t>FL</t>
        </is>
      </c>
      <c r="AG986" s="69" t="inlineStr">
        <is>
          <t>Vero Beach</t>
        </is>
      </c>
      <c r="AH986" s="69" t="inlineStr">
        <is>
          <t>Sebastian-Vero Beach-West Vero Corridor, FL</t>
        </is>
      </c>
      <c r="AI986" s="69" t="inlineStr">
        <is>
          <t>South / Atlantic</t>
        </is>
      </c>
      <c r="AJ986" s="69" t="inlineStr">
        <is>
          <t>RT</t>
        </is>
      </c>
      <c r="AK986" s="69" t="inlineStr">
        <is>
          <t>Unanchored</t>
        </is>
      </c>
      <c r="AL986" s="68" t="n">
        <v>2</v>
      </c>
      <c r="AM986" s="68" t="n"/>
      <c r="AN986" s="68" t="n">
        <v>42474</v>
      </c>
      <c r="AO986" s="69" t="n"/>
      <c r="AP986" s="70" t="n">
        <v>1988</v>
      </c>
      <c r="AQ986" s="74" t="n">
        <v>1.51</v>
      </c>
      <c r="AR986" s="74" t="n">
        <v>1.92</v>
      </c>
      <c r="AS986" s="74" t="n">
        <v>55.3</v>
      </c>
      <c r="AT986" s="74" t="n">
        <v>47.69</v>
      </c>
      <c r="AU986" s="74" t="n">
        <v>45.9</v>
      </c>
      <c r="AV986" s="74" t="n">
        <v>10.053993429</v>
      </c>
      <c r="AW986" s="74" t="n">
        <v>15.833978807</v>
      </c>
      <c r="AX986" s="75" t="n">
        <v>92</v>
      </c>
      <c r="AY986" s="71" t="n">
        <v>6330000</v>
      </c>
      <c r="AZ986" s="71" t="n">
        <v>6330000</v>
      </c>
      <c r="BA986" s="71" t="n">
        <v>351889.77</v>
      </c>
      <c r="BB986" s="71" t="n">
        <v>224118.52</v>
      </c>
      <c r="BC986" s="69" t="inlineStr">
        <is>
          <t>Refinance</t>
        </is>
      </c>
      <c r="BD986" s="69" t="inlineStr">
        <is>
          <t>N</t>
        </is>
      </c>
      <c r="BE986" s="71" t="n"/>
      <c r="BF986" s="71" t="n"/>
      <c r="BG986" s="71" t="n"/>
      <c r="BH986" s="71" t="n">
        <v>0</v>
      </c>
      <c r="BI986" s="71" t="n">
        <v>0</v>
      </c>
      <c r="BJ986" s="69" t="inlineStr">
        <is>
          <t>N</t>
        </is>
      </c>
      <c r="BK986" s="69" t="inlineStr">
        <is>
          <t>Golf Vero LLC</t>
        </is>
      </c>
      <c r="BL986" s="75" t="n">
        <v>14.13</v>
      </c>
      <c r="BM986" s="73" t="n">
        <v>46752</v>
      </c>
      <c r="BN986" s="69" t="inlineStr">
        <is>
          <t>Jody H. Grass, individually and as Trustee of the 2007 Thatch Palm Trust</t>
        </is>
      </c>
      <c r="BO986" s="69" t="inlineStr">
        <is>
          <t>CIII Capital</t>
        </is>
      </c>
      <c r="BP986" s="69" t="inlineStr">
        <is>
          <t>TriMont Real Estate Advisors</t>
        </is>
      </c>
      <c r="BQ986" s="69" t="inlineStr">
        <is>
          <t>K-Star Asset Management LLC</t>
        </is>
      </c>
      <c r="BR986" s="69" t="n"/>
      <c r="BS986" s="73" t="n">
        <v>46276</v>
      </c>
      <c r="BU986" s="76">
        <f>IF($C986="","",IFERROR(INDEX(dmName,MATCH($C986,dmID,0)),"Unmapped"))</f>
        <v/>
      </c>
      <c r="BV986" s="76">
        <f>IF($C986="","",IFERROR(INDEX(dmEntity,MATCH($C986,dmID,0)),"Unmapped"))</f>
        <v/>
      </c>
      <c r="BW986" s="77">
        <f>IF($C986="","",IFERROR(INDEX(dmVintage,MATCH($C986,dmID,0)),""))</f>
        <v/>
      </c>
      <c r="BX986" s="78">
        <f>IFERROR(INDEX(dmInclude,MATCH($C986,dmID,0)),0)</f>
        <v/>
      </c>
      <c r="BY986" s="78">
        <f>IF(N($I986)&gt;0,1,0)</f>
        <v/>
      </c>
      <c r="BZ986" s="76">
        <f>IF($AJ986="","Other / Leased Fee",IFERROR(INDEX(mapPTGroup,MATCH(LEFT(TRIM($AJ986),2),mapPTCode,0)),"Other / Leased Fee"))</f>
        <v/>
      </c>
      <c r="CA986" s="76">
        <f>IF(TRIM($AF986&amp;"")="","NR",LEFT(TRIM($AF986),2))</f>
        <v/>
      </c>
      <c r="CB986" s="76">
        <f>IFERROR(LOOKUP(2,1/(LEFT(TRIM($AI986&amp;""),LEN(mapRegion))=mapRegion),mapRegion),"Not Reported")</f>
        <v/>
      </c>
      <c r="CC986" s="76">
        <f>IF($BY986=0,"",IF(TRIM($W986&amp;"")="REO","REO",IF(TRIM($W986&amp;"")="FC","Foreclosure",IF(TRIM($W986&amp;"")="90+","90+ Days Delinquent",IF(TRIM($W986&amp;"")="60","60 Days Delinquent",IF(TRIM($W986&amp;"")="30","30 Days Delinquent",IF($X986="Non-Performing Matured Balloon","Non-Performing Matured Balloon",IF(OR($X986="Late Payment But Less Than 30 Days Delinquent",LEFT($X986&amp;"",20)="Payment Not Received"),"Late / In Grace (&lt;30 Days)",IF($X986="Performing Matured Balloon","Performing Matured Balloon","Current")))))))))</f>
        <v/>
      </c>
      <c r="CD986" s="78">
        <f>IF(OR($CC986="REO",$CC986="Foreclosure",$CC986="90+ Days Delinquent",$CC986="60 Days Delinquent",$CC986="30 Days Delinquent",$CC986="Non-Performing Matured Balloon"),1,0)</f>
        <v/>
      </c>
      <c r="CE986" s="76">
        <f>IF($AB986="Currently special serv","Currently Specially Serviced",IF($AB986="Returned to master serv","Previously Specially Serviced","Never Specially Serviced"))</f>
        <v/>
      </c>
      <c r="CF986" s="78">
        <f>IF($CE986="Currently Specially Serviced",1,0)</f>
        <v/>
      </c>
      <c r="CG986" s="76">
        <f>IF($AA986="Yes","Currently on Watchlist",IF($AA986="Previously","Previously on Watchlist","Never on Watchlist"))</f>
        <v/>
      </c>
      <c r="CH986" s="78">
        <f>IF($CG986="Currently on Watchlist",1,0)</f>
        <v/>
      </c>
      <c r="CI986" s="76">
        <f>IF($Z986="Full Defeasance","Fully Defeased",IF($Z986="Portion Of Loan Previously Defeased","Partially Defeased",IF($Z986="Defeasance Not Allowable","Not Defeased (Not Permitted)","Not Defeased")))</f>
        <v/>
      </c>
      <c r="CJ986" s="78">
        <f>IF($CI986="Fully Defeased",1,0)</f>
        <v/>
      </c>
      <c r="CK986" s="76">
        <f>IF($R986="IO","Full IO",IF(LEFT($R986&amp;"",7)="IO then","Partial IO","Amortizing"))</f>
        <v/>
      </c>
      <c r="CL986" s="78">
        <f>IF($CK986="Full IO",1,0)</f>
        <v/>
      </c>
      <c r="CM986" s="78">
        <f>IF($CK986="Partial IO",1,0)</f>
        <v/>
      </c>
      <c r="CN986" s="76">
        <f>IF(LEFT($F986&amp;"",10)="SPLIT_LOAN","Pari Passu Split","Standalone")</f>
        <v/>
      </c>
      <c r="CO986" s="78">
        <f>IF($CN986="Pari Passu Split",1,0)</f>
        <v/>
      </c>
      <c r="CP986" s="77">
        <f>IF(ISNUMBER($T986),YEAR($T986),"")</f>
        <v/>
      </c>
      <c r="CQ986" s="79">
        <f>IF(ISNUMBER($V986),$V986,IF(ISNUMBER($U986),$U986,""))</f>
        <v/>
      </c>
      <c r="CR986" s="77">
        <f>IF(ISNUMBER($CQ986),YEAR($CQ986),"")</f>
        <v/>
      </c>
      <c r="CS986" s="78">
        <f>IF(ISNUMBER($M986),MAX(0,$M986),IF(TRIM($M986&amp;"")="matured",0,""))</f>
        <v/>
      </c>
      <c r="CT986" s="78">
        <f>IF(AND(ISNUMBER($CS986),N($CS986)&lt;=mMatWindow),1,0)</f>
        <v/>
      </c>
      <c r="CU986" s="80">
        <f>IF(ISNUMBER($J986),$J986/100,"")</f>
        <v/>
      </c>
      <c r="CV986" s="81">
        <f>IF(ISNUMBER($AQ986),$AQ986,"")</f>
        <v/>
      </c>
      <c r="CW986" s="81">
        <f>IF(ISNUMBER($AR986),$AR986,"")</f>
        <v/>
      </c>
      <c r="CX986" s="82">
        <f>IF(ISNUMBER($AS986),$AS986/100,"")</f>
        <v/>
      </c>
      <c r="CY986" s="82">
        <f>IF(ISNUMBER($AT986),$AT986/100,"")</f>
        <v/>
      </c>
      <c r="CZ986" s="82">
        <f>IF(ISNUMBER($AU986),$AU986/100,"")</f>
        <v/>
      </c>
      <c r="DA986" s="82">
        <f>IF(ISNUMBER($AV986),$AV986/100,"")</f>
        <v/>
      </c>
      <c r="DB986" s="82">
        <f>IF(ISNUMBER($AW986),$AW986/100,"")</f>
        <v/>
      </c>
      <c r="DC986" s="82">
        <f>IF(ISNUMBER($AX986),$AX986/100,"")</f>
        <v/>
      </c>
      <c r="DD986" s="77">
        <f>IFERROR(VALUE(LEFT(TRIM($AO986&amp;""),4)),"")</f>
        <v/>
      </c>
      <c r="DE986" s="78">
        <f>IF(AND($BY986=1,$BX986=1,OR(fDeal="All Deals",$BU986=fDeal),OR(fEntity="All Entities",$BV986=fEntity),OR(fPType="All Property Types",$BZ986=fPType),OR(fDefeased="Include",$CJ986=0)),1,0)</f>
        <v/>
      </c>
      <c r="DF986" s="83">
        <f>$DE986*N($I986)</f>
        <v/>
      </c>
      <c r="DG986" s="78">
        <f>IF($DE986=1,IF(COUNTIFS($F$8:$F986,$F986,$DE$8:$DE986,1)=1,1,0),0)</f>
        <v/>
      </c>
      <c r="DH986" s="83">
        <f>IF($DG986=1,SUMIFS($DF$8:$DF$1600,$F$8:$F$1600,$F986),0)</f>
        <v/>
      </c>
      <c r="DI986" s="78">
        <f>IF($DG986=1,COUNTIFS($F$8:$F$1600,$F986,$DE$8:$DE$1600,1),0)</f>
        <v/>
      </c>
      <c r="DJ986" s="84">
        <f>IF($DG986=1,$DH986+(100000-ROW())/mTieBreak,0)</f>
        <v/>
      </c>
    </row>
    <row r="987">
      <c r="B987" s="68" t="n">
        <v>47</v>
      </c>
      <c r="C987" s="69" t="inlineStr">
        <is>
          <t>WFC18C43</t>
        </is>
      </c>
      <c r="D987" s="69" t="inlineStr">
        <is>
          <t>47.000</t>
        </is>
      </c>
      <c r="E987" s="69" t="inlineStr">
        <is>
          <t>College MHC</t>
        </is>
      </c>
      <c r="F987" s="69" t="inlineStr">
        <is>
          <t>LNWFC18C43-47.000</t>
        </is>
      </c>
      <c r="G987" s="70" t="n"/>
      <c r="H987" s="71" t="n">
        <v>3300000</v>
      </c>
      <c r="I987" s="71" t="n">
        <v>2950952.409999</v>
      </c>
      <c r="J987" s="72" t="n">
        <v>5.06</v>
      </c>
      <c r="K987" s="69" t="inlineStr">
        <is>
          <t>Fixed rate</t>
        </is>
      </c>
      <c r="L987" s="68" t="n">
        <v>120</v>
      </c>
      <c r="M987" s="68" t="n">
        <v>17</v>
      </c>
      <c r="N987" s="68" t="n">
        <v>384</v>
      </c>
      <c r="O987" s="68" t="n">
        <v>24</v>
      </c>
      <c r="P987" s="68" t="n">
        <v>0</v>
      </c>
      <c r="Q987" s="68" t="n">
        <v>103</v>
      </c>
      <c r="R987" s="69" t="inlineStr">
        <is>
          <t>IO then Amort</t>
        </is>
      </c>
      <c r="S987" s="69" t="inlineStr">
        <is>
          <t>No</t>
        </is>
      </c>
      <c r="T987" s="73" t="n">
        <v>43132</v>
      </c>
      <c r="U987" s="73" t="n">
        <v>46794</v>
      </c>
      <c r="V987" s="73" t="n"/>
      <c r="W987" s="69" t="n"/>
      <c r="X987" s="69" t="inlineStr">
        <is>
          <t>Current</t>
        </is>
      </c>
      <c r="Y987" s="68" t="n"/>
      <c r="Z987" s="69" t="inlineStr">
        <is>
          <t>No Defeasance Occurred</t>
        </is>
      </c>
      <c r="AA987" s="69" t="inlineStr">
        <is>
          <t>Previously</t>
        </is>
      </c>
      <c r="AB987" s="69" t="inlineStr">
        <is>
          <t>Never special serv</t>
        </is>
      </c>
      <c r="AC987" s="73" t="n"/>
      <c r="AD987" s="69" t="n"/>
      <c r="AE987" s="69" t="n"/>
      <c r="AF987" s="69" t="inlineStr">
        <is>
          <t>WI</t>
        </is>
      </c>
      <c r="AG987" s="69" t="inlineStr">
        <is>
          <t>Milwaukee</t>
        </is>
      </c>
      <c r="AH987" s="69" t="inlineStr">
        <is>
          <t>Milwaukee-Waukesha, WI</t>
        </is>
      </c>
      <c r="AI987" s="69" t="inlineStr">
        <is>
          <t>Midwest / Central East</t>
        </is>
      </c>
      <c r="AJ987" s="69" t="inlineStr">
        <is>
          <t>MH</t>
        </is>
      </c>
      <c r="AK987" s="69" t="n"/>
      <c r="AL987" s="68" t="n">
        <v>1</v>
      </c>
      <c r="AM987" s="68" t="n">
        <v>132</v>
      </c>
      <c r="AN987" s="68" t="n"/>
      <c r="AO987" s="69" t="inlineStr">
        <is>
          <t>1949</t>
        </is>
      </c>
      <c r="AP987" s="70" t="n">
        <v>2015</v>
      </c>
      <c r="AQ987" s="74" t="n">
        <v>1.78</v>
      </c>
      <c r="AR987" s="74" t="n">
        <v>3.79</v>
      </c>
      <c r="AS987" s="74" t="n">
        <v>74.2</v>
      </c>
      <c r="AT987" s="74" t="n">
        <v>66.31</v>
      </c>
      <c r="AU987" s="74" t="n">
        <v>64.3</v>
      </c>
      <c r="AV987" s="74" t="n">
        <v>11.575663939</v>
      </c>
      <c r="AW987" s="74" t="n">
        <v>27.366605685</v>
      </c>
      <c r="AX987" s="75" t="n">
        <v>99</v>
      </c>
      <c r="AY987" s="71" t="n">
        <v>4450000</v>
      </c>
      <c r="AZ987" s="71" t="n">
        <v>4450000</v>
      </c>
      <c r="BA987" s="71" t="n">
        <v>381996.91</v>
      </c>
      <c r="BB987" s="71" t="n">
        <v>405807.6</v>
      </c>
      <c r="BC987" s="69" t="inlineStr">
        <is>
          <t>Acquisition</t>
        </is>
      </c>
      <c r="BD987" s="69" t="inlineStr">
        <is>
          <t>N</t>
        </is>
      </c>
      <c r="BE987" s="71" t="n"/>
      <c r="BF987" s="71" t="n"/>
      <c r="BG987" s="71" t="n"/>
      <c r="BH987" s="71" t="n">
        <v>0</v>
      </c>
      <c r="BI987" s="71" t="n">
        <v>0</v>
      </c>
      <c r="BJ987" s="69" t="inlineStr">
        <is>
          <t>N</t>
        </is>
      </c>
      <c r="BK987" s="69" t="n"/>
      <c r="BL987" s="75" t="n"/>
      <c r="BM987" s="73" t="n"/>
      <c r="BN987" s="69" t="inlineStr">
        <is>
          <t>Satish Atluri; Indira Garapati</t>
        </is>
      </c>
      <c r="BO987" s="69" t="inlineStr">
        <is>
          <t>CIII Capital</t>
        </is>
      </c>
      <c r="BP987" s="69" t="inlineStr">
        <is>
          <t>TriMont Real Estate Advisors</t>
        </is>
      </c>
      <c r="BQ987" s="69" t="inlineStr">
        <is>
          <t>K-Star Asset Management LLC</t>
        </is>
      </c>
      <c r="BR987" s="69" t="n"/>
      <c r="BS987" s="73" t="n">
        <v>46276</v>
      </c>
      <c r="BU987" s="76">
        <f>IF($C987="","",IFERROR(INDEX(dmName,MATCH($C987,dmID,0)),"Unmapped"))</f>
        <v/>
      </c>
      <c r="BV987" s="76">
        <f>IF($C987="","",IFERROR(INDEX(dmEntity,MATCH($C987,dmID,0)),"Unmapped"))</f>
        <v/>
      </c>
      <c r="BW987" s="77">
        <f>IF($C987="","",IFERROR(INDEX(dmVintage,MATCH($C987,dmID,0)),""))</f>
        <v/>
      </c>
      <c r="BX987" s="78">
        <f>IFERROR(INDEX(dmInclude,MATCH($C987,dmID,0)),0)</f>
        <v/>
      </c>
      <c r="BY987" s="78">
        <f>IF(N($I987)&gt;0,1,0)</f>
        <v/>
      </c>
      <c r="BZ987" s="76">
        <f>IF($AJ987="","Other / Leased Fee",IFERROR(INDEX(mapPTGroup,MATCH(LEFT(TRIM($AJ987),2),mapPTCode,0)),"Other / Leased Fee"))</f>
        <v/>
      </c>
      <c r="CA987" s="76">
        <f>IF(TRIM($AF987&amp;"")="","NR",LEFT(TRIM($AF987),2))</f>
        <v/>
      </c>
      <c r="CB987" s="76">
        <f>IFERROR(LOOKUP(2,1/(LEFT(TRIM($AI987&amp;""),LEN(mapRegion))=mapRegion),mapRegion),"Not Reported")</f>
        <v/>
      </c>
      <c r="CC987" s="76">
        <f>IF($BY987=0,"",IF(TRIM($W987&amp;"")="REO","REO",IF(TRIM($W987&amp;"")="FC","Foreclosure",IF(TRIM($W987&amp;"")="90+","90+ Days Delinquent",IF(TRIM($W987&amp;"")="60","60 Days Delinquent",IF(TRIM($W987&amp;"")="30","30 Days Delinquent",IF($X987="Non-Performing Matured Balloon","Non-Performing Matured Balloon",IF(OR($X987="Late Payment But Less Than 30 Days Delinquent",LEFT($X987&amp;"",20)="Payment Not Received"),"Late / In Grace (&lt;30 Days)",IF($X987="Performing Matured Balloon","Performing Matured Balloon","Current")))))))))</f>
        <v/>
      </c>
      <c r="CD987" s="78">
        <f>IF(OR($CC987="REO",$CC987="Foreclosure",$CC987="90+ Days Delinquent",$CC987="60 Days Delinquent",$CC987="30 Days Delinquent",$CC987="Non-Performing Matured Balloon"),1,0)</f>
        <v/>
      </c>
      <c r="CE987" s="76">
        <f>IF($AB987="Currently special serv","Currently Specially Serviced",IF($AB987="Returned to master serv","Previously Specially Serviced","Never Specially Serviced"))</f>
        <v/>
      </c>
      <c r="CF987" s="78">
        <f>IF($CE987="Currently Specially Serviced",1,0)</f>
        <v/>
      </c>
      <c r="CG987" s="76">
        <f>IF($AA987="Yes","Currently on Watchlist",IF($AA987="Previously","Previously on Watchlist","Never on Watchlist"))</f>
        <v/>
      </c>
      <c r="CH987" s="78">
        <f>IF($CG987="Currently on Watchlist",1,0)</f>
        <v/>
      </c>
      <c r="CI987" s="76">
        <f>IF($Z987="Full Defeasance","Fully Defeased",IF($Z987="Portion Of Loan Previously Defeased","Partially Defeased",IF($Z987="Defeasance Not Allowable","Not Defeased (Not Permitted)","Not Defeased")))</f>
        <v/>
      </c>
      <c r="CJ987" s="78">
        <f>IF($CI987="Fully Defeased",1,0)</f>
        <v/>
      </c>
      <c r="CK987" s="76">
        <f>IF($R987="IO","Full IO",IF(LEFT($R987&amp;"",7)="IO then","Partial IO","Amortizing"))</f>
        <v/>
      </c>
      <c r="CL987" s="78">
        <f>IF($CK987="Full IO",1,0)</f>
        <v/>
      </c>
      <c r="CM987" s="78">
        <f>IF($CK987="Partial IO",1,0)</f>
        <v/>
      </c>
      <c r="CN987" s="76">
        <f>IF(LEFT($F987&amp;"",10)="SPLIT_LOAN","Pari Passu Split","Standalone")</f>
        <v/>
      </c>
      <c r="CO987" s="78">
        <f>IF($CN987="Pari Passu Split",1,0)</f>
        <v/>
      </c>
      <c r="CP987" s="77">
        <f>IF(ISNUMBER($T987),YEAR($T987),"")</f>
        <v/>
      </c>
      <c r="CQ987" s="79">
        <f>IF(ISNUMBER($V987),$V987,IF(ISNUMBER($U987),$U987,""))</f>
        <v/>
      </c>
      <c r="CR987" s="77">
        <f>IF(ISNUMBER($CQ987),YEAR($CQ987),"")</f>
        <v/>
      </c>
      <c r="CS987" s="78">
        <f>IF(ISNUMBER($M987),MAX(0,$M987),IF(TRIM($M987&amp;"")="matured",0,""))</f>
        <v/>
      </c>
      <c r="CT987" s="78">
        <f>IF(AND(ISNUMBER($CS987),N($CS987)&lt;=mMatWindow),1,0)</f>
        <v/>
      </c>
      <c r="CU987" s="80">
        <f>IF(ISNUMBER($J987),$J987/100,"")</f>
        <v/>
      </c>
      <c r="CV987" s="81">
        <f>IF(ISNUMBER($AQ987),$AQ987,"")</f>
        <v/>
      </c>
      <c r="CW987" s="81">
        <f>IF(ISNUMBER($AR987),$AR987,"")</f>
        <v/>
      </c>
      <c r="CX987" s="82">
        <f>IF(ISNUMBER($AS987),$AS987/100,"")</f>
        <v/>
      </c>
      <c r="CY987" s="82">
        <f>IF(ISNUMBER($AT987),$AT987/100,"")</f>
        <v/>
      </c>
      <c r="CZ987" s="82">
        <f>IF(ISNUMBER($AU987),$AU987/100,"")</f>
        <v/>
      </c>
      <c r="DA987" s="82">
        <f>IF(ISNUMBER($AV987),$AV987/100,"")</f>
        <v/>
      </c>
      <c r="DB987" s="82">
        <f>IF(ISNUMBER($AW987),$AW987/100,"")</f>
        <v/>
      </c>
      <c r="DC987" s="82">
        <f>IF(ISNUMBER($AX987),$AX987/100,"")</f>
        <v/>
      </c>
      <c r="DD987" s="77">
        <f>IFERROR(VALUE(LEFT(TRIM($AO987&amp;""),4)),"")</f>
        <v/>
      </c>
      <c r="DE987" s="78">
        <f>IF(AND($BY987=1,$BX987=1,OR(fDeal="All Deals",$BU987=fDeal),OR(fEntity="All Entities",$BV987=fEntity),OR(fPType="All Property Types",$BZ987=fPType),OR(fDefeased="Include",$CJ987=0)),1,0)</f>
        <v/>
      </c>
      <c r="DF987" s="83">
        <f>$DE987*N($I987)</f>
        <v/>
      </c>
      <c r="DG987" s="78">
        <f>IF($DE987=1,IF(COUNTIFS($F$8:$F987,$F987,$DE$8:$DE987,1)=1,1,0),0)</f>
        <v/>
      </c>
      <c r="DH987" s="83">
        <f>IF($DG987=1,SUMIFS($DF$8:$DF$1600,$F$8:$F$1600,$F987),0)</f>
        <v/>
      </c>
      <c r="DI987" s="78">
        <f>IF($DG987=1,COUNTIFS($F$8:$F$1600,$F987,$DE$8:$DE$1600,1),0)</f>
        <v/>
      </c>
      <c r="DJ987" s="84">
        <f>IF($DG987=1,$DH987+(100000-ROW())/mTieBreak,0)</f>
        <v/>
      </c>
    </row>
    <row r="988">
      <c r="B988" s="68" t="n">
        <v>48</v>
      </c>
      <c r="C988" s="69" t="inlineStr">
        <is>
          <t>WFC18C43</t>
        </is>
      </c>
      <c r="D988" s="69" t="inlineStr">
        <is>
          <t>48.000</t>
        </is>
      </c>
      <c r="E988" s="69" t="inlineStr">
        <is>
          <t>Hays Mobile Home Parks</t>
        </is>
      </c>
      <c r="F988" s="69" t="inlineStr">
        <is>
          <t>LNWFC18C43-48.000</t>
        </is>
      </c>
      <c r="G988" s="70" t="n"/>
      <c r="H988" s="71" t="n">
        <v>3175000</v>
      </c>
      <c r="I988" s="71" t="n">
        <v>2725750.440001425</v>
      </c>
      <c r="J988" s="72" t="n">
        <v>5.38</v>
      </c>
      <c r="K988" s="69" t="inlineStr">
        <is>
          <t>Fixed rate</t>
        </is>
      </c>
      <c r="L988" s="68" t="n">
        <v>120</v>
      </c>
      <c r="M988" s="68" t="n">
        <v>15</v>
      </c>
      <c r="N988" s="68" t="n">
        <v>360</v>
      </c>
      <c r="O988" s="68" t="n"/>
      <c r="P988" s="68" t="n"/>
      <c r="Q988" s="68" t="n">
        <v>105</v>
      </c>
      <c r="R988" s="69" t="n"/>
      <c r="S988" s="69" t="inlineStr">
        <is>
          <t>No</t>
        </is>
      </c>
      <c r="T988" s="73" t="n">
        <v>43070</v>
      </c>
      <c r="U988" s="73" t="n">
        <v>46732</v>
      </c>
      <c r="V988" s="73" t="n"/>
      <c r="W988" s="69" t="n"/>
      <c r="X988" s="69" t="inlineStr">
        <is>
          <t>Current</t>
        </is>
      </c>
      <c r="Y988" s="68" t="n"/>
      <c r="Z988" s="69" t="inlineStr">
        <is>
          <t>Full Defeasance</t>
        </is>
      </c>
      <c r="AA988" s="69" t="inlineStr">
        <is>
          <t>Previously</t>
        </is>
      </c>
      <c r="AB988" s="69" t="inlineStr">
        <is>
          <t>Never special serv</t>
        </is>
      </c>
      <c r="AC988" s="73" t="n"/>
      <c r="AD988" s="69" t="n"/>
      <c r="AE988" s="69" t="n"/>
      <c r="AF988" s="69" t="inlineStr">
        <is>
          <t>KS</t>
        </is>
      </c>
      <c r="AG988" s="69" t="inlineStr">
        <is>
          <t>Hays</t>
        </is>
      </c>
      <c r="AH988" s="69" t="inlineStr">
        <is>
          <t>Hays, KS</t>
        </is>
      </c>
      <c r="AI988" s="69" t="inlineStr">
        <is>
          <t>Midwest / Central West</t>
        </is>
      </c>
      <c r="AJ988" s="69" t="inlineStr">
        <is>
          <t>MH</t>
        </is>
      </c>
      <c r="AK988" s="69" t="n"/>
      <c r="AL988" s="68" t="n">
        <v>1</v>
      </c>
      <c r="AM988" s="68" t="n">
        <v>267</v>
      </c>
      <c r="AN988" s="68" t="n"/>
      <c r="AO988" s="69" t="inlineStr">
        <is>
          <t>1963</t>
        </is>
      </c>
      <c r="AP988" s="70" t="n">
        <v>1963</v>
      </c>
      <c r="AQ988" s="74" t="n">
        <v>1.34</v>
      </c>
      <c r="AR988" s="74" t="n">
        <v>0.97</v>
      </c>
      <c r="AS988" s="74" t="n">
        <v>67.5</v>
      </c>
      <c r="AT988" s="74" t="n">
        <v>58.12</v>
      </c>
      <c r="AU988" s="74" t="n">
        <v>56.3</v>
      </c>
      <c r="AV988" s="74" t="n">
        <v>9.006432440999999</v>
      </c>
      <c r="AW988" s="74" t="n">
        <v>9.432988297</v>
      </c>
      <c r="AX988" s="75" t="n">
        <v>62</v>
      </c>
      <c r="AY988" s="71" t="n">
        <v>4690000</v>
      </c>
      <c r="AZ988" s="71" t="n">
        <v>4690000</v>
      </c>
      <c r="BA988" s="71" t="n">
        <v>285954.23</v>
      </c>
      <c r="BB988" s="71" t="n">
        <v>103197.8</v>
      </c>
      <c r="BC988" s="69" t="inlineStr">
        <is>
          <t>Acquisition</t>
        </is>
      </c>
      <c r="BD988" s="69" t="inlineStr">
        <is>
          <t>N</t>
        </is>
      </c>
      <c r="BE988" s="71" t="n"/>
      <c r="BF988" s="71" t="n"/>
      <c r="BG988" s="71" t="n"/>
      <c r="BH988" s="71" t="n">
        <v>0</v>
      </c>
      <c r="BI988" s="71" t="n">
        <v>0</v>
      </c>
      <c r="BJ988" s="69" t="inlineStr">
        <is>
          <t>N</t>
        </is>
      </c>
      <c r="BK988" s="69" t="n"/>
      <c r="BL988" s="75" t="n"/>
      <c r="BM988" s="73" t="n"/>
      <c r="BN988" s="69" t="inlineStr">
        <is>
          <t>Ben Braband; Jennifer Braband; Geoffrey Rosenhain</t>
        </is>
      </c>
      <c r="BO988" s="69" t="inlineStr">
        <is>
          <t>CIII Capital</t>
        </is>
      </c>
      <c r="BP988" s="69" t="inlineStr">
        <is>
          <t>TriMont Real Estate Advisors</t>
        </is>
      </c>
      <c r="BQ988" s="69" t="inlineStr">
        <is>
          <t>K-Star Asset Management LLC</t>
        </is>
      </c>
      <c r="BR988" s="69" t="n"/>
      <c r="BS988" s="73" t="n">
        <v>46276</v>
      </c>
      <c r="BU988" s="76">
        <f>IF($C988="","",IFERROR(INDEX(dmName,MATCH($C988,dmID,0)),"Unmapped"))</f>
        <v/>
      </c>
      <c r="BV988" s="76">
        <f>IF($C988="","",IFERROR(INDEX(dmEntity,MATCH($C988,dmID,0)),"Unmapped"))</f>
        <v/>
      </c>
      <c r="BW988" s="77">
        <f>IF($C988="","",IFERROR(INDEX(dmVintage,MATCH($C988,dmID,0)),""))</f>
        <v/>
      </c>
      <c r="BX988" s="78">
        <f>IFERROR(INDEX(dmInclude,MATCH($C988,dmID,0)),0)</f>
        <v/>
      </c>
      <c r="BY988" s="78">
        <f>IF(N($I988)&gt;0,1,0)</f>
        <v/>
      </c>
      <c r="BZ988" s="76">
        <f>IF($AJ988="","Other / Leased Fee",IFERROR(INDEX(mapPTGroup,MATCH(LEFT(TRIM($AJ988),2),mapPTCode,0)),"Other / Leased Fee"))</f>
        <v/>
      </c>
      <c r="CA988" s="76">
        <f>IF(TRIM($AF988&amp;"")="","NR",LEFT(TRIM($AF988),2))</f>
        <v/>
      </c>
      <c r="CB988" s="76">
        <f>IFERROR(LOOKUP(2,1/(LEFT(TRIM($AI988&amp;""),LEN(mapRegion))=mapRegion),mapRegion),"Not Reported")</f>
        <v/>
      </c>
      <c r="CC988" s="76">
        <f>IF($BY988=0,"",IF(TRIM($W988&amp;"")="REO","REO",IF(TRIM($W988&amp;"")="FC","Foreclosure",IF(TRIM($W988&amp;"")="90+","90+ Days Delinquent",IF(TRIM($W988&amp;"")="60","60 Days Delinquent",IF(TRIM($W988&amp;"")="30","30 Days Delinquent",IF($X988="Non-Performing Matured Balloon","Non-Performing Matured Balloon",IF(OR($X988="Late Payment But Less Than 30 Days Delinquent",LEFT($X988&amp;"",20)="Payment Not Received"),"Late / In Grace (&lt;30 Days)",IF($X988="Performing Matured Balloon","Performing Matured Balloon","Current")))))))))</f>
        <v/>
      </c>
      <c r="CD988" s="78">
        <f>IF(OR($CC988="REO",$CC988="Foreclosure",$CC988="90+ Days Delinquent",$CC988="60 Days Delinquent",$CC988="30 Days Delinquent",$CC988="Non-Performing Matured Balloon"),1,0)</f>
        <v/>
      </c>
      <c r="CE988" s="76">
        <f>IF($AB988="Currently special serv","Currently Specially Serviced",IF($AB988="Returned to master serv","Previously Specially Serviced","Never Specially Serviced"))</f>
        <v/>
      </c>
      <c r="CF988" s="78">
        <f>IF($CE988="Currently Specially Serviced",1,0)</f>
        <v/>
      </c>
      <c r="CG988" s="76">
        <f>IF($AA988="Yes","Currently on Watchlist",IF($AA988="Previously","Previously on Watchlist","Never on Watchlist"))</f>
        <v/>
      </c>
      <c r="CH988" s="78">
        <f>IF($CG988="Currently on Watchlist",1,0)</f>
        <v/>
      </c>
      <c r="CI988" s="76">
        <f>IF($Z988="Full Defeasance","Fully Defeased",IF($Z988="Portion Of Loan Previously Defeased","Partially Defeased",IF($Z988="Defeasance Not Allowable","Not Defeased (Not Permitted)","Not Defeased")))</f>
        <v/>
      </c>
      <c r="CJ988" s="78">
        <f>IF($CI988="Fully Defeased",1,0)</f>
        <v/>
      </c>
      <c r="CK988" s="76">
        <f>IF($R988="IO","Full IO",IF(LEFT($R988&amp;"",7)="IO then","Partial IO","Amortizing"))</f>
        <v/>
      </c>
      <c r="CL988" s="78">
        <f>IF($CK988="Full IO",1,0)</f>
        <v/>
      </c>
      <c r="CM988" s="78">
        <f>IF($CK988="Partial IO",1,0)</f>
        <v/>
      </c>
      <c r="CN988" s="76">
        <f>IF(LEFT($F988&amp;"",10)="SPLIT_LOAN","Pari Passu Split","Standalone")</f>
        <v/>
      </c>
      <c r="CO988" s="78">
        <f>IF($CN988="Pari Passu Split",1,0)</f>
        <v/>
      </c>
      <c r="CP988" s="77">
        <f>IF(ISNUMBER($T988),YEAR($T988),"")</f>
        <v/>
      </c>
      <c r="CQ988" s="79">
        <f>IF(ISNUMBER($V988),$V988,IF(ISNUMBER($U988),$U988,""))</f>
        <v/>
      </c>
      <c r="CR988" s="77">
        <f>IF(ISNUMBER($CQ988),YEAR($CQ988),"")</f>
        <v/>
      </c>
      <c r="CS988" s="78">
        <f>IF(ISNUMBER($M988),MAX(0,$M988),IF(TRIM($M988&amp;"")="matured",0,""))</f>
        <v/>
      </c>
      <c r="CT988" s="78">
        <f>IF(AND(ISNUMBER($CS988),N($CS988)&lt;=mMatWindow),1,0)</f>
        <v/>
      </c>
      <c r="CU988" s="80">
        <f>IF(ISNUMBER($J988),$J988/100,"")</f>
        <v/>
      </c>
      <c r="CV988" s="81">
        <f>IF(ISNUMBER($AQ988),$AQ988,"")</f>
        <v/>
      </c>
      <c r="CW988" s="81">
        <f>IF(ISNUMBER($AR988),$AR988,"")</f>
        <v/>
      </c>
      <c r="CX988" s="82">
        <f>IF(ISNUMBER($AS988),$AS988/100,"")</f>
        <v/>
      </c>
      <c r="CY988" s="82">
        <f>IF(ISNUMBER($AT988),$AT988/100,"")</f>
        <v/>
      </c>
      <c r="CZ988" s="82">
        <f>IF(ISNUMBER($AU988),$AU988/100,"")</f>
        <v/>
      </c>
      <c r="DA988" s="82">
        <f>IF(ISNUMBER($AV988),$AV988/100,"")</f>
        <v/>
      </c>
      <c r="DB988" s="82">
        <f>IF(ISNUMBER($AW988),$AW988/100,"")</f>
        <v/>
      </c>
      <c r="DC988" s="82">
        <f>IF(ISNUMBER($AX988),$AX988/100,"")</f>
        <v/>
      </c>
      <c r="DD988" s="77">
        <f>IFERROR(VALUE(LEFT(TRIM($AO988&amp;""),4)),"")</f>
        <v/>
      </c>
      <c r="DE988" s="78">
        <f>IF(AND($BY988=1,$BX988=1,OR(fDeal="All Deals",$BU988=fDeal),OR(fEntity="All Entities",$BV988=fEntity),OR(fPType="All Property Types",$BZ988=fPType),OR(fDefeased="Include",$CJ988=0)),1,0)</f>
        <v/>
      </c>
      <c r="DF988" s="83">
        <f>$DE988*N($I988)</f>
        <v/>
      </c>
      <c r="DG988" s="78">
        <f>IF($DE988=1,IF(COUNTIFS($F$8:$F988,$F988,$DE$8:$DE988,1)=1,1,0),0)</f>
        <v/>
      </c>
      <c r="DH988" s="83">
        <f>IF($DG988=1,SUMIFS($DF$8:$DF$1600,$F$8:$F$1600,$F988),0)</f>
        <v/>
      </c>
      <c r="DI988" s="78">
        <f>IF($DG988=1,COUNTIFS($F$8:$F$1600,$F988,$DE$8:$DE$1600,1),0)</f>
        <v/>
      </c>
      <c r="DJ988" s="84">
        <f>IF($DG988=1,$DH988+(100000-ROW())/mTieBreak,0)</f>
        <v/>
      </c>
    </row>
    <row r="989">
      <c r="B989" s="68" t="n">
        <v>49</v>
      </c>
      <c r="C989" s="69" t="inlineStr">
        <is>
          <t>WFC18C43</t>
        </is>
      </c>
      <c r="D989" s="69" t="inlineStr">
        <is>
          <t>49.000</t>
        </is>
      </c>
      <c r="E989" s="69" t="inlineStr">
        <is>
          <t>Shoppes of Crossroads Commons</t>
        </is>
      </c>
      <c r="F989" s="69" t="inlineStr">
        <is>
          <t>LNWFC18C43-49.000</t>
        </is>
      </c>
      <c r="G989" s="70" t="n"/>
      <c r="H989" s="71" t="n">
        <v>3100000</v>
      </c>
      <c r="I989" s="71" t="n">
        <v>2624214.5699992</v>
      </c>
      <c r="J989" s="72" t="n">
        <v>4.95</v>
      </c>
      <c r="K989" s="69" t="inlineStr">
        <is>
          <t>Fixed rate</t>
        </is>
      </c>
      <c r="L989" s="68" t="n">
        <v>120</v>
      </c>
      <c r="M989" s="68" t="n">
        <v>14</v>
      </c>
      <c r="N989" s="68" t="n">
        <v>360</v>
      </c>
      <c r="O989" s="68" t="n"/>
      <c r="P989" s="68" t="n"/>
      <c r="Q989" s="68" t="n">
        <v>106</v>
      </c>
      <c r="R989" s="69" t="n"/>
      <c r="S989" s="69" t="inlineStr">
        <is>
          <t>No</t>
        </is>
      </c>
      <c r="T989" s="73" t="n">
        <v>43040</v>
      </c>
      <c r="U989" s="73" t="n">
        <v>46702</v>
      </c>
      <c r="V989" s="73" t="n"/>
      <c r="W989" s="69" t="n"/>
      <c r="X989" s="69" t="inlineStr">
        <is>
          <t>Current</t>
        </is>
      </c>
      <c r="Y989" s="68" t="n"/>
      <c r="Z989" s="69" t="inlineStr">
        <is>
          <t>No Defeasance Occurred</t>
        </is>
      </c>
      <c r="AA989" s="69" t="inlineStr">
        <is>
          <t>Previously</t>
        </is>
      </c>
      <c r="AB989" s="69" t="inlineStr">
        <is>
          <t>Never special serv</t>
        </is>
      </c>
      <c r="AC989" s="73" t="n"/>
      <c r="AD989" s="69" t="n"/>
      <c r="AE989" s="69" t="n"/>
      <c r="AF989" s="69" t="inlineStr">
        <is>
          <t>WI</t>
        </is>
      </c>
      <c r="AG989" s="69" t="inlineStr">
        <is>
          <t>Plover</t>
        </is>
      </c>
      <c r="AH989" s="69" t="inlineStr">
        <is>
          <t>Stevens Point-Plover, WI</t>
        </is>
      </c>
      <c r="AI989" s="69" t="inlineStr">
        <is>
          <t>Midwest / Central East</t>
        </is>
      </c>
      <c r="AJ989" s="69" t="inlineStr">
        <is>
          <t>RT</t>
        </is>
      </c>
      <c r="AK989" s="69" t="inlineStr">
        <is>
          <t>Shadow Anchored</t>
        </is>
      </c>
      <c r="AL989" s="68" t="n">
        <v>1</v>
      </c>
      <c r="AM989" s="68" t="n"/>
      <c r="AN989" s="68" t="n">
        <v>14336</v>
      </c>
      <c r="AO989" s="69" t="inlineStr">
        <is>
          <t>2006</t>
        </is>
      </c>
      <c r="AP989" s="70" t="n">
        <v>2006</v>
      </c>
      <c r="AQ989" s="74" t="n">
        <v>1.41</v>
      </c>
      <c r="AR989" s="74" t="n">
        <v>1.75</v>
      </c>
      <c r="AS989" s="74" t="n">
        <v>68.7</v>
      </c>
      <c r="AT989" s="74" t="n">
        <v>58.45</v>
      </c>
      <c r="AU989" s="74" t="n">
        <v>56.7</v>
      </c>
      <c r="AV989" s="74" t="n">
        <v>9.027558064999999</v>
      </c>
      <c r="AW989" s="74" t="n">
        <v>12.084963007</v>
      </c>
      <c r="AX989" s="75" t="n">
        <v>100</v>
      </c>
      <c r="AY989" s="71" t="n">
        <v>4490000</v>
      </c>
      <c r="AZ989" s="71" t="n">
        <v>4490000</v>
      </c>
      <c r="BA989" s="71" t="n">
        <v>279854.3</v>
      </c>
      <c r="BB989" s="71" t="n">
        <v>173694.78</v>
      </c>
      <c r="BC989" s="69" t="inlineStr">
        <is>
          <t>Refinance</t>
        </is>
      </c>
      <c r="BD989" s="69" t="inlineStr">
        <is>
          <t>N</t>
        </is>
      </c>
      <c r="BE989" s="71" t="n"/>
      <c r="BF989" s="71" t="n"/>
      <c r="BG989" s="71" t="n"/>
      <c r="BH989" s="71" t="n">
        <v>0</v>
      </c>
      <c r="BI989" s="71" t="n">
        <v>0</v>
      </c>
      <c r="BJ989" s="69" t="inlineStr">
        <is>
          <t>N</t>
        </is>
      </c>
      <c r="BK989" s="69" t="inlineStr">
        <is>
          <t>U.S. Cellular</t>
        </is>
      </c>
      <c r="BL989" s="75" t="n">
        <v>16.52</v>
      </c>
      <c r="BM989" s="73" t="n">
        <v>46387</v>
      </c>
      <c r="BN989" s="69" t="inlineStr">
        <is>
          <t>Shashikant P. Patel</t>
        </is>
      </c>
      <c r="BO989" s="69" t="inlineStr">
        <is>
          <t>CIII Capital</t>
        </is>
      </c>
      <c r="BP989" s="69" t="inlineStr">
        <is>
          <t>TriMont Real Estate Advisors</t>
        </is>
      </c>
      <c r="BQ989" s="69" t="inlineStr">
        <is>
          <t>K-Star Asset Management LLC</t>
        </is>
      </c>
      <c r="BR989" s="69" t="n"/>
      <c r="BS989" s="73" t="n">
        <v>46276</v>
      </c>
      <c r="BU989" s="76">
        <f>IF($C989="","",IFERROR(INDEX(dmName,MATCH($C989,dmID,0)),"Unmapped"))</f>
        <v/>
      </c>
      <c r="BV989" s="76">
        <f>IF($C989="","",IFERROR(INDEX(dmEntity,MATCH($C989,dmID,0)),"Unmapped"))</f>
        <v/>
      </c>
      <c r="BW989" s="77">
        <f>IF($C989="","",IFERROR(INDEX(dmVintage,MATCH($C989,dmID,0)),""))</f>
        <v/>
      </c>
      <c r="BX989" s="78">
        <f>IFERROR(INDEX(dmInclude,MATCH($C989,dmID,0)),0)</f>
        <v/>
      </c>
      <c r="BY989" s="78">
        <f>IF(N($I989)&gt;0,1,0)</f>
        <v/>
      </c>
      <c r="BZ989" s="76">
        <f>IF($AJ989="","Other / Leased Fee",IFERROR(INDEX(mapPTGroup,MATCH(LEFT(TRIM($AJ989),2),mapPTCode,0)),"Other / Leased Fee"))</f>
        <v/>
      </c>
      <c r="CA989" s="76">
        <f>IF(TRIM($AF989&amp;"")="","NR",LEFT(TRIM($AF989),2))</f>
        <v/>
      </c>
      <c r="CB989" s="76">
        <f>IFERROR(LOOKUP(2,1/(LEFT(TRIM($AI989&amp;""),LEN(mapRegion))=mapRegion),mapRegion),"Not Reported")</f>
        <v/>
      </c>
      <c r="CC989" s="76">
        <f>IF($BY989=0,"",IF(TRIM($W989&amp;"")="REO","REO",IF(TRIM($W989&amp;"")="FC","Foreclosure",IF(TRIM($W989&amp;"")="90+","90+ Days Delinquent",IF(TRIM($W989&amp;"")="60","60 Days Delinquent",IF(TRIM($W989&amp;"")="30","30 Days Delinquent",IF($X989="Non-Performing Matured Balloon","Non-Performing Matured Balloon",IF(OR($X989="Late Payment But Less Than 30 Days Delinquent",LEFT($X989&amp;"",20)="Payment Not Received"),"Late / In Grace (&lt;30 Days)",IF($X989="Performing Matured Balloon","Performing Matured Balloon","Current")))))))))</f>
        <v/>
      </c>
      <c r="CD989" s="78">
        <f>IF(OR($CC989="REO",$CC989="Foreclosure",$CC989="90+ Days Delinquent",$CC989="60 Days Delinquent",$CC989="30 Days Delinquent",$CC989="Non-Performing Matured Balloon"),1,0)</f>
        <v/>
      </c>
      <c r="CE989" s="76">
        <f>IF($AB989="Currently special serv","Currently Specially Serviced",IF($AB989="Returned to master serv","Previously Specially Serviced","Never Specially Serviced"))</f>
        <v/>
      </c>
      <c r="CF989" s="78">
        <f>IF($CE989="Currently Specially Serviced",1,0)</f>
        <v/>
      </c>
      <c r="CG989" s="76">
        <f>IF($AA989="Yes","Currently on Watchlist",IF($AA989="Previously","Previously on Watchlist","Never on Watchlist"))</f>
        <v/>
      </c>
      <c r="CH989" s="78">
        <f>IF($CG989="Currently on Watchlist",1,0)</f>
        <v/>
      </c>
      <c r="CI989" s="76">
        <f>IF($Z989="Full Defeasance","Fully Defeased",IF($Z989="Portion Of Loan Previously Defeased","Partially Defeased",IF($Z989="Defeasance Not Allowable","Not Defeased (Not Permitted)","Not Defeased")))</f>
        <v/>
      </c>
      <c r="CJ989" s="78">
        <f>IF($CI989="Fully Defeased",1,0)</f>
        <v/>
      </c>
      <c r="CK989" s="76">
        <f>IF($R989="IO","Full IO",IF(LEFT($R989&amp;"",7)="IO then","Partial IO","Amortizing"))</f>
        <v/>
      </c>
      <c r="CL989" s="78">
        <f>IF($CK989="Full IO",1,0)</f>
        <v/>
      </c>
      <c r="CM989" s="78">
        <f>IF($CK989="Partial IO",1,0)</f>
        <v/>
      </c>
      <c r="CN989" s="76">
        <f>IF(LEFT($F989&amp;"",10)="SPLIT_LOAN","Pari Passu Split","Standalone")</f>
        <v/>
      </c>
      <c r="CO989" s="78">
        <f>IF($CN989="Pari Passu Split",1,0)</f>
        <v/>
      </c>
      <c r="CP989" s="77">
        <f>IF(ISNUMBER($T989),YEAR($T989),"")</f>
        <v/>
      </c>
      <c r="CQ989" s="79">
        <f>IF(ISNUMBER($V989),$V989,IF(ISNUMBER($U989),$U989,""))</f>
        <v/>
      </c>
      <c r="CR989" s="77">
        <f>IF(ISNUMBER($CQ989),YEAR($CQ989),"")</f>
        <v/>
      </c>
      <c r="CS989" s="78">
        <f>IF(ISNUMBER($M989),MAX(0,$M989),IF(TRIM($M989&amp;"")="matured",0,""))</f>
        <v/>
      </c>
      <c r="CT989" s="78">
        <f>IF(AND(ISNUMBER($CS989),N($CS989)&lt;=mMatWindow),1,0)</f>
        <v/>
      </c>
      <c r="CU989" s="80">
        <f>IF(ISNUMBER($J989),$J989/100,"")</f>
        <v/>
      </c>
      <c r="CV989" s="81">
        <f>IF(ISNUMBER($AQ989),$AQ989,"")</f>
        <v/>
      </c>
      <c r="CW989" s="81">
        <f>IF(ISNUMBER($AR989),$AR989,"")</f>
        <v/>
      </c>
      <c r="CX989" s="82">
        <f>IF(ISNUMBER($AS989),$AS989/100,"")</f>
        <v/>
      </c>
      <c r="CY989" s="82">
        <f>IF(ISNUMBER($AT989),$AT989/100,"")</f>
        <v/>
      </c>
      <c r="CZ989" s="82">
        <f>IF(ISNUMBER($AU989),$AU989/100,"")</f>
        <v/>
      </c>
      <c r="DA989" s="82">
        <f>IF(ISNUMBER($AV989),$AV989/100,"")</f>
        <v/>
      </c>
      <c r="DB989" s="82">
        <f>IF(ISNUMBER($AW989),$AW989/100,"")</f>
        <v/>
      </c>
      <c r="DC989" s="82">
        <f>IF(ISNUMBER($AX989),$AX989/100,"")</f>
        <v/>
      </c>
      <c r="DD989" s="77">
        <f>IFERROR(VALUE(LEFT(TRIM($AO989&amp;""),4)),"")</f>
        <v/>
      </c>
      <c r="DE989" s="78">
        <f>IF(AND($BY989=1,$BX989=1,OR(fDeal="All Deals",$BU989=fDeal),OR(fEntity="All Entities",$BV989=fEntity),OR(fPType="All Property Types",$BZ989=fPType),OR(fDefeased="Include",$CJ989=0)),1,0)</f>
        <v/>
      </c>
      <c r="DF989" s="83">
        <f>$DE989*N($I989)</f>
        <v/>
      </c>
      <c r="DG989" s="78">
        <f>IF($DE989=1,IF(COUNTIFS($F$8:$F989,$F989,$DE$8:$DE989,1)=1,1,0),0)</f>
        <v/>
      </c>
      <c r="DH989" s="83">
        <f>IF($DG989=1,SUMIFS($DF$8:$DF$1600,$F$8:$F$1600,$F989),0)</f>
        <v/>
      </c>
      <c r="DI989" s="78">
        <f>IF($DG989=1,COUNTIFS($F$8:$F$1600,$F989,$DE$8:$DE$1600,1),0)</f>
        <v/>
      </c>
      <c r="DJ989" s="84">
        <f>IF($DG989=1,$DH989+(100000-ROW())/mTieBreak,0)</f>
        <v/>
      </c>
    </row>
    <row r="990">
      <c r="B990" s="68" t="n">
        <v>50</v>
      </c>
      <c r="C990" s="69" t="inlineStr">
        <is>
          <t>WFC18C43</t>
        </is>
      </c>
      <c r="D990" s="69" t="inlineStr">
        <is>
          <t>50.000</t>
        </is>
      </c>
      <c r="E990" s="69" t="inlineStr">
        <is>
          <t>Branson Self Storage</t>
        </is>
      </c>
      <c r="F990" s="69" t="inlineStr">
        <is>
          <t>LNWFC18C43-50.000</t>
        </is>
      </c>
      <c r="G990" s="70" t="n"/>
      <c r="H990" s="71" t="n">
        <v>3000000</v>
      </c>
      <c r="I990" s="71" t="n">
        <v>0</v>
      </c>
      <c r="J990" s="72" t="n">
        <v>5.52</v>
      </c>
      <c r="K990" s="69" t="inlineStr">
        <is>
          <t>Fixed rate</t>
        </is>
      </c>
      <c r="L990" s="68" t="n">
        <v>120</v>
      </c>
      <c r="M990" s="68" t="n"/>
      <c r="N990" s="68" t="n">
        <v>360</v>
      </c>
      <c r="O990" s="68" t="n"/>
      <c r="P990" s="68" t="n"/>
      <c r="Q990" s="68" t="n"/>
      <c r="R990" s="69" t="n"/>
      <c r="S990" s="69" t="inlineStr">
        <is>
          <t>No</t>
        </is>
      </c>
      <c r="T990" s="73" t="n">
        <v>43160</v>
      </c>
      <c r="U990" s="73" t="n">
        <v>46823</v>
      </c>
      <c r="V990" s="73" t="n"/>
      <c r="W990" s="69" t="n"/>
      <c r="X990" s="69" t="inlineStr">
        <is>
          <t>Current</t>
        </is>
      </c>
      <c r="Y990" s="68" t="n"/>
      <c r="Z990" s="69" t="inlineStr">
        <is>
          <t>Defeasance Not Allowable</t>
        </is>
      </c>
      <c r="AA990" s="69" t="n"/>
      <c r="AB990" s="69" t="inlineStr">
        <is>
          <t>Never special serv</t>
        </is>
      </c>
      <c r="AC990" s="73" t="n"/>
      <c r="AD990" s="69" t="n"/>
      <c r="AE990" s="69" t="n"/>
      <c r="AF990" s="69" t="inlineStr">
        <is>
          <t>MO</t>
        </is>
      </c>
      <c r="AG990" s="69" t="inlineStr">
        <is>
          <t>Branson, Merriam Woods, Kirbyville, &amp; Forsyth</t>
        </is>
      </c>
      <c r="AH990" s="69" t="inlineStr">
        <is>
          <t>Branson, MO</t>
        </is>
      </c>
      <c r="AI990" s="69" t="inlineStr">
        <is>
          <t>Midwest / Central West</t>
        </is>
      </c>
      <c r="AJ990" s="69" t="inlineStr">
        <is>
          <t>SS</t>
        </is>
      </c>
      <c r="AK990" s="69" t="n"/>
      <c r="AL990" s="68" t="n">
        <v>1</v>
      </c>
      <c r="AM990" s="68" t="n"/>
      <c r="AN990" s="68" t="n">
        <v>120769</v>
      </c>
      <c r="AO990" s="69" t="inlineStr">
        <is>
          <t>1997</t>
        </is>
      </c>
      <c r="AP990" s="70" t="n">
        <v>1997</v>
      </c>
      <c r="AQ990" s="74" t="n">
        <v>1.38</v>
      </c>
      <c r="AR990" s="74" t="n">
        <v>2.67</v>
      </c>
      <c r="AS990" s="74" t="n">
        <v>69.40000000000001</v>
      </c>
      <c r="AT990" s="74" t="n"/>
      <c r="AU990" s="74" t="n">
        <v>57.6</v>
      </c>
      <c r="AV990" s="74" t="n">
        <v>9.447178333</v>
      </c>
      <c r="AW990" s="74" t="n"/>
      <c r="AX990" s="75" t="n">
        <v>85</v>
      </c>
      <c r="AY990" s="71" t="n">
        <v>4180000</v>
      </c>
      <c r="AZ990" s="71" t="n">
        <v>4180000</v>
      </c>
      <c r="BA990" s="71" t="n">
        <v>283415.35</v>
      </c>
      <c r="BB990" s="71" t="n">
        <v>547618.5</v>
      </c>
      <c r="BC990" s="69" t="inlineStr">
        <is>
          <t>Refinance</t>
        </is>
      </c>
      <c r="BD990" s="69" t="inlineStr">
        <is>
          <t>N</t>
        </is>
      </c>
      <c r="BE990" s="71" t="n"/>
      <c r="BF990" s="71" t="n"/>
      <c r="BG990" s="71" t="n"/>
      <c r="BH990" s="71" t="n">
        <v>0</v>
      </c>
      <c r="BI990" s="71" t="n">
        <v>0</v>
      </c>
      <c r="BJ990" s="69" t="inlineStr">
        <is>
          <t>N</t>
        </is>
      </c>
      <c r="BK990" s="69" t="n"/>
      <c r="BL990" s="75" t="n"/>
      <c r="BM990" s="73" t="n"/>
      <c r="BN990" s="69" t="inlineStr">
        <is>
          <t>Alexander Turik; Nikita Turik</t>
        </is>
      </c>
      <c r="BO990" s="69" t="inlineStr">
        <is>
          <t>CIII Capital</t>
        </is>
      </c>
      <c r="BP990" s="69" t="inlineStr">
        <is>
          <t>Wells Fargo</t>
        </is>
      </c>
      <c r="BQ990" s="69" t="inlineStr">
        <is>
          <t>Midland Loan Services</t>
        </is>
      </c>
      <c r="BR990" s="69" t="inlineStr">
        <is>
          <t>Payoff With Yield Maintenance</t>
        </is>
      </c>
      <c r="BS990" s="73" t="n">
        <v>44662</v>
      </c>
      <c r="BU990" s="76">
        <f>IF($C990="","",IFERROR(INDEX(dmName,MATCH($C990,dmID,0)),"Unmapped"))</f>
        <v/>
      </c>
      <c r="BV990" s="76">
        <f>IF($C990="","",IFERROR(INDEX(dmEntity,MATCH($C990,dmID,0)),"Unmapped"))</f>
        <v/>
      </c>
      <c r="BW990" s="77">
        <f>IF($C990="","",IFERROR(INDEX(dmVintage,MATCH($C990,dmID,0)),""))</f>
        <v/>
      </c>
      <c r="BX990" s="78">
        <f>IFERROR(INDEX(dmInclude,MATCH($C990,dmID,0)),0)</f>
        <v/>
      </c>
      <c r="BY990" s="78">
        <f>IF(N($I990)&gt;0,1,0)</f>
        <v/>
      </c>
      <c r="BZ990" s="76">
        <f>IF($AJ990="","Other / Leased Fee",IFERROR(INDEX(mapPTGroup,MATCH(LEFT(TRIM($AJ990),2),mapPTCode,0)),"Other / Leased Fee"))</f>
        <v/>
      </c>
      <c r="CA990" s="76">
        <f>IF(TRIM($AF990&amp;"")="","NR",LEFT(TRIM($AF990),2))</f>
        <v/>
      </c>
      <c r="CB990" s="76">
        <f>IFERROR(LOOKUP(2,1/(LEFT(TRIM($AI990&amp;""),LEN(mapRegion))=mapRegion),mapRegion),"Not Reported")</f>
        <v/>
      </c>
      <c r="CC990" s="76">
        <f>IF($BY990=0,"",IF(TRIM($W990&amp;"")="REO","REO",IF(TRIM($W990&amp;"")="FC","Foreclosure",IF(TRIM($W990&amp;"")="90+","90+ Days Delinquent",IF(TRIM($W990&amp;"")="60","60 Days Delinquent",IF(TRIM($W990&amp;"")="30","30 Days Delinquent",IF($X990="Non-Performing Matured Balloon","Non-Performing Matured Balloon",IF(OR($X990="Late Payment But Less Than 30 Days Delinquent",LEFT($X990&amp;"",20)="Payment Not Received"),"Late / In Grace (&lt;30 Days)",IF($X990="Performing Matured Balloon","Performing Matured Balloon","Current")))))))))</f>
        <v/>
      </c>
      <c r="CD990" s="78">
        <f>IF(OR($CC990="REO",$CC990="Foreclosure",$CC990="90+ Days Delinquent",$CC990="60 Days Delinquent",$CC990="30 Days Delinquent",$CC990="Non-Performing Matured Balloon"),1,0)</f>
        <v/>
      </c>
      <c r="CE990" s="76">
        <f>IF($AB990="Currently special serv","Currently Specially Serviced",IF($AB990="Returned to master serv","Previously Specially Serviced","Never Specially Serviced"))</f>
        <v/>
      </c>
      <c r="CF990" s="78">
        <f>IF($CE990="Currently Specially Serviced",1,0)</f>
        <v/>
      </c>
      <c r="CG990" s="76">
        <f>IF($AA990="Yes","Currently on Watchlist",IF($AA990="Previously","Previously on Watchlist","Never on Watchlist"))</f>
        <v/>
      </c>
      <c r="CH990" s="78">
        <f>IF($CG990="Currently on Watchlist",1,0)</f>
        <v/>
      </c>
      <c r="CI990" s="76">
        <f>IF($Z990="Full Defeasance","Fully Defeased",IF($Z990="Portion Of Loan Previously Defeased","Partially Defeased",IF($Z990="Defeasance Not Allowable","Not Defeased (Not Permitted)","Not Defeased")))</f>
        <v/>
      </c>
      <c r="CJ990" s="78">
        <f>IF($CI990="Fully Defeased",1,0)</f>
        <v/>
      </c>
      <c r="CK990" s="76">
        <f>IF($R990="IO","Full IO",IF(LEFT($R990&amp;"",7)="IO then","Partial IO","Amortizing"))</f>
        <v/>
      </c>
      <c r="CL990" s="78">
        <f>IF($CK990="Full IO",1,0)</f>
        <v/>
      </c>
      <c r="CM990" s="78">
        <f>IF($CK990="Partial IO",1,0)</f>
        <v/>
      </c>
      <c r="CN990" s="76">
        <f>IF(LEFT($F990&amp;"",10)="SPLIT_LOAN","Pari Passu Split","Standalone")</f>
        <v/>
      </c>
      <c r="CO990" s="78">
        <f>IF($CN990="Pari Passu Split",1,0)</f>
        <v/>
      </c>
      <c r="CP990" s="77">
        <f>IF(ISNUMBER($T990),YEAR($T990),"")</f>
        <v/>
      </c>
      <c r="CQ990" s="79">
        <f>IF(ISNUMBER($V990),$V990,IF(ISNUMBER($U990),$U990,""))</f>
        <v/>
      </c>
      <c r="CR990" s="77">
        <f>IF(ISNUMBER($CQ990),YEAR($CQ990),"")</f>
        <v/>
      </c>
      <c r="CS990" s="78">
        <f>IF(ISNUMBER($M990),MAX(0,$M990),IF(TRIM($M990&amp;"")="matured",0,""))</f>
        <v/>
      </c>
      <c r="CT990" s="78">
        <f>IF(AND(ISNUMBER($CS990),N($CS990)&lt;=mMatWindow),1,0)</f>
        <v/>
      </c>
      <c r="CU990" s="80">
        <f>IF(ISNUMBER($J990),$J990/100,"")</f>
        <v/>
      </c>
      <c r="CV990" s="81">
        <f>IF(ISNUMBER($AQ990),$AQ990,"")</f>
        <v/>
      </c>
      <c r="CW990" s="81">
        <f>IF(ISNUMBER($AR990),$AR990,"")</f>
        <v/>
      </c>
      <c r="CX990" s="82">
        <f>IF(ISNUMBER($AS990),$AS990/100,"")</f>
        <v/>
      </c>
      <c r="CY990" s="82">
        <f>IF(ISNUMBER($AT990),$AT990/100,"")</f>
        <v/>
      </c>
      <c r="CZ990" s="82">
        <f>IF(ISNUMBER($AU990),$AU990/100,"")</f>
        <v/>
      </c>
      <c r="DA990" s="82">
        <f>IF(ISNUMBER($AV990),$AV990/100,"")</f>
        <v/>
      </c>
      <c r="DB990" s="82">
        <f>IF(ISNUMBER($AW990),$AW990/100,"")</f>
        <v/>
      </c>
      <c r="DC990" s="82">
        <f>IF(ISNUMBER($AX990),$AX990/100,"")</f>
        <v/>
      </c>
      <c r="DD990" s="77">
        <f>IFERROR(VALUE(LEFT(TRIM($AO990&amp;""),4)),"")</f>
        <v/>
      </c>
      <c r="DE990" s="78">
        <f>IF(AND($BY990=1,$BX990=1,OR(fDeal="All Deals",$BU990=fDeal),OR(fEntity="All Entities",$BV990=fEntity),OR(fPType="All Property Types",$BZ990=fPType),OR(fDefeased="Include",$CJ990=0)),1,0)</f>
        <v/>
      </c>
      <c r="DF990" s="83">
        <f>$DE990*N($I990)</f>
        <v/>
      </c>
      <c r="DG990" s="78">
        <f>IF($DE990=1,IF(COUNTIFS($F$8:$F990,$F990,$DE$8:$DE990,1)=1,1,0),0)</f>
        <v/>
      </c>
      <c r="DH990" s="83">
        <f>IF($DG990=1,SUMIFS($DF$8:$DF$1600,$F$8:$F$1600,$F990),0)</f>
        <v/>
      </c>
      <c r="DI990" s="78">
        <f>IF($DG990=1,COUNTIFS($F$8:$F$1600,$F990,$DE$8:$DE$1600,1),0)</f>
        <v/>
      </c>
      <c r="DJ990" s="84">
        <f>IF($DG990=1,$DH990+(100000-ROW())/mTieBreak,0)</f>
        <v/>
      </c>
    </row>
    <row r="991">
      <c r="B991" s="68" t="n">
        <v>51</v>
      </c>
      <c r="C991" s="69" t="inlineStr">
        <is>
          <t>WFC18C43</t>
        </is>
      </c>
      <c r="D991" s="69" t="inlineStr">
        <is>
          <t>51.000</t>
        </is>
      </c>
      <c r="E991" s="69" t="inlineStr">
        <is>
          <t>Lynchburg MHP Portfolio</t>
        </is>
      </c>
      <c r="F991" s="69" t="inlineStr">
        <is>
          <t>LNWFC18C43-51.000</t>
        </is>
      </c>
      <c r="G991" s="70" t="n"/>
      <c r="H991" s="71" t="n">
        <v>2900000</v>
      </c>
      <c r="I991" s="71" t="n">
        <v>2548703.2400003</v>
      </c>
      <c r="J991" s="72" t="n">
        <v>5.26</v>
      </c>
      <c r="K991" s="69" t="inlineStr">
        <is>
          <t>Fixed rate</t>
        </is>
      </c>
      <c r="L991" s="68" t="n">
        <v>120</v>
      </c>
      <c r="M991" s="68" t="n">
        <v>17</v>
      </c>
      <c r="N991" s="68" t="n">
        <v>372</v>
      </c>
      <c r="O991" s="68" t="n">
        <v>12</v>
      </c>
      <c r="P991" s="68" t="n">
        <v>0</v>
      </c>
      <c r="Q991" s="68" t="n">
        <v>103</v>
      </c>
      <c r="R991" s="69" t="inlineStr">
        <is>
          <t>IO then Amort</t>
        </is>
      </c>
      <c r="S991" s="69" t="inlineStr">
        <is>
          <t>No</t>
        </is>
      </c>
      <c r="T991" s="73" t="n">
        <v>43132</v>
      </c>
      <c r="U991" s="73" t="n">
        <v>46794</v>
      </c>
      <c r="V991" s="73" t="n"/>
      <c r="W991" s="69" t="n"/>
      <c r="X991" s="69" t="inlineStr">
        <is>
          <t>Current</t>
        </is>
      </c>
      <c r="Y991" s="68" t="n"/>
      <c r="Z991" s="69" t="inlineStr">
        <is>
          <t>Full Defeasance</t>
        </is>
      </c>
      <c r="AA991" s="69" t="inlineStr">
        <is>
          <t>Previously</t>
        </is>
      </c>
      <c r="AB991" s="69" t="inlineStr">
        <is>
          <t>Never special serv</t>
        </is>
      </c>
      <c r="AC991" s="73" t="n"/>
      <c r="AD991" s="69" t="n"/>
      <c r="AE991" s="69" t="n"/>
      <c r="AF991" s="69" t="inlineStr">
        <is>
          <t>VA</t>
        </is>
      </c>
      <c r="AG991" s="69" t="n"/>
      <c r="AH991" s="69" t="inlineStr">
        <is>
          <t>Lynchburg, VA</t>
        </is>
      </c>
      <c r="AI991" s="69" t="inlineStr">
        <is>
          <t>South / Atlantic</t>
        </is>
      </c>
      <c r="AJ991" s="69" t="inlineStr">
        <is>
          <t>MH</t>
        </is>
      </c>
      <c r="AK991" s="69" t="n"/>
      <c r="AL991" s="68" t="n">
        <v>3</v>
      </c>
      <c r="AM991" s="68" t="n">
        <v>160</v>
      </c>
      <c r="AN991" s="68" t="n"/>
      <c r="AO991" s="69" t="inlineStr">
        <is>
          <t>1965</t>
        </is>
      </c>
      <c r="AP991" s="70" t="n">
        <v>1965</v>
      </c>
      <c r="AQ991" s="74" t="n">
        <v>1.31</v>
      </c>
      <c r="AR991" s="74" t="n">
        <v>1.51</v>
      </c>
      <c r="AS991" s="74" t="n">
        <v>72.5</v>
      </c>
      <c r="AT991" s="74" t="n">
        <v>63.72</v>
      </c>
      <c r="AU991" s="74" t="n">
        <v>61.7</v>
      </c>
      <c r="AV991" s="74" t="n">
        <v>8.68126069</v>
      </c>
      <c r="AW991" s="74" t="n">
        <v>10.010149318</v>
      </c>
      <c r="AX991" s="75" t="n">
        <v>93</v>
      </c>
      <c r="AY991" s="71" t="n">
        <v>4000000</v>
      </c>
      <c r="AZ991" s="71" t="n">
        <v>4000000</v>
      </c>
      <c r="BA991" s="71" t="n">
        <v>251756.56</v>
      </c>
      <c r="BB991" s="71" t="n">
        <v>72580.97</v>
      </c>
      <c r="BC991" s="69" t="inlineStr">
        <is>
          <t>Acquisition</t>
        </is>
      </c>
      <c r="BD991" s="69" t="inlineStr">
        <is>
          <t>N</t>
        </is>
      </c>
      <c r="BE991" s="71" t="n"/>
      <c r="BF991" s="71" t="n"/>
      <c r="BG991" s="71" t="n"/>
      <c r="BH991" s="71" t="n">
        <v>0</v>
      </c>
      <c r="BI991" s="71" t="n">
        <v>0</v>
      </c>
      <c r="BJ991" s="69" t="inlineStr">
        <is>
          <t>N</t>
        </is>
      </c>
      <c r="BK991" s="69" t="n"/>
      <c r="BL991" s="75" t="n"/>
      <c r="BM991" s="73" t="n"/>
      <c r="BN991" s="69" t="inlineStr">
        <is>
          <t>John A. Boord</t>
        </is>
      </c>
      <c r="BO991" s="69" t="inlineStr">
        <is>
          <t>CIII Capital</t>
        </is>
      </c>
      <c r="BP991" s="69" t="inlineStr">
        <is>
          <t>TriMont Real Estate Advisors</t>
        </is>
      </c>
      <c r="BQ991" s="69" t="inlineStr">
        <is>
          <t>K-Star Asset Management LLC</t>
        </is>
      </c>
      <c r="BR991" s="69" t="n"/>
      <c r="BS991" s="73" t="n">
        <v>46276</v>
      </c>
      <c r="BU991" s="76">
        <f>IF($C991="","",IFERROR(INDEX(dmName,MATCH($C991,dmID,0)),"Unmapped"))</f>
        <v/>
      </c>
      <c r="BV991" s="76">
        <f>IF($C991="","",IFERROR(INDEX(dmEntity,MATCH($C991,dmID,0)),"Unmapped"))</f>
        <v/>
      </c>
      <c r="BW991" s="77">
        <f>IF($C991="","",IFERROR(INDEX(dmVintage,MATCH($C991,dmID,0)),""))</f>
        <v/>
      </c>
      <c r="BX991" s="78">
        <f>IFERROR(INDEX(dmInclude,MATCH($C991,dmID,0)),0)</f>
        <v/>
      </c>
      <c r="BY991" s="78">
        <f>IF(N($I991)&gt;0,1,0)</f>
        <v/>
      </c>
      <c r="BZ991" s="76">
        <f>IF($AJ991="","Other / Leased Fee",IFERROR(INDEX(mapPTGroup,MATCH(LEFT(TRIM($AJ991),2),mapPTCode,0)),"Other / Leased Fee"))</f>
        <v/>
      </c>
      <c r="CA991" s="76">
        <f>IF(TRIM($AF991&amp;"")="","NR",LEFT(TRIM($AF991),2))</f>
        <v/>
      </c>
      <c r="CB991" s="76">
        <f>IFERROR(LOOKUP(2,1/(LEFT(TRIM($AI991&amp;""),LEN(mapRegion))=mapRegion),mapRegion),"Not Reported")</f>
        <v/>
      </c>
      <c r="CC991" s="76">
        <f>IF($BY991=0,"",IF(TRIM($W991&amp;"")="REO","REO",IF(TRIM($W991&amp;"")="FC","Foreclosure",IF(TRIM($W991&amp;"")="90+","90+ Days Delinquent",IF(TRIM($W991&amp;"")="60","60 Days Delinquent",IF(TRIM($W991&amp;"")="30","30 Days Delinquent",IF($X991="Non-Performing Matured Balloon","Non-Performing Matured Balloon",IF(OR($X991="Late Payment But Less Than 30 Days Delinquent",LEFT($X991&amp;"",20)="Payment Not Received"),"Late / In Grace (&lt;30 Days)",IF($X991="Performing Matured Balloon","Performing Matured Balloon","Current")))))))))</f>
        <v/>
      </c>
      <c r="CD991" s="78">
        <f>IF(OR($CC991="REO",$CC991="Foreclosure",$CC991="90+ Days Delinquent",$CC991="60 Days Delinquent",$CC991="30 Days Delinquent",$CC991="Non-Performing Matured Balloon"),1,0)</f>
        <v/>
      </c>
      <c r="CE991" s="76">
        <f>IF($AB991="Currently special serv","Currently Specially Serviced",IF($AB991="Returned to master serv","Previously Specially Serviced","Never Specially Serviced"))</f>
        <v/>
      </c>
      <c r="CF991" s="78">
        <f>IF($CE991="Currently Specially Serviced",1,0)</f>
        <v/>
      </c>
      <c r="CG991" s="76">
        <f>IF($AA991="Yes","Currently on Watchlist",IF($AA991="Previously","Previously on Watchlist","Never on Watchlist"))</f>
        <v/>
      </c>
      <c r="CH991" s="78">
        <f>IF($CG991="Currently on Watchlist",1,0)</f>
        <v/>
      </c>
      <c r="CI991" s="76">
        <f>IF($Z991="Full Defeasance","Fully Defeased",IF($Z991="Portion Of Loan Previously Defeased","Partially Defeased",IF($Z991="Defeasance Not Allowable","Not Defeased (Not Permitted)","Not Defeased")))</f>
        <v/>
      </c>
      <c r="CJ991" s="78">
        <f>IF($CI991="Fully Defeased",1,0)</f>
        <v/>
      </c>
      <c r="CK991" s="76">
        <f>IF($R991="IO","Full IO",IF(LEFT($R991&amp;"",7)="IO then","Partial IO","Amortizing"))</f>
        <v/>
      </c>
      <c r="CL991" s="78">
        <f>IF($CK991="Full IO",1,0)</f>
        <v/>
      </c>
      <c r="CM991" s="78">
        <f>IF($CK991="Partial IO",1,0)</f>
        <v/>
      </c>
      <c r="CN991" s="76">
        <f>IF(LEFT($F991&amp;"",10)="SPLIT_LOAN","Pari Passu Split","Standalone")</f>
        <v/>
      </c>
      <c r="CO991" s="78">
        <f>IF($CN991="Pari Passu Split",1,0)</f>
        <v/>
      </c>
      <c r="CP991" s="77">
        <f>IF(ISNUMBER($T991),YEAR($T991),"")</f>
        <v/>
      </c>
      <c r="CQ991" s="79">
        <f>IF(ISNUMBER($V991),$V991,IF(ISNUMBER($U991),$U991,""))</f>
        <v/>
      </c>
      <c r="CR991" s="77">
        <f>IF(ISNUMBER($CQ991),YEAR($CQ991),"")</f>
        <v/>
      </c>
      <c r="CS991" s="78">
        <f>IF(ISNUMBER($M991),MAX(0,$M991),IF(TRIM($M991&amp;"")="matured",0,""))</f>
        <v/>
      </c>
      <c r="CT991" s="78">
        <f>IF(AND(ISNUMBER($CS991),N($CS991)&lt;=mMatWindow),1,0)</f>
        <v/>
      </c>
      <c r="CU991" s="80">
        <f>IF(ISNUMBER($J991),$J991/100,"")</f>
        <v/>
      </c>
      <c r="CV991" s="81">
        <f>IF(ISNUMBER($AQ991),$AQ991,"")</f>
        <v/>
      </c>
      <c r="CW991" s="81">
        <f>IF(ISNUMBER($AR991),$AR991,"")</f>
        <v/>
      </c>
      <c r="CX991" s="82">
        <f>IF(ISNUMBER($AS991),$AS991/100,"")</f>
        <v/>
      </c>
      <c r="CY991" s="82">
        <f>IF(ISNUMBER($AT991),$AT991/100,"")</f>
        <v/>
      </c>
      <c r="CZ991" s="82">
        <f>IF(ISNUMBER($AU991),$AU991/100,"")</f>
        <v/>
      </c>
      <c r="DA991" s="82">
        <f>IF(ISNUMBER($AV991),$AV991/100,"")</f>
        <v/>
      </c>
      <c r="DB991" s="82">
        <f>IF(ISNUMBER($AW991),$AW991/100,"")</f>
        <v/>
      </c>
      <c r="DC991" s="82">
        <f>IF(ISNUMBER($AX991),$AX991/100,"")</f>
        <v/>
      </c>
      <c r="DD991" s="77">
        <f>IFERROR(VALUE(LEFT(TRIM($AO991&amp;""),4)),"")</f>
        <v/>
      </c>
      <c r="DE991" s="78">
        <f>IF(AND($BY991=1,$BX991=1,OR(fDeal="All Deals",$BU991=fDeal),OR(fEntity="All Entities",$BV991=fEntity),OR(fPType="All Property Types",$BZ991=fPType),OR(fDefeased="Include",$CJ991=0)),1,0)</f>
        <v/>
      </c>
      <c r="DF991" s="83">
        <f>$DE991*N($I991)</f>
        <v/>
      </c>
      <c r="DG991" s="78">
        <f>IF($DE991=1,IF(COUNTIFS($F$8:$F991,$F991,$DE$8:$DE991,1)=1,1,0),0)</f>
        <v/>
      </c>
      <c r="DH991" s="83">
        <f>IF($DG991=1,SUMIFS($DF$8:$DF$1600,$F$8:$F$1600,$F991),0)</f>
        <v/>
      </c>
      <c r="DI991" s="78">
        <f>IF($DG991=1,COUNTIFS($F$8:$F$1600,$F991,$DE$8:$DE$1600,1),0)</f>
        <v/>
      </c>
      <c r="DJ991" s="84">
        <f>IF($DG991=1,$DH991+(100000-ROW())/mTieBreak,0)</f>
        <v/>
      </c>
    </row>
    <row r="992">
      <c r="B992" s="68" t="n">
        <v>52</v>
      </c>
      <c r="C992" s="69" t="inlineStr">
        <is>
          <t>WFC18C43</t>
        </is>
      </c>
      <c r="D992" s="69" t="inlineStr">
        <is>
          <t>52.000</t>
        </is>
      </c>
      <c r="E992" s="69" t="inlineStr">
        <is>
          <t>Bonnet Lake MHP</t>
        </is>
      </c>
      <c r="F992" s="69" t="inlineStr">
        <is>
          <t>LNWFC18C43-52.000</t>
        </is>
      </c>
      <c r="G992" s="70" t="n"/>
      <c r="H992" s="71" t="n">
        <v>2790000</v>
      </c>
      <c r="I992" s="71" t="n">
        <v>2490800.589999</v>
      </c>
      <c r="J992" s="72" t="n">
        <v>5.06</v>
      </c>
      <c r="K992" s="69" t="inlineStr">
        <is>
          <t>Fixed rate</t>
        </is>
      </c>
      <c r="L992" s="68" t="n">
        <v>120</v>
      </c>
      <c r="M992" s="68" t="n">
        <v>16</v>
      </c>
      <c r="N992" s="68" t="n">
        <v>384</v>
      </c>
      <c r="O992" s="68" t="n">
        <v>24</v>
      </c>
      <c r="P992" s="68" t="n">
        <v>0</v>
      </c>
      <c r="Q992" s="68" t="n">
        <v>104</v>
      </c>
      <c r="R992" s="69" t="inlineStr">
        <is>
          <t>IO then Amort</t>
        </is>
      </c>
      <c r="S992" s="69" t="inlineStr">
        <is>
          <t>No</t>
        </is>
      </c>
      <c r="T992" s="73" t="n">
        <v>43101</v>
      </c>
      <c r="U992" s="73" t="n">
        <v>46763</v>
      </c>
      <c r="V992" s="73" t="n"/>
      <c r="W992" s="69" t="n"/>
      <c r="X992" s="69" t="inlineStr">
        <is>
          <t>Current</t>
        </is>
      </c>
      <c r="Y992" s="68" t="n"/>
      <c r="Z992" s="69" t="inlineStr">
        <is>
          <t>Full Defeasance</t>
        </is>
      </c>
      <c r="AA992" s="69" t="inlineStr">
        <is>
          <t>Previously</t>
        </is>
      </c>
      <c r="AB992" s="69" t="inlineStr">
        <is>
          <t>Never special serv</t>
        </is>
      </c>
      <c r="AC992" s="73" t="n"/>
      <c r="AD992" s="69" t="n"/>
      <c r="AE992" s="69" t="n"/>
      <c r="AF992" s="69" t="inlineStr">
        <is>
          <t>FL</t>
        </is>
      </c>
      <c r="AG992" s="69" t="inlineStr">
        <is>
          <t>Avon Park</t>
        </is>
      </c>
      <c r="AH992" s="69" t="inlineStr">
        <is>
          <t>Sebring, FL</t>
        </is>
      </c>
      <c r="AI992" s="69" t="inlineStr">
        <is>
          <t>South / Atlantic</t>
        </is>
      </c>
      <c r="AJ992" s="69" t="inlineStr">
        <is>
          <t>MH</t>
        </is>
      </c>
      <c r="AK992" s="69" t="n"/>
      <c r="AL992" s="68" t="n">
        <v>1</v>
      </c>
      <c r="AM992" s="68" t="n">
        <v>125</v>
      </c>
      <c r="AN992" s="68" t="n"/>
      <c r="AO992" s="69" t="inlineStr">
        <is>
          <t>1987</t>
        </is>
      </c>
      <c r="AP992" s="70" t="n">
        <v>1987</v>
      </c>
      <c r="AQ992" s="74" t="n">
        <v>1.64</v>
      </c>
      <c r="AR992" s="74" t="n">
        <v>3.86</v>
      </c>
      <c r="AS992" s="74" t="n">
        <v>50.9</v>
      </c>
      <c r="AT992" s="74" t="n">
        <v>45.45</v>
      </c>
      <c r="AU992" s="74" t="n">
        <v>44.1</v>
      </c>
      <c r="AV992" s="74" t="n">
        <v>10.621251254</v>
      </c>
      <c r="AW992" s="74" t="n">
        <v>20.620898841</v>
      </c>
      <c r="AX992" s="75" t="n">
        <v>81</v>
      </c>
      <c r="AY992" s="71" t="n">
        <v>5480000</v>
      </c>
      <c r="AZ992" s="71" t="n">
        <v>5480000</v>
      </c>
      <c r="BA992" s="71" t="n">
        <v>296332.91</v>
      </c>
      <c r="BB992" s="71" t="n">
        <v>174678.5</v>
      </c>
      <c r="BC992" s="69" t="inlineStr">
        <is>
          <t>Refinance</t>
        </is>
      </c>
      <c r="BD992" s="69" t="inlineStr">
        <is>
          <t>N</t>
        </is>
      </c>
      <c r="BE992" s="71" t="n"/>
      <c r="BF992" s="71" t="n"/>
      <c r="BG992" s="71" t="n"/>
      <c r="BH992" s="71" t="n">
        <v>0</v>
      </c>
      <c r="BI992" s="71" t="n">
        <v>0</v>
      </c>
      <c r="BJ992" s="69" t="inlineStr">
        <is>
          <t>N</t>
        </is>
      </c>
      <c r="BK992" s="69" t="n"/>
      <c r="BL992" s="75" t="n"/>
      <c r="BM992" s="73" t="n"/>
      <c r="BN992" s="69" t="inlineStr">
        <is>
          <t>Charles Henry Evans</t>
        </is>
      </c>
      <c r="BO992" s="69" t="inlineStr">
        <is>
          <t>CIII Capital</t>
        </is>
      </c>
      <c r="BP992" s="69" t="inlineStr">
        <is>
          <t>TriMont Real Estate Advisors</t>
        </is>
      </c>
      <c r="BQ992" s="69" t="inlineStr">
        <is>
          <t>K-Star Asset Management LLC</t>
        </is>
      </c>
      <c r="BR992" s="69" t="n"/>
      <c r="BS992" s="73" t="n">
        <v>46276</v>
      </c>
      <c r="BU992" s="76">
        <f>IF($C992="","",IFERROR(INDEX(dmName,MATCH($C992,dmID,0)),"Unmapped"))</f>
        <v/>
      </c>
      <c r="BV992" s="76">
        <f>IF($C992="","",IFERROR(INDEX(dmEntity,MATCH($C992,dmID,0)),"Unmapped"))</f>
        <v/>
      </c>
      <c r="BW992" s="77">
        <f>IF($C992="","",IFERROR(INDEX(dmVintage,MATCH($C992,dmID,0)),""))</f>
        <v/>
      </c>
      <c r="BX992" s="78">
        <f>IFERROR(INDEX(dmInclude,MATCH($C992,dmID,0)),0)</f>
        <v/>
      </c>
      <c r="BY992" s="78">
        <f>IF(N($I992)&gt;0,1,0)</f>
        <v/>
      </c>
      <c r="BZ992" s="76">
        <f>IF($AJ992="","Other / Leased Fee",IFERROR(INDEX(mapPTGroup,MATCH(LEFT(TRIM($AJ992),2),mapPTCode,0)),"Other / Leased Fee"))</f>
        <v/>
      </c>
      <c r="CA992" s="76">
        <f>IF(TRIM($AF992&amp;"")="","NR",LEFT(TRIM($AF992),2))</f>
        <v/>
      </c>
      <c r="CB992" s="76">
        <f>IFERROR(LOOKUP(2,1/(LEFT(TRIM($AI992&amp;""),LEN(mapRegion))=mapRegion),mapRegion),"Not Reported")</f>
        <v/>
      </c>
      <c r="CC992" s="76">
        <f>IF($BY992=0,"",IF(TRIM($W992&amp;"")="REO","REO",IF(TRIM($W992&amp;"")="FC","Foreclosure",IF(TRIM($W992&amp;"")="90+","90+ Days Delinquent",IF(TRIM($W992&amp;"")="60","60 Days Delinquent",IF(TRIM($W992&amp;"")="30","30 Days Delinquent",IF($X992="Non-Performing Matured Balloon","Non-Performing Matured Balloon",IF(OR($X992="Late Payment But Less Than 30 Days Delinquent",LEFT($X992&amp;"",20)="Payment Not Received"),"Late / In Grace (&lt;30 Days)",IF($X992="Performing Matured Balloon","Performing Matured Balloon","Current")))))))))</f>
        <v/>
      </c>
      <c r="CD992" s="78">
        <f>IF(OR($CC992="REO",$CC992="Foreclosure",$CC992="90+ Days Delinquent",$CC992="60 Days Delinquent",$CC992="30 Days Delinquent",$CC992="Non-Performing Matured Balloon"),1,0)</f>
        <v/>
      </c>
      <c r="CE992" s="76">
        <f>IF($AB992="Currently special serv","Currently Specially Serviced",IF($AB992="Returned to master serv","Previously Specially Serviced","Never Specially Serviced"))</f>
        <v/>
      </c>
      <c r="CF992" s="78">
        <f>IF($CE992="Currently Specially Serviced",1,0)</f>
        <v/>
      </c>
      <c r="CG992" s="76">
        <f>IF($AA992="Yes","Currently on Watchlist",IF($AA992="Previously","Previously on Watchlist","Never on Watchlist"))</f>
        <v/>
      </c>
      <c r="CH992" s="78">
        <f>IF($CG992="Currently on Watchlist",1,0)</f>
        <v/>
      </c>
      <c r="CI992" s="76">
        <f>IF($Z992="Full Defeasance","Fully Defeased",IF($Z992="Portion Of Loan Previously Defeased","Partially Defeased",IF($Z992="Defeasance Not Allowable","Not Defeased (Not Permitted)","Not Defeased")))</f>
        <v/>
      </c>
      <c r="CJ992" s="78">
        <f>IF($CI992="Fully Defeased",1,0)</f>
        <v/>
      </c>
      <c r="CK992" s="76">
        <f>IF($R992="IO","Full IO",IF(LEFT($R992&amp;"",7)="IO then","Partial IO","Amortizing"))</f>
        <v/>
      </c>
      <c r="CL992" s="78">
        <f>IF($CK992="Full IO",1,0)</f>
        <v/>
      </c>
      <c r="CM992" s="78">
        <f>IF($CK992="Partial IO",1,0)</f>
        <v/>
      </c>
      <c r="CN992" s="76">
        <f>IF(LEFT($F992&amp;"",10)="SPLIT_LOAN","Pari Passu Split","Standalone")</f>
        <v/>
      </c>
      <c r="CO992" s="78">
        <f>IF($CN992="Pari Passu Split",1,0)</f>
        <v/>
      </c>
      <c r="CP992" s="77">
        <f>IF(ISNUMBER($T992),YEAR($T992),"")</f>
        <v/>
      </c>
      <c r="CQ992" s="79">
        <f>IF(ISNUMBER($V992),$V992,IF(ISNUMBER($U992),$U992,""))</f>
        <v/>
      </c>
      <c r="CR992" s="77">
        <f>IF(ISNUMBER($CQ992),YEAR($CQ992),"")</f>
        <v/>
      </c>
      <c r="CS992" s="78">
        <f>IF(ISNUMBER($M992),MAX(0,$M992),IF(TRIM($M992&amp;"")="matured",0,""))</f>
        <v/>
      </c>
      <c r="CT992" s="78">
        <f>IF(AND(ISNUMBER($CS992),N($CS992)&lt;=mMatWindow),1,0)</f>
        <v/>
      </c>
      <c r="CU992" s="80">
        <f>IF(ISNUMBER($J992),$J992/100,"")</f>
        <v/>
      </c>
      <c r="CV992" s="81">
        <f>IF(ISNUMBER($AQ992),$AQ992,"")</f>
        <v/>
      </c>
      <c r="CW992" s="81">
        <f>IF(ISNUMBER($AR992),$AR992,"")</f>
        <v/>
      </c>
      <c r="CX992" s="82">
        <f>IF(ISNUMBER($AS992),$AS992/100,"")</f>
        <v/>
      </c>
      <c r="CY992" s="82">
        <f>IF(ISNUMBER($AT992),$AT992/100,"")</f>
        <v/>
      </c>
      <c r="CZ992" s="82">
        <f>IF(ISNUMBER($AU992),$AU992/100,"")</f>
        <v/>
      </c>
      <c r="DA992" s="82">
        <f>IF(ISNUMBER($AV992),$AV992/100,"")</f>
        <v/>
      </c>
      <c r="DB992" s="82">
        <f>IF(ISNUMBER($AW992),$AW992/100,"")</f>
        <v/>
      </c>
      <c r="DC992" s="82">
        <f>IF(ISNUMBER($AX992),$AX992/100,"")</f>
        <v/>
      </c>
      <c r="DD992" s="77">
        <f>IFERROR(VALUE(LEFT(TRIM($AO992&amp;""),4)),"")</f>
        <v/>
      </c>
      <c r="DE992" s="78">
        <f>IF(AND($BY992=1,$BX992=1,OR(fDeal="All Deals",$BU992=fDeal),OR(fEntity="All Entities",$BV992=fEntity),OR(fPType="All Property Types",$BZ992=fPType),OR(fDefeased="Include",$CJ992=0)),1,0)</f>
        <v/>
      </c>
      <c r="DF992" s="83">
        <f>$DE992*N($I992)</f>
        <v/>
      </c>
      <c r="DG992" s="78">
        <f>IF($DE992=1,IF(COUNTIFS($F$8:$F992,$F992,$DE$8:$DE992,1)=1,1,0),0)</f>
        <v/>
      </c>
      <c r="DH992" s="83">
        <f>IF($DG992=1,SUMIFS($DF$8:$DF$1600,$F$8:$F$1600,$F992),0)</f>
        <v/>
      </c>
      <c r="DI992" s="78">
        <f>IF($DG992=1,COUNTIFS($F$8:$F$1600,$F992,$DE$8:$DE$1600,1),0)</f>
        <v/>
      </c>
      <c r="DJ992" s="84">
        <f>IF($DG992=1,$DH992+(100000-ROW())/mTieBreak,0)</f>
        <v/>
      </c>
    </row>
    <row r="993">
      <c r="B993" s="68" t="n">
        <v>53</v>
      </c>
      <c r="C993" s="69" t="inlineStr">
        <is>
          <t>WFC18C43</t>
        </is>
      </c>
      <c r="D993" s="69" t="inlineStr">
        <is>
          <t>53.000</t>
        </is>
      </c>
      <c r="E993" s="69" t="inlineStr">
        <is>
          <t>Emerald Hills Shopping Center</t>
        </is>
      </c>
      <c r="F993" s="69" t="inlineStr">
        <is>
          <t>LNWFC18C43-53.000</t>
        </is>
      </c>
      <c r="G993" s="70" t="n"/>
      <c r="H993" s="71" t="n">
        <v>2700000</v>
      </c>
      <c r="I993" s="71" t="n">
        <v>2342698.7800005</v>
      </c>
      <c r="J993" s="72" t="n">
        <v>5.55</v>
      </c>
      <c r="K993" s="69" t="inlineStr">
        <is>
          <t>Fixed rate</t>
        </is>
      </c>
      <c r="L993" s="68" t="n">
        <v>120</v>
      </c>
      <c r="M993" s="68" t="n">
        <v>18</v>
      </c>
      <c r="N993" s="68" t="n">
        <v>360</v>
      </c>
      <c r="O993" s="68" t="n"/>
      <c r="P993" s="68" t="n"/>
      <c r="Q993" s="68" t="n">
        <v>102</v>
      </c>
      <c r="R993" s="69" t="n"/>
      <c r="S993" s="69" t="inlineStr">
        <is>
          <t>No</t>
        </is>
      </c>
      <c r="T993" s="73" t="n">
        <v>43160</v>
      </c>
      <c r="U993" s="73" t="n">
        <v>46823</v>
      </c>
      <c r="V993" s="73" t="n"/>
      <c r="W993" s="69" t="n"/>
      <c r="X993" s="69" t="inlineStr">
        <is>
          <t>Current</t>
        </is>
      </c>
      <c r="Y993" s="68" t="n"/>
      <c r="Z993" s="69" t="inlineStr">
        <is>
          <t>No Defeasance Occurred</t>
        </is>
      </c>
      <c r="AA993" s="69" t="inlineStr">
        <is>
          <t>Yes</t>
        </is>
      </c>
      <c r="AB993" s="69" t="inlineStr">
        <is>
          <t>Never special serv</t>
        </is>
      </c>
      <c r="AC993" s="73" t="n"/>
      <c r="AD993" s="69" t="n"/>
      <c r="AE993" s="69" t="n"/>
      <c r="AF993" s="69" t="inlineStr">
        <is>
          <t>IL</t>
        </is>
      </c>
      <c r="AG993" s="69" t="inlineStr">
        <is>
          <t>Streamwood</t>
        </is>
      </c>
      <c r="AH993" s="69" t="inlineStr">
        <is>
          <t>Chicago-Naperville-Elgin, IL-IN</t>
        </is>
      </c>
      <c r="AI993" s="69" t="inlineStr">
        <is>
          <t>Midwest / Central East</t>
        </is>
      </c>
      <c r="AJ993" s="69" t="inlineStr">
        <is>
          <t>RT</t>
        </is>
      </c>
      <c r="AK993" s="69" t="inlineStr">
        <is>
          <t>Unanchored</t>
        </is>
      </c>
      <c r="AL993" s="68" t="n">
        <v>1</v>
      </c>
      <c r="AM993" s="68" t="n"/>
      <c r="AN993" s="68" t="n">
        <v>20604</v>
      </c>
      <c r="AO993" s="69" t="inlineStr">
        <is>
          <t>2000</t>
        </is>
      </c>
      <c r="AP993" s="70" t="n">
        <v>2000</v>
      </c>
      <c r="AQ993" s="74" t="n">
        <v>1.39</v>
      </c>
      <c r="AR993" s="74" t="n">
        <v>1.48</v>
      </c>
      <c r="AS993" s="74" t="n">
        <v>63.1</v>
      </c>
      <c r="AT993" s="74" t="n">
        <v>54.74</v>
      </c>
      <c r="AU993" s="74" t="n">
        <v>52.8</v>
      </c>
      <c r="AV993" s="74" t="n">
        <v>9.526834444</v>
      </c>
      <c r="AW993" s="74" t="n">
        <v>11.827891932</v>
      </c>
      <c r="AX993" s="75" t="n">
        <v>100</v>
      </c>
      <c r="AY993" s="71" t="n">
        <v>4280000</v>
      </c>
      <c r="AZ993" s="71" t="n">
        <v>4280000</v>
      </c>
      <c r="BA993" s="71" t="n">
        <v>257224.53</v>
      </c>
      <c r="BB993" s="71" t="n">
        <v>68444</v>
      </c>
      <c r="BC993" s="69" t="inlineStr">
        <is>
          <t>Refinance</t>
        </is>
      </c>
      <c r="BD993" s="69" t="inlineStr">
        <is>
          <t>N</t>
        </is>
      </c>
      <c r="BE993" s="71" t="n"/>
      <c r="BF993" s="71" t="n"/>
      <c r="BG993" s="71" t="n"/>
      <c r="BH993" s="71" t="n">
        <v>0</v>
      </c>
      <c r="BI993" s="71" t="n">
        <v>0</v>
      </c>
      <c r="BJ993" s="69" t="inlineStr">
        <is>
          <t>N</t>
        </is>
      </c>
      <c r="BK993" s="69" t="inlineStr">
        <is>
          <t>My Cocina</t>
        </is>
      </c>
      <c r="BL993" s="75" t="n">
        <v>11.9</v>
      </c>
      <c r="BM993" s="73" t="n">
        <v>47300</v>
      </c>
      <c r="BN993" s="69" t="inlineStr">
        <is>
          <t>George Koufos; Malisa Jackson</t>
        </is>
      </c>
      <c r="BO993" s="69" t="inlineStr">
        <is>
          <t>CIII Capital</t>
        </is>
      </c>
      <c r="BP993" s="69" t="inlineStr">
        <is>
          <t>TriMont Real Estate Advisors</t>
        </is>
      </c>
      <c r="BQ993" s="69" t="inlineStr">
        <is>
          <t>K-Star Asset Management LLC</t>
        </is>
      </c>
      <c r="BR993" s="69" t="n"/>
      <c r="BS993" s="73" t="n">
        <v>46276</v>
      </c>
      <c r="BU993" s="76">
        <f>IF($C993="","",IFERROR(INDEX(dmName,MATCH($C993,dmID,0)),"Unmapped"))</f>
        <v/>
      </c>
      <c r="BV993" s="76">
        <f>IF($C993="","",IFERROR(INDEX(dmEntity,MATCH($C993,dmID,0)),"Unmapped"))</f>
        <v/>
      </c>
      <c r="BW993" s="77">
        <f>IF($C993="","",IFERROR(INDEX(dmVintage,MATCH($C993,dmID,0)),""))</f>
        <v/>
      </c>
      <c r="BX993" s="78">
        <f>IFERROR(INDEX(dmInclude,MATCH($C993,dmID,0)),0)</f>
        <v/>
      </c>
      <c r="BY993" s="78">
        <f>IF(N($I993)&gt;0,1,0)</f>
        <v/>
      </c>
      <c r="BZ993" s="76">
        <f>IF($AJ993="","Other / Leased Fee",IFERROR(INDEX(mapPTGroup,MATCH(LEFT(TRIM($AJ993),2),mapPTCode,0)),"Other / Leased Fee"))</f>
        <v/>
      </c>
      <c r="CA993" s="76">
        <f>IF(TRIM($AF993&amp;"")="","NR",LEFT(TRIM($AF993),2))</f>
        <v/>
      </c>
      <c r="CB993" s="76">
        <f>IFERROR(LOOKUP(2,1/(LEFT(TRIM($AI993&amp;""),LEN(mapRegion))=mapRegion),mapRegion),"Not Reported")</f>
        <v/>
      </c>
      <c r="CC993" s="76">
        <f>IF($BY993=0,"",IF(TRIM($W993&amp;"")="REO","REO",IF(TRIM($W993&amp;"")="FC","Foreclosure",IF(TRIM($W993&amp;"")="90+","90+ Days Delinquent",IF(TRIM($W993&amp;"")="60","60 Days Delinquent",IF(TRIM($W993&amp;"")="30","30 Days Delinquent",IF($X993="Non-Performing Matured Balloon","Non-Performing Matured Balloon",IF(OR($X993="Late Payment But Less Than 30 Days Delinquent",LEFT($X993&amp;"",20)="Payment Not Received"),"Late / In Grace (&lt;30 Days)",IF($X993="Performing Matured Balloon","Performing Matured Balloon","Current")))))))))</f>
        <v/>
      </c>
      <c r="CD993" s="78">
        <f>IF(OR($CC993="REO",$CC993="Foreclosure",$CC993="90+ Days Delinquent",$CC993="60 Days Delinquent",$CC993="30 Days Delinquent",$CC993="Non-Performing Matured Balloon"),1,0)</f>
        <v/>
      </c>
      <c r="CE993" s="76">
        <f>IF($AB993="Currently special serv","Currently Specially Serviced",IF($AB993="Returned to master serv","Previously Specially Serviced","Never Specially Serviced"))</f>
        <v/>
      </c>
      <c r="CF993" s="78">
        <f>IF($CE993="Currently Specially Serviced",1,0)</f>
        <v/>
      </c>
      <c r="CG993" s="76">
        <f>IF($AA993="Yes","Currently on Watchlist",IF($AA993="Previously","Previously on Watchlist","Never on Watchlist"))</f>
        <v/>
      </c>
      <c r="CH993" s="78">
        <f>IF($CG993="Currently on Watchlist",1,0)</f>
        <v/>
      </c>
      <c r="CI993" s="76">
        <f>IF($Z993="Full Defeasance","Fully Defeased",IF($Z993="Portion Of Loan Previously Defeased","Partially Defeased",IF($Z993="Defeasance Not Allowable","Not Defeased (Not Permitted)","Not Defeased")))</f>
        <v/>
      </c>
      <c r="CJ993" s="78">
        <f>IF($CI993="Fully Defeased",1,0)</f>
        <v/>
      </c>
      <c r="CK993" s="76">
        <f>IF($R993="IO","Full IO",IF(LEFT($R993&amp;"",7)="IO then","Partial IO","Amortizing"))</f>
        <v/>
      </c>
      <c r="CL993" s="78">
        <f>IF($CK993="Full IO",1,0)</f>
        <v/>
      </c>
      <c r="CM993" s="78">
        <f>IF($CK993="Partial IO",1,0)</f>
        <v/>
      </c>
      <c r="CN993" s="76">
        <f>IF(LEFT($F993&amp;"",10)="SPLIT_LOAN","Pari Passu Split","Standalone")</f>
        <v/>
      </c>
      <c r="CO993" s="78">
        <f>IF($CN993="Pari Passu Split",1,0)</f>
        <v/>
      </c>
      <c r="CP993" s="77">
        <f>IF(ISNUMBER($T993),YEAR($T993),"")</f>
        <v/>
      </c>
      <c r="CQ993" s="79">
        <f>IF(ISNUMBER($V993),$V993,IF(ISNUMBER($U993),$U993,""))</f>
        <v/>
      </c>
      <c r="CR993" s="77">
        <f>IF(ISNUMBER($CQ993),YEAR($CQ993),"")</f>
        <v/>
      </c>
      <c r="CS993" s="78">
        <f>IF(ISNUMBER($M993),MAX(0,$M993),IF(TRIM($M993&amp;"")="matured",0,""))</f>
        <v/>
      </c>
      <c r="CT993" s="78">
        <f>IF(AND(ISNUMBER($CS993),N($CS993)&lt;=mMatWindow),1,0)</f>
        <v/>
      </c>
      <c r="CU993" s="80">
        <f>IF(ISNUMBER($J993),$J993/100,"")</f>
        <v/>
      </c>
      <c r="CV993" s="81">
        <f>IF(ISNUMBER($AQ993),$AQ993,"")</f>
        <v/>
      </c>
      <c r="CW993" s="81">
        <f>IF(ISNUMBER($AR993),$AR993,"")</f>
        <v/>
      </c>
      <c r="CX993" s="82">
        <f>IF(ISNUMBER($AS993),$AS993/100,"")</f>
        <v/>
      </c>
      <c r="CY993" s="82">
        <f>IF(ISNUMBER($AT993),$AT993/100,"")</f>
        <v/>
      </c>
      <c r="CZ993" s="82">
        <f>IF(ISNUMBER($AU993),$AU993/100,"")</f>
        <v/>
      </c>
      <c r="DA993" s="82">
        <f>IF(ISNUMBER($AV993),$AV993/100,"")</f>
        <v/>
      </c>
      <c r="DB993" s="82">
        <f>IF(ISNUMBER($AW993),$AW993/100,"")</f>
        <v/>
      </c>
      <c r="DC993" s="82">
        <f>IF(ISNUMBER($AX993),$AX993/100,"")</f>
        <v/>
      </c>
      <c r="DD993" s="77">
        <f>IFERROR(VALUE(LEFT(TRIM($AO993&amp;""),4)),"")</f>
        <v/>
      </c>
      <c r="DE993" s="78">
        <f>IF(AND($BY993=1,$BX993=1,OR(fDeal="All Deals",$BU993=fDeal),OR(fEntity="All Entities",$BV993=fEntity),OR(fPType="All Property Types",$BZ993=fPType),OR(fDefeased="Include",$CJ993=0)),1,0)</f>
        <v/>
      </c>
      <c r="DF993" s="83">
        <f>$DE993*N($I993)</f>
        <v/>
      </c>
      <c r="DG993" s="78">
        <f>IF($DE993=1,IF(COUNTIFS($F$8:$F993,$F993,$DE$8:$DE993,1)=1,1,0),0)</f>
        <v/>
      </c>
      <c r="DH993" s="83">
        <f>IF($DG993=1,SUMIFS($DF$8:$DF$1600,$F$8:$F$1600,$F993),0)</f>
        <v/>
      </c>
      <c r="DI993" s="78">
        <f>IF($DG993=1,COUNTIFS($F$8:$F$1600,$F993,$DE$8:$DE$1600,1),0)</f>
        <v/>
      </c>
      <c r="DJ993" s="84">
        <f>IF($DG993=1,$DH993+(100000-ROW())/mTieBreak,0)</f>
        <v/>
      </c>
    </row>
    <row r="994">
      <c r="B994" s="68" t="n">
        <v>54</v>
      </c>
      <c r="C994" s="69" t="inlineStr">
        <is>
          <t>WFC18C43</t>
        </is>
      </c>
      <c r="D994" s="69" t="inlineStr">
        <is>
          <t>54.000</t>
        </is>
      </c>
      <c r="E994" s="69" t="inlineStr">
        <is>
          <t>D&amp;B Storage</t>
        </is>
      </c>
      <c r="F994" s="69" t="inlineStr">
        <is>
          <t>LNWFC18C43-54.000</t>
        </is>
      </c>
      <c r="G994" s="70" t="n"/>
      <c r="H994" s="71" t="n">
        <v>2700000</v>
      </c>
      <c r="I994" s="71" t="n">
        <v>2320306.6199994</v>
      </c>
      <c r="J994" s="72" t="n">
        <v>5.35</v>
      </c>
      <c r="K994" s="69" t="inlineStr">
        <is>
          <t>Fixed rate</t>
        </is>
      </c>
      <c r="L994" s="68" t="n">
        <v>120</v>
      </c>
      <c r="M994" s="68" t="n">
        <v>16</v>
      </c>
      <c r="N994" s="68" t="n">
        <v>360</v>
      </c>
      <c r="O994" s="68" t="n"/>
      <c r="P994" s="68" t="n"/>
      <c r="Q994" s="68" t="n">
        <v>104</v>
      </c>
      <c r="R994" s="69" t="n"/>
      <c r="S994" s="69" t="inlineStr">
        <is>
          <t>No</t>
        </is>
      </c>
      <c r="T994" s="73" t="n">
        <v>43101</v>
      </c>
      <c r="U994" s="73" t="n">
        <v>46763</v>
      </c>
      <c r="V994" s="73" t="n"/>
      <c r="W994" s="69" t="n"/>
      <c r="X994" s="69" t="inlineStr">
        <is>
          <t>Current</t>
        </is>
      </c>
      <c r="Y994" s="68" t="n"/>
      <c r="Z994" s="69" t="inlineStr">
        <is>
          <t>Full Defeasance</t>
        </is>
      </c>
      <c r="AA994" s="69" t="n"/>
      <c r="AB994" s="69" t="inlineStr">
        <is>
          <t>Never special serv</t>
        </is>
      </c>
      <c r="AC994" s="73" t="n"/>
      <c r="AD994" s="69" t="n"/>
      <c r="AE994" s="69" t="n"/>
      <c r="AF994" s="69" t="inlineStr">
        <is>
          <t>CA</t>
        </is>
      </c>
      <c r="AG994" s="69" t="inlineStr">
        <is>
          <t>Crescent City</t>
        </is>
      </c>
      <c r="AH994" s="69" t="inlineStr">
        <is>
          <t>Crescent City, CA</t>
        </is>
      </c>
      <c r="AI994" s="69" t="inlineStr">
        <is>
          <t>West / Pacific North</t>
        </is>
      </c>
      <c r="AJ994" s="69" t="inlineStr">
        <is>
          <t>SS</t>
        </is>
      </c>
      <c r="AK994" s="69" t="n"/>
      <c r="AL994" s="68" t="n">
        <v>1</v>
      </c>
      <c r="AM994" s="68" t="n"/>
      <c r="AN994" s="68" t="n">
        <v>54364</v>
      </c>
      <c r="AO994" s="69" t="inlineStr">
        <is>
          <t>1995</t>
        </is>
      </c>
      <c r="AP994" s="70" t="n">
        <v>2017</v>
      </c>
      <c r="AQ994" s="74" t="n">
        <v>1.35</v>
      </c>
      <c r="AR994" s="74" t="n">
        <v>2.36</v>
      </c>
      <c r="AS994" s="74" t="n">
        <v>65.5</v>
      </c>
      <c r="AT994" s="74" t="n">
        <v>56.46</v>
      </c>
      <c r="AU994" s="74" t="n">
        <v>54.6</v>
      </c>
      <c r="AV994" s="74" t="n">
        <v>9.077199630000001</v>
      </c>
      <c r="AW994" s="74" t="n">
        <v>11.160753401</v>
      </c>
      <c r="AX994" s="75" t="n">
        <v>96</v>
      </c>
      <c r="AY994" s="71" t="n">
        <v>4110000</v>
      </c>
      <c r="AZ994" s="71" t="n">
        <v>4110000</v>
      </c>
      <c r="BA994" s="71" t="n">
        <v>245084.39</v>
      </c>
      <c r="BB994" s="71" t="n">
        <v>320334.97</v>
      </c>
      <c r="BC994" s="69" t="inlineStr">
        <is>
          <t>Refinance</t>
        </is>
      </c>
      <c r="BD994" s="69" t="inlineStr">
        <is>
          <t>N</t>
        </is>
      </c>
      <c r="BE994" s="71" t="n"/>
      <c r="BF994" s="71" t="n"/>
      <c r="BG994" s="71" t="n"/>
      <c r="BH994" s="71" t="n">
        <v>0</v>
      </c>
      <c r="BI994" s="71" t="n">
        <v>0</v>
      </c>
      <c r="BJ994" s="69" t="inlineStr">
        <is>
          <t>N</t>
        </is>
      </c>
      <c r="BK994" s="69" t="n"/>
      <c r="BL994" s="75" t="n"/>
      <c r="BM994" s="73" t="n"/>
      <c r="BN994" s="69" t="inlineStr">
        <is>
          <t>Matthew Ricciardella</t>
        </is>
      </c>
      <c r="BO994" s="69" t="inlineStr">
        <is>
          <t>CIII Capital</t>
        </is>
      </c>
      <c r="BP994" s="69" t="inlineStr">
        <is>
          <t>TriMont Real Estate Advisors</t>
        </is>
      </c>
      <c r="BQ994" s="69" t="inlineStr">
        <is>
          <t>K-Star Asset Management LLC</t>
        </is>
      </c>
      <c r="BR994" s="69" t="n"/>
      <c r="BS994" s="73" t="n">
        <v>46276</v>
      </c>
      <c r="BU994" s="76">
        <f>IF($C994="","",IFERROR(INDEX(dmName,MATCH($C994,dmID,0)),"Unmapped"))</f>
        <v/>
      </c>
      <c r="BV994" s="76">
        <f>IF($C994="","",IFERROR(INDEX(dmEntity,MATCH($C994,dmID,0)),"Unmapped"))</f>
        <v/>
      </c>
      <c r="BW994" s="77">
        <f>IF($C994="","",IFERROR(INDEX(dmVintage,MATCH($C994,dmID,0)),""))</f>
        <v/>
      </c>
      <c r="BX994" s="78">
        <f>IFERROR(INDEX(dmInclude,MATCH($C994,dmID,0)),0)</f>
        <v/>
      </c>
      <c r="BY994" s="78">
        <f>IF(N($I994)&gt;0,1,0)</f>
        <v/>
      </c>
      <c r="BZ994" s="76">
        <f>IF($AJ994="","Other / Leased Fee",IFERROR(INDEX(mapPTGroup,MATCH(LEFT(TRIM($AJ994),2),mapPTCode,0)),"Other / Leased Fee"))</f>
        <v/>
      </c>
      <c r="CA994" s="76">
        <f>IF(TRIM($AF994&amp;"")="","NR",LEFT(TRIM($AF994),2))</f>
        <v/>
      </c>
      <c r="CB994" s="76">
        <f>IFERROR(LOOKUP(2,1/(LEFT(TRIM($AI994&amp;""),LEN(mapRegion))=mapRegion),mapRegion),"Not Reported")</f>
        <v/>
      </c>
      <c r="CC994" s="76">
        <f>IF($BY994=0,"",IF(TRIM($W994&amp;"")="REO","REO",IF(TRIM($W994&amp;"")="FC","Foreclosure",IF(TRIM($W994&amp;"")="90+","90+ Days Delinquent",IF(TRIM($W994&amp;"")="60","60 Days Delinquent",IF(TRIM($W994&amp;"")="30","30 Days Delinquent",IF($X994="Non-Performing Matured Balloon","Non-Performing Matured Balloon",IF(OR($X994="Late Payment But Less Than 30 Days Delinquent",LEFT($X994&amp;"",20)="Payment Not Received"),"Late / In Grace (&lt;30 Days)",IF($X994="Performing Matured Balloon","Performing Matured Balloon","Current")))))))))</f>
        <v/>
      </c>
      <c r="CD994" s="78">
        <f>IF(OR($CC994="REO",$CC994="Foreclosure",$CC994="90+ Days Delinquent",$CC994="60 Days Delinquent",$CC994="30 Days Delinquent",$CC994="Non-Performing Matured Balloon"),1,0)</f>
        <v/>
      </c>
      <c r="CE994" s="76">
        <f>IF($AB994="Currently special serv","Currently Specially Serviced",IF($AB994="Returned to master serv","Previously Specially Serviced","Never Specially Serviced"))</f>
        <v/>
      </c>
      <c r="CF994" s="78">
        <f>IF($CE994="Currently Specially Serviced",1,0)</f>
        <v/>
      </c>
      <c r="CG994" s="76">
        <f>IF($AA994="Yes","Currently on Watchlist",IF($AA994="Previously","Previously on Watchlist","Never on Watchlist"))</f>
        <v/>
      </c>
      <c r="CH994" s="78">
        <f>IF($CG994="Currently on Watchlist",1,0)</f>
        <v/>
      </c>
      <c r="CI994" s="76">
        <f>IF($Z994="Full Defeasance","Fully Defeased",IF($Z994="Portion Of Loan Previously Defeased","Partially Defeased",IF($Z994="Defeasance Not Allowable","Not Defeased (Not Permitted)","Not Defeased")))</f>
        <v/>
      </c>
      <c r="CJ994" s="78">
        <f>IF($CI994="Fully Defeased",1,0)</f>
        <v/>
      </c>
      <c r="CK994" s="76">
        <f>IF($R994="IO","Full IO",IF(LEFT($R994&amp;"",7)="IO then","Partial IO","Amortizing"))</f>
        <v/>
      </c>
      <c r="CL994" s="78">
        <f>IF($CK994="Full IO",1,0)</f>
        <v/>
      </c>
      <c r="CM994" s="78">
        <f>IF($CK994="Partial IO",1,0)</f>
        <v/>
      </c>
      <c r="CN994" s="76">
        <f>IF(LEFT($F994&amp;"",10)="SPLIT_LOAN","Pari Passu Split","Standalone")</f>
        <v/>
      </c>
      <c r="CO994" s="78">
        <f>IF($CN994="Pari Passu Split",1,0)</f>
        <v/>
      </c>
      <c r="CP994" s="77">
        <f>IF(ISNUMBER($T994),YEAR($T994),"")</f>
        <v/>
      </c>
      <c r="CQ994" s="79">
        <f>IF(ISNUMBER($V994),$V994,IF(ISNUMBER($U994),$U994,""))</f>
        <v/>
      </c>
      <c r="CR994" s="77">
        <f>IF(ISNUMBER($CQ994),YEAR($CQ994),"")</f>
        <v/>
      </c>
      <c r="CS994" s="78">
        <f>IF(ISNUMBER($M994),MAX(0,$M994),IF(TRIM($M994&amp;"")="matured",0,""))</f>
        <v/>
      </c>
      <c r="CT994" s="78">
        <f>IF(AND(ISNUMBER($CS994),N($CS994)&lt;=mMatWindow),1,0)</f>
        <v/>
      </c>
      <c r="CU994" s="80">
        <f>IF(ISNUMBER($J994),$J994/100,"")</f>
        <v/>
      </c>
      <c r="CV994" s="81">
        <f>IF(ISNUMBER($AQ994),$AQ994,"")</f>
        <v/>
      </c>
      <c r="CW994" s="81">
        <f>IF(ISNUMBER($AR994),$AR994,"")</f>
        <v/>
      </c>
      <c r="CX994" s="82">
        <f>IF(ISNUMBER($AS994),$AS994/100,"")</f>
        <v/>
      </c>
      <c r="CY994" s="82">
        <f>IF(ISNUMBER($AT994),$AT994/100,"")</f>
        <v/>
      </c>
      <c r="CZ994" s="82">
        <f>IF(ISNUMBER($AU994),$AU994/100,"")</f>
        <v/>
      </c>
      <c r="DA994" s="82">
        <f>IF(ISNUMBER($AV994),$AV994/100,"")</f>
        <v/>
      </c>
      <c r="DB994" s="82">
        <f>IF(ISNUMBER($AW994),$AW994/100,"")</f>
        <v/>
      </c>
      <c r="DC994" s="82">
        <f>IF(ISNUMBER($AX994),$AX994/100,"")</f>
        <v/>
      </c>
      <c r="DD994" s="77">
        <f>IFERROR(VALUE(LEFT(TRIM($AO994&amp;""),4)),"")</f>
        <v/>
      </c>
      <c r="DE994" s="78">
        <f>IF(AND($BY994=1,$BX994=1,OR(fDeal="All Deals",$BU994=fDeal),OR(fEntity="All Entities",$BV994=fEntity),OR(fPType="All Property Types",$BZ994=fPType),OR(fDefeased="Include",$CJ994=0)),1,0)</f>
        <v/>
      </c>
      <c r="DF994" s="83">
        <f>$DE994*N($I994)</f>
        <v/>
      </c>
      <c r="DG994" s="78">
        <f>IF($DE994=1,IF(COUNTIFS($F$8:$F994,$F994,$DE$8:$DE994,1)=1,1,0),0)</f>
        <v/>
      </c>
      <c r="DH994" s="83">
        <f>IF($DG994=1,SUMIFS($DF$8:$DF$1600,$F$8:$F$1600,$F994),0)</f>
        <v/>
      </c>
      <c r="DI994" s="78">
        <f>IF($DG994=1,COUNTIFS($F$8:$F$1600,$F994,$DE$8:$DE$1600,1),0)</f>
        <v/>
      </c>
      <c r="DJ994" s="84">
        <f>IF($DG994=1,$DH994+(100000-ROW())/mTieBreak,0)</f>
        <v/>
      </c>
    </row>
    <row r="995">
      <c r="B995" s="68" t="n">
        <v>55</v>
      </c>
      <c r="C995" s="69" t="inlineStr">
        <is>
          <t>WFC18C43</t>
        </is>
      </c>
      <c r="D995" s="69" t="inlineStr">
        <is>
          <t>55.000</t>
        </is>
      </c>
      <c r="E995" s="69" t="inlineStr">
        <is>
          <t>Tallahatchie Self Storage</t>
        </is>
      </c>
      <c r="F995" s="69" t="inlineStr">
        <is>
          <t>LNWFC18C43-55.000</t>
        </is>
      </c>
      <c r="G995" s="70" t="n"/>
      <c r="H995" s="71" t="n">
        <v>2625000</v>
      </c>
      <c r="I995" s="71" t="n">
        <v>2249211.870000375</v>
      </c>
      <c r="J995" s="72" t="n">
        <v>5.24</v>
      </c>
      <c r="K995" s="69" t="inlineStr">
        <is>
          <t>Fixed rate</t>
        </is>
      </c>
      <c r="L995" s="68" t="n">
        <v>120</v>
      </c>
      <c r="M995" s="68" t="n">
        <v>16</v>
      </c>
      <c r="N995" s="68" t="n">
        <v>360</v>
      </c>
      <c r="O995" s="68" t="n"/>
      <c r="P995" s="68" t="n"/>
      <c r="Q995" s="68" t="n">
        <v>104</v>
      </c>
      <c r="R995" s="69" t="n"/>
      <c r="S995" s="69" t="inlineStr">
        <is>
          <t>No</t>
        </is>
      </c>
      <c r="T995" s="73" t="n">
        <v>43101</v>
      </c>
      <c r="U995" s="73" t="n">
        <v>46763</v>
      </c>
      <c r="V995" s="73" t="n"/>
      <c r="W995" s="69" t="n"/>
      <c r="X995" s="69" t="inlineStr">
        <is>
          <t>Current</t>
        </is>
      </c>
      <c r="Y995" s="68" t="n"/>
      <c r="Z995" s="69" t="inlineStr">
        <is>
          <t>No Defeasance Occurred</t>
        </is>
      </c>
      <c r="AA995" s="69" t="inlineStr">
        <is>
          <t>Previously</t>
        </is>
      </c>
      <c r="AB995" s="69" t="inlineStr">
        <is>
          <t>Never special serv</t>
        </is>
      </c>
      <c r="AC995" s="73" t="n"/>
      <c r="AD995" s="69" t="n"/>
      <c r="AE995" s="69" t="n"/>
      <c r="AF995" s="69" t="inlineStr">
        <is>
          <t>MS</t>
        </is>
      </c>
      <c r="AG995" s="69" t="inlineStr">
        <is>
          <t>New Albany</t>
        </is>
      </c>
      <c r="AH995" s="69" t="n"/>
      <c r="AI995" s="69" t="inlineStr">
        <is>
          <t>South / Central East</t>
        </is>
      </c>
      <c r="AJ995" s="69" t="inlineStr">
        <is>
          <t>SS</t>
        </is>
      </c>
      <c r="AK995" s="69" t="n"/>
      <c r="AL995" s="68" t="n">
        <v>1</v>
      </c>
      <c r="AM995" s="68" t="n"/>
      <c r="AN995" s="68" t="n">
        <v>86400</v>
      </c>
      <c r="AO995" s="69" t="inlineStr">
        <is>
          <t>2000</t>
        </is>
      </c>
      <c r="AP995" s="70" t="n">
        <v>2000</v>
      </c>
      <c r="AQ995" s="74" t="n">
        <v>1.6</v>
      </c>
      <c r="AR995" s="74" t="n">
        <v>2.08</v>
      </c>
      <c r="AS995" s="74" t="n">
        <v>56.6</v>
      </c>
      <c r="AT995" s="74" t="n">
        <v>48.58</v>
      </c>
      <c r="AU995" s="74" t="n">
        <v>47</v>
      </c>
      <c r="AV995" s="74" t="n">
        <v>10.599045714</v>
      </c>
      <c r="AW995" s="74" t="n">
        <v>15.828802735</v>
      </c>
      <c r="AX995" s="75" t="n">
        <v>95</v>
      </c>
      <c r="AY995" s="71" t="n">
        <v>4630000</v>
      </c>
      <c r="AZ995" s="71" t="n">
        <v>4630000</v>
      </c>
      <c r="BA995" s="71" t="n">
        <v>278224.95</v>
      </c>
      <c r="BB995" s="71" t="n">
        <v>90495.25999999999</v>
      </c>
      <c r="BC995" s="69" t="inlineStr">
        <is>
          <t>Refinance</t>
        </is>
      </c>
      <c r="BD995" s="69" t="inlineStr">
        <is>
          <t>N</t>
        </is>
      </c>
      <c r="BE995" s="71" t="n"/>
      <c r="BF995" s="71" t="n"/>
      <c r="BG995" s="71" t="n"/>
      <c r="BH995" s="71" t="n">
        <v>0</v>
      </c>
      <c r="BI995" s="71" t="n">
        <v>0</v>
      </c>
      <c r="BJ995" s="69" t="inlineStr">
        <is>
          <t>N</t>
        </is>
      </c>
      <c r="BK995" s="69" t="n"/>
      <c r="BL995" s="75" t="n"/>
      <c r="BM995" s="73" t="n"/>
      <c r="BN995" s="69" t="inlineStr">
        <is>
          <t>John R. Young; Innes T. Mcintyre, III</t>
        </is>
      </c>
      <c r="BO995" s="69" t="inlineStr">
        <is>
          <t>CIII Capital</t>
        </is>
      </c>
      <c r="BP995" s="69" t="inlineStr">
        <is>
          <t>TriMont Real Estate Advisors</t>
        </is>
      </c>
      <c r="BQ995" s="69" t="inlineStr">
        <is>
          <t>K-Star Asset Management LLC</t>
        </is>
      </c>
      <c r="BR995" s="69" t="n"/>
      <c r="BS995" s="73" t="n">
        <v>46276</v>
      </c>
      <c r="BU995" s="76">
        <f>IF($C995="","",IFERROR(INDEX(dmName,MATCH($C995,dmID,0)),"Unmapped"))</f>
        <v/>
      </c>
      <c r="BV995" s="76">
        <f>IF($C995="","",IFERROR(INDEX(dmEntity,MATCH($C995,dmID,0)),"Unmapped"))</f>
        <v/>
      </c>
      <c r="BW995" s="77">
        <f>IF($C995="","",IFERROR(INDEX(dmVintage,MATCH($C995,dmID,0)),""))</f>
        <v/>
      </c>
      <c r="BX995" s="78">
        <f>IFERROR(INDEX(dmInclude,MATCH($C995,dmID,0)),0)</f>
        <v/>
      </c>
      <c r="BY995" s="78">
        <f>IF(N($I995)&gt;0,1,0)</f>
        <v/>
      </c>
      <c r="BZ995" s="76">
        <f>IF($AJ995="","Other / Leased Fee",IFERROR(INDEX(mapPTGroup,MATCH(LEFT(TRIM($AJ995),2),mapPTCode,0)),"Other / Leased Fee"))</f>
        <v/>
      </c>
      <c r="CA995" s="76">
        <f>IF(TRIM($AF995&amp;"")="","NR",LEFT(TRIM($AF995),2))</f>
        <v/>
      </c>
      <c r="CB995" s="76">
        <f>IFERROR(LOOKUP(2,1/(LEFT(TRIM($AI995&amp;""),LEN(mapRegion))=mapRegion),mapRegion),"Not Reported")</f>
        <v/>
      </c>
      <c r="CC995" s="76">
        <f>IF($BY995=0,"",IF(TRIM($W995&amp;"")="REO","REO",IF(TRIM($W995&amp;"")="FC","Foreclosure",IF(TRIM($W995&amp;"")="90+","90+ Days Delinquent",IF(TRIM($W995&amp;"")="60","60 Days Delinquent",IF(TRIM($W995&amp;"")="30","30 Days Delinquent",IF($X995="Non-Performing Matured Balloon","Non-Performing Matured Balloon",IF(OR($X995="Late Payment But Less Than 30 Days Delinquent",LEFT($X995&amp;"",20)="Payment Not Received"),"Late / In Grace (&lt;30 Days)",IF($X995="Performing Matured Balloon","Performing Matured Balloon","Current")))))))))</f>
        <v/>
      </c>
      <c r="CD995" s="78">
        <f>IF(OR($CC995="REO",$CC995="Foreclosure",$CC995="90+ Days Delinquent",$CC995="60 Days Delinquent",$CC995="30 Days Delinquent",$CC995="Non-Performing Matured Balloon"),1,0)</f>
        <v/>
      </c>
      <c r="CE995" s="76">
        <f>IF($AB995="Currently special serv","Currently Specially Serviced",IF($AB995="Returned to master serv","Previously Specially Serviced","Never Specially Serviced"))</f>
        <v/>
      </c>
      <c r="CF995" s="78">
        <f>IF($CE995="Currently Specially Serviced",1,0)</f>
        <v/>
      </c>
      <c r="CG995" s="76">
        <f>IF($AA995="Yes","Currently on Watchlist",IF($AA995="Previously","Previously on Watchlist","Never on Watchlist"))</f>
        <v/>
      </c>
      <c r="CH995" s="78">
        <f>IF($CG995="Currently on Watchlist",1,0)</f>
        <v/>
      </c>
      <c r="CI995" s="76">
        <f>IF($Z995="Full Defeasance","Fully Defeased",IF($Z995="Portion Of Loan Previously Defeased","Partially Defeased",IF($Z995="Defeasance Not Allowable","Not Defeased (Not Permitted)","Not Defeased")))</f>
        <v/>
      </c>
      <c r="CJ995" s="78">
        <f>IF($CI995="Fully Defeased",1,0)</f>
        <v/>
      </c>
      <c r="CK995" s="76">
        <f>IF($R995="IO","Full IO",IF(LEFT($R995&amp;"",7)="IO then","Partial IO","Amortizing"))</f>
        <v/>
      </c>
      <c r="CL995" s="78">
        <f>IF($CK995="Full IO",1,0)</f>
        <v/>
      </c>
      <c r="CM995" s="78">
        <f>IF($CK995="Partial IO",1,0)</f>
        <v/>
      </c>
      <c r="CN995" s="76">
        <f>IF(LEFT($F995&amp;"",10)="SPLIT_LOAN","Pari Passu Split","Standalone")</f>
        <v/>
      </c>
      <c r="CO995" s="78">
        <f>IF($CN995="Pari Passu Split",1,0)</f>
        <v/>
      </c>
      <c r="CP995" s="77">
        <f>IF(ISNUMBER($T995),YEAR($T995),"")</f>
        <v/>
      </c>
      <c r="CQ995" s="79">
        <f>IF(ISNUMBER($V995),$V995,IF(ISNUMBER($U995),$U995,""))</f>
        <v/>
      </c>
      <c r="CR995" s="77">
        <f>IF(ISNUMBER($CQ995),YEAR($CQ995),"")</f>
        <v/>
      </c>
      <c r="CS995" s="78">
        <f>IF(ISNUMBER($M995),MAX(0,$M995),IF(TRIM($M995&amp;"")="matured",0,""))</f>
        <v/>
      </c>
      <c r="CT995" s="78">
        <f>IF(AND(ISNUMBER($CS995),N($CS995)&lt;=mMatWindow),1,0)</f>
        <v/>
      </c>
      <c r="CU995" s="80">
        <f>IF(ISNUMBER($J995),$J995/100,"")</f>
        <v/>
      </c>
      <c r="CV995" s="81">
        <f>IF(ISNUMBER($AQ995),$AQ995,"")</f>
        <v/>
      </c>
      <c r="CW995" s="81">
        <f>IF(ISNUMBER($AR995),$AR995,"")</f>
        <v/>
      </c>
      <c r="CX995" s="82">
        <f>IF(ISNUMBER($AS995),$AS995/100,"")</f>
        <v/>
      </c>
      <c r="CY995" s="82">
        <f>IF(ISNUMBER($AT995),$AT995/100,"")</f>
        <v/>
      </c>
      <c r="CZ995" s="82">
        <f>IF(ISNUMBER($AU995),$AU995/100,"")</f>
        <v/>
      </c>
      <c r="DA995" s="82">
        <f>IF(ISNUMBER($AV995),$AV995/100,"")</f>
        <v/>
      </c>
      <c r="DB995" s="82">
        <f>IF(ISNUMBER($AW995),$AW995/100,"")</f>
        <v/>
      </c>
      <c r="DC995" s="82">
        <f>IF(ISNUMBER($AX995),$AX995/100,"")</f>
        <v/>
      </c>
      <c r="DD995" s="77">
        <f>IFERROR(VALUE(LEFT(TRIM($AO995&amp;""),4)),"")</f>
        <v/>
      </c>
      <c r="DE995" s="78">
        <f>IF(AND($BY995=1,$BX995=1,OR(fDeal="All Deals",$BU995=fDeal),OR(fEntity="All Entities",$BV995=fEntity),OR(fPType="All Property Types",$BZ995=fPType),OR(fDefeased="Include",$CJ995=0)),1,0)</f>
        <v/>
      </c>
      <c r="DF995" s="83">
        <f>$DE995*N($I995)</f>
        <v/>
      </c>
      <c r="DG995" s="78">
        <f>IF($DE995=1,IF(COUNTIFS($F$8:$F995,$F995,$DE$8:$DE995,1)=1,1,0),0)</f>
        <v/>
      </c>
      <c r="DH995" s="83">
        <f>IF($DG995=1,SUMIFS($DF$8:$DF$1600,$F$8:$F$1600,$F995),0)</f>
        <v/>
      </c>
      <c r="DI995" s="78">
        <f>IF($DG995=1,COUNTIFS($F$8:$F$1600,$F995,$DE$8:$DE$1600,1),0)</f>
        <v/>
      </c>
      <c r="DJ995" s="84">
        <f>IF($DG995=1,$DH995+(100000-ROW())/mTieBreak,0)</f>
        <v/>
      </c>
    </row>
    <row r="996">
      <c r="B996" s="68" t="n">
        <v>56</v>
      </c>
      <c r="C996" s="69" t="inlineStr">
        <is>
          <t>WFC18C43</t>
        </is>
      </c>
      <c r="D996" s="69" t="inlineStr">
        <is>
          <t>56.000</t>
        </is>
      </c>
      <c r="E996" s="69" t="inlineStr">
        <is>
          <t>Greenbriar Apartments</t>
        </is>
      </c>
      <c r="F996" s="69" t="inlineStr">
        <is>
          <t>LNWFC18C43-56.000</t>
        </is>
      </c>
      <c r="G996" s="70" t="n"/>
      <c r="H996" s="71" t="n">
        <v>2600000</v>
      </c>
      <c r="I996" s="71" t="n">
        <v>2298448.1600002</v>
      </c>
      <c r="J996" s="72" t="n">
        <v>6.31</v>
      </c>
      <c r="K996" s="69" t="inlineStr">
        <is>
          <t>Fixed rate</t>
        </is>
      </c>
      <c r="L996" s="68" t="n">
        <v>120</v>
      </c>
      <c r="M996" s="68" t="n">
        <v>18</v>
      </c>
      <c r="N996" s="68" t="n">
        <v>360</v>
      </c>
      <c r="O996" s="68" t="n"/>
      <c r="P996" s="68" t="n"/>
      <c r="Q996" s="68" t="n">
        <v>102</v>
      </c>
      <c r="R996" s="69" t="n"/>
      <c r="S996" s="69" t="inlineStr">
        <is>
          <t>No</t>
        </is>
      </c>
      <c r="T996" s="73" t="n">
        <v>43160</v>
      </c>
      <c r="U996" s="73" t="n">
        <v>46818</v>
      </c>
      <c r="V996" s="73" t="n"/>
      <c r="W996" s="69" t="n"/>
      <c r="X996" s="69" t="inlineStr">
        <is>
          <t>Current</t>
        </is>
      </c>
      <c r="Y996" s="68" t="n"/>
      <c r="Z996" s="69" t="inlineStr">
        <is>
          <t>No Defeasance Occurred</t>
        </is>
      </c>
      <c r="AA996" s="69" t="n"/>
      <c r="AB996" s="69" t="inlineStr">
        <is>
          <t>Never special serv</t>
        </is>
      </c>
      <c r="AC996" s="73" t="n"/>
      <c r="AD996" s="69" t="n"/>
      <c r="AE996" s="69" t="n"/>
      <c r="AF996" s="69" t="inlineStr">
        <is>
          <t>VA</t>
        </is>
      </c>
      <c r="AG996" s="69" t="inlineStr">
        <is>
          <t>Lynchburg</t>
        </is>
      </c>
      <c r="AH996" s="69" t="inlineStr">
        <is>
          <t>Lynchburg, VA</t>
        </is>
      </c>
      <c r="AI996" s="69" t="inlineStr">
        <is>
          <t>South / Atlantic</t>
        </is>
      </c>
      <c r="AJ996" s="69" t="inlineStr">
        <is>
          <t>MF</t>
        </is>
      </c>
      <c r="AK996" s="69" t="inlineStr">
        <is>
          <t>Garden</t>
        </is>
      </c>
      <c r="AL996" s="68" t="n">
        <v>1</v>
      </c>
      <c r="AM996" s="68" t="n">
        <v>80</v>
      </c>
      <c r="AN996" s="68" t="n"/>
      <c r="AO996" s="69" t="inlineStr">
        <is>
          <t>1961</t>
        </is>
      </c>
      <c r="AP996" s="70" t="n">
        <v>1961</v>
      </c>
      <c r="AQ996" s="74" t="n">
        <v>1.41</v>
      </c>
      <c r="AR996" s="74" t="n">
        <v>1.94</v>
      </c>
      <c r="AS996" s="74" t="n">
        <v>62.7</v>
      </c>
      <c r="AT996" s="74" t="n">
        <v>55.38</v>
      </c>
      <c r="AU996" s="74" t="n">
        <v>53.6</v>
      </c>
      <c r="AV996" s="74" t="n">
        <v>10.495153846</v>
      </c>
      <c r="AW996" s="74" t="n">
        <v>14.660412006</v>
      </c>
      <c r="AX996" s="75" t="n">
        <v>81</v>
      </c>
      <c r="AY996" s="71" t="n">
        <v>4150000</v>
      </c>
      <c r="AZ996" s="71" t="n">
        <v>4150000</v>
      </c>
      <c r="BA996" s="71" t="n">
        <v>272874</v>
      </c>
      <c r="BB996" s="71" t="n">
        <v>93862.94</v>
      </c>
      <c r="BC996" s="69" t="inlineStr">
        <is>
          <t>Refinance</t>
        </is>
      </c>
      <c r="BD996" s="69" t="inlineStr">
        <is>
          <t>N</t>
        </is>
      </c>
      <c r="BE996" s="71" t="n"/>
      <c r="BF996" s="71" t="n"/>
      <c r="BG996" s="71" t="n"/>
      <c r="BH996" s="71" t="n">
        <v>0</v>
      </c>
      <c r="BI996" s="71" t="n">
        <v>0</v>
      </c>
      <c r="BJ996" s="69" t="inlineStr">
        <is>
          <t>N</t>
        </is>
      </c>
      <c r="BK996" s="69" t="n"/>
      <c r="BL996" s="75" t="n"/>
      <c r="BM996" s="73" t="n"/>
      <c r="BN996" s="69" t="inlineStr">
        <is>
          <t>Purcell George Conway; Cheryl Chisley Conway</t>
        </is>
      </c>
      <c r="BO996" s="69" t="inlineStr">
        <is>
          <t>RMF</t>
        </is>
      </c>
      <c r="BP996" s="69" t="inlineStr">
        <is>
          <t>TriMont Real Estate Advisors</t>
        </is>
      </c>
      <c r="BQ996" s="69" t="inlineStr">
        <is>
          <t>K-Star Asset Management LLC</t>
        </is>
      </c>
      <c r="BR996" s="69" t="n"/>
      <c r="BS996" s="73" t="n">
        <v>46276</v>
      </c>
      <c r="BU996" s="76">
        <f>IF($C996="","",IFERROR(INDEX(dmName,MATCH($C996,dmID,0)),"Unmapped"))</f>
        <v/>
      </c>
      <c r="BV996" s="76">
        <f>IF($C996="","",IFERROR(INDEX(dmEntity,MATCH($C996,dmID,0)),"Unmapped"))</f>
        <v/>
      </c>
      <c r="BW996" s="77">
        <f>IF($C996="","",IFERROR(INDEX(dmVintage,MATCH($C996,dmID,0)),""))</f>
        <v/>
      </c>
      <c r="BX996" s="78">
        <f>IFERROR(INDEX(dmInclude,MATCH($C996,dmID,0)),0)</f>
        <v/>
      </c>
      <c r="BY996" s="78">
        <f>IF(N($I996)&gt;0,1,0)</f>
        <v/>
      </c>
      <c r="BZ996" s="76">
        <f>IF($AJ996="","Other / Leased Fee",IFERROR(INDEX(mapPTGroup,MATCH(LEFT(TRIM($AJ996),2),mapPTCode,0)),"Other / Leased Fee"))</f>
        <v/>
      </c>
      <c r="CA996" s="76">
        <f>IF(TRIM($AF996&amp;"")="","NR",LEFT(TRIM($AF996),2))</f>
        <v/>
      </c>
      <c r="CB996" s="76">
        <f>IFERROR(LOOKUP(2,1/(LEFT(TRIM($AI996&amp;""),LEN(mapRegion))=mapRegion),mapRegion),"Not Reported")</f>
        <v/>
      </c>
      <c r="CC996" s="76">
        <f>IF($BY996=0,"",IF(TRIM($W996&amp;"")="REO","REO",IF(TRIM($W996&amp;"")="FC","Foreclosure",IF(TRIM($W996&amp;"")="90+","90+ Days Delinquent",IF(TRIM($W996&amp;"")="60","60 Days Delinquent",IF(TRIM($W996&amp;"")="30","30 Days Delinquent",IF($X996="Non-Performing Matured Balloon","Non-Performing Matured Balloon",IF(OR($X996="Late Payment But Less Than 30 Days Delinquent",LEFT($X996&amp;"",20)="Payment Not Received"),"Late / In Grace (&lt;30 Days)",IF($X996="Performing Matured Balloon","Performing Matured Balloon","Current")))))))))</f>
        <v/>
      </c>
      <c r="CD996" s="78">
        <f>IF(OR($CC996="REO",$CC996="Foreclosure",$CC996="90+ Days Delinquent",$CC996="60 Days Delinquent",$CC996="30 Days Delinquent",$CC996="Non-Performing Matured Balloon"),1,0)</f>
        <v/>
      </c>
      <c r="CE996" s="76">
        <f>IF($AB996="Currently special serv","Currently Specially Serviced",IF($AB996="Returned to master serv","Previously Specially Serviced","Never Specially Serviced"))</f>
        <v/>
      </c>
      <c r="CF996" s="78">
        <f>IF($CE996="Currently Specially Serviced",1,0)</f>
        <v/>
      </c>
      <c r="CG996" s="76">
        <f>IF($AA996="Yes","Currently on Watchlist",IF($AA996="Previously","Previously on Watchlist","Never on Watchlist"))</f>
        <v/>
      </c>
      <c r="CH996" s="78">
        <f>IF($CG996="Currently on Watchlist",1,0)</f>
        <v/>
      </c>
      <c r="CI996" s="76">
        <f>IF($Z996="Full Defeasance","Fully Defeased",IF($Z996="Portion Of Loan Previously Defeased","Partially Defeased",IF($Z996="Defeasance Not Allowable","Not Defeased (Not Permitted)","Not Defeased")))</f>
        <v/>
      </c>
      <c r="CJ996" s="78">
        <f>IF($CI996="Fully Defeased",1,0)</f>
        <v/>
      </c>
      <c r="CK996" s="76">
        <f>IF($R996="IO","Full IO",IF(LEFT($R996&amp;"",7)="IO then","Partial IO","Amortizing"))</f>
        <v/>
      </c>
      <c r="CL996" s="78">
        <f>IF($CK996="Full IO",1,0)</f>
        <v/>
      </c>
      <c r="CM996" s="78">
        <f>IF($CK996="Partial IO",1,0)</f>
        <v/>
      </c>
      <c r="CN996" s="76">
        <f>IF(LEFT($F996&amp;"",10)="SPLIT_LOAN","Pari Passu Split","Standalone")</f>
        <v/>
      </c>
      <c r="CO996" s="78">
        <f>IF($CN996="Pari Passu Split",1,0)</f>
        <v/>
      </c>
      <c r="CP996" s="77">
        <f>IF(ISNUMBER($T996),YEAR($T996),"")</f>
        <v/>
      </c>
      <c r="CQ996" s="79">
        <f>IF(ISNUMBER($V996),$V996,IF(ISNUMBER($U996),$U996,""))</f>
        <v/>
      </c>
      <c r="CR996" s="77">
        <f>IF(ISNUMBER($CQ996),YEAR($CQ996),"")</f>
        <v/>
      </c>
      <c r="CS996" s="78">
        <f>IF(ISNUMBER($M996),MAX(0,$M996),IF(TRIM($M996&amp;"")="matured",0,""))</f>
        <v/>
      </c>
      <c r="CT996" s="78">
        <f>IF(AND(ISNUMBER($CS996),N($CS996)&lt;=mMatWindow),1,0)</f>
        <v/>
      </c>
      <c r="CU996" s="80">
        <f>IF(ISNUMBER($J996),$J996/100,"")</f>
        <v/>
      </c>
      <c r="CV996" s="81">
        <f>IF(ISNUMBER($AQ996),$AQ996,"")</f>
        <v/>
      </c>
      <c r="CW996" s="81">
        <f>IF(ISNUMBER($AR996),$AR996,"")</f>
        <v/>
      </c>
      <c r="CX996" s="82">
        <f>IF(ISNUMBER($AS996),$AS996/100,"")</f>
        <v/>
      </c>
      <c r="CY996" s="82">
        <f>IF(ISNUMBER($AT996),$AT996/100,"")</f>
        <v/>
      </c>
      <c r="CZ996" s="82">
        <f>IF(ISNUMBER($AU996),$AU996/100,"")</f>
        <v/>
      </c>
      <c r="DA996" s="82">
        <f>IF(ISNUMBER($AV996),$AV996/100,"")</f>
        <v/>
      </c>
      <c r="DB996" s="82">
        <f>IF(ISNUMBER($AW996),$AW996/100,"")</f>
        <v/>
      </c>
      <c r="DC996" s="82">
        <f>IF(ISNUMBER($AX996),$AX996/100,"")</f>
        <v/>
      </c>
      <c r="DD996" s="77">
        <f>IFERROR(VALUE(LEFT(TRIM($AO996&amp;""),4)),"")</f>
        <v/>
      </c>
      <c r="DE996" s="78">
        <f>IF(AND($BY996=1,$BX996=1,OR(fDeal="All Deals",$BU996=fDeal),OR(fEntity="All Entities",$BV996=fEntity),OR(fPType="All Property Types",$BZ996=fPType),OR(fDefeased="Include",$CJ996=0)),1,0)</f>
        <v/>
      </c>
      <c r="DF996" s="83">
        <f>$DE996*N($I996)</f>
        <v/>
      </c>
      <c r="DG996" s="78">
        <f>IF($DE996=1,IF(COUNTIFS($F$8:$F996,$F996,$DE$8:$DE996,1)=1,1,0),0)</f>
        <v/>
      </c>
      <c r="DH996" s="83">
        <f>IF($DG996=1,SUMIFS($DF$8:$DF$1600,$F$8:$F$1600,$F996),0)</f>
        <v/>
      </c>
      <c r="DI996" s="78">
        <f>IF($DG996=1,COUNTIFS($F$8:$F$1600,$F996,$DE$8:$DE$1600,1),0)</f>
        <v/>
      </c>
      <c r="DJ996" s="84">
        <f>IF($DG996=1,$DH996+(100000-ROW())/mTieBreak,0)</f>
        <v/>
      </c>
    </row>
    <row r="997">
      <c r="B997" s="68" t="n">
        <v>57</v>
      </c>
      <c r="C997" s="69" t="inlineStr">
        <is>
          <t>WFC18C43</t>
        </is>
      </c>
      <c r="D997" s="69" t="inlineStr">
        <is>
          <t>57.000</t>
        </is>
      </c>
      <c r="E997" s="69" t="inlineStr">
        <is>
          <t>Hammondell MHP</t>
        </is>
      </c>
      <c r="F997" s="69" t="inlineStr">
        <is>
          <t>LNWFC18C43-57.000</t>
        </is>
      </c>
      <c r="G997" s="70" t="n"/>
      <c r="H997" s="71" t="n">
        <v>2451000</v>
      </c>
      <c r="I997" s="71" t="n">
        <v>2188155.239998938</v>
      </c>
      <c r="J997" s="72" t="n">
        <v>5.06</v>
      </c>
      <c r="K997" s="69" t="inlineStr">
        <is>
          <t>Fixed rate</t>
        </is>
      </c>
      <c r="L997" s="68" t="n">
        <v>120</v>
      </c>
      <c r="M997" s="68" t="n">
        <v>16</v>
      </c>
      <c r="N997" s="68" t="n">
        <v>384</v>
      </c>
      <c r="O997" s="68" t="n">
        <v>24</v>
      </c>
      <c r="P997" s="68" t="n">
        <v>0</v>
      </c>
      <c r="Q997" s="68" t="n">
        <v>104</v>
      </c>
      <c r="R997" s="69" t="inlineStr">
        <is>
          <t>IO then Amort</t>
        </is>
      </c>
      <c r="S997" s="69" t="inlineStr">
        <is>
          <t>No</t>
        </is>
      </c>
      <c r="T997" s="73" t="n">
        <v>43101</v>
      </c>
      <c r="U997" s="73" t="n">
        <v>46763</v>
      </c>
      <c r="V997" s="73" t="n"/>
      <c r="W997" s="69" t="n"/>
      <c r="X997" s="69" t="inlineStr">
        <is>
          <t>Current</t>
        </is>
      </c>
      <c r="Y997" s="68" t="n"/>
      <c r="Z997" s="69" t="inlineStr">
        <is>
          <t>Full Defeasance</t>
        </is>
      </c>
      <c r="AA997" s="69" t="inlineStr">
        <is>
          <t>Previously</t>
        </is>
      </c>
      <c r="AB997" s="69" t="inlineStr">
        <is>
          <t>Never special serv</t>
        </is>
      </c>
      <c r="AC997" s="73" t="n"/>
      <c r="AD997" s="69" t="n"/>
      <c r="AE997" s="69" t="n"/>
      <c r="AF997" s="69" t="inlineStr">
        <is>
          <t>FL</t>
        </is>
      </c>
      <c r="AG997" s="69" t="inlineStr">
        <is>
          <t>Winter Haven</t>
        </is>
      </c>
      <c r="AH997" s="69" t="inlineStr">
        <is>
          <t>Lakeland-Winter Haven, FL</t>
        </is>
      </c>
      <c r="AI997" s="69" t="inlineStr">
        <is>
          <t>South / Atlantic</t>
        </is>
      </c>
      <c r="AJ997" s="69" t="inlineStr">
        <is>
          <t>MH</t>
        </is>
      </c>
      <c r="AK997" s="69" t="n"/>
      <c r="AL997" s="68" t="n">
        <v>1</v>
      </c>
      <c r="AM997" s="68" t="n">
        <v>114</v>
      </c>
      <c r="AN997" s="68" t="n"/>
      <c r="AO997" s="69" t="inlineStr">
        <is>
          <t>1976</t>
        </is>
      </c>
      <c r="AP997" s="70" t="n">
        <v>1976</v>
      </c>
      <c r="AQ997" s="74" t="n">
        <v>1.64</v>
      </c>
      <c r="AR997" s="74" t="n">
        <v>3.51</v>
      </c>
      <c r="AS997" s="74" t="n">
        <v>55.8</v>
      </c>
      <c r="AT997" s="74" t="n">
        <v>49.84</v>
      </c>
      <c r="AU997" s="74" t="n">
        <v>48.4</v>
      </c>
      <c r="AV997" s="74" t="n">
        <v>10.66776377</v>
      </c>
      <c r="AW997" s="74" t="n">
        <v>15.745976049</v>
      </c>
      <c r="AX997" s="75" t="n">
        <v>88</v>
      </c>
      <c r="AY997" s="71" t="n">
        <v>4390000</v>
      </c>
      <c r="AZ997" s="71" t="n">
        <v>4390000</v>
      </c>
      <c r="BA997" s="71" t="n">
        <v>261466.89</v>
      </c>
      <c r="BB997" s="71" t="n">
        <v>139690.93</v>
      </c>
      <c r="BC997" s="69" t="inlineStr">
        <is>
          <t>Refinance</t>
        </is>
      </c>
      <c r="BD997" s="69" t="inlineStr">
        <is>
          <t>N</t>
        </is>
      </c>
      <c r="BE997" s="71" t="n"/>
      <c r="BF997" s="71" t="n"/>
      <c r="BG997" s="71" t="n"/>
      <c r="BH997" s="71" t="n">
        <v>0</v>
      </c>
      <c r="BI997" s="71" t="n">
        <v>0</v>
      </c>
      <c r="BJ997" s="69" t="inlineStr">
        <is>
          <t>N</t>
        </is>
      </c>
      <c r="BK997" s="69" t="n"/>
      <c r="BL997" s="75" t="n"/>
      <c r="BM997" s="73" t="n"/>
      <c r="BN997" s="69" t="inlineStr">
        <is>
          <t>Charles Henry Evans</t>
        </is>
      </c>
      <c r="BO997" s="69" t="inlineStr">
        <is>
          <t>CIII Capital</t>
        </is>
      </c>
      <c r="BP997" s="69" t="inlineStr">
        <is>
          <t>TriMont Real Estate Advisors</t>
        </is>
      </c>
      <c r="BQ997" s="69" t="inlineStr">
        <is>
          <t>K-Star Asset Management LLC</t>
        </is>
      </c>
      <c r="BR997" s="69" t="n"/>
      <c r="BS997" s="73" t="n">
        <v>46276</v>
      </c>
      <c r="BU997" s="76">
        <f>IF($C997="","",IFERROR(INDEX(dmName,MATCH($C997,dmID,0)),"Unmapped"))</f>
        <v/>
      </c>
      <c r="BV997" s="76">
        <f>IF($C997="","",IFERROR(INDEX(dmEntity,MATCH($C997,dmID,0)),"Unmapped"))</f>
        <v/>
      </c>
      <c r="BW997" s="77">
        <f>IF($C997="","",IFERROR(INDEX(dmVintage,MATCH($C997,dmID,0)),""))</f>
        <v/>
      </c>
      <c r="BX997" s="78">
        <f>IFERROR(INDEX(dmInclude,MATCH($C997,dmID,0)),0)</f>
        <v/>
      </c>
      <c r="BY997" s="78">
        <f>IF(N($I997)&gt;0,1,0)</f>
        <v/>
      </c>
      <c r="BZ997" s="76">
        <f>IF($AJ997="","Other / Leased Fee",IFERROR(INDEX(mapPTGroup,MATCH(LEFT(TRIM($AJ997),2),mapPTCode,0)),"Other / Leased Fee"))</f>
        <v/>
      </c>
      <c r="CA997" s="76">
        <f>IF(TRIM($AF997&amp;"")="","NR",LEFT(TRIM($AF997),2))</f>
        <v/>
      </c>
      <c r="CB997" s="76">
        <f>IFERROR(LOOKUP(2,1/(LEFT(TRIM($AI997&amp;""),LEN(mapRegion))=mapRegion),mapRegion),"Not Reported")</f>
        <v/>
      </c>
      <c r="CC997" s="76">
        <f>IF($BY997=0,"",IF(TRIM($W997&amp;"")="REO","REO",IF(TRIM($W997&amp;"")="FC","Foreclosure",IF(TRIM($W997&amp;"")="90+","90+ Days Delinquent",IF(TRIM($W997&amp;"")="60","60 Days Delinquent",IF(TRIM($W997&amp;"")="30","30 Days Delinquent",IF($X997="Non-Performing Matured Balloon","Non-Performing Matured Balloon",IF(OR($X997="Late Payment But Less Than 30 Days Delinquent",LEFT($X997&amp;"",20)="Payment Not Received"),"Late / In Grace (&lt;30 Days)",IF($X997="Performing Matured Balloon","Performing Matured Balloon","Current")))))))))</f>
        <v/>
      </c>
      <c r="CD997" s="78">
        <f>IF(OR($CC997="REO",$CC997="Foreclosure",$CC997="90+ Days Delinquent",$CC997="60 Days Delinquent",$CC997="30 Days Delinquent",$CC997="Non-Performing Matured Balloon"),1,0)</f>
        <v/>
      </c>
      <c r="CE997" s="76">
        <f>IF($AB997="Currently special serv","Currently Specially Serviced",IF($AB997="Returned to master serv","Previously Specially Serviced","Never Specially Serviced"))</f>
        <v/>
      </c>
      <c r="CF997" s="78">
        <f>IF($CE997="Currently Specially Serviced",1,0)</f>
        <v/>
      </c>
      <c r="CG997" s="76">
        <f>IF($AA997="Yes","Currently on Watchlist",IF($AA997="Previously","Previously on Watchlist","Never on Watchlist"))</f>
        <v/>
      </c>
      <c r="CH997" s="78">
        <f>IF($CG997="Currently on Watchlist",1,0)</f>
        <v/>
      </c>
      <c r="CI997" s="76">
        <f>IF($Z997="Full Defeasance","Fully Defeased",IF($Z997="Portion Of Loan Previously Defeased","Partially Defeased",IF($Z997="Defeasance Not Allowable","Not Defeased (Not Permitted)","Not Defeased")))</f>
        <v/>
      </c>
      <c r="CJ997" s="78">
        <f>IF($CI997="Fully Defeased",1,0)</f>
        <v/>
      </c>
      <c r="CK997" s="76">
        <f>IF($R997="IO","Full IO",IF(LEFT($R997&amp;"",7)="IO then","Partial IO","Amortizing"))</f>
        <v/>
      </c>
      <c r="CL997" s="78">
        <f>IF($CK997="Full IO",1,0)</f>
        <v/>
      </c>
      <c r="CM997" s="78">
        <f>IF($CK997="Partial IO",1,0)</f>
        <v/>
      </c>
      <c r="CN997" s="76">
        <f>IF(LEFT($F997&amp;"",10)="SPLIT_LOAN","Pari Passu Split","Standalone")</f>
        <v/>
      </c>
      <c r="CO997" s="78">
        <f>IF($CN997="Pari Passu Split",1,0)</f>
        <v/>
      </c>
      <c r="CP997" s="77">
        <f>IF(ISNUMBER($T997),YEAR($T997),"")</f>
        <v/>
      </c>
      <c r="CQ997" s="79">
        <f>IF(ISNUMBER($V997),$V997,IF(ISNUMBER($U997),$U997,""))</f>
        <v/>
      </c>
      <c r="CR997" s="77">
        <f>IF(ISNUMBER($CQ997),YEAR($CQ997),"")</f>
        <v/>
      </c>
      <c r="CS997" s="78">
        <f>IF(ISNUMBER($M997),MAX(0,$M997),IF(TRIM($M997&amp;"")="matured",0,""))</f>
        <v/>
      </c>
      <c r="CT997" s="78">
        <f>IF(AND(ISNUMBER($CS997),N($CS997)&lt;=mMatWindow),1,0)</f>
        <v/>
      </c>
      <c r="CU997" s="80">
        <f>IF(ISNUMBER($J997),$J997/100,"")</f>
        <v/>
      </c>
      <c r="CV997" s="81">
        <f>IF(ISNUMBER($AQ997),$AQ997,"")</f>
        <v/>
      </c>
      <c r="CW997" s="81">
        <f>IF(ISNUMBER($AR997),$AR997,"")</f>
        <v/>
      </c>
      <c r="CX997" s="82">
        <f>IF(ISNUMBER($AS997),$AS997/100,"")</f>
        <v/>
      </c>
      <c r="CY997" s="82">
        <f>IF(ISNUMBER($AT997),$AT997/100,"")</f>
        <v/>
      </c>
      <c r="CZ997" s="82">
        <f>IF(ISNUMBER($AU997),$AU997/100,"")</f>
        <v/>
      </c>
      <c r="DA997" s="82">
        <f>IF(ISNUMBER($AV997),$AV997/100,"")</f>
        <v/>
      </c>
      <c r="DB997" s="82">
        <f>IF(ISNUMBER($AW997),$AW997/100,"")</f>
        <v/>
      </c>
      <c r="DC997" s="82">
        <f>IF(ISNUMBER($AX997),$AX997/100,"")</f>
        <v/>
      </c>
      <c r="DD997" s="77">
        <f>IFERROR(VALUE(LEFT(TRIM($AO997&amp;""),4)),"")</f>
        <v/>
      </c>
      <c r="DE997" s="78">
        <f>IF(AND($BY997=1,$BX997=1,OR(fDeal="All Deals",$BU997=fDeal),OR(fEntity="All Entities",$BV997=fEntity),OR(fPType="All Property Types",$BZ997=fPType),OR(fDefeased="Include",$CJ997=0)),1,0)</f>
        <v/>
      </c>
      <c r="DF997" s="83">
        <f>$DE997*N($I997)</f>
        <v/>
      </c>
      <c r="DG997" s="78">
        <f>IF($DE997=1,IF(COUNTIFS($F$8:$F997,$F997,$DE$8:$DE997,1)=1,1,0),0)</f>
        <v/>
      </c>
      <c r="DH997" s="83">
        <f>IF($DG997=1,SUMIFS($DF$8:$DF$1600,$F$8:$F$1600,$F997),0)</f>
        <v/>
      </c>
      <c r="DI997" s="78">
        <f>IF($DG997=1,COUNTIFS($F$8:$F$1600,$F997,$DE$8:$DE$1600,1),0)</f>
        <v/>
      </c>
      <c r="DJ997" s="84">
        <f>IF($DG997=1,$DH997+(100000-ROW())/mTieBreak,0)</f>
        <v/>
      </c>
    </row>
    <row r="998">
      <c r="B998" s="68" t="n">
        <v>58</v>
      </c>
      <c r="C998" s="69" t="inlineStr">
        <is>
          <t>WFC18C43</t>
        </is>
      </c>
      <c r="D998" s="69" t="inlineStr">
        <is>
          <t>58.000</t>
        </is>
      </c>
      <c r="E998" s="69" t="inlineStr">
        <is>
          <t>Colorado Self Storage</t>
        </is>
      </c>
      <c r="F998" s="69" t="inlineStr">
        <is>
          <t>LNWFC18C43-58.000</t>
        </is>
      </c>
      <c r="G998" s="70" t="n"/>
      <c r="H998" s="71" t="n">
        <v>2319000</v>
      </c>
      <c r="I998" s="71" t="n">
        <v>2059945.699999488</v>
      </c>
      <c r="J998" s="72" t="n">
        <v>4.9</v>
      </c>
      <c r="K998" s="69" t="inlineStr">
        <is>
          <t>Fixed rate</t>
        </is>
      </c>
      <c r="L998" s="68" t="n">
        <v>120</v>
      </c>
      <c r="M998" s="68" t="n">
        <v>15</v>
      </c>
      <c r="N998" s="68" t="n">
        <v>383</v>
      </c>
      <c r="O998" s="68" t="n">
        <v>23</v>
      </c>
      <c r="P998" s="68" t="n">
        <v>0</v>
      </c>
      <c r="Q998" s="68" t="n">
        <v>105</v>
      </c>
      <c r="R998" s="69" t="inlineStr">
        <is>
          <t>IO then Amort</t>
        </is>
      </c>
      <c r="S998" s="69" t="inlineStr">
        <is>
          <t>No</t>
        </is>
      </c>
      <c r="T998" s="73" t="n">
        <v>43070</v>
      </c>
      <c r="U998" s="73" t="n">
        <v>46732</v>
      </c>
      <c r="V998" s="73" t="n"/>
      <c r="W998" s="69" t="n"/>
      <c r="X998" s="69" t="inlineStr">
        <is>
          <t>Current</t>
        </is>
      </c>
      <c r="Y998" s="68" t="n"/>
      <c r="Z998" s="69" t="inlineStr">
        <is>
          <t>No Defeasance Occurred</t>
        </is>
      </c>
      <c r="AA998" s="69" t="n"/>
      <c r="AB998" s="69" t="inlineStr">
        <is>
          <t>Never special serv</t>
        </is>
      </c>
      <c r="AC998" s="73" t="n"/>
      <c r="AD998" s="69" t="n"/>
      <c r="AE998" s="69" t="n"/>
      <c r="AF998" s="69" t="inlineStr">
        <is>
          <t>CO</t>
        </is>
      </c>
      <c r="AG998" s="69" t="inlineStr">
        <is>
          <t>Colorado Springs</t>
        </is>
      </c>
      <c r="AH998" s="69" t="inlineStr">
        <is>
          <t>Colorado Springs, CO</t>
        </is>
      </c>
      <c r="AI998" s="69" t="inlineStr">
        <is>
          <t>West / Mountain</t>
        </is>
      </c>
      <c r="AJ998" s="69" t="inlineStr">
        <is>
          <t>SS</t>
        </is>
      </c>
      <c r="AK998" s="69" t="n"/>
      <c r="AL998" s="68" t="n">
        <v>1</v>
      </c>
      <c r="AM998" s="68" t="n"/>
      <c r="AN998" s="68" t="n">
        <v>38724</v>
      </c>
      <c r="AO998" s="69" t="inlineStr">
        <is>
          <t>1983</t>
        </is>
      </c>
      <c r="AP998" s="70" t="n">
        <v>1983</v>
      </c>
      <c r="AQ998" s="74" t="n">
        <v>1.5</v>
      </c>
      <c r="AR998" s="74" t="n">
        <v>1.61</v>
      </c>
      <c r="AS998" s="74" t="n">
        <v>62.3</v>
      </c>
      <c r="AT998" s="74" t="n">
        <v>55.37</v>
      </c>
      <c r="AU998" s="74" t="n">
        <v>53.7</v>
      </c>
      <c r="AV998" s="74" t="n">
        <v>9.536382060999999</v>
      </c>
      <c r="AW998" s="74" t="n">
        <v>10.535748102</v>
      </c>
      <c r="AX998" s="75" t="n">
        <v>86</v>
      </c>
      <c r="AY998" s="71" t="n">
        <v>3720000</v>
      </c>
      <c r="AZ998" s="71" t="n">
        <v>3720000</v>
      </c>
      <c r="BA998" s="71" t="n">
        <v>221148.7</v>
      </c>
      <c r="BB998" s="71" t="n">
        <v>118922.92</v>
      </c>
      <c r="BC998" s="69" t="inlineStr">
        <is>
          <t>Refinance</t>
        </is>
      </c>
      <c r="BD998" s="69" t="inlineStr">
        <is>
          <t>N</t>
        </is>
      </c>
      <c r="BE998" s="71" t="n"/>
      <c r="BF998" s="71" t="n"/>
      <c r="BG998" s="71" t="n"/>
      <c r="BH998" s="71" t="n">
        <v>0</v>
      </c>
      <c r="BI998" s="71" t="n">
        <v>0</v>
      </c>
      <c r="BJ998" s="69" t="inlineStr">
        <is>
          <t>N</t>
        </is>
      </c>
      <c r="BK998" s="69" t="n"/>
      <c r="BL998" s="75" t="n"/>
      <c r="BM998" s="73" t="n"/>
      <c r="BN998" s="69" t="inlineStr">
        <is>
          <t>Joy Rasmussen</t>
        </is>
      </c>
      <c r="BO998" s="69" t="inlineStr">
        <is>
          <t>CIII Capital</t>
        </is>
      </c>
      <c r="BP998" s="69" t="inlineStr">
        <is>
          <t>TriMont Real Estate Advisors</t>
        </is>
      </c>
      <c r="BQ998" s="69" t="inlineStr">
        <is>
          <t>K-Star Asset Management LLC</t>
        </is>
      </c>
      <c r="BR998" s="69" t="n"/>
      <c r="BS998" s="73" t="n">
        <v>46276</v>
      </c>
      <c r="BU998" s="76">
        <f>IF($C998="","",IFERROR(INDEX(dmName,MATCH($C998,dmID,0)),"Unmapped"))</f>
        <v/>
      </c>
      <c r="BV998" s="76">
        <f>IF($C998="","",IFERROR(INDEX(dmEntity,MATCH($C998,dmID,0)),"Unmapped"))</f>
        <v/>
      </c>
      <c r="BW998" s="77">
        <f>IF($C998="","",IFERROR(INDEX(dmVintage,MATCH($C998,dmID,0)),""))</f>
        <v/>
      </c>
      <c r="BX998" s="78">
        <f>IFERROR(INDEX(dmInclude,MATCH($C998,dmID,0)),0)</f>
        <v/>
      </c>
      <c r="BY998" s="78">
        <f>IF(N($I998)&gt;0,1,0)</f>
        <v/>
      </c>
      <c r="BZ998" s="76">
        <f>IF($AJ998="","Other / Leased Fee",IFERROR(INDEX(mapPTGroup,MATCH(LEFT(TRIM($AJ998),2),mapPTCode,0)),"Other / Leased Fee"))</f>
        <v/>
      </c>
      <c r="CA998" s="76">
        <f>IF(TRIM($AF998&amp;"")="","NR",LEFT(TRIM($AF998),2))</f>
        <v/>
      </c>
      <c r="CB998" s="76">
        <f>IFERROR(LOOKUP(2,1/(LEFT(TRIM($AI998&amp;""),LEN(mapRegion))=mapRegion),mapRegion),"Not Reported")</f>
        <v/>
      </c>
      <c r="CC998" s="76">
        <f>IF($BY998=0,"",IF(TRIM($W998&amp;"")="REO","REO",IF(TRIM($W998&amp;"")="FC","Foreclosure",IF(TRIM($W998&amp;"")="90+","90+ Days Delinquent",IF(TRIM($W998&amp;"")="60","60 Days Delinquent",IF(TRIM($W998&amp;"")="30","30 Days Delinquent",IF($X998="Non-Performing Matured Balloon","Non-Performing Matured Balloon",IF(OR($X998="Late Payment But Less Than 30 Days Delinquent",LEFT($X998&amp;"",20)="Payment Not Received"),"Late / In Grace (&lt;30 Days)",IF($X998="Performing Matured Balloon","Performing Matured Balloon","Current")))))))))</f>
        <v/>
      </c>
      <c r="CD998" s="78">
        <f>IF(OR($CC998="REO",$CC998="Foreclosure",$CC998="90+ Days Delinquent",$CC998="60 Days Delinquent",$CC998="30 Days Delinquent",$CC998="Non-Performing Matured Balloon"),1,0)</f>
        <v/>
      </c>
      <c r="CE998" s="76">
        <f>IF($AB998="Currently special serv","Currently Specially Serviced",IF($AB998="Returned to master serv","Previously Specially Serviced","Never Specially Serviced"))</f>
        <v/>
      </c>
      <c r="CF998" s="78">
        <f>IF($CE998="Currently Specially Serviced",1,0)</f>
        <v/>
      </c>
      <c r="CG998" s="76">
        <f>IF($AA998="Yes","Currently on Watchlist",IF($AA998="Previously","Previously on Watchlist","Never on Watchlist"))</f>
        <v/>
      </c>
      <c r="CH998" s="78">
        <f>IF($CG998="Currently on Watchlist",1,0)</f>
        <v/>
      </c>
      <c r="CI998" s="76">
        <f>IF($Z998="Full Defeasance","Fully Defeased",IF($Z998="Portion Of Loan Previously Defeased","Partially Defeased",IF($Z998="Defeasance Not Allowable","Not Defeased (Not Permitted)","Not Defeased")))</f>
        <v/>
      </c>
      <c r="CJ998" s="78">
        <f>IF($CI998="Fully Defeased",1,0)</f>
        <v/>
      </c>
      <c r="CK998" s="76">
        <f>IF($R998="IO","Full IO",IF(LEFT($R998&amp;"",7)="IO then","Partial IO","Amortizing"))</f>
        <v/>
      </c>
      <c r="CL998" s="78">
        <f>IF($CK998="Full IO",1,0)</f>
        <v/>
      </c>
      <c r="CM998" s="78">
        <f>IF($CK998="Partial IO",1,0)</f>
        <v/>
      </c>
      <c r="CN998" s="76">
        <f>IF(LEFT($F998&amp;"",10)="SPLIT_LOAN","Pari Passu Split","Standalone")</f>
        <v/>
      </c>
      <c r="CO998" s="78">
        <f>IF($CN998="Pari Passu Split",1,0)</f>
        <v/>
      </c>
      <c r="CP998" s="77">
        <f>IF(ISNUMBER($T998),YEAR($T998),"")</f>
        <v/>
      </c>
      <c r="CQ998" s="79">
        <f>IF(ISNUMBER($V998),$V998,IF(ISNUMBER($U998),$U998,""))</f>
        <v/>
      </c>
      <c r="CR998" s="77">
        <f>IF(ISNUMBER($CQ998),YEAR($CQ998),"")</f>
        <v/>
      </c>
      <c r="CS998" s="78">
        <f>IF(ISNUMBER($M998),MAX(0,$M998),IF(TRIM($M998&amp;"")="matured",0,""))</f>
        <v/>
      </c>
      <c r="CT998" s="78">
        <f>IF(AND(ISNUMBER($CS998),N($CS998)&lt;=mMatWindow),1,0)</f>
        <v/>
      </c>
      <c r="CU998" s="80">
        <f>IF(ISNUMBER($J998),$J998/100,"")</f>
        <v/>
      </c>
      <c r="CV998" s="81">
        <f>IF(ISNUMBER($AQ998),$AQ998,"")</f>
        <v/>
      </c>
      <c r="CW998" s="81">
        <f>IF(ISNUMBER($AR998),$AR998,"")</f>
        <v/>
      </c>
      <c r="CX998" s="82">
        <f>IF(ISNUMBER($AS998),$AS998/100,"")</f>
        <v/>
      </c>
      <c r="CY998" s="82">
        <f>IF(ISNUMBER($AT998),$AT998/100,"")</f>
        <v/>
      </c>
      <c r="CZ998" s="82">
        <f>IF(ISNUMBER($AU998),$AU998/100,"")</f>
        <v/>
      </c>
      <c r="DA998" s="82">
        <f>IF(ISNUMBER($AV998),$AV998/100,"")</f>
        <v/>
      </c>
      <c r="DB998" s="82">
        <f>IF(ISNUMBER($AW998),$AW998/100,"")</f>
        <v/>
      </c>
      <c r="DC998" s="82">
        <f>IF(ISNUMBER($AX998),$AX998/100,"")</f>
        <v/>
      </c>
      <c r="DD998" s="77">
        <f>IFERROR(VALUE(LEFT(TRIM($AO998&amp;""),4)),"")</f>
        <v/>
      </c>
      <c r="DE998" s="78">
        <f>IF(AND($BY998=1,$BX998=1,OR(fDeal="All Deals",$BU998=fDeal),OR(fEntity="All Entities",$BV998=fEntity),OR(fPType="All Property Types",$BZ998=fPType),OR(fDefeased="Include",$CJ998=0)),1,0)</f>
        <v/>
      </c>
      <c r="DF998" s="83">
        <f>$DE998*N($I998)</f>
        <v/>
      </c>
      <c r="DG998" s="78">
        <f>IF($DE998=1,IF(COUNTIFS($F$8:$F998,$F998,$DE$8:$DE998,1)=1,1,0),0)</f>
        <v/>
      </c>
      <c r="DH998" s="83">
        <f>IF($DG998=1,SUMIFS($DF$8:$DF$1600,$F$8:$F$1600,$F998),0)</f>
        <v/>
      </c>
      <c r="DI998" s="78">
        <f>IF($DG998=1,COUNTIFS($F$8:$F$1600,$F998,$DE$8:$DE$1600,1),0)</f>
        <v/>
      </c>
      <c r="DJ998" s="84">
        <f>IF($DG998=1,$DH998+(100000-ROW())/mTieBreak,0)</f>
        <v/>
      </c>
    </row>
    <row r="999">
      <c r="B999" s="68" t="n">
        <v>59</v>
      </c>
      <c r="C999" s="69" t="inlineStr">
        <is>
          <t>WFC18C43</t>
        </is>
      </c>
      <c r="D999" s="69" t="inlineStr">
        <is>
          <t>59.000</t>
        </is>
      </c>
      <c r="E999" s="69" t="inlineStr">
        <is>
          <t>Handy Self Storage</t>
        </is>
      </c>
      <c r="F999" s="69" t="inlineStr">
        <is>
          <t>LNWFC18C43-59.000</t>
        </is>
      </c>
      <c r="G999" s="70" t="n"/>
      <c r="H999" s="71" t="n">
        <v>2181000</v>
      </c>
      <c r="I999" s="71" t="n">
        <v>1937361.350001015</v>
      </c>
      <c r="J999" s="72" t="n">
        <v>4.9</v>
      </c>
      <c r="K999" s="69" t="inlineStr">
        <is>
          <t>Fixed rate</t>
        </is>
      </c>
      <c r="L999" s="68" t="n">
        <v>120</v>
      </c>
      <c r="M999" s="68" t="n">
        <v>15</v>
      </c>
      <c r="N999" s="68" t="n">
        <v>384</v>
      </c>
      <c r="O999" s="68" t="n">
        <v>24</v>
      </c>
      <c r="P999" s="68" t="n">
        <v>0</v>
      </c>
      <c r="Q999" s="68" t="n">
        <v>105</v>
      </c>
      <c r="R999" s="69" t="inlineStr">
        <is>
          <t>IO then Amort</t>
        </is>
      </c>
      <c r="S999" s="69" t="inlineStr">
        <is>
          <t>No</t>
        </is>
      </c>
      <c r="T999" s="73" t="n">
        <v>43070</v>
      </c>
      <c r="U999" s="73" t="n">
        <v>46732</v>
      </c>
      <c r="V999" s="73" t="n"/>
      <c r="W999" s="69" t="n"/>
      <c r="X999" s="69" t="inlineStr">
        <is>
          <t>Current</t>
        </is>
      </c>
      <c r="Y999" s="68" t="n"/>
      <c r="Z999" s="69" t="inlineStr">
        <is>
          <t>No Defeasance Occurred</t>
        </is>
      </c>
      <c r="AA999" s="69" t="inlineStr">
        <is>
          <t>Previously</t>
        </is>
      </c>
      <c r="AB999" s="69" t="inlineStr">
        <is>
          <t>Never special serv</t>
        </is>
      </c>
      <c r="AC999" s="73" t="n"/>
      <c r="AD999" s="69" t="n"/>
      <c r="AE999" s="69" t="n"/>
      <c r="AF999" s="69" t="inlineStr">
        <is>
          <t>CO</t>
        </is>
      </c>
      <c r="AG999" s="69" t="inlineStr">
        <is>
          <t>Thornton</t>
        </is>
      </c>
      <c r="AH999" s="69" t="inlineStr">
        <is>
          <t>Denver-Aurora-Centennial, CO</t>
        </is>
      </c>
      <c r="AI999" s="69" t="inlineStr">
        <is>
          <t>West / Mountain</t>
        </is>
      </c>
      <c r="AJ999" s="69" t="inlineStr">
        <is>
          <t>SS</t>
        </is>
      </c>
      <c r="AK999" s="69" t="n"/>
      <c r="AL999" s="68" t="n">
        <v>1</v>
      </c>
      <c r="AM999" s="68" t="n"/>
      <c r="AN999" s="68" t="n">
        <v>32213</v>
      </c>
      <c r="AO999" s="69" t="inlineStr">
        <is>
          <t>2002</t>
        </is>
      </c>
      <c r="AP999" s="70" t="n">
        <v>2002</v>
      </c>
      <c r="AQ999" s="74" t="n">
        <v>1.47</v>
      </c>
      <c r="AR999" s="74" t="n">
        <v>1.16</v>
      </c>
      <c r="AS999" s="74" t="n">
        <v>65.3</v>
      </c>
      <c r="AT999" s="74" t="n">
        <v>58</v>
      </c>
      <c r="AU999" s="74" t="n">
        <v>56.4</v>
      </c>
      <c r="AV999" s="74" t="n">
        <v>9.381113708999999</v>
      </c>
      <c r="AW999" s="74" t="n">
        <v>8.881226004</v>
      </c>
      <c r="AX999" s="75" t="n">
        <v>89</v>
      </c>
      <c r="AY999" s="71" t="n">
        <v>3340000</v>
      </c>
      <c r="AZ999" s="71" t="n">
        <v>3340000</v>
      </c>
      <c r="BA999" s="71" t="n">
        <v>204602.09</v>
      </c>
      <c r="BB999" s="71" t="n">
        <v>80515.92</v>
      </c>
      <c r="BC999" s="69" t="inlineStr">
        <is>
          <t>Acquisition</t>
        </is>
      </c>
      <c r="BD999" s="69" t="inlineStr">
        <is>
          <t>N</t>
        </is>
      </c>
      <c r="BE999" s="71" t="n"/>
      <c r="BF999" s="71" t="n"/>
      <c r="BG999" s="71" t="n"/>
      <c r="BH999" s="71" t="n">
        <v>0</v>
      </c>
      <c r="BI999" s="71" t="n">
        <v>0</v>
      </c>
      <c r="BJ999" s="69" t="inlineStr">
        <is>
          <t>N</t>
        </is>
      </c>
      <c r="BK999" s="69" t="n"/>
      <c r="BL999" s="75" t="n"/>
      <c r="BM999" s="73" t="n"/>
      <c r="BN999" s="69" t="inlineStr">
        <is>
          <t>Joy Rasmussen</t>
        </is>
      </c>
      <c r="BO999" s="69" t="inlineStr">
        <is>
          <t>CIII Capital</t>
        </is>
      </c>
      <c r="BP999" s="69" t="inlineStr">
        <is>
          <t>TriMont Real Estate Advisors</t>
        </is>
      </c>
      <c r="BQ999" s="69" t="inlineStr">
        <is>
          <t>K-Star Asset Management LLC</t>
        </is>
      </c>
      <c r="BR999" s="69" t="n"/>
      <c r="BS999" s="73" t="n">
        <v>46276</v>
      </c>
      <c r="BU999" s="76">
        <f>IF($C999="","",IFERROR(INDEX(dmName,MATCH($C999,dmID,0)),"Unmapped"))</f>
        <v/>
      </c>
      <c r="BV999" s="76">
        <f>IF($C999="","",IFERROR(INDEX(dmEntity,MATCH($C999,dmID,0)),"Unmapped"))</f>
        <v/>
      </c>
      <c r="BW999" s="77">
        <f>IF($C999="","",IFERROR(INDEX(dmVintage,MATCH($C999,dmID,0)),""))</f>
        <v/>
      </c>
      <c r="BX999" s="78">
        <f>IFERROR(INDEX(dmInclude,MATCH($C999,dmID,0)),0)</f>
        <v/>
      </c>
      <c r="BY999" s="78">
        <f>IF(N($I999)&gt;0,1,0)</f>
        <v/>
      </c>
      <c r="BZ999" s="76">
        <f>IF($AJ999="","Other / Leased Fee",IFERROR(INDEX(mapPTGroup,MATCH(LEFT(TRIM($AJ999),2),mapPTCode,0)),"Other / Leased Fee"))</f>
        <v/>
      </c>
      <c r="CA999" s="76">
        <f>IF(TRIM($AF999&amp;"")="","NR",LEFT(TRIM($AF999),2))</f>
        <v/>
      </c>
      <c r="CB999" s="76">
        <f>IFERROR(LOOKUP(2,1/(LEFT(TRIM($AI999&amp;""),LEN(mapRegion))=mapRegion),mapRegion),"Not Reported")</f>
        <v/>
      </c>
      <c r="CC999" s="76">
        <f>IF($BY999=0,"",IF(TRIM($W999&amp;"")="REO","REO",IF(TRIM($W999&amp;"")="FC","Foreclosure",IF(TRIM($W999&amp;"")="90+","90+ Days Delinquent",IF(TRIM($W999&amp;"")="60","60 Days Delinquent",IF(TRIM($W999&amp;"")="30","30 Days Delinquent",IF($X999="Non-Performing Matured Balloon","Non-Performing Matured Balloon",IF(OR($X999="Late Payment But Less Than 30 Days Delinquent",LEFT($X999&amp;"",20)="Payment Not Received"),"Late / In Grace (&lt;30 Days)",IF($X999="Performing Matured Balloon","Performing Matured Balloon","Current")))))))))</f>
        <v/>
      </c>
      <c r="CD999" s="78">
        <f>IF(OR($CC999="REO",$CC999="Foreclosure",$CC999="90+ Days Delinquent",$CC999="60 Days Delinquent",$CC999="30 Days Delinquent",$CC999="Non-Performing Matured Balloon"),1,0)</f>
        <v/>
      </c>
      <c r="CE999" s="76">
        <f>IF($AB999="Currently special serv","Currently Specially Serviced",IF($AB999="Returned to master serv","Previously Specially Serviced","Never Specially Serviced"))</f>
        <v/>
      </c>
      <c r="CF999" s="78">
        <f>IF($CE999="Currently Specially Serviced",1,0)</f>
        <v/>
      </c>
      <c r="CG999" s="76">
        <f>IF($AA999="Yes","Currently on Watchlist",IF($AA999="Previously","Previously on Watchlist","Never on Watchlist"))</f>
        <v/>
      </c>
      <c r="CH999" s="78">
        <f>IF($CG999="Currently on Watchlist",1,0)</f>
        <v/>
      </c>
      <c r="CI999" s="76">
        <f>IF($Z999="Full Defeasance","Fully Defeased",IF($Z999="Portion Of Loan Previously Defeased","Partially Defeased",IF($Z999="Defeasance Not Allowable","Not Defeased (Not Permitted)","Not Defeased")))</f>
        <v/>
      </c>
      <c r="CJ999" s="78">
        <f>IF($CI999="Fully Defeased",1,0)</f>
        <v/>
      </c>
      <c r="CK999" s="76">
        <f>IF($R999="IO","Full IO",IF(LEFT($R999&amp;"",7)="IO then","Partial IO","Amortizing"))</f>
        <v/>
      </c>
      <c r="CL999" s="78">
        <f>IF($CK999="Full IO",1,0)</f>
        <v/>
      </c>
      <c r="CM999" s="78">
        <f>IF($CK999="Partial IO",1,0)</f>
        <v/>
      </c>
      <c r="CN999" s="76">
        <f>IF(LEFT($F999&amp;"",10)="SPLIT_LOAN","Pari Passu Split","Standalone")</f>
        <v/>
      </c>
      <c r="CO999" s="78">
        <f>IF($CN999="Pari Passu Split",1,0)</f>
        <v/>
      </c>
      <c r="CP999" s="77">
        <f>IF(ISNUMBER($T999),YEAR($T999),"")</f>
        <v/>
      </c>
      <c r="CQ999" s="79">
        <f>IF(ISNUMBER($V999),$V999,IF(ISNUMBER($U999),$U999,""))</f>
        <v/>
      </c>
      <c r="CR999" s="77">
        <f>IF(ISNUMBER($CQ999),YEAR($CQ999),"")</f>
        <v/>
      </c>
      <c r="CS999" s="78">
        <f>IF(ISNUMBER($M999),MAX(0,$M999),IF(TRIM($M999&amp;"")="matured",0,""))</f>
        <v/>
      </c>
      <c r="CT999" s="78">
        <f>IF(AND(ISNUMBER($CS999),N($CS999)&lt;=mMatWindow),1,0)</f>
        <v/>
      </c>
      <c r="CU999" s="80">
        <f>IF(ISNUMBER($J999),$J999/100,"")</f>
        <v/>
      </c>
      <c r="CV999" s="81">
        <f>IF(ISNUMBER($AQ999),$AQ999,"")</f>
        <v/>
      </c>
      <c r="CW999" s="81">
        <f>IF(ISNUMBER($AR999),$AR999,"")</f>
        <v/>
      </c>
      <c r="CX999" s="82">
        <f>IF(ISNUMBER($AS999),$AS999/100,"")</f>
        <v/>
      </c>
      <c r="CY999" s="82">
        <f>IF(ISNUMBER($AT999),$AT999/100,"")</f>
        <v/>
      </c>
      <c r="CZ999" s="82">
        <f>IF(ISNUMBER($AU999),$AU999/100,"")</f>
        <v/>
      </c>
      <c r="DA999" s="82">
        <f>IF(ISNUMBER($AV999),$AV999/100,"")</f>
        <v/>
      </c>
      <c r="DB999" s="82">
        <f>IF(ISNUMBER($AW999),$AW999/100,"")</f>
        <v/>
      </c>
      <c r="DC999" s="82">
        <f>IF(ISNUMBER($AX999),$AX999/100,"")</f>
        <v/>
      </c>
      <c r="DD999" s="77">
        <f>IFERROR(VALUE(LEFT(TRIM($AO999&amp;""),4)),"")</f>
        <v/>
      </c>
      <c r="DE999" s="78">
        <f>IF(AND($BY999=1,$BX999=1,OR(fDeal="All Deals",$BU999=fDeal),OR(fEntity="All Entities",$BV999=fEntity),OR(fPType="All Property Types",$BZ999=fPType),OR(fDefeased="Include",$CJ999=0)),1,0)</f>
        <v/>
      </c>
      <c r="DF999" s="83">
        <f>$DE999*N($I999)</f>
        <v/>
      </c>
      <c r="DG999" s="78">
        <f>IF($DE999=1,IF(COUNTIFS($F$8:$F999,$F999,$DE$8:$DE999,1)=1,1,0),0)</f>
        <v/>
      </c>
      <c r="DH999" s="83">
        <f>IF($DG999=1,SUMIFS($DF$8:$DF$1600,$F$8:$F$1600,$F999),0)</f>
        <v/>
      </c>
      <c r="DI999" s="78">
        <f>IF($DG999=1,COUNTIFS($F$8:$F$1600,$F999,$DE$8:$DE$1600,1),0)</f>
        <v/>
      </c>
      <c r="DJ999" s="84">
        <f>IF($DG999=1,$DH999+(100000-ROW())/mTieBreak,0)</f>
        <v/>
      </c>
    </row>
    <row r="1000">
      <c r="B1000" s="68" t="n">
        <v>60</v>
      </c>
      <c r="C1000" s="69" t="inlineStr">
        <is>
          <t>WFC18C43</t>
        </is>
      </c>
      <c r="D1000" s="69" t="inlineStr">
        <is>
          <t>60.000</t>
        </is>
      </c>
      <c r="E1000" s="69" t="inlineStr">
        <is>
          <t>Marshfield MHP</t>
        </is>
      </c>
      <c r="F1000" s="69" t="inlineStr">
        <is>
          <t>LNWFC18C43-60.000</t>
        </is>
      </c>
      <c r="G1000" s="70" t="n"/>
      <c r="H1000" s="71" t="n">
        <v>2070000</v>
      </c>
      <c r="I1000" s="71" t="n">
        <v>0</v>
      </c>
      <c r="J1000" s="72" t="n">
        <v>5.58</v>
      </c>
      <c r="K1000" s="69" t="inlineStr">
        <is>
          <t>Fixed rate</t>
        </is>
      </c>
      <c r="L1000" s="68" t="n">
        <v>60</v>
      </c>
      <c r="M1000" s="68" t="n"/>
      <c r="N1000" s="68" t="n">
        <v>360</v>
      </c>
      <c r="O1000" s="68" t="n"/>
      <c r="P1000" s="68" t="n"/>
      <c r="Q1000" s="68" t="n"/>
      <c r="R1000" s="69" t="n"/>
      <c r="S1000" s="69" t="inlineStr">
        <is>
          <t>No</t>
        </is>
      </c>
      <c r="T1000" s="73" t="n">
        <v>43101</v>
      </c>
      <c r="U1000" s="73" t="n">
        <v>44937</v>
      </c>
      <c r="V1000" s="73" t="n"/>
      <c r="W1000" s="69" t="n"/>
      <c r="X1000" s="69" t="inlineStr">
        <is>
          <t>Current</t>
        </is>
      </c>
      <c r="Y1000" s="68" t="n"/>
      <c r="Z1000" s="69" t="inlineStr">
        <is>
          <t>Full Defeasance</t>
        </is>
      </c>
      <c r="AA1000" s="69" t="inlineStr">
        <is>
          <t>Previously</t>
        </is>
      </c>
      <c r="AB1000" s="69" t="inlineStr">
        <is>
          <t>Never special serv</t>
        </is>
      </c>
      <c r="AC1000" s="73" t="n"/>
      <c r="AD1000" s="69" t="n"/>
      <c r="AE1000" s="69" t="n"/>
      <c r="AF1000" s="69" t="inlineStr">
        <is>
          <t>WI</t>
        </is>
      </c>
      <c r="AG1000" s="69" t="inlineStr">
        <is>
          <t>Marshfield</t>
        </is>
      </c>
      <c r="AH1000" s="69" t="inlineStr">
        <is>
          <t>Wisconsin Rapids-Marshfield, WI</t>
        </is>
      </c>
      <c r="AI1000" s="69" t="inlineStr">
        <is>
          <t>Midwest / Central East</t>
        </is>
      </c>
      <c r="AJ1000" s="69" t="inlineStr">
        <is>
          <t>MH</t>
        </is>
      </c>
      <c r="AK1000" s="69" t="n"/>
      <c r="AL1000" s="68" t="n">
        <v>1</v>
      </c>
      <c r="AM1000" s="68" t="n">
        <v>190</v>
      </c>
      <c r="AN1000" s="68" t="n"/>
      <c r="AO1000" s="69" t="inlineStr">
        <is>
          <t>1960</t>
        </is>
      </c>
      <c r="AP1000" s="70" t="n">
        <v>2017</v>
      </c>
      <c r="AQ1000" s="74" t="n">
        <v>1.55</v>
      </c>
      <c r="AR1000" s="74" t="n">
        <v>2.44</v>
      </c>
      <c r="AS1000" s="74" t="n">
        <v>66.59999999999999</v>
      </c>
      <c r="AT1000" s="74" t="n"/>
      <c r="AU1000" s="74" t="n">
        <v>62.1</v>
      </c>
      <c r="AV1000" s="74" t="n">
        <v>10.654805797</v>
      </c>
      <c r="AW1000" s="74" t="n"/>
      <c r="AX1000" s="75" t="n">
        <v>75</v>
      </c>
      <c r="AY1000" s="71" t="n">
        <v>3100000</v>
      </c>
      <c r="AZ1000" s="71" t="n">
        <v>3100000</v>
      </c>
      <c r="BA1000" s="71" t="n">
        <v>220554.48</v>
      </c>
      <c r="BB1000" s="71" t="n">
        <v>173728</v>
      </c>
      <c r="BC1000" s="69" t="inlineStr">
        <is>
          <t>Acquisition</t>
        </is>
      </c>
      <c r="BD1000" s="69" t="inlineStr">
        <is>
          <t>N</t>
        </is>
      </c>
      <c r="BE1000" s="71" t="n"/>
      <c r="BF1000" s="71" t="n"/>
      <c r="BG1000" s="71" t="n"/>
      <c r="BH1000" s="71" t="n">
        <v>0</v>
      </c>
      <c r="BI1000" s="71" t="n">
        <v>0</v>
      </c>
      <c r="BJ1000" s="69" t="inlineStr">
        <is>
          <t>N</t>
        </is>
      </c>
      <c r="BK1000" s="69" t="n"/>
      <c r="BL1000" s="75" t="n"/>
      <c r="BM1000" s="73" t="n"/>
      <c r="BN1000" s="69" t="inlineStr">
        <is>
          <t>Brad Johnson; Jefferson Lilly; Bryce Robertson; Kevin Dhillon; Daniella Dhillon</t>
        </is>
      </c>
      <c r="BO1000" s="69" t="inlineStr">
        <is>
          <t>CIII Capital</t>
        </is>
      </c>
      <c r="BP1000" s="69" t="inlineStr">
        <is>
          <t>Wells Fargo</t>
        </is>
      </c>
      <c r="BQ1000" s="69" t="inlineStr">
        <is>
          <t>Midland Loan Services</t>
        </is>
      </c>
      <c r="BR1000" s="69" t="inlineStr">
        <is>
          <t>Full Payoff At Maturity</t>
        </is>
      </c>
      <c r="BS1000" s="73" t="n">
        <v>44937</v>
      </c>
      <c r="BU1000" s="76">
        <f>IF($C1000="","",IFERROR(INDEX(dmName,MATCH($C1000,dmID,0)),"Unmapped"))</f>
        <v/>
      </c>
      <c r="BV1000" s="76">
        <f>IF($C1000="","",IFERROR(INDEX(dmEntity,MATCH($C1000,dmID,0)),"Unmapped"))</f>
        <v/>
      </c>
      <c r="BW1000" s="77">
        <f>IF($C1000="","",IFERROR(INDEX(dmVintage,MATCH($C1000,dmID,0)),""))</f>
        <v/>
      </c>
      <c r="BX1000" s="78">
        <f>IFERROR(INDEX(dmInclude,MATCH($C1000,dmID,0)),0)</f>
        <v/>
      </c>
      <c r="BY1000" s="78">
        <f>IF(N($I1000)&gt;0,1,0)</f>
        <v/>
      </c>
      <c r="BZ1000" s="76">
        <f>IF($AJ1000="","Other / Leased Fee",IFERROR(INDEX(mapPTGroup,MATCH(LEFT(TRIM($AJ1000),2),mapPTCode,0)),"Other / Leased Fee"))</f>
        <v/>
      </c>
      <c r="CA1000" s="76">
        <f>IF(TRIM($AF1000&amp;"")="","NR",LEFT(TRIM($AF1000),2))</f>
        <v/>
      </c>
      <c r="CB1000" s="76">
        <f>IFERROR(LOOKUP(2,1/(LEFT(TRIM($AI1000&amp;""),LEN(mapRegion))=mapRegion),mapRegion),"Not Reported")</f>
        <v/>
      </c>
      <c r="CC1000" s="76">
        <f>IF($BY1000=0,"",IF(TRIM($W1000&amp;"")="REO","REO",IF(TRIM($W1000&amp;"")="FC","Foreclosure",IF(TRIM($W1000&amp;"")="90+","90+ Days Delinquent",IF(TRIM($W1000&amp;"")="60","60 Days Delinquent",IF(TRIM($W1000&amp;"")="30","30 Days Delinquent",IF($X1000="Non-Performing Matured Balloon","Non-Performing Matured Balloon",IF(OR($X1000="Late Payment But Less Than 30 Days Delinquent",LEFT($X1000&amp;"",20)="Payment Not Received"),"Late / In Grace (&lt;30 Days)",IF($X1000="Performing Matured Balloon","Performing Matured Balloon","Current")))))))))</f>
        <v/>
      </c>
      <c r="CD1000" s="78">
        <f>IF(OR($CC1000="REO",$CC1000="Foreclosure",$CC1000="90+ Days Delinquent",$CC1000="60 Days Delinquent",$CC1000="30 Days Delinquent",$CC1000="Non-Performing Matured Balloon"),1,0)</f>
        <v/>
      </c>
      <c r="CE1000" s="76">
        <f>IF($AB1000="Currently special serv","Currently Specially Serviced",IF($AB1000="Returned to master serv","Previously Specially Serviced","Never Specially Serviced"))</f>
        <v/>
      </c>
      <c r="CF1000" s="78">
        <f>IF($CE1000="Currently Specially Serviced",1,0)</f>
        <v/>
      </c>
      <c r="CG1000" s="76">
        <f>IF($AA1000="Yes","Currently on Watchlist",IF($AA1000="Previously","Previously on Watchlist","Never on Watchlist"))</f>
        <v/>
      </c>
      <c r="CH1000" s="78">
        <f>IF($CG1000="Currently on Watchlist",1,0)</f>
        <v/>
      </c>
      <c r="CI1000" s="76">
        <f>IF($Z1000="Full Defeasance","Fully Defeased",IF($Z1000="Portion Of Loan Previously Defeased","Partially Defeased",IF($Z1000="Defeasance Not Allowable","Not Defeased (Not Permitted)","Not Defeased")))</f>
        <v/>
      </c>
      <c r="CJ1000" s="78">
        <f>IF($CI1000="Fully Defeased",1,0)</f>
        <v/>
      </c>
      <c r="CK1000" s="76">
        <f>IF($R1000="IO","Full IO",IF(LEFT($R1000&amp;"",7)="IO then","Partial IO","Amortizing"))</f>
        <v/>
      </c>
      <c r="CL1000" s="78">
        <f>IF($CK1000="Full IO",1,0)</f>
        <v/>
      </c>
      <c r="CM1000" s="78">
        <f>IF($CK1000="Partial IO",1,0)</f>
        <v/>
      </c>
      <c r="CN1000" s="76">
        <f>IF(LEFT($F1000&amp;"",10)="SPLIT_LOAN","Pari Passu Split","Standalone")</f>
        <v/>
      </c>
      <c r="CO1000" s="78">
        <f>IF($CN1000="Pari Passu Split",1,0)</f>
        <v/>
      </c>
      <c r="CP1000" s="77">
        <f>IF(ISNUMBER($T1000),YEAR($T1000),"")</f>
        <v/>
      </c>
      <c r="CQ1000" s="79">
        <f>IF(ISNUMBER($V1000),$V1000,IF(ISNUMBER($U1000),$U1000,""))</f>
        <v/>
      </c>
      <c r="CR1000" s="77">
        <f>IF(ISNUMBER($CQ1000),YEAR($CQ1000),"")</f>
        <v/>
      </c>
      <c r="CS1000" s="78">
        <f>IF(ISNUMBER($M1000),MAX(0,$M1000),IF(TRIM($M1000&amp;"")="matured",0,""))</f>
        <v/>
      </c>
      <c r="CT1000" s="78">
        <f>IF(AND(ISNUMBER($CS1000),N($CS1000)&lt;=mMatWindow),1,0)</f>
        <v/>
      </c>
      <c r="CU1000" s="80">
        <f>IF(ISNUMBER($J1000),$J1000/100,"")</f>
        <v/>
      </c>
      <c r="CV1000" s="81">
        <f>IF(ISNUMBER($AQ1000),$AQ1000,"")</f>
        <v/>
      </c>
      <c r="CW1000" s="81">
        <f>IF(ISNUMBER($AR1000),$AR1000,"")</f>
        <v/>
      </c>
      <c r="CX1000" s="82">
        <f>IF(ISNUMBER($AS1000),$AS1000/100,"")</f>
        <v/>
      </c>
      <c r="CY1000" s="82">
        <f>IF(ISNUMBER($AT1000),$AT1000/100,"")</f>
        <v/>
      </c>
      <c r="CZ1000" s="82">
        <f>IF(ISNUMBER($AU1000),$AU1000/100,"")</f>
        <v/>
      </c>
      <c r="DA1000" s="82">
        <f>IF(ISNUMBER($AV1000),$AV1000/100,"")</f>
        <v/>
      </c>
      <c r="DB1000" s="82">
        <f>IF(ISNUMBER($AW1000),$AW1000/100,"")</f>
        <v/>
      </c>
      <c r="DC1000" s="82">
        <f>IF(ISNUMBER($AX1000),$AX1000/100,"")</f>
        <v/>
      </c>
      <c r="DD1000" s="77">
        <f>IFERROR(VALUE(LEFT(TRIM($AO1000&amp;""),4)),"")</f>
        <v/>
      </c>
      <c r="DE1000" s="78">
        <f>IF(AND($BY1000=1,$BX1000=1,OR(fDeal="All Deals",$BU1000=fDeal),OR(fEntity="All Entities",$BV1000=fEntity),OR(fPType="All Property Types",$BZ1000=fPType),OR(fDefeased="Include",$CJ1000=0)),1,0)</f>
        <v/>
      </c>
      <c r="DF1000" s="83">
        <f>$DE1000*N($I1000)</f>
        <v/>
      </c>
      <c r="DG1000" s="78">
        <f>IF($DE1000=1,IF(COUNTIFS($F$8:$F1000,$F1000,$DE$8:$DE1000,1)=1,1,0),0)</f>
        <v/>
      </c>
      <c r="DH1000" s="83">
        <f>IF($DG1000=1,SUMIFS($DF$8:$DF$1600,$F$8:$F$1600,$F1000),0)</f>
        <v/>
      </c>
      <c r="DI1000" s="78">
        <f>IF($DG1000=1,COUNTIFS($F$8:$F$1600,$F1000,$DE$8:$DE$1600,1),0)</f>
        <v/>
      </c>
      <c r="DJ1000" s="84">
        <f>IF($DG1000=1,$DH1000+(100000-ROW())/mTieBreak,0)</f>
        <v/>
      </c>
    </row>
    <row r="1001">
      <c r="B1001" s="68" t="n">
        <v>61</v>
      </c>
      <c r="C1001" s="69" t="inlineStr">
        <is>
          <t>WFC18C43</t>
        </is>
      </c>
      <c r="D1001" s="69" t="inlineStr">
        <is>
          <t>61.000</t>
        </is>
      </c>
      <c r="E1001" s="69" t="inlineStr">
        <is>
          <t>Rancier Mini Storage</t>
        </is>
      </c>
      <c r="F1001" s="69" t="inlineStr">
        <is>
          <t>LNWFC18C43-61.000</t>
        </is>
      </c>
      <c r="G1001" s="70" t="n"/>
      <c r="H1001" s="71" t="n">
        <v>1950000</v>
      </c>
      <c r="I1001" s="71" t="n">
        <v>1688894.66999955</v>
      </c>
      <c r="J1001" s="72" t="n">
        <v>4.8</v>
      </c>
      <c r="K1001" s="69" t="inlineStr">
        <is>
          <t>Fixed rate</t>
        </is>
      </c>
      <c r="L1001" s="68" t="n">
        <v>120</v>
      </c>
      <c r="M1001" s="68" t="n">
        <v>15</v>
      </c>
      <c r="N1001" s="68" t="n">
        <v>372</v>
      </c>
      <c r="O1001" s="68" t="n">
        <v>12</v>
      </c>
      <c r="P1001" s="68" t="n">
        <v>0</v>
      </c>
      <c r="Q1001" s="68" t="n">
        <v>105</v>
      </c>
      <c r="R1001" s="69" t="inlineStr">
        <is>
          <t>IO then Amort</t>
        </is>
      </c>
      <c r="S1001" s="69" t="inlineStr">
        <is>
          <t>No</t>
        </is>
      </c>
      <c r="T1001" s="73" t="n">
        <v>43070</v>
      </c>
      <c r="U1001" s="73" t="n">
        <v>46732</v>
      </c>
      <c r="V1001" s="73" t="n"/>
      <c r="W1001" s="69" t="n"/>
      <c r="X1001" s="69" t="inlineStr">
        <is>
          <t>Current</t>
        </is>
      </c>
      <c r="Y1001" s="68" t="n"/>
      <c r="Z1001" s="69" t="inlineStr">
        <is>
          <t>No Defeasance Occurred</t>
        </is>
      </c>
      <c r="AA1001" s="69" t="inlineStr">
        <is>
          <t>Previously</t>
        </is>
      </c>
      <c r="AB1001" s="69" t="inlineStr">
        <is>
          <t>Never special serv</t>
        </is>
      </c>
      <c r="AC1001" s="73" t="n"/>
      <c r="AD1001" s="69" t="n"/>
      <c r="AE1001" s="69" t="n"/>
      <c r="AF1001" s="69" t="inlineStr">
        <is>
          <t>TX</t>
        </is>
      </c>
      <c r="AG1001" s="69" t="inlineStr">
        <is>
          <t>Killeen</t>
        </is>
      </c>
      <c r="AH1001" s="69" t="inlineStr">
        <is>
          <t>Killeen-Temple, TX</t>
        </is>
      </c>
      <c r="AI1001" s="69" t="inlineStr">
        <is>
          <t>South / Central West</t>
        </is>
      </c>
      <c r="AJ1001" s="69" t="inlineStr">
        <is>
          <t>SS</t>
        </is>
      </c>
      <c r="AK1001" s="69" t="n"/>
      <c r="AL1001" s="68" t="n">
        <v>1</v>
      </c>
      <c r="AM1001" s="68" t="n"/>
      <c r="AN1001" s="68" t="n">
        <v>47794</v>
      </c>
      <c r="AO1001" s="69" t="inlineStr">
        <is>
          <t>1985</t>
        </is>
      </c>
      <c r="AP1001" s="70" t="n">
        <v>1985</v>
      </c>
      <c r="AQ1001" s="74" t="n">
        <v>1.46</v>
      </c>
      <c r="AR1001" s="74" t="n">
        <v>1.62</v>
      </c>
      <c r="AS1001" s="74" t="n">
        <v>69.90000000000001</v>
      </c>
      <c r="AT1001" s="74" t="n">
        <v>60.53</v>
      </c>
      <c r="AU1001" s="74" t="n">
        <v>58.7</v>
      </c>
      <c r="AV1001" s="74" t="n">
        <v>9.203230768999999</v>
      </c>
      <c r="AW1001" s="74" t="n">
        <v>10.913844023</v>
      </c>
      <c r="AX1001" s="75" t="n">
        <v>75</v>
      </c>
      <c r="AY1001" s="71" t="n">
        <v>2790000</v>
      </c>
      <c r="AZ1001" s="71" t="n">
        <v>2790000</v>
      </c>
      <c r="BA1001" s="71" t="n">
        <v>179463</v>
      </c>
      <c r="BB1001" s="71" t="n">
        <v>99272.02</v>
      </c>
      <c r="BC1001" s="69" t="inlineStr">
        <is>
          <t>Acquisition</t>
        </is>
      </c>
      <c r="BD1001" s="69" t="inlineStr">
        <is>
          <t>N</t>
        </is>
      </c>
      <c r="BE1001" s="71" t="n"/>
      <c r="BF1001" s="71" t="n"/>
      <c r="BG1001" s="71" t="n"/>
      <c r="BH1001" s="71" t="n">
        <v>0</v>
      </c>
      <c r="BI1001" s="71" t="n">
        <v>0</v>
      </c>
      <c r="BJ1001" s="69" t="inlineStr">
        <is>
          <t>N</t>
        </is>
      </c>
      <c r="BK1001" s="69" t="n"/>
      <c r="BL1001" s="75" t="n"/>
      <c r="BM1001" s="73" t="n"/>
      <c r="BN1001" s="69" t="inlineStr">
        <is>
          <t>Steven Weinstock; Daniella Weinstock</t>
        </is>
      </c>
      <c r="BO1001" s="69" t="inlineStr">
        <is>
          <t>Wells Fargo</t>
        </is>
      </c>
      <c r="BP1001" s="69" t="inlineStr">
        <is>
          <t>TriMont Real Estate Advisors</t>
        </is>
      </c>
      <c r="BQ1001" s="69" t="inlineStr">
        <is>
          <t>K-Star Asset Management LLC</t>
        </is>
      </c>
      <c r="BR1001" s="69" t="n"/>
      <c r="BS1001" s="73" t="n">
        <v>46276</v>
      </c>
      <c r="BU1001" s="76">
        <f>IF($C1001="","",IFERROR(INDEX(dmName,MATCH($C1001,dmID,0)),"Unmapped"))</f>
        <v/>
      </c>
      <c r="BV1001" s="76">
        <f>IF($C1001="","",IFERROR(INDEX(dmEntity,MATCH($C1001,dmID,0)),"Unmapped"))</f>
        <v/>
      </c>
      <c r="BW1001" s="77">
        <f>IF($C1001="","",IFERROR(INDEX(dmVintage,MATCH($C1001,dmID,0)),""))</f>
        <v/>
      </c>
      <c r="BX1001" s="78">
        <f>IFERROR(INDEX(dmInclude,MATCH($C1001,dmID,0)),0)</f>
        <v/>
      </c>
      <c r="BY1001" s="78">
        <f>IF(N($I1001)&gt;0,1,0)</f>
        <v/>
      </c>
      <c r="BZ1001" s="76">
        <f>IF($AJ1001="","Other / Leased Fee",IFERROR(INDEX(mapPTGroup,MATCH(LEFT(TRIM($AJ1001),2),mapPTCode,0)),"Other / Leased Fee"))</f>
        <v/>
      </c>
      <c r="CA1001" s="76">
        <f>IF(TRIM($AF1001&amp;"")="","NR",LEFT(TRIM($AF1001),2))</f>
        <v/>
      </c>
      <c r="CB1001" s="76">
        <f>IFERROR(LOOKUP(2,1/(LEFT(TRIM($AI1001&amp;""),LEN(mapRegion))=mapRegion),mapRegion),"Not Reported")</f>
        <v/>
      </c>
      <c r="CC1001" s="76">
        <f>IF($BY1001=0,"",IF(TRIM($W1001&amp;"")="REO","REO",IF(TRIM($W1001&amp;"")="FC","Foreclosure",IF(TRIM($W1001&amp;"")="90+","90+ Days Delinquent",IF(TRIM($W1001&amp;"")="60","60 Days Delinquent",IF(TRIM($W1001&amp;"")="30","30 Days Delinquent",IF($X1001="Non-Performing Matured Balloon","Non-Performing Matured Balloon",IF(OR($X1001="Late Payment But Less Than 30 Days Delinquent",LEFT($X1001&amp;"",20)="Payment Not Received"),"Late / In Grace (&lt;30 Days)",IF($X1001="Performing Matured Balloon","Performing Matured Balloon","Current")))))))))</f>
        <v/>
      </c>
      <c r="CD1001" s="78">
        <f>IF(OR($CC1001="REO",$CC1001="Foreclosure",$CC1001="90+ Days Delinquent",$CC1001="60 Days Delinquent",$CC1001="30 Days Delinquent",$CC1001="Non-Performing Matured Balloon"),1,0)</f>
        <v/>
      </c>
      <c r="CE1001" s="76">
        <f>IF($AB1001="Currently special serv","Currently Specially Serviced",IF($AB1001="Returned to master serv","Previously Specially Serviced","Never Specially Serviced"))</f>
        <v/>
      </c>
      <c r="CF1001" s="78">
        <f>IF($CE1001="Currently Specially Serviced",1,0)</f>
        <v/>
      </c>
      <c r="CG1001" s="76">
        <f>IF($AA1001="Yes","Currently on Watchlist",IF($AA1001="Previously","Previously on Watchlist","Never on Watchlist"))</f>
        <v/>
      </c>
      <c r="CH1001" s="78">
        <f>IF($CG1001="Currently on Watchlist",1,0)</f>
        <v/>
      </c>
      <c r="CI1001" s="76">
        <f>IF($Z1001="Full Defeasance","Fully Defeased",IF($Z1001="Portion Of Loan Previously Defeased","Partially Defeased",IF($Z1001="Defeasance Not Allowable","Not Defeased (Not Permitted)","Not Defeased")))</f>
        <v/>
      </c>
      <c r="CJ1001" s="78">
        <f>IF($CI1001="Fully Defeased",1,0)</f>
        <v/>
      </c>
      <c r="CK1001" s="76">
        <f>IF($R1001="IO","Full IO",IF(LEFT($R1001&amp;"",7)="IO then","Partial IO","Amortizing"))</f>
        <v/>
      </c>
      <c r="CL1001" s="78">
        <f>IF($CK1001="Full IO",1,0)</f>
        <v/>
      </c>
      <c r="CM1001" s="78">
        <f>IF($CK1001="Partial IO",1,0)</f>
        <v/>
      </c>
      <c r="CN1001" s="76">
        <f>IF(LEFT($F1001&amp;"",10)="SPLIT_LOAN","Pari Passu Split","Standalone")</f>
        <v/>
      </c>
      <c r="CO1001" s="78">
        <f>IF($CN1001="Pari Passu Split",1,0)</f>
        <v/>
      </c>
      <c r="CP1001" s="77">
        <f>IF(ISNUMBER($T1001),YEAR($T1001),"")</f>
        <v/>
      </c>
      <c r="CQ1001" s="79">
        <f>IF(ISNUMBER($V1001),$V1001,IF(ISNUMBER($U1001),$U1001,""))</f>
        <v/>
      </c>
      <c r="CR1001" s="77">
        <f>IF(ISNUMBER($CQ1001),YEAR($CQ1001),"")</f>
        <v/>
      </c>
      <c r="CS1001" s="78">
        <f>IF(ISNUMBER($M1001),MAX(0,$M1001),IF(TRIM($M1001&amp;"")="matured",0,""))</f>
        <v/>
      </c>
      <c r="CT1001" s="78">
        <f>IF(AND(ISNUMBER($CS1001),N($CS1001)&lt;=mMatWindow),1,0)</f>
        <v/>
      </c>
      <c r="CU1001" s="80">
        <f>IF(ISNUMBER($J1001),$J1001/100,"")</f>
        <v/>
      </c>
      <c r="CV1001" s="81">
        <f>IF(ISNUMBER($AQ1001),$AQ1001,"")</f>
        <v/>
      </c>
      <c r="CW1001" s="81">
        <f>IF(ISNUMBER($AR1001),$AR1001,"")</f>
        <v/>
      </c>
      <c r="CX1001" s="82">
        <f>IF(ISNUMBER($AS1001),$AS1001/100,"")</f>
        <v/>
      </c>
      <c r="CY1001" s="82">
        <f>IF(ISNUMBER($AT1001),$AT1001/100,"")</f>
        <v/>
      </c>
      <c r="CZ1001" s="82">
        <f>IF(ISNUMBER($AU1001),$AU1001/100,"")</f>
        <v/>
      </c>
      <c r="DA1001" s="82">
        <f>IF(ISNUMBER($AV1001),$AV1001/100,"")</f>
        <v/>
      </c>
      <c r="DB1001" s="82">
        <f>IF(ISNUMBER($AW1001),$AW1001/100,"")</f>
        <v/>
      </c>
      <c r="DC1001" s="82">
        <f>IF(ISNUMBER($AX1001),$AX1001/100,"")</f>
        <v/>
      </c>
      <c r="DD1001" s="77">
        <f>IFERROR(VALUE(LEFT(TRIM($AO1001&amp;""),4)),"")</f>
        <v/>
      </c>
      <c r="DE1001" s="78">
        <f>IF(AND($BY1001=1,$BX1001=1,OR(fDeal="All Deals",$BU1001=fDeal),OR(fEntity="All Entities",$BV1001=fEntity),OR(fPType="All Property Types",$BZ1001=fPType),OR(fDefeased="Include",$CJ1001=0)),1,0)</f>
        <v/>
      </c>
      <c r="DF1001" s="83">
        <f>$DE1001*N($I1001)</f>
        <v/>
      </c>
      <c r="DG1001" s="78">
        <f>IF($DE1001=1,IF(COUNTIFS($F$8:$F1001,$F1001,$DE$8:$DE1001,1)=1,1,0),0)</f>
        <v/>
      </c>
      <c r="DH1001" s="83">
        <f>IF($DG1001=1,SUMIFS($DF$8:$DF$1600,$F$8:$F$1600,$F1001),0)</f>
        <v/>
      </c>
      <c r="DI1001" s="78">
        <f>IF($DG1001=1,COUNTIFS($F$8:$F$1600,$F1001,$DE$8:$DE$1600,1),0)</f>
        <v/>
      </c>
      <c r="DJ1001" s="84">
        <f>IF($DG1001=1,$DH1001+(100000-ROW())/mTieBreak,0)</f>
        <v/>
      </c>
    </row>
    <row r="1002">
      <c r="B1002" s="68" t="n">
        <v>62</v>
      </c>
      <c r="C1002" s="69" t="inlineStr">
        <is>
          <t>WFC18C43</t>
        </is>
      </c>
      <c r="D1002" s="69" t="inlineStr">
        <is>
          <t>62.000</t>
        </is>
      </c>
      <c r="E1002" s="69" t="inlineStr">
        <is>
          <t>O'Reilly Auto Parts - Miami, FL</t>
        </is>
      </c>
      <c r="F1002" s="69" t="inlineStr">
        <is>
          <t>LNWFC18C43-62.000</t>
        </is>
      </c>
      <c r="G1002" s="70" t="n"/>
      <c r="H1002" s="71" t="n">
        <v>1618500</v>
      </c>
      <c r="I1002" s="71" t="n">
        <v>1377360.200000226</v>
      </c>
      <c r="J1002" s="72" t="n">
        <v>4.92</v>
      </c>
      <c r="K1002" s="69" t="inlineStr">
        <is>
          <t>Fixed rate</t>
        </is>
      </c>
      <c r="L1002" s="68" t="n">
        <v>120</v>
      </c>
      <c r="M1002" s="68" t="n">
        <v>17</v>
      </c>
      <c r="N1002" s="68" t="n">
        <v>360</v>
      </c>
      <c r="O1002" s="68" t="n"/>
      <c r="P1002" s="68" t="n"/>
      <c r="Q1002" s="68" t="n">
        <v>103</v>
      </c>
      <c r="R1002" s="69" t="n"/>
      <c r="S1002" s="69" t="inlineStr">
        <is>
          <t>No</t>
        </is>
      </c>
      <c r="T1002" s="73" t="n">
        <v>43132</v>
      </c>
      <c r="U1002" s="73" t="n">
        <v>46794</v>
      </c>
      <c r="V1002" s="73" t="n"/>
      <c r="W1002" s="69" t="n"/>
      <c r="X1002" s="69" t="inlineStr">
        <is>
          <t>Current</t>
        </is>
      </c>
      <c r="Y1002" s="68" t="n"/>
      <c r="Z1002" s="69" t="inlineStr">
        <is>
          <t>No Defeasance Occurred</t>
        </is>
      </c>
      <c r="AA1002" s="69" t="n"/>
      <c r="AB1002" s="69" t="inlineStr">
        <is>
          <t>Never special serv</t>
        </is>
      </c>
      <c r="AC1002" s="73" t="n"/>
      <c r="AD1002" s="69" t="n"/>
      <c r="AE1002" s="69" t="n"/>
      <c r="AF1002" s="69" t="inlineStr">
        <is>
          <t>FL</t>
        </is>
      </c>
      <c r="AG1002" s="69" t="inlineStr">
        <is>
          <t>Miami</t>
        </is>
      </c>
      <c r="AH1002" s="69" t="inlineStr">
        <is>
          <t>Miami-Fort Lauderdale-West Palm Beach, FL</t>
        </is>
      </c>
      <c r="AI1002" s="69" t="inlineStr">
        <is>
          <t>South / Atlantic</t>
        </is>
      </c>
      <c r="AJ1002" s="69" t="inlineStr">
        <is>
          <t>RT</t>
        </is>
      </c>
      <c r="AK1002" s="69" t="inlineStr">
        <is>
          <t>Single Tenant</t>
        </is>
      </c>
      <c r="AL1002" s="68" t="n">
        <v>1</v>
      </c>
      <c r="AM1002" s="68" t="n"/>
      <c r="AN1002" s="68" t="n">
        <v>7225</v>
      </c>
      <c r="AO1002" s="69" t="inlineStr">
        <is>
          <t>2017</t>
        </is>
      </c>
      <c r="AP1002" s="70" t="n">
        <v>2017</v>
      </c>
      <c r="AQ1002" s="74" t="n">
        <v>1.27</v>
      </c>
      <c r="AR1002" s="74" t="n">
        <v>1.37</v>
      </c>
      <c r="AS1002" s="74" t="n">
        <v>60.5</v>
      </c>
      <c r="AT1002" s="74" t="n">
        <v>51.59</v>
      </c>
      <c r="AU1002" s="74" t="n">
        <v>49.7</v>
      </c>
      <c r="AV1002" s="74" t="n">
        <v>8.10693358</v>
      </c>
      <c r="AW1002" s="74" t="n">
        <v>10.310464176</v>
      </c>
      <c r="AX1002" s="75" t="n">
        <v>100</v>
      </c>
      <c r="AY1002" s="71" t="n">
        <v>2670000</v>
      </c>
      <c r="AZ1002" s="71" t="n">
        <v>2670000</v>
      </c>
      <c r="BA1002" s="71" t="n">
        <v>131210.72</v>
      </c>
      <c r="BB1002" s="71" t="n">
        <v>142012.23</v>
      </c>
      <c r="BC1002" s="69" t="inlineStr">
        <is>
          <t>Acquisition</t>
        </is>
      </c>
      <c r="BD1002" s="69" t="inlineStr">
        <is>
          <t>N</t>
        </is>
      </c>
      <c r="BE1002" s="71" t="n"/>
      <c r="BF1002" s="71" t="n"/>
      <c r="BG1002" s="71" t="n"/>
      <c r="BH1002" s="71" t="n">
        <v>0</v>
      </c>
      <c r="BI1002" s="71" t="n">
        <v>0</v>
      </c>
      <c r="BJ1002" s="69" t="inlineStr">
        <is>
          <t>N</t>
        </is>
      </c>
      <c r="BK1002" s="69" t="inlineStr">
        <is>
          <t>O'Reilly Auto Parts</t>
        </is>
      </c>
      <c r="BL1002" s="75" t="n">
        <v>100</v>
      </c>
      <c r="BM1002" s="73" t="n">
        <v>50314</v>
      </c>
      <c r="BN1002" s="69" t="inlineStr">
        <is>
          <t>Jack F. Adler, Jr.</t>
        </is>
      </c>
      <c r="BO1002" s="69" t="inlineStr">
        <is>
          <t>Wells Fargo</t>
        </is>
      </c>
      <c r="BP1002" s="69" t="inlineStr">
        <is>
          <t>TriMont Real Estate Advisors</t>
        </is>
      </c>
      <c r="BQ1002" s="69" t="inlineStr">
        <is>
          <t>K-Star Asset Management LLC</t>
        </is>
      </c>
      <c r="BR1002" s="69" t="n"/>
      <c r="BS1002" s="73" t="n">
        <v>46276</v>
      </c>
      <c r="BU1002" s="76">
        <f>IF($C1002="","",IFERROR(INDEX(dmName,MATCH($C1002,dmID,0)),"Unmapped"))</f>
        <v/>
      </c>
      <c r="BV1002" s="76">
        <f>IF($C1002="","",IFERROR(INDEX(dmEntity,MATCH($C1002,dmID,0)),"Unmapped"))</f>
        <v/>
      </c>
      <c r="BW1002" s="77">
        <f>IF($C1002="","",IFERROR(INDEX(dmVintage,MATCH($C1002,dmID,0)),""))</f>
        <v/>
      </c>
      <c r="BX1002" s="78">
        <f>IFERROR(INDEX(dmInclude,MATCH($C1002,dmID,0)),0)</f>
        <v/>
      </c>
      <c r="BY1002" s="78">
        <f>IF(N($I1002)&gt;0,1,0)</f>
        <v/>
      </c>
      <c r="BZ1002" s="76">
        <f>IF($AJ1002="","Other / Leased Fee",IFERROR(INDEX(mapPTGroup,MATCH(LEFT(TRIM($AJ1002),2),mapPTCode,0)),"Other / Leased Fee"))</f>
        <v/>
      </c>
      <c r="CA1002" s="76">
        <f>IF(TRIM($AF1002&amp;"")="","NR",LEFT(TRIM($AF1002),2))</f>
        <v/>
      </c>
      <c r="CB1002" s="76">
        <f>IFERROR(LOOKUP(2,1/(LEFT(TRIM($AI1002&amp;""),LEN(mapRegion))=mapRegion),mapRegion),"Not Reported")</f>
        <v/>
      </c>
      <c r="CC1002" s="76">
        <f>IF($BY1002=0,"",IF(TRIM($W1002&amp;"")="REO","REO",IF(TRIM($W1002&amp;"")="FC","Foreclosure",IF(TRIM($W1002&amp;"")="90+","90+ Days Delinquent",IF(TRIM($W1002&amp;"")="60","60 Days Delinquent",IF(TRIM($W1002&amp;"")="30","30 Days Delinquent",IF($X1002="Non-Performing Matured Balloon","Non-Performing Matured Balloon",IF(OR($X1002="Late Payment But Less Than 30 Days Delinquent",LEFT($X1002&amp;"",20)="Payment Not Received"),"Late / In Grace (&lt;30 Days)",IF($X1002="Performing Matured Balloon","Performing Matured Balloon","Current")))))))))</f>
        <v/>
      </c>
      <c r="CD1002" s="78">
        <f>IF(OR($CC1002="REO",$CC1002="Foreclosure",$CC1002="90+ Days Delinquent",$CC1002="60 Days Delinquent",$CC1002="30 Days Delinquent",$CC1002="Non-Performing Matured Balloon"),1,0)</f>
        <v/>
      </c>
      <c r="CE1002" s="76">
        <f>IF($AB1002="Currently special serv","Currently Specially Serviced",IF($AB1002="Returned to master serv","Previously Specially Serviced","Never Specially Serviced"))</f>
        <v/>
      </c>
      <c r="CF1002" s="78">
        <f>IF($CE1002="Currently Specially Serviced",1,0)</f>
        <v/>
      </c>
      <c r="CG1002" s="76">
        <f>IF($AA1002="Yes","Currently on Watchlist",IF($AA1002="Previously","Previously on Watchlist","Never on Watchlist"))</f>
        <v/>
      </c>
      <c r="CH1002" s="78">
        <f>IF($CG1002="Currently on Watchlist",1,0)</f>
        <v/>
      </c>
      <c r="CI1002" s="76">
        <f>IF($Z1002="Full Defeasance","Fully Defeased",IF($Z1002="Portion Of Loan Previously Defeased","Partially Defeased",IF($Z1002="Defeasance Not Allowable","Not Defeased (Not Permitted)","Not Defeased")))</f>
        <v/>
      </c>
      <c r="CJ1002" s="78">
        <f>IF($CI1002="Fully Defeased",1,0)</f>
        <v/>
      </c>
      <c r="CK1002" s="76">
        <f>IF($R1002="IO","Full IO",IF(LEFT($R1002&amp;"",7)="IO then","Partial IO","Amortizing"))</f>
        <v/>
      </c>
      <c r="CL1002" s="78">
        <f>IF($CK1002="Full IO",1,0)</f>
        <v/>
      </c>
      <c r="CM1002" s="78">
        <f>IF($CK1002="Partial IO",1,0)</f>
        <v/>
      </c>
      <c r="CN1002" s="76">
        <f>IF(LEFT($F1002&amp;"",10)="SPLIT_LOAN","Pari Passu Split","Standalone")</f>
        <v/>
      </c>
      <c r="CO1002" s="78">
        <f>IF($CN1002="Pari Passu Split",1,0)</f>
        <v/>
      </c>
      <c r="CP1002" s="77">
        <f>IF(ISNUMBER($T1002),YEAR($T1002),"")</f>
        <v/>
      </c>
      <c r="CQ1002" s="79">
        <f>IF(ISNUMBER($V1002),$V1002,IF(ISNUMBER($U1002),$U1002,""))</f>
        <v/>
      </c>
      <c r="CR1002" s="77">
        <f>IF(ISNUMBER($CQ1002),YEAR($CQ1002),"")</f>
        <v/>
      </c>
      <c r="CS1002" s="78">
        <f>IF(ISNUMBER($M1002),MAX(0,$M1002),IF(TRIM($M1002&amp;"")="matured",0,""))</f>
        <v/>
      </c>
      <c r="CT1002" s="78">
        <f>IF(AND(ISNUMBER($CS1002),N($CS1002)&lt;=mMatWindow),1,0)</f>
        <v/>
      </c>
      <c r="CU1002" s="80">
        <f>IF(ISNUMBER($J1002),$J1002/100,"")</f>
        <v/>
      </c>
      <c r="CV1002" s="81">
        <f>IF(ISNUMBER($AQ1002),$AQ1002,"")</f>
        <v/>
      </c>
      <c r="CW1002" s="81">
        <f>IF(ISNUMBER($AR1002),$AR1002,"")</f>
        <v/>
      </c>
      <c r="CX1002" s="82">
        <f>IF(ISNUMBER($AS1002),$AS1002/100,"")</f>
        <v/>
      </c>
      <c r="CY1002" s="82">
        <f>IF(ISNUMBER($AT1002),$AT1002/100,"")</f>
        <v/>
      </c>
      <c r="CZ1002" s="82">
        <f>IF(ISNUMBER($AU1002),$AU1002/100,"")</f>
        <v/>
      </c>
      <c r="DA1002" s="82">
        <f>IF(ISNUMBER($AV1002),$AV1002/100,"")</f>
        <v/>
      </c>
      <c r="DB1002" s="82">
        <f>IF(ISNUMBER($AW1002),$AW1002/100,"")</f>
        <v/>
      </c>
      <c r="DC1002" s="82">
        <f>IF(ISNUMBER($AX1002),$AX1002/100,"")</f>
        <v/>
      </c>
      <c r="DD1002" s="77">
        <f>IFERROR(VALUE(LEFT(TRIM($AO1002&amp;""),4)),"")</f>
        <v/>
      </c>
      <c r="DE1002" s="78">
        <f>IF(AND($BY1002=1,$BX1002=1,OR(fDeal="All Deals",$BU1002=fDeal),OR(fEntity="All Entities",$BV1002=fEntity),OR(fPType="All Property Types",$BZ1002=fPType),OR(fDefeased="Include",$CJ1002=0)),1,0)</f>
        <v/>
      </c>
      <c r="DF1002" s="83">
        <f>$DE1002*N($I1002)</f>
        <v/>
      </c>
      <c r="DG1002" s="78">
        <f>IF($DE1002=1,IF(COUNTIFS($F$8:$F1002,$F1002,$DE$8:$DE1002,1)=1,1,0),0)</f>
        <v/>
      </c>
      <c r="DH1002" s="83">
        <f>IF($DG1002=1,SUMIFS($DF$8:$DF$1600,$F$8:$F$1600,$F1002),0)</f>
        <v/>
      </c>
      <c r="DI1002" s="78">
        <f>IF($DG1002=1,COUNTIFS($F$8:$F$1600,$F1002,$DE$8:$DE$1600,1),0)</f>
        <v/>
      </c>
      <c r="DJ1002" s="84">
        <f>IF($DG1002=1,$DH1002+(100000-ROW())/mTieBreak,0)</f>
        <v/>
      </c>
    </row>
    <row r="1003">
      <c r="B1003" s="68" t="n">
        <v>63</v>
      </c>
      <c r="C1003" s="69" t="inlineStr">
        <is>
          <t>WFC18C43</t>
        </is>
      </c>
      <c r="D1003" s="69" t="inlineStr">
        <is>
          <t>63.000</t>
        </is>
      </c>
      <c r="E1003" s="69" t="inlineStr">
        <is>
          <t>Badger MHP</t>
        </is>
      </c>
      <c r="F1003" s="69" t="inlineStr">
        <is>
          <t>LNWFC18C43-63.000</t>
        </is>
      </c>
      <c r="G1003" s="70" t="n"/>
      <c r="H1003" s="71" t="n">
        <v>1425000</v>
      </c>
      <c r="I1003" s="71" t="n">
        <v>1211126.430000675</v>
      </c>
      <c r="J1003" s="72" t="n">
        <v>5.16</v>
      </c>
      <c r="K1003" s="69" t="inlineStr">
        <is>
          <t>Fixed rate</t>
        </is>
      </c>
      <c r="L1003" s="68" t="n">
        <v>120</v>
      </c>
      <c r="M1003" s="68" t="n">
        <v>13</v>
      </c>
      <c r="N1003" s="68" t="n">
        <v>360</v>
      </c>
      <c r="O1003" s="68" t="n"/>
      <c r="P1003" s="68" t="n"/>
      <c r="Q1003" s="68" t="n">
        <v>107</v>
      </c>
      <c r="R1003" s="69" t="n"/>
      <c r="S1003" s="69" t="inlineStr">
        <is>
          <t>No</t>
        </is>
      </c>
      <c r="T1003" s="73" t="n">
        <v>43009</v>
      </c>
      <c r="U1003" s="73" t="n">
        <v>46671</v>
      </c>
      <c r="V1003" s="73" t="n"/>
      <c r="W1003" s="69" t="n"/>
      <c r="X1003" s="69" t="inlineStr">
        <is>
          <t>Current</t>
        </is>
      </c>
      <c r="Y1003" s="68" t="n"/>
      <c r="Z1003" s="69" t="inlineStr">
        <is>
          <t>No Defeasance Occurred</t>
        </is>
      </c>
      <c r="AA1003" s="69" t="n"/>
      <c r="AB1003" s="69" t="inlineStr">
        <is>
          <t>Never special serv</t>
        </is>
      </c>
      <c r="AC1003" s="73" t="n"/>
      <c r="AD1003" s="69" t="n"/>
      <c r="AE1003" s="69" t="n"/>
      <c r="AF1003" s="69" t="inlineStr">
        <is>
          <t>WI</t>
        </is>
      </c>
      <c r="AG1003" s="69" t="inlineStr">
        <is>
          <t>Franklin</t>
        </is>
      </c>
      <c r="AH1003" s="69" t="inlineStr">
        <is>
          <t>Milwaukee-Waukesha, WI</t>
        </is>
      </c>
      <c r="AI1003" s="69" t="inlineStr">
        <is>
          <t>Midwest / Central East</t>
        </is>
      </c>
      <c r="AJ1003" s="69" t="inlineStr">
        <is>
          <t>MH</t>
        </is>
      </c>
      <c r="AK1003" s="69" t="n"/>
      <c r="AL1003" s="68" t="n">
        <v>1</v>
      </c>
      <c r="AM1003" s="68" t="n">
        <v>54</v>
      </c>
      <c r="AN1003" s="68" t="n"/>
      <c r="AO1003" s="69" t="inlineStr">
        <is>
          <t>1955</t>
        </is>
      </c>
      <c r="AP1003" s="70" t="n">
        <v>1955</v>
      </c>
      <c r="AQ1003" s="74" t="n">
        <v>1.69</v>
      </c>
      <c r="AR1003" s="74" t="n">
        <v>2.83</v>
      </c>
      <c r="AS1003" s="74" t="n">
        <v>62.7</v>
      </c>
      <c r="AT1003" s="74" t="n">
        <v>53.59</v>
      </c>
      <c r="AU1003" s="74" t="n">
        <v>52.1</v>
      </c>
      <c r="AV1003" s="74" t="n">
        <v>11.09262807</v>
      </c>
      <c r="AW1003" s="74" t="n">
        <v>20.725178956</v>
      </c>
      <c r="AX1003" s="75" t="n">
        <v>96</v>
      </c>
      <c r="AY1003" s="71" t="n">
        <v>2260000</v>
      </c>
      <c r="AZ1003" s="71" t="n">
        <v>2260000</v>
      </c>
      <c r="BA1003" s="71" t="n">
        <v>158069.95</v>
      </c>
      <c r="BB1003" s="71" t="n">
        <v>132336.36</v>
      </c>
      <c r="BC1003" s="69" t="inlineStr">
        <is>
          <t>Acquisition</t>
        </is>
      </c>
      <c r="BD1003" s="69" t="inlineStr">
        <is>
          <t>N</t>
        </is>
      </c>
      <c r="BE1003" s="71" t="n"/>
      <c r="BF1003" s="71" t="n"/>
      <c r="BG1003" s="71" t="n"/>
      <c r="BH1003" s="71" t="n">
        <v>0</v>
      </c>
      <c r="BI1003" s="71" t="n">
        <v>0</v>
      </c>
      <c r="BJ1003" s="69" t="inlineStr">
        <is>
          <t>N</t>
        </is>
      </c>
      <c r="BK1003" s="69" t="n"/>
      <c r="BL1003" s="75" t="n"/>
      <c r="BM1003" s="73" t="n"/>
      <c r="BN1003" s="69" t="inlineStr">
        <is>
          <t>Jason P. Janda and Courtney S. Janda; Trustees of the Jason and Courtney Revocable Trust</t>
        </is>
      </c>
      <c r="BO1003" s="69" t="inlineStr">
        <is>
          <t>CIII Capital</t>
        </is>
      </c>
      <c r="BP1003" s="69" t="inlineStr">
        <is>
          <t>TriMont Real Estate Advisors</t>
        </is>
      </c>
      <c r="BQ1003" s="69" t="inlineStr">
        <is>
          <t>K-Star Asset Management LLC</t>
        </is>
      </c>
      <c r="BR1003" s="69" t="n"/>
      <c r="BS1003" s="73" t="n">
        <v>46276</v>
      </c>
      <c r="BU1003" s="76">
        <f>IF($C1003="","",IFERROR(INDEX(dmName,MATCH($C1003,dmID,0)),"Unmapped"))</f>
        <v/>
      </c>
      <c r="BV1003" s="76">
        <f>IF($C1003="","",IFERROR(INDEX(dmEntity,MATCH($C1003,dmID,0)),"Unmapped"))</f>
        <v/>
      </c>
      <c r="BW1003" s="77">
        <f>IF($C1003="","",IFERROR(INDEX(dmVintage,MATCH($C1003,dmID,0)),""))</f>
        <v/>
      </c>
      <c r="BX1003" s="78">
        <f>IFERROR(INDEX(dmInclude,MATCH($C1003,dmID,0)),0)</f>
        <v/>
      </c>
      <c r="BY1003" s="78">
        <f>IF(N($I1003)&gt;0,1,0)</f>
        <v/>
      </c>
      <c r="BZ1003" s="76">
        <f>IF($AJ1003="","Other / Leased Fee",IFERROR(INDEX(mapPTGroup,MATCH(LEFT(TRIM($AJ1003),2),mapPTCode,0)),"Other / Leased Fee"))</f>
        <v/>
      </c>
      <c r="CA1003" s="76">
        <f>IF(TRIM($AF1003&amp;"")="","NR",LEFT(TRIM($AF1003),2))</f>
        <v/>
      </c>
      <c r="CB1003" s="76">
        <f>IFERROR(LOOKUP(2,1/(LEFT(TRIM($AI1003&amp;""),LEN(mapRegion))=mapRegion),mapRegion),"Not Reported")</f>
        <v/>
      </c>
      <c r="CC1003" s="76">
        <f>IF($BY1003=0,"",IF(TRIM($W1003&amp;"")="REO","REO",IF(TRIM($W1003&amp;"")="FC","Foreclosure",IF(TRIM($W1003&amp;"")="90+","90+ Days Delinquent",IF(TRIM($W1003&amp;"")="60","60 Days Delinquent",IF(TRIM($W1003&amp;"")="30","30 Days Delinquent",IF($X1003="Non-Performing Matured Balloon","Non-Performing Matured Balloon",IF(OR($X1003="Late Payment But Less Than 30 Days Delinquent",LEFT($X1003&amp;"",20)="Payment Not Received"),"Late / In Grace (&lt;30 Days)",IF($X1003="Performing Matured Balloon","Performing Matured Balloon","Current")))))))))</f>
        <v/>
      </c>
      <c r="CD1003" s="78">
        <f>IF(OR($CC1003="REO",$CC1003="Foreclosure",$CC1003="90+ Days Delinquent",$CC1003="60 Days Delinquent",$CC1003="30 Days Delinquent",$CC1003="Non-Performing Matured Balloon"),1,0)</f>
        <v/>
      </c>
      <c r="CE1003" s="76">
        <f>IF($AB1003="Currently special serv","Currently Specially Serviced",IF($AB1003="Returned to master serv","Previously Specially Serviced","Never Specially Serviced"))</f>
        <v/>
      </c>
      <c r="CF1003" s="78">
        <f>IF($CE1003="Currently Specially Serviced",1,0)</f>
        <v/>
      </c>
      <c r="CG1003" s="76">
        <f>IF($AA1003="Yes","Currently on Watchlist",IF($AA1003="Previously","Previously on Watchlist","Never on Watchlist"))</f>
        <v/>
      </c>
      <c r="CH1003" s="78">
        <f>IF($CG1003="Currently on Watchlist",1,0)</f>
        <v/>
      </c>
      <c r="CI1003" s="76">
        <f>IF($Z1003="Full Defeasance","Fully Defeased",IF($Z1003="Portion Of Loan Previously Defeased","Partially Defeased",IF($Z1003="Defeasance Not Allowable","Not Defeased (Not Permitted)","Not Defeased")))</f>
        <v/>
      </c>
      <c r="CJ1003" s="78">
        <f>IF($CI1003="Fully Defeased",1,0)</f>
        <v/>
      </c>
      <c r="CK1003" s="76">
        <f>IF($R1003="IO","Full IO",IF(LEFT($R1003&amp;"",7)="IO then","Partial IO","Amortizing"))</f>
        <v/>
      </c>
      <c r="CL1003" s="78">
        <f>IF($CK1003="Full IO",1,0)</f>
        <v/>
      </c>
      <c r="CM1003" s="78">
        <f>IF($CK1003="Partial IO",1,0)</f>
        <v/>
      </c>
      <c r="CN1003" s="76">
        <f>IF(LEFT($F1003&amp;"",10)="SPLIT_LOAN","Pari Passu Split","Standalone")</f>
        <v/>
      </c>
      <c r="CO1003" s="78">
        <f>IF($CN1003="Pari Passu Split",1,0)</f>
        <v/>
      </c>
      <c r="CP1003" s="77">
        <f>IF(ISNUMBER($T1003),YEAR($T1003),"")</f>
        <v/>
      </c>
      <c r="CQ1003" s="79">
        <f>IF(ISNUMBER($V1003),$V1003,IF(ISNUMBER($U1003),$U1003,""))</f>
        <v/>
      </c>
      <c r="CR1003" s="77">
        <f>IF(ISNUMBER($CQ1003),YEAR($CQ1003),"")</f>
        <v/>
      </c>
      <c r="CS1003" s="78">
        <f>IF(ISNUMBER($M1003),MAX(0,$M1003),IF(TRIM($M1003&amp;"")="matured",0,""))</f>
        <v/>
      </c>
      <c r="CT1003" s="78">
        <f>IF(AND(ISNUMBER($CS1003),N($CS1003)&lt;=mMatWindow),1,0)</f>
        <v/>
      </c>
      <c r="CU1003" s="80">
        <f>IF(ISNUMBER($J1003),$J1003/100,"")</f>
        <v/>
      </c>
      <c r="CV1003" s="81">
        <f>IF(ISNUMBER($AQ1003),$AQ1003,"")</f>
        <v/>
      </c>
      <c r="CW1003" s="81">
        <f>IF(ISNUMBER($AR1003),$AR1003,"")</f>
        <v/>
      </c>
      <c r="CX1003" s="82">
        <f>IF(ISNUMBER($AS1003),$AS1003/100,"")</f>
        <v/>
      </c>
      <c r="CY1003" s="82">
        <f>IF(ISNUMBER($AT1003),$AT1003/100,"")</f>
        <v/>
      </c>
      <c r="CZ1003" s="82">
        <f>IF(ISNUMBER($AU1003),$AU1003/100,"")</f>
        <v/>
      </c>
      <c r="DA1003" s="82">
        <f>IF(ISNUMBER($AV1003),$AV1003/100,"")</f>
        <v/>
      </c>
      <c r="DB1003" s="82">
        <f>IF(ISNUMBER($AW1003),$AW1003/100,"")</f>
        <v/>
      </c>
      <c r="DC1003" s="82">
        <f>IF(ISNUMBER($AX1003),$AX1003/100,"")</f>
        <v/>
      </c>
      <c r="DD1003" s="77">
        <f>IFERROR(VALUE(LEFT(TRIM($AO1003&amp;""),4)),"")</f>
        <v/>
      </c>
      <c r="DE1003" s="78">
        <f>IF(AND($BY1003=1,$BX1003=1,OR(fDeal="All Deals",$BU1003=fDeal),OR(fEntity="All Entities",$BV1003=fEntity),OR(fPType="All Property Types",$BZ1003=fPType),OR(fDefeased="Include",$CJ1003=0)),1,0)</f>
        <v/>
      </c>
      <c r="DF1003" s="83">
        <f>$DE1003*N($I1003)</f>
        <v/>
      </c>
      <c r="DG1003" s="78">
        <f>IF($DE1003=1,IF(COUNTIFS($F$8:$F1003,$F1003,$DE$8:$DE1003,1)=1,1,0),0)</f>
        <v/>
      </c>
      <c r="DH1003" s="83">
        <f>IF($DG1003=1,SUMIFS($DF$8:$DF$1600,$F$8:$F$1600,$F1003),0)</f>
        <v/>
      </c>
      <c r="DI1003" s="78">
        <f>IF($DG1003=1,COUNTIFS($F$8:$F$1600,$F1003,$DE$8:$DE$1600,1),0)</f>
        <v/>
      </c>
      <c r="DJ1003" s="84">
        <f>IF($DG1003=1,$DH1003+(100000-ROW())/mTieBreak,0)</f>
        <v/>
      </c>
    </row>
    <row r="1004">
      <c r="B1004" s="68" t="n">
        <v>1</v>
      </c>
      <c r="C1004" s="69" t="inlineStr">
        <is>
          <t>MSB17C33</t>
        </is>
      </c>
      <c r="D1004" s="69" t="inlineStr">
        <is>
          <t>1.000</t>
        </is>
      </c>
      <c r="E1004" s="69" t="inlineStr">
        <is>
          <t>Hyatt Regency Austin</t>
        </is>
      </c>
      <c r="F1004" s="69" t="inlineStr">
        <is>
          <t>SPLIT_LOAN_00973</t>
        </is>
      </c>
      <c r="G1004" s="70" t="n">
        <v>973</v>
      </c>
      <c r="H1004" s="71" t="n">
        <v>60000000</v>
      </c>
      <c r="I1004" s="71" t="n">
        <v>0</v>
      </c>
      <c r="J1004" s="72" t="n">
        <v>5.461165</v>
      </c>
      <c r="K1004" s="69" t="inlineStr">
        <is>
          <t>Fixed rate</t>
        </is>
      </c>
      <c r="L1004" s="68" t="n">
        <v>60</v>
      </c>
      <c r="M1004" s="68" t="n"/>
      <c r="N1004" s="68" t="n">
        <v>60</v>
      </c>
      <c r="O1004" s="68" t="n">
        <v>60</v>
      </c>
      <c r="P1004" s="68" t="n"/>
      <c r="Q1004" s="68" t="n"/>
      <c r="R1004" s="69" t="inlineStr">
        <is>
          <t>IO</t>
        </is>
      </c>
      <c r="S1004" s="69" t="inlineStr">
        <is>
          <t>Yes</t>
        </is>
      </c>
      <c r="T1004" s="73" t="n">
        <v>42795</v>
      </c>
      <c r="U1004" s="73" t="n">
        <v>44621</v>
      </c>
      <c r="V1004" s="73" t="n"/>
      <c r="W1004" s="69" t="n"/>
      <c r="X1004" s="69" t="inlineStr">
        <is>
          <t>Current</t>
        </is>
      </c>
      <c r="Y1004" s="68" t="n"/>
      <c r="Z1004" s="69" t="inlineStr">
        <is>
          <t>No Defeasance Occurred</t>
        </is>
      </c>
      <c r="AA1004" s="69" t="inlineStr">
        <is>
          <t>Previously</t>
        </is>
      </c>
      <c r="AB1004" s="69" t="inlineStr">
        <is>
          <t>Currently special serv</t>
        </is>
      </c>
      <c r="AC1004" s="73" t="n">
        <v>44056</v>
      </c>
      <c r="AD1004" s="69" t="inlineStr">
        <is>
          <t>Payment Default (all payments excluding Balloon/Maturity Payment)</t>
        </is>
      </c>
      <c r="AE1004" s="69" t="inlineStr">
        <is>
          <t>Modification</t>
        </is>
      </c>
      <c r="AF1004" s="69" t="inlineStr">
        <is>
          <t>TX</t>
        </is>
      </c>
      <c r="AG1004" s="69" t="inlineStr">
        <is>
          <t>Austin</t>
        </is>
      </c>
      <c r="AH1004" s="69" t="inlineStr">
        <is>
          <t>Austin-Round Rock-San Marcos, TX</t>
        </is>
      </c>
      <c r="AI1004" s="69" t="inlineStr">
        <is>
          <t>South / Central West</t>
        </is>
      </c>
      <c r="AJ1004" s="69" t="inlineStr">
        <is>
          <t>HT</t>
        </is>
      </c>
      <c r="AK1004" s="69" t="inlineStr">
        <is>
          <t>Full Service</t>
        </is>
      </c>
      <c r="AL1004" s="68" t="n">
        <v>1</v>
      </c>
      <c r="AM1004" s="68" t="n">
        <v>448</v>
      </c>
      <c r="AN1004" s="68" t="n"/>
      <c r="AO1004" s="69" t="inlineStr">
        <is>
          <t>1982</t>
        </is>
      </c>
      <c r="AP1004" s="70" t="n">
        <v>2013</v>
      </c>
      <c r="AQ1004" s="74" t="n">
        <v>2.4</v>
      </c>
      <c r="AR1004" s="74" t="n">
        <v>1.35</v>
      </c>
      <c r="AS1004" s="74" t="n">
        <v>58.9</v>
      </c>
      <c r="AT1004" s="74" t="n"/>
      <c r="AU1004" s="74" t="n">
        <v>58.9</v>
      </c>
      <c r="AV1004" s="74" t="n">
        <v>13.304493204</v>
      </c>
      <c r="AW1004" s="74" t="n"/>
      <c r="AX1004" s="75" t="n">
        <v>59.82</v>
      </c>
      <c r="AY1004" s="71" t="n">
        <v>174800000</v>
      </c>
      <c r="AZ1004" s="71" t="n">
        <v>174800000</v>
      </c>
      <c r="BA1004" s="71" t="n">
        <v>13703628</v>
      </c>
      <c r="BB1004" s="71" t="n">
        <v>7715792</v>
      </c>
      <c r="BC1004" s="69" t="inlineStr">
        <is>
          <t>Refinance</t>
        </is>
      </c>
      <c r="BD1004" s="69" t="inlineStr">
        <is>
          <t>N</t>
        </is>
      </c>
      <c r="BE1004" s="71" t="n">
        <v>0</v>
      </c>
      <c r="BF1004" s="71" t="n"/>
      <c r="BG1004" s="71" t="n">
        <v>21000000</v>
      </c>
      <c r="BH1004" s="71" t="n">
        <v>0</v>
      </c>
      <c r="BI1004" s="71" t="n">
        <v>0</v>
      </c>
      <c r="BJ1004" s="69" t="inlineStr">
        <is>
          <t>Y</t>
        </is>
      </c>
      <c r="BK1004" s="69" t="n"/>
      <c r="BL1004" s="75" t="n"/>
      <c r="BM1004" s="73" t="n"/>
      <c r="BN1004" s="69" t="inlineStr">
        <is>
          <t>Tariq M. Shaikh</t>
        </is>
      </c>
      <c r="BO1004" s="69" t="inlineStr">
        <is>
          <t>Morgan Stanley</t>
        </is>
      </c>
      <c r="BP1004" s="69" t="inlineStr">
        <is>
          <t>Wells Fargo</t>
        </is>
      </c>
      <c r="BQ1004" s="69" t="inlineStr">
        <is>
          <t>Midland Loan Services</t>
        </is>
      </c>
      <c r="BR1004" s="69" t="inlineStr">
        <is>
          <t>Payoff With Yield Maintenance</t>
        </is>
      </c>
      <c r="BS1004" s="73" t="n">
        <v>46276</v>
      </c>
      <c r="BU1004" s="76">
        <f>IF($C1004="","",IFERROR(INDEX(dmName,MATCH($C1004,dmID,0)),"Unmapped"))</f>
        <v/>
      </c>
      <c r="BV1004" s="76">
        <f>IF($C1004="","",IFERROR(INDEX(dmEntity,MATCH($C1004,dmID,0)),"Unmapped"))</f>
        <v/>
      </c>
      <c r="BW1004" s="77">
        <f>IF($C1004="","",IFERROR(INDEX(dmVintage,MATCH($C1004,dmID,0)),""))</f>
        <v/>
      </c>
      <c r="BX1004" s="78">
        <f>IFERROR(INDEX(dmInclude,MATCH($C1004,dmID,0)),0)</f>
        <v/>
      </c>
      <c r="BY1004" s="78">
        <f>IF(N($I1004)&gt;0,1,0)</f>
        <v/>
      </c>
      <c r="BZ1004" s="76">
        <f>IF($AJ1004="","Other / Leased Fee",IFERROR(INDEX(mapPTGroup,MATCH(LEFT(TRIM($AJ1004),2),mapPTCode,0)),"Other / Leased Fee"))</f>
        <v/>
      </c>
      <c r="CA1004" s="76">
        <f>IF(TRIM($AF1004&amp;"")="","NR",LEFT(TRIM($AF1004),2))</f>
        <v/>
      </c>
      <c r="CB1004" s="76">
        <f>IFERROR(LOOKUP(2,1/(LEFT(TRIM($AI1004&amp;""),LEN(mapRegion))=mapRegion),mapRegion),"Not Reported")</f>
        <v/>
      </c>
      <c r="CC1004" s="76">
        <f>IF($BY1004=0,"",IF(TRIM($W1004&amp;"")="REO","REO",IF(TRIM($W1004&amp;"")="FC","Foreclosure",IF(TRIM($W1004&amp;"")="90+","90+ Days Delinquent",IF(TRIM($W1004&amp;"")="60","60 Days Delinquent",IF(TRIM($W1004&amp;"")="30","30 Days Delinquent",IF($X1004="Non-Performing Matured Balloon","Non-Performing Matured Balloon",IF(OR($X1004="Late Payment But Less Than 30 Days Delinquent",LEFT($X1004&amp;"",20)="Payment Not Received"),"Late / In Grace (&lt;30 Days)",IF($X1004="Performing Matured Balloon","Performing Matured Balloon","Current")))))))))</f>
        <v/>
      </c>
      <c r="CD1004" s="78">
        <f>IF(OR($CC1004="REO",$CC1004="Foreclosure",$CC1004="90+ Days Delinquent",$CC1004="60 Days Delinquent",$CC1004="30 Days Delinquent",$CC1004="Non-Performing Matured Balloon"),1,0)</f>
        <v/>
      </c>
      <c r="CE1004" s="76">
        <f>IF($AB1004="Currently special serv","Currently Specially Serviced",IF($AB1004="Returned to master serv","Previously Specially Serviced","Never Specially Serviced"))</f>
        <v/>
      </c>
      <c r="CF1004" s="78">
        <f>IF($CE1004="Currently Specially Serviced",1,0)</f>
        <v/>
      </c>
      <c r="CG1004" s="76">
        <f>IF($AA1004="Yes","Currently on Watchlist",IF($AA1004="Previously","Previously on Watchlist","Never on Watchlist"))</f>
        <v/>
      </c>
      <c r="CH1004" s="78">
        <f>IF($CG1004="Currently on Watchlist",1,0)</f>
        <v/>
      </c>
      <c r="CI1004" s="76">
        <f>IF($Z1004="Full Defeasance","Fully Defeased",IF($Z1004="Portion Of Loan Previously Defeased","Partially Defeased",IF($Z1004="Defeasance Not Allowable","Not Defeased (Not Permitted)","Not Defeased")))</f>
        <v/>
      </c>
      <c r="CJ1004" s="78">
        <f>IF($CI1004="Fully Defeased",1,0)</f>
        <v/>
      </c>
      <c r="CK1004" s="76">
        <f>IF($R1004="IO","Full IO",IF(LEFT($R1004&amp;"",7)="IO then","Partial IO","Amortizing"))</f>
        <v/>
      </c>
      <c r="CL1004" s="78">
        <f>IF($CK1004="Full IO",1,0)</f>
        <v/>
      </c>
      <c r="CM1004" s="78">
        <f>IF($CK1004="Partial IO",1,0)</f>
        <v/>
      </c>
      <c r="CN1004" s="76">
        <f>IF(LEFT($F1004&amp;"",10)="SPLIT_LOAN","Pari Passu Split","Standalone")</f>
        <v/>
      </c>
      <c r="CO1004" s="78">
        <f>IF($CN1004="Pari Passu Split",1,0)</f>
        <v/>
      </c>
      <c r="CP1004" s="77">
        <f>IF(ISNUMBER($T1004),YEAR($T1004),"")</f>
        <v/>
      </c>
      <c r="CQ1004" s="79">
        <f>IF(ISNUMBER($V1004),$V1004,IF(ISNUMBER($U1004),$U1004,""))</f>
        <v/>
      </c>
      <c r="CR1004" s="77">
        <f>IF(ISNUMBER($CQ1004),YEAR($CQ1004),"")</f>
        <v/>
      </c>
      <c r="CS1004" s="78">
        <f>IF(ISNUMBER($M1004),MAX(0,$M1004),IF(TRIM($M1004&amp;"")="matured",0,""))</f>
        <v/>
      </c>
      <c r="CT1004" s="78">
        <f>IF(AND(ISNUMBER($CS1004),N($CS1004)&lt;=mMatWindow),1,0)</f>
        <v/>
      </c>
      <c r="CU1004" s="80">
        <f>IF(ISNUMBER($J1004),$J1004/100,"")</f>
        <v/>
      </c>
      <c r="CV1004" s="81">
        <f>IF(ISNUMBER($AQ1004),$AQ1004,"")</f>
        <v/>
      </c>
      <c r="CW1004" s="81">
        <f>IF(ISNUMBER($AR1004),$AR1004,"")</f>
        <v/>
      </c>
      <c r="CX1004" s="82">
        <f>IF(ISNUMBER($AS1004),$AS1004/100,"")</f>
        <v/>
      </c>
      <c r="CY1004" s="82">
        <f>IF(ISNUMBER($AT1004),$AT1004/100,"")</f>
        <v/>
      </c>
      <c r="CZ1004" s="82">
        <f>IF(ISNUMBER($AU1004),$AU1004/100,"")</f>
        <v/>
      </c>
      <c r="DA1004" s="82">
        <f>IF(ISNUMBER($AV1004),$AV1004/100,"")</f>
        <v/>
      </c>
      <c r="DB1004" s="82">
        <f>IF(ISNUMBER($AW1004),$AW1004/100,"")</f>
        <v/>
      </c>
      <c r="DC1004" s="82">
        <f>IF(ISNUMBER($AX1004),$AX1004/100,"")</f>
        <v/>
      </c>
      <c r="DD1004" s="77">
        <f>IFERROR(VALUE(LEFT(TRIM($AO1004&amp;""),4)),"")</f>
        <v/>
      </c>
      <c r="DE1004" s="78">
        <f>IF(AND($BY1004=1,$BX1004=1,OR(fDeal="All Deals",$BU1004=fDeal),OR(fEntity="All Entities",$BV1004=fEntity),OR(fPType="All Property Types",$BZ1004=fPType),OR(fDefeased="Include",$CJ1004=0)),1,0)</f>
        <v/>
      </c>
      <c r="DF1004" s="83">
        <f>$DE1004*N($I1004)</f>
        <v/>
      </c>
      <c r="DG1004" s="78">
        <f>IF($DE1004=1,IF(COUNTIFS($F$8:$F1004,$F1004,$DE$8:$DE1004,1)=1,1,0),0)</f>
        <v/>
      </c>
      <c r="DH1004" s="83">
        <f>IF($DG1004=1,SUMIFS($DF$8:$DF$1600,$F$8:$F$1600,$F1004),0)</f>
        <v/>
      </c>
      <c r="DI1004" s="78">
        <f>IF($DG1004=1,COUNTIFS($F$8:$F$1600,$F1004,$DE$8:$DE$1600,1),0)</f>
        <v/>
      </c>
      <c r="DJ1004" s="84">
        <f>IF($DG1004=1,$DH1004+(100000-ROW())/mTieBreak,0)</f>
        <v/>
      </c>
    </row>
    <row r="1005">
      <c r="B1005" s="68" t="n">
        <v>2</v>
      </c>
      <c r="C1005" s="69" t="inlineStr">
        <is>
          <t>MSB17C33</t>
        </is>
      </c>
      <c r="D1005" s="69" t="inlineStr">
        <is>
          <t>2.000</t>
        </is>
      </c>
      <c r="E1005" s="69" t="inlineStr">
        <is>
          <t>SSTII Mindful Portfolio</t>
        </is>
      </c>
      <c r="F1005" s="69" t="inlineStr">
        <is>
          <t>LNMSB17C33-2.000</t>
        </is>
      </c>
      <c r="G1005" s="70" t="n"/>
      <c r="H1005" s="71" t="n">
        <v>52000000</v>
      </c>
      <c r="I1005" s="71" t="n">
        <v>48342647.62002</v>
      </c>
      <c r="J1005" s="72" t="n">
        <v>4.65</v>
      </c>
      <c r="K1005" s="69" t="inlineStr">
        <is>
          <t>Fixed rate</t>
        </is>
      </c>
      <c r="L1005" s="68" t="n">
        <v>118</v>
      </c>
      <c r="M1005" s="68" t="n">
        <v>6</v>
      </c>
      <c r="N1005" s="68" t="n">
        <v>420</v>
      </c>
      <c r="O1005" s="68" t="n">
        <v>60</v>
      </c>
      <c r="P1005" s="68" t="n">
        <v>0</v>
      </c>
      <c r="Q1005" s="68" t="n">
        <v>112</v>
      </c>
      <c r="R1005" s="69" t="inlineStr">
        <is>
          <t>IO then Amort</t>
        </is>
      </c>
      <c r="S1005" s="69" t="inlineStr">
        <is>
          <t>No</t>
        </is>
      </c>
      <c r="T1005" s="73" t="n">
        <v>42856</v>
      </c>
      <c r="U1005" s="73" t="n">
        <v>46447</v>
      </c>
      <c r="V1005" s="73" t="n"/>
      <c r="W1005" s="69" t="n"/>
      <c r="X1005" s="69" t="inlineStr">
        <is>
          <t>Current</t>
        </is>
      </c>
      <c r="Y1005" s="68" t="n"/>
      <c r="Z1005" s="69" t="inlineStr">
        <is>
          <t>Full Defeasance</t>
        </is>
      </c>
      <c r="AA1005" s="69" t="n"/>
      <c r="AB1005" s="69" t="inlineStr">
        <is>
          <t>Never special serv</t>
        </is>
      </c>
      <c r="AC1005" s="73" t="n"/>
      <c r="AD1005" s="69" t="n"/>
      <c r="AE1005" s="69" t="n"/>
      <c r="AF1005" s="69" t="inlineStr">
        <is>
          <t>FL</t>
        </is>
      </c>
      <c r="AG1005" s="69" t="n"/>
      <c r="AH1005" s="69" t="inlineStr">
        <is>
          <t>Miami-Fort Lauderdale-West Palm Beach, FL</t>
        </is>
      </c>
      <c r="AI1005" s="69" t="inlineStr">
        <is>
          <t>South / Atlantic</t>
        </is>
      </c>
      <c r="AJ1005" s="69" t="inlineStr">
        <is>
          <t>SS</t>
        </is>
      </c>
      <c r="AK1005" s="69" t="n"/>
      <c r="AL1005" s="68" t="n">
        <v>5</v>
      </c>
      <c r="AM1005" s="68" t="n"/>
      <c r="AN1005" s="68" t="n">
        <v>494152</v>
      </c>
      <c r="AO1005" s="69" t="n"/>
      <c r="AP1005" s="70" t="n">
        <v>2001</v>
      </c>
      <c r="AQ1005" s="74" t="n">
        <v>1.41</v>
      </c>
      <c r="AR1005" s="74" t="n">
        <v>2.62</v>
      </c>
      <c r="AS1005" s="74" t="n">
        <v>54.22</v>
      </c>
      <c r="AT1005" s="74" t="n">
        <v>53.24</v>
      </c>
      <c r="AU1005" s="74" t="n">
        <v>49.83</v>
      </c>
      <c r="AV1005" s="74" t="n">
        <v>8.711288462000001</v>
      </c>
      <c r="AW1005" s="74" t="n">
        <v>18.520816382</v>
      </c>
      <c r="AX1005" s="75" t="n">
        <v>97</v>
      </c>
      <c r="AY1005" s="71" t="n">
        <v>95900000</v>
      </c>
      <c r="AZ1005" s="71" t="n">
        <v>90800000</v>
      </c>
      <c r="BA1005" s="71" t="n">
        <v>4529870</v>
      </c>
      <c r="BB1005" s="71" t="n">
        <v>8425225</v>
      </c>
      <c r="BC1005" s="69" t="inlineStr">
        <is>
          <t>Refinance</t>
        </is>
      </c>
      <c r="BD1005" s="69" t="inlineStr">
        <is>
          <t>N</t>
        </is>
      </c>
      <c r="BE1005" s="71" t="n"/>
      <c r="BF1005" s="71" t="n"/>
      <c r="BG1005" s="71" t="n"/>
      <c r="BH1005" s="71" t="n">
        <v>0</v>
      </c>
      <c r="BI1005" s="71" t="n">
        <v>0</v>
      </c>
      <c r="BJ1005" s="69" t="inlineStr">
        <is>
          <t>N</t>
        </is>
      </c>
      <c r="BK1005" s="69" t="n"/>
      <c r="BL1005" s="75" t="n"/>
      <c r="BM1005" s="73" t="n"/>
      <c r="BN1005" s="69" t="inlineStr">
        <is>
          <t>Strategic Storage Trust II, Inc.</t>
        </is>
      </c>
      <c r="BO1005" s="69" t="inlineStr">
        <is>
          <t>KeyBank</t>
        </is>
      </c>
      <c r="BP1005" s="69" t="inlineStr">
        <is>
          <t>TriMont Real Estate Advisors</t>
        </is>
      </c>
      <c r="BQ1005" s="69" t="inlineStr">
        <is>
          <t>Midland Loan Services</t>
        </is>
      </c>
      <c r="BR1005" s="69" t="n"/>
      <c r="BS1005" s="73" t="n">
        <v>46276</v>
      </c>
      <c r="BU1005" s="76">
        <f>IF($C1005="","",IFERROR(INDEX(dmName,MATCH($C1005,dmID,0)),"Unmapped"))</f>
        <v/>
      </c>
      <c r="BV1005" s="76">
        <f>IF($C1005="","",IFERROR(INDEX(dmEntity,MATCH($C1005,dmID,0)),"Unmapped"))</f>
        <v/>
      </c>
      <c r="BW1005" s="77">
        <f>IF($C1005="","",IFERROR(INDEX(dmVintage,MATCH($C1005,dmID,0)),""))</f>
        <v/>
      </c>
      <c r="BX1005" s="78">
        <f>IFERROR(INDEX(dmInclude,MATCH($C1005,dmID,0)),0)</f>
        <v/>
      </c>
      <c r="BY1005" s="78">
        <f>IF(N($I1005)&gt;0,1,0)</f>
        <v/>
      </c>
      <c r="BZ1005" s="76">
        <f>IF($AJ1005="","Other / Leased Fee",IFERROR(INDEX(mapPTGroup,MATCH(LEFT(TRIM($AJ1005),2),mapPTCode,0)),"Other / Leased Fee"))</f>
        <v/>
      </c>
      <c r="CA1005" s="76">
        <f>IF(TRIM($AF1005&amp;"")="","NR",LEFT(TRIM($AF1005),2))</f>
        <v/>
      </c>
      <c r="CB1005" s="76">
        <f>IFERROR(LOOKUP(2,1/(LEFT(TRIM($AI1005&amp;""),LEN(mapRegion))=mapRegion),mapRegion),"Not Reported")</f>
        <v/>
      </c>
      <c r="CC1005" s="76">
        <f>IF($BY1005=0,"",IF(TRIM($W1005&amp;"")="REO","REO",IF(TRIM($W1005&amp;"")="FC","Foreclosure",IF(TRIM($W1005&amp;"")="90+","90+ Days Delinquent",IF(TRIM($W1005&amp;"")="60","60 Days Delinquent",IF(TRIM($W1005&amp;"")="30","30 Days Delinquent",IF($X1005="Non-Performing Matured Balloon","Non-Performing Matured Balloon",IF(OR($X1005="Late Payment But Less Than 30 Days Delinquent",LEFT($X1005&amp;"",20)="Payment Not Received"),"Late / In Grace (&lt;30 Days)",IF($X1005="Performing Matured Balloon","Performing Matured Balloon","Current")))))))))</f>
        <v/>
      </c>
      <c r="CD1005" s="78">
        <f>IF(OR($CC1005="REO",$CC1005="Foreclosure",$CC1005="90+ Days Delinquent",$CC1005="60 Days Delinquent",$CC1005="30 Days Delinquent",$CC1005="Non-Performing Matured Balloon"),1,0)</f>
        <v/>
      </c>
      <c r="CE1005" s="76">
        <f>IF($AB1005="Currently special serv","Currently Specially Serviced",IF($AB1005="Returned to master serv","Previously Specially Serviced","Never Specially Serviced"))</f>
        <v/>
      </c>
      <c r="CF1005" s="78">
        <f>IF($CE1005="Currently Specially Serviced",1,0)</f>
        <v/>
      </c>
      <c r="CG1005" s="76">
        <f>IF($AA1005="Yes","Currently on Watchlist",IF($AA1005="Previously","Previously on Watchlist","Never on Watchlist"))</f>
        <v/>
      </c>
      <c r="CH1005" s="78">
        <f>IF($CG1005="Currently on Watchlist",1,0)</f>
        <v/>
      </c>
      <c r="CI1005" s="76">
        <f>IF($Z1005="Full Defeasance","Fully Defeased",IF($Z1005="Portion Of Loan Previously Defeased","Partially Defeased",IF($Z1005="Defeasance Not Allowable","Not Defeased (Not Permitted)","Not Defeased")))</f>
        <v/>
      </c>
      <c r="CJ1005" s="78">
        <f>IF($CI1005="Fully Defeased",1,0)</f>
        <v/>
      </c>
      <c r="CK1005" s="76">
        <f>IF($R1005="IO","Full IO",IF(LEFT($R1005&amp;"",7)="IO then","Partial IO","Amortizing"))</f>
        <v/>
      </c>
      <c r="CL1005" s="78">
        <f>IF($CK1005="Full IO",1,0)</f>
        <v/>
      </c>
      <c r="CM1005" s="78">
        <f>IF($CK1005="Partial IO",1,0)</f>
        <v/>
      </c>
      <c r="CN1005" s="76">
        <f>IF(LEFT($F1005&amp;"",10)="SPLIT_LOAN","Pari Passu Split","Standalone")</f>
        <v/>
      </c>
      <c r="CO1005" s="78">
        <f>IF($CN1005="Pari Passu Split",1,0)</f>
        <v/>
      </c>
      <c r="CP1005" s="77">
        <f>IF(ISNUMBER($T1005),YEAR($T1005),"")</f>
        <v/>
      </c>
      <c r="CQ1005" s="79">
        <f>IF(ISNUMBER($V1005),$V1005,IF(ISNUMBER($U1005),$U1005,""))</f>
        <v/>
      </c>
      <c r="CR1005" s="77">
        <f>IF(ISNUMBER($CQ1005),YEAR($CQ1005),"")</f>
        <v/>
      </c>
      <c r="CS1005" s="78">
        <f>IF(ISNUMBER($M1005),MAX(0,$M1005),IF(TRIM($M1005&amp;"")="matured",0,""))</f>
        <v/>
      </c>
      <c r="CT1005" s="78">
        <f>IF(AND(ISNUMBER($CS1005),N($CS1005)&lt;=mMatWindow),1,0)</f>
        <v/>
      </c>
      <c r="CU1005" s="80">
        <f>IF(ISNUMBER($J1005),$J1005/100,"")</f>
        <v/>
      </c>
      <c r="CV1005" s="81">
        <f>IF(ISNUMBER($AQ1005),$AQ1005,"")</f>
        <v/>
      </c>
      <c r="CW1005" s="81">
        <f>IF(ISNUMBER($AR1005),$AR1005,"")</f>
        <v/>
      </c>
      <c r="CX1005" s="82">
        <f>IF(ISNUMBER($AS1005),$AS1005/100,"")</f>
        <v/>
      </c>
      <c r="CY1005" s="82">
        <f>IF(ISNUMBER($AT1005),$AT1005/100,"")</f>
        <v/>
      </c>
      <c r="CZ1005" s="82">
        <f>IF(ISNUMBER($AU1005),$AU1005/100,"")</f>
        <v/>
      </c>
      <c r="DA1005" s="82">
        <f>IF(ISNUMBER($AV1005),$AV1005/100,"")</f>
        <v/>
      </c>
      <c r="DB1005" s="82">
        <f>IF(ISNUMBER($AW1005),$AW1005/100,"")</f>
        <v/>
      </c>
      <c r="DC1005" s="82">
        <f>IF(ISNUMBER($AX1005),$AX1005/100,"")</f>
        <v/>
      </c>
      <c r="DD1005" s="77">
        <f>IFERROR(VALUE(LEFT(TRIM($AO1005&amp;""),4)),"")</f>
        <v/>
      </c>
      <c r="DE1005" s="78">
        <f>IF(AND($BY1005=1,$BX1005=1,OR(fDeal="All Deals",$BU1005=fDeal),OR(fEntity="All Entities",$BV1005=fEntity),OR(fPType="All Property Types",$BZ1005=fPType),OR(fDefeased="Include",$CJ1005=0)),1,0)</f>
        <v/>
      </c>
      <c r="DF1005" s="83">
        <f>$DE1005*N($I1005)</f>
        <v/>
      </c>
      <c r="DG1005" s="78">
        <f>IF($DE1005=1,IF(COUNTIFS($F$8:$F1005,$F1005,$DE$8:$DE1005,1)=1,1,0),0)</f>
        <v/>
      </c>
      <c r="DH1005" s="83">
        <f>IF($DG1005=1,SUMIFS($DF$8:$DF$1600,$F$8:$F$1600,$F1005),0)</f>
        <v/>
      </c>
      <c r="DI1005" s="78">
        <f>IF($DG1005=1,COUNTIFS($F$8:$F$1600,$F1005,$DE$8:$DE$1600,1),0)</f>
        <v/>
      </c>
      <c r="DJ1005" s="84">
        <f>IF($DG1005=1,$DH1005+(100000-ROW())/mTieBreak,0)</f>
        <v/>
      </c>
    </row>
    <row r="1006">
      <c r="B1006" s="68" t="n">
        <v>3</v>
      </c>
      <c r="C1006" s="69" t="inlineStr">
        <is>
          <t>MSB17C33</t>
        </is>
      </c>
      <c r="D1006" s="69" t="inlineStr">
        <is>
          <t>3.000</t>
        </is>
      </c>
      <c r="E1006" s="69" t="inlineStr">
        <is>
          <t>Pentagon Center</t>
        </is>
      </c>
      <c r="F1006" s="69" t="inlineStr">
        <is>
          <t>SPLIT_LOAN_00951</t>
        </is>
      </c>
      <c r="G1006" s="70" t="n">
        <v>951</v>
      </c>
      <c r="H1006" s="71" t="n">
        <v>50000000</v>
      </c>
      <c r="I1006" s="71" t="n">
        <v>50000000</v>
      </c>
      <c r="J1006" s="72" t="n">
        <v>4.326</v>
      </c>
      <c r="K1006" s="69" t="inlineStr">
        <is>
          <t>Fixed rate</t>
        </is>
      </c>
      <c r="L1006" s="68" t="n">
        <v>121</v>
      </c>
      <c r="M1006" s="68" t="n">
        <v>6</v>
      </c>
      <c r="N1006" s="68" t="n">
        <v>121</v>
      </c>
      <c r="O1006" s="68" t="n">
        <v>121</v>
      </c>
      <c r="P1006" s="68" t="n">
        <v>6</v>
      </c>
      <c r="Q1006" s="68" t="n">
        <v>115</v>
      </c>
      <c r="R1006" s="69" t="inlineStr">
        <is>
          <t>IO</t>
        </is>
      </c>
      <c r="S1006" s="69" t="inlineStr">
        <is>
          <t>Yes</t>
        </is>
      </c>
      <c r="T1006" s="73" t="n">
        <v>42767</v>
      </c>
      <c r="U1006" s="73" t="n">
        <v>46452</v>
      </c>
      <c r="V1006" s="73" t="n"/>
      <c r="W1006" s="69" t="n"/>
      <c r="X1006" s="69" t="inlineStr">
        <is>
          <t>Current</t>
        </is>
      </c>
      <c r="Y1006" s="68" t="n"/>
      <c r="Z1006" s="69" t="inlineStr">
        <is>
          <t>No Defeasance Occurred</t>
        </is>
      </c>
      <c r="AA1006" s="69" t="inlineStr">
        <is>
          <t>Yes</t>
        </is>
      </c>
      <c r="AB1006" s="69" t="inlineStr">
        <is>
          <t>Never special serv</t>
        </is>
      </c>
      <c r="AC1006" s="73" t="n"/>
      <c r="AD1006" s="69" t="n"/>
      <c r="AE1006" s="69" t="n"/>
      <c r="AF1006" s="69" t="inlineStr">
        <is>
          <t>VA</t>
        </is>
      </c>
      <c r="AG1006" s="69" t="inlineStr">
        <is>
          <t>Arlington</t>
        </is>
      </c>
      <c r="AH1006" s="69" t="inlineStr">
        <is>
          <t>Washington-Arlington-Alexandria, DC-VA-MD-WV</t>
        </is>
      </c>
      <c r="AI1006" s="69" t="inlineStr">
        <is>
          <t>South / Atlantic</t>
        </is>
      </c>
      <c r="AJ1006" s="69" t="inlineStr">
        <is>
          <t>OF</t>
        </is>
      </c>
      <c r="AK1006" s="69" t="inlineStr">
        <is>
          <t>Suburban</t>
        </is>
      </c>
      <c r="AL1006" s="68" t="n">
        <v>1</v>
      </c>
      <c r="AM1006" s="68" t="n"/>
      <c r="AN1006" s="68" t="n">
        <v>911818</v>
      </c>
      <c r="AO1006" s="69" t="inlineStr">
        <is>
          <t>1970, 1971</t>
        </is>
      </c>
      <c r="AP1006" s="70" t="n">
        <v>2002</v>
      </c>
      <c r="AQ1006" s="74" t="n">
        <v>2.75</v>
      </c>
      <c r="AR1006" s="74" t="n">
        <v>2.8</v>
      </c>
      <c r="AS1006" s="74" t="n">
        <v>55.3</v>
      </c>
      <c r="AT1006" s="74" t="n">
        <v>55.29</v>
      </c>
      <c r="AU1006" s="74" t="n">
        <v>55.3</v>
      </c>
      <c r="AV1006" s="74" t="n">
        <v>12.073498571</v>
      </c>
      <c r="AW1006" s="74" t="n">
        <v>11.731691429</v>
      </c>
      <c r="AX1006" s="75" t="n">
        <v>100</v>
      </c>
      <c r="AY1006" s="71" t="n">
        <v>379800000</v>
      </c>
      <c r="AZ1006" s="71" t="n">
        <v>379800000</v>
      </c>
      <c r="BA1006" s="71" t="n">
        <v>25354347</v>
      </c>
      <c r="BB1006" s="71" t="n">
        <v>25799762.4</v>
      </c>
      <c r="BC1006" s="69" t="inlineStr">
        <is>
          <t>Acquisition</t>
        </is>
      </c>
      <c r="BD1006" s="69" t="inlineStr">
        <is>
          <t>N</t>
        </is>
      </c>
      <c r="BE1006" s="71" t="n">
        <v>160000000</v>
      </c>
      <c r="BF1006" s="71" t="n"/>
      <c r="BG1006" s="71" t="n"/>
      <c r="BH1006" s="71" t="n">
        <v>0</v>
      </c>
      <c r="BI1006" s="71" t="n">
        <v>0</v>
      </c>
      <c r="BJ1006" s="69" t="inlineStr">
        <is>
          <t>N</t>
        </is>
      </c>
      <c r="BK1006" s="69" t="inlineStr">
        <is>
          <t>GS -11B-12576</t>
        </is>
      </c>
      <c r="BL1006" s="75" t="n">
        <v>61.22</v>
      </c>
      <c r="BM1006" s="73" t="n">
        <v>46873</v>
      </c>
      <c r="BN1006" s="69" t="inlineStr">
        <is>
          <t>DC REIT Pentagon LLC</t>
        </is>
      </c>
      <c r="BO1006" s="69" t="inlineStr">
        <is>
          <t>Morgan Stanley</t>
        </is>
      </c>
      <c r="BP1006" s="69" t="inlineStr">
        <is>
          <t>TriMont Real Estate Advisors</t>
        </is>
      </c>
      <c r="BQ1006" s="69" t="inlineStr">
        <is>
          <t>Midland Loan Services</t>
        </is>
      </c>
      <c r="BR1006" s="69" t="n"/>
      <c r="BS1006" s="73" t="n">
        <v>46276</v>
      </c>
      <c r="BU1006" s="76">
        <f>IF($C1006="","",IFERROR(INDEX(dmName,MATCH($C1006,dmID,0)),"Unmapped"))</f>
        <v/>
      </c>
      <c r="BV1006" s="76">
        <f>IF($C1006="","",IFERROR(INDEX(dmEntity,MATCH($C1006,dmID,0)),"Unmapped"))</f>
        <v/>
      </c>
      <c r="BW1006" s="77">
        <f>IF($C1006="","",IFERROR(INDEX(dmVintage,MATCH($C1006,dmID,0)),""))</f>
        <v/>
      </c>
      <c r="BX1006" s="78">
        <f>IFERROR(INDEX(dmInclude,MATCH($C1006,dmID,0)),0)</f>
        <v/>
      </c>
      <c r="BY1006" s="78">
        <f>IF(N($I1006)&gt;0,1,0)</f>
        <v/>
      </c>
      <c r="BZ1006" s="76">
        <f>IF($AJ1006="","Other / Leased Fee",IFERROR(INDEX(mapPTGroup,MATCH(LEFT(TRIM($AJ1006),2),mapPTCode,0)),"Other / Leased Fee"))</f>
        <v/>
      </c>
      <c r="CA1006" s="76">
        <f>IF(TRIM($AF1006&amp;"")="","NR",LEFT(TRIM($AF1006),2))</f>
        <v/>
      </c>
      <c r="CB1006" s="76">
        <f>IFERROR(LOOKUP(2,1/(LEFT(TRIM($AI1006&amp;""),LEN(mapRegion))=mapRegion),mapRegion),"Not Reported")</f>
        <v/>
      </c>
      <c r="CC1006" s="76">
        <f>IF($BY1006=0,"",IF(TRIM($W1006&amp;"")="REO","REO",IF(TRIM($W1006&amp;"")="FC","Foreclosure",IF(TRIM($W1006&amp;"")="90+","90+ Days Delinquent",IF(TRIM($W1006&amp;"")="60","60 Days Delinquent",IF(TRIM($W1006&amp;"")="30","30 Days Delinquent",IF($X1006="Non-Performing Matured Balloon","Non-Performing Matured Balloon",IF(OR($X1006="Late Payment But Less Than 30 Days Delinquent",LEFT($X1006&amp;"",20)="Payment Not Received"),"Late / In Grace (&lt;30 Days)",IF($X1006="Performing Matured Balloon","Performing Matured Balloon","Current")))))))))</f>
        <v/>
      </c>
      <c r="CD1006" s="78">
        <f>IF(OR($CC1006="REO",$CC1006="Foreclosure",$CC1006="90+ Days Delinquent",$CC1006="60 Days Delinquent",$CC1006="30 Days Delinquent",$CC1006="Non-Performing Matured Balloon"),1,0)</f>
        <v/>
      </c>
      <c r="CE1006" s="76">
        <f>IF($AB1006="Currently special serv","Currently Specially Serviced",IF($AB1006="Returned to master serv","Previously Specially Serviced","Never Specially Serviced"))</f>
        <v/>
      </c>
      <c r="CF1006" s="78">
        <f>IF($CE1006="Currently Specially Serviced",1,0)</f>
        <v/>
      </c>
      <c r="CG1006" s="76">
        <f>IF($AA1006="Yes","Currently on Watchlist",IF($AA1006="Previously","Previously on Watchlist","Never on Watchlist"))</f>
        <v/>
      </c>
      <c r="CH1006" s="78">
        <f>IF($CG1006="Currently on Watchlist",1,0)</f>
        <v/>
      </c>
      <c r="CI1006" s="76">
        <f>IF($Z1006="Full Defeasance","Fully Defeased",IF($Z1006="Portion Of Loan Previously Defeased","Partially Defeased",IF($Z1006="Defeasance Not Allowable","Not Defeased (Not Permitted)","Not Defeased")))</f>
        <v/>
      </c>
      <c r="CJ1006" s="78">
        <f>IF($CI1006="Fully Defeased",1,0)</f>
        <v/>
      </c>
      <c r="CK1006" s="76">
        <f>IF($R1006="IO","Full IO",IF(LEFT($R1006&amp;"",7)="IO then","Partial IO","Amortizing"))</f>
        <v/>
      </c>
      <c r="CL1006" s="78">
        <f>IF($CK1006="Full IO",1,0)</f>
        <v/>
      </c>
      <c r="CM1006" s="78">
        <f>IF($CK1006="Partial IO",1,0)</f>
        <v/>
      </c>
      <c r="CN1006" s="76">
        <f>IF(LEFT($F1006&amp;"",10)="SPLIT_LOAN","Pari Passu Split","Standalone")</f>
        <v/>
      </c>
      <c r="CO1006" s="78">
        <f>IF($CN1006="Pari Passu Split",1,0)</f>
        <v/>
      </c>
      <c r="CP1006" s="77">
        <f>IF(ISNUMBER($T1006),YEAR($T1006),"")</f>
        <v/>
      </c>
      <c r="CQ1006" s="79">
        <f>IF(ISNUMBER($V1006),$V1006,IF(ISNUMBER($U1006),$U1006,""))</f>
        <v/>
      </c>
      <c r="CR1006" s="77">
        <f>IF(ISNUMBER($CQ1006),YEAR($CQ1006),"")</f>
        <v/>
      </c>
      <c r="CS1006" s="78">
        <f>IF(ISNUMBER($M1006),MAX(0,$M1006),IF(TRIM($M1006&amp;"")="matured",0,""))</f>
        <v/>
      </c>
      <c r="CT1006" s="78">
        <f>IF(AND(ISNUMBER($CS1006),N($CS1006)&lt;=mMatWindow),1,0)</f>
        <v/>
      </c>
      <c r="CU1006" s="80">
        <f>IF(ISNUMBER($J1006),$J1006/100,"")</f>
        <v/>
      </c>
      <c r="CV1006" s="81">
        <f>IF(ISNUMBER($AQ1006),$AQ1006,"")</f>
        <v/>
      </c>
      <c r="CW1006" s="81">
        <f>IF(ISNUMBER($AR1006),$AR1006,"")</f>
        <v/>
      </c>
      <c r="CX1006" s="82">
        <f>IF(ISNUMBER($AS1006),$AS1006/100,"")</f>
        <v/>
      </c>
      <c r="CY1006" s="82">
        <f>IF(ISNUMBER($AT1006),$AT1006/100,"")</f>
        <v/>
      </c>
      <c r="CZ1006" s="82">
        <f>IF(ISNUMBER($AU1006),$AU1006/100,"")</f>
        <v/>
      </c>
      <c r="DA1006" s="82">
        <f>IF(ISNUMBER($AV1006),$AV1006/100,"")</f>
        <v/>
      </c>
      <c r="DB1006" s="82">
        <f>IF(ISNUMBER($AW1006),$AW1006/100,"")</f>
        <v/>
      </c>
      <c r="DC1006" s="82">
        <f>IF(ISNUMBER($AX1006),$AX1006/100,"")</f>
        <v/>
      </c>
      <c r="DD1006" s="77">
        <f>IFERROR(VALUE(LEFT(TRIM($AO1006&amp;""),4)),"")</f>
        <v/>
      </c>
      <c r="DE1006" s="78">
        <f>IF(AND($BY1006=1,$BX1006=1,OR(fDeal="All Deals",$BU1006=fDeal),OR(fEntity="All Entities",$BV1006=fEntity),OR(fPType="All Property Types",$BZ1006=fPType),OR(fDefeased="Include",$CJ1006=0)),1,0)</f>
        <v/>
      </c>
      <c r="DF1006" s="83">
        <f>$DE1006*N($I1006)</f>
        <v/>
      </c>
      <c r="DG1006" s="78">
        <f>IF($DE1006=1,IF(COUNTIFS($F$8:$F1006,$F1006,$DE$8:$DE1006,1)=1,1,0),0)</f>
        <v/>
      </c>
      <c r="DH1006" s="83">
        <f>IF($DG1006=1,SUMIFS($DF$8:$DF$1600,$F$8:$F$1600,$F1006),0)</f>
        <v/>
      </c>
      <c r="DI1006" s="78">
        <f>IF($DG1006=1,COUNTIFS($F$8:$F$1600,$F1006,$DE$8:$DE$1600,1),0)</f>
        <v/>
      </c>
      <c r="DJ1006" s="84">
        <f>IF($DG1006=1,$DH1006+(100000-ROW())/mTieBreak,0)</f>
        <v/>
      </c>
    </row>
    <row r="1007">
      <c r="B1007" s="68" t="n">
        <v>4</v>
      </c>
      <c r="C1007" s="69" t="inlineStr">
        <is>
          <t>MSB17C33</t>
        </is>
      </c>
      <c r="D1007" s="69" t="inlineStr">
        <is>
          <t>4.000</t>
        </is>
      </c>
      <c r="E1007" s="69" t="inlineStr">
        <is>
          <t>Pearlridge Uptown II</t>
        </is>
      </c>
      <c r="F1007" s="69" t="inlineStr">
        <is>
          <t>LNMSB17C33-4.000</t>
        </is>
      </c>
      <c r="G1007" s="70" t="n"/>
      <c r="H1007" s="71" t="n">
        <v>43200000</v>
      </c>
      <c r="I1007" s="71" t="n">
        <v>37040851.69001281</v>
      </c>
      <c r="J1007" s="72" t="n">
        <v>4.071</v>
      </c>
      <c r="K1007" s="69" t="inlineStr">
        <is>
          <t>Fixed rate</t>
        </is>
      </c>
      <c r="L1007" s="68" t="n">
        <v>97</v>
      </c>
      <c r="M1007" s="68" t="inlineStr">
        <is>
          <t>matured</t>
        </is>
      </c>
      <c r="N1007" s="68" t="n">
        <v>384</v>
      </c>
      <c r="O1007" s="68" t="n">
        <v>24</v>
      </c>
      <c r="P1007" s="68" t="n">
        <v>0</v>
      </c>
      <c r="Q1007" s="68" t="n">
        <v>113</v>
      </c>
      <c r="R1007" s="69" t="inlineStr">
        <is>
          <t>IO then Amort</t>
        </is>
      </c>
      <c r="S1007" s="69" t="inlineStr">
        <is>
          <t>No</t>
        </is>
      </c>
      <c r="T1007" s="73" t="n">
        <v>42826</v>
      </c>
      <c r="U1007" s="73" t="n">
        <v>45778</v>
      </c>
      <c r="V1007" s="73" t="n"/>
      <c r="W1007" s="69" t="inlineStr">
        <is>
          <t>FC</t>
        </is>
      </c>
      <c r="X1007" s="69" t="inlineStr">
        <is>
          <t>Performing Matured Balloon</t>
        </is>
      </c>
      <c r="Y1007" s="68" t="n"/>
      <c r="Z1007" s="69" t="inlineStr">
        <is>
          <t>No Defeasance Occurred</t>
        </is>
      </c>
      <c r="AA1007" s="69" t="inlineStr">
        <is>
          <t>Previously</t>
        </is>
      </c>
      <c r="AB1007" s="69" t="inlineStr">
        <is>
          <t>Currently special serv</t>
        </is>
      </c>
      <c r="AC1007" s="73" t="n">
        <v>45790</v>
      </c>
      <c r="AD1007" s="69" t="inlineStr">
        <is>
          <t>Balloon Payment/Maturity Default</t>
        </is>
      </c>
      <c r="AE1007" s="69" t="inlineStr">
        <is>
          <t>TBD</t>
        </is>
      </c>
      <c r="AF1007" s="69" t="inlineStr">
        <is>
          <t>HI</t>
        </is>
      </c>
      <c r="AG1007" s="69" t="inlineStr">
        <is>
          <t>Aiea</t>
        </is>
      </c>
      <c r="AH1007" s="69" t="inlineStr">
        <is>
          <t>Urban Honolulu, HI</t>
        </is>
      </c>
      <c r="AI1007" s="69" t="inlineStr">
        <is>
          <t>West / Pacific South</t>
        </is>
      </c>
      <c r="AJ1007" s="69" t="inlineStr">
        <is>
          <t>RT</t>
        </is>
      </c>
      <c r="AK1007" s="69" t="inlineStr">
        <is>
          <t>Anchored</t>
        </is>
      </c>
      <c r="AL1007" s="68" t="n">
        <v>1</v>
      </c>
      <c r="AM1007" s="68" t="n"/>
      <c r="AN1007" s="68" t="n">
        <v>154944</v>
      </c>
      <c r="AO1007" s="69" t="inlineStr">
        <is>
          <t>1971</t>
        </is>
      </c>
      <c r="AP1007" s="70" t="n">
        <v>2005</v>
      </c>
      <c r="AQ1007" s="74" t="n">
        <v>2.3</v>
      </c>
      <c r="AR1007" s="74" t="n">
        <v>1.86</v>
      </c>
      <c r="AS1007" s="74" t="n">
        <v>60</v>
      </c>
      <c r="AT1007" s="74" t="n">
        <v>99.56999999999999</v>
      </c>
      <c r="AU1007" s="74" t="n">
        <v>53.3</v>
      </c>
      <c r="AV1007" s="74" t="n">
        <v>13.267244468</v>
      </c>
      <c r="AW1007" s="74" t="n">
        <v>17.844620219</v>
      </c>
      <c r="AX1007" s="75" t="n">
        <v>92</v>
      </c>
      <c r="AY1007" s="71" t="n">
        <v>72000000</v>
      </c>
      <c r="AZ1007" s="71" t="n">
        <v>37200000</v>
      </c>
      <c r="BA1007" s="71" t="n">
        <v>5731449.61</v>
      </c>
      <c r="BB1007" s="71" t="n">
        <v>2319582.22</v>
      </c>
      <c r="BC1007" s="69" t="inlineStr">
        <is>
          <t>Recapitalization</t>
        </is>
      </c>
      <c r="BD1007" s="69" t="inlineStr">
        <is>
          <t>Y</t>
        </is>
      </c>
      <c r="BE1007" s="71" t="n"/>
      <c r="BF1007" s="71" t="n"/>
      <c r="BG1007" s="71" t="n"/>
      <c r="BH1007" s="71" t="n">
        <v>0</v>
      </c>
      <c r="BI1007" s="71" t="n">
        <v>0</v>
      </c>
      <c r="BJ1007" s="69" t="inlineStr">
        <is>
          <t>N</t>
        </is>
      </c>
      <c r="BK1007" s="69" t="inlineStr">
        <is>
          <t>Ross Dress For Less</t>
        </is>
      </c>
      <c r="BL1007" s="75" t="n">
        <v>20.14</v>
      </c>
      <c r="BM1007" s="73" t="n">
        <v>47149</v>
      </c>
      <c r="BN1007" s="69" t="inlineStr">
        <is>
          <t>Washington Prime Group, L.P.</t>
        </is>
      </c>
      <c r="BO1007" s="69" t="inlineStr">
        <is>
          <t>Bank of America</t>
        </is>
      </c>
      <c r="BP1007" s="69" t="inlineStr">
        <is>
          <t>TriMont Real Estate Advisors</t>
        </is>
      </c>
      <c r="BQ1007" s="69" t="inlineStr">
        <is>
          <t>Midland Loan Services</t>
        </is>
      </c>
      <c r="BR1007" s="69" t="n"/>
      <c r="BS1007" s="73" t="n">
        <v>46276</v>
      </c>
      <c r="BU1007" s="76">
        <f>IF($C1007="","",IFERROR(INDEX(dmName,MATCH($C1007,dmID,0)),"Unmapped"))</f>
        <v/>
      </c>
      <c r="BV1007" s="76">
        <f>IF($C1007="","",IFERROR(INDEX(dmEntity,MATCH($C1007,dmID,0)),"Unmapped"))</f>
        <v/>
      </c>
      <c r="BW1007" s="77">
        <f>IF($C1007="","",IFERROR(INDEX(dmVintage,MATCH($C1007,dmID,0)),""))</f>
        <v/>
      </c>
      <c r="BX1007" s="78">
        <f>IFERROR(INDEX(dmInclude,MATCH($C1007,dmID,0)),0)</f>
        <v/>
      </c>
      <c r="BY1007" s="78">
        <f>IF(N($I1007)&gt;0,1,0)</f>
        <v/>
      </c>
      <c r="BZ1007" s="76">
        <f>IF($AJ1007="","Other / Leased Fee",IFERROR(INDEX(mapPTGroup,MATCH(LEFT(TRIM($AJ1007),2),mapPTCode,0)),"Other / Leased Fee"))</f>
        <v/>
      </c>
      <c r="CA1007" s="76">
        <f>IF(TRIM($AF1007&amp;"")="","NR",LEFT(TRIM($AF1007),2))</f>
        <v/>
      </c>
      <c r="CB1007" s="76">
        <f>IFERROR(LOOKUP(2,1/(LEFT(TRIM($AI1007&amp;""),LEN(mapRegion))=mapRegion),mapRegion),"Not Reported")</f>
        <v/>
      </c>
      <c r="CC1007" s="76">
        <f>IF($BY1007=0,"",IF(TRIM($W1007&amp;"")="REO","REO",IF(TRIM($W1007&amp;"")="FC","Foreclosure",IF(TRIM($W1007&amp;"")="90+","90+ Days Delinquent",IF(TRIM($W1007&amp;"")="60","60 Days Delinquent",IF(TRIM($W1007&amp;"")="30","30 Days Delinquent",IF($X1007="Non-Performing Matured Balloon","Non-Performing Matured Balloon",IF(OR($X1007="Late Payment But Less Than 30 Days Delinquent",LEFT($X1007&amp;"",20)="Payment Not Received"),"Late / In Grace (&lt;30 Days)",IF($X1007="Performing Matured Balloon","Performing Matured Balloon","Current")))))))))</f>
        <v/>
      </c>
      <c r="CD1007" s="78">
        <f>IF(OR($CC1007="REO",$CC1007="Foreclosure",$CC1007="90+ Days Delinquent",$CC1007="60 Days Delinquent",$CC1007="30 Days Delinquent",$CC1007="Non-Performing Matured Balloon"),1,0)</f>
        <v/>
      </c>
      <c r="CE1007" s="76">
        <f>IF($AB1007="Currently special serv","Currently Specially Serviced",IF($AB1007="Returned to master serv","Previously Specially Serviced","Never Specially Serviced"))</f>
        <v/>
      </c>
      <c r="CF1007" s="78">
        <f>IF($CE1007="Currently Specially Serviced",1,0)</f>
        <v/>
      </c>
      <c r="CG1007" s="76">
        <f>IF($AA1007="Yes","Currently on Watchlist",IF($AA1007="Previously","Previously on Watchlist","Never on Watchlist"))</f>
        <v/>
      </c>
      <c r="CH1007" s="78">
        <f>IF($CG1007="Currently on Watchlist",1,0)</f>
        <v/>
      </c>
      <c r="CI1007" s="76">
        <f>IF($Z1007="Full Defeasance","Fully Defeased",IF($Z1007="Portion Of Loan Previously Defeased","Partially Defeased",IF($Z1007="Defeasance Not Allowable","Not Defeased (Not Permitted)","Not Defeased")))</f>
        <v/>
      </c>
      <c r="CJ1007" s="78">
        <f>IF($CI1007="Fully Defeased",1,0)</f>
        <v/>
      </c>
      <c r="CK1007" s="76">
        <f>IF($R1007="IO","Full IO",IF(LEFT($R1007&amp;"",7)="IO then","Partial IO","Amortizing"))</f>
        <v/>
      </c>
      <c r="CL1007" s="78">
        <f>IF($CK1007="Full IO",1,0)</f>
        <v/>
      </c>
      <c r="CM1007" s="78">
        <f>IF($CK1007="Partial IO",1,0)</f>
        <v/>
      </c>
      <c r="CN1007" s="76">
        <f>IF(LEFT($F1007&amp;"",10)="SPLIT_LOAN","Pari Passu Split","Standalone")</f>
        <v/>
      </c>
      <c r="CO1007" s="78">
        <f>IF($CN1007="Pari Passu Split",1,0)</f>
        <v/>
      </c>
      <c r="CP1007" s="77">
        <f>IF(ISNUMBER($T1007),YEAR($T1007),"")</f>
        <v/>
      </c>
      <c r="CQ1007" s="79">
        <f>IF(ISNUMBER($V1007),$V1007,IF(ISNUMBER($U1007),$U1007,""))</f>
        <v/>
      </c>
      <c r="CR1007" s="77">
        <f>IF(ISNUMBER($CQ1007),YEAR($CQ1007),"")</f>
        <v/>
      </c>
      <c r="CS1007" s="78">
        <f>IF(ISNUMBER($M1007),MAX(0,$M1007),IF(TRIM($M1007&amp;"")="matured",0,""))</f>
        <v/>
      </c>
      <c r="CT1007" s="78">
        <f>IF(AND(ISNUMBER($CS1007),N($CS1007)&lt;=mMatWindow),1,0)</f>
        <v/>
      </c>
      <c r="CU1007" s="80">
        <f>IF(ISNUMBER($J1007),$J1007/100,"")</f>
        <v/>
      </c>
      <c r="CV1007" s="81">
        <f>IF(ISNUMBER($AQ1007),$AQ1007,"")</f>
        <v/>
      </c>
      <c r="CW1007" s="81">
        <f>IF(ISNUMBER($AR1007),$AR1007,"")</f>
        <v/>
      </c>
      <c r="CX1007" s="82">
        <f>IF(ISNUMBER($AS1007),$AS1007/100,"")</f>
        <v/>
      </c>
      <c r="CY1007" s="82">
        <f>IF(ISNUMBER($AT1007),$AT1007/100,"")</f>
        <v/>
      </c>
      <c r="CZ1007" s="82">
        <f>IF(ISNUMBER($AU1007),$AU1007/100,"")</f>
        <v/>
      </c>
      <c r="DA1007" s="82">
        <f>IF(ISNUMBER($AV1007),$AV1007/100,"")</f>
        <v/>
      </c>
      <c r="DB1007" s="82">
        <f>IF(ISNUMBER($AW1007),$AW1007/100,"")</f>
        <v/>
      </c>
      <c r="DC1007" s="82">
        <f>IF(ISNUMBER($AX1007),$AX1007/100,"")</f>
        <v/>
      </c>
      <c r="DD1007" s="77">
        <f>IFERROR(VALUE(LEFT(TRIM($AO1007&amp;""),4)),"")</f>
        <v/>
      </c>
      <c r="DE1007" s="78">
        <f>IF(AND($BY1007=1,$BX1007=1,OR(fDeal="All Deals",$BU1007=fDeal),OR(fEntity="All Entities",$BV1007=fEntity),OR(fPType="All Property Types",$BZ1007=fPType),OR(fDefeased="Include",$CJ1007=0)),1,0)</f>
        <v/>
      </c>
      <c r="DF1007" s="83">
        <f>$DE1007*N($I1007)</f>
        <v/>
      </c>
      <c r="DG1007" s="78">
        <f>IF($DE1007=1,IF(COUNTIFS($F$8:$F1007,$F1007,$DE$8:$DE1007,1)=1,1,0),0)</f>
        <v/>
      </c>
      <c r="DH1007" s="83">
        <f>IF($DG1007=1,SUMIFS($DF$8:$DF$1600,$F$8:$F$1600,$F1007),0)</f>
        <v/>
      </c>
      <c r="DI1007" s="78">
        <f>IF($DG1007=1,COUNTIFS($F$8:$F$1600,$F1007,$DE$8:$DE$1600,1),0)</f>
        <v/>
      </c>
      <c r="DJ1007" s="84">
        <f>IF($DG1007=1,$DH1007+(100000-ROW())/mTieBreak,0)</f>
        <v/>
      </c>
    </row>
    <row r="1008">
      <c r="B1008" s="68" t="n">
        <v>5</v>
      </c>
      <c r="C1008" s="69" t="inlineStr">
        <is>
          <t>MSB17C33</t>
        </is>
      </c>
      <c r="D1008" s="69" t="inlineStr">
        <is>
          <t>5.000</t>
        </is>
      </c>
      <c r="E1008" s="69" t="inlineStr">
        <is>
          <t>Key Center Cleveland</t>
        </is>
      </c>
      <c r="F1008" s="69" t="inlineStr">
        <is>
          <t>SPLIT_LOAN_00954</t>
        </is>
      </c>
      <c r="G1008" s="70" t="n">
        <v>954</v>
      </c>
      <c r="H1008" s="71" t="n">
        <v>40000000</v>
      </c>
      <c r="I1008" s="71" t="n">
        <v>33093510.1</v>
      </c>
      <c r="J1008" s="72" t="n">
        <v>5.31</v>
      </c>
      <c r="K1008" s="69" t="inlineStr">
        <is>
          <t>Fixed rate</t>
        </is>
      </c>
      <c r="L1008" s="68" t="n">
        <v>120</v>
      </c>
      <c r="M1008" s="68" t="n">
        <v>5</v>
      </c>
      <c r="N1008" s="68" t="n">
        <v>324</v>
      </c>
      <c r="O1008" s="68" t="n">
        <v>24</v>
      </c>
      <c r="P1008" s="68" t="n">
        <v>0</v>
      </c>
      <c r="Q1008" s="68" t="n">
        <v>115</v>
      </c>
      <c r="R1008" s="69" t="inlineStr">
        <is>
          <t>IO then Amort</t>
        </is>
      </c>
      <c r="S1008" s="69" t="inlineStr">
        <is>
          <t>No</t>
        </is>
      </c>
      <c r="T1008" s="73" t="n">
        <v>42767</v>
      </c>
      <c r="U1008" s="73" t="n">
        <v>46424</v>
      </c>
      <c r="V1008" s="73" t="n"/>
      <c r="W1008" s="69" t="n"/>
      <c r="X1008" s="69" t="inlineStr">
        <is>
          <t>Late Payment But Less Than 30 Days Delinquent</t>
        </is>
      </c>
      <c r="Y1008" s="68" t="n"/>
      <c r="Z1008" s="69" t="inlineStr">
        <is>
          <t>No Defeasance Occurred</t>
        </is>
      </c>
      <c r="AA1008" s="69" t="n"/>
      <c r="AB1008" s="69" t="inlineStr">
        <is>
          <t>Currently special serv</t>
        </is>
      </c>
      <c r="AC1008" s="73" t="n">
        <v>44131</v>
      </c>
      <c r="AD1008" s="69" t="inlineStr">
        <is>
          <t>Imminent Monetary Default (excluding Balloon/Maturity Default &amp; Single Tenant Bankruptcy/Vacate)</t>
        </is>
      </c>
      <c r="AE1008" s="69" t="inlineStr">
        <is>
          <t>TBD</t>
        </is>
      </c>
      <c r="AF1008" s="69" t="inlineStr">
        <is>
          <t>OH</t>
        </is>
      </c>
      <c r="AG1008" s="69" t="inlineStr">
        <is>
          <t>Cleveland</t>
        </is>
      </c>
      <c r="AH1008" s="69" t="inlineStr">
        <is>
          <t>Cleveland, OH</t>
        </is>
      </c>
      <c r="AI1008" s="69" t="inlineStr">
        <is>
          <t>Midwest / Central East</t>
        </is>
      </c>
      <c r="AJ1008" s="69" t="inlineStr">
        <is>
          <t>MX</t>
        </is>
      </c>
      <c r="AK1008" s="69" t="inlineStr">
        <is>
          <t>Office/Hotel</t>
        </is>
      </c>
      <c r="AL1008" s="68" t="n">
        <v>1</v>
      </c>
      <c r="AM1008" s="68" t="n"/>
      <c r="AN1008" s="68" t="n">
        <v>1369980</v>
      </c>
      <c r="AO1008" s="69" t="inlineStr">
        <is>
          <t>1991</t>
        </is>
      </c>
      <c r="AP1008" s="70" t="n">
        <v>2015</v>
      </c>
      <c r="AQ1008" s="74" t="n">
        <v>1.59</v>
      </c>
      <c r="AR1008" s="74" t="n">
        <v>1.67</v>
      </c>
      <c r="AS1008" s="74" t="n">
        <v>60.8</v>
      </c>
      <c r="AT1008" s="74" t="n">
        <v>50.28</v>
      </c>
      <c r="AU1008" s="74" t="n">
        <v>49.7</v>
      </c>
      <c r="AV1008" s="74" t="n">
        <v>11.512334432</v>
      </c>
      <c r="AW1008" s="74" t="n">
        <v>14.46134002</v>
      </c>
      <c r="AX1008" s="75" t="n">
        <v>89</v>
      </c>
      <c r="AY1008" s="71" t="n">
        <v>362000000</v>
      </c>
      <c r="AZ1008" s="71" t="n">
        <v>362000000</v>
      </c>
      <c r="BA1008" s="71" t="n">
        <v>25327135.75</v>
      </c>
      <c r="BB1008" s="71" t="n">
        <v>13289727.18</v>
      </c>
      <c r="BC1008" s="69" t="inlineStr">
        <is>
          <t>Acquisition</t>
        </is>
      </c>
      <c r="BD1008" s="69" t="inlineStr">
        <is>
          <t>Y</t>
        </is>
      </c>
      <c r="BE1008" s="71" t="n">
        <v>148920795.45</v>
      </c>
      <c r="BF1008" s="71" t="n"/>
      <c r="BG1008" s="71" t="n">
        <v>42500000</v>
      </c>
      <c r="BH1008" s="71" t="n">
        <v>0</v>
      </c>
      <c r="BI1008" s="71" t="n">
        <v>243448.13</v>
      </c>
      <c r="BJ1008" s="69" t="inlineStr">
        <is>
          <t>Y</t>
        </is>
      </c>
      <c r="BK1008" s="69" t="inlineStr">
        <is>
          <t>Key Bank</t>
        </is>
      </c>
      <c r="BL1008" s="75" t="n">
        <v>26.68</v>
      </c>
      <c r="BM1008" s="73" t="n">
        <v>47664</v>
      </c>
      <c r="BN1008" s="69" t="inlineStr">
        <is>
          <t>Frank T. Sinito; Malisse J. Sinito</t>
        </is>
      </c>
      <c r="BO1008" s="69" t="inlineStr">
        <is>
          <t>Bank of America</t>
        </is>
      </c>
      <c r="BP1008" s="69" t="inlineStr">
        <is>
          <t>TriMont Real Estate Advisors</t>
        </is>
      </c>
      <c r="BQ1008" s="69" t="inlineStr">
        <is>
          <t>Rialto Capital</t>
        </is>
      </c>
      <c r="BR1008" s="69" t="n"/>
      <c r="BS1008" s="73" t="n">
        <v>46276</v>
      </c>
      <c r="BU1008" s="76">
        <f>IF($C1008="","",IFERROR(INDEX(dmName,MATCH($C1008,dmID,0)),"Unmapped"))</f>
        <v/>
      </c>
      <c r="BV1008" s="76">
        <f>IF($C1008="","",IFERROR(INDEX(dmEntity,MATCH($C1008,dmID,0)),"Unmapped"))</f>
        <v/>
      </c>
      <c r="BW1008" s="77">
        <f>IF($C1008="","",IFERROR(INDEX(dmVintage,MATCH($C1008,dmID,0)),""))</f>
        <v/>
      </c>
      <c r="BX1008" s="78">
        <f>IFERROR(INDEX(dmInclude,MATCH($C1008,dmID,0)),0)</f>
        <v/>
      </c>
      <c r="BY1008" s="78">
        <f>IF(N($I1008)&gt;0,1,0)</f>
        <v/>
      </c>
      <c r="BZ1008" s="76">
        <f>IF($AJ1008="","Other / Leased Fee",IFERROR(INDEX(mapPTGroup,MATCH(LEFT(TRIM($AJ1008),2),mapPTCode,0)),"Other / Leased Fee"))</f>
        <v/>
      </c>
      <c r="CA1008" s="76">
        <f>IF(TRIM($AF1008&amp;"")="","NR",LEFT(TRIM($AF1008),2))</f>
        <v/>
      </c>
      <c r="CB1008" s="76">
        <f>IFERROR(LOOKUP(2,1/(LEFT(TRIM($AI1008&amp;""),LEN(mapRegion))=mapRegion),mapRegion),"Not Reported")</f>
        <v/>
      </c>
      <c r="CC1008" s="76">
        <f>IF($BY1008=0,"",IF(TRIM($W1008&amp;"")="REO","REO",IF(TRIM($W1008&amp;"")="FC","Foreclosure",IF(TRIM($W1008&amp;"")="90+","90+ Days Delinquent",IF(TRIM($W1008&amp;"")="60","60 Days Delinquent",IF(TRIM($W1008&amp;"")="30","30 Days Delinquent",IF($X1008="Non-Performing Matured Balloon","Non-Performing Matured Balloon",IF(OR($X1008="Late Payment But Less Than 30 Days Delinquent",LEFT($X1008&amp;"",20)="Payment Not Received"),"Late / In Grace (&lt;30 Days)",IF($X1008="Performing Matured Balloon","Performing Matured Balloon","Current")))))))))</f>
        <v/>
      </c>
      <c r="CD1008" s="78">
        <f>IF(OR($CC1008="REO",$CC1008="Foreclosure",$CC1008="90+ Days Delinquent",$CC1008="60 Days Delinquent",$CC1008="30 Days Delinquent",$CC1008="Non-Performing Matured Balloon"),1,0)</f>
        <v/>
      </c>
      <c r="CE1008" s="76">
        <f>IF($AB1008="Currently special serv","Currently Specially Serviced",IF($AB1008="Returned to master serv","Previously Specially Serviced","Never Specially Serviced"))</f>
        <v/>
      </c>
      <c r="CF1008" s="78">
        <f>IF($CE1008="Currently Specially Serviced",1,0)</f>
        <v/>
      </c>
      <c r="CG1008" s="76">
        <f>IF($AA1008="Yes","Currently on Watchlist",IF($AA1008="Previously","Previously on Watchlist","Never on Watchlist"))</f>
        <v/>
      </c>
      <c r="CH1008" s="78">
        <f>IF($CG1008="Currently on Watchlist",1,0)</f>
        <v/>
      </c>
      <c r="CI1008" s="76">
        <f>IF($Z1008="Full Defeasance","Fully Defeased",IF($Z1008="Portion Of Loan Previously Defeased","Partially Defeased",IF($Z1008="Defeasance Not Allowable","Not Defeased (Not Permitted)","Not Defeased")))</f>
        <v/>
      </c>
      <c r="CJ1008" s="78">
        <f>IF($CI1008="Fully Defeased",1,0)</f>
        <v/>
      </c>
      <c r="CK1008" s="76">
        <f>IF($R1008="IO","Full IO",IF(LEFT($R1008&amp;"",7)="IO then","Partial IO","Amortizing"))</f>
        <v/>
      </c>
      <c r="CL1008" s="78">
        <f>IF($CK1008="Full IO",1,0)</f>
        <v/>
      </c>
      <c r="CM1008" s="78">
        <f>IF($CK1008="Partial IO",1,0)</f>
        <v/>
      </c>
      <c r="CN1008" s="76">
        <f>IF(LEFT($F1008&amp;"",10)="SPLIT_LOAN","Pari Passu Split","Standalone")</f>
        <v/>
      </c>
      <c r="CO1008" s="78">
        <f>IF($CN1008="Pari Passu Split",1,0)</f>
        <v/>
      </c>
      <c r="CP1008" s="77">
        <f>IF(ISNUMBER($T1008),YEAR($T1008),"")</f>
        <v/>
      </c>
      <c r="CQ1008" s="79">
        <f>IF(ISNUMBER($V1008),$V1008,IF(ISNUMBER($U1008),$U1008,""))</f>
        <v/>
      </c>
      <c r="CR1008" s="77">
        <f>IF(ISNUMBER($CQ1008),YEAR($CQ1008),"")</f>
        <v/>
      </c>
      <c r="CS1008" s="78">
        <f>IF(ISNUMBER($M1008),MAX(0,$M1008),IF(TRIM($M1008&amp;"")="matured",0,""))</f>
        <v/>
      </c>
      <c r="CT1008" s="78">
        <f>IF(AND(ISNUMBER($CS1008),N($CS1008)&lt;=mMatWindow),1,0)</f>
        <v/>
      </c>
      <c r="CU1008" s="80">
        <f>IF(ISNUMBER($J1008),$J1008/100,"")</f>
        <v/>
      </c>
      <c r="CV1008" s="81">
        <f>IF(ISNUMBER($AQ1008),$AQ1008,"")</f>
        <v/>
      </c>
      <c r="CW1008" s="81">
        <f>IF(ISNUMBER($AR1008),$AR1008,"")</f>
        <v/>
      </c>
      <c r="CX1008" s="82">
        <f>IF(ISNUMBER($AS1008),$AS1008/100,"")</f>
        <v/>
      </c>
      <c r="CY1008" s="82">
        <f>IF(ISNUMBER($AT1008),$AT1008/100,"")</f>
        <v/>
      </c>
      <c r="CZ1008" s="82">
        <f>IF(ISNUMBER($AU1008),$AU1008/100,"")</f>
        <v/>
      </c>
      <c r="DA1008" s="82">
        <f>IF(ISNUMBER($AV1008),$AV1008/100,"")</f>
        <v/>
      </c>
      <c r="DB1008" s="82">
        <f>IF(ISNUMBER($AW1008),$AW1008/100,"")</f>
        <v/>
      </c>
      <c r="DC1008" s="82">
        <f>IF(ISNUMBER($AX1008),$AX1008/100,"")</f>
        <v/>
      </c>
      <c r="DD1008" s="77">
        <f>IFERROR(VALUE(LEFT(TRIM($AO1008&amp;""),4)),"")</f>
        <v/>
      </c>
      <c r="DE1008" s="78">
        <f>IF(AND($BY1008=1,$BX1008=1,OR(fDeal="All Deals",$BU1008=fDeal),OR(fEntity="All Entities",$BV1008=fEntity),OR(fPType="All Property Types",$BZ1008=fPType),OR(fDefeased="Include",$CJ1008=0)),1,0)</f>
        <v/>
      </c>
      <c r="DF1008" s="83">
        <f>$DE1008*N($I1008)</f>
        <v/>
      </c>
      <c r="DG1008" s="78">
        <f>IF($DE1008=1,IF(COUNTIFS($F$8:$F1008,$F1008,$DE$8:$DE1008,1)=1,1,0),0)</f>
        <v/>
      </c>
      <c r="DH1008" s="83">
        <f>IF($DG1008=1,SUMIFS($DF$8:$DF$1600,$F$8:$F$1600,$F1008),0)</f>
        <v/>
      </c>
      <c r="DI1008" s="78">
        <f>IF($DG1008=1,COUNTIFS($F$8:$F$1600,$F1008,$DE$8:$DE$1600,1),0)</f>
        <v/>
      </c>
      <c r="DJ1008" s="84">
        <f>IF($DG1008=1,$DH1008+(100000-ROW())/mTieBreak,0)</f>
        <v/>
      </c>
    </row>
    <row r="1009">
      <c r="B1009" s="68" t="n">
        <v>6</v>
      </c>
      <c r="C1009" s="69" t="inlineStr">
        <is>
          <t>MSB17C33</t>
        </is>
      </c>
      <c r="D1009" s="69" t="inlineStr">
        <is>
          <t>6.000</t>
        </is>
      </c>
      <c r="E1009" s="69" t="inlineStr">
        <is>
          <t>Chicago Business Center</t>
        </is>
      </c>
      <c r="F1009" s="69" t="inlineStr">
        <is>
          <t>LNMSB17C33-6.000</t>
        </is>
      </c>
      <c r="G1009" s="70" t="n"/>
      <c r="H1009" s="71" t="n">
        <v>22875000</v>
      </c>
      <c r="I1009" s="71" t="n">
        <v>19483582.78999988</v>
      </c>
      <c r="J1009" s="72" t="n">
        <v>4.854</v>
      </c>
      <c r="K1009" s="69" t="inlineStr">
        <is>
          <t>Fixed rate</t>
        </is>
      </c>
      <c r="L1009" s="68" t="n">
        <v>117</v>
      </c>
      <c r="M1009" s="68" t="n">
        <v>3</v>
      </c>
      <c r="N1009" s="68" t="n">
        <v>372</v>
      </c>
      <c r="O1009" s="68" t="n">
        <v>12</v>
      </c>
      <c r="P1009" s="68" t="n">
        <v>0</v>
      </c>
      <c r="Q1009" s="68" t="n">
        <v>114</v>
      </c>
      <c r="R1009" s="69" t="inlineStr">
        <is>
          <t>IO then Amort</t>
        </is>
      </c>
      <c r="S1009" s="69" t="inlineStr">
        <is>
          <t>No</t>
        </is>
      </c>
      <c r="T1009" s="73" t="n">
        <v>42795</v>
      </c>
      <c r="U1009" s="73" t="n">
        <v>46357</v>
      </c>
      <c r="V1009" s="73" t="n"/>
      <c r="W1009" s="69" t="n"/>
      <c r="X1009" s="69" t="inlineStr">
        <is>
          <t>Current</t>
        </is>
      </c>
      <c r="Y1009" s="68" t="n"/>
      <c r="Z1009" s="69" t="inlineStr">
        <is>
          <t>Full Defeasance</t>
        </is>
      </c>
      <c r="AA1009" s="69" t="inlineStr">
        <is>
          <t>Previously</t>
        </is>
      </c>
      <c r="AB1009" s="69" t="inlineStr">
        <is>
          <t>Never special serv</t>
        </is>
      </c>
      <c r="AC1009" s="73" t="n"/>
      <c r="AD1009" s="69" t="n"/>
      <c r="AE1009" s="69" t="n"/>
      <c r="AF1009" s="69" t="inlineStr">
        <is>
          <t>IL</t>
        </is>
      </c>
      <c r="AG1009" s="69" t="inlineStr">
        <is>
          <t>Chicago</t>
        </is>
      </c>
      <c r="AH1009" s="69" t="inlineStr">
        <is>
          <t>Chicago-Naperville-Elgin, IL-IN</t>
        </is>
      </c>
      <c r="AI1009" s="69" t="inlineStr">
        <is>
          <t>Midwest / Central East</t>
        </is>
      </c>
      <c r="AJ1009" s="69" t="inlineStr">
        <is>
          <t>IN</t>
        </is>
      </c>
      <c r="AK1009" s="69" t="inlineStr">
        <is>
          <t>Flex</t>
        </is>
      </c>
      <c r="AL1009" s="68" t="n">
        <v>1</v>
      </c>
      <c r="AM1009" s="68" t="n"/>
      <c r="AN1009" s="68" t="n">
        <v>683533</v>
      </c>
      <c r="AO1009" s="69" t="inlineStr">
        <is>
          <t>1930</t>
        </is>
      </c>
      <c r="AP1009" s="70" t="n">
        <v>2010</v>
      </c>
      <c r="AQ1009" s="74" t="n">
        <v>1.71</v>
      </c>
      <c r="AR1009" s="74" t="n">
        <v>1.75</v>
      </c>
      <c r="AS1009" s="74" t="n">
        <v>73</v>
      </c>
      <c r="AT1009" s="74" t="n">
        <v>62.75</v>
      </c>
      <c r="AU1009" s="74" t="n">
        <v>62.1</v>
      </c>
      <c r="AV1009" s="74" t="n">
        <v>10.861967081</v>
      </c>
      <c r="AW1009" s="74" t="n">
        <v>11.604514688</v>
      </c>
      <c r="AX1009" s="75" t="n">
        <v>88.18000000000001</v>
      </c>
      <c r="AY1009" s="71" t="n">
        <v>30500000</v>
      </c>
      <c r="AZ1009" s="71" t="n">
        <v>30500000</v>
      </c>
      <c r="BA1009" s="71" t="n">
        <v>2607688</v>
      </c>
      <c r="BB1009" s="71" t="n">
        <v>1902080.72</v>
      </c>
      <c r="BC1009" s="69" t="inlineStr">
        <is>
          <t>Refinance</t>
        </is>
      </c>
      <c r="BD1009" s="69" t="inlineStr">
        <is>
          <t>N</t>
        </is>
      </c>
      <c r="BE1009" s="71" t="n"/>
      <c r="BF1009" s="71" t="n"/>
      <c r="BG1009" s="71" t="n"/>
      <c r="BH1009" s="71" t="n">
        <v>0</v>
      </c>
      <c r="BI1009" s="71" t="n">
        <v>0</v>
      </c>
      <c r="BJ1009" s="69" t="inlineStr">
        <is>
          <t>N</t>
        </is>
      </c>
      <c r="BK1009" s="69" t="inlineStr">
        <is>
          <t>Chicago Sports Complex  LLC</t>
        </is>
      </c>
      <c r="BL1009" s="75" t="n">
        <v>14.33</v>
      </c>
      <c r="BM1009" s="73" t="n">
        <v>45107</v>
      </c>
      <c r="BN1009" s="69" t="inlineStr">
        <is>
          <t>Ruben Espinoza; Gloria Flores Soto</t>
        </is>
      </c>
      <c r="BO1009" s="69" t="inlineStr">
        <is>
          <t>Bank of America</t>
        </is>
      </c>
      <c r="BP1009" s="69" t="inlineStr">
        <is>
          <t>TriMont Real Estate Advisors</t>
        </is>
      </c>
      <c r="BQ1009" s="69" t="inlineStr">
        <is>
          <t>Midland Loan Services</t>
        </is>
      </c>
      <c r="BR1009" s="69" t="n"/>
      <c r="BS1009" s="73" t="n">
        <v>46276</v>
      </c>
      <c r="BU1009" s="76">
        <f>IF($C1009="","",IFERROR(INDEX(dmName,MATCH($C1009,dmID,0)),"Unmapped"))</f>
        <v/>
      </c>
      <c r="BV1009" s="76">
        <f>IF($C1009="","",IFERROR(INDEX(dmEntity,MATCH($C1009,dmID,0)),"Unmapped"))</f>
        <v/>
      </c>
      <c r="BW1009" s="77">
        <f>IF($C1009="","",IFERROR(INDEX(dmVintage,MATCH($C1009,dmID,0)),""))</f>
        <v/>
      </c>
      <c r="BX1009" s="78">
        <f>IFERROR(INDEX(dmInclude,MATCH($C1009,dmID,0)),0)</f>
        <v/>
      </c>
      <c r="BY1009" s="78">
        <f>IF(N($I1009)&gt;0,1,0)</f>
        <v/>
      </c>
      <c r="BZ1009" s="76">
        <f>IF($AJ1009="","Other / Leased Fee",IFERROR(INDEX(mapPTGroup,MATCH(LEFT(TRIM($AJ1009),2),mapPTCode,0)),"Other / Leased Fee"))</f>
        <v/>
      </c>
      <c r="CA1009" s="76">
        <f>IF(TRIM($AF1009&amp;"")="","NR",LEFT(TRIM($AF1009),2))</f>
        <v/>
      </c>
      <c r="CB1009" s="76">
        <f>IFERROR(LOOKUP(2,1/(LEFT(TRIM($AI1009&amp;""),LEN(mapRegion))=mapRegion),mapRegion),"Not Reported")</f>
        <v/>
      </c>
      <c r="CC1009" s="76">
        <f>IF($BY1009=0,"",IF(TRIM($W1009&amp;"")="REO","REO",IF(TRIM($W1009&amp;"")="FC","Foreclosure",IF(TRIM($W1009&amp;"")="90+","90+ Days Delinquent",IF(TRIM($W1009&amp;"")="60","60 Days Delinquent",IF(TRIM($W1009&amp;"")="30","30 Days Delinquent",IF($X1009="Non-Performing Matured Balloon","Non-Performing Matured Balloon",IF(OR($X1009="Late Payment But Less Than 30 Days Delinquent",LEFT($X1009&amp;"",20)="Payment Not Received"),"Late / In Grace (&lt;30 Days)",IF($X1009="Performing Matured Balloon","Performing Matured Balloon","Current")))))))))</f>
        <v/>
      </c>
      <c r="CD1009" s="78">
        <f>IF(OR($CC1009="REO",$CC1009="Foreclosure",$CC1009="90+ Days Delinquent",$CC1009="60 Days Delinquent",$CC1009="30 Days Delinquent",$CC1009="Non-Performing Matured Balloon"),1,0)</f>
        <v/>
      </c>
      <c r="CE1009" s="76">
        <f>IF($AB1009="Currently special serv","Currently Specially Serviced",IF($AB1009="Returned to master serv","Previously Specially Serviced","Never Specially Serviced"))</f>
        <v/>
      </c>
      <c r="CF1009" s="78">
        <f>IF($CE1009="Currently Specially Serviced",1,0)</f>
        <v/>
      </c>
      <c r="CG1009" s="76">
        <f>IF($AA1009="Yes","Currently on Watchlist",IF($AA1009="Previously","Previously on Watchlist","Never on Watchlist"))</f>
        <v/>
      </c>
      <c r="CH1009" s="78">
        <f>IF($CG1009="Currently on Watchlist",1,0)</f>
        <v/>
      </c>
      <c r="CI1009" s="76">
        <f>IF($Z1009="Full Defeasance","Fully Defeased",IF($Z1009="Portion Of Loan Previously Defeased","Partially Defeased",IF($Z1009="Defeasance Not Allowable","Not Defeased (Not Permitted)","Not Defeased")))</f>
        <v/>
      </c>
      <c r="CJ1009" s="78">
        <f>IF($CI1009="Fully Defeased",1,0)</f>
        <v/>
      </c>
      <c r="CK1009" s="76">
        <f>IF($R1009="IO","Full IO",IF(LEFT($R1009&amp;"",7)="IO then","Partial IO","Amortizing"))</f>
        <v/>
      </c>
      <c r="CL1009" s="78">
        <f>IF($CK1009="Full IO",1,0)</f>
        <v/>
      </c>
      <c r="CM1009" s="78">
        <f>IF($CK1009="Partial IO",1,0)</f>
        <v/>
      </c>
      <c r="CN1009" s="76">
        <f>IF(LEFT($F1009&amp;"",10)="SPLIT_LOAN","Pari Passu Split","Standalone")</f>
        <v/>
      </c>
      <c r="CO1009" s="78">
        <f>IF($CN1009="Pari Passu Split",1,0)</f>
        <v/>
      </c>
      <c r="CP1009" s="77">
        <f>IF(ISNUMBER($T1009),YEAR($T1009),"")</f>
        <v/>
      </c>
      <c r="CQ1009" s="79">
        <f>IF(ISNUMBER($V1009),$V1009,IF(ISNUMBER($U1009),$U1009,""))</f>
        <v/>
      </c>
      <c r="CR1009" s="77">
        <f>IF(ISNUMBER($CQ1009),YEAR($CQ1009),"")</f>
        <v/>
      </c>
      <c r="CS1009" s="78">
        <f>IF(ISNUMBER($M1009),MAX(0,$M1009),IF(TRIM($M1009&amp;"")="matured",0,""))</f>
        <v/>
      </c>
      <c r="CT1009" s="78">
        <f>IF(AND(ISNUMBER($CS1009),N($CS1009)&lt;=mMatWindow),1,0)</f>
        <v/>
      </c>
      <c r="CU1009" s="80">
        <f>IF(ISNUMBER($J1009),$J1009/100,"")</f>
        <v/>
      </c>
      <c r="CV1009" s="81">
        <f>IF(ISNUMBER($AQ1009),$AQ1009,"")</f>
        <v/>
      </c>
      <c r="CW1009" s="81">
        <f>IF(ISNUMBER($AR1009),$AR1009,"")</f>
        <v/>
      </c>
      <c r="CX1009" s="82">
        <f>IF(ISNUMBER($AS1009),$AS1009/100,"")</f>
        <v/>
      </c>
      <c r="CY1009" s="82">
        <f>IF(ISNUMBER($AT1009),$AT1009/100,"")</f>
        <v/>
      </c>
      <c r="CZ1009" s="82">
        <f>IF(ISNUMBER($AU1009),$AU1009/100,"")</f>
        <v/>
      </c>
      <c r="DA1009" s="82">
        <f>IF(ISNUMBER($AV1009),$AV1009/100,"")</f>
        <v/>
      </c>
      <c r="DB1009" s="82">
        <f>IF(ISNUMBER($AW1009),$AW1009/100,"")</f>
        <v/>
      </c>
      <c r="DC1009" s="82">
        <f>IF(ISNUMBER($AX1009),$AX1009/100,"")</f>
        <v/>
      </c>
      <c r="DD1009" s="77">
        <f>IFERROR(VALUE(LEFT(TRIM($AO1009&amp;""),4)),"")</f>
        <v/>
      </c>
      <c r="DE1009" s="78">
        <f>IF(AND($BY1009=1,$BX1009=1,OR(fDeal="All Deals",$BU1009=fDeal),OR(fEntity="All Entities",$BV1009=fEntity),OR(fPType="All Property Types",$BZ1009=fPType),OR(fDefeased="Include",$CJ1009=0)),1,0)</f>
        <v/>
      </c>
      <c r="DF1009" s="83">
        <f>$DE1009*N($I1009)</f>
        <v/>
      </c>
      <c r="DG1009" s="78">
        <f>IF($DE1009=1,IF(COUNTIFS($F$8:$F1009,$F1009,$DE$8:$DE1009,1)=1,1,0),0)</f>
        <v/>
      </c>
      <c r="DH1009" s="83">
        <f>IF($DG1009=1,SUMIFS($DF$8:$DF$1600,$F$8:$F$1600,$F1009),0)</f>
        <v/>
      </c>
      <c r="DI1009" s="78">
        <f>IF($DG1009=1,COUNTIFS($F$8:$F$1600,$F1009,$DE$8:$DE$1600,1),0)</f>
        <v/>
      </c>
      <c r="DJ1009" s="84">
        <f>IF($DG1009=1,$DH1009+(100000-ROW())/mTieBreak,0)</f>
        <v/>
      </c>
    </row>
    <row r="1010">
      <c r="B1010" s="68" t="n">
        <v>7</v>
      </c>
      <c r="C1010" s="69" t="inlineStr">
        <is>
          <t>MSB17C33</t>
        </is>
      </c>
      <c r="D1010" s="69" t="inlineStr">
        <is>
          <t>7.000</t>
        </is>
      </c>
      <c r="E1010" s="69" t="inlineStr">
        <is>
          <t>Chicago Marketplace</t>
        </is>
      </c>
      <c r="F1010" s="69" t="inlineStr">
        <is>
          <t>LNMSB17C33-7.000</t>
        </is>
      </c>
      <c r="G1010" s="70" t="n"/>
      <c r="H1010" s="71" t="n">
        <v>14490000</v>
      </c>
      <c r="I1010" s="71" t="n">
        <v>12644550.26999514</v>
      </c>
      <c r="J1010" s="72" t="n">
        <v>4.854</v>
      </c>
      <c r="K1010" s="69" t="inlineStr">
        <is>
          <t>Fixed rate</t>
        </is>
      </c>
      <c r="L1010" s="68" t="n">
        <v>117</v>
      </c>
      <c r="M1010" s="68" t="n">
        <v>3</v>
      </c>
      <c r="N1010" s="68" t="n">
        <v>384</v>
      </c>
      <c r="O1010" s="68" t="n">
        <v>24</v>
      </c>
      <c r="P1010" s="68" t="n">
        <v>0</v>
      </c>
      <c r="Q1010" s="68" t="n">
        <v>114</v>
      </c>
      <c r="R1010" s="69" t="inlineStr">
        <is>
          <t>IO then Amort</t>
        </is>
      </c>
      <c r="S1010" s="69" t="inlineStr">
        <is>
          <t>No</t>
        </is>
      </c>
      <c r="T1010" s="73" t="n">
        <v>42795</v>
      </c>
      <c r="U1010" s="73" t="n">
        <v>46357</v>
      </c>
      <c r="V1010" s="73" t="n"/>
      <c r="W1010" s="69" t="n"/>
      <c r="X1010" s="69" t="inlineStr">
        <is>
          <t>Current</t>
        </is>
      </c>
      <c r="Y1010" s="68" t="n"/>
      <c r="Z1010" s="69" t="inlineStr">
        <is>
          <t>Full Defeasance</t>
        </is>
      </c>
      <c r="AA1010" s="69" t="inlineStr">
        <is>
          <t>Previously</t>
        </is>
      </c>
      <c r="AB1010" s="69" t="inlineStr">
        <is>
          <t>Never special serv</t>
        </is>
      </c>
      <c r="AC1010" s="73" t="n"/>
      <c r="AD1010" s="69" t="n"/>
      <c r="AE1010" s="69" t="n"/>
      <c r="AF1010" s="69" t="inlineStr">
        <is>
          <t>IL</t>
        </is>
      </c>
      <c r="AG1010" s="69" t="inlineStr">
        <is>
          <t>Chicago</t>
        </is>
      </c>
      <c r="AH1010" s="69" t="inlineStr">
        <is>
          <t>Chicago-Naperville-Elgin, IL-IN</t>
        </is>
      </c>
      <c r="AI1010" s="69" t="inlineStr">
        <is>
          <t>Midwest / Central East</t>
        </is>
      </c>
      <c r="AJ1010" s="69" t="inlineStr">
        <is>
          <t>IN</t>
        </is>
      </c>
      <c r="AK1010" s="69" t="n"/>
      <c r="AL1010" s="68" t="n">
        <v>1</v>
      </c>
      <c r="AM1010" s="68" t="n"/>
      <c r="AN1010" s="68" t="n">
        <v>109681</v>
      </c>
      <c r="AO1010" s="69" t="inlineStr">
        <is>
          <t>2006</t>
        </is>
      </c>
      <c r="AP1010" s="70" t="n">
        <v>2006</v>
      </c>
      <c r="AQ1010" s="74" t="n">
        <v>1.71</v>
      </c>
      <c r="AR1010" s="74" t="n">
        <v>1.66</v>
      </c>
      <c r="AS1010" s="74" t="n">
        <v>73</v>
      </c>
      <c r="AT1010" s="74" t="n">
        <v>62.75</v>
      </c>
      <c r="AU1010" s="74" t="n">
        <v>62.1</v>
      </c>
      <c r="AV1010" s="74" t="n">
        <v>10.861967081</v>
      </c>
      <c r="AW1010" s="74" t="n">
        <v>11.604514688</v>
      </c>
      <c r="AX1010" s="75" t="n">
        <v>99.73</v>
      </c>
      <c r="AY1010" s="71" t="n">
        <v>20700000</v>
      </c>
      <c r="AZ1010" s="71" t="n">
        <v>20700000</v>
      </c>
      <c r="BA1010" s="71" t="n">
        <v>1450886</v>
      </c>
      <c r="BB1010" s="71" t="n">
        <v>1139887.39</v>
      </c>
      <c r="BC1010" s="69" t="inlineStr">
        <is>
          <t>Refinance</t>
        </is>
      </c>
      <c r="BD1010" s="69" t="inlineStr">
        <is>
          <t>N</t>
        </is>
      </c>
      <c r="BE1010" s="71" t="n"/>
      <c r="BF1010" s="71" t="n"/>
      <c r="BG1010" s="71" t="n"/>
      <c r="BH1010" s="71" t="n">
        <v>0</v>
      </c>
      <c r="BI1010" s="71" t="n">
        <v>0</v>
      </c>
      <c r="BJ1010" s="69" t="inlineStr">
        <is>
          <t>N</t>
        </is>
      </c>
      <c r="BK1010" s="69" t="inlineStr">
        <is>
          <t>Dearborn Marketplace Inc.</t>
        </is>
      </c>
      <c r="BL1010" s="75" t="n">
        <v>22.84</v>
      </c>
      <c r="BM1010" s="73" t="n">
        <v>45412</v>
      </c>
      <c r="BN1010" s="69" t="inlineStr">
        <is>
          <t>Ruben Espinoza; Gloria Flores Soto</t>
        </is>
      </c>
      <c r="BO1010" s="69" t="inlineStr">
        <is>
          <t>Bank of America</t>
        </is>
      </c>
      <c r="BP1010" s="69" t="inlineStr">
        <is>
          <t>TriMont Real Estate Advisors</t>
        </is>
      </c>
      <c r="BQ1010" s="69" t="inlineStr">
        <is>
          <t>Midland Loan Services</t>
        </is>
      </c>
      <c r="BR1010" s="69" t="n"/>
      <c r="BS1010" s="73" t="n">
        <v>46276</v>
      </c>
      <c r="BU1010" s="76">
        <f>IF($C1010="","",IFERROR(INDEX(dmName,MATCH($C1010,dmID,0)),"Unmapped"))</f>
        <v/>
      </c>
      <c r="BV1010" s="76">
        <f>IF($C1010="","",IFERROR(INDEX(dmEntity,MATCH($C1010,dmID,0)),"Unmapped"))</f>
        <v/>
      </c>
      <c r="BW1010" s="77">
        <f>IF($C1010="","",IFERROR(INDEX(dmVintage,MATCH($C1010,dmID,0)),""))</f>
        <v/>
      </c>
      <c r="BX1010" s="78">
        <f>IFERROR(INDEX(dmInclude,MATCH($C1010,dmID,0)),0)</f>
        <v/>
      </c>
      <c r="BY1010" s="78">
        <f>IF(N($I1010)&gt;0,1,0)</f>
        <v/>
      </c>
      <c r="BZ1010" s="76">
        <f>IF($AJ1010="","Other / Leased Fee",IFERROR(INDEX(mapPTGroup,MATCH(LEFT(TRIM($AJ1010),2),mapPTCode,0)),"Other / Leased Fee"))</f>
        <v/>
      </c>
      <c r="CA1010" s="76">
        <f>IF(TRIM($AF1010&amp;"")="","NR",LEFT(TRIM($AF1010),2))</f>
        <v/>
      </c>
      <c r="CB1010" s="76">
        <f>IFERROR(LOOKUP(2,1/(LEFT(TRIM($AI1010&amp;""),LEN(mapRegion))=mapRegion),mapRegion),"Not Reported")</f>
        <v/>
      </c>
      <c r="CC1010" s="76">
        <f>IF($BY1010=0,"",IF(TRIM($W1010&amp;"")="REO","REO",IF(TRIM($W1010&amp;"")="FC","Foreclosure",IF(TRIM($W1010&amp;"")="90+","90+ Days Delinquent",IF(TRIM($W1010&amp;"")="60","60 Days Delinquent",IF(TRIM($W1010&amp;"")="30","30 Days Delinquent",IF($X1010="Non-Performing Matured Balloon","Non-Performing Matured Balloon",IF(OR($X1010="Late Payment But Less Than 30 Days Delinquent",LEFT($X1010&amp;"",20)="Payment Not Received"),"Late / In Grace (&lt;30 Days)",IF($X1010="Performing Matured Balloon","Performing Matured Balloon","Current")))))))))</f>
        <v/>
      </c>
      <c r="CD1010" s="78">
        <f>IF(OR($CC1010="REO",$CC1010="Foreclosure",$CC1010="90+ Days Delinquent",$CC1010="60 Days Delinquent",$CC1010="30 Days Delinquent",$CC1010="Non-Performing Matured Balloon"),1,0)</f>
        <v/>
      </c>
      <c r="CE1010" s="76">
        <f>IF($AB1010="Currently special serv","Currently Specially Serviced",IF($AB1010="Returned to master serv","Previously Specially Serviced","Never Specially Serviced"))</f>
        <v/>
      </c>
      <c r="CF1010" s="78">
        <f>IF($CE1010="Currently Specially Serviced",1,0)</f>
        <v/>
      </c>
      <c r="CG1010" s="76">
        <f>IF($AA1010="Yes","Currently on Watchlist",IF($AA1010="Previously","Previously on Watchlist","Never on Watchlist"))</f>
        <v/>
      </c>
      <c r="CH1010" s="78">
        <f>IF($CG1010="Currently on Watchlist",1,0)</f>
        <v/>
      </c>
      <c r="CI1010" s="76">
        <f>IF($Z1010="Full Defeasance","Fully Defeased",IF($Z1010="Portion Of Loan Previously Defeased","Partially Defeased",IF($Z1010="Defeasance Not Allowable","Not Defeased (Not Permitted)","Not Defeased")))</f>
        <v/>
      </c>
      <c r="CJ1010" s="78">
        <f>IF($CI1010="Fully Defeased",1,0)</f>
        <v/>
      </c>
      <c r="CK1010" s="76">
        <f>IF($R1010="IO","Full IO",IF(LEFT($R1010&amp;"",7)="IO then","Partial IO","Amortizing"))</f>
        <v/>
      </c>
      <c r="CL1010" s="78">
        <f>IF($CK1010="Full IO",1,0)</f>
        <v/>
      </c>
      <c r="CM1010" s="78">
        <f>IF($CK1010="Partial IO",1,0)</f>
        <v/>
      </c>
      <c r="CN1010" s="76">
        <f>IF(LEFT($F1010&amp;"",10)="SPLIT_LOAN","Pari Passu Split","Standalone")</f>
        <v/>
      </c>
      <c r="CO1010" s="78">
        <f>IF($CN1010="Pari Passu Split",1,0)</f>
        <v/>
      </c>
      <c r="CP1010" s="77">
        <f>IF(ISNUMBER($T1010),YEAR($T1010),"")</f>
        <v/>
      </c>
      <c r="CQ1010" s="79">
        <f>IF(ISNUMBER($V1010),$V1010,IF(ISNUMBER($U1010),$U1010,""))</f>
        <v/>
      </c>
      <c r="CR1010" s="77">
        <f>IF(ISNUMBER($CQ1010),YEAR($CQ1010),"")</f>
        <v/>
      </c>
      <c r="CS1010" s="78">
        <f>IF(ISNUMBER($M1010),MAX(0,$M1010),IF(TRIM($M1010&amp;"")="matured",0,""))</f>
        <v/>
      </c>
      <c r="CT1010" s="78">
        <f>IF(AND(ISNUMBER($CS1010),N($CS1010)&lt;=mMatWindow),1,0)</f>
        <v/>
      </c>
      <c r="CU1010" s="80">
        <f>IF(ISNUMBER($J1010),$J1010/100,"")</f>
        <v/>
      </c>
      <c r="CV1010" s="81">
        <f>IF(ISNUMBER($AQ1010),$AQ1010,"")</f>
        <v/>
      </c>
      <c r="CW1010" s="81">
        <f>IF(ISNUMBER($AR1010),$AR1010,"")</f>
        <v/>
      </c>
      <c r="CX1010" s="82">
        <f>IF(ISNUMBER($AS1010),$AS1010/100,"")</f>
        <v/>
      </c>
      <c r="CY1010" s="82">
        <f>IF(ISNUMBER($AT1010),$AT1010/100,"")</f>
        <v/>
      </c>
      <c r="CZ1010" s="82">
        <f>IF(ISNUMBER($AU1010),$AU1010/100,"")</f>
        <v/>
      </c>
      <c r="DA1010" s="82">
        <f>IF(ISNUMBER($AV1010),$AV1010/100,"")</f>
        <v/>
      </c>
      <c r="DB1010" s="82">
        <f>IF(ISNUMBER($AW1010),$AW1010/100,"")</f>
        <v/>
      </c>
      <c r="DC1010" s="82">
        <f>IF(ISNUMBER($AX1010),$AX1010/100,"")</f>
        <v/>
      </c>
      <c r="DD1010" s="77">
        <f>IFERROR(VALUE(LEFT(TRIM($AO1010&amp;""),4)),"")</f>
        <v/>
      </c>
      <c r="DE1010" s="78">
        <f>IF(AND($BY1010=1,$BX1010=1,OR(fDeal="All Deals",$BU1010=fDeal),OR(fEntity="All Entities",$BV1010=fEntity),OR(fPType="All Property Types",$BZ1010=fPType),OR(fDefeased="Include",$CJ1010=0)),1,0)</f>
        <v/>
      </c>
      <c r="DF1010" s="83">
        <f>$DE1010*N($I1010)</f>
        <v/>
      </c>
      <c r="DG1010" s="78">
        <f>IF($DE1010=1,IF(COUNTIFS($F$8:$F1010,$F1010,$DE$8:$DE1010,1)=1,1,0),0)</f>
        <v/>
      </c>
      <c r="DH1010" s="83">
        <f>IF($DG1010=1,SUMIFS($DF$8:$DF$1600,$F$8:$F$1600,$F1010),0)</f>
        <v/>
      </c>
      <c r="DI1010" s="78">
        <f>IF($DG1010=1,COUNTIFS($F$8:$F$1600,$F1010,$DE$8:$DE$1600,1),0)</f>
        <v/>
      </c>
      <c r="DJ1010" s="84">
        <f>IF($DG1010=1,$DH1010+(100000-ROW())/mTieBreak,0)</f>
        <v/>
      </c>
    </row>
    <row r="1011">
      <c r="B1011" s="68" t="n">
        <v>8</v>
      </c>
      <c r="C1011" s="69" t="inlineStr">
        <is>
          <t>MSB17C33</t>
        </is>
      </c>
      <c r="D1011" s="69" t="inlineStr">
        <is>
          <t>8.000</t>
        </is>
      </c>
      <c r="E1011" s="69" t="inlineStr">
        <is>
          <t>D.C. Office Portfolio</t>
        </is>
      </c>
      <c r="F1011" s="69" t="inlineStr">
        <is>
          <t>SPLIT_LOAN_00970</t>
        </is>
      </c>
      <c r="G1011" s="70" t="n">
        <v>970</v>
      </c>
      <c r="H1011" s="71" t="n">
        <v>35000000</v>
      </c>
      <c r="I1011" s="71" t="n">
        <v>34338906.08001</v>
      </c>
      <c r="J1011" s="72" t="n">
        <v>4.7579048</v>
      </c>
      <c r="K1011" s="69" t="inlineStr">
        <is>
          <t>Fixed rate</t>
        </is>
      </c>
      <c r="L1011" s="68" t="n">
        <v>120</v>
      </c>
      <c r="M1011" s="68" t="n">
        <v>6</v>
      </c>
      <c r="N1011" s="68" t="n">
        <v>120</v>
      </c>
      <c r="O1011" s="68" t="n">
        <v>120</v>
      </c>
      <c r="P1011" s="68" t="n">
        <v>6</v>
      </c>
      <c r="Q1011" s="68" t="n">
        <v>114</v>
      </c>
      <c r="R1011" s="69" t="inlineStr">
        <is>
          <t>IO</t>
        </is>
      </c>
      <c r="S1011" s="69" t="inlineStr">
        <is>
          <t>Yes</t>
        </is>
      </c>
      <c r="T1011" s="73" t="n">
        <v>42795</v>
      </c>
      <c r="U1011" s="73" t="n">
        <v>46447</v>
      </c>
      <c r="V1011" s="73" t="n"/>
      <c r="W1011" s="69" t="n"/>
      <c r="X1011" s="69" t="inlineStr">
        <is>
          <t>Current</t>
        </is>
      </c>
      <c r="Y1011" s="68" t="n"/>
      <c r="Z1011" s="69" t="inlineStr">
        <is>
          <t>No Defeasance Occurred</t>
        </is>
      </c>
      <c r="AA1011" s="69" t="inlineStr">
        <is>
          <t>Previously</t>
        </is>
      </c>
      <c r="AB1011" s="69" t="inlineStr">
        <is>
          <t>Currently special serv</t>
        </is>
      </c>
      <c r="AC1011" s="73" t="n">
        <v>45792</v>
      </c>
      <c r="AD1011" s="69" t="inlineStr">
        <is>
          <t>Imminent Monetary Default (Balloon/Maturity Default)</t>
        </is>
      </c>
      <c r="AE1011" s="69" t="inlineStr">
        <is>
          <t>Other</t>
        </is>
      </c>
      <c r="AF1011" s="69" t="inlineStr">
        <is>
          <t>DC</t>
        </is>
      </c>
      <c r="AG1011" s="69" t="n"/>
      <c r="AH1011" s="69" t="inlineStr">
        <is>
          <t>Washington-Arlington-Alexandria, DC-VA-MD-WV</t>
        </is>
      </c>
      <c r="AI1011" s="69" t="inlineStr">
        <is>
          <t>South / Atlantic</t>
        </is>
      </c>
      <c r="AJ1011" s="69" t="inlineStr">
        <is>
          <t>OF</t>
        </is>
      </c>
      <c r="AK1011" s="69" t="inlineStr">
        <is>
          <t>CBD</t>
        </is>
      </c>
      <c r="AL1011" s="68" t="n">
        <v>3</v>
      </c>
      <c r="AM1011" s="68" t="n"/>
      <c r="AN1011" s="68" t="n">
        <v>328319</v>
      </c>
      <c r="AO1011" s="69" t="n"/>
      <c r="AP1011" s="70" t="n">
        <v>2002</v>
      </c>
      <c r="AQ1011" s="74" t="n">
        <v>1.71</v>
      </c>
      <c r="AR1011" s="74" t="n">
        <v>0.85</v>
      </c>
      <c r="AS1011" s="74" t="n">
        <v>53.5</v>
      </c>
      <c r="AT1011" s="74" t="n">
        <v>55.15</v>
      </c>
      <c r="AU1011" s="74" t="n">
        <v>53.5</v>
      </c>
      <c r="AV1011" s="74" t="n">
        <v>8.24054121</v>
      </c>
      <c r="AW1011" s="74" t="n">
        <v>4.109708669</v>
      </c>
      <c r="AX1011" s="75" t="n">
        <v>61</v>
      </c>
      <c r="AY1011" s="71" t="n">
        <v>186800000</v>
      </c>
      <c r="AZ1011" s="71" t="n">
        <v>186800000</v>
      </c>
      <c r="BA1011" s="71" t="n">
        <v>8652568.27</v>
      </c>
      <c r="BB1011" s="71" t="n">
        <v>4233687</v>
      </c>
      <c r="BC1011" s="69" t="inlineStr">
        <is>
          <t>Refinance</t>
        </is>
      </c>
      <c r="BD1011" s="69" t="inlineStr">
        <is>
          <t>N</t>
        </is>
      </c>
      <c r="BE1011" s="71" t="n">
        <v>68677812.16</v>
      </c>
      <c r="BF1011" s="71" t="n"/>
      <c r="BG1011" s="71" t="n">
        <v>25000000</v>
      </c>
      <c r="BH1011" s="71" t="n">
        <v>0</v>
      </c>
      <c r="BI1011" s="71" t="n">
        <v>0</v>
      </c>
      <c r="BJ1011" s="69" t="inlineStr">
        <is>
          <t>N</t>
        </is>
      </c>
      <c r="BK1011" s="69" t="inlineStr">
        <is>
          <t>New Ventures</t>
        </is>
      </c>
      <c r="BL1011" s="75" t="n">
        <v>4.22</v>
      </c>
      <c r="BM1011" s="73" t="n">
        <v>47514</v>
      </c>
      <c r="BN1011" s="69" t="inlineStr">
        <is>
          <t>Charles Gravely; Shelton Zuckerman</t>
        </is>
      </c>
      <c r="BO1011" s="69" t="inlineStr">
        <is>
          <t>Bank of America</t>
        </is>
      </c>
      <c r="BP1011" s="69" t="inlineStr">
        <is>
          <t>TriMont Real Estate Advisors</t>
        </is>
      </c>
      <c r="BQ1011" s="69" t="inlineStr">
        <is>
          <t>Rialto Capital</t>
        </is>
      </c>
      <c r="BR1011" s="69" t="inlineStr">
        <is>
          <t>Curtailment With Yield Maintenance</t>
        </is>
      </c>
      <c r="BS1011" s="73" t="n">
        <v>46276</v>
      </c>
      <c r="BU1011" s="76">
        <f>IF($C1011="","",IFERROR(INDEX(dmName,MATCH($C1011,dmID,0)),"Unmapped"))</f>
        <v/>
      </c>
      <c r="BV1011" s="76">
        <f>IF($C1011="","",IFERROR(INDEX(dmEntity,MATCH($C1011,dmID,0)),"Unmapped"))</f>
        <v/>
      </c>
      <c r="BW1011" s="77">
        <f>IF($C1011="","",IFERROR(INDEX(dmVintage,MATCH($C1011,dmID,0)),""))</f>
        <v/>
      </c>
      <c r="BX1011" s="78">
        <f>IFERROR(INDEX(dmInclude,MATCH($C1011,dmID,0)),0)</f>
        <v/>
      </c>
      <c r="BY1011" s="78">
        <f>IF(N($I1011)&gt;0,1,0)</f>
        <v/>
      </c>
      <c r="BZ1011" s="76">
        <f>IF($AJ1011="","Other / Leased Fee",IFERROR(INDEX(mapPTGroup,MATCH(LEFT(TRIM($AJ1011),2),mapPTCode,0)),"Other / Leased Fee"))</f>
        <v/>
      </c>
      <c r="CA1011" s="76">
        <f>IF(TRIM($AF1011&amp;"")="","NR",LEFT(TRIM($AF1011),2))</f>
        <v/>
      </c>
      <c r="CB1011" s="76">
        <f>IFERROR(LOOKUP(2,1/(LEFT(TRIM($AI1011&amp;""),LEN(mapRegion))=mapRegion),mapRegion),"Not Reported")</f>
        <v/>
      </c>
      <c r="CC1011" s="76">
        <f>IF($BY1011=0,"",IF(TRIM($W1011&amp;"")="REO","REO",IF(TRIM($W1011&amp;"")="FC","Foreclosure",IF(TRIM($W1011&amp;"")="90+","90+ Days Delinquent",IF(TRIM($W1011&amp;"")="60","60 Days Delinquent",IF(TRIM($W1011&amp;"")="30","30 Days Delinquent",IF($X1011="Non-Performing Matured Balloon","Non-Performing Matured Balloon",IF(OR($X1011="Late Payment But Less Than 30 Days Delinquent",LEFT($X1011&amp;"",20)="Payment Not Received"),"Late / In Grace (&lt;30 Days)",IF($X1011="Performing Matured Balloon","Performing Matured Balloon","Current")))))))))</f>
        <v/>
      </c>
      <c r="CD1011" s="78">
        <f>IF(OR($CC1011="REO",$CC1011="Foreclosure",$CC1011="90+ Days Delinquent",$CC1011="60 Days Delinquent",$CC1011="30 Days Delinquent",$CC1011="Non-Performing Matured Balloon"),1,0)</f>
        <v/>
      </c>
      <c r="CE1011" s="76">
        <f>IF($AB1011="Currently special serv","Currently Specially Serviced",IF($AB1011="Returned to master serv","Previously Specially Serviced","Never Specially Serviced"))</f>
        <v/>
      </c>
      <c r="CF1011" s="78">
        <f>IF($CE1011="Currently Specially Serviced",1,0)</f>
        <v/>
      </c>
      <c r="CG1011" s="76">
        <f>IF($AA1011="Yes","Currently on Watchlist",IF($AA1011="Previously","Previously on Watchlist","Never on Watchlist"))</f>
        <v/>
      </c>
      <c r="CH1011" s="78">
        <f>IF($CG1011="Currently on Watchlist",1,0)</f>
        <v/>
      </c>
      <c r="CI1011" s="76">
        <f>IF($Z1011="Full Defeasance","Fully Defeased",IF($Z1011="Portion Of Loan Previously Defeased","Partially Defeased",IF($Z1011="Defeasance Not Allowable","Not Defeased (Not Permitted)","Not Defeased")))</f>
        <v/>
      </c>
      <c r="CJ1011" s="78">
        <f>IF($CI1011="Fully Defeased",1,0)</f>
        <v/>
      </c>
      <c r="CK1011" s="76">
        <f>IF($R1011="IO","Full IO",IF(LEFT($R1011&amp;"",7)="IO then","Partial IO","Amortizing"))</f>
        <v/>
      </c>
      <c r="CL1011" s="78">
        <f>IF($CK1011="Full IO",1,0)</f>
        <v/>
      </c>
      <c r="CM1011" s="78">
        <f>IF($CK1011="Partial IO",1,0)</f>
        <v/>
      </c>
      <c r="CN1011" s="76">
        <f>IF(LEFT($F1011&amp;"",10)="SPLIT_LOAN","Pari Passu Split","Standalone")</f>
        <v/>
      </c>
      <c r="CO1011" s="78">
        <f>IF($CN1011="Pari Passu Split",1,0)</f>
        <v/>
      </c>
      <c r="CP1011" s="77">
        <f>IF(ISNUMBER($T1011),YEAR($T1011),"")</f>
        <v/>
      </c>
      <c r="CQ1011" s="79">
        <f>IF(ISNUMBER($V1011),$V1011,IF(ISNUMBER($U1011),$U1011,""))</f>
        <v/>
      </c>
      <c r="CR1011" s="77">
        <f>IF(ISNUMBER($CQ1011),YEAR($CQ1011),"")</f>
        <v/>
      </c>
      <c r="CS1011" s="78">
        <f>IF(ISNUMBER($M1011),MAX(0,$M1011),IF(TRIM($M1011&amp;"")="matured",0,""))</f>
        <v/>
      </c>
      <c r="CT1011" s="78">
        <f>IF(AND(ISNUMBER($CS1011),N($CS1011)&lt;=mMatWindow),1,0)</f>
        <v/>
      </c>
      <c r="CU1011" s="80">
        <f>IF(ISNUMBER($J1011),$J1011/100,"")</f>
        <v/>
      </c>
      <c r="CV1011" s="81">
        <f>IF(ISNUMBER($AQ1011),$AQ1011,"")</f>
        <v/>
      </c>
      <c r="CW1011" s="81">
        <f>IF(ISNUMBER($AR1011),$AR1011,"")</f>
        <v/>
      </c>
      <c r="CX1011" s="82">
        <f>IF(ISNUMBER($AS1011),$AS1011/100,"")</f>
        <v/>
      </c>
      <c r="CY1011" s="82">
        <f>IF(ISNUMBER($AT1011),$AT1011/100,"")</f>
        <v/>
      </c>
      <c r="CZ1011" s="82">
        <f>IF(ISNUMBER($AU1011),$AU1011/100,"")</f>
        <v/>
      </c>
      <c r="DA1011" s="82">
        <f>IF(ISNUMBER($AV1011),$AV1011/100,"")</f>
        <v/>
      </c>
      <c r="DB1011" s="82">
        <f>IF(ISNUMBER($AW1011),$AW1011/100,"")</f>
        <v/>
      </c>
      <c r="DC1011" s="82">
        <f>IF(ISNUMBER($AX1011),$AX1011/100,"")</f>
        <v/>
      </c>
      <c r="DD1011" s="77">
        <f>IFERROR(VALUE(LEFT(TRIM($AO1011&amp;""),4)),"")</f>
        <v/>
      </c>
      <c r="DE1011" s="78">
        <f>IF(AND($BY1011=1,$BX1011=1,OR(fDeal="All Deals",$BU1011=fDeal),OR(fEntity="All Entities",$BV1011=fEntity),OR(fPType="All Property Types",$BZ1011=fPType),OR(fDefeased="Include",$CJ1011=0)),1,0)</f>
        <v/>
      </c>
      <c r="DF1011" s="83">
        <f>$DE1011*N($I1011)</f>
        <v/>
      </c>
      <c r="DG1011" s="78">
        <f>IF($DE1011=1,IF(COUNTIFS($F$8:$F1011,$F1011,$DE$8:$DE1011,1)=1,1,0),0)</f>
        <v/>
      </c>
      <c r="DH1011" s="83">
        <f>IF($DG1011=1,SUMIFS($DF$8:$DF$1600,$F$8:$F$1600,$F1011),0)</f>
        <v/>
      </c>
      <c r="DI1011" s="78">
        <f>IF($DG1011=1,COUNTIFS($F$8:$F$1600,$F1011,$DE$8:$DE$1600,1),0)</f>
        <v/>
      </c>
      <c r="DJ1011" s="84">
        <f>IF($DG1011=1,$DH1011+(100000-ROW())/mTieBreak,0)</f>
        <v/>
      </c>
    </row>
    <row r="1012">
      <c r="B1012" s="68" t="n">
        <v>9</v>
      </c>
      <c r="C1012" s="69" t="inlineStr">
        <is>
          <t>MSB17C33</t>
        </is>
      </c>
      <c r="D1012" s="69" t="inlineStr">
        <is>
          <t>9.000</t>
        </is>
      </c>
      <c r="E1012" s="69" t="inlineStr">
        <is>
          <t>Calumet Business Center</t>
        </is>
      </c>
      <c r="F1012" s="69" t="inlineStr">
        <is>
          <t>LNMSB17C33-9.000</t>
        </is>
      </c>
      <c r="G1012" s="70" t="n"/>
      <c r="H1012" s="71" t="n">
        <v>35062500</v>
      </c>
      <c r="I1012" s="71" t="n">
        <v>28499033.55001519</v>
      </c>
      <c r="J1012" s="72" t="n">
        <v>4.305</v>
      </c>
      <c r="K1012" s="69" t="inlineStr">
        <is>
          <t>Fixed rate</t>
        </is>
      </c>
      <c r="L1012" s="68" t="n">
        <v>120</v>
      </c>
      <c r="M1012" s="68" t="n">
        <v>5</v>
      </c>
      <c r="N1012" s="68" t="n">
        <v>360</v>
      </c>
      <c r="O1012" s="68" t="n"/>
      <c r="P1012" s="68" t="n"/>
      <c r="Q1012" s="68" t="n">
        <v>115</v>
      </c>
      <c r="R1012" s="69" t="n"/>
      <c r="S1012" s="69" t="inlineStr">
        <is>
          <t>No</t>
        </is>
      </c>
      <c r="T1012" s="73" t="n">
        <v>42767</v>
      </c>
      <c r="U1012" s="73" t="n">
        <v>46419</v>
      </c>
      <c r="V1012" s="73" t="n"/>
      <c r="W1012" s="69" t="n"/>
      <c r="X1012" s="69" t="inlineStr">
        <is>
          <t>Current</t>
        </is>
      </c>
      <c r="Y1012" s="68" t="n"/>
      <c r="Z1012" s="69" t="inlineStr">
        <is>
          <t>No Defeasance Occurred</t>
        </is>
      </c>
      <c r="AA1012" s="69" t="inlineStr">
        <is>
          <t>Yes</t>
        </is>
      </c>
      <c r="AB1012" s="69" t="inlineStr">
        <is>
          <t>Never special serv</t>
        </is>
      </c>
      <c r="AC1012" s="73" t="n"/>
      <c r="AD1012" s="69" t="n"/>
      <c r="AE1012" s="69" t="n"/>
      <c r="AF1012" s="69" t="inlineStr">
        <is>
          <t>IL</t>
        </is>
      </c>
      <c r="AG1012" s="69" t="inlineStr">
        <is>
          <t>Chicago</t>
        </is>
      </c>
      <c r="AH1012" s="69" t="inlineStr">
        <is>
          <t>Chicago-Naperville-Elgin, IL-IN</t>
        </is>
      </c>
      <c r="AI1012" s="69" t="inlineStr">
        <is>
          <t>Midwest / Central East</t>
        </is>
      </c>
      <c r="AJ1012" s="69" t="inlineStr">
        <is>
          <t>IN</t>
        </is>
      </c>
      <c r="AK1012" s="69" t="inlineStr">
        <is>
          <t>Warehouse</t>
        </is>
      </c>
      <c r="AL1012" s="68" t="n">
        <v>1</v>
      </c>
      <c r="AM1012" s="68" t="n"/>
      <c r="AN1012" s="68" t="n">
        <v>1637851</v>
      </c>
      <c r="AO1012" s="69" t="inlineStr">
        <is>
          <t>1951-1971</t>
        </is>
      </c>
      <c r="AP1012" s="70" t="n">
        <v>2014</v>
      </c>
      <c r="AQ1012" s="74" t="n">
        <v>1.89</v>
      </c>
      <c r="AR1012" s="74" t="n">
        <v>0.83</v>
      </c>
      <c r="AS1012" s="74" t="n">
        <v>73.5</v>
      </c>
      <c r="AT1012" s="74" t="n">
        <v>60</v>
      </c>
      <c r="AU1012" s="74" t="n">
        <v>59.4</v>
      </c>
      <c r="AV1012" s="74" t="n">
        <v>11.236220292</v>
      </c>
      <c r="AW1012" s="74" t="n">
        <v>12.901409178</v>
      </c>
      <c r="AX1012" s="75" t="n">
        <v>81</v>
      </c>
      <c r="AY1012" s="71" t="n">
        <v>47500000</v>
      </c>
      <c r="AZ1012" s="71" t="n">
        <v>47500000</v>
      </c>
      <c r="BA1012" s="71" t="n">
        <v>3939699.74</v>
      </c>
      <c r="BB1012" s="71" t="n">
        <v>430413.97</v>
      </c>
      <c r="BC1012" s="69" t="inlineStr">
        <is>
          <t>Acquisition</t>
        </is>
      </c>
      <c r="BD1012" s="69" t="inlineStr">
        <is>
          <t>N</t>
        </is>
      </c>
      <c r="BE1012" s="71" t="n"/>
      <c r="BF1012" s="71" t="n"/>
      <c r="BG1012" s="71" t="n"/>
      <c r="BH1012" s="71" t="n">
        <v>0</v>
      </c>
      <c r="BI1012" s="71" t="n">
        <v>0</v>
      </c>
      <c r="BJ1012" s="69" t="inlineStr">
        <is>
          <t>N</t>
        </is>
      </c>
      <c r="BK1012" s="69" t="inlineStr">
        <is>
          <t>Odyssey Logistics &amp; Technology Corporation</t>
        </is>
      </c>
      <c r="BL1012" s="75" t="n">
        <v>21.13</v>
      </c>
      <c r="BM1012" s="73" t="n">
        <v>48213</v>
      </c>
      <c r="BN1012" s="69" t="inlineStr">
        <is>
          <t>Glen Una Management</t>
        </is>
      </c>
      <c r="BO1012" s="69" t="inlineStr">
        <is>
          <t>Morgan Stanley</t>
        </is>
      </c>
      <c r="BP1012" s="69" t="inlineStr">
        <is>
          <t>TriMont Real Estate Advisors</t>
        </is>
      </c>
      <c r="BQ1012" s="69" t="inlineStr">
        <is>
          <t>Midland Loan Services</t>
        </is>
      </c>
      <c r="BR1012" s="69" t="n"/>
      <c r="BS1012" s="73" t="n">
        <v>46276</v>
      </c>
      <c r="BU1012" s="76">
        <f>IF($C1012="","",IFERROR(INDEX(dmName,MATCH($C1012,dmID,0)),"Unmapped"))</f>
        <v/>
      </c>
      <c r="BV1012" s="76">
        <f>IF($C1012="","",IFERROR(INDEX(dmEntity,MATCH($C1012,dmID,0)),"Unmapped"))</f>
        <v/>
      </c>
      <c r="BW1012" s="77">
        <f>IF($C1012="","",IFERROR(INDEX(dmVintage,MATCH($C1012,dmID,0)),""))</f>
        <v/>
      </c>
      <c r="BX1012" s="78">
        <f>IFERROR(INDEX(dmInclude,MATCH($C1012,dmID,0)),0)</f>
        <v/>
      </c>
      <c r="BY1012" s="78">
        <f>IF(N($I1012)&gt;0,1,0)</f>
        <v/>
      </c>
      <c r="BZ1012" s="76">
        <f>IF($AJ1012="","Other / Leased Fee",IFERROR(INDEX(mapPTGroup,MATCH(LEFT(TRIM($AJ1012),2),mapPTCode,0)),"Other / Leased Fee"))</f>
        <v/>
      </c>
      <c r="CA1012" s="76">
        <f>IF(TRIM($AF1012&amp;"")="","NR",LEFT(TRIM($AF1012),2))</f>
        <v/>
      </c>
      <c r="CB1012" s="76">
        <f>IFERROR(LOOKUP(2,1/(LEFT(TRIM($AI1012&amp;""),LEN(mapRegion))=mapRegion),mapRegion),"Not Reported")</f>
        <v/>
      </c>
      <c r="CC1012" s="76">
        <f>IF($BY1012=0,"",IF(TRIM($W1012&amp;"")="REO","REO",IF(TRIM($W1012&amp;"")="FC","Foreclosure",IF(TRIM($W1012&amp;"")="90+","90+ Days Delinquent",IF(TRIM($W1012&amp;"")="60","60 Days Delinquent",IF(TRIM($W1012&amp;"")="30","30 Days Delinquent",IF($X1012="Non-Performing Matured Balloon","Non-Performing Matured Balloon",IF(OR($X1012="Late Payment But Less Than 30 Days Delinquent",LEFT($X1012&amp;"",20)="Payment Not Received"),"Late / In Grace (&lt;30 Days)",IF($X1012="Performing Matured Balloon","Performing Matured Balloon","Current")))))))))</f>
        <v/>
      </c>
      <c r="CD1012" s="78">
        <f>IF(OR($CC1012="REO",$CC1012="Foreclosure",$CC1012="90+ Days Delinquent",$CC1012="60 Days Delinquent",$CC1012="30 Days Delinquent",$CC1012="Non-Performing Matured Balloon"),1,0)</f>
        <v/>
      </c>
      <c r="CE1012" s="76">
        <f>IF($AB1012="Currently special serv","Currently Specially Serviced",IF($AB1012="Returned to master serv","Previously Specially Serviced","Never Specially Serviced"))</f>
        <v/>
      </c>
      <c r="CF1012" s="78">
        <f>IF($CE1012="Currently Specially Serviced",1,0)</f>
        <v/>
      </c>
      <c r="CG1012" s="76">
        <f>IF($AA1012="Yes","Currently on Watchlist",IF($AA1012="Previously","Previously on Watchlist","Never on Watchlist"))</f>
        <v/>
      </c>
      <c r="CH1012" s="78">
        <f>IF($CG1012="Currently on Watchlist",1,0)</f>
        <v/>
      </c>
      <c r="CI1012" s="76">
        <f>IF($Z1012="Full Defeasance","Fully Defeased",IF($Z1012="Portion Of Loan Previously Defeased","Partially Defeased",IF($Z1012="Defeasance Not Allowable","Not Defeased (Not Permitted)","Not Defeased")))</f>
        <v/>
      </c>
      <c r="CJ1012" s="78">
        <f>IF($CI1012="Fully Defeased",1,0)</f>
        <v/>
      </c>
      <c r="CK1012" s="76">
        <f>IF($R1012="IO","Full IO",IF(LEFT($R1012&amp;"",7)="IO then","Partial IO","Amortizing"))</f>
        <v/>
      </c>
      <c r="CL1012" s="78">
        <f>IF($CK1012="Full IO",1,0)</f>
        <v/>
      </c>
      <c r="CM1012" s="78">
        <f>IF($CK1012="Partial IO",1,0)</f>
        <v/>
      </c>
      <c r="CN1012" s="76">
        <f>IF(LEFT($F1012&amp;"",10)="SPLIT_LOAN","Pari Passu Split","Standalone")</f>
        <v/>
      </c>
      <c r="CO1012" s="78">
        <f>IF($CN1012="Pari Passu Split",1,0)</f>
        <v/>
      </c>
      <c r="CP1012" s="77">
        <f>IF(ISNUMBER($T1012),YEAR($T1012),"")</f>
        <v/>
      </c>
      <c r="CQ1012" s="79">
        <f>IF(ISNUMBER($V1012),$V1012,IF(ISNUMBER($U1012),$U1012,""))</f>
        <v/>
      </c>
      <c r="CR1012" s="77">
        <f>IF(ISNUMBER($CQ1012),YEAR($CQ1012),"")</f>
        <v/>
      </c>
      <c r="CS1012" s="78">
        <f>IF(ISNUMBER($M1012),MAX(0,$M1012),IF(TRIM($M1012&amp;"")="matured",0,""))</f>
        <v/>
      </c>
      <c r="CT1012" s="78">
        <f>IF(AND(ISNUMBER($CS1012),N($CS1012)&lt;=mMatWindow),1,0)</f>
        <v/>
      </c>
      <c r="CU1012" s="80">
        <f>IF(ISNUMBER($J1012),$J1012/100,"")</f>
        <v/>
      </c>
      <c r="CV1012" s="81">
        <f>IF(ISNUMBER($AQ1012),$AQ1012,"")</f>
        <v/>
      </c>
      <c r="CW1012" s="81">
        <f>IF(ISNUMBER($AR1012),$AR1012,"")</f>
        <v/>
      </c>
      <c r="CX1012" s="82">
        <f>IF(ISNUMBER($AS1012),$AS1012/100,"")</f>
        <v/>
      </c>
      <c r="CY1012" s="82">
        <f>IF(ISNUMBER($AT1012),$AT1012/100,"")</f>
        <v/>
      </c>
      <c r="CZ1012" s="82">
        <f>IF(ISNUMBER($AU1012),$AU1012/100,"")</f>
        <v/>
      </c>
      <c r="DA1012" s="82">
        <f>IF(ISNUMBER($AV1012),$AV1012/100,"")</f>
        <v/>
      </c>
      <c r="DB1012" s="82">
        <f>IF(ISNUMBER($AW1012),$AW1012/100,"")</f>
        <v/>
      </c>
      <c r="DC1012" s="82">
        <f>IF(ISNUMBER($AX1012),$AX1012/100,"")</f>
        <v/>
      </c>
      <c r="DD1012" s="77">
        <f>IFERROR(VALUE(LEFT(TRIM($AO1012&amp;""),4)),"")</f>
        <v/>
      </c>
      <c r="DE1012" s="78">
        <f>IF(AND($BY1012=1,$BX1012=1,OR(fDeal="All Deals",$BU1012=fDeal),OR(fEntity="All Entities",$BV1012=fEntity),OR(fPType="All Property Types",$BZ1012=fPType),OR(fDefeased="Include",$CJ1012=0)),1,0)</f>
        <v/>
      </c>
      <c r="DF1012" s="83">
        <f>$DE1012*N($I1012)</f>
        <v/>
      </c>
      <c r="DG1012" s="78">
        <f>IF($DE1012=1,IF(COUNTIFS($F$8:$F1012,$F1012,$DE$8:$DE1012,1)=1,1,0),0)</f>
        <v/>
      </c>
      <c r="DH1012" s="83">
        <f>IF($DG1012=1,SUMIFS($DF$8:$DF$1600,$F$8:$F$1600,$F1012),0)</f>
        <v/>
      </c>
      <c r="DI1012" s="78">
        <f>IF($DG1012=1,COUNTIFS($F$8:$F$1600,$F1012,$DE$8:$DE$1600,1),0)</f>
        <v/>
      </c>
      <c r="DJ1012" s="84">
        <f>IF($DG1012=1,$DH1012+(100000-ROW())/mTieBreak,0)</f>
        <v/>
      </c>
    </row>
    <row r="1013">
      <c r="B1013" s="68" t="n">
        <v>10</v>
      </c>
      <c r="C1013" s="69" t="inlineStr">
        <is>
          <t>MSB17C33</t>
        </is>
      </c>
      <c r="D1013" s="69" t="inlineStr">
        <is>
          <t>10.000</t>
        </is>
      </c>
      <c r="E1013" s="69" t="inlineStr">
        <is>
          <t>141 Fifth Avenue</t>
        </is>
      </c>
      <c r="F1013" s="69" t="inlineStr">
        <is>
          <t>LNMSB17C33-10.000</t>
        </is>
      </c>
      <c r="G1013" s="70" t="n"/>
      <c r="H1013" s="71" t="n">
        <v>25000000</v>
      </c>
      <c r="I1013" s="71" t="n">
        <v>25000000</v>
      </c>
      <c r="J1013" s="72" t="n">
        <v>4.59</v>
      </c>
      <c r="K1013" s="69" t="inlineStr">
        <is>
          <t>Fixed rate</t>
        </is>
      </c>
      <c r="L1013" s="68" t="n">
        <v>120</v>
      </c>
      <c r="M1013" s="68" t="n">
        <v>8</v>
      </c>
      <c r="N1013" s="68" t="n">
        <v>120</v>
      </c>
      <c r="O1013" s="68" t="n">
        <v>120</v>
      </c>
      <c r="P1013" s="68" t="n">
        <v>8</v>
      </c>
      <c r="Q1013" s="68" t="n">
        <v>112</v>
      </c>
      <c r="R1013" s="69" t="inlineStr">
        <is>
          <t>IO</t>
        </is>
      </c>
      <c r="S1013" s="69" t="inlineStr">
        <is>
          <t>Yes</t>
        </is>
      </c>
      <c r="T1013" s="73" t="n">
        <v>42856</v>
      </c>
      <c r="U1013" s="73" t="n">
        <v>46512</v>
      </c>
      <c r="V1013" s="73" t="n"/>
      <c r="W1013" s="69" t="inlineStr">
        <is>
          <t>90+</t>
        </is>
      </c>
      <c r="X1013" s="69" t="inlineStr">
        <is>
          <t>121+ Days Delinquent</t>
        </is>
      </c>
      <c r="Y1013" s="68" t="n">
        <v>14</v>
      </c>
      <c r="Z1013" s="69" t="inlineStr">
        <is>
          <t>No Defeasance Occurred</t>
        </is>
      </c>
      <c r="AA1013" s="69" t="inlineStr">
        <is>
          <t>Previously</t>
        </is>
      </c>
      <c r="AB1013" s="69" t="inlineStr">
        <is>
          <t>Currently special serv</t>
        </is>
      </c>
      <c r="AC1013" s="73" t="n">
        <v>45859</v>
      </c>
      <c r="AD1013" s="69" t="inlineStr">
        <is>
          <t>Imminent Monetary Default (Single Tenant Bankruptcy/Vacate)</t>
        </is>
      </c>
      <c r="AE1013" s="69" t="inlineStr">
        <is>
          <t>Note Sale</t>
        </is>
      </c>
      <c r="AF1013" s="69" t="inlineStr">
        <is>
          <t>NY</t>
        </is>
      </c>
      <c r="AG1013" s="69" t="inlineStr">
        <is>
          <t>New York</t>
        </is>
      </c>
      <c r="AH1013" s="69" t="inlineStr">
        <is>
          <t>New York-Newark-Jersey City, NY-NJ</t>
        </is>
      </c>
      <c r="AI1013" s="69" t="inlineStr">
        <is>
          <t>Northeast / Mid-Atlantic</t>
        </is>
      </c>
      <c r="AJ1013" s="69" t="inlineStr">
        <is>
          <t>RT</t>
        </is>
      </c>
      <c r="AK1013" s="69" t="n"/>
      <c r="AL1013" s="68" t="n">
        <v>1</v>
      </c>
      <c r="AM1013" s="68" t="n"/>
      <c r="AN1013" s="68" t="n">
        <v>4425</v>
      </c>
      <c r="AO1013" s="69" t="inlineStr">
        <is>
          <t>1902</t>
        </is>
      </c>
      <c r="AP1013" s="70" t="n">
        <v>2010</v>
      </c>
      <c r="AQ1013" s="74" t="n">
        <v>1.54</v>
      </c>
      <c r="AR1013" s="74" t="n">
        <v>-0.22</v>
      </c>
      <c r="AS1013" s="74" t="n">
        <v>64.09999999999999</v>
      </c>
      <c r="AT1013" s="74" t="n">
        <v>160.26</v>
      </c>
      <c r="AU1013" s="74" t="n">
        <v>64.09999999999999</v>
      </c>
      <c r="AV1013" s="74" t="n">
        <v>7.15354156</v>
      </c>
      <c r="AW1013" s="74" t="n">
        <v>-0.942212</v>
      </c>
      <c r="AX1013" s="75" t="n">
        <v>0</v>
      </c>
      <c r="AY1013" s="71" t="n">
        <v>39000000</v>
      </c>
      <c r="AZ1013" s="71" t="n">
        <v>15600000</v>
      </c>
      <c r="BA1013" s="71" t="n">
        <v>1788385.39</v>
      </c>
      <c r="BB1013" s="71" t="n">
        <v>-235553</v>
      </c>
      <c r="BC1013" s="69" t="inlineStr">
        <is>
          <t>Refinance</t>
        </is>
      </c>
      <c r="BD1013" s="69" t="inlineStr">
        <is>
          <t>N</t>
        </is>
      </c>
      <c r="BE1013" s="71" t="n"/>
      <c r="BF1013" s="71" t="n"/>
      <c r="BG1013" s="71" t="n"/>
      <c r="BH1013" s="71" t="n">
        <v>9640599.960000001</v>
      </c>
      <c r="BI1013" s="71" t="n">
        <v>1081838.1</v>
      </c>
      <c r="BJ1013" s="69" t="inlineStr">
        <is>
          <t>N</t>
        </is>
      </c>
      <c r="BK1013" s="69" t="inlineStr">
        <is>
          <t>HSBC</t>
        </is>
      </c>
      <c r="BL1013" s="75" t="n">
        <v>100</v>
      </c>
      <c r="BM1013" s="73" t="n">
        <v>44865</v>
      </c>
      <c r="BN1013" s="69" t="inlineStr">
        <is>
          <t>Michael Adam Goldstein</t>
        </is>
      </c>
      <c r="BO1013" s="69" t="inlineStr">
        <is>
          <t>Morgan Stanley</t>
        </is>
      </c>
      <c r="BP1013" s="69" t="inlineStr">
        <is>
          <t>TriMont Real Estate Advisors</t>
        </is>
      </c>
      <c r="BQ1013" s="69" t="inlineStr">
        <is>
          <t>Midland Loan Services</t>
        </is>
      </c>
      <c r="BR1013" s="69" t="n"/>
      <c r="BS1013" s="73" t="n">
        <v>46276</v>
      </c>
      <c r="BU1013" s="76">
        <f>IF($C1013="","",IFERROR(INDEX(dmName,MATCH($C1013,dmID,0)),"Unmapped"))</f>
        <v/>
      </c>
      <c r="BV1013" s="76">
        <f>IF($C1013="","",IFERROR(INDEX(dmEntity,MATCH($C1013,dmID,0)),"Unmapped"))</f>
        <v/>
      </c>
      <c r="BW1013" s="77">
        <f>IF($C1013="","",IFERROR(INDEX(dmVintage,MATCH($C1013,dmID,0)),""))</f>
        <v/>
      </c>
      <c r="BX1013" s="78">
        <f>IFERROR(INDEX(dmInclude,MATCH($C1013,dmID,0)),0)</f>
        <v/>
      </c>
      <c r="BY1013" s="78">
        <f>IF(N($I1013)&gt;0,1,0)</f>
        <v/>
      </c>
      <c r="BZ1013" s="76">
        <f>IF($AJ1013="","Other / Leased Fee",IFERROR(INDEX(mapPTGroup,MATCH(LEFT(TRIM($AJ1013),2),mapPTCode,0)),"Other / Leased Fee"))</f>
        <v/>
      </c>
      <c r="CA1013" s="76">
        <f>IF(TRIM($AF1013&amp;"")="","NR",LEFT(TRIM($AF1013),2))</f>
        <v/>
      </c>
      <c r="CB1013" s="76">
        <f>IFERROR(LOOKUP(2,1/(LEFT(TRIM($AI1013&amp;""),LEN(mapRegion))=mapRegion),mapRegion),"Not Reported")</f>
        <v/>
      </c>
      <c r="CC1013" s="76">
        <f>IF($BY1013=0,"",IF(TRIM($W1013&amp;"")="REO","REO",IF(TRIM($W1013&amp;"")="FC","Foreclosure",IF(TRIM($W1013&amp;"")="90+","90+ Days Delinquent",IF(TRIM($W1013&amp;"")="60","60 Days Delinquent",IF(TRIM($W1013&amp;"")="30","30 Days Delinquent",IF($X1013="Non-Performing Matured Balloon","Non-Performing Matured Balloon",IF(OR($X1013="Late Payment But Less Than 30 Days Delinquent",LEFT($X1013&amp;"",20)="Payment Not Received"),"Late / In Grace (&lt;30 Days)",IF($X1013="Performing Matured Balloon","Performing Matured Balloon","Current")))))))))</f>
        <v/>
      </c>
      <c r="CD1013" s="78">
        <f>IF(OR($CC1013="REO",$CC1013="Foreclosure",$CC1013="90+ Days Delinquent",$CC1013="60 Days Delinquent",$CC1013="30 Days Delinquent",$CC1013="Non-Performing Matured Balloon"),1,0)</f>
        <v/>
      </c>
      <c r="CE1013" s="76">
        <f>IF($AB1013="Currently special serv","Currently Specially Serviced",IF($AB1013="Returned to master serv","Previously Specially Serviced","Never Specially Serviced"))</f>
        <v/>
      </c>
      <c r="CF1013" s="78">
        <f>IF($CE1013="Currently Specially Serviced",1,0)</f>
        <v/>
      </c>
      <c r="CG1013" s="76">
        <f>IF($AA1013="Yes","Currently on Watchlist",IF($AA1013="Previously","Previously on Watchlist","Never on Watchlist"))</f>
        <v/>
      </c>
      <c r="CH1013" s="78">
        <f>IF($CG1013="Currently on Watchlist",1,0)</f>
        <v/>
      </c>
      <c r="CI1013" s="76">
        <f>IF($Z1013="Full Defeasance","Fully Defeased",IF($Z1013="Portion Of Loan Previously Defeased","Partially Defeased",IF($Z1013="Defeasance Not Allowable","Not Defeased (Not Permitted)","Not Defeased")))</f>
        <v/>
      </c>
      <c r="CJ1013" s="78">
        <f>IF($CI1013="Fully Defeased",1,0)</f>
        <v/>
      </c>
      <c r="CK1013" s="76">
        <f>IF($R1013="IO","Full IO",IF(LEFT($R1013&amp;"",7)="IO then","Partial IO","Amortizing"))</f>
        <v/>
      </c>
      <c r="CL1013" s="78">
        <f>IF($CK1013="Full IO",1,0)</f>
        <v/>
      </c>
      <c r="CM1013" s="78">
        <f>IF($CK1013="Partial IO",1,0)</f>
        <v/>
      </c>
      <c r="CN1013" s="76">
        <f>IF(LEFT($F1013&amp;"",10)="SPLIT_LOAN","Pari Passu Split","Standalone")</f>
        <v/>
      </c>
      <c r="CO1013" s="78">
        <f>IF($CN1013="Pari Passu Split",1,0)</f>
        <v/>
      </c>
      <c r="CP1013" s="77">
        <f>IF(ISNUMBER($T1013),YEAR($T1013),"")</f>
        <v/>
      </c>
      <c r="CQ1013" s="79">
        <f>IF(ISNUMBER($V1013),$V1013,IF(ISNUMBER($U1013),$U1013,""))</f>
        <v/>
      </c>
      <c r="CR1013" s="77">
        <f>IF(ISNUMBER($CQ1013),YEAR($CQ1013),"")</f>
        <v/>
      </c>
      <c r="CS1013" s="78">
        <f>IF(ISNUMBER($M1013),MAX(0,$M1013),IF(TRIM($M1013&amp;"")="matured",0,""))</f>
        <v/>
      </c>
      <c r="CT1013" s="78">
        <f>IF(AND(ISNUMBER($CS1013),N($CS1013)&lt;=mMatWindow),1,0)</f>
        <v/>
      </c>
      <c r="CU1013" s="80">
        <f>IF(ISNUMBER($J1013),$J1013/100,"")</f>
        <v/>
      </c>
      <c r="CV1013" s="81">
        <f>IF(ISNUMBER($AQ1013),$AQ1013,"")</f>
        <v/>
      </c>
      <c r="CW1013" s="81">
        <f>IF(ISNUMBER($AR1013),$AR1013,"")</f>
        <v/>
      </c>
      <c r="CX1013" s="82">
        <f>IF(ISNUMBER($AS1013),$AS1013/100,"")</f>
        <v/>
      </c>
      <c r="CY1013" s="82">
        <f>IF(ISNUMBER($AT1013),$AT1013/100,"")</f>
        <v/>
      </c>
      <c r="CZ1013" s="82">
        <f>IF(ISNUMBER($AU1013),$AU1013/100,"")</f>
        <v/>
      </c>
      <c r="DA1013" s="82">
        <f>IF(ISNUMBER($AV1013),$AV1013/100,"")</f>
        <v/>
      </c>
      <c r="DB1013" s="82">
        <f>IF(ISNUMBER($AW1013),$AW1013/100,"")</f>
        <v/>
      </c>
      <c r="DC1013" s="82">
        <f>IF(ISNUMBER($AX1013),$AX1013/100,"")</f>
        <v/>
      </c>
      <c r="DD1013" s="77">
        <f>IFERROR(VALUE(LEFT(TRIM($AO1013&amp;""),4)),"")</f>
        <v/>
      </c>
      <c r="DE1013" s="78">
        <f>IF(AND($BY1013=1,$BX1013=1,OR(fDeal="All Deals",$BU1013=fDeal),OR(fEntity="All Entities",$BV1013=fEntity),OR(fPType="All Property Types",$BZ1013=fPType),OR(fDefeased="Include",$CJ1013=0)),1,0)</f>
        <v/>
      </c>
      <c r="DF1013" s="83">
        <f>$DE1013*N($I1013)</f>
        <v/>
      </c>
      <c r="DG1013" s="78">
        <f>IF($DE1013=1,IF(COUNTIFS($F$8:$F1013,$F1013,$DE$8:$DE1013,1)=1,1,0),0)</f>
        <v/>
      </c>
      <c r="DH1013" s="83">
        <f>IF($DG1013=1,SUMIFS($DF$8:$DF$1600,$F$8:$F$1600,$F1013),0)</f>
        <v/>
      </c>
      <c r="DI1013" s="78">
        <f>IF($DG1013=1,COUNTIFS($F$8:$F$1600,$F1013,$DE$8:$DE$1600,1),0)</f>
        <v/>
      </c>
      <c r="DJ1013" s="84">
        <f>IF($DG1013=1,$DH1013+(100000-ROW())/mTieBreak,0)</f>
        <v/>
      </c>
    </row>
    <row r="1014">
      <c r="B1014" s="68" t="n">
        <v>11</v>
      </c>
      <c r="C1014" s="69" t="inlineStr">
        <is>
          <t>MSB17C33</t>
        </is>
      </c>
      <c r="D1014" s="69" t="inlineStr">
        <is>
          <t>11.000</t>
        </is>
      </c>
      <c r="E1014" s="69" t="inlineStr">
        <is>
          <t>Centre at Westbank</t>
        </is>
      </c>
      <c r="F1014" s="69" t="inlineStr">
        <is>
          <t>LNMSB17C33-11.000</t>
        </is>
      </c>
      <c r="G1014" s="70" t="n"/>
      <c r="H1014" s="71" t="n">
        <v>20900000</v>
      </c>
      <c r="I1014" s="71" t="n">
        <v>18736295.8799929</v>
      </c>
      <c r="J1014" s="72" t="n">
        <v>5</v>
      </c>
      <c r="K1014" s="69" t="inlineStr">
        <is>
          <t>Fixed rate</t>
        </is>
      </c>
      <c r="L1014" s="68" t="n">
        <v>120</v>
      </c>
      <c r="M1014" s="68" t="n">
        <v>7</v>
      </c>
      <c r="N1014" s="68" t="n">
        <v>396</v>
      </c>
      <c r="O1014" s="68" t="n">
        <v>36</v>
      </c>
      <c r="P1014" s="68" t="n">
        <v>0</v>
      </c>
      <c r="Q1014" s="68" t="n">
        <v>113</v>
      </c>
      <c r="R1014" s="69" t="inlineStr">
        <is>
          <t>IO then Amort</t>
        </is>
      </c>
      <c r="S1014" s="69" t="inlineStr">
        <is>
          <t>No</t>
        </is>
      </c>
      <c r="T1014" s="73" t="n">
        <v>42826</v>
      </c>
      <c r="U1014" s="73" t="n">
        <v>46478</v>
      </c>
      <c r="V1014" s="73" t="n"/>
      <c r="W1014" s="69" t="n"/>
      <c r="X1014" s="69" t="inlineStr">
        <is>
          <t>Current</t>
        </is>
      </c>
      <c r="Y1014" s="68" t="n"/>
      <c r="Z1014" s="69" t="inlineStr">
        <is>
          <t>No Defeasance Occurred</t>
        </is>
      </c>
      <c r="AA1014" s="69" t="inlineStr">
        <is>
          <t>Previously</t>
        </is>
      </c>
      <c r="AB1014" s="69" t="inlineStr">
        <is>
          <t>Never special serv</t>
        </is>
      </c>
      <c r="AC1014" s="73" t="n"/>
      <c r="AD1014" s="69" t="n"/>
      <c r="AE1014" s="69" t="n"/>
      <c r="AF1014" s="69" t="inlineStr">
        <is>
          <t>LA</t>
        </is>
      </c>
      <c r="AG1014" s="69" t="inlineStr">
        <is>
          <t>Harvey</t>
        </is>
      </c>
      <c r="AH1014" s="69" t="inlineStr">
        <is>
          <t>New Orleans-Metairie, LA</t>
        </is>
      </c>
      <c r="AI1014" s="69" t="inlineStr">
        <is>
          <t>South / Central West</t>
        </is>
      </c>
      <c r="AJ1014" s="69" t="inlineStr">
        <is>
          <t>RT</t>
        </is>
      </c>
      <c r="AK1014" s="69" t="inlineStr">
        <is>
          <t>Anchored</t>
        </is>
      </c>
      <c r="AL1014" s="68" t="n">
        <v>1</v>
      </c>
      <c r="AM1014" s="68" t="n"/>
      <c r="AN1014" s="68" t="n">
        <v>167106</v>
      </c>
      <c r="AO1014" s="69" t="inlineStr">
        <is>
          <t>2001</t>
        </is>
      </c>
      <c r="AP1014" s="70" t="n">
        <v>2001</v>
      </c>
      <c r="AQ1014" s="74" t="n">
        <v>1.55</v>
      </c>
      <c r="AR1014" s="74" t="n">
        <v>1.65</v>
      </c>
      <c r="AS1014" s="74" t="n">
        <v>69.67</v>
      </c>
      <c r="AT1014" s="74" t="n">
        <v>62.45</v>
      </c>
      <c r="AU1014" s="74" t="n">
        <v>61.77</v>
      </c>
      <c r="AV1014" s="74" t="n">
        <v>9.953153110000001</v>
      </c>
      <c r="AW1014" s="74" t="n">
        <v>11.825464404</v>
      </c>
      <c r="AX1014" s="75" t="n">
        <v>98</v>
      </c>
      <c r="AY1014" s="71" t="n">
        <v>30000000</v>
      </c>
      <c r="AZ1014" s="71" t="n">
        <v>30000000</v>
      </c>
      <c r="BA1014" s="71" t="n">
        <v>2080209</v>
      </c>
      <c r="BB1014" s="71" t="n">
        <v>2215654</v>
      </c>
      <c r="BC1014" s="69" t="inlineStr">
        <is>
          <t>Acquisition</t>
        </is>
      </c>
      <c r="BD1014" s="69" t="inlineStr">
        <is>
          <t>N</t>
        </is>
      </c>
      <c r="BE1014" s="71" t="n"/>
      <c r="BF1014" s="71" t="n"/>
      <c r="BG1014" s="71" t="n"/>
      <c r="BH1014" s="71" t="n">
        <v>0</v>
      </c>
      <c r="BI1014" s="71" t="n">
        <v>0</v>
      </c>
      <c r="BJ1014" s="69" t="inlineStr">
        <is>
          <t>Y</t>
        </is>
      </c>
      <c r="BK1014" s="69" t="inlineStr">
        <is>
          <t>Best Buy</t>
        </is>
      </c>
      <c r="BL1014" s="75" t="n">
        <v>27.37</v>
      </c>
      <c r="BM1014" s="73" t="n">
        <v>46418</v>
      </c>
      <c r="BN1014" s="69" t="inlineStr">
        <is>
          <t>PMAT Real Estate Investments</t>
        </is>
      </c>
      <c r="BO1014" s="69" t="inlineStr">
        <is>
          <t>KeyBank</t>
        </is>
      </c>
      <c r="BP1014" s="69" t="inlineStr">
        <is>
          <t>TriMont Real Estate Advisors</t>
        </is>
      </c>
      <c r="BQ1014" s="69" t="inlineStr">
        <is>
          <t>Midland Loan Services</t>
        </is>
      </c>
      <c r="BR1014" s="69" t="n"/>
      <c r="BS1014" s="73" t="n">
        <v>46276</v>
      </c>
      <c r="BU1014" s="76">
        <f>IF($C1014="","",IFERROR(INDEX(dmName,MATCH($C1014,dmID,0)),"Unmapped"))</f>
        <v/>
      </c>
      <c r="BV1014" s="76">
        <f>IF($C1014="","",IFERROR(INDEX(dmEntity,MATCH($C1014,dmID,0)),"Unmapped"))</f>
        <v/>
      </c>
      <c r="BW1014" s="77">
        <f>IF($C1014="","",IFERROR(INDEX(dmVintage,MATCH($C1014,dmID,0)),""))</f>
        <v/>
      </c>
      <c r="BX1014" s="78">
        <f>IFERROR(INDEX(dmInclude,MATCH($C1014,dmID,0)),0)</f>
        <v/>
      </c>
      <c r="BY1014" s="78">
        <f>IF(N($I1014)&gt;0,1,0)</f>
        <v/>
      </c>
      <c r="BZ1014" s="76">
        <f>IF($AJ1014="","Other / Leased Fee",IFERROR(INDEX(mapPTGroup,MATCH(LEFT(TRIM($AJ1014),2),mapPTCode,0)),"Other / Leased Fee"))</f>
        <v/>
      </c>
      <c r="CA1014" s="76">
        <f>IF(TRIM($AF1014&amp;"")="","NR",LEFT(TRIM($AF1014),2))</f>
        <v/>
      </c>
      <c r="CB1014" s="76">
        <f>IFERROR(LOOKUP(2,1/(LEFT(TRIM($AI1014&amp;""),LEN(mapRegion))=mapRegion),mapRegion),"Not Reported")</f>
        <v/>
      </c>
      <c r="CC1014" s="76">
        <f>IF($BY1014=0,"",IF(TRIM($W1014&amp;"")="REO","REO",IF(TRIM($W1014&amp;"")="FC","Foreclosure",IF(TRIM($W1014&amp;"")="90+","90+ Days Delinquent",IF(TRIM($W1014&amp;"")="60","60 Days Delinquent",IF(TRIM($W1014&amp;"")="30","30 Days Delinquent",IF($X1014="Non-Performing Matured Balloon","Non-Performing Matured Balloon",IF(OR($X1014="Late Payment But Less Than 30 Days Delinquent",LEFT($X1014&amp;"",20)="Payment Not Received"),"Late / In Grace (&lt;30 Days)",IF($X1014="Performing Matured Balloon","Performing Matured Balloon","Current")))))))))</f>
        <v/>
      </c>
      <c r="CD1014" s="78">
        <f>IF(OR($CC1014="REO",$CC1014="Foreclosure",$CC1014="90+ Days Delinquent",$CC1014="60 Days Delinquent",$CC1014="30 Days Delinquent",$CC1014="Non-Performing Matured Balloon"),1,0)</f>
        <v/>
      </c>
      <c r="CE1014" s="76">
        <f>IF($AB1014="Currently special serv","Currently Specially Serviced",IF($AB1014="Returned to master serv","Previously Specially Serviced","Never Specially Serviced"))</f>
        <v/>
      </c>
      <c r="CF1014" s="78">
        <f>IF($CE1014="Currently Specially Serviced",1,0)</f>
        <v/>
      </c>
      <c r="CG1014" s="76">
        <f>IF($AA1014="Yes","Currently on Watchlist",IF($AA1014="Previously","Previously on Watchlist","Never on Watchlist"))</f>
        <v/>
      </c>
      <c r="CH1014" s="78">
        <f>IF($CG1014="Currently on Watchlist",1,0)</f>
        <v/>
      </c>
      <c r="CI1014" s="76">
        <f>IF($Z1014="Full Defeasance","Fully Defeased",IF($Z1014="Portion Of Loan Previously Defeased","Partially Defeased",IF($Z1014="Defeasance Not Allowable","Not Defeased (Not Permitted)","Not Defeased")))</f>
        <v/>
      </c>
      <c r="CJ1014" s="78">
        <f>IF($CI1014="Fully Defeased",1,0)</f>
        <v/>
      </c>
      <c r="CK1014" s="76">
        <f>IF($R1014="IO","Full IO",IF(LEFT($R1014&amp;"",7)="IO then","Partial IO","Amortizing"))</f>
        <v/>
      </c>
      <c r="CL1014" s="78">
        <f>IF($CK1014="Full IO",1,0)</f>
        <v/>
      </c>
      <c r="CM1014" s="78">
        <f>IF($CK1014="Partial IO",1,0)</f>
        <v/>
      </c>
      <c r="CN1014" s="76">
        <f>IF(LEFT($F1014&amp;"",10)="SPLIT_LOAN","Pari Passu Split","Standalone")</f>
        <v/>
      </c>
      <c r="CO1014" s="78">
        <f>IF($CN1014="Pari Passu Split",1,0)</f>
        <v/>
      </c>
      <c r="CP1014" s="77">
        <f>IF(ISNUMBER($T1014),YEAR($T1014),"")</f>
        <v/>
      </c>
      <c r="CQ1014" s="79">
        <f>IF(ISNUMBER($V1014),$V1014,IF(ISNUMBER($U1014),$U1014,""))</f>
        <v/>
      </c>
      <c r="CR1014" s="77">
        <f>IF(ISNUMBER($CQ1014),YEAR($CQ1014),"")</f>
        <v/>
      </c>
      <c r="CS1014" s="78">
        <f>IF(ISNUMBER($M1014),MAX(0,$M1014),IF(TRIM($M1014&amp;"")="matured",0,""))</f>
        <v/>
      </c>
      <c r="CT1014" s="78">
        <f>IF(AND(ISNUMBER($CS1014),N($CS1014)&lt;=mMatWindow),1,0)</f>
        <v/>
      </c>
      <c r="CU1014" s="80">
        <f>IF(ISNUMBER($J1014),$J1014/100,"")</f>
        <v/>
      </c>
      <c r="CV1014" s="81">
        <f>IF(ISNUMBER($AQ1014),$AQ1014,"")</f>
        <v/>
      </c>
      <c r="CW1014" s="81">
        <f>IF(ISNUMBER($AR1014),$AR1014,"")</f>
        <v/>
      </c>
      <c r="CX1014" s="82">
        <f>IF(ISNUMBER($AS1014),$AS1014/100,"")</f>
        <v/>
      </c>
      <c r="CY1014" s="82">
        <f>IF(ISNUMBER($AT1014),$AT1014/100,"")</f>
        <v/>
      </c>
      <c r="CZ1014" s="82">
        <f>IF(ISNUMBER($AU1014),$AU1014/100,"")</f>
        <v/>
      </c>
      <c r="DA1014" s="82">
        <f>IF(ISNUMBER($AV1014),$AV1014/100,"")</f>
        <v/>
      </c>
      <c r="DB1014" s="82">
        <f>IF(ISNUMBER($AW1014),$AW1014/100,"")</f>
        <v/>
      </c>
      <c r="DC1014" s="82">
        <f>IF(ISNUMBER($AX1014),$AX1014/100,"")</f>
        <v/>
      </c>
      <c r="DD1014" s="77">
        <f>IFERROR(VALUE(LEFT(TRIM($AO1014&amp;""),4)),"")</f>
        <v/>
      </c>
      <c r="DE1014" s="78">
        <f>IF(AND($BY1014=1,$BX1014=1,OR(fDeal="All Deals",$BU1014=fDeal),OR(fEntity="All Entities",$BV1014=fEntity),OR(fPType="All Property Types",$BZ1014=fPType),OR(fDefeased="Include",$CJ1014=0)),1,0)</f>
        <v/>
      </c>
      <c r="DF1014" s="83">
        <f>$DE1014*N($I1014)</f>
        <v/>
      </c>
      <c r="DG1014" s="78">
        <f>IF($DE1014=1,IF(COUNTIFS($F$8:$F1014,$F1014,$DE$8:$DE1014,1)=1,1,0),0)</f>
        <v/>
      </c>
      <c r="DH1014" s="83">
        <f>IF($DG1014=1,SUMIFS($DF$8:$DF$1600,$F$8:$F$1600,$F1014),0)</f>
        <v/>
      </c>
      <c r="DI1014" s="78">
        <f>IF($DG1014=1,COUNTIFS($F$8:$F$1600,$F1014,$DE$8:$DE$1600,1),0)</f>
        <v/>
      </c>
      <c r="DJ1014" s="84">
        <f>IF($DG1014=1,$DH1014+(100000-ROW())/mTieBreak,0)</f>
        <v/>
      </c>
    </row>
    <row r="1015">
      <c r="B1015" s="68" t="n">
        <v>12</v>
      </c>
      <c r="C1015" s="69" t="inlineStr">
        <is>
          <t>MSB17C33</t>
        </is>
      </c>
      <c r="D1015" s="69" t="inlineStr">
        <is>
          <t>12.000</t>
        </is>
      </c>
      <c r="E1015" s="69" t="inlineStr">
        <is>
          <t>Ralph's Food Warehouse Portfolio</t>
        </is>
      </c>
      <c r="F1015" s="69" t="inlineStr">
        <is>
          <t>SPLIT_LOAN_00972</t>
        </is>
      </c>
      <c r="G1015" s="70" t="n">
        <v>972</v>
      </c>
      <c r="H1015" s="71" t="n">
        <v>17000000</v>
      </c>
      <c r="I1015" s="71" t="n">
        <v>0</v>
      </c>
      <c r="J1015" s="72" t="n">
        <v>6.29</v>
      </c>
      <c r="K1015" s="69" t="inlineStr">
        <is>
          <t>Fixed rate</t>
        </is>
      </c>
      <c r="L1015" s="68" t="n">
        <v>114</v>
      </c>
      <c r="M1015" s="68" t="n"/>
      <c r="N1015" s="68" t="n">
        <v>240</v>
      </c>
      <c r="O1015" s="68" t="n"/>
      <c r="P1015" s="68" t="n"/>
      <c r="Q1015" s="68" t="n"/>
      <c r="R1015" s="69" t="n"/>
      <c r="S1015" s="69" t="inlineStr">
        <is>
          <t>No</t>
        </is>
      </c>
      <c r="T1015" s="73" t="n">
        <v>42767</v>
      </c>
      <c r="U1015" s="73" t="n">
        <v>46235</v>
      </c>
      <c r="V1015" s="73" t="n"/>
      <c r="W1015" s="69" t="n"/>
      <c r="X1015" s="69" t="inlineStr">
        <is>
          <t>Current</t>
        </is>
      </c>
      <c r="Y1015" s="68" t="n"/>
      <c r="Z1015" s="69" t="inlineStr">
        <is>
          <t>Full Defeasance</t>
        </is>
      </c>
      <c r="AA1015" s="69" t="inlineStr">
        <is>
          <t>Previously</t>
        </is>
      </c>
      <c r="AB1015" s="69" t="inlineStr">
        <is>
          <t>Never special serv</t>
        </is>
      </c>
      <c r="AC1015" s="73" t="n"/>
      <c r="AD1015" s="69" t="n"/>
      <c r="AE1015" s="69" t="n"/>
      <c r="AF1015" s="69" t="inlineStr">
        <is>
          <t>PR</t>
        </is>
      </c>
      <c r="AG1015" s="69" t="n"/>
      <c r="AH1015" s="69" t="inlineStr">
        <is>
          <t>San Juan-Bayamon-Caguas, PR</t>
        </is>
      </c>
      <c r="AI1015" s="69" t="inlineStr">
        <is>
          <t>South / Atlantic</t>
        </is>
      </c>
      <c r="AJ1015" s="69" t="inlineStr">
        <is>
          <t>RT</t>
        </is>
      </c>
      <c r="AK1015" s="69" t="n"/>
      <c r="AL1015" s="68" t="n">
        <v>11</v>
      </c>
      <c r="AM1015" s="68" t="n"/>
      <c r="AN1015" s="68" t="n">
        <v>667457</v>
      </c>
      <c r="AO1015" s="69" t="n"/>
      <c r="AP1015" s="70" t="n">
        <v>2012</v>
      </c>
      <c r="AQ1015" s="74" t="n">
        <v>1.69</v>
      </c>
      <c r="AR1015" s="74" t="n">
        <v>1.76</v>
      </c>
      <c r="AS1015" s="74" t="n">
        <v>53.2</v>
      </c>
      <c r="AT1015" s="74" t="n"/>
      <c r="AU1015" s="74" t="n">
        <v>35.7</v>
      </c>
      <c r="AV1015" s="74" t="n">
        <v>14.870916286</v>
      </c>
      <c r="AW1015" s="74" t="n"/>
      <c r="AX1015" s="75" t="n">
        <v>100</v>
      </c>
      <c r="AY1015" s="71" t="n">
        <v>78450000</v>
      </c>
      <c r="AZ1015" s="71" t="n">
        <v>78450000</v>
      </c>
      <c r="BA1015" s="71" t="n">
        <v>6245784.84</v>
      </c>
      <c r="BB1015" s="71" t="n">
        <v>6516588.74</v>
      </c>
      <c r="BC1015" s="69" t="inlineStr">
        <is>
          <t>Refinance</t>
        </is>
      </c>
      <c r="BD1015" s="69" t="inlineStr">
        <is>
          <t>Y</t>
        </is>
      </c>
      <c r="BE1015" s="71" t="n">
        <v>0</v>
      </c>
      <c r="BF1015" s="71" t="n"/>
      <c r="BG1015" s="71" t="n"/>
      <c r="BH1015" s="71" t="n">
        <v>0</v>
      </c>
      <c r="BI1015" s="71" t="n">
        <v>0</v>
      </c>
      <c r="BJ1015" s="69" t="inlineStr">
        <is>
          <t>N</t>
        </is>
      </c>
      <c r="BK1015" s="69" t="inlineStr">
        <is>
          <t>Ralph's Grocery Market</t>
        </is>
      </c>
      <c r="BL1015" s="75" t="n">
        <v>66.78</v>
      </c>
      <c r="BM1015" s="73" t="n">
        <v>50071</v>
      </c>
      <c r="BN1015" s="69" t="inlineStr">
        <is>
          <t>Rafael A. Soto Vazquez</t>
        </is>
      </c>
      <c r="BO1015" s="69" t="inlineStr">
        <is>
          <t>Morgan Stanley</t>
        </is>
      </c>
      <c r="BP1015" s="69" t="inlineStr">
        <is>
          <t>TriMont Real Estate Advisors</t>
        </is>
      </c>
      <c r="BQ1015" s="69" t="inlineStr">
        <is>
          <t>Rialto Capital</t>
        </is>
      </c>
      <c r="BR1015" s="69" t="inlineStr">
        <is>
          <t>Full Payoff At Maturity</t>
        </is>
      </c>
      <c r="BS1015" s="73" t="n">
        <v>46245</v>
      </c>
      <c r="BU1015" s="76">
        <f>IF($C1015="","",IFERROR(INDEX(dmName,MATCH($C1015,dmID,0)),"Unmapped"))</f>
        <v/>
      </c>
      <c r="BV1015" s="76">
        <f>IF($C1015="","",IFERROR(INDEX(dmEntity,MATCH($C1015,dmID,0)),"Unmapped"))</f>
        <v/>
      </c>
      <c r="BW1015" s="77">
        <f>IF($C1015="","",IFERROR(INDEX(dmVintage,MATCH($C1015,dmID,0)),""))</f>
        <v/>
      </c>
      <c r="BX1015" s="78">
        <f>IFERROR(INDEX(dmInclude,MATCH($C1015,dmID,0)),0)</f>
        <v/>
      </c>
      <c r="BY1015" s="78">
        <f>IF(N($I1015)&gt;0,1,0)</f>
        <v/>
      </c>
      <c r="BZ1015" s="76">
        <f>IF($AJ1015="","Other / Leased Fee",IFERROR(INDEX(mapPTGroup,MATCH(LEFT(TRIM($AJ1015),2),mapPTCode,0)),"Other / Leased Fee"))</f>
        <v/>
      </c>
      <c r="CA1015" s="76">
        <f>IF(TRIM($AF1015&amp;"")="","NR",LEFT(TRIM($AF1015),2))</f>
        <v/>
      </c>
      <c r="CB1015" s="76">
        <f>IFERROR(LOOKUP(2,1/(LEFT(TRIM($AI1015&amp;""),LEN(mapRegion))=mapRegion),mapRegion),"Not Reported")</f>
        <v/>
      </c>
      <c r="CC1015" s="76">
        <f>IF($BY1015=0,"",IF(TRIM($W1015&amp;"")="REO","REO",IF(TRIM($W1015&amp;"")="FC","Foreclosure",IF(TRIM($W1015&amp;"")="90+","90+ Days Delinquent",IF(TRIM($W1015&amp;"")="60","60 Days Delinquent",IF(TRIM($W1015&amp;"")="30","30 Days Delinquent",IF($X1015="Non-Performing Matured Balloon","Non-Performing Matured Balloon",IF(OR($X1015="Late Payment But Less Than 30 Days Delinquent",LEFT($X1015&amp;"",20)="Payment Not Received"),"Late / In Grace (&lt;30 Days)",IF($X1015="Performing Matured Balloon","Performing Matured Balloon","Current")))))))))</f>
        <v/>
      </c>
      <c r="CD1015" s="78">
        <f>IF(OR($CC1015="REO",$CC1015="Foreclosure",$CC1015="90+ Days Delinquent",$CC1015="60 Days Delinquent",$CC1015="30 Days Delinquent",$CC1015="Non-Performing Matured Balloon"),1,0)</f>
        <v/>
      </c>
      <c r="CE1015" s="76">
        <f>IF($AB1015="Currently special serv","Currently Specially Serviced",IF($AB1015="Returned to master serv","Previously Specially Serviced","Never Specially Serviced"))</f>
        <v/>
      </c>
      <c r="CF1015" s="78">
        <f>IF($CE1015="Currently Specially Serviced",1,0)</f>
        <v/>
      </c>
      <c r="CG1015" s="76">
        <f>IF($AA1015="Yes","Currently on Watchlist",IF($AA1015="Previously","Previously on Watchlist","Never on Watchlist"))</f>
        <v/>
      </c>
      <c r="CH1015" s="78">
        <f>IF($CG1015="Currently on Watchlist",1,0)</f>
        <v/>
      </c>
      <c r="CI1015" s="76">
        <f>IF($Z1015="Full Defeasance","Fully Defeased",IF($Z1015="Portion Of Loan Previously Defeased","Partially Defeased",IF($Z1015="Defeasance Not Allowable","Not Defeased (Not Permitted)","Not Defeased")))</f>
        <v/>
      </c>
      <c r="CJ1015" s="78">
        <f>IF($CI1015="Fully Defeased",1,0)</f>
        <v/>
      </c>
      <c r="CK1015" s="76">
        <f>IF($R1015="IO","Full IO",IF(LEFT($R1015&amp;"",7)="IO then","Partial IO","Amortizing"))</f>
        <v/>
      </c>
      <c r="CL1015" s="78">
        <f>IF($CK1015="Full IO",1,0)</f>
        <v/>
      </c>
      <c r="CM1015" s="78">
        <f>IF($CK1015="Partial IO",1,0)</f>
        <v/>
      </c>
      <c r="CN1015" s="76">
        <f>IF(LEFT($F1015&amp;"",10)="SPLIT_LOAN","Pari Passu Split","Standalone")</f>
        <v/>
      </c>
      <c r="CO1015" s="78">
        <f>IF($CN1015="Pari Passu Split",1,0)</f>
        <v/>
      </c>
      <c r="CP1015" s="77">
        <f>IF(ISNUMBER($T1015),YEAR($T1015),"")</f>
        <v/>
      </c>
      <c r="CQ1015" s="79">
        <f>IF(ISNUMBER($V1015),$V1015,IF(ISNUMBER($U1015),$U1015,""))</f>
        <v/>
      </c>
      <c r="CR1015" s="77">
        <f>IF(ISNUMBER($CQ1015),YEAR($CQ1015),"")</f>
        <v/>
      </c>
      <c r="CS1015" s="78">
        <f>IF(ISNUMBER($M1015),MAX(0,$M1015),IF(TRIM($M1015&amp;"")="matured",0,""))</f>
        <v/>
      </c>
      <c r="CT1015" s="78">
        <f>IF(AND(ISNUMBER($CS1015),N($CS1015)&lt;=mMatWindow),1,0)</f>
        <v/>
      </c>
      <c r="CU1015" s="80">
        <f>IF(ISNUMBER($J1015),$J1015/100,"")</f>
        <v/>
      </c>
      <c r="CV1015" s="81">
        <f>IF(ISNUMBER($AQ1015),$AQ1015,"")</f>
        <v/>
      </c>
      <c r="CW1015" s="81">
        <f>IF(ISNUMBER($AR1015),$AR1015,"")</f>
        <v/>
      </c>
      <c r="CX1015" s="82">
        <f>IF(ISNUMBER($AS1015),$AS1015/100,"")</f>
        <v/>
      </c>
      <c r="CY1015" s="82">
        <f>IF(ISNUMBER($AT1015),$AT1015/100,"")</f>
        <v/>
      </c>
      <c r="CZ1015" s="82">
        <f>IF(ISNUMBER($AU1015),$AU1015/100,"")</f>
        <v/>
      </c>
      <c r="DA1015" s="82">
        <f>IF(ISNUMBER($AV1015),$AV1015/100,"")</f>
        <v/>
      </c>
      <c r="DB1015" s="82">
        <f>IF(ISNUMBER($AW1015),$AW1015/100,"")</f>
        <v/>
      </c>
      <c r="DC1015" s="82">
        <f>IF(ISNUMBER($AX1015),$AX1015/100,"")</f>
        <v/>
      </c>
      <c r="DD1015" s="77">
        <f>IFERROR(VALUE(LEFT(TRIM($AO1015&amp;""),4)),"")</f>
        <v/>
      </c>
      <c r="DE1015" s="78">
        <f>IF(AND($BY1015=1,$BX1015=1,OR(fDeal="All Deals",$BU1015=fDeal),OR(fEntity="All Entities",$BV1015=fEntity),OR(fPType="All Property Types",$BZ1015=fPType),OR(fDefeased="Include",$CJ1015=0)),1,0)</f>
        <v/>
      </c>
      <c r="DF1015" s="83">
        <f>$DE1015*N($I1015)</f>
        <v/>
      </c>
      <c r="DG1015" s="78">
        <f>IF($DE1015=1,IF(COUNTIFS($F$8:$F1015,$F1015,$DE$8:$DE1015,1)=1,1,0),0)</f>
        <v/>
      </c>
      <c r="DH1015" s="83">
        <f>IF($DG1015=1,SUMIFS($DF$8:$DF$1600,$F$8:$F$1600,$F1015),0)</f>
        <v/>
      </c>
      <c r="DI1015" s="78">
        <f>IF($DG1015=1,COUNTIFS($F$8:$F$1600,$F1015,$DE$8:$DE$1600,1),0)</f>
        <v/>
      </c>
      <c r="DJ1015" s="84">
        <f>IF($DG1015=1,$DH1015+(100000-ROW())/mTieBreak,0)</f>
        <v/>
      </c>
    </row>
    <row r="1016">
      <c r="B1016" s="68" t="n">
        <v>13</v>
      </c>
      <c r="C1016" s="69" t="inlineStr">
        <is>
          <t>MSB17C33</t>
        </is>
      </c>
      <c r="D1016" s="69" t="inlineStr">
        <is>
          <t>13.000</t>
        </is>
      </c>
      <c r="E1016" s="69" t="inlineStr">
        <is>
          <t>Gateway Crossing</t>
        </is>
      </c>
      <c r="F1016" s="69" t="inlineStr">
        <is>
          <t>SPLIT_LOAN_00975</t>
        </is>
      </c>
      <c r="G1016" s="70" t="n">
        <v>975</v>
      </c>
      <c r="H1016" s="71" t="n">
        <v>15000000</v>
      </c>
      <c r="I1016" s="71" t="n">
        <v>11595975.940005</v>
      </c>
      <c r="J1016" s="72" t="n">
        <v>4.73</v>
      </c>
      <c r="K1016" s="69" t="inlineStr">
        <is>
          <t>Fixed rate</t>
        </is>
      </c>
      <c r="L1016" s="68" t="n">
        <v>120</v>
      </c>
      <c r="M1016" s="68" t="n">
        <v>6</v>
      </c>
      <c r="N1016" s="68" t="n">
        <v>312</v>
      </c>
      <c r="O1016" s="68" t="n"/>
      <c r="P1016" s="68" t="n"/>
      <c r="Q1016" s="68" t="n">
        <v>114</v>
      </c>
      <c r="R1016" s="69" t="n"/>
      <c r="S1016" s="69" t="inlineStr">
        <is>
          <t>No</t>
        </is>
      </c>
      <c r="T1016" s="73" t="n">
        <v>42795</v>
      </c>
      <c r="U1016" s="73" t="n">
        <v>46447</v>
      </c>
      <c r="V1016" s="73" t="n"/>
      <c r="W1016" s="69" t="n"/>
      <c r="X1016" s="69" t="inlineStr">
        <is>
          <t>Current</t>
        </is>
      </c>
      <c r="Y1016" s="68" t="n"/>
      <c r="Z1016" s="69" t="inlineStr">
        <is>
          <t>No Defeasance Occurred</t>
        </is>
      </c>
      <c r="AA1016" s="69" t="inlineStr">
        <is>
          <t>Yes</t>
        </is>
      </c>
      <c r="AB1016" s="69" t="inlineStr">
        <is>
          <t>Returned to master serv</t>
        </is>
      </c>
      <c r="AC1016" s="73" t="n"/>
      <c r="AD1016" s="69" t="inlineStr">
        <is>
          <t>Imminent Monetary Default (excluding Balloon/Maturity Default &amp; Single Tenant Bankruptcy/Vacate)</t>
        </is>
      </c>
      <c r="AE1016" s="69" t="inlineStr">
        <is>
          <t>Resolved</t>
        </is>
      </c>
      <c r="AF1016" s="69" t="inlineStr">
        <is>
          <t>AZ</t>
        </is>
      </c>
      <c r="AG1016" s="69" t="inlineStr">
        <is>
          <t>Avondale</t>
        </is>
      </c>
      <c r="AH1016" s="69" t="inlineStr">
        <is>
          <t>Phoenix-Mesa-Chandler, AZ</t>
        </is>
      </c>
      <c r="AI1016" s="69" t="inlineStr">
        <is>
          <t>West / Mountain</t>
        </is>
      </c>
      <c r="AJ1016" s="69" t="inlineStr">
        <is>
          <t>RT</t>
        </is>
      </c>
      <c r="AK1016" s="69" t="inlineStr">
        <is>
          <t>Anchored</t>
        </is>
      </c>
      <c r="AL1016" s="68" t="n">
        <v>1</v>
      </c>
      <c r="AM1016" s="68" t="n"/>
      <c r="AN1016" s="68" t="n">
        <v>212361</v>
      </c>
      <c r="AO1016" s="69" t="inlineStr">
        <is>
          <t>2006</t>
        </is>
      </c>
      <c r="AP1016" s="70" t="n">
        <v>2006</v>
      </c>
      <c r="AQ1016" s="74" t="n">
        <v>1.26</v>
      </c>
      <c r="AR1016" s="74" t="n">
        <v>1.3</v>
      </c>
      <c r="AS1016" s="74" t="n">
        <v>73.2</v>
      </c>
      <c r="AT1016" s="74" t="n">
        <v>70.97</v>
      </c>
      <c r="AU1016" s="74" t="n">
        <v>55.9</v>
      </c>
      <c r="AV1016" s="74" t="n">
        <v>8.410103522</v>
      </c>
      <c r="AW1016" s="74" t="n">
        <v>11.241329692</v>
      </c>
      <c r="AX1016" s="75" t="n">
        <v>99</v>
      </c>
      <c r="AY1016" s="71" t="n">
        <v>54100000</v>
      </c>
      <c r="AZ1016" s="71" t="n">
        <v>43300000</v>
      </c>
      <c r="BA1016" s="71" t="n">
        <v>3343016.15</v>
      </c>
      <c r="BB1016" s="71" t="n">
        <v>3454386</v>
      </c>
      <c r="BC1016" s="69" t="inlineStr">
        <is>
          <t>Refinance</t>
        </is>
      </c>
      <c r="BD1016" s="69" t="inlineStr">
        <is>
          <t>N</t>
        </is>
      </c>
      <c r="BE1016" s="71" t="n">
        <v>19133360.31</v>
      </c>
      <c r="BF1016" s="71" t="n"/>
      <c r="BG1016" s="71" t="n"/>
      <c r="BH1016" s="71" t="n">
        <v>0</v>
      </c>
      <c r="BI1016" s="71" t="n">
        <v>0</v>
      </c>
      <c r="BJ1016" s="69" t="inlineStr">
        <is>
          <t>N</t>
        </is>
      </c>
      <c r="BK1016" s="69" t="inlineStr">
        <is>
          <t>Hobby Lobby</t>
        </is>
      </c>
      <c r="BL1016" s="75" t="n">
        <v>25.91</v>
      </c>
      <c r="BM1016" s="73" t="n">
        <v>48152</v>
      </c>
      <c r="BN1016" s="69" t="inlineStr">
        <is>
          <t>Joseph R. Walters; Patrick Sauer; Darren Pitts; Darrell S. David; Denise Walters</t>
        </is>
      </c>
      <c r="BO1016" s="69" t="inlineStr">
        <is>
          <t>Morgan Stanley</t>
        </is>
      </c>
      <c r="BP1016" s="69" t="inlineStr">
        <is>
          <t>TriMont Real Estate Advisors</t>
        </is>
      </c>
      <c r="BQ1016" s="69" t="inlineStr">
        <is>
          <t>Argentic Services Company LP</t>
        </is>
      </c>
      <c r="BR1016" s="69" t="n"/>
      <c r="BS1016" s="73" t="n">
        <v>46276</v>
      </c>
      <c r="BU1016" s="76">
        <f>IF($C1016="","",IFERROR(INDEX(dmName,MATCH($C1016,dmID,0)),"Unmapped"))</f>
        <v/>
      </c>
      <c r="BV1016" s="76">
        <f>IF($C1016="","",IFERROR(INDEX(dmEntity,MATCH($C1016,dmID,0)),"Unmapped"))</f>
        <v/>
      </c>
      <c r="BW1016" s="77">
        <f>IF($C1016="","",IFERROR(INDEX(dmVintage,MATCH($C1016,dmID,0)),""))</f>
        <v/>
      </c>
      <c r="BX1016" s="78">
        <f>IFERROR(INDEX(dmInclude,MATCH($C1016,dmID,0)),0)</f>
        <v/>
      </c>
      <c r="BY1016" s="78">
        <f>IF(N($I1016)&gt;0,1,0)</f>
        <v/>
      </c>
      <c r="BZ1016" s="76">
        <f>IF($AJ1016="","Other / Leased Fee",IFERROR(INDEX(mapPTGroup,MATCH(LEFT(TRIM($AJ1016),2),mapPTCode,0)),"Other / Leased Fee"))</f>
        <v/>
      </c>
      <c r="CA1016" s="76">
        <f>IF(TRIM($AF1016&amp;"")="","NR",LEFT(TRIM($AF1016),2))</f>
        <v/>
      </c>
      <c r="CB1016" s="76">
        <f>IFERROR(LOOKUP(2,1/(LEFT(TRIM($AI1016&amp;""),LEN(mapRegion))=mapRegion),mapRegion),"Not Reported")</f>
        <v/>
      </c>
      <c r="CC1016" s="76">
        <f>IF($BY1016=0,"",IF(TRIM($W1016&amp;"")="REO","REO",IF(TRIM($W1016&amp;"")="FC","Foreclosure",IF(TRIM($W1016&amp;"")="90+","90+ Days Delinquent",IF(TRIM($W1016&amp;"")="60","60 Days Delinquent",IF(TRIM($W1016&amp;"")="30","30 Days Delinquent",IF($X1016="Non-Performing Matured Balloon","Non-Performing Matured Balloon",IF(OR($X1016="Late Payment But Less Than 30 Days Delinquent",LEFT($X1016&amp;"",20)="Payment Not Received"),"Late / In Grace (&lt;30 Days)",IF($X1016="Performing Matured Balloon","Performing Matured Balloon","Current")))))))))</f>
        <v/>
      </c>
      <c r="CD1016" s="78">
        <f>IF(OR($CC1016="REO",$CC1016="Foreclosure",$CC1016="90+ Days Delinquent",$CC1016="60 Days Delinquent",$CC1016="30 Days Delinquent",$CC1016="Non-Performing Matured Balloon"),1,0)</f>
        <v/>
      </c>
      <c r="CE1016" s="76">
        <f>IF($AB1016="Currently special serv","Currently Specially Serviced",IF($AB1016="Returned to master serv","Previously Specially Serviced","Never Specially Serviced"))</f>
        <v/>
      </c>
      <c r="CF1016" s="78">
        <f>IF($CE1016="Currently Specially Serviced",1,0)</f>
        <v/>
      </c>
      <c r="CG1016" s="76">
        <f>IF($AA1016="Yes","Currently on Watchlist",IF($AA1016="Previously","Previously on Watchlist","Never on Watchlist"))</f>
        <v/>
      </c>
      <c r="CH1016" s="78">
        <f>IF($CG1016="Currently on Watchlist",1,0)</f>
        <v/>
      </c>
      <c r="CI1016" s="76">
        <f>IF($Z1016="Full Defeasance","Fully Defeased",IF($Z1016="Portion Of Loan Previously Defeased","Partially Defeased",IF($Z1016="Defeasance Not Allowable","Not Defeased (Not Permitted)","Not Defeased")))</f>
        <v/>
      </c>
      <c r="CJ1016" s="78">
        <f>IF($CI1016="Fully Defeased",1,0)</f>
        <v/>
      </c>
      <c r="CK1016" s="76">
        <f>IF($R1016="IO","Full IO",IF(LEFT($R1016&amp;"",7)="IO then","Partial IO","Amortizing"))</f>
        <v/>
      </c>
      <c r="CL1016" s="78">
        <f>IF($CK1016="Full IO",1,0)</f>
        <v/>
      </c>
      <c r="CM1016" s="78">
        <f>IF($CK1016="Partial IO",1,0)</f>
        <v/>
      </c>
      <c r="CN1016" s="76">
        <f>IF(LEFT($F1016&amp;"",10)="SPLIT_LOAN","Pari Passu Split","Standalone")</f>
        <v/>
      </c>
      <c r="CO1016" s="78">
        <f>IF($CN1016="Pari Passu Split",1,0)</f>
        <v/>
      </c>
      <c r="CP1016" s="77">
        <f>IF(ISNUMBER($T1016),YEAR($T1016),"")</f>
        <v/>
      </c>
      <c r="CQ1016" s="79">
        <f>IF(ISNUMBER($V1016),$V1016,IF(ISNUMBER($U1016),$U1016,""))</f>
        <v/>
      </c>
      <c r="CR1016" s="77">
        <f>IF(ISNUMBER($CQ1016),YEAR($CQ1016),"")</f>
        <v/>
      </c>
      <c r="CS1016" s="78">
        <f>IF(ISNUMBER($M1016),MAX(0,$M1016),IF(TRIM($M1016&amp;"")="matured",0,""))</f>
        <v/>
      </c>
      <c r="CT1016" s="78">
        <f>IF(AND(ISNUMBER($CS1016),N($CS1016)&lt;=mMatWindow),1,0)</f>
        <v/>
      </c>
      <c r="CU1016" s="80">
        <f>IF(ISNUMBER($J1016),$J1016/100,"")</f>
        <v/>
      </c>
      <c r="CV1016" s="81">
        <f>IF(ISNUMBER($AQ1016),$AQ1016,"")</f>
        <v/>
      </c>
      <c r="CW1016" s="81">
        <f>IF(ISNUMBER($AR1016),$AR1016,"")</f>
        <v/>
      </c>
      <c r="CX1016" s="82">
        <f>IF(ISNUMBER($AS1016),$AS1016/100,"")</f>
        <v/>
      </c>
      <c r="CY1016" s="82">
        <f>IF(ISNUMBER($AT1016),$AT1016/100,"")</f>
        <v/>
      </c>
      <c r="CZ1016" s="82">
        <f>IF(ISNUMBER($AU1016),$AU1016/100,"")</f>
        <v/>
      </c>
      <c r="DA1016" s="82">
        <f>IF(ISNUMBER($AV1016),$AV1016/100,"")</f>
        <v/>
      </c>
      <c r="DB1016" s="82">
        <f>IF(ISNUMBER($AW1016),$AW1016/100,"")</f>
        <v/>
      </c>
      <c r="DC1016" s="82">
        <f>IF(ISNUMBER($AX1016),$AX1016/100,"")</f>
        <v/>
      </c>
      <c r="DD1016" s="77">
        <f>IFERROR(VALUE(LEFT(TRIM($AO1016&amp;""),4)),"")</f>
        <v/>
      </c>
      <c r="DE1016" s="78">
        <f>IF(AND($BY1016=1,$BX1016=1,OR(fDeal="All Deals",$BU1016=fDeal),OR(fEntity="All Entities",$BV1016=fEntity),OR(fPType="All Property Types",$BZ1016=fPType),OR(fDefeased="Include",$CJ1016=0)),1,0)</f>
        <v/>
      </c>
      <c r="DF1016" s="83">
        <f>$DE1016*N($I1016)</f>
        <v/>
      </c>
      <c r="DG1016" s="78">
        <f>IF($DE1016=1,IF(COUNTIFS($F$8:$F1016,$F1016,$DE$8:$DE1016,1)=1,1,0),0)</f>
        <v/>
      </c>
      <c r="DH1016" s="83">
        <f>IF($DG1016=1,SUMIFS($DF$8:$DF$1600,$F$8:$F$1600,$F1016),0)</f>
        <v/>
      </c>
      <c r="DI1016" s="78">
        <f>IF($DG1016=1,COUNTIFS($F$8:$F$1600,$F1016,$DE$8:$DE$1600,1),0)</f>
        <v/>
      </c>
      <c r="DJ1016" s="84">
        <f>IF($DG1016=1,$DH1016+(100000-ROW())/mTieBreak,0)</f>
        <v/>
      </c>
    </row>
    <row r="1017">
      <c r="B1017" s="68" t="n">
        <v>14</v>
      </c>
      <c r="C1017" s="69" t="inlineStr">
        <is>
          <t>MSB17C33</t>
        </is>
      </c>
      <c r="D1017" s="69" t="inlineStr">
        <is>
          <t>14.000</t>
        </is>
      </c>
      <c r="E1017" s="69" t="inlineStr">
        <is>
          <t>935 First Avenue</t>
        </is>
      </c>
      <c r="F1017" s="69" t="inlineStr">
        <is>
          <t>LNMSB17C33-14.000</t>
        </is>
      </c>
      <c r="G1017" s="70" t="n"/>
      <c r="H1017" s="71" t="n">
        <v>14800000</v>
      </c>
      <c r="I1017" s="71" t="n">
        <v>12936012.5300048</v>
      </c>
      <c r="J1017" s="72" t="n">
        <v>5.1</v>
      </c>
      <c r="K1017" s="69" t="inlineStr">
        <is>
          <t>Fixed rate</t>
        </is>
      </c>
      <c r="L1017" s="68" t="n">
        <v>120</v>
      </c>
      <c r="M1017" s="68" t="n">
        <v>4</v>
      </c>
      <c r="N1017" s="68" t="n">
        <v>384</v>
      </c>
      <c r="O1017" s="68" t="n">
        <v>24</v>
      </c>
      <c r="P1017" s="68" t="n">
        <v>0</v>
      </c>
      <c r="Q1017" s="68" t="n">
        <v>116</v>
      </c>
      <c r="R1017" s="69" t="inlineStr">
        <is>
          <t>IO then Amort</t>
        </is>
      </c>
      <c r="S1017" s="69" t="inlineStr">
        <is>
          <t>No</t>
        </is>
      </c>
      <c r="T1017" s="73" t="n">
        <v>42736</v>
      </c>
      <c r="U1017" s="73" t="n">
        <v>46388</v>
      </c>
      <c r="V1017" s="73" t="n"/>
      <c r="W1017" s="69" t="n"/>
      <c r="X1017" s="69" t="inlineStr">
        <is>
          <t>Current</t>
        </is>
      </c>
      <c r="Y1017" s="68" t="n"/>
      <c r="Z1017" s="69" t="inlineStr">
        <is>
          <t>No Defeasance Occurred</t>
        </is>
      </c>
      <c r="AA1017" s="69" t="inlineStr">
        <is>
          <t>Yes</t>
        </is>
      </c>
      <c r="AB1017" s="69" t="inlineStr">
        <is>
          <t>Never special serv</t>
        </is>
      </c>
      <c r="AC1017" s="73" t="n"/>
      <c r="AD1017" s="69" t="n"/>
      <c r="AE1017" s="69" t="n"/>
      <c r="AF1017" s="69" t="inlineStr">
        <is>
          <t>PA</t>
        </is>
      </c>
      <c r="AG1017" s="69" t="inlineStr">
        <is>
          <t>King of Prussia</t>
        </is>
      </c>
      <c r="AH1017" s="69" t="inlineStr">
        <is>
          <t>Philadelphia-Camden-Wilmington, PA-NJ-DE-MD</t>
        </is>
      </c>
      <c r="AI1017" s="69" t="inlineStr">
        <is>
          <t>Northeast / Mid-Atlantic</t>
        </is>
      </c>
      <c r="AJ1017" s="69" t="inlineStr">
        <is>
          <t>OF</t>
        </is>
      </c>
      <c r="AK1017" s="69" t="inlineStr">
        <is>
          <t>Suburban</t>
        </is>
      </c>
      <c r="AL1017" s="68" t="n">
        <v>1</v>
      </c>
      <c r="AM1017" s="68" t="n"/>
      <c r="AN1017" s="68" t="n">
        <v>103334</v>
      </c>
      <c r="AO1017" s="69" t="inlineStr">
        <is>
          <t>2001</t>
        </is>
      </c>
      <c r="AP1017" s="70" t="n">
        <v>2001</v>
      </c>
      <c r="AQ1017" s="74" t="n">
        <v>1.43</v>
      </c>
      <c r="AR1017" s="74" t="n">
        <v>2.17</v>
      </c>
      <c r="AS1017" s="74" t="n">
        <v>57.48</v>
      </c>
      <c r="AT1017" s="74" t="n">
        <v>50.24</v>
      </c>
      <c r="AU1017" s="74" t="n">
        <v>49.95</v>
      </c>
      <c r="AV1017" s="74" t="n">
        <v>9.317277026999999</v>
      </c>
      <c r="AW1017" s="74" t="n">
        <v>16.169062879</v>
      </c>
      <c r="AX1017" s="75" t="n">
        <v>100</v>
      </c>
      <c r="AY1017" s="71" t="n">
        <v>25750000</v>
      </c>
      <c r="AZ1017" s="71" t="n">
        <v>25750000</v>
      </c>
      <c r="BA1017" s="71" t="n">
        <v>1378957</v>
      </c>
      <c r="BB1017" s="71" t="n">
        <v>2091632</v>
      </c>
      <c r="BC1017" s="69" t="inlineStr">
        <is>
          <t>Acquisition</t>
        </is>
      </c>
      <c r="BD1017" s="69" t="inlineStr">
        <is>
          <t>N</t>
        </is>
      </c>
      <c r="BE1017" s="71" t="n"/>
      <c r="BF1017" s="71" t="n"/>
      <c r="BG1017" s="71" t="n"/>
      <c r="BH1017" s="71" t="n">
        <v>0</v>
      </c>
      <c r="BI1017" s="71" t="n">
        <v>0</v>
      </c>
      <c r="BJ1017" s="69" t="inlineStr">
        <is>
          <t>N</t>
        </is>
      </c>
      <c r="BK1017" s="69" t="inlineStr">
        <is>
          <t>Radial  Inc.</t>
        </is>
      </c>
      <c r="BL1017" s="75" t="n">
        <v>100</v>
      </c>
      <c r="BM1017" s="73" t="n">
        <v>48213</v>
      </c>
      <c r="BN1017" s="69" t="inlineStr">
        <is>
          <t>Gladstone Commercial Corporation</t>
        </is>
      </c>
      <c r="BO1017" s="69" t="inlineStr">
        <is>
          <t>KeyBank</t>
        </is>
      </c>
      <c r="BP1017" s="69" t="inlineStr">
        <is>
          <t>TriMont Real Estate Advisors</t>
        </is>
      </c>
      <c r="BQ1017" s="69" t="inlineStr">
        <is>
          <t>Midland Loan Services</t>
        </is>
      </c>
      <c r="BR1017" s="69" t="n"/>
      <c r="BS1017" s="73" t="n">
        <v>46276</v>
      </c>
      <c r="BU1017" s="76">
        <f>IF($C1017="","",IFERROR(INDEX(dmName,MATCH($C1017,dmID,0)),"Unmapped"))</f>
        <v/>
      </c>
      <c r="BV1017" s="76">
        <f>IF($C1017="","",IFERROR(INDEX(dmEntity,MATCH($C1017,dmID,0)),"Unmapped"))</f>
        <v/>
      </c>
      <c r="BW1017" s="77">
        <f>IF($C1017="","",IFERROR(INDEX(dmVintage,MATCH($C1017,dmID,0)),""))</f>
        <v/>
      </c>
      <c r="BX1017" s="78">
        <f>IFERROR(INDEX(dmInclude,MATCH($C1017,dmID,0)),0)</f>
        <v/>
      </c>
      <c r="BY1017" s="78">
        <f>IF(N($I1017)&gt;0,1,0)</f>
        <v/>
      </c>
      <c r="BZ1017" s="76">
        <f>IF($AJ1017="","Other / Leased Fee",IFERROR(INDEX(mapPTGroup,MATCH(LEFT(TRIM($AJ1017),2),mapPTCode,0)),"Other / Leased Fee"))</f>
        <v/>
      </c>
      <c r="CA1017" s="76">
        <f>IF(TRIM($AF1017&amp;"")="","NR",LEFT(TRIM($AF1017),2))</f>
        <v/>
      </c>
      <c r="CB1017" s="76">
        <f>IFERROR(LOOKUP(2,1/(LEFT(TRIM($AI1017&amp;""),LEN(mapRegion))=mapRegion),mapRegion),"Not Reported")</f>
        <v/>
      </c>
      <c r="CC1017" s="76">
        <f>IF($BY1017=0,"",IF(TRIM($W1017&amp;"")="REO","REO",IF(TRIM($W1017&amp;"")="FC","Foreclosure",IF(TRIM($W1017&amp;"")="90+","90+ Days Delinquent",IF(TRIM($W1017&amp;"")="60","60 Days Delinquent",IF(TRIM($W1017&amp;"")="30","30 Days Delinquent",IF($X1017="Non-Performing Matured Balloon","Non-Performing Matured Balloon",IF(OR($X1017="Late Payment But Less Than 30 Days Delinquent",LEFT($X1017&amp;"",20)="Payment Not Received"),"Late / In Grace (&lt;30 Days)",IF($X1017="Performing Matured Balloon","Performing Matured Balloon","Current")))))))))</f>
        <v/>
      </c>
      <c r="CD1017" s="78">
        <f>IF(OR($CC1017="REO",$CC1017="Foreclosure",$CC1017="90+ Days Delinquent",$CC1017="60 Days Delinquent",$CC1017="30 Days Delinquent",$CC1017="Non-Performing Matured Balloon"),1,0)</f>
        <v/>
      </c>
      <c r="CE1017" s="76">
        <f>IF($AB1017="Currently special serv","Currently Specially Serviced",IF($AB1017="Returned to master serv","Previously Specially Serviced","Never Specially Serviced"))</f>
        <v/>
      </c>
      <c r="CF1017" s="78">
        <f>IF($CE1017="Currently Specially Serviced",1,0)</f>
        <v/>
      </c>
      <c r="CG1017" s="76">
        <f>IF($AA1017="Yes","Currently on Watchlist",IF($AA1017="Previously","Previously on Watchlist","Never on Watchlist"))</f>
        <v/>
      </c>
      <c r="CH1017" s="78">
        <f>IF($CG1017="Currently on Watchlist",1,0)</f>
        <v/>
      </c>
      <c r="CI1017" s="76">
        <f>IF($Z1017="Full Defeasance","Fully Defeased",IF($Z1017="Portion Of Loan Previously Defeased","Partially Defeased",IF($Z1017="Defeasance Not Allowable","Not Defeased (Not Permitted)","Not Defeased")))</f>
        <v/>
      </c>
      <c r="CJ1017" s="78">
        <f>IF($CI1017="Fully Defeased",1,0)</f>
        <v/>
      </c>
      <c r="CK1017" s="76">
        <f>IF($R1017="IO","Full IO",IF(LEFT($R1017&amp;"",7)="IO then","Partial IO","Amortizing"))</f>
        <v/>
      </c>
      <c r="CL1017" s="78">
        <f>IF($CK1017="Full IO",1,0)</f>
        <v/>
      </c>
      <c r="CM1017" s="78">
        <f>IF($CK1017="Partial IO",1,0)</f>
        <v/>
      </c>
      <c r="CN1017" s="76">
        <f>IF(LEFT($F1017&amp;"",10)="SPLIT_LOAN","Pari Passu Split","Standalone")</f>
        <v/>
      </c>
      <c r="CO1017" s="78">
        <f>IF($CN1017="Pari Passu Split",1,0)</f>
        <v/>
      </c>
      <c r="CP1017" s="77">
        <f>IF(ISNUMBER($T1017),YEAR($T1017),"")</f>
        <v/>
      </c>
      <c r="CQ1017" s="79">
        <f>IF(ISNUMBER($V1017),$V1017,IF(ISNUMBER($U1017),$U1017,""))</f>
        <v/>
      </c>
      <c r="CR1017" s="77">
        <f>IF(ISNUMBER($CQ1017),YEAR($CQ1017),"")</f>
        <v/>
      </c>
      <c r="CS1017" s="78">
        <f>IF(ISNUMBER($M1017),MAX(0,$M1017),IF(TRIM($M1017&amp;"")="matured",0,""))</f>
        <v/>
      </c>
      <c r="CT1017" s="78">
        <f>IF(AND(ISNUMBER($CS1017),N($CS1017)&lt;=mMatWindow),1,0)</f>
        <v/>
      </c>
      <c r="CU1017" s="80">
        <f>IF(ISNUMBER($J1017),$J1017/100,"")</f>
        <v/>
      </c>
      <c r="CV1017" s="81">
        <f>IF(ISNUMBER($AQ1017),$AQ1017,"")</f>
        <v/>
      </c>
      <c r="CW1017" s="81">
        <f>IF(ISNUMBER($AR1017),$AR1017,"")</f>
        <v/>
      </c>
      <c r="CX1017" s="82">
        <f>IF(ISNUMBER($AS1017),$AS1017/100,"")</f>
        <v/>
      </c>
      <c r="CY1017" s="82">
        <f>IF(ISNUMBER($AT1017),$AT1017/100,"")</f>
        <v/>
      </c>
      <c r="CZ1017" s="82">
        <f>IF(ISNUMBER($AU1017),$AU1017/100,"")</f>
        <v/>
      </c>
      <c r="DA1017" s="82">
        <f>IF(ISNUMBER($AV1017),$AV1017/100,"")</f>
        <v/>
      </c>
      <c r="DB1017" s="82">
        <f>IF(ISNUMBER($AW1017),$AW1017/100,"")</f>
        <v/>
      </c>
      <c r="DC1017" s="82">
        <f>IF(ISNUMBER($AX1017),$AX1017/100,"")</f>
        <v/>
      </c>
      <c r="DD1017" s="77">
        <f>IFERROR(VALUE(LEFT(TRIM($AO1017&amp;""),4)),"")</f>
        <v/>
      </c>
      <c r="DE1017" s="78">
        <f>IF(AND($BY1017=1,$BX1017=1,OR(fDeal="All Deals",$BU1017=fDeal),OR(fEntity="All Entities",$BV1017=fEntity),OR(fPType="All Property Types",$BZ1017=fPType),OR(fDefeased="Include",$CJ1017=0)),1,0)</f>
        <v/>
      </c>
      <c r="DF1017" s="83">
        <f>$DE1017*N($I1017)</f>
        <v/>
      </c>
      <c r="DG1017" s="78">
        <f>IF($DE1017=1,IF(COUNTIFS($F$8:$F1017,$F1017,$DE$8:$DE1017,1)=1,1,0),0)</f>
        <v/>
      </c>
      <c r="DH1017" s="83">
        <f>IF($DG1017=1,SUMIFS($DF$8:$DF$1600,$F$8:$F$1600,$F1017),0)</f>
        <v/>
      </c>
      <c r="DI1017" s="78">
        <f>IF($DG1017=1,COUNTIFS($F$8:$F$1600,$F1017,$DE$8:$DE$1600,1),0)</f>
        <v/>
      </c>
      <c r="DJ1017" s="84">
        <f>IF($DG1017=1,$DH1017+(100000-ROW())/mTieBreak,0)</f>
        <v/>
      </c>
    </row>
    <row r="1018">
      <c r="B1018" s="68" t="n">
        <v>15</v>
      </c>
      <c r="C1018" s="69" t="inlineStr">
        <is>
          <t>MSB17C33</t>
        </is>
      </c>
      <c r="D1018" s="69" t="inlineStr">
        <is>
          <t>15.000</t>
        </is>
      </c>
      <c r="E1018" s="69" t="inlineStr">
        <is>
          <t>Cornerstone Medical Office Portfolio</t>
        </is>
      </c>
      <c r="F1018" s="69" t="inlineStr">
        <is>
          <t>LNMSB17C33-15.000</t>
        </is>
      </c>
      <c r="G1018" s="70" t="n"/>
      <c r="H1018" s="71" t="n">
        <v>14740000</v>
      </c>
      <c r="I1018" s="71" t="n">
        <v>12988755.19999948</v>
      </c>
      <c r="J1018" s="72" t="n">
        <v>5.11</v>
      </c>
      <c r="K1018" s="69" t="inlineStr">
        <is>
          <t>Fixed rate</t>
        </is>
      </c>
      <c r="L1018" s="68" t="n">
        <v>120</v>
      </c>
      <c r="M1018" s="68" t="n">
        <v>8</v>
      </c>
      <c r="N1018" s="68" t="n">
        <v>384</v>
      </c>
      <c r="O1018" s="68" t="n">
        <v>24</v>
      </c>
      <c r="P1018" s="68" t="n">
        <v>0</v>
      </c>
      <c r="Q1018" s="68" t="n">
        <v>112</v>
      </c>
      <c r="R1018" s="69" t="inlineStr">
        <is>
          <t>IO then Amort</t>
        </is>
      </c>
      <c r="S1018" s="69" t="inlineStr">
        <is>
          <t>No</t>
        </is>
      </c>
      <c r="T1018" s="73" t="n">
        <v>42856</v>
      </c>
      <c r="U1018" s="73" t="n">
        <v>46508</v>
      </c>
      <c r="V1018" s="73" t="n"/>
      <c r="W1018" s="69" t="n"/>
      <c r="X1018" s="69" t="inlineStr">
        <is>
          <t>Current</t>
        </is>
      </c>
      <c r="Y1018" s="68" t="n"/>
      <c r="Z1018" s="69" t="inlineStr">
        <is>
          <t>Full Defeasance</t>
        </is>
      </c>
      <c r="AA1018" s="69" t="n"/>
      <c r="AB1018" s="69" t="inlineStr">
        <is>
          <t>Never special serv</t>
        </is>
      </c>
      <c r="AC1018" s="73" t="n"/>
      <c r="AD1018" s="69" t="n"/>
      <c r="AE1018" s="69" t="n"/>
      <c r="AF1018" s="69" t="inlineStr">
        <is>
          <t>KY-47.014930001% CO-34.701489998% IN-18.283580001%</t>
        </is>
      </c>
      <c r="AG1018" s="69" t="n"/>
      <c r="AH1018" s="69" t="inlineStr">
        <is>
          <t>Denver-Aurora-Centennial, CO-34.701489998% Indianapolis-Carmel-Greenwood, IN-18.283580001%</t>
        </is>
      </c>
      <c r="AI1018" s="69" t="inlineStr">
        <is>
          <t>South / Central East-47.014930001% West / Mountain-34.701489998% Midwest / Central East-18.283580001%</t>
        </is>
      </c>
      <c r="AJ1018" s="69" t="inlineStr">
        <is>
          <t>OF</t>
        </is>
      </c>
      <c r="AK1018" s="69" t="inlineStr">
        <is>
          <t>Medical</t>
        </is>
      </c>
      <c r="AL1018" s="68" t="n">
        <v>3</v>
      </c>
      <c r="AM1018" s="68" t="n"/>
      <c r="AN1018" s="68" t="n">
        <v>86043</v>
      </c>
      <c r="AO1018" s="69" t="n"/>
      <c r="AP1018" s="70" t="n">
        <v>2012</v>
      </c>
      <c r="AQ1018" s="74" t="n">
        <v>1.41</v>
      </c>
      <c r="AR1018" s="74" t="n">
        <v>1.6</v>
      </c>
      <c r="AS1018" s="74" t="n">
        <v>64.51000000000001</v>
      </c>
      <c r="AT1018" s="74" t="n">
        <v>56.84</v>
      </c>
      <c r="AU1018" s="74" t="n">
        <v>56.09</v>
      </c>
      <c r="AV1018" s="74" t="n">
        <v>9.206451832000001</v>
      </c>
      <c r="AW1018" s="74" t="n">
        <v>11.856258712</v>
      </c>
      <c r="AX1018" s="75" t="n">
        <v>100</v>
      </c>
      <c r="AY1018" s="71" t="n">
        <v>22850000</v>
      </c>
      <c r="AZ1018" s="71" t="n">
        <v>22850000</v>
      </c>
      <c r="BA1018" s="71" t="n">
        <v>1357031</v>
      </c>
      <c r="BB1018" s="71" t="n">
        <v>1539980.42</v>
      </c>
      <c r="BC1018" s="69" t="inlineStr">
        <is>
          <t>Refinance/Acquisition</t>
        </is>
      </c>
      <c r="BD1018" s="69" t="inlineStr">
        <is>
          <t>N</t>
        </is>
      </c>
      <c r="BE1018" s="71" t="n"/>
      <c r="BF1018" s="71" t="n"/>
      <c r="BG1018" s="71" t="n"/>
      <c r="BH1018" s="71" t="n">
        <v>0</v>
      </c>
      <c r="BI1018" s="71" t="n">
        <v>0</v>
      </c>
      <c r="BJ1018" s="69" t="inlineStr">
        <is>
          <t>N</t>
        </is>
      </c>
      <c r="BK1018" s="69" t="inlineStr">
        <is>
          <t>Baptist Health</t>
        </is>
      </c>
      <c r="BL1018" s="75" t="n">
        <v>65.66</v>
      </c>
      <c r="BM1018" s="73" t="n">
        <v>46022</v>
      </c>
      <c r="BN1018" s="69" t="inlineStr">
        <is>
          <t>Cornerstone Companies, Inc.</t>
        </is>
      </c>
      <c r="BO1018" s="69" t="inlineStr">
        <is>
          <t>KeyBank</t>
        </is>
      </c>
      <c r="BP1018" s="69" t="inlineStr">
        <is>
          <t>TriMont Real Estate Advisors</t>
        </is>
      </c>
      <c r="BQ1018" s="69" t="inlineStr">
        <is>
          <t>Midland Loan Services</t>
        </is>
      </c>
      <c r="BR1018" s="69" t="n"/>
      <c r="BS1018" s="73" t="n">
        <v>46276</v>
      </c>
      <c r="BU1018" s="76">
        <f>IF($C1018="","",IFERROR(INDEX(dmName,MATCH($C1018,dmID,0)),"Unmapped"))</f>
        <v/>
      </c>
      <c r="BV1018" s="76">
        <f>IF($C1018="","",IFERROR(INDEX(dmEntity,MATCH($C1018,dmID,0)),"Unmapped"))</f>
        <v/>
      </c>
      <c r="BW1018" s="77">
        <f>IF($C1018="","",IFERROR(INDEX(dmVintage,MATCH($C1018,dmID,0)),""))</f>
        <v/>
      </c>
      <c r="BX1018" s="78">
        <f>IFERROR(INDEX(dmInclude,MATCH($C1018,dmID,0)),0)</f>
        <v/>
      </c>
      <c r="BY1018" s="78">
        <f>IF(N($I1018)&gt;0,1,0)</f>
        <v/>
      </c>
      <c r="BZ1018" s="76">
        <f>IF($AJ1018="","Other / Leased Fee",IFERROR(INDEX(mapPTGroup,MATCH(LEFT(TRIM($AJ1018),2),mapPTCode,0)),"Other / Leased Fee"))</f>
        <v/>
      </c>
      <c r="CA1018" s="76">
        <f>IF(TRIM($AF1018&amp;"")="","NR",LEFT(TRIM($AF1018),2))</f>
        <v/>
      </c>
      <c r="CB1018" s="76">
        <f>IFERROR(LOOKUP(2,1/(LEFT(TRIM($AI1018&amp;""),LEN(mapRegion))=mapRegion),mapRegion),"Not Reported")</f>
        <v/>
      </c>
      <c r="CC1018" s="76">
        <f>IF($BY1018=0,"",IF(TRIM($W1018&amp;"")="REO","REO",IF(TRIM($W1018&amp;"")="FC","Foreclosure",IF(TRIM($W1018&amp;"")="90+","90+ Days Delinquent",IF(TRIM($W1018&amp;"")="60","60 Days Delinquent",IF(TRIM($W1018&amp;"")="30","30 Days Delinquent",IF($X1018="Non-Performing Matured Balloon","Non-Performing Matured Balloon",IF(OR($X1018="Late Payment But Less Than 30 Days Delinquent",LEFT($X1018&amp;"",20)="Payment Not Received"),"Late / In Grace (&lt;30 Days)",IF($X1018="Performing Matured Balloon","Performing Matured Balloon","Current")))))))))</f>
        <v/>
      </c>
      <c r="CD1018" s="78">
        <f>IF(OR($CC1018="REO",$CC1018="Foreclosure",$CC1018="90+ Days Delinquent",$CC1018="60 Days Delinquent",$CC1018="30 Days Delinquent",$CC1018="Non-Performing Matured Balloon"),1,0)</f>
        <v/>
      </c>
      <c r="CE1018" s="76">
        <f>IF($AB1018="Currently special serv","Currently Specially Serviced",IF($AB1018="Returned to master serv","Previously Specially Serviced","Never Specially Serviced"))</f>
        <v/>
      </c>
      <c r="CF1018" s="78">
        <f>IF($CE1018="Currently Specially Serviced",1,0)</f>
        <v/>
      </c>
      <c r="CG1018" s="76">
        <f>IF($AA1018="Yes","Currently on Watchlist",IF($AA1018="Previously","Previously on Watchlist","Never on Watchlist"))</f>
        <v/>
      </c>
      <c r="CH1018" s="78">
        <f>IF($CG1018="Currently on Watchlist",1,0)</f>
        <v/>
      </c>
      <c r="CI1018" s="76">
        <f>IF($Z1018="Full Defeasance","Fully Defeased",IF($Z1018="Portion Of Loan Previously Defeased","Partially Defeased",IF($Z1018="Defeasance Not Allowable","Not Defeased (Not Permitted)","Not Defeased")))</f>
        <v/>
      </c>
      <c r="CJ1018" s="78">
        <f>IF($CI1018="Fully Defeased",1,0)</f>
        <v/>
      </c>
      <c r="CK1018" s="76">
        <f>IF($R1018="IO","Full IO",IF(LEFT($R1018&amp;"",7)="IO then","Partial IO","Amortizing"))</f>
        <v/>
      </c>
      <c r="CL1018" s="78">
        <f>IF($CK1018="Full IO",1,0)</f>
        <v/>
      </c>
      <c r="CM1018" s="78">
        <f>IF($CK1018="Partial IO",1,0)</f>
        <v/>
      </c>
      <c r="CN1018" s="76">
        <f>IF(LEFT($F1018&amp;"",10)="SPLIT_LOAN","Pari Passu Split","Standalone")</f>
        <v/>
      </c>
      <c r="CO1018" s="78">
        <f>IF($CN1018="Pari Passu Split",1,0)</f>
        <v/>
      </c>
      <c r="CP1018" s="77">
        <f>IF(ISNUMBER($T1018),YEAR($T1018),"")</f>
        <v/>
      </c>
      <c r="CQ1018" s="79">
        <f>IF(ISNUMBER($V1018),$V1018,IF(ISNUMBER($U1018),$U1018,""))</f>
        <v/>
      </c>
      <c r="CR1018" s="77">
        <f>IF(ISNUMBER($CQ1018),YEAR($CQ1018),"")</f>
        <v/>
      </c>
      <c r="CS1018" s="78">
        <f>IF(ISNUMBER($M1018),MAX(0,$M1018),IF(TRIM($M1018&amp;"")="matured",0,""))</f>
        <v/>
      </c>
      <c r="CT1018" s="78">
        <f>IF(AND(ISNUMBER($CS1018),N($CS1018)&lt;=mMatWindow),1,0)</f>
        <v/>
      </c>
      <c r="CU1018" s="80">
        <f>IF(ISNUMBER($J1018),$J1018/100,"")</f>
        <v/>
      </c>
      <c r="CV1018" s="81">
        <f>IF(ISNUMBER($AQ1018),$AQ1018,"")</f>
        <v/>
      </c>
      <c r="CW1018" s="81">
        <f>IF(ISNUMBER($AR1018),$AR1018,"")</f>
        <v/>
      </c>
      <c r="CX1018" s="82">
        <f>IF(ISNUMBER($AS1018),$AS1018/100,"")</f>
        <v/>
      </c>
      <c r="CY1018" s="82">
        <f>IF(ISNUMBER($AT1018),$AT1018/100,"")</f>
        <v/>
      </c>
      <c r="CZ1018" s="82">
        <f>IF(ISNUMBER($AU1018),$AU1018/100,"")</f>
        <v/>
      </c>
      <c r="DA1018" s="82">
        <f>IF(ISNUMBER($AV1018),$AV1018/100,"")</f>
        <v/>
      </c>
      <c r="DB1018" s="82">
        <f>IF(ISNUMBER($AW1018),$AW1018/100,"")</f>
        <v/>
      </c>
      <c r="DC1018" s="82">
        <f>IF(ISNUMBER($AX1018),$AX1018/100,"")</f>
        <v/>
      </c>
      <c r="DD1018" s="77">
        <f>IFERROR(VALUE(LEFT(TRIM($AO1018&amp;""),4)),"")</f>
        <v/>
      </c>
      <c r="DE1018" s="78">
        <f>IF(AND($BY1018=1,$BX1018=1,OR(fDeal="All Deals",$BU1018=fDeal),OR(fEntity="All Entities",$BV1018=fEntity),OR(fPType="All Property Types",$BZ1018=fPType),OR(fDefeased="Include",$CJ1018=0)),1,0)</f>
        <v/>
      </c>
      <c r="DF1018" s="83">
        <f>$DE1018*N($I1018)</f>
        <v/>
      </c>
      <c r="DG1018" s="78">
        <f>IF($DE1018=1,IF(COUNTIFS($F$8:$F1018,$F1018,$DE$8:$DE1018,1)=1,1,0),0)</f>
        <v/>
      </c>
      <c r="DH1018" s="83">
        <f>IF($DG1018=1,SUMIFS($DF$8:$DF$1600,$F$8:$F$1600,$F1018),0)</f>
        <v/>
      </c>
      <c r="DI1018" s="78">
        <f>IF($DG1018=1,COUNTIFS($F$8:$F$1600,$F1018,$DE$8:$DE$1600,1),0)</f>
        <v/>
      </c>
      <c r="DJ1018" s="84">
        <f>IF($DG1018=1,$DH1018+(100000-ROW())/mTieBreak,0)</f>
        <v/>
      </c>
    </row>
    <row r="1019">
      <c r="B1019" s="68" t="n">
        <v>16</v>
      </c>
      <c r="C1019" s="69" t="inlineStr">
        <is>
          <t>MSB17C33</t>
        </is>
      </c>
      <c r="D1019" s="69" t="inlineStr">
        <is>
          <t>16.000</t>
        </is>
      </c>
      <c r="E1019" s="69" t="inlineStr">
        <is>
          <t>US Storage - Hawthorne</t>
        </is>
      </c>
      <c r="F1019" s="69" t="inlineStr">
        <is>
          <t>LNMSB17C33-16.000</t>
        </is>
      </c>
      <c r="G1019" s="70" t="n"/>
      <c r="H1019" s="71" t="n">
        <v>14000000</v>
      </c>
      <c r="I1019" s="71" t="n">
        <v>11312396.990006</v>
      </c>
      <c r="J1019" s="72" t="n">
        <v>3.97</v>
      </c>
      <c r="K1019" s="69" t="inlineStr">
        <is>
          <t>Fixed rate</t>
        </is>
      </c>
      <c r="L1019" s="68" t="n">
        <v>120</v>
      </c>
      <c r="M1019" s="68" t="n">
        <v>7</v>
      </c>
      <c r="N1019" s="68" t="n">
        <v>360</v>
      </c>
      <c r="O1019" s="68" t="n"/>
      <c r="P1019" s="68" t="n"/>
      <c r="Q1019" s="68" t="n">
        <v>113</v>
      </c>
      <c r="R1019" s="69" t="n"/>
      <c r="S1019" s="69" t="inlineStr">
        <is>
          <t>No</t>
        </is>
      </c>
      <c r="T1019" s="73" t="n">
        <v>42826</v>
      </c>
      <c r="U1019" s="73" t="n">
        <v>46478</v>
      </c>
      <c r="V1019" s="73" t="n"/>
      <c r="W1019" s="69" t="n"/>
      <c r="X1019" s="69" t="inlineStr">
        <is>
          <t>Current</t>
        </is>
      </c>
      <c r="Y1019" s="68" t="n"/>
      <c r="Z1019" s="69" t="inlineStr">
        <is>
          <t>No Defeasance Occurred</t>
        </is>
      </c>
      <c r="AA1019" s="69" t="inlineStr">
        <is>
          <t>Previously</t>
        </is>
      </c>
      <c r="AB1019" s="69" t="inlineStr">
        <is>
          <t>Never special serv</t>
        </is>
      </c>
      <c r="AC1019" s="73" t="n"/>
      <c r="AD1019" s="69" t="n"/>
      <c r="AE1019" s="69" t="n"/>
      <c r="AF1019" s="69" t="inlineStr">
        <is>
          <t>CA</t>
        </is>
      </c>
      <c r="AG1019" s="69" t="inlineStr">
        <is>
          <t>Hawthorne</t>
        </is>
      </c>
      <c r="AH1019" s="69" t="inlineStr">
        <is>
          <t>Los Angeles-Long Beach-Anaheim, CA</t>
        </is>
      </c>
      <c r="AI1019" s="69" t="inlineStr">
        <is>
          <t>West / Pacific South</t>
        </is>
      </c>
      <c r="AJ1019" s="69" t="inlineStr">
        <is>
          <t>SS</t>
        </is>
      </c>
      <c r="AK1019" s="69" t="n"/>
      <c r="AL1019" s="68" t="n">
        <v>1</v>
      </c>
      <c r="AM1019" s="68" t="n"/>
      <c r="AN1019" s="68" t="n">
        <v>81562</v>
      </c>
      <c r="AO1019" s="69" t="inlineStr">
        <is>
          <t>2000</t>
        </is>
      </c>
      <c r="AP1019" s="70" t="n">
        <v>2000</v>
      </c>
      <c r="AQ1019" s="74" t="n">
        <v>2.25</v>
      </c>
      <c r="AR1019" s="74" t="n">
        <v>3.71</v>
      </c>
      <c r="AS1019" s="74" t="n">
        <v>45.69</v>
      </c>
      <c r="AT1019" s="74" t="n">
        <v>36.97</v>
      </c>
      <c r="AU1019" s="74" t="n">
        <v>36.4</v>
      </c>
      <c r="AV1019" s="74" t="n">
        <v>12.822278571</v>
      </c>
      <c r="AW1019" s="74" t="n">
        <v>26.218749241</v>
      </c>
      <c r="AX1019" s="75" t="n">
        <v>84</v>
      </c>
      <c r="AY1019" s="71" t="n">
        <v>30600000</v>
      </c>
      <c r="AZ1019" s="71" t="n">
        <v>30600000</v>
      </c>
      <c r="BA1019" s="71" t="n">
        <v>1795119</v>
      </c>
      <c r="BB1019" s="71" t="n">
        <v>2965969</v>
      </c>
      <c r="BC1019" s="69" t="inlineStr">
        <is>
          <t>Refinance</t>
        </is>
      </c>
      <c r="BD1019" s="69" t="inlineStr">
        <is>
          <t>N</t>
        </is>
      </c>
      <c r="BE1019" s="71" t="n"/>
      <c r="BF1019" s="71" t="n"/>
      <c r="BG1019" s="71" t="n"/>
      <c r="BH1019" s="71" t="n">
        <v>0</v>
      </c>
      <c r="BI1019" s="71" t="n">
        <v>0</v>
      </c>
      <c r="BJ1019" s="69" t="inlineStr">
        <is>
          <t>N</t>
        </is>
      </c>
      <c r="BK1019" s="69" t="n"/>
      <c r="BL1019" s="75" t="n"/>
      <c r="BM1019" s="73" t="n"/>
      <c r="BN1019" s="69" t="inlineStr">
        <is>
          <t>US Storage Centers</t>
        </is>
      </c>
      <c r="BO1019" s="69" t="inlineStr">
        <is>
          <t>KeyBank</t>
        </is>
      </c>
      <c r="BP1019" s="69" t="inlineStr">
        <is>
          <t>TriMont Real Estate Advisors</t>
        </is>
      </c>
      <c r="BQ1019" s="69" t="inlineStr">
        <is>
          <t>Midland Loan Services</t>
        </is>
      </c>
      <c r="BR1019" s="69" t="n"/>
      <c r="BS1019" s="73" t="n">
        <v>46276</v>
      </c>
      <c r="BU1019" s="76">
        <f>IF($C1019="","",IFERROR(INDEX(dmName,MATCH($C1019,dmID,0)),"Unmapped"))</f>
        <v/>
      </c>
      <c r="BV1019" s="76">
        <f>IF($C1019="","",IFERROR(INDEX(dmEntity,MATCH($C1019,dmID,0)),"Unmapped"))</f>
        <v/>
      </c>
      <c r="BW1019" s="77">
        <f>IF($C1019="","",IFERROR(INDEX(dmVintage,MATCH($C1019,dmID,0)),""))</f>
        <v/>
      </c>
      <c r="BX1019" s="78">
        <f>IFERROR(INDEX(dmInclude,MATCH($C1019,dmID,0)),0)</f>
        <v/>
      </c>
      <c r="BY1019" s="78">
        <f>IF(N($I1019)&gt;0,1,0)</f>
        <v/>
      </c>
      <c r="BZ1019" s="76">
        <f>IF($AJ1019="","Other / Leased Fee",IFERROR(INDEX(mapPTGroup,MATCH(LEFT(TRIM($AJ1019),2),mapPTCode,0)),"Other / Leased Fee"))</f>
        <v/>
      </c>
      <c r="CA1019" s="76">
        <f>IF(TRIM($AF1019&amp;"")="","NR",LEFT(TRIM($AF1019),2))</f>
        <v/>
      </c>
      <c r="CB1019" s="76">
        <f>IFERROR(LOOKUP(2,1/(LEFT(TRIM($AI1019&amp;""),LEN(mapRegion))=mapRegion),mapRegion),"Not Reported")</f>
        <v/>
      </c>
      <c r="CC1019" s="76">
        <f>IF($BY1019=0,"",IF(TRIM($W1019&amp;"")="REO","REO",IF(TRIM($W1019&amp;"")="FC","Foreclosure",IF(TRIM($W1019&amp;"")="90+","90+ Days Delinquent",IF(TRIM($W1019&amp;"")="60","60 Days Delinquent",IF(TRIM($W1019&amp;"")="30","30 Days Delinquent",IF($X1019="Non-Performing Matured Balloon","Non-Performing Matured Balloon",IF(OR($X1019="Late Payment But Less Than 30 Days Delinquent",LEFT($X1019&amp;"",20)="Payment Not Received"),"Late / In Grace (&lt;30 Days)",IF($X1019="Performing Matured Balloon","Performing Matured Balloon","Current")))))))))</f>
        <v/>
      </c>
      <c r="CD1019" s="78">
        <f>IF(OR($CC1019="REO",$CC1019="Foreclosure",$CC1019="90+ Days Delinquent",$CC1019="60 Days Delinquent",$CC1019="30 Days Delinquent",$CC1019="Non-Performing Matured Balloon"),1,0)</f>
        <v/>
      </c>
      <c r="CE1019" s="76">
        <f>IF($AB1019="Currently special serv","Currently Specially Serviced",IF($AB1019="Returned to master serv","Previously Specially Serviced","Never Specially Serviced"))</f>
        <v/>
      </c>
      <c r="CF1019" s="78">
        <f>IF($CE1019="Currently Specially Serviced",1,0)</f>
        <v/>
      </c>
      <c r="CG1019" s="76">
        <f>IF($AA1019="Yes","Currently on Watchlist",IF($AA1019="Previously","Previously on Watchlist","Never on Watchlist"))</f>
        <v/>
      </c>
      <c r="CH1019" s="78">
        <f>IF($CG1019="Currently on Watchlist",1,0)</f>
        <v/>
      </c>
      <c r="CI1019" s="76">
        <f>IF($Z1019="Full Defeasance","Fully Defeased",IF($Z1019="Portion Of Loan Previously Defeased","Partially Defeased",IF($Z1019="Defeasance Not Allowable","Not Defeased (Not Permitted)","Not Defeased")))</f>
        <v/>
      </c>
      <c r="CJ1019" s="78">
        <f>IF($CI1019="Fully Defeased",1,0)</f>
        <v/>
      </c>
      <c r="CK1019" s="76">
        <f>IF($R1019="IO","Full IO",IF(LEFT($R1019&amp;"",7)="IO then","Partial IO","Amortizing"))</f>
        <v/>
      </c>
      <c r="CL1019" s="78">
        <f>IF($CK1019="Full IO",1,0)</f>
        <v/>
      </c>
      <c r="CM1019" s="78">
        <f>IF($CK1019="Partial IO",1,0)</f>
        <v/>
      </c>
      <c r="CN1019" s="76">
        <f>IF(LEFT($F1019&amp;"",10)="SPLIT_LOAN","Pari Passu Split","Standalone")</f>
        <v/>
      </c>
      <c r="CO1019" s="78">
        <f>IF($CN1019="Pari Passu Split",1,0)</f>
        <v/>
      </c>
      <c r="CP1019" s="77">
        <f>IF(ISNUMBER($T1019),YEAR($T1019),"")</f>
        <v/>
      </c>
      <c r="CQ1019" s="79">
        <f>IF(ISNUMBER($V1019),$V1019,IF(ISNUMBER($U1019),$U1019,""))</f>
        <v/>
      </c>
      <c r="CR1019" s="77">
        <f>IF(ISNUMBER($CQ1019),YEAR($CQ1019),"")</f>
        <v/>
      </c>
      <c r="CS1019" s="78">
        <f>IF(ISNUMBER($M1019),MAX(0,$M1019),IF(TRIM($M1019&amp;"")="matured",0,""))</f>
        <v/>
      </c>
      <c r="CT1019" s="78">
        <f>IF(AND(ISNUMBER($CS1019),N($CS1019)&lt;=mMatWindow),1,0)</f>
        <v/>
      </c>
      <c r="CU1019" s="80">
        <f>IF(ISNUMBER($J1019),$J1019/100,"")</f>
        <v/>
      </c>
      <c r="CV1019" s="81">
        <f>IF(ISNUMBER($AQ1019),$AQ1019,"")</f>
        <v/>
      </c>
      <c r="CW1019" s="81">
        <f>IF(ISNUMBER($AR1019),$AR1019,"")</f>
        <v/>
      </c>
      <c r="CX1019" s="82">
        <f>IF(ISNUMBER($AS1019),$AS1019/100,"")</f>
        <v/>
      </c>
      <c r="CY1019" s="82">
        <f>IF(ISNUMBER($AT1019),$AT1019/100,"")</f>
        <v/>
      </c>
      <c r="CZ1019" s="82">
        <f>IF(ISNUMBER($AU1019),$AU1019/100,"")</f>
        <v/>
      </c>
      <c r="DA1019" s="82">
        <f>IF(ISNUMBER($AV1019),$AV1019/100,"")</f>
        <v/>
      </c>
      <c r="DB1019" s="82">
        <f>IF(ISNUMBER($AW1019),$AW1019/100,"")</f>
        <v/>
      </c>
      <c r="DC1019" s="82">
        <f>IF(ISNUMBER($AX1019),$AX1019/100,"")</f>
        <v/>
      </c>
      <c r="DD1019" s="77">
        <f>IFERROR(VALUE(LEFT(TRIM($AO1019&amp;""),4)),"")</f>
        <v/>
      </c>
      <c r="DE1019" s="78">
        <f>IF(AND($BY1019=1,$BX1019=1,OR(fDeal="All Deals",$BU1019=fDeal),OR(fEntity="All Entities",$BV1019=fEntity),OR(fPType="All Property Types",$BZ1019=fPType),OR(fDefeased="Include",$CJ1019=0)),1,0)</f>
        <v/>
      </c>
      <c r="DF1019" s="83">
        <f>$DE1019*N($I1019)</f>
        <v/>
      </c>
      <c r="DG1019" s="78">
        <f>IF($DE1019=1,IF(COUNTIFS($F$8:$F1019,$F1019,$DE$8:$DE1019,1)=1,1,0),0)</f>
        <v/>
      </c>
      <c r="DH1019" s="83">
        <f>IF($DG1019=1,SUMIFS($DF$8:$DF$1600,$F$8:$F$1600,$F1019),0)</f>
        <v/>
      </c>
      <c r="DI1019" s="78">
        <f>IF($DG1019=1,COUNTIFS($F$8:$F$1600,$F1019,$DE$8:$DE$1600,1),0)</f>
        <v/>
      </c>
      <c r="DJ1019" s="84">
        <f>IF($DG1019=1,$DH1019+(100000-ROW())/mTieBreak,0)</f>
        <v/>
      </c>
    </row>
    <row r="1020">
      <c r="B1020" s="68" t="n">
        <v>17</v>
      </c>
      <c r="C1020" s="69" t="inlineStr">
        <is>
          <t>MSB17C33</t>
        </is>
      </c>
      <c r="D1020" s="69" t="inlineStr">
        <is>
          <t>17.000</t>
        </is>
      </c>
      <c r="E1020" s="69" t="inlineStr">
        <is>
          <t>Warner Robins Place</t>
        </is>
      </c>
      <c r="F1020" s="69" t="inlineStr">
        <is>
          <t>LNMSB17C33-17.000</t>
        </is>
      </c>
      <c r="G1020" s="70" t="n"/>
      <c r="H1020" s="71" t="n">
        <v>13432000</v>
      </c>
      <c r="I1020" s="71" t="n">
        <v>11723571.44999984</v>
      </c>
      <c r="J1020" s="72" t="n">
        <v>4.7</v>
      </c>
      <c r="K1020" s="69" t="inlineStr">
        <is>
          <t>Fixed rate</t>
        </is>
      </c>
      <c r="L1020" s="68" t="n">
        <v>120</v>
      </c>
      <c r="M1020" s="68" t="n">
        <v>8</v>
      </c>
      <c r="N1020" s="68" t="n">
        <v>384</v>
      </c>
      <c r="O1020" s="68" t="n">
        <v>24</v>
      </c>
      <c r="P1020" s="68" t="n">
        <v>0</v>
      </c>
      <c r="Q1020" s="68" t="n">
        <v>112</v>
      </c>
      <c r="R1020" s="69" t="inlineStr">
        <is>
          <t>IO then Amort</t>
        </is>
      </c>
      <c r="S1020" s="69" t="inlineStr">
        <is>
          <t>No</t>
        </is>
      </c>
      <c r="T1020" s="73" t="n">
        <v>42856</v>
      </c>
      <c r="U1020" s="73" t="n">
        <v>46508</v>
      </c>
      <c r="V1020" s="73" t="n"/>
      <c r="W1020" s="69" t="n"/>
      <c r="X1020" s="69" t="inlineStr">
        <is>
          <t>Current</t>
        </is>
      </c>
      <c r="Y1020" s="68" t="n"/>
      <c r="Z1020" s="69" t="inlineStr">
        <is>
          <t>Full Defeasance</t>
        </is>
      </c>
      <c r="AA1020" s="69" t="inlineStr">
        <is>
          <t>Previously</t>
        </is>
      </c>
      <c r="AB1020" s="69" t="inlineStr">
        <is>
          <t>Never special serv</t>
        </is>
      </c>
      <c r="AC1020" s="73" t="n"/>
      <c r="AD1020" s="69" t="n"/>
      <c r="AE1020" s="69" t="n"/>
      <c r="AF1020" s="69" t="inlineStr">
        <is>
          <t>GA</t>
        </is>
      </c>
      <c r="AG1020" s="69" t="inlineStr">
        <is>
          <t>Warner Robins</t>
        </is>
      </c>
      <c r="AH1020" s="69" t="inlineStr">
        <is>
          <t>Warner Robins, GA</t>
        </is>
      </c>
      <c r="AI1020" s="69" t="inlineStr">
        <is>
          <t>South / Atlantic</t>
        </is>
      </c>
      <c r="AJ1020" s="69" t="inlineStr">
        <is>
          <t>RT</t>
        </is>
      </c>
      <c r="AK1020" s="69" t="inlineStr">
        <is>
          <t>Shadow Anchored</t>
        </is>
      </c>
      <c r="AL1020" s="68" t="n">
        <v>1</v>
      </c>
      <c r="AM1020" s="68" t="n"/>
      <c r="AN1020" s="68" t="n">
        <v>107941</v>
      </c>
      <c r="AO1020" s="69" t="inlineStr">
        <is>
          <t>1997, 2000</t>
        </is>
      </c>
      <c r="AP1020" s="70" t="n">
        <v>2000</v>
      </c>
      <c r="AQ1020" s="74" t="n">
        <v>1.51</v>
      </c>
      <c r="AR1020" s="74" t="n">
        <v>1.66</v>
      </c>
      <c r="AS1020" s="74" t="n">
        <v>73.8</v>
      </c>
      <c r="AT1020" s="74" t="n">
        <v>64.42</v>
      </c>
      <c r="AU1020" s="74" t="n">
        <v>63.5</v>
      </c>
      <c r="AV1020" s="74" t="n">
        <v>9.410905746999999</v>
      </c>
      <c r="AW1020" s="74" t="n">
        <v>11.430501411</v>
      </c>
      <c r="AX1020" s="75" t="n">
        <v>100</v>
      </c>
      <c r="AY1020" s="71" t="n">
        <v>18200000</v>
      </c>
      <c r="AZ1020" s="71" t="n">
        <v>18200000</v>
      </c>
      <c r="BA1020" s="71" t="n">
        <v>1264072.86</v>
      </c>
      <c r="BB1020" s="71" t="n">
        <v>1038231.03</v>
      </c>
      <c r="BC1020" s="69" t="inlineStr">
        <is>
          <t>Acquisition</t>
        </is>
      </c>
      <c r="BD1020" s="69" t="inlineStr">
        <is>
          <t>N</t>
        </is>
      </c>
      <c r="BE1020" s="71" t="n"/>
      <c r="BF1020" s="71" t="n"/>
      <c r="BG1020" s="71" t="n"/>
      <c r="BH1020" s="71" t="n">
        <v>0</v>
      </c>
      <c r="BI1020" s="71" t="n">
        <v>0</v>
      </c>
      <c r="BJ1020" s="69" t="inlineStr">
        <is>
          <t>N</t>
        </is>
      </c>
      <c r="BK1020" s="69" t="inlineStr">
        <is>
          <t>TJ Maxx</t>
        </is>
      </c>
      <c r="BL1020" s="75" t="n">
        <v>27.79</v>
      </c>
      <c r="BM1020" s="73" t="n">
        <v>49429</v>
      </c>
      <c r="BN1020" s="69" t="inlineStr">
        <is>
          <t>Richard O. Fine, Jason Fine, David Tomlinson, S. Robert Elkan, and Ray P. Korte</t>
        </is>
      </c>
      <c r="BO1020" s="69" t="inlineStr">
        <is>
          <t>Morgan Stanley</t>
        </is>
      </c>
      <c r="BP1020" s="69" t="inlineStr">
        <is>
          <t>TriMont Real Estate Advisors</t>
        </is>
      </c>
      <c r="BQ1020" s="69" t="inlineStr">
        <is>
          <t>Midland Loan Services</t>
        </is>
      </c>
      <c r="BR1020" s="69" t="n"/>
      <c r="BS1020" s="73" t="n">
        <v>46276</v>
      </c>
      <c r="BU1020" s="76">
        <f>IF($C1020="","",IFERROR(INDEX(dmName,MATCH($C1020,dmID,0)),"Unmapped"))</f>
        <v/>
      </c>
      <c r="BV1020" s="76">
        <f>IF($C1020="","",IFERROR(INDEX(dmEntity,MATCH($C1020,dmID,0)),"Unmapped"))</f>
        <v/>
      </c>
      <c r="BW1020" s="77">
        <f>IF($C1020="","",IFERROR(INDEX(dmVintage,MATCH($C1020,dmID,0)),""))</f>
        <v/>
      </c>
      <c r="BX1020" s="78">
        <f>IFERROR(INDEX(dmInclude,MATCH($C1020,dmID,0)),0)</f>
        <v/>
      </c>
      <c r="BY1020" s="78">
        <f>IF(N($I1020)&gt;0,1,0)</f>
        <v/>
      </c>
      <c r="BZ1020" s="76">
        <f>IF($AJ1020="","Other / Leased Fee",IFERROR(INDEX(mapPTGroup,MATCH(LEFT(TRIM($AJ1020),2),mapPTCode,0)),"Other / Leased Fee"))</f>
        <v/>
      </c>
      <c r="CA1020" s="76">
        <f>IF(TRIM($AF1020&amp;"")="","NR",LEFT(TRIM($AF1020),2))</f>
        <v/>
      </c>
      <c r="CB1020" s="76">
        <f>IFERROR(LOOKUP(2,1/(LEFT(TRIM($AI1020&amp;""),LEN(mapRegion))=mapRegion),mapRegion),"Not Reported")</f>
        <v/>
      </c>
      <c r="CC1020" s="76">
        <f>IF($BY1020=0,"",IF(TRIM($W1020&amp;"")="REO","REO",IF(TRIM($W1020&amp;"")="FC","Foreclosure",IF(TRIM($W1020&amp;"")="90+","90+ Days Delinquent",IF(TRIM($W1020&amp;"")="60","60 Days Delinquent",IF(TRIM($W1020&amp;"")="30","30 Days Delinquent",IF($X1020="Non-Performing Matured Balloon","Non-Performing Matured Balloon",IF(OR($X1020="Late Payment But Less Than 30 Days Delinquent",LEFT($X1020&amp;"",20)="Payment Not Received"),"Late / In Grace (&lt;30 Days)",IF($X1020="Performing Matured Balloon","Performing Matured Balloon","Current")))))))))</f>
        <v/>
      </c>
      <c r="CD1020" s="78">
        <f>IF(OR($CC1020="REO",$CC1020="Foreclosure",$CC1020="90+ Days Delinquent",$CC1020="60 Days Delinquent",$CC1020="30 Days Delinquent",$CC1020="Non-Performing Matured Balloon"),1,0)</f>
        <v/>
      </c>
      <c r="CE1020" s="76">
        <f>IF($AB1020="Currently special serv","Currently Specially Serviced",IF($AB1020="Returned to master serv","Previously Specially Serviced","Never Specially Serviced"))</f>
        <v/>
      </c>
      <c r="CF1020" s="78">
        <f>IF($CE1020="Currently Specially Serviced",1,0)</f>
        <v/>
      </c>
      <c r="CG1020" s="76">
        <f>IF($AA1020="Yes","Currently on Watchlist",IF($AA1020="Previously","Previously on Watchlist","Never on Watchlist"))</f>
        <v/>
      </c>
      <c r="CH1020" s="78">
        <f>IF($CG1020="Currently on Watchlist",1,0)</f>
        <v/>
      </c>
      <c r="CI1020" s="76">
        <f>IF($Z1020="Full Defeasance","Fully Defeased",IF($Z1020="Portion Of Loan Previously Defeased","Partially Defeased",IF($Z1020="Defeasance Not Allowable","Not Defeased (Not Permitted)","Not Defeased")))</f>
        <v/>
      </c>
      <c r="CJ1020" s="78">
        <f>IF($CI1020="Fully Defeased",1,0)</f>
        <v/>
      </c>
      <c r="CK1020" s="76">
        <f>IF($R1020="IO","Full IO",IF(LEFT($R1020&amp;"",7)="IO then","Partial IO","Amortizing"))</f>
        <v/>
      </c>
      <c r="CL1020" s="78">
        <f>IF($CK1020="Full IO",1,0)</f>
        <v/>
      </c>
      <c r="CM1020" s="78">
        <f>IF($CK1020="Partial IO",1,0)</f>
        <v/>
      </c>
      <c r="CN1020" s="76">
        <f>IF(LEFT($F1020&amp;"",10)="SPLIT_LOAN","Pari Passu Split","Standalone")</f>
        <v/>
      </c>
      <c r="CO1020" s="78">
        <f>IF($CN1020="Pari Passu Split",1,0)</f>
        <v/>
      </c>
      <c r="CP1020" s="77">
        <f>IF(ISNUMBER($T1020),YEAR($T1020),"")</f>
        <v/>
      </c>
      <c r="CQ1020" s="79">
        <f>IF(ISNUMBER($V1020),$V1020,IF(ISNUMBER($U1020),$U1020,""))</f>
        <v/>
      </c>
      <c r="CR1020" s="77">
        <f>IF(ISNUMBER($CQ1020),YEAR($CQ1020),"")</f>
        <v/>
      </c>
      <c r="CS1020" s="78">
        <f>IF(ISNUMBER($M1020),MAX(0,$M1020),IF(TRIM($M1020&amp;"")="matured",0,""))</f>
        <v/>
      </c>
      <c r="CT1020" s="78">
        <f>IF(AND(ISNUMBER($CS1020),N($CS1020)&lt;=mMatWindow),1,0)</f>
        <v/>
      </c>
      <c r="CU1020" s="80">
        <f>IF(ISNUMBER($J1020),$J1020/100,"")</f>
        <v/>
      </c>
      <c r="CV1020" s="81">
        <f>IF(ISNUMBER($AQ1020),$AQ1020,"")</f>
        <v/>
      </c>
      <c r="CW1020" s="81">
        <f>IF(ISNUMBER($AR1020),$AR1020,"")</f>
        <v/>
      </c>
      <c r="CX1020" s="82">
        <f>IF(ISNUMBER($AS1020),$AS1020/100,"")</f>
        <v/>
      </c>
      <c r="CY1020" s="82">
        <f>IF(ISNUMBER($AT1020),$AT1020/100,"")</f>
        <v/>
      </c>
      <c r="CZ1020" s="82">
        <f>IF(ISNUMBER($AU1020),$AU1020/100,"")</f>
        <v/>
      </c>
      <c r="DA1020" s="82">
        <f>IF(ISNUMBER($AV1020),$AV1020/100,"")</f>
        <v/>
      </c>
      <c r="DB1020" s="82">
        <f>IF(ISNUMBER($AW1020),$AW1020/100,"")</f>
        <v/>
      </c>
      <c r="DC1020" s="82">
        <f>IF(ISNUMBER($AX1020),$AX1020/100,"")</f>
        <v/>
      </c>
      <c r="DD1020" s="77">
        <f>IFERROR(VALUE(LEFT(TRIM($AO1020&amp;""),4)),"")</f>
        <v/>
      </c>
      <c r="DE1020" s="78">
        <f>IF(AND($BY1020=1,$BX1020=1,OR(fDeal="All Deals",$BU1020=fDeal),OR(fEntity="All Entities",$BV1020=fEntity),OR(fPType="All Property Types",$BZ1020=fPType),OR(fDefeased="Include",$CJ1020=0)),1,0)</f>
        <v/>
      </c>
      <c r="DF1020" s="83">
        <f>$DE1020*N($I1020)</f>
        <v/>
      </c>
      <c r="DG1020" s="78">
        <f>IF($DE1020=1,IF(COUNTIFS($F$8:$F1020,$F1020,$DE$8:$DE1020,1)=1,1,0),0)</f>
        <v/>
      </c>
      <c r="DH1020" s="83">
        <f>IF($DG1020=1,SUMIFS($DF$8:$DF$1600,$F$8:$F$1600,$F1020),0)</f>
        <v/>
      </c>
      <c r="DI1020" s="78">
        <f>IF($DG1020=1,COUNTIFS($F$8:$F$1600,$F1020,$DE$8:$DE$1600,1),0)</f>
        <v/>
      </c>
      <c r="DJ1020" s="84">
        <f>IF($DG1020=1,$DH1020+(100000-ROW())/mTieBreak,0)</f>
        <v/>
      </c>
    </row>
    <row r="1021">
      <c r="B1021" s="68" t="n">
        <v>18</v>
      </c>
      <c r="C1021" s="69" t="inlineStr">
        <is>
          <t>MSB17C33</t>
        </is>
      </c>
      <c r="D1021" s="69" t="inlineStr">
        <is>
          <t>18.000</t>
        </is>
      </c>
      <c r="E1021" s="69" t="inlineStr">
        <is>
          <t>Shoppes at New Tampa</t>
        </is>
      </c>
      <c r="F1021" s="69" t="inlineStr">
        <is>
          <t>LNMSB17C33-18.000</t>
        </is>
      </c>
      <c r="G1021" s="70" t="n"/>
      <c r="H1021" s="71" t="n">
        <v>13100000</v>
      </c>
      <c r="I1021" s="71" t="n">
        <v>11715676.4200025</v>
      </c>
      <c r="J1021" s="72" t="n">
        <v>4.88</v>
      </c>
      <c r="K1021" s="69" t="inlineStr">
        <is>
          <t>Fixed rate</t>
        </is>
      </c>
      <c r="L1021" s="68" t="n">
        <v>120</v>
      </c>
      <c r="M1021" s="68" t="n">
        <v>7</v>
      </c>
      <c r="N1021" s="68" t="n">
        <v>396</v>
      </c>
      <c r="O1021" s="68" t="n">
        <v>36</v>
      </c>
      <c r="P1021" s="68" t="n">
        <v>0</v>
      </c>
      <c r="Q1021" s="68" t="n">
        <v>113</v>
      </c>
      <c r="R1021" s="69" t="inlineStr">
        <is>
          <t>IO then Amort</t>
        </is>
      </c>
      <c r="S1021" s="69" t="inlineStr">
        <is>
          <t>No</t>
        </is>
      </c>
      <c r="T1021" s="73" t="n">
        <v>42826</v>
      </c>
      <c r="U1021" s="73" t="n">
        <v>46478</v>
      </c>
      <c r="V1021" s="73" t="n"/>
      <c r="W1021" s="69" t="n"/>
      <c r="X1021" s="69" t="inlineStr">
        <is>
          <t>Current</t>
        </is>
      </c>
      <c r="Y1021" s="68" t="n"/>
      <c r="Z1021" s="69" t="inlineStr">
        <is>
          <t>No Defeasance Occurred</t>
        </is>
      </c>
      <c r="AA1021" s="69" t="inlineStr">
        <is>
          <t>Previously</t>
        </is>
      </c>
      <c r="AB1021" s="69" t="inlineStr">
        <is>
          <t>Never special serv</t>
        </is>
      </c>
      <c r="AC1021" s="73" t="n"/>
      <c r="AD1021" s="69" t="n"/>
      <c r="AE1021" s="69" t="n"/>
      <c r="AF1021" s="69" t="inlineStr">
        <is>
          <t>FL</t>
        </is>
      </c>
      <c r="AG1021" s="69" t="inlineStr">
        <is>
          <t>Wesley Chapel</t>
        </is>
      </c>
      <c r="AH1021" s="69" t="inlineStr">
        <is>
          <t>Tampa-St. Petersburg-Clearwater, FL</t>
        </is>
      </c>
      <c r="AI1021" s="69" t="inlineStr">
        <is>
          <t>South / Atlantic</t>
        </is>
      </c>
      <c r="AJ1021" s="69" t="inlineStr">
        <is>
          <t>RT</t>
        </is>
      </c>
      <c r="AK1021" s="69" t="inlineStr">
        <is>
          <t>Anchored</t>
        </is>
      </c>
      <c r="AL1021" s="68" t="n">
        <v>1</v>
      </c>
      <c r="AM1021" s="68" t="n"/>
      <c r="AN1021" s="68" t="n">
        <v>68314</v>
      </c>
      <c r="AO1021" s="69" t="inlineStr">
        <is>
          <t>2006</t>
        </is>
      </c>
      <c r="AP1021" s="70" t="n">
        <v>2006</v>
      </c>
      <c r="AQ1021" s="74" t="n">
        <v>1.64</v>
      </c>
      <c r="AR1021" s="74" t="n">
        <v>1.81</v>
      </c>
      <c r="AS1021" s="74" t="n">
        <v>63</v>
      </c>
      <c r="AT1021" s="74" t="n">
        <v>56.33</v>
      </c>
      <c r="AU1021" s="74" t="n">
        <v>55.7</v>
      </c>
      <c r="AV1021" s="74" t="n">
        <v>10.422480916</v>
      </c>
      <c r="AW1021" s="74" t="n">
        <v>13.092738268</v>
      </c>
      <c r="AX1021" s="75" t="n">
        <v>100</v>
      </c>
      <c r="AY1021" s="71" t="n">
        <v>20800000</v>
      </c>
      <c r="AZ1021" s="71" t="n">
        <v>20800000</v>
      </c>
      <c r="BA1021" s="71" t="n">
        <v>1365345</v>
      </c>
      <c r="BB1021" s="71" t="n">
        <v>754511.4300000001</v>
      </c>
      <c r="BC1021" s="69" t="inlineStr">
        <is>
          <t>Refinance</t>
        </is>
      </c>
      <c r="BD1021" s="69" t="inlineStr">
        <is>
          <t>N</t>
        </is>
      </c>
      <c r="BE1021" s="71" t="n"/>
      <c r="BF1021" s="71" t="n"/>
      <c r="BG1021" s="71" t="n"/>
      <c r="BH1021" s="71" t="n">
        <v>0</v>
      </c>
      <c r="BI1021" s="71" t="n">
        <v>0</v>
      </c>
      <c r="BJ1021" s="69" t="inlineStr">
        <is>
          <t>N</t>
        </is>
      </c>
      <c r="BK1021" s="69" t="inlineStr">
        <is>
          <t>Office Depot</t>
        </is>
      </c>
      <c r="BL1021" s="75" t="n">
        <v>29.77</v>
      </c>
      <c r="BM1021" s="73" t="n">
        <v>48152</v>
      </c>
      <c r="BN1021" s="69" t="inlineStr">
        <is>
          <t>Vahik Babaian</t>
        </is>
      </c>
      <c r="BO1021" s="69" t="inlineStr">
        <is>
          <t>Bank of America</t>
        </is>
      </c>
      <c r="BP1021" s="69" t="inlineStr">
        <is>
          <t>TriMont Real Estate Advisors</t>
        </is>
      </c>
      <c r="BQ1021" s="69" t="inlineStr">
        <is>
          <t>Midland Loan Services</t>
        </is>
      </c>
      <c r="BR1021" s="69" t="n"/>
      <c r="BS1021" s="73" t="n">
        <v>46276</v>
      </c>
      <c r="BU1021" s="76">
        <f>IF($C1021="","",IFERROR(INDEX(dmName,MATCH($C1021,dmID,0)),"Unmapped"))</f>
        <v/>
      </c>
      <c r="BV1021" s="76">
        <f>IF($C1021="","",IFERROR(INDEX(dmEntity,MATCH($C1021,dmID,0)),"Unmapped"))</f>
        <v/>
      </c>
      <c r="BW1021" s="77">
        <f>IF($C1021="","",IFERROR(INDEX(dmVintage,MATCH($C1021,dmID,0)),""))</f>
        <v/>
      </c>
      <c r="BX1021" s="78">
        <f>IFERROR(INDEX(dmInclude,MATCH($C1021,dmID,0)),0)</f>
        <v/>
      </c>
      <c r="BY1021" s="78">
        <f>IF(N($I1021)&gt;0,1,0)</f>
        <v/>
      </c>
      <c r="BZ1021" s="76">
        <f>IF($AJ1021="","Other / Leased Fee",IFERROR(INDEX(mapPTGroup,MATCH(LEFT(TRIM($AJ1021),2),mapPTCode,0)),"Other / Leased Fee"))</f>
        <v/>
      </c>
      <c r="CA1021" s="76">
        <f>IF(TRIM($AF1021&amp;"")="","NR",LEFT(TRIM($AF1021),2))</f>
        <v/>
      </c>
      <c r="CB1021" s="76">
        <f>IFERROR(LOOKUP(2,1/(LEFT(TRIM($AI1021&amp;""),LEN(mapRegion))=mapRegion),mapRegion),"Not Reported")</f>
        <v/>
      </c>
      <c r="CC1021" s="76">
        <f>IF($BY1021=0,"",IF(TRIM($W1021&amp;"")="REO","REO",IF(TRIM($W1021&amp;"")="FC","Foreclosure",IF(TRIM($W1021&amp;"")="90+","90+ Days Delinquent",IF(TRIM($W1021&amp;"")="60","60 Days Delinquent",IF(TRIM($W1021&amp;"")="30","30 Days Delinquent",IF($X1021="Non-Performing Matured Balloon","Non-Performing Matured Balloon",IF(OR($X1021="Late Payment But Less Than 30 Days Delinquent",LEFT($X1021&amp;"",20)="Payment Not Received"),"Late / In Grace (&lt;30 Days)",IF($X1021="Performing Matured Balloon","Performing Matured Balloon","Current")))))))))</f>
        <v/>
      </c>
      <c r="CD1021" s="78">
        <f>IF(OR($CC1021="REO",$CC1021="Foreclosure",$CC1021="90+ Days Delinquent",$CC1021="60 Days Delinquent",$CC1021="30 Days Delinquent",$CC1021="Non-Performing Matured Balloon"),1,0)</f>
        <v/>
      </c>
      <c r="CE1021" s="76">
        <f>IF($AB1021="Currently special serv","Currently Specially Serviced",IF($AB1021="Returned to master serv","Previously Specially Serviced","Never Specially Serviced"))</f>
        <v/>
      </c>
      <c r="CF1021" s="78">
        <f>IF($CE1021="Currently Specially Serviced",1,0)</f>
        <v/>
      </c>
      <c r="CG1021" s="76">
        <f>IF($AA1021="Yes","Currently on Watchlist",IF($AA1021="Previously","Previously on Watchlist","Never on Watchlist"))</f>
        <v/>
      </c>
      <c r="CH1021" s="78">
        <f>IF($CG1021="Currently on Watchlist",1,0)</f>
        <v/>
      </c>
      <c r="CI1021" s="76">
        <f>IF($Z1021="Full Defeasance","Fully Defeased",IF($Z1021="Portion Of Loan Previously Defeased","Partially Defeased",IF($Z1021="Defeasance Not Allowable","Not Defeased (Not Permitted)","Not Defeased")))</f>
        <v/>
      </c>
      <c r="CJ1021" s="78">
        <f>IF($CI1021="Fully Defeased",1,0)</f>
        <v/>
      </c>
      <c r="CK1021" s="76">
        <f>IF($R1021="IO","Full IO",IF(LEFT($R1021&amp;"",7)="IO then","Partial IO","Amortizing"))</f>
        <v/>
      </c>
      <c r="CL1021" s="78">
        <f>IF($CK1021="Full IO",1,0)</f>
        <v/>
      </c>
      <c r="CM1021" s="78">
        <f>IF($CK1021="Partial IO",1,0)</f>
        <v/>
      </c>
      <c r="CN1021" s="76">
        <f>IF(LEFT($F1021&amp;"",10)="SPLIT_LOAN","Pari Passu Split","Standalone")</f>
        <v/>
      </c>
      <c r="CO1021" s="78">
        <f>IF($CN1021="Pari Passu Split",1,0)</f>
        <v/>
      </c>
      <c r="CP1021" s="77">
        <f>IF(ISNUMBER($T1021),YEAR($T1021),"")</f>
        <v/>
      </c>
      <c r="CQ1021" s="79">
        <f>IF(ISNUMBER($V1021),$V1021,IF(ISNUMBER($U1021),$U1021,""))</f>
        <v/>
      </c>
      <c r="CR1021" s="77">
        <f>IF(ISNUMBER($CQ1021),YEAR($CQ1021),"")</f>
        <v/>
      </c>
      <c r="CS1021" s="78">
        <f>IF(ISNUMBER($M1021),MAX(0,$M1021),IF(TRIM($M1021&amp;"")="matured",0,""))</f>
        <v/>
      </c>
      <c r="CT1021" s="78">
        <f>IF(AND(ISNUMBER($CS1021),N($CS1021)&lt;=mMatWindow),1,0)</f>
        <v/>
      </c>
      <c r="CU1021" s="80">
        <f>IF(ISNUMBER($J1021),$J1021/100,"")</f>
        <v/>
      </c>
      <c r="CV1021" s="81">
        <f>IF(ISNUMBER($AQ1021),$AQ1021,"")</f>
        <v/>
      </c>
      <c r="CW1021" s="81">
        <f>IF(ISNUMBER($AR1021),$AR1021,"")</f>
        <v/>
      </c>
      <c r="CX1021" s="82">
        <f>IF(ISNUMBER($AS1021),$AS1021/100,"")</f>
        <v/>
      </c>
      <c r="CY1021" s="82">
        <f>IF(ISNUMBER($AT1021),$AT1021/100,"")</f>
        <v/>
      </c>
      <c r="CZ1021" s="82">
        <f>IF(ISNUMBER($AU1021),$AU1021/100,"")</f>
        <v/>
      </c>
      <c r="DA1021" s="82">
        <f>IF(ISNUMBER($AV1021),$AV1021/100,"")</f>
        <v/>
      </c>
      <c r="DB1021" s="82">
        <f>IF(ISNUMBER($AW1021),$AW1021/100,"")</f>
        <v/>
      </c>
      <c r="DC1021" s="82">
        <f>IF(ISNUMBER($AX1021),$AX1021/100,"")</f>
        <v/>
      </c>
      <c r="DD1021" s="77">
        <f>IFERROR(VALUE(LEFT(TRIM($AO1021&amp;""),4)),"")</f>
        <v/>
      </c>
      <c r="DE1021" s="78">
        <f>IF(AND($BY1021=1,$BX1021=1,OR(fDeal="All Deals",$BU1021=fDeal),OR(fEntity="All Entities",$BV1021=fEntity),OR(fPType="All Property Types",$BZ1021=fPType),OR(fDefeased="Include",$CJ1021=0)),1,0)</f>
        <v/>
      </c>
      <c r="DF1021" s="83">
        <f>$DE1021*N($I1021)</f>
        <v/>
      </c>
      <c r="DG1021" s="78">
        <f>IF($DE1021=1,IF(COUNTIFS($F$8:$F1021,$F1021,$DE$8:$DE1021,1)=1,1,0),0)</f>
        <v/>
      </c>
      <c r="DH1021" s="83">
        <f>IF($DG1021=1,SUMIFS($DF$8:$DF$1600,$F$8:$F$1600,$F1021),0)</f>
        <v/>
      </c>
      <c r="DI1021" s="78">
        <f>IF($DG1021=1,COUNTIFS($F$8:$F$1600,$F1021,$DE$8:$DE$1600,1),0)</f>
        <v/>
      </c>
      <c r="DJ1021" s="84">
        <f>IF($DG1021=1,$DH1021+(100000-ROW())/mTieBreak,0)</f>
        <v/>
      </c>
    </row>
    <row r="1022">
      <c r="B1022" s="68" t="n">
        <v>19</v>
      </c>
      <c r="C1022" s="69" t="inlineStr">
        <is>
          <t>MSB17C33</t>
        </is>
      </c>
      <c r="D1022" s="69" t="inlineStr">
        <is>
          <t>19.000</t>
        </is>
      </c>
      <c r="E1022" s="69" t="inlineStr">
        <is>
          <t>MVP Midwest Portfolio</t>
        </is>
      </c>
      <c r="F1022" s="69" t="inlineStr">
        <is>
          <t>LNMSB17C33-19.000</t>
        </is>
      </c>
      <c r="G1022" s="70" t="n"/>
      <c r="H1022" s="71" t="n">
        <v>12700000</v>
      </c>
      <c r="I1022" s="71" t="n">
        <v>10490673.0100014</v>
      </c>
      <c r="J1022" s="72" t="n">
        <v>4.9</v>
      </c>
      <c r="K1022" s="69" t="inlineStr">
        <is>
          <t>Fixed rate</t>
        </is>
      </c>
      <c r="L1022" s="68" t="n">
        <v>120</v>
      </c>
      <c r="M1022" s="68" t="n">
        <v>8</v>
      </c>
      <c r="N1022" s="68" t="n">
        <v>324</v>
      </c>
      <c r="O1022" s="68" t="n">
        <v>24</v>
      </c>
      <c r="P1022" s="68" t="n">
        <v>0</v>
      </c>
      <c r="Q1022" s="68" t="n">
        <v>112</v>
      </c>
      <c r="R1022" s="69" t="inlineStr">
        <is>
          <t>IO then Amort</t>
        </is>
      </c>
      <c r="S1022" s="69" t="inlineStr">
        <is>
          <t>No</t>
        </is>
      </c>
      <c r="T1022" s="73" t="n">
        <v>42856</v>
      </c>
      <c r="U1022" s="73" t="n">
        <v>46508</v>
      </c>
      <c r="V1022" s="73" t="n"/>
      <c r="W1022" s="69" t="n"/>
      <c r="X1022" s="69" t="inlineStr">
        <is>
          <t>Current</t>
        </is>
      </c>
      <c r="Y1022" s="68" t="n"/>
      <c r="Z1022" s="69" t="inlineStr">
        <is>
          <t>Full Defeasance</t>
        </is>
      </c>
      <c r="AA1022" s="69" t="inlineStr">
        <is>
          <t>Previously</t>
        </is>
      </c>
      <c r="AB1022" s="69" t="inlineStr">
        <is>
          <t>Never special serv</t>
        </is>
      </c>
      <c r="AC1022" s="73" t="n"/>
      <c r="AD1022" s="69" t="n"/>
      <c r="AE1022" s="69" t="n"/>
      <c r="AF1022" s="69" t="inlineStr">
        <is>
          <t>MN-32.533729947% OH-31.484260006% WI-16.866570015% MO-10.869570025% CO-8.245870006%</t>
        </is>
      </c>
      <c r="AG1022" s="69" t="n"/>
      <c r="AH1022" s="69" t="inlineStr">
        <is>
          <t>Minneapolis-St. Paul-Bloomington, MN-WI-32.533729947% Cleveland, OH-31.484260006% Milwaukee-Waukesha, WI-16.866570015% St. Louis, MO-IL-10.869570025% Denver-Aurora-Centennial, CO-8.245870006%</t>
        </is>
      </c>
      <c r="AI1022" s="69" t="inlineStr">
        <is>
          <t>Midwest / Central East-48.350830021% Midwest / Central West-43.403299972% West / Mountain-8.245870006%</t>
        </is>
      </c>
      <c r="AJ1022" s="69" t="inlineStr">
        <is>
          <t>OT</t>
        </is>
      </c>
      <c r="AK1022" s="69" t="n"/>
      <c r="AL1022" s="68" t="n">
        <v>6</v>
      </c>
      <c r="AM1022" s="68" t="n"/>
      <c r="AN1022" s="68" t="n">
        <v>470339</v>
      </c>
      <c r="AO1022" s="69" t="n"/>
      <c r="AP1022" s="70" t="n">
        <v>2005</v>
      </c>
      <c r="AQ1022" s="74" t="n">
        <v>1.36</v>
      </c>
      <c r="AR1022" s="74" t="n">
        <v>1.76</v>
      </c>
      <c r="AS1022" s="74" t="n">
        <v>47.6</v>
      </c>
      <c r="AT1022" s="74" t="n">
        <v>39.32</v>
      </c>
      <c r="AU1022" s="74" t="n">
        <v>38.52</v>
      </c>
      <c r="AV1022" s="74" t="n">
        <v>9.464440945</v>
      </c>
      <c r="AW1022" s="74" t="n">
        <v>14.829830255</v>
      </c>
      <c r="AX1022" s="75" t="n">
        <v>90</v>
      </c>
      <c r="AY1022" s="71" t="n">
        <v>26680000</v>
      </c>
      <c r="AZ1022" s="71" t="n">
        <v>26680000</v>
      </c>
      <c r="BA1022" s="71" t="n">
        <v>1201984</v>
      </c>
      <c r="BB1022" s="71" t="n">
        <v>1555749</v>
      </c>
      <c r="BC1022" s="69" t="inlineStr">
        <is>
          <t>Refinance</t>
        </is>
      </c>
      <c r="BD1022" s="69" t="inlineStr">
        <is>
          <t>N</t>
        </is>
      </c>
      <c r="BE1022" s="71" t="n"/>
      <c r="BF1022" s="71" t="n"/>
      <c r="BG1022" s="71" t="n"/>
      <c r="BH1022" s="71" t="n">
        <v>0</v>
      </c>
      <c r="BI1022" s="71" t="n">
        <v>0</v>
      </c>
      <c r="BJ1022" s="69" t="inlineStr">
        <is>
          <t>N</t>
        </is>
      </c>
      <c r="BK1022" s="69" t="inlineStr">
        <is>
          <t>SP+</t>
        </is>
      </c>
      <c r="BL1022" s="75" t="n">
        <v>25.19</v>
      </c>
      <c r="BM1022" s="73" t="n">
        <v>44408</v>
      </c>
      <c r="BN1022" s="69" t="inlineStr">
        <is>
          <t>MVP REIT I; MVP REIT II</t>
        </is>
      </c>
      <c r="BO1022" s="69" t="inlineStr">
        <is>
          <t>KeyBank</t>
        </is>
      </c>
      <c r="BP1022" s="69" t="inlineStr">
        <is>
          <t>TriMont Real Estate Advisors</t>
        </is>
      </c>
      <c r="BQ1022" s="69" t="inlineStr">
        <is>
          <t>Midland Loan Services</t>
        </is>
      </c>
      <c r="BR1022" s="69" t="n"/>
      <c r="BS1022" s="73" t="n">
        <v>46276</v>
      </c>
      <c r="BU1022" s="76">
        <f>IF($C1022="","",IFERROR(INDEX(dmName,MATCH($C1022,dmID,0)),"Unmapped"))</f>
        <v/>
      </c>
      <c r="BV1022" s="76">
        <f>IF($C1022="","",IFERROR(INDEX(dmEntity,MATCH($C1022,dmID,0)),"Unmapped"))</f>
        <v/>
      </c>
      <c r="BW1022" s="77">
        <f>IF($C1022="","",IFERROR(INDEX(dmVintage,MATCH($C1022,dmID,0)),""))</f>
        <v/>
      </c>
      <c r="BX1022" s="78">
        <f>IFERROR(INDEX(dmInclude,MATCH($C1022,dmID,0)),0)</f>
        <v/>
      </c>
      <c r="BY1022" s="78">
        <f>IF(N($I1022)&gt;0,1,0)</f>
        <v/>
      </c>
      <c r="BZ1022" s="76">
        <f>IF($AJ1022="","Other / Leased Fee",IFERROR(INDEX(mapPTGroup,MATCH(LEFT(TRIM($AJ1022),2),mapPTCode,0)),"Other / Leased Fee"))</f>
        <v/>
      </c>
      <c r="CA1022" s="76">
        <f>IF(TRIM($AF1022&amp;"")="","NR",LEFT(TRIM($AF1022),2))</f>
        <v/>
      </c>
      <c r="CB1022" s="76">
        <f>IFERROR(LOOKUP(2,1/(LEFT(TRIM($AI1022&amp;""),LEN(mapRegion))=mapRegion),mapRegion),"Not Reported")</f>
        <v/>
      </c>
      <c r="CC1022" s="76">
        <f>IF($BY1022=0,"",IF(TRIM($W1022&amp;"")="REO","REO",IF(TRIM($W1022&amp;"")="FC","Foreclosure",IF(TRIM($W1022&amp;"")="90+","90+ Days Delinquent",IF(TRIM($W1022&amp;"")="60","60 Days Delinquent",IF(TRIM($W1022&amp;"")="30","30 Days Delinquent",IF($X1022="Non-Performing Matured Balloon","Non-Performing Matured Balloon",IF(OR($X1022="Late Payment But Less Than 30 Days Delinquent",LEFT($X1022&amp;"",20)="Payment Not Received"),"Late / In Grace (&lt;30 Days)",IF($X1022="Performing Matured Balloon","Performing Matured Balloon","Current")))))))))</f>
        <v/>
      </c>
      <c r="CD1022" s="78">
        <f>IF(OR($CC1022="REO",$CC1022="Foreclosure",$CC1022="90+ Days Delinquent",$CC1022="60 Days Delinquent",$CC1022="30 Days Delinquent",$CC1022="Non-Performing Matured Balloon"),1,0)</f>
        <v/>
      </c>
      <c r="CE1022" s="76">
        <f>IF($AB1022="Currently special serv","Currently Specially Serviced",IF($AB1022="Returned to master serv","Previously Specially Serviced","Never Specially Serviced"))</f>
        <v/>
      </c>
      <c r="CF1022" s="78">
        <f>IF($CE1022="Currently Specially Serviced",1,0)</f>
        <v/>
      </c>
      <c r="CG1022" s="76">
        <f>IF($AA1022="Yes","Currently on Watchlist",IF($AA1022="Previously","Previously on Watchlist","Never on Watchlist"))</f>
        <v/>
      </c>
      <c r="CH1022" s="78">
        <f>IF($CG1022="Currently on Watchlist",1,0)</f>
        <v/>
      </c>
      <c r="CI1022" s="76">
        <f>IF($Z1022="Full Defeasance","Fully Defeased",IF($Z1022="Portion Of Loan Previously Defeased","Partially Defeased",IF($Z1022="Defeasance Not Allowable","Not Defeased (Not Permitted)","Not Defeased")))</f>
        <v/>
      </c>
      <c r="CJ1022" s="78">
        <f>IF($CI1022="Fully Defeased",1,0)</f>
        <v/>
      </c>
      <c r="CK1022" s="76">
        <f>IF($R1022="IO","Full IO",IF(LEFT($R1022&amp;"",7)="IO then","Partial IO","Amortizing"))</f>
        <v/>
      </c>
      <c r="CL1022" s="78">
        <f>IF($CK1022="Full IO",1,0)</f>
        <v/>
      </c>
      <c r="CM1022" s="78">
        <f>IF($CK1022="Partial IO",1,0)</f>
        <v/>
      </c>
      <c r="CN1022" s="76">
        <f>IF(LEFT($F1022&amp;"",10)="SPLIT_LOAN","Pari Passu Split","Standalone")</f>
        <v/>
      </c>
      <c r="CO1022" s="78">
        <f>IF($CN1022="Pari Passu Split",1,0)</f>
        <v/>
      </c>
      <c r="CP1022" s="77">
        <f>IF(ISNUMBER($T1022),YEAR($T1022),"")</f>
        <v/>
      </c>
      <c r="CQ1022" s="79">
        <f>IF(ISNUMBER($V1022),$V1022,IF(ISNUMBER($U1022),$U1022,""))</f>
        <v/>
      </c>
      <c r="CR1022" s="77">
        <f>IF(ISNUMBER($CQ1022),YEAR($CQ1022),"")</f>
        <v/>
      </c>
      <c r="CS1022" s="78">
        <f>IF(ISNUMBER($M1022),MAX(0,$M1022),IF(TRIM($M1022&amp;"")="matured",0,""))</f>
        <v/>
      </c>
      <c r="CT1022" s="78">
        <f>IF(AND(ISNUMBER($CS1022),N($CS1022)&lt;=mMatWindow),1,0)</f>
        <v/>
      </c>
      <c r="CU1022" s="80">
        <f>IF(ISNUMBER($J1022),$J1022/100,"")</f>
        <v/>
      </c>
      <c r="CV1022" s="81">
        <f>IF(ISNUMBER($AQ1022),$AQ1022,"")</f>
        <v/>
      </c>
      <c r="CW1022" s="81">
        <f>IF(ISNUMBER($AR1022),$AR1022,"")</f>
        <v/>
      </c>
      <c r="CX1022" s="82">
        <f>IF(ISNUMBER($AS1022),$AS1022/100,"")</f>
        <v/>
      </c>
      <c r="CY1022" s="82">
        <f>IF(ISNUMBER($AT1022),$AT1022/100,"")</f>
        <v/>
      </c>
      <c r="CZ1022" s="82">
        <f>IF(ISNUMBER($AU1022),$AU1022/100,"")</f>
        <v/>
      </c>
      <c r="DA1022" s="82">
        <f>IF(ISNUMBER($AV1022),$AV1022/100,"")</f>
        <v/>
      </c>
      <c r="DB1022" s="82">
        <f>IF(ISNUMBER($AW1022),$AW1022/100,"")</f>
        <v/>
      </c>
      <c r="DC1022" s="82">
        <f>IF(ISNUMBER($AX1022),$AX1022/100,"")</f>
        <v/>
      </c>
      <c r="DD1022" s="77">
        <f>IFERROR(VALUE(LEFT(TRIM($AO1022&amp;""),4)),"")</f>
        <v/>
      </c>
      <c r="DE1022" s="78">
        <f>IF(AND($BY1022=1,$BX1022=1,OR(fDeal="All Deals",$BU1022=fDeal),OR(fEntity="All Entities",$BV1022=fEntity),OR(fPType="All Property Types",$BZ1022=fPType),OR(fDefeased="Include",$CJ1022=0)),1,0)</f>
        <v/>
      </c>
      <c r="DF1022" s="83">
        <f>$DE1022*N($I1022)</f>
        <v/>
      </c>
      <c r="DG1022" s="78">
        <f>IF($DE1022=1,IF(COUNTIFS($F$8:$F1022,$F1022,$DE$8:$DE1022,1)=1,1,0),0)</f>
        <v/>
      </c>
      <c r="DH1022" s="83">
        <f>IF($DG1022=1,SUMIFS($DF$8:$DF$1600,$F$8:$F$1600,$F1022),0)</f>
        <v/>
      </c>
      <c r="DI1022" s="78">
        <f>IF($DG1022=1,COUNTIFS($F$8:$F$1600,$F1022,$DE$8:$DE$1600,1),0)</f>
        <v/>
      </c>
      <c r="DJ1022" s="84">
        <f>IF($DG1022=1,$DH1022+(100000-ROW())/mTieBreak,0)</f>
        <v/>
      </c>
    </row>
    <row r="1023">
      <c r="B1023" s="68" t="n">
        <v>20</v>
      </c>
      <c r="C1023" s="69" t="inlineStr">
        <is>
          <t>MSB17C33</t>
        </is>
      </c>
      <c r="D1023" s="69" t="inlineStr">
        <is>
          <t>20.000</t>
        </is>
      </c>
      <c r="E1023" s="69" t="inlineStr">
        <is>
          <t>Canyon Creek Shopping Center</t>
        </is>
      </c>
      <c r="F1023" s="69" t="inlineStr">
        <is>
          <t>LNMSB17C33-20.000</t>
        </is>
      </c>
      <c r="G1023" s="70" t="n"/>
      <c r="H1023" s="71" t="n">
        <v>12700000</v>
      </c>
      <c r="I1023" s="71" t="n">
        <v>9563672.620000303</v>
      </c>
      <c r="J1023" s="72" t="n">
        <v>4.499</v>
      </c>
      <c r="K1023" s="69" t="inlineStr">
        <is>
          <t>Fixed rate</t>
        </is>
      </c>
      <c r="L1023" s="68" t="n">
        <v>120</v>
      </c>
      <c r="M1023" s="68" t="n">
        <v>7</v>
      </c>
      <c r="N1023" s="68" t="n">
        <v>300</v>
      </c>
      <c r="O1023" s="68" t="n"/>
      <c r="P1023" s="68" t="n"/>
      <c r="Q1023" s="68" t="n">
        <v>113</v>
      </c>
      <c r="R1023" s="69" t="n"/>
      <c r="S1023" s="69" t="inlineStr">
        <is>
          <t>No</t>
        </is>
      </c>
      <c r="T1023" s="73" t="n">
        <v>42826</v>
      </c>
      <c r="U1023" s="73" t="n">
        <v>46478</v>
      </c>
      <c r="V1023" s="73" t="n"/>
      <c r="W1023" s="69" t="n"/>
      <c r="X1023" s="69" t="inlineStr">
        <is>
          <t>Current</t>
        </is>
      </c>
      <c r="Y1023" s="68" t="n"/>
      <c r="Z1023" s="69" t="inlineStr">
        <is>
          <t>No Defeasance Occurred</t>
        </is>
      </c>
      <c r="AA1023" s="69" t="inlineStr">
        <is>
          <t>Previously</t>
        </is>
      </c>
      <c r="AB1023" s="69" t="inlineStr">
        <is>
          <t>Never special serv</t>
        </is>
      </c>
      <c r="AC1023" s="73" t="n"/>
      <c r="AD1023" s="69" t="n"/>
      <c r="AE1023" s="69" t="n"/>
      <c r="AF1023" s="69" t="inlineStr">
        <is>
          <t>TX</t>
        </is>
      </c>
      <c r="AG1023" s="69" t="inlineStr">
        <is>
          <t>Richardson</t>
        </is>
      </c>
      <c r="AH1023" s="69" t="inlineStr">
        <is>
          <t>Dallas-Fort Worth-Arlington, TX</t>
        </is>
      </c>
      <c r="AI1023" s="69" t="inlineStr">
        <is>
          <t>South / Central West</t>
        </is>
      </c>
      <c r="AJ1023" s="69" t="inlineStr">
        <is>
          <t>RT</t>
        </is>
      </c>
      <c r="AK1023" s="69" t="inlineStr">
        <is>
          <t>Unanchored</t>
        </is>
      </c>
      <c r="AL1023" s="68" t="n">
        <v>1</v>
      </c>
      <c r="AM1023" s="68" t="n"/>
      <c r="AN1023" s="68" t="n">
        <v>63827</v>
      </c>
      <c r="AO1023" s="69" t="inlineStr">
        <is>
          <t>1979</t>
        </is>
      </c>
      <c r="AP1023" s="70" t="n">
        <v>1984</v>
      </c>
      <c r="AQ1023" s="74" t="n">
        <v>1.48</v>
      </c>
      <c r="AR1023" s="74" t="n">
        <v>2.39</v>
      </c>
      <c r="AS1023" s="74" t="n">
        <v>60.4</v>
      </c>
      <c r="AT1023" s="74" t="n">
        <v>45.54</v>
      </c>
      <c r="AU1023" s="74" t="n">
        <v>44.5</v>
      </c>
      <c r="AV1023" s="74" t="n">
        <v>9.844404252</v>
      </c>
      <c r="AW1023" s="74" t="n">
        <v>19.701500405</v>
      </c>
      <c r="AX1023" s="75" t="n">
        <v>97</v>
      </c>
      <c r="AY1023" s="71" t="n">
        <v>21000000</v>
      </c>
      <c r="AZ1023" s="71" t="n">
        <v>21000000</v>
      </c>
      <c r="BA1023" s="71" t="n">
        <v>1250239.34</v>
      </c>
      <c r="BB1023" s="71" t="n">
        <v>1013515.5</v>
      </c>
      <c r="BC1023" s="69" t="inlineStr">
        <is>
          <t>Refinance</t>
        </is>
      </c>
      <c r="BD1023" s="69" t="inlineStr">
        <is>
          <t>N</t>
        </is>
      </c>
      <c r="BE1023" s="71" t="n"/>
      <c r="BF1023" s="71" t="n"/>
      <c r="BG1023" s="71" t="n"/>
      <c r="BH1023" s="71" t="n">
        <v>0</v>
      </c>
      <c r="BI1023" s="71" t="n">
        <v>0</v>
      </c>
      <c r="BJ1023" s="69" t="inlineStr">
        <is>
          <t>N</t>
        </is>
      </c>
      <c r="BK1023" s="69" t="inlineStr">
        <is>
          <t>First Watch Restaurant</t>
        </is>
      </c>
      <c r="BL1023" s="75" t="n">
        <v>7.69</v>
      </c>
      <c r="BM1023" s="73" t="n">
        <v>47542</v>
      </c>
      <c r="BN1023" s="69" t="inlineStr">
        <is>
          <t>Ari Joshua Feinstein</t>
        </is>
      </c>
      <c r="BO1023" s="69" t="inlineStr">
        <is>
          <t>Morgan Stanley</t>
        </is>
      </c>
      <c r="BP1023" s="69" t="inlineStr">
        <is>
          <t>TriMont Real Estate Advisors</t>
        </is>
      </c>
      <c r="BQ1023" s="69" t="inlineStr">
        <is>
          <t>Midland Loan Services</t>
        </is>
      </c>
      <c r="BR1023" s="69" t="n"/>
      <c r="BS1023" s="73" t="n">
        <v>46276</v>
      </c>
      <c r="BU1023" s="76">
        <f>IF($C1023="","",IFERROR(INDEX(dmName,MATCH($C1023,dmID,0)),"Unmapped"))</f>
        <v/>
      </c>
      <c r="BV1023" s="76">
        <f>IF($C1023="","",IFERROR(INDEX(dmEntity,MATCH($C1023,dmID,0)),"Unmapped"))</f>
        <v/>
      </c>
      <c r="BW1023" s="77">
        <f>IF($C1023="","",IFERROR(INDEX(dmVintage,MATCH($C1023,dmID,0)),""))</f>
        <v/>
      </c>
      <c r="BX1023" s="78">
        <f>IFERROR(INDEX(dmInclude,MATCH($C1023,dmID,0)),0)</f>
        <v/>
      </c>
      <c r="BY1023" s="78">
        <f>IF(N($I1023)&gt;0,1,0)</f>
        <v/>
      </c>
      <c r="BZ1023" s="76">
        <f>IF($AJ1023="","Other / Leased Fee",IFERROR(INDEX(mapPTGroup,MATCH(LEFT(TRIM($AJ1023),2),mapPTCode,0)),"Other / Leased Fee"))</f>
        <v/>
      </c>
      <c r="CA1023" s="76">
        <f>IF(TRIM($AF1023&amp;"")="","NR",LEFT(TRIM($AF1023),2))</f>
        <v/>
      </c>
      <c r="CB1023" s="76">
        <f>IFERROR(LOOKUP(2,1/(LEFT(TRIM($AI1023&amp;""),LEN(mapRegion))=mapRegion),mapRegion),"Not Reported")</f>
        <v/>
      </c>
      <c r="CC1023" s="76">
        <f>IF($BY1023=0,"",IF(TRIM($W1023&amp;"")="REO","REO",IF(TRIM($W1023&amp;"")="FC","Foreclosure",IF(TRIM($W1023&amp;"")="90+","90+ Days Delinquent",IF(TRIM($W1023&amp;"")="60","60 Days Delinquent",IF(TRIM($W1023&amp;"")="30","30 Days Delinquent",IF($X1023="Non-Performing Matured Balloon","Non-Performing Matured Balloon",IF(OR($X1023="Late Payment But Less Than 30 Days Delinquent",LEFT($X1023&amp;"",20)="Payment Not Received"),"Late / In Grace (&lt;30 Days)",IF($X1023="Performing Matured Balloon","Performing Matured Balloon","Current")))))))))</f>
        <v/>
      </c>
      <c r="CD1023" s="78">
        <f>IF(OR($CC1023="REO",$CC1023="Foreclosure",$CC1023="90+ Days Delinquent",$CC1023="60 Days Delinquent",$CC1023="30 Days Delinquent",$CC1023="Non-Performing Matured Balloon"),1,0)</f>
        <v/>
      </c>
      <c r="CE1023" s="76">
        <f>IF($AB1023="Currently special serv","Currently Specially Serviced",IF($AB1023="Returned to master serv","Previously Specially Serviced","Never Specially Serviced"))</f>
        <v/>
      </c>
      <c r="CF1023" s="78">
        <f>IF($CE1023="Currently Specially Serviced",1,0)</f>
        <v/>
      </c>
      <c r="CG1023" s="76">
        <f>IF($AA1023="Yes","Currently on Watchlist",IF($AA1023="Previously","Previously on Watchlist","Never on Watchlist"))</f>
        <v/>
      </c>
      <c r="CH1023" s="78">
        <f>IF($CG1023="Currently on Watchlist",1,0)</f>
        <v/>
      </c>
      <c r="CI1023" s="76">
        <f>IF($Z1023="Full Defeasance","Fully Defeased",IF($Z1023="Portion Of Loan Previously Defeased","Partially Defeased",IF($Z1023="Defeasance Not Allowable","Not Defeased (Not Permitted)","Not Defeased")))</f>
        <v/>
      </c>
      <c r="CJ1023" s="78">
        <f>IF($CI1023="Fully Defeased",1,0)</f>
        <v/>
      </c>
      <c r="CK1023" s="76">
        <f>IF($R1023="IO","Full IO",IF(LEFT($R1023&amp;"",7)="IO then","Partial IO","Amortizing"))</f>
        <v/>
      </c>
      <c r="CL1023" s="78">
        <f>IF($CK1023="Full IO",1,0)</f>
        <v/>
      </c>
      <c r="CM1023" s="78">
        <f>IF($CK1023="Partial IO",1,0)</f>
        <v/>
      </c>
      <c r="CN1023" s="76">
        <f>IF(LEFT($F1023&amp;"",10)="SPLIT_LOAN","Pari Passu Split","Standalone")</f>
        <v/>
      </c>
      <c r="CO1023" s="78">
        <f>IF($CN1023="Pari Passu Split",1,0)</f>
        <v/>
      </c>
      <c r="CP1023" s="77">
        <f>IF(ISNUMBER($T1023),YEAR($T1023),"")</f>
        <v/>
      </c>
      <c r="CQ1023" s="79">
        <f>IF(ISNUMBER($V1023),$V1023,IF(ISNUMBER($U1023),$U1023,""))</f>
        <v/>
      </c>
      <c r="CR1023" s="77">
        <f>IF(ISNUMBER($CQ1023),YEAR($CQ1023),"")</f>
        <v/>
      </c>
      <c r="CS1023" s="78">
        <f>IF(ISNUMBER($M1023),MAX(0,$M1023),IF(TRIM($M1023&amp;"")="matured",0,""))</f>
        <v/>
      </c>
      <c r="CT1023" s="78">
        <f>IF(AND(ISNUMBER($CS1023),N($CS1023)&lt;=mMatWindow),1,0)</f>
        <v/>
      </c>
      <c r="CU1023" s="80">
        <f>IF(ISNUMBER($J1023),$J1023/100,"")</f>
        <v/>
      </c>
      <c r="CV1023" s="81">
        <f>IF(ISNUMBER($AQ1023),$AQ1023,"")</f>
        <v/>
      </c>
      <c r="CW1023" s="81">
        <f>IF(ISNUMBER($AR1023),$AR1023,"")</f>
        <v/>
      </c>
      <c r="CX1023" s="82">
        <f>IF(ISNUMBER($AS1023),$AS1023/100,"")</f>
        <v/>
      </c>
      <c r="CY1023" s="82">
        <f>IF(ISNUMBER($AT1023),$AT1023/100,"")</f>
        <v/>
      </c>
      <c r="CZ1023" s="82">
        <f>IF(ISNUMBER($AU1023),$AU1023/100,"")</f>
        <v/>
      </c>
      <c r="DA1023" s="82">
        <f>IF(ISNUMBER($AV1023),$AV1023/100,"")</f>
        <v/>
      </c>
      <c r="DB1023" s="82">
        <f>IF(ISNUMBER($AW1023),$AW1023/100,"")</f>
        <v/>
      </c>
      <c r="DC1023" s="82">
        <f>IF(ISNUMBER($AX1023),$AX1023/100,"")</f>
        <v/>
      </c>
      <c r="DD1023" s="77">
        <f>IFERROR(VALUE(LEFT(TRIM($AO1023&amp;""),4)),"")</f>
        <v/>
      </c>
      <c r="DE1023" s="78">
        <f>IF(AND($BY1023=1,$BX1023=1,OR(fDeal="All Deals",$BU1023=fDeal),OR(fEntity="All Entities",$BV1023=fEntity),OR(fPType="All Property Types",$BZ1023=fPType),OR(fDefeased="Include",$CJ1023=0)),1,0)</f>
        <v/>
      </c>
      <c r="DF1023" s="83">
        <f>$DE1023*N($I1023)</f>
        <v/>
      </c>
      <c r="DG1023" s="78">
        <f>IF($DE1023=1,IF(COUNTIFS($F$8:$F1023,$F1023,$DE$8:$DE1023,1)=1,1,0),0)</f>
        <v/>
      </c>
      <c r="DH1023" s="83">
        <f>IF($DG1023=1,SUMIFS($DF$8:$DF$1600,$F$8:$F$1600,$F1023),0)</f>
        <v/>
      </c>
      <c r="DI1023" s="78">
        <f>IF($DG1023=1,COUNTIFS($F$8:$F$1600,$F1023,$DE$8:$DE$1600,1),0)</f>
        <v/>
      </c>
      <c r="DJ1023" s="84">
        <f>IF($DG1023=1,$DH1023+(100000-ROW())/mTieBreak,0)</f>
        <v/>
      </c>
    </row>
    <row r="1024">
      <c r="B1024" s="68" t="n">
        <v>21</v>
      </c>
      <c r="C1024" s="69" t="inlineStr">
        <is>
          <t>MSB17C33</t>
        </is>
      </c>
      <c r="D1024" s="69" t="inlineStr">
        <is>
          <t>21.000</t>
        </is>
      </c>
      <c r="E1024" s="69" t="inlineStr">
        <is>
          <t>Thunderbird Beltway</t>
        </is>
      </c>
      <c r="F1024" s="69" t="inlineStr">
        <is>
          <t>LNMSB17C33-21.000</t>
        </is>
      </c>
      <c r="G1024" s="70" t="n"/>
      <c r="H1024" s="71" t="n">
        <v>12350000</v>
      </c>
      <c r="I1024" s="71" t="n">
        <v>11241980.17999485</v>
      </c>
      <c r="J1024" s="72" t="n">
        <v>4.59</v>
      </c>
      <c r="K1024" s="69" t="inlineStr">
        <is>
          <t>Fixed rate</t>
        </is>
      </c>
      <c r="L1024" s="68" t="n">
        <v>120</v>
      </c>
      <c r="M1024" s="68" t="n">
        <v>8</v>
      </c>
      <c r="N1024" s="68" t="n">
        <v>408</v>
      </c>
      <c r="O1024" s="68" t="n">
        <v>48</v>
      </c>
      <c r="P1024" s="68" t="n">
        <v>0</v>
      </c>
      <c r="Q1024" s="68" t="n">
        <v>112</v>
      </c>
      <c r="R1024" s="69" t="inlineStr">
        <is>
          <t>IO then Amort</t>
        </is>
      </c>
      <c r="S1024" s="69" t="inlineStr">
        <is>
          <t>No</t>
        </is>
      </c>
      <c r="T1024" s="73" t="n">
        <v>42856</v>
      </c>
      <c r="U1024" s="73" t="n">
        <v>46508</v>
      </c>
      <c r="V1024" s="73" t="n"/>
      <c r="W1024" s="69" t="n"/>
      <c r="X1024" s="69" t="inlineStr">
        <is>
          <t>Current</t>
        </is>
      </c>
      <c r="Y1024" s="68" t="n"/>
      <c r="Z1024" s="69" t="inlineStr">
        <is>
          <t>No Defeasance Occurred</t>
        </is>
      </c>
      <c r="AA1024" s="69" t="n"/>
      <c r="AB1024" s="69" t="inlineStr">
        <is>
          <t>Never special serv</t>
        </is>
      </c>
      <c r="AC1024" s="73" t="n"/>
      <c r="AD1024" s="69" t="n"/>
      <c r="AE1024" s="69" t="n"/>
      <c r="AF1024" s="69" t="inlineStr">
        <is>
          <t>AZ</t>
        </is>
      </c>
      <c r="AG1024" s="69" t="inlineStr">
        <is>
          <t>Peoria</t>
        </is>
      </c>
      <c r="AH1024" s="69" t="inlineStr">
        <is>
          <t>Phoenix-Mesa-Chandler, AZ</t>
        </is>
      </c>
      <c r="AI1024" s="69" t="inlineStr">
        <is>
          <t>West / Mountain</t>
        </is>
      </c>
      <c r="AJ1024" s="69" t="inlineStr">
        <is>
          <t>RT</t>
        </is>
      </c>
      <c r="AK1024" s="69" t="inlineStr">
        <is>
          <t>Anchored</t>
        </is>
      </c>
      <c r="AL1024" s="68" t="n">
        <v>1</v>
      </c>
      <c r="AM1024" s="68" t="n"/>
      <c r="AN1024" s="68" t="n">
        <v>68700</v>
      </c>
      <c r="AO1024" s="69" t="inlineStr">
        <is>
          <t>2005</t>
        </is>
      </c>
      <c r="AP1024" s="70" t="n">
        <v>2005</v>
      </c>
      <c r="AQ1024" s="74" t="n">
        <v>1.47</v>
      </c>
      <c r="AR1024" s="74" t="n">
        <v>1.81</v>
      </c>
      <c r="AS1024" s="74" t="n">
        <v>69</v>
      </c>
      <c r="AT1024" s="74" t="n">
        <v>62.8</v>
      </c>
      <c r="AU1024" s="74" t="n">
        <v>62</v>
      </c>
      <c r="AV1024" s="74" t="n">
        <v>9.012000162</v>
      </c>
      <c r="AW1024" s="74" t="n">
        <v>10.968912863</v>
      </c>
      <c r="AX1024" s="75" t="n">
        <v>95</v>
      </c>
      <c r="AY1024" s="71" t="n">
        <v>17900000</v>
      </c>
      <c r="AZ1024" s="71" t="n">
        <v>17900000</v>
      </c>
      <c r="BA1024" s="71" t="n">
        <v>1112982.02</v>
      </c>
      <c r="BB1024" s="71" t="n">
        <v>684867.83</v>
      </c>
      <c r="BC1024" s="69" t="inlineStr">
        <is>
          <t>Refinance</t>
        </is>
      </c>
      <c r="BD1024" s="69" t="inlineStr">
        <is>
          <t>N</t>
        </is>
      </c>
      <c r="BE1024" s="71" t="n"/>
      <c r="BF1024" s="71" t="n"/>
      <c r="BG1024" s="71" t="n"/>
      <c r="BH1024" s="71" t="n">
        <v>0</v>
      </c>
      <c r="BI1024" s="71" t="n">
        <v>0</v>
      </c>
      <c r="BJ1024" s="69" t="inlineStr">
        <is>
          <t>N</t>
        </is>
      </c>
      <c r="BK1024" s="69" t="inlineStr">
        <is>
          <t>Fitness Alliance  LLC</t>
        </is>
      </c>
      <c r="BL1024" s="75" t="n">
        <v>43.09</v>
      </c>
      <c r="BM1024" s="73" t="n">
        <v>49626</v>
      </c>
      <c r="BN1024" s="69" t="inlineStr">
        <is>
          <t>West Valley Properties</t>
        </is>
      </c>
      <c r="BO1024" s="69" t="inlineStr">
        <is>
          <t>Bank of America</t>
        </is>
      </c>
      <c r="BP1024" s="69" t="inlineStr">
        <is>
          <t>TriMont Real Estate Advisors</t>
        </is>
      </c>
      <c r="BQ1024" s="69" t="inlineStr">
        <is>
          <t>Midland Loan Services</t>
        </is>
      </c>
      <c r="BR1024" s="69" t="n"/>
      <c r="BS1024" s="73" t="n">
        <v>46276</v>
      </c>
      <c r="BU1024" s="76">
        <f>IF($C1024="","",IFERROR(INDEX(dmName,MATCH($C1024,dmID,0)),"Unmapped"))</f>
        <v/>
      </c>
      <c r="BV1024" s="76">
        <f>IF($C1024="","",IFERROR(INDEX(dmEntity,MATCH($C1024,dmID,0)),"Unmapped"))</f>
        <v/>
      </c>
      <c r="BW1024" s="77">
        <f>IF($C1024="","",IFERROR(INDEX(dmVintage,MATCH($C1024,dmID,0)),""))</f>
        <v/>
      </c>
      <c r="BX1024" s="78">
        <f>IFERROR(INDEX(dmInclude,MATCH($C1024,dmID,0)),0)</f>
        <v/>
      </c>
      <c r="BY1024" s="78">
        <f>IF(N($I1024)&gt;0,1,0)</f>
        <v/>
      </c>
      <c r="BZ1024" s="76">
        <f>IF($AJ1024="","Other / Leased Fee",IFERROR(INDEX(mapPTGroup,MATCH(LEFT(TRIM($AJ1024),2),mapPTCode,0)),"Other / Leased Fee"))</f>
        <v/>
      </c>
      <c r="CA1024" s="76">
        <f>IF(TRIM($AF1024&amp;"")="","NR",LEFT(TRIM($AF1024),2))</f>
        <v/>
      </c>
      <c r="CB1024" s="76">
        <f>IFERROR(LOOKUP(2,1/(LEFT(TRIM($AI1024&amp;""),LEN(mapRegion))=mapRegion),mapRegion),"Not Reported")</f>
        <v/>
      </c>
      <c r="CC1024" s="76">
        <f>IF($BY1024=0,"",IF(TRIM($W1024&amp;"")="REO","REO",IF(TRIM($W1024&amp;"")="FC","Foreclosure",IF(TRIM($W1024&amp;"")="90+","90+ Days Delinquent",IF(TRIM($W1024&amp;"")="60","60 Days Delinquent",IF(TRIM($W1024&amp;"")="30","30 Days Delinquent",IF($X1024="Non-Performing Matured Balloon","Non-Performing Matured Balloon",IF(OR($X1024="Late Payment But Less Than 30 Days Delinquent",LEFT($X1024&amp;"",20)="Payment Not Received"),"Late / In Grace (&lt;30 Days)",IF($X1024="Performing Matured Balloon","Performing Matured Balloon","Current")))))))))</f>
        <v/>
      </c>
      <c r="CD1024" s="78">
        <f>IF(OR($CC1024="REO",$CC1024="Foreclosure",$CC1024="90+ Days Delinquent",$CC1024="60 Days Delinquent",$CC1024="30 Days Delinquent",$CC1024="Non-Performing Matured Balloon"),1,0)</f>
        <v/>
      </c>
      <c r="CE1024" s="76">
        <f>IF($AB1024="Currently special serv","Currently Specially Serviced",IF($AB1024="Returned to master serv","Previously Specially Serviced","Never Specially Serviced"))</f>
        <v/>
      </c>
      <c r="CF1024" s="78">
        <f>IF($CE1024="Currently Specially Serviced",1,0)</f>
        <v/>
      </c>
      <c r="CG1024" s="76">
        <f>IF($AA1024="Yes","Currently on Watchlist",IF($AA1024="Previously","Previously on Watchlist","Never on Watchlist"))</f>
        <v/>
      </c>
      <c r="CH1024" s="78">
        <f>IF($CG1024="Currently on Watchlist",1,0)</f>
        <v/>
      </c>
      <c r="CI1024" s="76">
        <f>IF($Z1024="Full Defeasance","Fully Defeased",IF($Z1024="Portion Of Loan Previously Defeased","Partially Defeased",IF($Z1024="Defeasance Not Allowable","Not Defeased (Not Permitted)","Not Defeased")))</f>
        <v/>
      </c>
      <c r="CJ1024" s="78">
        <f>IF($CI1024="Fully Defeased",1,0)</f>
        <v/>
      </c>
      <c r="CK1024" s="76">
        <f>IF($R1024="IO","Full IO",IF(LEFT($R1024&amp;"",7)="IO then","Partial IO","Amortizing"))</f>
        <v/>
      </c>
      <c r="CL1024" s="78">
        <f>IF($CK1024="Full IO",1,0)</f>
        <v/>
      </c>
      <c r="CM1024" s="78">
        <f>IF($CK1024="Partial IO",1,0)</f>
        <v/>
      </c>
      <c r="CN1024" s="76">
        <f>IF(LEFT($F1024&amp;"",10)="SPLIT_LOAN","Pari Passu Split","Standalone")</f>
        <v/>
      </c>
      <c r="CO1024" s="78">
        <f>IF($CN1024="Pari Passu Split",1,0)</f>
        <v/>
      </c>
      <c r="CP1024" s="77">
        <f>IF(ISNUMBER($T1024),YEAR($T1024),"")</f>
        <v/>
      </c>
      <c r="CQ1024" s="79">
        <f>IF(ISNUMBER($V1024),$V1024,IF(ISNUMBER($U1024),$U1024,""))</f>
        <v/>
      </c>
      <c r="CR1024" s="77">
        <f>IF(ISNUMBER($CQ1024),YEAR($CQ1024),"")</f>
        <v/>
      </c>
      <c r="CS1024" s="78">
        <f>IF(ISNUMBER($M1024),MAX(0,$M1024),IF(TRIM($M1024&amp;"")="matured",0,""))</f>
        <v/>
      </c>
      <c r="CT1024" s="78">
        <f>IF(AND(ISNUMBER($CS1024),N($CS1024)&lt;=mMatWindow),1,0)</f>
        <v/>
      </c>
      <c r="CU1024" s="80">
        <f>IF(ISNUMBER($J1024),$J1024/100,"")</f>
        <v/>
      </c>
      <c r="CV1024" s="81">
        <f>IF(ISNUMBER($AQ1024),$AQ1024,"")</f>
        <v/>
      </c>
      <c r="CW1024" s="81">
        <f>IF(ISNUMBER($AR1024),$AR1024,"")</f>
        <v/>
      </c>
      <c r="CX1024" s="82">
        <f>IF(ISNUMBER($AS1024),$AS1024/100,"")</f>
        <v/>
      </c>
      <c r="CY1024" s="82">
        <f>IF(ISNUMBER($AT1024),$AT1024/100,"")</f>
        <v/>
      </c>
      <c r="CZ1024" s="82">
        <f>IF(ISNUMBER($AU1024),$AU1024/100,"")</f>
        <v/>
      </c>
      <c r="DA1024" s="82">
        <f>IF(ISNUMBER($AV1024),$AV1024/100,"")</f>
        <v/>
      </c>
      <c r="DB1024" s="82">
        <f>IF(ISNUMBER($AW1024),$AW1024/100,"")</f>
        <v/>
      </c>
      <c r="DC1024" s="82">
        <f>IF(ISNUMBER($AX1024),$AX1024/100,"")</f>
        <v/>
      </c>
      <c r="DD1024" s="77">
        <f>IFERROR(VALUE(LEFT(TRIM($AO1024&amp;""),4)),"")</f>
        <v/>
      </c>
      <c r="DE1024" s="78">
        <f>IF(AND($BY1024=1,$BX1024=1,OR(fDeal="All Deals",$BU1024=fDeal),OR(fEntity="All Entities",$BV1024=fEntity),OR(fPType="All Property Types",$BZ1024=fPType),OR(fDefeased="Include",$CJ1024=0)),1,0)</f>
        <v/>
      </c>
      <c r="DF1024" s="83">
        <f>$DE1024*N($I1024)</f>
        <v/>
      </c>
      <c r="DG1024" s="78">
        <f>IF($DE1024=1,IF(COUNTIFS($F$8:$F1024,$F1024,$DE$8:$DE1024,1)=1,1,0),0)</f>
        <v/>
      </c>
      <c r="DH1024" s="83">
        <f>IF($DG1024=1,SUMIFS($DF$8:$DF$1600,$F$8:$F$1600,$F1024),0)</f>
        <v/>
      </c>
      <c r="DI1024" s="78">
        <f>IF($DG1024=1,COUNTIFS($F$8:$F$1600,$F1024,$DE$8:$DE$1600,1),0)</f>
        <v/>
      </c>
      <c r="DJ1024" s="84">
        <f>IF($DG1024=1,$DH1024+(100000-ROW())/mTieBreak,0)</f>
        <v/>
      </c>
    </row>
    <row r="1025">
      <c r="B1025" s="68" t="n">
        <v>22</v>
      </c>
      <c r="C1025" s="69" t="inlineStr">
        <is>
          <t>MSB17C33</t>
        </is>
      </c>
      <c r="D1025" s="69" t="inlineStr">
        <is>
          <t>22.000</t>
        </is>
      </c>
      <c r="E1025" s="69" t="inlineStr">
        <is>
          <t>Home2Suites Nashville Airport</t>
        </is>
      </c>
      <c r="F1025" s="69" t="inlineStr">
        <is>
          <t>LNMSB17C33-22.000</t>
        </is>
      </c>
      <c r="G1025" s="70" t="n"/>
      <c r="H1025" s="71" t="n">
        <v>11700000</v>
      </c>
      <c r="I1025" s="71" t="n">
        <v>0</v>
      </c>
      <c r="J1025" s="72" t="n">
        <v>4.65</v>
      </c>
      <c r="K1025" s="69" t="inlineStr">
        <is>
          <t>Fixed rate</t>
        </is>
      </c>
      <c r="L1025" s="68" t="n">
        <v>120</v>
      </c>
      <c r="M1025" s="68" t="n"/>
      <c r="N1025" s="68" t="n">
        <v>300</v>
      </c>
      <c r="O1025" s="68" t="n"/>
      <c r="P1025" s="68" t="n"/>
      <c r="Q1025" s="68" t="n"/>
      <c r="R1025" s="69" t="n"/>
      <c r="S1025" s="69" t="inlineStr">
        <is>
          <t>No</t>
        </is>
      </c>
      <c r="T1025" s="73" t="n">
        <v>42675</v>
      </c>
      <c r="U1025" s="73" t="n">
        <v>46327</v>
      </c>
      <c r="V1025" s="73" t="n"/>
      <c r="W1025" s="69" t="n"/>
      <c r="X1025" s="69" t="inlineStr">
        <is>
          <t>Current</t>
        </is>
      </c>
      <c r="Y1025" s="68" t="n"/>
      <c r="Z1025" s="69" t="inlineStr">
        <is>
          <t>Full Defeasance</t>
        </is>
      </c>
      <c r="AA1025" s="69" t="inlineStr">
        <is>
          <t>Previously</t>
        </is>
      </c>
      <c r="AB1025" s="69" t="inlineStr">
        <is>
          <t>Never special serv</t>
        </is>
      </c>
      <c r="AC1025" s="73" t="n"/>
      <c r="AD1025" s="69" t="n"/>
      <c r="AE1025" s="69" t="n"/>
      <c r="AF1025" s="69" t="inlineStr">
        <is>
          <t>TN</t>
        </is>
      </c>
      <c r="AG1025" s="69" t="inlineStr">
        <is>
          <t>Nashville</t>
        </is>
      </c>
      <c r="AH1025" s="69" t="inlineStr">
        <is>
          <t>Nashville-Davidson--Murfreesboro--Franklin, TN</t>
        </is>
      </c>
      <c r="AI1025" s="69" t="inlineStr">
        <is>
          <t>South / Central East</t>
        </is>
      </c>
      <c r="AJ1025" s="69" t="inlineStr">
        <is>
          <t>HT</t>
        </is>
      </c>
      <c r="AK1025" s="69" t="inlineStr">
        <is>
          <t>Extended Stay</t>
        </is>
      </c>
      <c r="AL1025" s="68" t="n">
        <v>1</v>
      </c>
      <c r="AM1025" s="68" t="n">
        <v>105</v>
      </c>
      <c r="AN1025" s="68" t="n"/>
      <c r="AO1025" s="69" t="inlineStr">
        <is>
          <t>2013</t>
        </is>
      </c>
      <c r="AP1025" s="70" t="n">
        <v>2013</v>
      </c>
      <c r="AQ1025" s="74" t="n">
        <v>2.08</v>
      </c>
      <c r="AR1025" s="74" t="n">
        <v>1.36</v>
      </c>
      <c r="AS1025" s="74" t="n">
        <v>63.96</v>
      </c>
      <c r="AT1025" s="74" t="n"/>
      <c r="AU1025" s="74" t="n">
        <v>47.87</v>
      </c>
      <c r="AV1025" s="74" t="n">
        <v>14.118846154</v>
      </c>
      <c r="AW1025" s="74" t="n"/>
      <c r="AX1025" s="75" t="n">
        <v>81</v>
      </c>
      <c r="AY1025" s="71" t="n">
        <v>18100000</v>
      </c>
      <c r="AZ1025" s="71" t="n">
        <v>18100000</v>
      </c>
      <c r="BA1025" s="71" t="n">
        <v>1651905</v>
      </c>
      <c r="BB1025" s="71" t="n">
        <v>1074058</v>
      </c>
      <c r="BC1025" s="69" t="inlineStr">
        <is>
          <t>Acquisition</t>
        </is>
      </c>
      <c r="BD1025" s="69" t="inlineStr">
        <is>
          <t>N</t>
        </is>
      </c>
      <c r="BE1025" s="71" t="n"/>
      <c r="BF1025" s="71" t="n"/>
      <c r="BG1025" s="71" t="n"/>
      <c r="BH1025" s="71" t="n">
        <v>0</v>
      </c>
      <c r="BI1025" s="71" t="n">
        <v>0</v>
      </c>
      <c r="BJ1025" s="69" t="inlineStr">
        <is>
          <t>N</t>
        </is>
      </c>
      <c r="BK1025" s="69" t="n"/>
      <c r="BL1025" s="75" t="n"/>
      <c r="BM1025" s="73" t="n"/>
      <c r="BN1025" s="69" t="inlineStr">
        <is>
          <t>HRC Hotels, LLC</t>
        </is>
      </c>
      <c r="BO1025" s="69" t="inlineStr">
        <is>
          <t>KeyBank</t>
        </is>
      </c>
      <c r="BP1025" s="69" t="inlineStr">
        <is>
          <t>TriMont Real Estate Advisors</t>
        </is>
      </c>
      <c r="BQ1025" s="69" t="inlineStr">
        <is>
          <t>Midland Loan Services</t>
        </is>
      </c>
      <c r="BR1025" s="69" t="inlineStr">
        <is>
          <t>Payoff Prior To Maturity</t>
        </is>
      </c>
      <c r="BS1025" s="73" t="n">
        <v>46276</v>
      </c>
      <c r="BU1025" s="76">
        <f>IF($C1025="","",IFERROR(INDEX(dmName,MATCH($C1025,dmID,0)),"Unmapped"))</f>
        <v/>
      </c>
      <c r="BV1025" s="76">
        <f>IF($C1025="","",IFERROR(INDEX(dmEntity,MATCH($C1025,dmID,0)),"Unmapped"))</f>
        <v/>
      </c>
      <c r="BW1025" s="77">
        <f>IF($C1025="","",IFERROR(INDEX(dmVintage,MATCH($C1025,dmID,0)),""))</f>
        <v/>
      </c>
      <c r="BX1025" s="78">
        <f>IFERROR(INDEX(dmInclude,MATCH($C1025,dmID,0)),0)</f>
        <v/>
      </c>
      <c r="BY1025" s="78">
        <f>IF(N($I1025)&gt;0,1,0)</f>
        <v/>
      </c>
      <c r="BZ1025" s="76">
        <f>IF($AJ1025="","Other / Leased Fee",IFERROR(INDEX(mapPTGroup,MATCH(LEFT(TRIM($AJ1025),2),mapPTCode,0)),"Other / Leased Fee"))</f>
        <v/>
      </c>
      <c r="CA1025" s="76">
        <f>IF(TRIM($AF1025&amp;"")="","NR",LEFT(TRIM($AF1025),2))</f>
        <v/>
      </c>
      <c r="CB1025" s="76">
        <f>IFERROR(LOOKUP(2,1/(LEFT(TRIM($AI1025&amp;""),LEN(mapRegion))=mapRegion),mapRegion),"Not Reported")</f>
        <v/>
      </c>
      <c r="CC1025" s="76">
        <f>IF($BY1025=0,"",IF(TRIM($W1025&amp;"")="REO","REO",IF(TRIM($W1025&amp;"")="FC","Foreclosure",IF(TRIM($W1025&amp;"")="90+","90+ Days Delinquent",IF(TRIM($W1025&amp;"")="60","60 Days Delinquent",IF(TRIM($W1025&amp;"")="30","30 Days Delinquent",IF($X1025="Non-Performing Matured Balloon","Non-Performing Matured Balloon",IF(OR($X1025="Late Payment But Less Than 30 Days Delinquent",LEFT($X1025&amp;"",20)="Payment Not Received"),"Late / In Grace (&lt;30 Days)",IF($X1025="Performing Matured Balloon","Performing Matured Balloon","Current")))))))))</f>
        <v/>
      </c>
      <c r="CD1025" s="78">
        <f>IF(OR($CC1025="REO",$CC1025="Foreclosure",$CC1025="90+ Days Delinquent",$CC1025="60 Days Delinquent",$CC1025="30 Days Delinquent",$CC1025="Non-Performing Matured Balloon"),1,0)</f>
        <v/>
      </c>
      <c r="CE1025" s="76">
        <f>IF($AB1025="Currently special serv","Currently Specially Serviced",IF($AB1025="Returned to master serv","Previously Specially Serviced","Never Specially Serviced"))</f>
        <v/>
      </c>
      <c r="CF1025" s="78">
        <f>IF($CE1025="Currently Specially Serviced",1,0)</f>
        <v/>
      </c>
      <c r="CG1025" s="76">
        <f>IF($AA1025="Yes","Currently on Watchlist",IF($AA1025="Previously","Previously on Watchlist","Never on Watchlist"))</f>
        <v/>
      </c>
      <c r="CH1025" s="78">
        <f>IF($CG1025="Currently on Watchlist",1,0)</f>
        <v/>
      </c>
      <c r="CI1025" s="76">
        <f>IF($Z1025="Full Defeasance","Fully Defeased",IF($Z1025="Portion Of Loan Previously Defeased","Partially Defeased",IF($Z1025="Defeasance Not Allowable","Not Defeased (Not Permitted)","Not Defeased")))</f>
        <v/>
      </c>
      <c r="CJ1025" s="78">
        <f>IF($CI1025="Fully Defeased",1,0)</f>
        <v/>
      </c>
      <c r="CK1025" s="76">
        <f>IF($R1025="IO","Full IO",IF(LEFT($R1025&amp;"",7)="IO then","Partial IO","Amortizing"))</f>
        <v/>
      </c>
      <c r="CL1025" s="78">
        <f>IF($CK1025="Full IO",1,0)</f>
        <v/>
      </c>
      <c r="CM1025" s="78">
        <f>IF($CK1025="Partial IO",1,0)</f>
        <v/>
      </c>
      <c r="CN1025" s="76">
        <f>IF(LEFT($F1025&amp;"",10)="SPLIT_LOAN","Pari Passu Split","Standalone")</f>
        <v/>
      </c>
      <c r="CO1025" s="78">
        <f>IF($CN1025="Pari Passu Split",1,0)</f>
        <v/>
      </c>
      <c r="CP1025" s="77">
        <f>IF(ISNUMBER($T1025),YEAR($T1025),"")</f>
        <v/>
      </c>
      <c r="CQ1025" s="79">
        <f>IF(ISNUMBER($V1025),$V1025,IF(ISNUMBER($U1025),$U1025,""))</f>
        <v/>
      </c>
      <c r="CR1025" s="77">
        <f>IF(ISNUMBER($CQ1025),YEAR($CQ1025),"")</f>
        <v/>
      </c>
      <c r="CS1025" s="78">
        <f>IF(ISNUMBER($M1025),MAX(0,$M1025),IF(TRIM($M1025&amp;"")="matured",0,""))</f>
        <v/>
      </c>
      <c r="CT1025" s="78">
        <f>IF(AND(ISNUMBER($CS1025),N($CS1025)&lt;=mMatWindow),1,0)</f>
        <v/>
      </c>
      <c r="CU1025" s="80">
        <f>IF(ISNUMBER($J1025),$J1025/100,"")</f>
        <v/>
      </c>
      <c r="CV1025" s="81">
        <f>IF(ISNUMBER($AQ1025),$AQ1025,"")</f>
        <v/>
      </c>
      <c r="CW1025" s="81">
        <f>IF(ISNUMBER($AR1025),$AR1025,"")</f>
        <v/>
      </c>
      <c r="CX1025" s="82">
        <f>IF(ISNUMBER($AS1025),$AS1025/100,"")</f>
        <v/>
      </c>
      <c r="CY1025" s="82">
        <f>IF(ISNUMBER($AT1025),$AT1025/100,"")</f>
        <v/>
      </c>
      <c r="CZ1025" s="82">
        <f>IF(ISNUMBER($AU1025),$AU1025/100,"")</f>
        <v/>
      </c>
      <c r="DA1025" s="82">
        <f>IF(ISNUMBER($AV1025),$AV1025/100,"")</f>
        <v/>
      </c>
      <c r="DB1025" s="82">
        <f>IF(ISNUMBER($AW1025),$AW1025/100,"")</f>
        <v/>
      </c>
      <c r="DC1025" s="82">
        <f>IF(ISNUMBER($AX1025),$AX1025/100,"")</f>
        <v/>
      </c>
      <c r="DD1025" s="77">
        <f>IFERROR(VALUE(LEFT(TRIM($AO1025&amp;""),4)),"")</f>
        <v/>
      </c>
      <c r="DE1025" s="78">
        <f>IF(AND($BY1025=1,$BX1025=1,OR(fDeal="All Deals",$BU1025=fDeal),OR(fEntity="All Entities",$BV1025=fEntity),OR(fPType="All Property Types",$BZ1025=fPType),OR(fDefeased="Include",$CJ1025=0)),1,0)</f>
        <v/>
      </c>
      <c r="DF1025" s="83">
        <f>$DE1025*N($I1025)</f>
        <v/>
      </c>
      <c r="DG1025" s="78">
        <f>IF($DE1025=1,IF(COUNTIFS($F$8:$F1025,$F1025,$DE$8:$DE1025,1)=1,1,0),0)</f>
        <v/>
      </c>
      <c r="DH1025" s="83">
        <f>IF($DG1025=1,SUMIFS($DF$8:$DF$1600,$F$8:$F$1600,$F1025),0)</f>
        <v/>
      </c>
      <c r="DI1025" s="78">
        <f>IF($DG1025=1,COUNTIFS($F$8:$F$1600,$F1025,$DE$8:$DE$1600,1),0)</f>
        <v/>
      </c>
      <c r="DJ1025" s="84">
        <f>IF($DG1025=1,$DH1025+(100000-ROW())/mTieBreak,0)</f>
        <v/>
      </c>
    </row>
    <row r="1026">
      <c r="B1026" s="68" t="n">
        <v>23</v>
      </c>
      <c r="C1026" s="69" t="inlineStr">
        <is>
          <t>MSB17C33</t>
        </is>
      </c>
      <c r="D1026" s="69" t="inlineStr">
        <is>
          <t>23.000</t>
        </is>
      </c>
      <c r="E1026" s="69" t="inlineStr">
        <is>
          <t>Quality Inn Denver CO</t>
        </is>
      </c>
      <c r="F1026" s="69" t="inlineStr">
        <is>
          <t>LNMSB17C33-23.000</t>
        </is>
      </c>
      <c r="G1026" s="70" t="n"/>
      <c r="H1026" s="71" t="n">
        <v>11400000</v>
      </c>
      <c r="I1026" s="71" t="n">
        <v>8853318.929997601</v>
      </c>
      <c r="J1026" s="72" t="n">
        <v>5.4</v>
      </c>
      <c r="K1026" s="69" t="inlineStr">
        <is>
          <t>Fixed rate</t>
        </is>
      </c>
      <c r="L1026" s="68" t="n">
        <v>120</v>
      </c>
      <c r="M1026" s="68" t="n">
        <v>7</v>
      </c>
      <c r="N1026" s="68" t="n">
        <v>300</v>
      </c>
      <c r="O1026" s="68" t="n"/>
      <c r="P1026" s="68" t="n"/>
      <c r="Q1026" s="68" t="n">
        <v>113</v>
      </c>
      <c r="R1026" s="69" t="n"/>
      <c r="S1026" s="69" t="inlineStr">
        <is>
          <t>No</t>
        </is>
      </c>
      <c r="T1026" s="73" t="n">
        <v>42826</v>
      </c>
      <c r="U1026" s="73" t="n">
        <v>46478</v>
      </c>
      <c r="V1026" s="73" t="n"/>
      <c r="W1026" s="69" t="n"/>
      <c r="X1026" s="69" t="inlineStr">
        <is>
          <t>Current</t>
        </is>
      </c>
      <c r="Y1026" s="68" t="n"/>
      <c r="Z1026" s="69" t="inlineStr">
        <is>
          <t>Full Defeasance</t>
        </is>
      </c>
      <c r="AA1026" s="69" t="inlineStr">
        <is>
          <t>Previously</t>
        </is>
      </c>
      <c r="AB1026" s="69" t="inlineStr">
        <is>
          <t>Never special serv</t>
        </is>
      </c>
      <c r="AC1026" s="73" t="n"/>
      <c r="AD1026" s="69" t="n"/>
      <c r="AE1026" s="69" t="n"/>
      <c r="AF1026" s="69" t="inlineStr">
        <is>
          <t>CO</t>
        </is>
      </c>
      <c r="AG1026" s="69" t="inlineStr">
        <is>
          <t>Denver</t>
        </is>
      </c>
      <c r="AH1026" s="69" t="inlineStr">
        <is>
          <t>Denver-Aurora-Centennial, CO</t>
        </is>
      </c>
      <c r="AI1026" s="69" t="inlineStr">
        <is>
          <t>West / Mountain</t>
        </is>
      </c>
      <c r="AJ1026" s="69" t="inlineStr">
        <is>
          <t>HT</t>
        </is>
      </c>
      <c r="AK1026" s="69" t="inlineStr">
        <is>
          <t>Full Service</t>
        </is>
      </c>
      <c r="AL1026" s="68" t="n">
        <v>1</v>
      </c>
      <c r="AM1026" s="68" t="n">
        <v>213</v>
      </c>
      <c r="AN1026" s="68" t="n"/>
      <c r="AO1026" s="69" t="inlineStr">
        <is>
          <t>1971</t>
        </is>
      </c>
      <c r="AP1026" s="70" t="n">
        <v>2014</v>
      </c>
      <c r="AQ1026" s="74" t="n">
        <v>1.97</v>
      </c>
      <c r="AR1026" s="74" t="n">
        <v>0.17</v>
      </c>
      <c r="AS1026" s="74" t="n">
        <v>58.4</v>
      </c>
      <c r="AT1026" s="74" t="n">
        <v>45.4</v>
      </c>
      <c r="AU1026" s="74" t="n">
        <v>44.5</v>
      </c>
      <c r="AV1026" s="74" t="n">
        <v>14.365008772</v>
      </c>
      <c r="AW1026" s="74" t="n">
        <v>0.059276527</v>
      </c>
      <c r="AX1026" s="75" t="n">
        <v>52.1</v>
      </c>
      <c r="AY1026" s="71" t="n">
        <v>19500000</v>
      </c>
      <c r="AZ1026" s="71" t="n">
        <v>19500000</v>
      </c>
      <c r="BA1026" s="71" t="n">
        <v>1637611</v>
      </c>
      <c r="BB1026" s="71" t="n">
        <v>140872.64</v>
      </c>
      <c r="BC1026" s="69" t="inlineStr">
        <is>
          <t>Acquisition</t>
        </is>
      </c>
      <c r="BD1026" s="69" t="inlineStr">
        <is>
          <t>N</t>
        </is>
      </c>
      <c r="BE1026" s="71" t="n"/>
      <c r="BF1026" s="71" t="n"/>
      <c r="BG1026" s="71" t="n"/>
      <c r="BH1026" s="71" t="n">
        <v>0</v>
      </c>
      <c r="BI1026" s="71" t="n">
        <v>0</v>
      </c>
      <c r="BJ1026" s="69" t="inlineStr">
        <is>
          <t>N</t>
        </is>
      </c>
      <c r="BK1026" s="69" t="n"/>
      <c r="BL1026" s="75" t="n"/>
      <c r="BM1026" s="73" t="n"/>
      <c r="BN1026" s="69" t="inlineStr">
        <is>
          <t>Christopher S. Stocks</t>
        </is>
      </c>
      <c r="BO1026" s="69" t="inlineStr">
        <is>
          <t>Morgan Stanley</t>
        </is>
      </c>
      <c r="BP1026" s="69" t="inlineStr">
        <is>
          <t>TriMont Real Estate Advisors</t>
        </is>
      </c>
      <c r="BQ1026" s="69" t="inlineStr">
        <is>
          <t>Midland Loan Services</t>
        </is>
      </c>
      <c r="BR1026" s="69" t="n"/>
      <c r="BS1026" s="73" t="n">
        <v>46276</v>
      </c>
      <c r="BU1026" s="76">
        <f>IF($C1026="","",IFERROR(INDEX(dmName,MATCH($C1026,dmID,0)),"Unmapped"))</f>
        <v/>
      </c>
      <c r="BV1026" s="76">
        <f>IF($C1026="","",IFERROR(INDEX(dmEntity,MATCH($C1026,dmID,0)),"Unmapped"))</f>
        <v/>
      </c>
      <c r="BW1026" s="77">
        <f>IF($C1026="","",IFERROR(INDEX(dmVintage,MATCH($C1026,dmID,0)),""))</f>
        <v/>
      </c>
      <c r="BX1026" s="78">
        <f>IFERROR(INDEX(dmInclude,MATCH($C1026,dmID,0)),0)</f>
        <v/>
      </c>
      <c r="BY1026" s="78">
        <f>IF(N($I1026)&gt;0,1,0)</f>
        <v/>
      </c>
      <c r="BZ1026" s="76">
        <f>IF($AJ1026="","Other / Leased Fee",IFERROR(INDEX(mapPTGroup,MATCH(LEFT(TRIM($AJ1026),2),mapPTCode,0)),"Other / Leased Fee"))</f>
        <v/>
      </c>
      <c r="CA1026" s="76">
        <f>IF(TRIM($AF1026&amp;"")="","NR",LEFT(TRIM($AF1026),2))</f>
        <v/>
      </c>
      <c r="CB1026" s="76">
        <f>IFERROR(LOOKUP(2,1/(LEFT(TRIM($AI1026&amp;""),LEN(mapRegion))=mapRegion),mapRegion),"Not Reported")</f>
        <v/>
      </c>
      <c r="CC1026" s="76">
        <f>IF($BY1026=0,"",IF(TRIM($W1026&amp;"")="REO","REO",IF(TRIM($W1026&amp;"")="FC","Foreclosure",IF(TRIM($W1026&amp;"")="90+","90+ Days Delinquent",IF(TRIM($W1026&amp;"")="60","60 Days Delinquent",IF(TRIM($W1026&amp;"")="30","30 Days Delinquent",IF($X1026="Non-Performing Matured Balloon","Non-Performing Matured Balloon",IF(OR($X1026="Late Payment But Less Than 30 Days Delinquent",LEFT($X1026&amp;"",20)="Payment Not Received"),"Late / In Grace (&lt;30 Days)",IF($X1026="Performing Matured Balloon","Performing Matured Balloon","Current")))))))))</f>
        <v/>
      </c>
      <c r="CD1026" s="78">
        <f>IF(OR($CC1026="REO",$CC1026="Foreclosure",$CC1026="90+ Days Delinquent",$CC1026="60 Days Delinquent",$CC1026="30 Days Delinquent",$CC1026="Non-Performing Matured Balloon"),1,0)</f>
        <v/>
      </c>
      <c r="CE1026" s="76">
        <f>IF($AB1026="Currently special serv","Currently Specially Serviced",IF($AB1026="Returned to master serv","Previously Specially Serviced","Never Specially Serviced"))</f>
        <v/>
      </c>
      <c r="CF1026" s="78">
        <f>IF($CE1026="Currently Specially Serviced",1,0)</f>
        <v/>
      </c>
      <c r="CG1026" s="76">
        <f>IF($AA1026="Yes","Currently on Watchlist",IF($AA1026="Previously","Previously on Watchlist","Never on Watchlist"))</f>
        <v/>
      </c>
      <c r="CH1026" s="78">
        <f>IF($CG1026="Currently on Watchlist",1,0)</f>
        <v/>
      </c>
      <c r="CI1026" s="76">
        <f>IF($Z1026="Full Defeasance","Fully Defeased",IF($Z1026="Portion Of Loan Previously Defeased","Partially Defeased",IF($Z1026="Defeasance Not Allowable","Not Defeased (Not Permitted)","Not Defeased")))</f>
        <v/>
      </c>
      <c r="CJ1026" s="78">
        <f>IF($CI1026="Fully Defeased",1,0)</f>
        <v/>
      </c>
      <c r="CK1026" s="76">
        <f>IF($R1026="IO","Full IO",IF(LEFT($R1026&amp;"",7)="IO then","Partial IO","Amortizing"))</f>
        <v/>
      </c>
      <c r="CL1026" s="78">
        <f>IF($CK1026="Full IO",1,0)</f>
        <v/>
      </c>
      <c r="CM1026" s="78">
        <f>IF($CK1026="Partial IO",1,0)</f>
        <v/>
      </c>
      <c r="CN1026" s="76">
        <f>IF(LEFT($F1026&amp;"",10)="SPLIT_LOAN","Pari Passu Split","Standalone")</f>
        <v/>
      </c>
      <c r="CO1026" s="78">
        <f>IF($CN1026="Pari Passu Split",1,0)</f>
        <v/>
      </c>
      <c r="CP1026" s="77">
        <f>IF(ISNUMBER($T1026),YEAR($T1026),"")</f>
        <v/>
      </c>
      <c r="CQ1026" s="79">
        <f>IF(ISNUMBER($V1026),$V1026,IF(ISNUMBER($U1026),$U1026,""))</f>
        <v/>
      </c>
      <c r="CR1026" s="77">
        <f>IF(ISNUMBER($CQ1026),YEAR($CQ1026),"")</f>
        <v/>
      </c>
      <c r="CS1026" s="78">
        <f>IF(ISNUMBER($M1026),MAX(0,$M1026),IF(TRIM($M1026&amp;"")="matured",0,""))</f>
        <v/>
      </c>
      <c r="CT1026" s="78">
        <f>IF(AND(ISNUMBER($CS1026),N($CS1026)&lt;=mMatWindow),1,0)</f>
        <v/>
      </c>
      <c r="CU1026" s="80">
        <f>IF(ISNUMBER($J1026),$J1026/100,"")</f>
        <v/>
      </c>
      <c r="CV1026" s="81">
        <f>IF(ISNUMBER($AQ1026),$AQ1026,"")</f>
        <v/>
      </c>
      <c r="CW1026" s="81">
        <f>IF(ISNUMBER($AR1026),$AR1026,"")</f>
        <v/>
      </c>
      <c r="CX1026" s="82">
        <f>IF(ISNUMBER($AS1026),$AS1026/100,"")</f>
        <v/>
      </c>
      <c r="CY1026" s="82">
        <f>IF(ISNUMBER($AT1026),$AT1026/100,"")</f>
        <v/>
      </c>
      <c r="CZ1026" s="82">
        <f>IF(ISNUMBER($AU1026),$AU1026/100,"")</f>
        <v/>
      </c>
      <c r="DA1026" s="82">
        <f>IF(ISNUMBER($AV1026),$AV1026/100,"")</f>
        <v/>
      </c>
      <c r="DB1026" s="82">
        <f>IF(ISNUMBER($AW1026),$AW1026/100,"")</f>
        <v/>
      </c>
      <c r="DC1026" s="82">
        <f>IF(ISNUMBER($AX1026),$AX1026/100,"")</f>
        <v/>
      </c>
      <c r="DD1026" s="77">
        <f>IFERROR(VALUE(LEFT(TRIM($AO1026&amp;""),4)),"")</f>
        <v/>
      </c>
      <c r="DE1026" s="78">
        <f>IF(AND($BY1026=1,$BX1026=1,OR(fDeal="All Deals",$BU1026=fDeal),OR(fEntity="All Entities",$BV1026=fEntity),OR(fPType="All Property Types",$BZ1026=fPType),OR(fDefeased="Include",$CJ1026=0)),1,0)</f>
        <v/>
      </c>
      <c r="DF1026" s="83">
        <f>$DE1026*N($I1026)</f>
        <v/>
      </c>
      <c r="DG1026" s="78">
        <f>IF($DE1026=1,IF(COUNTIFS($F$8:$F1026,$F1026,$DE$8:$DE1026,1)=1,1,0),0)</f>
        <v/>
      </c>
      <c r="DH1026" s="83">
        <f>IF($DG1026=1,SUMIFS($DF$8:$DF$1600,$F$8:$F$1600,$F1026),0)</f>
        <v/>
      </c>
      <c r="DI1026" s="78">
        <f>IF($DG1026=1,COUNTIFS($F$8:$F$1600,$F1026,$DE$8:$DE$1600,1),0)</f>
        <v/>
      </c>
      <c r="DJ1026" s="84">
        <f>IF($DG1026=1,$DH1026+(100000-ROW())/mTieBreak,0)</f>
        <v/>
      </c>
    </row>
    <row r="1027">
      <c r="B1027" s="68" t="n">
        <v>24</v>
      </c>
      <c r="C1027" s="69" t="inlineStr">
        <is>
          <t>MSB17C33</t>
        </is>
      </c>
      <c r="D1027" s="69" t="inlineStr">
        <is>
          <t>24.000</t>
        </is>
      </c>
      <c r="E1027" s="69" t="inlineStr">
        <is>
          <t>Midway Office Park</t>
        </is>
      </c>
      <c r="F1027" s="69" t="inlineStr">
        <is>
          <t>LNMSB17C33-24.000</t>
        </is>
      </c>
      <c r="G1027" s="70" t="n"/>
      <c r="H1027" s="71" t="n">
        <v>11280000</v>
      </c>
      <c r="I1027" s="71" t="n">
        <v>0</v>
      </c>
      <c r="J1027" s="72" t="n">
        <v>4.698</v>
      </c>
      <c r="K1027" s="69" t="inlineStr">
        <is>
          <t>Fixed rate</t>
        </is>
      </c>
      <c r="L1027" s="68" t="n">
        <v>60</v>
      </c>
      <c r="M1027" s="68" t="n"/>
      <c r="N1027" s="68" t="n">
        <v>378</v>
      </c>
      <c r="O1027" s="68" t="n">
        <v>18</v>
      </c>
      <c r="P1027" s="68" t="n"/>
      <c r="Q1027" s="68" t="n"/>
      <c r="R1027" s="69" t="inlineStr">
        <is>
          <t>IO then Amort</t>
        </is>
      </c>
      <c r="S1027" s="69" t="inlineStr">
        <is>
          <t>No</t>
        </is>
      </c>
      <c r="T1027" s="73" t="n">
        <v>42826</v>
      </c>
      <c r="U1027" s="73" t="n">
        <v>44652</v>
      </c>
      <c r="V1027" s="73" t="n"/>
      <c r="W1027" s="69" t="n"/>
      <c r="X1027" s="69" t="inlineStr">
        <is>
          <t>Current</t>
        </is>
      </c>
      <c r="Y1027" s="68" t="n"/>
      <c r="Z1027" s="69" t="inlineStr">
        <is>
          <t>No Defeasance Occurred</t>
        </is>
      </c>
      <c r="AA1027" s="69" t="inlineStr">
        <is>
          <t>Previously</t>
        </is>
      </c>
      <c r="AB1027" s="69" t="inlineStr">
        <is>
          <t>Never special serv</t>
        </is>
      </c>
      <c r="AC1027" s="73" t="n"/>
      <c r="AD1027" s="69" t="n"/>
      <c r="AE1027" s="69" t="n"/>
      <c r="AF1027" s="69" t="inlineStr">
        <is>
          <t>TX</t>
        </is>
      </c>
      <c r="AG1027" s="69" t="inlineStr">
        <is>
          <t>Farmers Branch</t>
        </is>
      </c>
      <c r="AH1027" s="69" t="inlineStr">
        <is>
          <t>Dallas-Fort Worth-Arlington, TX</t>
        </is>
      </c>
      <c r="AI1027" s="69" t="inlineStr">
        <is>
          <t>South / Central West</t>
        </is>
      </c>
      <c r="AJ1027" s="69" t="inlineStr">
        <is>
          <t>MX</t>
        </is>
      </c>
      <c r="AK1027" s="69" t="n"/>
      <c r="AL1027" s="68" t="n">
        <v>1</v>
      </c>
      <c r="AM1027" s="68" t="n"/>
      <c r="AN1027" s="68" t="n">
        <v>237148</v>
      </c>
      <c r="AO1027" s="69" t="inlineStr">
        <is>
          <t>1971</t>
        </is>
      </c>
      <c r="AP1027" s="70" t="n">
        <v>1971</v>
      </c>
      <c r="AQ1027" s="74" t="n">
        <v>1.67</v>
      </c>
      <c r="AR1027" s="74" t="n">
        <v>1.45</v>
      </c>
      <c r="AS1027" s="74" t="n">
        <v>62.3</v>
      </c>
      <c r="AT1027" s="74" t="n"/>
      <c r="AU1027" s="74" t="n">
        <v>59</v>
      </c>
      <c r="AV1027" s="74" t="n">
        <v>10.367473404</v>
      </c>
      <c r="AW1027" s="74" t="n"/>
      <c r="AX1027" s="75" t="n">
        <v>78.65000000000001</v>
      </c>
      <c r="AY1027" s="71" t="n">
        <v>18100000</v>
      </c>
      <c r="AZ1027" s="71" t="n">
        <v>18100000</v>
      </c>
      <c r="BA1027" s="71" t="n">
        <v>1169451</v>
      </c>
      <c r="BB1027" s="71" t="n">
        <v>764184.85</v>
      </c>
      <c r="BC1027" s="69" t="inlineStr">
        <is>
          <t>Acquisition</t>
        </is>
      </c>
      <c r="BD1027" s="69" t="inlineStr">
        <is>
          <t>N</t>
        </is>
      </c>
      <c r="BE1027" s="71" t="n"/>
      <c r="BF1027" s="71" t="n"/>
      <c r="BG1027" s="71" t="n"/>
      <c r="BH1027" s="71" t="n">
        <v>0</v>
      </c>
      <c r="BI1027" s="71" t="n">
        <v>0</v>
      </c>
      <c r="BJ1027" s="69" t="inlineStr">
        <is>
          <t>N</t>
        </is>
      </c>
      <c r="BK1027" s="69" t="inlineStr">
        <is>
          <t>Cutting Corners Inc.</t>
        </is>
      </c>
      <c r="BL1027" s="75" t="n">
        <v>9.93</v>
      </c>
      <c r="BM1027" s="73" t="n">
        <v>45808</v>
      </c>
      <c r="BN1027" s="69" t="inlineStr">
        <is>
          <t>Main Street Investment Company</t>
        </is>
      </c>
      <c r="BO1027" s="69" t="inlineStr">
        <is>
          <t>Bank of America</t>
        </is>
      </c>
      <c r="BP1027" s="69" t="inlineStr">
        <is>
          <t>Wells Fargo</t>
        </is>
      </c>
      <c r="BQ1027" s="69" t="inlineStr">
        <is>
          <t>Midland Loan Services</t>
        </is>
      </c>
      <c r="BR1027" s="69" t="inlineStr">
        <is>
          <t>Full Payoff At Maturity</t>
        </is>
      </c>
      <c r="BS1027" s="73" t="n">
        <v>44662</v>
      </c>
      <c r="BU1027" s="76">
        <f>IF($C1027="","",IFERROR(INDEX(dmName,MATCH($C1027,dmID,0)),"Unmapped"))</f>
        <v/>
      </c>
      <c r="BV1027" s="76">
        <f>IF($C1027="","",IFERROR(INDEX(dmEntity,MATCH($C1027,dmID,0)),"Unmapped"))</f>
        <v/>
      </c>
      <c r="BW1027" s="77">
        <f>IF($C1027="","",IFERROR(INDEX(dmVintage,MATCH($C1027,dmID,0)),""))</f>
        <v/>
      </c>
      <c r="BX1027" s="78">
        <f>IFERROR(INDEX(dmInclude,MATCH($C1027,dmID,0)),0)</f>
        <v/>
      </c>
      <c r="BY1027" s="78">
        <f>IF(N($I1027)&gt;0,1,0)</f>
        <v/>
      </c>
      <c r="BZ1027" s="76">
        <f>IF($AJ1027="","Other / Leased Fee",IFERROR(INDEX(mapPTGroup,MATCH(LEFT(TRIM($AJ1027),2),mapPTCode,0)),"Other / Leased Fee"))</f>
        <v/>
      </c>
      <c r="CA1027" s="76">
        <f>IF(TRIM($AF1027&amp;"")="","NR",LEFT(TRIM($AF1027),2))</f>
        <v/>
      </c>
      <c r="CB1027" s="76">
        <f>IFERROR(LOOKUP(2,1/(LEFT(TRIM($AI1027&amp;""),LEN(mapRegion))=mapRegion),mapRegion),"Not Reported")</f>
        <v/>
      </c>
      <c r="CC1027" s="76">
        <f>IF($BY1027=0,"",IF(TRIM($W1027&amp;"")="REO","REO",IF(TRIM($W1027&amp;"")="FC","Foreclosure",IF(TRIM($W1027&amp;"")="90+","90+ Days Delinquent",IF(TRIM($W1027&amp;"")="60","60 Days Delinquent",IF(TRIM($W1027&amp;"")="30","30 Days Delinquent",IF($X1027="Non-Performing Matured Balloon","Non-Performing Matured Balloon",IF(OR($X1027="Late Payment But Less Than 30 Days Delinquent",LEFT($X1027&amp;"",20)="Payment Not Received"),"Late / In Grace (&lt;30 Days)",IF($X1027="Performing Matured Balloon","Performing Matured Balloon","Current")))))))))</f>
        <v/>
      </c>
      <c r="CD1027" s="78">
        <f>IF(OR($CC1027="REO",$CC1027="Foreclosure",$CC1027="90+ Days Delinquent",$CC1027="60 Days Delinquent",$CC1027="30 Days Delinquent",$CC1027="Non-Performing Matured Balloon"),1,0)</f>
        <v/>
      </c>
      <c r="CE1027" s="76">
        <f>IF($AB1027="Currently special serv","Currently Specially Serviced",IF($AB1027="Returned to master serv","Previously Specially Serviced","Never Specially Serviced"))</f>
        <v/>
      </c>
      <c r="CF1027" s="78">
        <f>IF($CE1027="Currently Specially Serviced",1,0)</f>
        <v/>
      </c>
      <c r="CG1027" s="76">
        <f>IF($AA1027="Yes","Currently on Watchlist",IF($AA1027="Previously","Previously on Watchlist","Never on Watchlist"))</f>
        <v/>
      </c>
      <c r="CH1027" s="78">
        <f>IF($CG1027="Currently on Watchlist",1,0)</f>
        <v/>
      </c>
      <c r="CI1027" s="76">
        <f>IF($Z1027="Full Defeasance","Fully Defeased",IF($Z1027="Portion Of Loan Previously Defeased","Partially Defeased",IF($Z1027="Defeasance Not Allowable","Not Defeased (Not Permitted)","Not Defeased")))</f>
        <v/>
      </c>
      <c r="CJ1027" s="78">
        <f>IF($CI1027="Fully Defeased",1,0)</f>
        <v/>
      </c>
      <c r="CK1027" s="76">
        <f>IF($R1027="IO","Full IO",IF(LEFT($R1027&amp;"",7)="IO then","Partial IO","Amortizing"))</f>
        <v/>
      </c>
      <c r="CL1027" s="78">
        <f>IF($CK1027="Full IO",1,0)</f>
        <v/>
      </c>
      <c r="CM1027" s="78">
        <f>IF($CK1027="Partial IO",1,0)</f>
        <v/>
      </c>
      <c r="CN1027" s="76">
        <f>IF(LEFT($F1027&amp;"",10)="SPLIT_LOAN","Pari Passu Split","Standalone")</f>
        <v/>
      </c>
      <c r="CO1027" s="78">
        <f>IF($CN1027="Pari Passu Split",1,0)</f>
        <v/>
      </c>
      <c r="CP1027" s="77">
        <f>IF(ISNUMBER($T1027),YEAR($T1027),"")</f>
        <v/>
      </c>
      <c r="CQ1027" s="79">
        <f>IF(ISNUMBER($V1027),$V1027,IF(ISNUMBER($U1027),$U1027,""))</f>
        <v/>
      </c>
      <c r="CR1027" s="77">
        <f>IF(ISNUMBER($CQ1027),YEAR($CQ1027),"")</f>
        <v/>
      </c>
      <c r="CS1027" s="78">
        <f>IF(ISNUMBER($M1027),MAX(0,$M1027),IF(TRIM($M1027&amp;"")="matured",0,""))</f>
        <v/>
      </c>
      <c r="CT1027" s="78">
        <f>IF(AND(ISNUMBER($CS1027),N($CS1027)&lt;=mMatWindow),1,0)</f>
        <v/>
      </c>
      <c r="CU1027" s="80">
        <f>IF(ISNUMBER($J1027),$J1027/100,"")</f>
        <v/>
      </c>
      <c r="CV1027" s="81">
        <f>IF(ISNUMBER($AQ1027),$AQ1027,"")</f>
        <v/>
      </c>
      <c r="CW1027" s="81">
        <f>IF(ISNUMBER($AR1027),$AR1027,"")</f>
        <v/>
      </c>
      <c r="CX1027" s="82">
        <f>IF(ISNUMBER($AS1027),$AS1027/100,"")</f>
        <v/>
      </c>
      <c r="CY1027" s="82">
        <f>IF(ISNUMBER($AT1027),$AT1027/100,"")</f>
        <v/>
      </c>
      <c r="CZ1027" s="82">
        <f>IF(ISNUMBER($AU1027),$AU1027/100,"")</f>
        <v/>
      </c>
      <c r="DA1027" s="82">
        <f>IF(ISNUMBER($AV1027),$AV1027/100,"")</f>
        <v/>
      </c>
      <c r="DB1027" s="82">
        <f>IF(ISNUMBER($AW1027),$AW1027/100,"")</f>
        <v/>
      </c>
      <c r="DC1027" s="82">
        <f>IF(ISNUMBER($AX1027),$AX1027/100,"")</f>
        <v/>
      </c>
      <c r="DD1027" s="77">
        <f>IFERROR(VALUE(LEFT(TRIM($AO1027&amp;""),4)),"")</f>
        <v/>
      </c>
      <c r="DE1027" s="78">
        <f>IF(AND($BY1027=1,$BX1027=1,OR(fDeal="All Deals",$BU1027=fDeal),OR(fEntity="All Entities",$BV1027=fEntity),OR(fPType="All Property Types",$BZ1027=fPType),OR(fDefeased="Include",$CJ1027=0)),1,0)</f>
        <v/>
      </c>
      <c r="DF1027" s="83">
        <f>$DE1027*N($I1027)</f>
        <v/>
      </c>
      <c r="DG1027" s="78">
        <f>IF($DE1027=1,IF(COUNTIFS($F$8:$F1027,$F1027,$DE$8:$DE1027,1)=1,1,0),0)</f>
        <v/>
      </c>
      <c r="DH1027" s="83">
        <f>IF($DG1027=1,SUMIFS($DF$8:$DF$1600,$F$8:$F$1600,$F1027),0)</f>
        <v/>
      </c>
      <c r="DI1027" s="78">
        <f>IF($DG1027=1,COUNTIFS($F$8:$F$1600,$F1027,$DE$8:$DE$1600,1),0)</f>
        <v/>
      </c>
      <c r="DJ1027" s="84">
        <f>IF($DG1027=1,$DH1027+(100000-ROW())/mTieBreak,0)</f>
        <v/>
      </c>
    </row>
    <row r="1028">
      <c r="B1028" s="68" t="n">
        <v>25</v>
      </c>
      <c r="C1028" s="69" t="inlineStr">
        <is>
          <t>MSB17C33</t>
        </is>
      </c>
      <c r="D1028" s="69" t="inlineStr">
        <is>
          <t>25.000</t>
        </is>
      </c>
      <c r="E1028" s="69" t="inlineStr">
        <is>
          <t>Edgemar Center</t>
        </is>
      </c>
      <c r="F1028" s="69" t="inlineStr">
        <is>
          <t>LNMSB17C33-25.000</t>
        </is>
      </c>
      <c r="G1028" s="70" t="n"/>
      <c r="H1028" s="71" t="n">
        <v>11000000</v>
      </c>
      <c r="I1028" s="71" t="n">
        <v>11000000</v>
      </c>
      <c r="J1028" s="72" t="n">
        <v>4.103</v>
      </c>
      <c r="K1028" s="69" t="inlineStr">
        <is>
          <t>Fixed rate</t>
        </is>
      </c>
      <c r="L1028" s="68" t="n">
        <v>120</v>
      </c>
      <c r="M1028" s="68" t="n">
        <v>7</v>
      </c>
      <c r="N1028" s="68" t="n">
        <v>120</v>
      </c>
      <c r="O1028" s="68" t="n">
        <v>120</v>
      </c>
      <c r="P1028" s="68" t="n">
        <v>7</v>
      </c>
      <c r="Q1028" s="68" t="n">
        <v>113</v>
      </c>
      <c r="R1028" s="69" t="inlineStr">
        <is>
          <t>IO</t>
        </is>
      </c>
      <c r="S1028" s="69" t="inlineStr">
        <is>
          <t>Yes</t>
        </is>
      </c>
      <c r="T1028" s="73" t="n">
        <v>42826</v>
      </c>
      <c r="U1028" s="73" t="n">
        <v>46478</v>
      </c>
      <c r="V1028" s="73" t="n"/>
      <c r="W1028" s="69" t="n"/>
      <c r="X1028" s="69" t="inlineStr">
        <is>
          <t>Current</t>
        </is>
      </c>
      <c r="Y1028" s="68" t="n"/>
      <c r="Z1028" s="69" t="inlineStr">
        <is>
          <t>No Defeasance Occurred</t>
        </is>
      </c>
      <c r="AA1028" s="69" t="inlineStr">
        <is>
          <t>Previously</t>
        </is>
      </c>
      <c r="AB1028" s="69" t="inlineStr">
        <is>
          <t>Never special serv</t>
        </is>
      </c>
      <c r="AC1028" s="73" t="n"/>
      <c r="AD1028" s="69" t="n"/>
      <c r="AE1028" s="69" t="n"/>
      <c r="AF1028" s="69" t="inlineStr">
        <is>
          <t>CA</t>
        </is>
      </c>
      <c r="AG1028" s="69" t="inlineStr">
        <is>
          <t>Santa Monica</t>
        </is>
      </c>
      <c r="AH1028" s="69" t="inlineStr">
        <is>
          <t>Los Angeles-Long Beach-Anaheim, CA</t>
        </is>
      </c>
      <c r="AI1028" s="69" t="inlineStr">
        <is>
          <t>West / Pacific South</t>
        </is>
      </c>
      <c r="AJ1028" s="69" t="inlineStr">
        <is>
          <t>MX</t>
        </is>
      </c>
      <c r="AK1028" s="69" t="inlineStr">
        <is>
          <t>Retail/Office</t>
        </is>
      </c>
      <c r="AL1028" s="68" t="n">
        <v>1</v>
      </c>
      <c r="AM1028" s="68" t="n"/>
      <c r="AN1028" s="68" t="n">
        <v>35495</v>
      </c>
      <c r="AO1028" s="69" t="inlineStr">
        <is>
          <t>1908</t>
        </is>
      </c>
      <c r="AP1028" s="70" t="n">
        <v>1928</v>
      </c>
      <c r="AQ1028" s="74" t="n">
        <v>2.57</v>
      </c>
      <c r="AR1028" s="74" t="n">
        <v>4.46</v>
      </c>
      <c r="AS1028" s="74" t="n">
        <v>44</v>
      </c>
      <c r="AT1028" s="74" t="n">
        <v>44</v>
      </c>
      <c r="AU1028" s="74" t="n">
        <v>44</v>
      </c>
      <c r="AV1028" s="74" t="n">
        <v>10.709836364</v>
      </c>
      <c r="AW1028" s="74" t="n">
        <v>12.848268909</v>
      </c>
      <c r="AX1028" s="75" t="n">
        <v>100</v>
      </c>
      <c r="AY1028" s="71" t="n">
        <v>25000000</v>
      </c>
      <c r="AZ1028" s="71" t="n">
        <v>25000000</v>
      </c>
      <c r="BA1028" s="71" t="n">
        <v>1178082</v>
      </c>
      <c r="BB1028" s="71" t="n">
        <v>1017184.21</v>
      </c>
      <c r="BC1028" s="69" t="inlineStr">
        <is>
          <t>Refinance</t>
        </is>
      </c>
      <c r="BD1028" s="69" t="inlineStr">
        <is>
          <t>N</t>
        </is>
      </c>
      <c r="BE1028" s="71" t="n"/>
      <c r="BF1028" s="71" t="n"/>
      <c r="BG1028" s="71" t="n"/>
      <c r="BH1028" s="71" t="n">
        <v>0</v>
      </c>
      <c r="BI1028" s="71" t="n">
        <v>0</v>
      </c>
      <c r="BJ1028" s="69" t="inlineStr">
        <is>
          <t>N</t>
        </is>
      </c>
      <c r="BK1028" s="69" t="inlineStr">
        <is>
          <t>Gerber Kawasaki  Inc.</t>
        </is>
      </c>
      <c r="BL1028" s="75" t="n">
        <v>21.13</v>
      </c>
      <c r="BM1028" s="73" t="n">
        <v>48563</v>
      </c>
      <c r="BN1028" s="69" t="inlineStr">
        <is>
          <t>Betty A. Colwell</t>
        </is>
      </c>
      <c r="BO1028" s="69" t="inlineStr">
        <is>
          <t>Morgan Stanley</t>
        </is>
      </c>
      <c r="BP1028" s="69" t="inlineStr">
        <is>
          <t>TriMont Real Estate Advisors</t>
        </is>
      </c>
      <c r="BQ1028" s="69" t="inlineStr">
        <is>
          <t>Midland Loan Services</t>
        </is>
      </c>
      <c r="BR1028" s="69" t="n"/>
      <c r="BS1028" s="73" t="n">
        <v>46276</v>
      </c>
      <c r="BU1028" s="76">
        <f>IF($C1028="","",IFERROR(INDEX(dmName,MATCH($C1028,dmID,0)),"Unmapped"))</f>
        <v/>
      </c>
      <c r="BV1028" s="76">
        <f>IF($C1028="","",IFERROR(INDEX(dmEntity,MATCH($C1028,dmID,0)),"Unmapped"))</f>
        <v/>
      </c>
      <c r="BW1028" s="77">
        <f>IF($C1028="","",IFERROR(INDEX(dmVintage,MATCH($C1028,dmID,0)),""))</f>
        <v/>
      </c>
      <c r="BX1028" s="78">
        <f>IFERROR(INDEX(dmInclude,MATCH($C1028,dmID,0)),0)</f>
        <v/>
      </c>
      <c r="BY1028" s="78">
        <f>IF(N($I1028)&gt;0,1,0)</f>
        <v/>
      </c>
      <c r="BZ1028" s="76">
        <f>IF($AJ1028="","Other / Leased Fee",IFERROR(INDEX(mapPTGroup,MATCH(LEFT(TRIM($AJ1028),2),mapPTCode,0)),"Other / Leased Fee"))</f>
        <v/>
      </c>
      <c r="CA1028" s="76">
        <f>IF(TRIM($AF1028&amp;"")="","NR",LEFT(TRIM($AF1028),2))</f>
        <v/>
      </c>
      <c r="CB1028" s="76">
        <f>IFERROR(LOOKUP(2,1/(LEFT(TRIM($AI1028&amp;""),LEN(mapRegion))=mapRegion),mapRegion),"Not Reported")</f>
        <v/>
      </c>
      <c r="CC1028" s="76">
        <f>IF($BY1028=0,"",IF(TRIM($W1028&amp;"")="REO","REO",IF(TRIM($W1028&amp;"")="FC","Foreclosure",IF(TRIM($W1028&amp;"")="90+","90+ Days Delinquent",IF(TRIM($W1028&amp;"")="60","60 Days Delinquent",IF(TRIM($W1028&amp;"")="30","30 Days Delinquent",IF($X1028="Non-Performing Matured Balloon","Non-Performing Matured Balloon",IF(OR($X1028="Late Payment But Less Than 30 Days Delinquent",LEFT($X1028&amp;"",20)="Payment Not Received"),"Late / In Grace (&lt;30 Days)",IF($X1028="Performing Matured Balloon","Performing Matured Balloon","Current")))))))))</f>
        <v/>
      </c>
      <c r="CD1028" s="78">
        <f>IF(OR($CC1028="REO",$CC1028="Foreclosure",$CC1028="90+ Days Delinquent",$CC1028="60 Days Delinquent",$CC1028="30 Days Delinquent",$CC1028="Non-Performing Matured Balloon"),1,0)</f>
        <v/>
      </c>
      <c r="CE1028" s="76">
        <f>IF($AB1028="Currently special serv","Currently Specially Serviced",IF($AB1028="Returned to master serv","Previously Specially Serviced","Never Specially Serviced"))</f>
        <v/>
      </c>
      <c r="CF1028" s="78">
        <f>IF($CE1028="Currently Specially Serviced",1,0)</f>
        <v/>
      </c>
      <c r="CG1028" s="76">
        <f>IF($AA1028="Yes","Currently on Watchlist",IF($AA1028="Previously","Previously on Watchlist","Never on Watchlist"))</f>
        <v/>
      </c>
      <c r="CH1028" s="78">
        <f>IF($CG1028="Currently on Watchlist",1,0)</f>
        <v/>
      </c>
      <c r="CI1028" s="76">
        <f>IF($Z1028="Full Defeasance","Fully Defeased",IF($Z1028="Portion Of Loan Previously Defeased","Partially Defeased",IF($Z1028="Defeasance Not Allowable","Not Defeased (Not Permitted)","Not Defeased")))</f>
        <v/>
      </c>
      <c r="CJ1028" s="78">
        <f>IF($CI1028="Fully Defeased",1,0)</f>
        <v/>
      </c>
      <c r="CK1028" s="76">
        <f>IF($R1028="IO","Full IO",IF(LEFT($R1028&amp;"",7)="IO then","Partial IO","Amortizing"))</f>
        <v/>
      </c>
      <c r="CL1028" s="78">
        <f>IF($CK1028="Full IO",1,0)</f>
        <v/>
      </c>
      <c r="CM1028" s="78">
        <f>IF($CK1028="Partial IO",1,0)</f>
        <v/>
      </c>
      <c r="CN1028" s="76">
        <f>IF(LEFT($F1028&amp;"",10)="SPLIT_LOAN","Pari Passu Split","Standalone")</f>
        <v/>
      </c>
      <c r="CO1028" s="78">
        <f>IF($CN1028="Pari Passu Split",1,0)</f>
        <v/>
      </c>
      <c r="CP1028" s="77">
        <f>IF(ISNUMBER($T1028),YEAR($T1028),"")</f>
        <v/>
      </c>
      <c r="CQ1028" s="79">
        <f>IF(ISNUMBER($V1028),$V1028,IF(ISNUMBER($U1028),$U1028,""))</f>
        <v/>
      </c>
      <c r="CR1028" s="77">
        <f>IF(ISNUMBER($CQ1028),YEAR($CQ1028),"")</f>
        <v/>
      </c>
      <c r="CS1028" s="78">
        <f>IF(ISNUMBER($M1028),MAX(0,$M1028),IF(TRIM($M1028&amp;"")="matured",0,""))</f>
        <v/>
      </c>
      <c r="CT1028" s="78">
        <f>IF(AND(ISNUMBER($CS1028),N($CS1028)&lt;=mMatWindow),1,0)</f>
        <v/>
      </c>
      <c r="CU1028" s="80">
        <f>IF(ISNUMBER($J1028),$J1028/100,"")</f>
        <v/>
      </c>
      <c r="CV1028" s="81">
        <f>IF(ISNUMBER($AQ1028),$AQ1028,"")</f>
        <v/>
      </c>
      <c r="CW1028" s="81">
        <f>IF(ISNUMBER($AR1028),$AR1028,"")</f>
        <v/>
      </c>
      <c r="CX1028" s="82">
        <f>IF(ISNUMBER($AS1028),$AS1028/100,"")</f>
        <v/>
      </c>
      <c r="CY1028" s="82">
        <f>IF(ISNUMBER($AT1028),$AT1028/100,"")</f>
        <v/>
      </c>
      <c r="CZ1028" s="82">
        <f>IF(ISNUMBER($AU1028),$AU1028/100,"")</f>
        <v/>
      </c>
      <c r="DA1028" s="82">
        <f>IF(ISNUMBER($AV1028),$AV1028/100,"")</f>
        <v/>
      </c>
      <c r="DB1028" s="82">
        <f>IF(ISNUMBER($AW1028),$AW1028/100,"")</f>
        <v/>
      </c>
      <c r="DC1028" s="82">
        <f>IF(ISNUMBER($AX1028),$AX1028/100,"")</f>
        <v/>
      </c>
      <c r="DD1028" s="77">
        <f>IFERROR(VALUE(LEFT(TRIM($AO1028&amp;""),4)),"")</f>
        <v/>
      </c>
      <c r="DE1028" s="78">
        <f>IF(AND($BY1028=1,$BX1028=1,OR(fDeal="All Deals",$BU1028=fDeal),OR(fEntity="All Entities",$BV1028=fEntity),OR(fPType="All Property Types",$BZ1028=fPType),OR(fDefeased="Include",$CJ1028=0)),1,0)</f>
        <v/>
      </c>
      <c r="DF1028" s="83">
        <f>$DE1028*N($I1028)</f>
        <v/>
      </c>
      <c r="DG1028" s="78">
        <f>IF($DE1028=1,IF(COUNTIFS($F$8:$F1028,$F1028,$DE$8:$DE1028,1)=1,1,0),0)</f>
        <v/>
      </c>
      <c r="DH1028" s="83">
        <f>IF($DG1028=1,SUMIFS($DF$8:$DF$1600,$F$8:$F$1600,$F1028),0)</f>
        <v/>
      </c>
      <c r="DI1028" s="78">
        <f>IF($DG1028=1,COUNTIFS($F$8:$F$1600,$F1028,$DE$8:$DE$1600,1),0)</f>
        <v/>
      </c>
      <c r="DJ1028" s="84">
        <f>IF($DG1028=1,$DH1028+(100000-ROW())/mTieBreak,0)</f>
        <v/>
      </c>
    </row>
    <row r="1029">
      <c r="B1029" s="68" t="n">
        <v>26</v>
      </c>
      <c r="C1029" s="69" t="inlineStr">
        <is>
          <t>MSB17C33</t>
        </is>
      </c>
      <c r="D1029" s="69" t="inlineStr">
        <is>
          <t>26.000</t>
        </is>
      </c>
      <c r="E1029" s="69" t="inlineStr">
        <is>
          <t>Dollar Self Storage Santa Fe Springs</t>
        </is>
      </c>
      <c r="F1029" s="69" t="inlineStr">
        <is>
          <t>LNMSB17C33-26.000</t>
        </is>
      </c>
      <c r="G1029" s="70" t="n"/>
      <c r="H1029" s="71" t="n">
        <v>10900000</v>
      </c>
      <c r="I1029" s="71" t="n">
        <v>9152584.030001299</v>
      </c>
      <c r="J1029" s="72" t="n">
        <v>5.24</v>
      </c>
      <c r="K1029" s="69" t="inlineStr">
        <is>
          <t>Fixed rate</t>
        </is>
      </c>
      <c r="L1029" s="68" t="n">
        <v>120</v>
      </c>
      <c r="M1029" s="68" t="n">
        <v>6</v>
      </c>
      <c r="N1029" s="68" t="n">
        <v>360</v>
      </c>
      <c r="O1029" s="68" t="n"/>
      <c r="P1029" s="68" t="n"/>
      <c r="Q1029" s="68" t="n">
        <v>114</v>
      </c>
      <c r="R1029" s="69" t="n"/>
      <c r="S1029" s="69" t="inlineStr">
        <is>
          <t>No</t>
        </is>
      </c>
      <c r="T1029" s="73" t="n">
        <v>42795</v>
      </c>
      <c r="U1029" s="73" t="n">
        <v>46447</v>
      </c>
      <c r="V1029" s="73" t="n"/>
      <c r="W1029" s="69" t="n"/>
      <c r="X1029" s="69" t="inlineStr">
        <is>
          <t>Current</t>
        </is>
      </c>
      <c r="Y1029" s="68" t="n"/>
      <c r="Z1029" s="69" t="inlineStr">
        <is>
          <t>No Defeasance Occurred</t>
        </is>
      </c>
      <c r="AA1029" s="69" t="inlineStr">
        <is>
          <t>Yes</t>
        </is>
      </c>
      <c r="AB1029" s="69" t="inlineStr">
        <is>
          <t>Never special serv</t>
        </is>
      </c>
      <c r="AC1029" s="73" t="n"/>
      <c r="AD1029" s="69" t="n"/>
      <c r="AE1029" s="69" t="n"/>
      <c r="AF1029" s="69" t="inlineStr">
        <is>
          <t>CA</t>
        </is>
      </c>
      <c r="AG1029" s="69" t="inlineStr">
        <is>
          <t>Santa Fe Springs</t>
        </is>
      </c>
      <c r="AH1029" s="69" t="inlineStr">
        <is>
          <t>Los Angeles-Long Beach-Anaheim, CA</t>
        </is>
      </c>
      <c r="AI1029" s="69" t="inlineStr">
        <is>
          <t>West / Pacific South</t>
        </is>
      </c>
      <c r="AJ1029" s="69" t="inlineStr">
        <is>
          <t>SS</t>
        </is>
      </c>
      <c r="AK1029" s="69" t="n"/>
      <c r="AL1029" s="68" t="n">
        <v>1</v>
      </c>
      <c r="AM1029" s="68" t="n"/>
      <c r="AN1029" s="68" t="n">
        <v>93292</v>
      </c>
      <c r="AO1029" s="69" t="inlineStr">
        <is>
          <t>2001</t>
        </is>
      </c>
      <c r="AP1029" s="70" t="n">
        <v>2001</v>
      </c>
      <c r="AQ1029" s="74" t="n">
        <v>1.32</v>
      </c>
      <c r="AR1029" s="74" t="n">
        <v>2.2</v>
      </c>
      <c r="AS1029" s="74" t="n">
        <v>61.1</v>
      </c>
      <c r="AT1029" s="74" t="n">
        <v>51.42</v>
      </c>
      <c r="AU1029" s="74" t="n">
        <v>50.87</v>
      </c>
      <c r="AV1029" s="74" t="n">
        <v>8.769495413</v>
      </c>
      <c r="AW1029" s="74" t="n">
        <v>17.309297514</v>
      </c>
      <c r="AX1029" s="75" t="n">
        <v>93</v>
      </c>
      <c r="AY1029" s="71" t="n">
        <v>17800000</v>
      </c>
      <c r="AZ1029" s="71" t="n">
        <v>17800000</v>
      </c>
      <c r="BA1029" s="71" t="n">
        <v>955875</v>
      </c>
      <c r="BB1029" s="71" t="n">
        <v>1584248</v>
      </c>
      <c r="BC1029" s="69" t="inlineStr">
        <is>
          <t>Refinance</t>
        </is>
      </c>
      <c r="BD1029" s="69" t="inlineStr">
        <is>
          <t>N</t>
        </is>
      </c>
      <c r="BE1029" s="71" t="n"/>
      <c r="BF1029" s="71" t="n"/>
      <c r="BG1029" s="71" t="n"/>
      <c r="BH1029" s="71" t="n">
        <v>0</v>
      </c>
      <c r="BI1029" s="71" t="n">
        <v>0</v>
      </c>
      <c r="BJ1029" s="69" t="inlineStr">
        <is>
          <t>N</t>
        </is>
      </c>
      <c r="BK1029" s="69" t="n"/>
      <c r="BL1029" s="75" t="n"/>
      <c r="BM1029" s="73" t="n"/>
      <c r="BN1029" s="69" t="inlineStr">
        <is>
          <t>Stadium Properties, LLC</t>
        </is>
      </c>
      <c r="BO1029" s="69" t="inlineStr">
        <is>
          <t>KeyBank</t>
        </is>
      </c>
      <c r="BP1029" s="69" t="inlineStr">
        <is>
          <t>TriMont Real Estate Advisors</t>
        </is>
      </c>
      <c r="BQ1029" s="69" t="inlineStr">
        <is>
          <t>Midland Loan Services</t>
        </is>
      </c>
      <c r="BR1029" s="69" t="n"/>
      <c r="BS1029" s="73" t="n">
        <v>46276</v>
      </c>
      <c r="BU1029" s="76">
        <f>IF($C1029="","",IFERROR(INDEX(dmName,MATCH($C1029,dmID,0)),"Unmapped"))</f>
        <v/>
      </c>
      <c r="BV1029" s="76">
        <f>IF($C1029="","",IFERROR(INDEX(dmEntity,MATCH($C1029,dmID,0)),"Unmapped"))</f>
        <v/>
      </c>
      <c r="BW1029" s="77">
        <f>IF($C1029="","",IFERROR(INDEX(dmVintage,MATCH($C1029,dmID,0)),""))</f>
        <v/>
      </c>
      <c r="BX1029" s="78">
        <f>IFERROR(INDEX(dmInclude,MATCH($C1029,dmID,0)),0)</f>
        <v/>
      </c>
      <c r="BY1029" s="78">
        <f>IF(N($I1029)&gt;0,1,0)</f>
        <v/>
      </c>
      <c r="BZ1029" s="76">
        <f>IF($AJ1029="","Other / Leased Fee",IFERROR(INDEX(mapPTGroup,MATCH(LEFT(TRIM($AJ1029),2),mapPTCode,0)),"Other / Leased Fee"))</f>
        <v/>
      </c>
      <c r="CA1029" s="76">
        <f>IF(TRIM($AF1029&amp;"")="","NR",LEFT(TRIM($AF1029),2))</f>
        <v/>
      </c>
      <c r="CB1029" s="76">
        <f>IFERROR(LOOKUP(2,1/(LEFT(TRIM($AI1029&amp;""),LEN(mapRegion))=mapRegion),mapRegion),"Not Reported")</f>
        <v/>
      </c>
      <c r="CC1029" s="76">
        <f>IF($BY1029=0,"",IF(TRIM($W1029&amp;"")="REO","REO",IF(TRIM($W1029&amp;"")="FC","Foreclosure",IF(TRIM($W1029&amp;"")="90+","90+ Days Delinquent",IF(TRIM($W1029&amp;"")="60","60 Days Delinquent",IF(TRIM($W1029&amp;"")="30","30 Days Delinquent",IF($X1029="Non-Performing Matured Balloon","Non-Performing Matured Balloon",IF(OR($X1029="Late Payment But Less Than 30 Days Delinquent",LEFT($X1029&amp;"",20)="Payment Not Received"),"Late / In Grace (&lt;30 Days)",IF($X1029="Performing Matured Balloon","Performing Matured Balloon","Current")))))))))</f>
        <v/>
      </c>
      <c r="CD1029" s="78">
        <f>IF(OR($CC1029="REO",$CC1029="Foreclosure",$CC1029="90+ Days Delinquent",$CC1029="60 Days Delinquent",$CC1029="30 Days Delinquent",$CC1029="Non-Performing Matured Balloon"),1,0)</f>
        <v/>
      </c>
      <c r="CE1029" s="76">
        <f>IF($AB1029="Currently special serv","Currently Specially Serviced",IF($AB1029="Returned to master serv","Previously Specially Serviced","Never Specially Serviced"))</f>
        <v/>
      </c>
      <c r="CF1029" s="78">
        <f>IF($CE1029="Currently Specially Serviced",1,0)</f>
        <v/>
      </c>
      <c r="CG1029" s="76">
        <f>IF($AA1029="Yes","Currently on Watchlist",IF($AA1029="Previously","Previously on Watchlist","Never on Watchlist"))</f>
        <v/>
      </c>
      <c r="CH1029" s="78">
        <f>IF($CG1029="Currently on Watchlist",1,0)</f>
        <v/>
      </c>
      <c r="CI1029" s="76">
        <f>IF($Z1029="Full Defeasance","Fully Defeased",IF($Z1029="Portion Of Loan Previously Defeased","Partially Defeased",IF($Z1029="Defeasance Not Allowable","Not Defeased (Not Permitted)","Not Defeased")))</f>
        <v/>
      </c>
      <c r="CJ1029" s="78">
        <f>IF($CI1029="Fully Defeased",1,0)</f>
        <v/>
      </c>
      <c r="CK1029" s="76">
        <f>IF($R1029="IO","Full IO",IF(LEFT($R1029&amp;"",7)="IO then","Partial IO","Amortizing"))</f>
        <v/>
      </c>
      <c r="CL1029" s="78">
        <f>IF($CK1029="Full IO",1,0)</f>
        <v/>
      </c>
      <c r="CM1029" s="78">
        <f>IF($CK1029="Partial IO",1,0)</f>
        <v/>
      </c>
      <c r="CN1029" s="76">
        <f>IF(LEFT($F1029&amp;"",10)="SPLIT_LOAN","Pari Passu Split","Standalone")</f>
        <v/>
      </c>
      <c r="CO1029" s="78">
        <f>IF($CN1029="Pari Passu Split",1,0)</f>
        <v/>
      </c>
      <c r="CP1029" s="77">
        <f>IF(ISNUMBER($T1029),YEAR($T1029),"")</f>
        <v/>
      </c>
      <c r="CQ1029" s="79">
        <f>IF(ISNUMBER($V1029),$V1029,IF(ISNUMBER($U1029),$U1029,""))</f>
        <v/>
      </c>
      <c r="CR1029" s="77">
        <f>IF(ISNUMBER($CQ1029),YEAR($CQ1029),"")</f>
        <v/>
      </c>
      <c r="CS1029" s="78">
        <f>IF(ISNUMBER($M1029),MAX(0,$M1029),IF(TRIM($M1029&amp;"")="matured",0,""))</f>
        <v/>
      </c>
      <c r="CT1029" s="78">
        <f>IF(AND(ISNUMBER($CS1029),N($CS1029)&lt;=mMatWindow),1,0)</f>
        <v/>
      </c>
      <c r="CU1029" s="80">
        <f>IF(ISNUMBER($J1029),$J1029/100,"")</f>
        <v/>
      </c>
      <c r="CV1029" s="81">
        <f>IF(ISNUMBER($AQ1029),$AQ1029,"")</f>
        <v/>
      </c>
      <c r="CW1029" s="81">
        <f>IF(ISNUMBER($AR1029),$AR1029,"")</f>
        <v/>
      </c>
      <c r="CX1029" s="82">
        <f>IF(ISNUMBER($AS1029),$AS1029/100,"")</f>
        <v/>
      </c>
      <c r="CY1029" s="82">
        <f>IF(ISNUMBER($AT1029),$AT1029/100,"")</f>
        <v/>
      </c>
      <c r="CZ1029" s="82">
        <f>IF(ISNUMBER($AU1029),$AU1029/100,"")</f>
        <v/>
      </c>
      <c r="DA1029" s="82">
        <f>IF(ISNUMBER($AV1029),$AV1029/100,"")</f>
        <v/>
      </c>
      <c r="DB1029" s="82">
        <f>IF(ISNUMBER($AW1029),$AW1029/100,"")</f>
        <v/>
      </c>
      <c r="DC1029" s="82">
        <f>IF(ISNUMBER($AX1029),$AX1029/100,"")</f>
        <v/>
      </c>
      <c r="DD1029" s="77">
        <f>IFERROR(VALUE(LEFT(TRIM($AO1029&amp;""),4)),"")</f>
        <v/>
      </c>
      <c r="DE1029" s="78">
        <f>IF(AND($BY1029=1,$BX1029=1,OR(fDeal="All Deals",$BU1029=fDeal),OR(fEntity="All Entities",$BV1029=fEntity),OR(fPType="All Property Types",$BZ1029=fPType),OR(fDefeased="Include",$CJ1029=0)),1,0)</f>
        <v/>
      </c>
      <c r="DF1029" s="83">
        <f>$DE1029*N($I1029)</f>
        <v/>
      </c>
      <c r="DG1029" s="78">
        <f>IF($DE1029=1,IF(COUNTIFS($F$8:$F1029,$F1029,$DE$8:$DE1029,1)=1,1,0),0)</f>
        <v/>
      </c>
      <c r="DH1029" s="83">
        <f>IF($DG1029=1,SUMIFS($DF$8:$DF$1600,$F$8:$F$1600,$F1029),0)</f>
        <v/>
      </c>
      <c r="DI1029" s="78">
        <f>IF($DG1029=1,COUNTIFS($F$8:$F$1600,$F1029,$DE$8:$DE$1600,1),0)</f>
        <v/>
      </c>
      <c r="DJ1029" s="84">
        <f>IF($DG1029=1,$DH1029+(100000-ROW())/mTieBreak,0)</f>
        <v/>
      </c>
    </row>
    <row r="1030">
      <c r="B1030" s="68" t="n">
        <v>27</v>
      </c>
      <c r="C1030" s="69" t="inlineStr">
        <is>
          <t>MSB17C33</t>
        </is>
      </c>
      <c r="D1030" s="69" t="inlineStr">
        <is>
          <t>27.000</t>
        </is>
      </c>
      <c r="E1030" s="69" t="inlineStr">
        <is>
          <t>Lemon Grove Plaza</t>
        </is>
      </c>
      <c r="F1030" s="69" t="inlineStr">
        <is>
          <t>LNMSB17C33-27.000</t>
        </is>
      </c>
      <c r="G1030" s="70" t="n"/>
      <c r="H1030" s="71" t="n">
        <v>10560000</v>
      </c>
      <c r="I1030" s="71" t="n">
        <v>9883373.479995841</v>
      </c>
      <c r="J1030" s="72" t="n">
        <v>5.28</v>
      </c>
      <c r="K1030" s="69" t="inlineStr">
        <is>
          <t>Fixed rate</t>
        </is>
      </c>
      <c r="L1030" s="68" t="n">
        <v>120</v>
      </c>
      <c r="M1030" s="68" t="n">
        <v>7</v>
      </c>
      <c r="N1030" s="68" t="n">
        <v>420</v>
      </c>
      <c r="O1030" s="68" t="n">
        <v>60</v>
      </c>
      <c r="P1030" s="68" t="n">
        <v>0</v>
      </c>
      <c r="Q1030" s="68" t="n">
        <v>113</v>
      </c>
      <c r="R1030" s="69" t="inlineStr">
        <is>
          <t>IO then Amort</t>
        </is>
      </c>
      <c r="S1030" s="69" t="inlineStr">
        <is>
          <t>No</t>
        </is>
      </c>
      <c r="T1030" s="73" t="n">
        <v>42826</v>
      </c>
      <c r="U1030" s="73" t="n">
        <v>46478</v>
      </c>
      <c r="V1030" s="73" t="n"/>
      <c r="W1030" s="69" t="n"/>
      <c r="X1030" s="69" t="inlineStr">
        <is>
          <t>Current</t>
        </is>
      </c>
      <c r="Y1030" s="68" t="n"/>
      <c r="Z1030" s="69" t="inlineStr">
        <is>
          <t>No Defeasance Occurred</t>
        </is>
      </c>
      <c r="AA1030" s="69" t="inlineStr">
        <is>
          <t>Previously</t>
        </is>
      </c>
      <c r="AB1030" s="69" t="inlineStr">
        <is>
          <t>Never special serv</t>
        </is>
      </c>
      <c r="AC1030" s="73" t="n"/>
      <c r="AD1030" s="69" t="n"/>
      <c r="AE1030" s="69" t="n"/>
      <c r="AF1030" s="69" t="inlineStr">
        <is>
          <t>CA</t>
        </is>
      </c>
      <c r="AG1030" s="69" t="inlineStr">
        <is>
          <t>Lemon Grove</t>
        </is>
      </c>
      <c r="AH1030" s="69" t="inlineStr">
        <is>
          <t>San Diego-Chula Vista-Carlsbad, CA</t>
        </is>
      </c>
      <c r="AI1030" s="69" t="inlineStr">
        <is>
          <t>West / Pacific South</t>
        </is>
      </c>
      <c r="AJ1030" s="69" t="inlineStr">
        <is>
          <t>RT</t>
        </is>
      </c>
      <c r="AK1030" s="69" t="inlineStr">
        <is>
          <t>Anchored</t>
        </is>
      </c>
      <c r="AL1030" s="68" t="n">
        <v>1</v>
      </c>
      <c r="AM1030" s="68" t="n"/>
      <c r="AN1030" s="68" t="n">
        <v>86742</v>
      </c>
      <c r="AO1030" s="69" t="inlineStr">
        <is>
          <t>1990</t>
        </is>
      </c>
      <c r="AP1030" s="70" t="n">
        <v>1990</v>
      </c>
      <c r="AQ1030" s="74" t="n">
        <v>1.64</v>
      </c>
      <c r="AR1030" s="74" t="n">
        <v>2.46</v>
      </c>
      <c r="AS1030" s="74" t="n">
        <v>48.73</v>
      </c>
      <c r="AT1030" s="74" t="n">
        <v>45.61</v>
      </c>
      <c r="AU1030" s="74" t="n">
        <v>45.2</v>
      </c>
      <c r="AV1030" s="74" t="n">
        <v>10.922225379</v>
      </c>
      <c r="AW1030" s="74" t="n">
        <v>17.508161596</v>
      </c>
      <c r="AX1030" s="75" t="n">
        <v>98</v>
      </c>
      <c r="AY1030" s="71" t="n">
        <v>21670000</v>
      </c>
      <c r="AZ1030" s="71" t="n">
        <v>21670000</v>
      </c>
      <c r="BA1030" s="71" t="n">
        <v>1153387</v>
      </c>
      <c r="BB1030" s="71" t="n">
        <v>1730397</v>
      </c>
      <c r="BC1030" s="69" t="inlineStr">
        <is>
          <t>Acquisition</t>
        </is>
      </c>
      <c r="BD1030" s="69" t="inlineStr">
        <is>
          <t>N</t>
        </is>
      </c>
      <c r="BE1030" s="71" t="n"/>
      <c r="BF1030" s="71" t="n"/>
      <c r="BG1030" s="71" t="n">
        <v>2875000</v>
      </c>
      <c r="BH1030" s="71" t="n">
        <v>0</v>
      </c>
      <c r="BI1030" s="71" t="n">
        <v>0</v>
      </c>
      <c r="BJ1030" s="69" t="inlineStr">
        <is>
          <t>N</t>
        </is>
      </c>
      <c r="BK1030" s="69" t="inlineStr">
        <is>
          <t>CVS</t>
        </is>
      </c>
      <c r="BL1030" s="75" t="n">
        <v>17.29</v>
      </c>
      <c r="BM1030" s="73" t="n">
        <v>49278</v>
      </c>
      <c r="BN1030" s="69" t="inlineStr">
        <is>
          <t>Starboard Realty Advisors LLC</t>
        </is>
      </c>
      <c r="BO1030" s="69" t="inlineStr">
        <is>
          <t>KeyBank</t>
        </is>
      </c>
      <c r="BP1030" s="69" t="inlineStr">
        <is>
          <t>TriMont Real Estate Advisors</t>
        </is>
      </c>
      <c r="BQ1030" s="69" t="inlineStr">
        <is>
          <t>Midland Loan Services</t>
        </is>
      </c>
      <c r="BR1030" s="69" t="n"/>
      <c r="BS1030" s="73" t="n">
        <v>46276</v>
      </c>
      <c r="BU1030" s="76">
        <f>IF($C1030="","",IFERROR(INDEX(dmName,MATCH($C1030,dmID,0)),"Unmapped"))</f>
        <v/>
      </c>
      <c r="BV1030" s="76">
        <f>IF($C1030="","",IFERROR(INDEX(dmEntity,MATCH($C1030,dmID,0)),"Unmapped"))</f>
        <v/>
      </c>
      <c r="BW1030" s="77">
        <f>IF($C1030="","",IFERROR(INDEX(dmVintage,MATCH($C1030,dmID,0)),""))</f>
        <v/>
      </c>
      <c r="BX1030" s="78">
        <f>IFERROR(INDEX(dmInclude,MATCH($C1030,dmID,0)),0)</f>
        <v/>
      </c>
      <c r="BY1030" s="78">
        <f>IF(N($I1030)&gt;0,1,0)</f>
        <v/>
      </c>
      <c r="BZ1030" s="76">
        <f>IF($AJ1030="","Other / Leased Fee",IFERROR(INDEX(mapPTGroup,MATCH(LEFT(TRIM($AJ1030),2),mapPTCode,0)),"Other / Leased Fee"))</f>
        <v/>
      </c>
      <c r="CA1030" s="76">
        <f>IF(TRIM($AF1030&amp;"")="","NR",LEFT(TRIM($AF1030),2))</f>
        <v/>
      </c>
      <c r="CB1030" s="76">
        <f>IFERROR(LOOKUP(2,1/(LEFT(TRIM($AI1030&amp;""),LEN(mapRegion))=mapRegion),mapRegion),"Not Reported")</f>
        <v/>
      </c>
      <c r="CC1030" s="76">
        <f>IF($BY1030=0,"",IF(TRIM($W1030&amp;"")="REO","REO",IF(TRIM($W1030&amp;"")="FC","Foreclosure",IF(TRIM($W1030&amp;"")="90+","90+ Days Delinquent",IF(TRIM($W1030&amp;"")="60","60 Days Delinquent",IF(TRIM($W1030&amp;"")="30","30 Days Delinquent",IF($X1030="Non-Performing Matured Balloon","Non-Performing Matured Balloon",IF(OR($X1030="Late Payment But Less Than 30 Days Delinquent",LEFT($X1030&amp;"",20)="Payment Not Received"),"Late / In Grace (&lt;30 Days)",IF($X1030="Performing Matured Balloon","Performing Matured Balloon","Current")))))))))</f>
        <v/>
      </c>
      <c r="CD1030" s="78">
        <f>IF(OR($CC1030="REO",$CC1030="Foreclosure",$CC1030="90+ Days Delinquent",$CC1030="60 Days Delinquent",$CC1030="30 Days Delinquent",$CC1030="Non-Performing Matured Balloon"),1,0)</f>
        <v/>
      </c>
      <c r="CE1030" s="76">
        <f>IF($AB1030="Currently special serv","Currently Specially Serviced",IF($AB1030="Returned to master serv","Previously Specially Serviced","Never Specially Serviced"))</f>
        <v/>
      </c>
      <c r="CF1030" s="78">
        <f>IF($CE1030="Currently Specially Serviced",1,0)</f>
        <v/>
      </c>
      <c r="CG1030" s="76">
        <f>IF($AA1030="Yes","Currently on Watchlist",IF($AA1030="Previously","Previously on Watchlist","Never on Watchlist"))</f>
        <v/>
      </c>
      <c r="CH1030" s="78">
        <f>IF($CG1030="Currently on Watchlist",1,0)</f>
        <v/>
      </c>
      <c r="CI1030" s="76">
        <f>IF($Z1030="Full Defeasance","Fully Defeased",IF($Z1030="Portion Of Loan Previously Defeased","Partially Defeased",IF($Z1030="Defeasance Not Allowable","Not Defeased (Not Permitted)","Not Defeased")))</f>
        <v/>
      </c>
      <c r="CJ1030" s="78">
        <f>IF($CI1030="Fully Defeased",1,0)</f>
        <v/>
      </c>
      <c r="CK1030" s="76">
        <f>IF($R1030="IO","Full IO",IF(LEFT($R1030&amp;"",7)="IO then","Partial IO","Amortizing"))</f>
        <v/>
      </c>
      <c r="CL1030" s="78">
        <f>IF($CK1030="Full IO",1,0)</f>
        <v/>
      </c>
      <c r="CM1030" s="78">
        <f>IF($CK1030="Partial IO",1,0)</f>
        <v/>
      </c>
      <c r="CN1030" s="76">
        <f>IF(LEFT($F1030&amp;"",10)="SPLIT_LOAN","Pari Passu Split","Standalone")</f>
        <v/>
      </c>
      <c r="CO1030" s="78">
        <f>IF($CN1030="Pari Passu Split",1,0)</f>
        <v/>
      </c>
      <c r="CP1030" s="77">
        <f>IF(ISNUMBER($T1030),YEAR($T1030),"")</f>
        <v/>
      </c>
      <c r="CQ1030" s="79">
        <f>IF(ISNUMBER($V1030),$V1030,IF(ISNUMBER($U1030),$U1030,""))</f>
        <v/>
      </c>
      <c r="CR1030" s="77">
        <f>IF(ISNUMBER($CQ1030),YEAR($CQ1030),"")</f>
        <v/>
      </c>
      <c r="CS1030" s="78">
        <f>IF(ISNUMBER($M1030),MAX(0,$M1030),IF(TRIM($M1030&amp;"")="matured",0,""))</f>
        <v/>
      </c>
      <c r="CT1030" s="78">
        <f>IF(AND(ISNUMBER($CS1030),N($CS1030)&lt;=mMatWindow),1,0)</f>
        <v/>
      </c>
      <c r="CU1030" s="80">
        <f>IF(ISNUMBER($J1030),$J1030/100,"")</f>
        <v/>
      </c>
      <c r="CV1030" s="81">
        <f>IF(ISNUMBER($AQ1030),$AQ1030,"")</f>
        <v/>
      </c>
      <c r="CW1030" s="81">
        <f>IF(ISNUMBER($AR1030),$AR1030,"")</f>
        <v/>
      </c>
      <c r="CX1030" s="82">
        <f>IF(ISNUMBER($AS1030),$AS1030/100,"")</f>
        <v/>
      </c>
      <c r="CY1030" s="82">
        <f>IF(ISNUMBER($AT1030),$AT1030/100,"")</f>
        <v/>
      </c>
      <c r="CZ1030" s="82">
        <f>IF(ISNUMBER($AU1030),$AU1030/100,"")</f>
        <v/>
      </c>
      <c r="DA1030" s="82">
        <f>IF(ISNUMBER($AV1030),$AV1030/100,"")</f>
        <v/>
      </c>
      <c r="DB1030" s="82">
        <f>IF(ISNUMBER($AW1030),$AW1030/100,"")</f>
        <v/>
      </c>
      <c r="DC1030" s="82">
        <f>IF(ISNUMBER($AX1030),$AX1030/100,"")</f>
        <v/>
      </c>
      <c r="DD1030" s="77">
        <f>IFERROR(VALUE(LEFT(TRIM($AO1030&amp;""),4)),"")</f>
        <v/>
      </c>
      <c r="DE1030" s="78">
        <f>IF(AND($BY1030=1,$BX1030=1,OR(fDeal="All Deals",$BU1030=fDeal),OR(fEntity="All Entities",$BV1030=fEntity),OR(fPType="All Property Types",$BZ1030=fPType),OR(fDefeased="Include",$CJ1030=0)),1,0)</f>
        <v/>
      </c>
      <c r="DF1030" s="83">
        <f>$DE1030*N($I1030)</f>
        <v/>
      </c>
      <c r="DG1030" s="78">
        <f>IF($DE1030=1,IF(COUNTIFS($F$8:$F1030,$F1030,$DE$8:$DE1030,1)=1,1,0),0)</f>
        <v/>
      </c>
      <c r="DH1030" s="83">
        <f>IF($DG1030=1,SUMIFS($DF$8:$DF$1600,$F$8:$F$1600,$F1030),0)</f>
        <v/>
      </c>
      <c r="DI1030" s="78">
        <f>IF($DG1030=1,COUNTIFS($F$8:$F$1600,$F1030,$DE$8:$DE$1600,1),0)</f>
        <v/>
      </c>
      <c r="DJ1030" s="84">
        <f>IF($DG1030=1,$DH1030+(100000-ROW())/mTieBreak,0)</f>
        <v/>
      </c>
    </row>
    <row r="1031">
      <c r="B1031" s="68" t="n">
        <v>28</v>
      </c>
      <c r="C1031" s="69" t="inlineStr">
        <is>
          <t>MSB17C33</t>
        </is>
      </c>
      <c r="D1031" s="69" t="inlineStr">
        <is>
          <t>28.000</t>
        </is>
      </c>
      <c r="E1031" s="69" t="inlineStr">
        <is>
          <t>CVS Euclid &amp; Austin</t>
        </is>
      </c>
      <c r="F1031" s="69" t="inlineStr">
        <is>
          <t>LNMSB17C33-28.000</t>
        </is>
      </c>
      <c r="G1031" s="70" t="n"/>
      <c r="H1031" s="71" t="n">
        <v>8600000</v>
      </c>
      <c r="I1031" s="71" t="n">
        <v>0</v>
      </c>
      <c r="J1031" s="72" t="n">
        <v>5.303</v>
      </c>
      <c r="K1031" s="69" t="inlineStr">
        <is>
          <t>Fixed rate</t>
        </is>
      </c>
      <c r="L1031" s="68" t="n">
        <v>84</v>
      </c>
      <c r="M1031" s="68" t="n"/>
      <c r="N1031" s="68" t="n">
        <v>396</v>
      </c>
      <c r="O1031" s="68" t="n">
        <v>36</v>
      </c>
      <c r="P1031" s="68" t="n"/>
      <c r="Q1031" s="68" t="n"/>
      <c r="R1031" s="69" t="inlineStr">
        <is>
          <t>IO then Amort</t>
        </is>
      </c>
      <c r="S1031" s="69" t="inlineStr">
        <is>
          <t>No</t>
        </is>
      </c>
      <c r="T1031" s="73" t="n">
        <v>42826</v>
      </c>
      <c r="U1031" s="73" t="n">
        <v>45383</v>
      </c>
      <c r="V1031" s="73" t="n"/>
      <c r="W1031" s="69" t="n"/>
      <c r="X1031" s="69" t="inlineStr">
        <is>
          <t>Current</t>
        </is>
      </c>
      <c r="Y1031" s="68" t="n"/>
      <c r="Z1031" s="69" t="inlineStr">
        <is>
          <t>No Defeasance Occurred</t>
        </is>
      </c>
      <c r="AA1031" s="69" t="inlineStr">
        <is>
          <t>Previously</t>
        </is>
      </c>
      <c r="AB1031" s="69" t="inlineStr">
        <is>
          <t>Never special serv</t>
        </is>
      </c>
      <c r="AC1031" s="73" t="n"/>
      <c r="AD1031" s="69" t="n"/>
      <c r="AE1031" s="69" t="n"/>
      <c r="AF1031" s="69" t="inlineStr">
        <is>
          <t>OH-58.604651163% TX-41.395348837%</t>
        </is>
      </c>
      <c r="AG1031" s="69" t="n"/>
      <c r="AH1031" s="69" t="inlineStr">
        <is>
          <t>Cleveland, OH-58.604651163% Austin-Round Rock-San Marcos, TX-41.395348837%</t>
        </is>
      </c>
      <c r="AI1031" s="69" t="inlineStr">
        <is>
          <t>Midwest / Central East-58.604651163% South / Central West-41.395348837%</t>
        </is>
      </c>
      <c r="AJ1031" s="69" t="inlineStr">
        <is>
          <t>RT</t>
        </is>
      </c>
      <c r="AK1031" s="69" t="inlineStr">
        <is>
          <t>Free Standing</t>
        </is>
      </c>
      <c r="AL1031" s="68" t="n">
        <v>2</v>
      </c>
      <c r="AM1031" s="68" t="n"/>
      <c r="AN1031" s="68" t="n">
        <v>25871</v>
      </c>
      <c r="AO1031" s="69" t="n"/>
      <c r="AP1031" s="70" t="n">
        <v>2009</v>
      </c>
      <c r="AQ1031" s="74" t="n">
        <v>1.25</v>
      </c>
      <c r="AR1031" s="74" t="n">
        <v>1.22</v>
      </c>
      <c r="AS1031" s="74" t="n">
        <v>72.59999999999999</v>
      </c>
      <c r="AT1031" s="74" t="n"/>
      <c r="AU1031" s="74" t="n">
        <v>68.59999999999999</v>
      </c>
      <c r="AV1031" s="74" t="n">
        <v>8.327256047000001</v>
      </c>
      <c r="AW1031" s="74" t="n"/>
      <c r="AX1031" s="75" t="n">
        <v>100</v>
      </c>
      <c r="AY1031" s="71" t="n">
        <v>11840000</v>
      </c>
      <c r="AZ1031" s="71" t="n">
        <v>11840000</v>
      </c>
      <c r="BA1031" s="71" t="n">
        <v>716144.02</v>
      </c>
      <c r="BB1031" s="71" t="n">
        <v>697706.1</v>
      </c>
      <c r="BC1031" s="69" t="inlineStr">
        <is>
          <t>Acquisition</t>
        </is>
      </c>
      <c r="BD1031" s="69" t="inlineStr">
        <is>
          <t>N</t>
        </is>
      </c>
      <c r="BE1031" s="71" t="n"/>
      <c r="BF1031" s="71" t="n"/>
      <c r="BG1031" s="71" t="n"/>
      <c r="BH1031" s="71" t="n">
        <v>0</v>
      </c>
      <c r="BI1031" s="71" t="n">
        <v>0</v>
      </c>
      <c r="BJ1031" s="69" t="inlineStr">
        <is>
          <t>N</t>
        </is>
      </c>
      <c r="BK1031" s="69" t="inlineStr">
        <is>
          <t>CVS</t>
        </is>
      </c>
      <c r="BL1031" s="75" t="n">
        <v>100</v>
      </c>
      <c r="BM1031" s="73" t="n">
        <v>48244</v>
      </c>
      <c r="BN1031" s="69" t="inlineStr">
        <is>
          <t>Peter C. Cooper</t>
        </is>
      </c>
      <c r="BO1031" s="69" t="inlineStr">
        <is>
          <t>Bank of America</t>
        </is>
      </c>
      <c r="BP1031" s="69" t="inlineStr">
        <is>
          <t>Wells Fargo</t>
        </is>
      </c>
      <c r="BQ1031" s="69" t="inlineStr">
        <is>
          <t>Midland Loan Services</t>
        </is>
      </c>
      <c r="BR1031" s="69" t="inlineStr">
        <is>
          <t>Full Payoff At Maturity</t>
        </is>
      </c>
      <c r="BS1031" s="73" t="n">
        <v>45393</v>
      </c>
      <c r="BU1031" s="76">
        <f>IF($C1031="","",IFERROR(INDEX(dmName,MATCH($C1031,dmID,0)),"Unmapped"))</f>
        <v/>
      </c>
      <c r="BV1031" s="76">
        <f>IF($C1031="","",IFERROR(INDEX(dmEntity,MATCH($C1031,dmID,0)),"Unmapped"))</f>
        <v/>
      </c>
      <c r="BW1031" s="77">
        <f>IF($C1031="","",IFERROR(INDEX(dmVintage,MATCH($C1031,dmID,0)),""))</f>
        <v/>
      </c>
      <c r="BX1031" s="78">
        <f>IFERROR(INDEX(dmInclude,MATCH($C1031,dmID,0)),0)</f>
        <v/>
      </c>
      <c r="BY1031" s="78">
        <f>IF(N($I1031)&gt;0,1,0)</f>
        <v/>
      </c>
      <c r="BZ1031" s="76">
        <f>IF($AJ1031="","Other / Leased Fee",IFERROR(INDEX(mapPTGroup,MATCH(LEFT(TRIM($AJ1031),2),mapPTCode,0)),"Other / Leased Fee"))</f>
        <v/>
      </c>
      <c r="CA1031" s="76">
        <f>IF(TRIM($AF1031&amp;"")="","NR",LEFT(TRIM($AF1031),2))</f>
        <v/>
      </c>
      <c r="CB1031" s="76">
        <f>IFERROR(LOOKUP(2,1/(LEFT(TRIM($AI1031&amp;""),LEN(mapRegion))=mapRegion),mapRegion),"Not Reported")</f>
        <v/>
      </c>
      <c r="CC1031" s="76">
        <f>IF($BY1031=0,"",IF(TRIM($W1031&amp;"")="REO","REO",IF(TRIM($W1031&amp;"")="FC","Foreclosure",IF(TRIM($W1031&amp;"")="90+","90+ Days Delinquent",IF(TRIM($W1031&amp;"")="60","60 Days Delinquent",IF(TRIM($W1031&amp;"")="30","30 Days Delinquent",IF($X1031="Non-Performing Matured Balloon","Non-Performing Matured Balloon",IF(OR($X1031="Late Payment But Less Than 30 Days Delinquent",LEFT($X1031&amp;"",20)="Payment Not Received"),"Late / In Grace (&lt;30 Days)",IF($X1031="Performing Matured Balloon","Performing Matured Balloon","Current")))))))))</f>
        <v/>
      </c>
      <c r="CD1031" s="78">
        <f>IF(OR($CC1031="REO",$CC1031="Foreclosure",$CC1031="90+ Days Delinquent",$CC1031="60 Days Delinquent",$CC1031="30 Days Delinquent",$CC1031="Non-Performing Matured Balloon"),1,0)</f>
        <v/>
      </c>
      <c r="CE1031" s="76">
        <f>IF($AB1031="Currently special serv","Currently Specially Serviced",IF($AB1031="Returned to master serv","Previously Specially Serviced","Never Specially Serviced"))</f>
        <v/>
      </c>
      <c r="CF1031" s="78">
        <f>IF($CE1031="Currently Specially Serviced",1,0)</f>
        <v/>
      </c>
      <c r="CG1031" s="76">
        <f>IF($AA1031="Yes","Currently on Watchlist",IF($AA1031="Previously","Previously on Watchlist","Never on Watchlist"))</f>
        <v/>
      </c>
      <c r="CH1031" s="78">
        <f>IF($CG1031="Currently on Watchlist",1,0)</f>
        <v/>
      </c>
      <c r="CI1031" s="76">
        <f>IF($Z1031="Full Defeasance","Fully Defeased",IF($Z1031="Portion Of Loan Previously Defeased","Partially Defeased",IF($Z1031="Defeasance Not Allowable","Not Defeased (Not Permitted)","Not Defeased")))</f>
        <v/>
      </c>
      <c r="CJ1031" s="78">
        <f>IF($CI1031="Fully Defeased",1,0)</f>
        <v/>
      </c>
      <c r="CK1031" s="76">
        <f>IF($R1031="IO","Full IO",IF(LEFT($R1031&amp;"",7)="IO then","Partial IO","Amortizing"))</f>
        <v/>
      </c>
      <c r="CL1031" s="78">
        <f>IF($CK1031="Full IO",1,0)</f>
        <v/>
      </c>
      <c r="CM1031" s="78">
        <f>IF($CK1031="Partial IO",1,0)</f>
        <v/>
      </c>
      <c r="CN1031" s="76">
        <f>IF(LEFT($F1031&amp;"",10)="SPLIT_LOAN","Pari Passu Split","Standalone")</f>
        <v/>
      </c>
      <c r="CO1031" s="78">
        <f>IF($CN1031="Pari Passu Split",1,0)</f>
        <v/>
      </c>
      <c r="CP1031" s="77">
        <f>IF(ISNUMBER($T1031),YEAR($T1031),"")</f>
        <v/>
      </c>
      <c r="CQ1031" s="79">
        <f>IF(ISNUMBER($V1031),$V1031,IF(ISNUMBER($U1031),$U1031,""))</f>
        <v/>
      </c>
      <c r="CR1031" s="77">
        <f>IF(ISNUMBER($CQ1031),YEAR($CQ1031),"")</f>
        <v/>
      </c>
      <c r="CS1031" s="78">
        <f>IF(ISNUMBER($M1031),MAX(0,$M1031),IF(TRIM($M1031&amp;"")="matured",0,""))</f>
        <v/>
      </c>
      <c r="CT1031" s="78">
        <f>IF(AND(ISNUMBER($CS1031),N($CS1031)&lt;=mMatWindow),1,0)</f>
        <v/>
      </c>
      <c r="CU1031" s="80">
        <f>IF(ISNUMBER($J1031),$J1031/100,"")</f>
        <v/>
      </c>
      <c r="CV1031" s="81">
        <f>IF(ISNUMBER($AQ1031),$AQ1031,"")</f>
        <v/>
      </c>
      <c r="CW1031" s="81">
        <f>IF(ISNUMBER($AR1031),$AR1031,"")</f>
        <v/>
      </c>
      <c r="CX1031" s="82">
        <f>IF(ISNUMBER($AS1031),$AS1031/100,"")</f>
        <v/>
      </c>
      <c r="CY1031" s="82">
        <f>IF(ISNUMBER($AT1031),$AT1031/100,"")</f>
        <v/>
      </c>
      <c r="CZ1031" s="82">
        <f>IF(ISNUMBER($AU1031),$AU1031/100,"")</f>
        <v/>
      </c>
      <c r="DA1031" s="82">
        <f>IF(ISNUMBER($AV1031),$AV1031/100,"")</f>
        <v/>
      </c>
      <c r="DB1031" s="82">
        <f>IF(ISNUMBER($AW1031),$AW1031/100,"")</f>
        <v/>
      </c>
      <c r="DC1031" s="82">
        <f>IF(ISNUMBER($AX1031),$AX1031/100,"")</f>
        <v/>
      </c>
      <c r="DD1031" s="77">
        <f>IFERROR(VALUE(LEFT(TRIM($AO1031&amp;""),4)),"")</f>
        <v/>
      </c>
      <c r="DE1031" s="78">
        <f>IF(AND($BY1031=1,$BX1031=1,OR(fDeal="All Deals",$BU1031=fDeal),OR(fEntity="All Entities",$BV1031=fEntity),OR(fPType="All Property Types",$BZ1031=fPType),OR(fDefeased="Include",$CJ1031=0)),1,0)</f>
        <v/>
      </c>
      <c r="DF1031" s="83">
        <f>$DE1031*N($I1031)</f>
        <v/>
      </c>
      <c r="DG1031" s="78">
        <f>IF($DE1031=1,IF(COUNTIFS($F$8:$F1031,$F1031,$DE$8:$DE1031,1)=1,1,0),0)</f>
        <v/>
      </c>
      <c r="DH1031" s="83">
        <f>IF($DG1031=1,SUMIFS($DF$8:$DF$1600,$F$8:$F$1600,$F1031),0)</f>
        <v/>
      </c>
      <c r="DI1031" s="78">
        <f>IF($DG1031=1,COUNTIFS($F$8:$F$1600,$F1031,$DE$8:$DE$1600,1),0)</f>
        <v/>
      </c>
      <c r="DJ1031" s="84">
        <f>IF($DG1031=1,$DH1031+(100000-ROW())/mTieBreak,0)</f>
        <v/>
      </c>
    </row>
    <row r="1032">
      <c r="B1032" s="68" t="n">
        <v>29</v>
      </c>
      <c r="C1032" s="69" t="inlineStr">
        <is>
          <t>MSB17C33</t>
        </is>
      </c>
      <c r="D1032" s="69" t="inlineStr">
        <is>
          <t>29.000</t>
        </is>
      </c>
      <c r="E1032" s="69" t="inlineStr">
        <is>
          <t>Tops Portfolio</t>
        </is>
      </c>
      <c r="F1032" s="69" t="inlineStr">
        <is>
          <t>SPLIT_LOAN_00976</t>
        </is>
      </c>
      <c r="G1032" s="70" t="n">
        <v>976</v>
      </c>
      <c r="H1032" s="71" t="n">
        <v>7533000</v>
      </c>
      <c r="I1032" s="71" t="n">
        <v>6269552.700003225</v>
      </c>
      <c r="J1032" s="72" t="n">
        <v>4.95</v>
      </c>
      <c r="K1032" s="69" t="inlineStr">
        <is>
          <t>Fixed rate</t>
        </is>
      </c>
      <c r="L1032" s="68" t="n">
        <v>120</v>
      </c>
      <c r="M1032" s="68" t="n">
        <v>6</v>
      </c>
      <c r="N1032" s="68" t="n">
        <v>360</v>
      </c>
      <c r="O1032" s="68" t="n"/>
      <c r="P1032" s="68" t="n"/>
      <c r="Q1032" s="68" t="n">
        <v>114</v>
      </c>
      <c r="R1032" s="69" t="n"/>
      <c r="S1032" s="69" t="inlineStr">
        <is>
          <t>No</t>
        </is>
      </c>
      <c r="T1032" s="73" t="n">
        <v>42795</v>
      </c>
      <c r="U1032" s="73" t="n">
        <v>46447</v>
      </c>
      <c r="V1032" s="73" t="n"/>
      <c r="W1032" s="69" t="n"/>
      <c r="X1032" s="69" t="inlineStr">
        <is>
          <t>Current</t>
        </is>
      </c>
      <c r="Y1032" s="68" t="n"/>
      <c r="Z1032" s="69" t="inlineStr">
        <is>
          <t>Full Defeasance</t>
        </is>
      </c>
      <c r="AA1032" s="69" t="inlineStr">
        <is>
          <t>Previously</t>
        </is>
      </c>
      <c r="AB1032" s="69" t="inlineStr">
        <is>
          <t>Never special serv</t>
        </is>
      </c>
      <c r="AC1032" s="73" t="n"/>
      <c r="AD1032" s="69" t="n"/>
      <c r="AE1032" s="69" t="n"/>
      <c r="AF1032" s="69" t="inlineStr">
        <is>
          <t>NY</t>
        </is>
      </c>
      <c r="AG1032" s="69" t="n"/>
      <c r="AH1032" s="69" t="inlineStr">
        <is>
          <t>Buffalo-Cheektowaga, NY-75.968869996% Rochester, NY-24.031130004%</t>
        </is>
      </c>
      <c r="AI1032" s="69" t="inlineStr">
        <is>
          <t>Northeast / Mid-Atlantic</t>
        </is>
      </c>
      <c r="AJ1032" s="69" t="inlineStr">
        <is>
          <t>RT</t>
        </is>
      </c>
      <c r="AK1032" s="69" t="inlineStr">
        <is>
          <t>Anchored</t>
        </is>
      </c>
      <c r="AL1032" s="68" t="n">
        <v>3</v>
      </c>
      <c r="AM1032" s="68" t="n"/>
      <c r="AN1032" s="68" t="n">
        <v>246777</v>
      </c>
      <c r="AO1032" s="69" t="n"/>
      <c r="AP1032" s="70" t="n">
        <v>1999</v>
      </c>
      <c r="AQ1032" s="74" t="n">
        <v>1.42</v>
      </c>
      <c r="AR1032" s="74" t="n">
        <v>1.18</v>
      </c>
      <c r="AS1032" s="74" t="n">
        <v>71.83</v>
      </c>
      <c r="AT1032" s="74" t="n">
        <v>59.92</v>
      </c>
      <c r="AU1032" s="74" t="n">
        <v>59.26</v>
      </c>
      <c r="AV1032" s="74" t="n">
        <v>9.084488199000001</v>
      </c>
      <c r="AW1032" s="74" t="n">
        <v>9.444535480000001</v>
      </c>
      <c r="AX1032" s="75" t="n">
        <v>97</v>
      </c>
      <c r="AY1032" s="71" t="n">
        <v>27130000</v>
      </c>
      <c r="AZ1032" s="71" t="n">
        <v>27130000</v>
      </c>
      <c r="BA1032" s="71" t="n">
        <v>1774473.08</v>
      </c>
      <c r="BB1032" s="71" t="n">
        <v>740543</v>
      </c>
      <c r="BC1032" s="69" t="inlineStr">
        <is>
          <t>Refinance</t>
        </is>
      </c>
      <c r="BD1032" s="69" t="inlineStr">
        <is>
          <t>N</t>
        </is>
      </c>
      <c r="BE1032" s="71" t="n">
        <v>9987340.01</v>
      </c>
      <c r="BF1032" s="71" t="n"/>
      <c r="BG1032" s="71" t="n"/>
      <c r="BH1032" s="71" t="n">
        <v>0</v>
      </c>
      <c r="BI1032" s="71" t="n">
        <v>0</v>
      </c>
      <c r="BJ1032" s="69" t="inlineStr">
        <is>
          <t>N</t>
        </is>
      </c>
      <c r="BK1032" s="69" t="inlineStr">
        <is>
          <t>TOPS  INC</t>
        </is>
      </c>
      <c r="BL1032" s="75" t="n">
        <v>48.82</v>
      </c>
      <c r="BM1032" s="73" t="n">
        <v>46843</v>
      </c>
      <c r="BN1032" s="69" t="inlineStr">
        <is>
          <t>Robert Gershon</t>
        </is>
      </c>
      <c r="BO1032" s="69" t="inlineStr">
        <is>
          <t>KeyBank</t>
        </is>
      </c>
      <c r="BP1032" s="69" t="inlineStr">
        <is>
          <t>TriMont Real Estate Advisors</t>
        </is>
      </c>
      <c r="BQ1032" s="69" t="inlineStr">
        <is>
          <t>Midland Loan Services</t>
        </is>
      </c>
      <c r="BR1032" s="69" t="n"/>
      <c r="BS1032" s="73" t="n">
        <v>46276</v>
      </c>
      <c r="BU1032" s="76">
        <f>IF($C1032="","",IFERROR(INDEX(dmName,MATCH($C1032,dmID,0)),"Unmapped"))</f>
        <v/>
      </c>
      <c r="BV1032" s="76">
        <f>IF($C1032="","",IFERROR(INDEX(dmEntity,MATCH($C1032,dmID,0)),"Unmapped"))</f>
        <v/>
      </c>
      <c r="BW1032" s="77">
        <f>IF($C1032="","",IFERROR(INDEX(dmVintage,MATCH($C1032,dmID,0)),""))</f>
        <v/>
      </c>
      <c r="BX1032" s="78">
        <f>IFERROR(INDEX(dmInclude,MATCH($C1032,dmID,0)),0)</f>
        <v/>
      </c>
      <c r="BY1032" s="78">
        <f>IF(N($I1032)&gt;0,1,0)</f>
        <v/>
      </c>
      <c r="BZ1032" s="76">
        <f>IF($AJ1032="","Other / Leased Fee",IFERROR(INDEX(mapPTGroup,MATCH(LEFT(TRIM($AJ1032),2),mapPTCode,0)),"Other / Leased Fee"))</f>
        <v/>
      </c>
      <c r="CA1032" s="76">
        <f>IF(TRIM($AF1032&amp;"")="","NR",LEFT(TRIM($AF1032),2))</f>
        <v/>
      </c>
      <c r="CB1032" s="76">
        <f>IFERROR(LOOKUP(2,1/(LEFT(TRIM($AI1032&amp;""),LEN(mapRegion))=mapRegion),mapRegion),"Not Reported")</f>
        <v/>
      </c>
      <c r="CC1032" s="76">
        <f>IF($BY1032=0,"",IF(TRIM($W1032&amp;"")="REO","REO",IF(TRIM($W1032&amp;"")="FC","Foreclosure",IF(TRIM($W1032&amp;"")="90+","90+ Days Delinquent",IF(TRIM($W1032&amp;"")="60","60 Days Delinquent",IF(TRIM($W1032&amp;"")="30","30 Days Delinquent",IF($X1032="Non-Performing Matured Balloon","Non-Performing Matured Balloon",IF(OR($X1032="Late Payment But Less Than 30 Days Delinquent",LEFT($X1032&amp;"",20)="Payment Not Received"),"Late / In Grace (&lt;30 Days)",IF($X1032="Performing Matured Balloon","Performing Matured Balloon","Current")))))))))</f>
        <v/>
      </c>
      <c r="CD1032" s="78">
        <f>IF(OR($CC1032="REO",$CC1032="Foreclosure",$CC1032="90+ Days Delinquent",$CC1032="60 Days Delinquent",$CC1032="30 Days Delinquent",$CC1032="Non-Performing Matured Balloon"),1,0)</f>
        <v/>
      </c>
      <c r="CE1032" s="76">
        <f>IF($AB1032="Currently special serv","Currently Specially Serviced",IF($AB1032="Returned to master serv","Previously Specially Serviced","Never Specially Serviced"))</f>
        <v/>
      </c>
      <c r="CF1032" s="78">
        <f>IF($CE1032="Currently Specially Serviced",1,0)</f>
        <v/>
      </c>
      <c r="CG1032" s="76">
        <f>IF($AA1032="Yes","Currently on Watchlist",IF($AA1032="Previously","Previously on Watchlist","Never on Watchlist"))</f>
        <v/>
      </c>
      <c r="CH1032" s="78">
        <f>IF($CG1032="Currently on Watchlist",1,0)</f>
        <v/>
      </c>
      <c r="CI1032" s="76">
        <f>IF($Z1032="Full Defeasance","Fully Defeased",IF($Z1032="Portion Of Loan Previously Defeased","Partially Defeased",IF($Z1032="Defeasance Not Allowable","Not Defeased (Not Permitted)","Not Defeased")))</f>
        <v/>
      </c>
      <c r="CJ1032" s="78">
        <f>IF($CI1032="Fully Defeased",1,0)</f>
        <v/>
      </c>
      <c r="CK1032" s="76">
        <f>IF($R1032="IO","Full IO",IF(LEFT($R1032&amp;"",7)="IO then","Partial IO","Amortizing"))</f>
        <v/>
      </c>
      <c r="CL1032" s="78">
        <f>IF($CK1032="Full IO",1,0)</f>
        <v/>
      </c>
      <c r="CM1032" s="78">
        <f>IF($CK1032="Partial IO",1,0)</f>
        <v/>
      </c>
      <c r="CN1032" s="76">
        <f>IF(LEFT($F1032&amp;"",10)="SPLIT_LOAN","Pari Passu Split","Standalone")</f>
        <v/>
      </c>
      <c r="CO1032" s="78">
        <f>IF($CN1032="Pari Passu Split",1,0)</f>
        <v/>
      </c>
      <c r="CP1032" s="77">
        <f>IF(ISNUMBER($T1032),YEAR($T1032),"")</f>
        <v/>
      </c>
      <c r="CQ1032" s="79">
        <f>IF(ISNUMBER($V1032),$V1032,IF(ISNUMBER($U1032),$U1032,""))</f>
        <v/>
      </c>
      <c r="CR1032" s="77">
        <f>IF(ISNUMBER($CQ1032),YEAR($CQ1032),"")</f>
        <v/>
      </c>
      <c r="CS1032" s="78">
        <f>IF(ISNUMBER($M1032),MAX(0,$M1032),IF(TRIM($M1032&amp;"")="matured",0,""))</f>
        <v/>
      </c>
      <c r="CT1032" s="78">
        <f>IF(AND(ISNUMBER($CS1032),N($CS1032)&lt;=mMatWindow),1,0)</f>
        <v/>
      </c>
      <c r="CU1032" s="80">
        <f>IF(ISNUMBER($J1032),$J1032/100,"")</f>
        <v/>
      </c>
      <c r="CV1032" s="81">
        <f>IF(ISNUMBER($AQ1032),$AQ1032,"")</f>
        <v/>
      </c>
      <c r="CW1032" s="81">
        <f>IF(ISNUMBER($AR1032),$AR1032,"")</f>
        <v/>
      </c>
      <c r="CX1032" s="82">
        <f>IF(ISNUMBER($AS1032),$AS1032/100,"")</f>
        <v/>
      </c>
      <c r="CY1032" s="82">
        <f>IF(ISNUMBER($AT1032),$AT1032/100,"")</f>
        <v/>
      </c>
      <c r="CZ1032" s="82">
        <f>IF(ISNUMBER($AU1032),$AU1032/100,"")</f>
        <v/>
      </c>
      <c r="DA1032" s="82">
        <f>IF(ISNUMBER($AV1032),$AV1032/100,"")</f>
        <v/>
      </c>
      <c r="DB1032" s="82">
        <f>IF(ISNUMBER($AW1032),$AW1032/100,"")</f>
        <v/>
      </c>
      <c r="DC1032" s="82">
        <f>IF(ISNUMBER($AX1032),$AX1032/100,"")</f>
        <v/>
      </c>
      <c r="DD1032" s="77">
        <f>IFERROR(VALUE(LEFT(TRIM($AO1032&amp;""),4)),"")</f>
        <v/>
      </c>
      <c r="DE1032" s="78">
        <f>IF(AND($BY1032=1,$BX1032=1,OR(fDeal="All Deals",$BU1032=fDeal),OR(fEntity="All Entities",$BV1032=fEntity),OR(fPType="All Property Types",$BZ1032=fPType),OR(fDefeased="Include",$CJ1032=0)),1,0)</f>
        <v/>
      </c>
      <c r="DF1032" s="83">
        <f>$DE1032*N($I1032)</f>
        <v/>
      </c>
      <c r="DG1032" s="78">
        <f>IF($DE1032=1,IF(COUNTIFS($F$8:$F1032,$F1032,$DE$8:$DE1032,1)=1,1,0),0)</f>
        <v/>
      </c>
      <c r="DH1032" s="83">
        <f>IF($DG1032=1,SUMIFS($DF$8:$DF$1600,$F$8:$F$1600,$F1032),0)</f>
        <v/>
      </c>
      <c r="DI1032" s="78">
        <f>IF($DG1032=1,COUNTIFS($F$8:$F$1600,$F1032,$DE$8:$DE$1600,1),0)</f>
        <v/>
      </c>
      <c r="DJ1032" s="84">
        <f>IF($DG1032=1,$DH1032+(100000-ROW())/mTieBreak,0)</f>
        <v/>
      </c>
    </row>
    <row r="1033">
      <c r="B1033" s="68" t="n">
        <v>30</v>
      </c>
      <c r="C1033" s="69" t="inlineStr">
        <is>
          <t>MSB17C33</t>
        </is>
      </c>
      <c r="D1033" s="69" t="inlineStr">
        <is>
          <t>30.000</t>
        </is>
      </c>
      <c r="E1033" s="69" t="inlineStr">
        <is>
          <t>Dollar Self Storage Peoria</t>
        </is>
      </c>
      <c r="F1033" s="69" t="inlineStr">
        <is>
          <t>LNMSB17C33-30.000</t>
        </is>
      </c>
      <c r="G1033" s="70" t="n"/>
      <c r="H1033" s="71" t="n">
        <v>7300000</v>
      </c>
      <c r="I1033" s="71" t="n">
        <v>6129712.070003599</v>
      </c>
      <c r="J1033" s="72" t="n">
        <v>5.24</v>
      </c>
      <c r="K1033" s="69" t="inlineStr">
        <is>
          <t>Fixed rate</t>
        </is>
      </c>
      <c r="L1033" s="68" t="n">
        <v>120</v>
      </c>
      <c r="M1033" s="68" t="n">
        <v>6</v>
      </c>
      <c r="N1033" s="68" t="n">
        <v>360</v>
      </c>
      <c r="O1033" s="68" t="n"/>
      <c r="P1033" s="68" t="n"/>
      <c r="Q1033" s="68" t="n">
        <v>114</v>
      </c>
      <c r="R1033" s="69" t="n"/>
      <c r="S1033" s="69" t="inlineStr">
        <is>
          <t>No</t>
        </is>
      </c>
      <c r="T1033" s="73" t="n">
        <v>42795</v>
      </c>
      <c r="U1033" s="73" t="n">
        <v>46447</v>
      </c>
      <c r="V1033" s="73" t="n"/>
      <c r="W1033" s="69" t="n"/>
      <c r="X1033" s="69" t="inlineStr">
        <is>
          <t>Current</t>
        </is>
      </c>
      <c r="Y1033" s="68" t="n"/>
      <c r="Z1033" s="69" t="inlineStr">
        <is>
          <t>No Defeasance Occurred</t>
        </is>
      </c>
      <c r="AA1033" s="69" t="inlineStr">
        <is>
          <t>Yes</t>
        </is>
      </c>
      <c r="AB1033" s="69" t="inlineStr">
        <is>
          <t>Never special serv</t>
        </is>
      </c>
      <c r="AC1033" s="73" t="n"/>
      <c r="AD1033" s="69" t="n"/>
      <c r="AE1033" s="69" t="n"/>
      <c r="AF1033" s="69" t="inlineStr">
        <is>
          <t>AZ</t>
        </is>
      </c>
      <c r="AG1033" s="69" t="inlineStr">
        <is>
          <t>Phoenix</t>
        </is>
      </c>
      <c r="AH1033" s="69" t="inlineStr">
        <is>
          <t>Phoenix-Mesa-Chandler, AZ</t>
        </is>
      </c>
      <c r="AI1033" s="69" t="inlineStr">
        <is>
          <t>West / Mountain</t>
        </is>
      </c>
      <c r="AJ1033" s="69" t="inlineStr">
        <is>
          <t>SS</t>
        </is>
      </c>
      <c r="AK1033" s="69" t="n"/>
      <c r="AL1033" s="68" t="n">
        <v>1</v>
      </c>
      <c r="AM1033" s="68" t="n"/>
      <c r="AN1033" s="68" t="n">
        <v>87435</v>
      </c>
      <c r="AO1033" s="69" t="inlineStr">
        <is>
          <t>2000</t>
        </is>
      </c>
      <c r="AP1033" s="70" t="n">
        <v>2000</v>
      </c>
      <c r="AQ1033" s="74" t="n">
        <v>1.4</v>
      </c>
      <c r="AR1033" s="74" t="n">
        <v>1.94</v>
      </c>
      <c r="AS1033" s="74" t="n">
        <v>52.22</v>
      </c>
      <c r="AT1033" s="74" t="n">
        <v>43.94</v>
      </c>
      <c r="AU1033" s="74" t="n">
        <v>43.47</v>
      </c>
      <c r="AV1033" s="74" t="n">
        <v>9.281054794999999</v>
      </c>
      <c r="AW1033" s="74" t="n">
        <v>15.264224311</v>
      </c>
      <c r="AX1033" s="75" t="n">
        <v>82</v>
      </c>
      <c r="AY1033" s="71" t="n">
        <v>13950000</v>
      </c>
      <c r="AZ1033" s="71" t="n">
        <v>13950000</v>
      </c>
      <c r="BA1033" s="71" t="n">
        <v>677517</v>
      </c>
      <c r="BB1033" s="71" t="n">
        <v>935653</v>
      </c>
      <c r="BC1033" s="69" t="inlineStr">
        <is>
          <t>Refinance</t>
        </is>
      </c>
      <c r="BD1033" s="69" t="inlineStr">
        <is>
          <t>N</t>
        </is>
      </c>
      <c r="BE1033" s="71" t="n"/>
      <c r="BF1033" s="71" t="n"/>
      <c r="BG1033" s="71" t="n"/>
      <c r="BH1033" s="71" t="n">
        <v>0</v>
      </c>
      <c r="BI1033" s="71" t="n">
        <v>0</v>
      </c>
      <c r="BJ1033" s="69" t="inlineStr">
        <is>
          <t>N</t>
        </is>
      </c>
      <c r="BK1033" s="69" t="n"/>
      <c r="BL1033" s="75" t="n"/>
      <c r="BM1033" s="73" t="n"/>
      <c r="BN1033" s="69" t="inlineStr">
        <is>
          <t>Stadium Properties, LLC</t>
        </is>
      </c>
      <c r="BO1033" s="69" t="inlineStr">
        <is>
          <t>KeyBank</t>
        </is>
      </c>
      <c r="BP1033" s="69" t="inlineStr">
        <is>
          <t>TriMont Real Estate Advisors</t>
        </is>
      </c>
      <c r="BQ1033" s="69" t="inlineStr">
        <is>
          <t>Midland Loan Services</t>
        </is>
      </c>
      <c r="BR1033" s="69" t="n"/>
      <c r="BS1033" s="73" t="n">
        <v>46276</v>
      </c>
      <c r="BU1033" s="76">
        <f>IF($C1033="","",IFERROR(INDEX(dmName,MATCH($C1033,dmID,0)),"Unmapped"))</f>
        <v/>
      </c>
      <c r="BV1033" s="76">
        <f>IF($C1033="","",IFERROR(INDEX(dmEntity,MATCH($C1033,dmID,0)),"Unmapped"))</f>
        <v/>
      </c>
      <c r="BW1033" s="77">
        <f>IF($C1033="","",IFERROR(INDEX(dmVintage,MATCH($C1033,dmID,0)),""))</f>
        <v/>
      </c>
      <c r="BX1033" s="78">
        <f>IFERROR(INDEX(dmInclude,MATCH($C1033,dmID,0)),0)</f>
        <v/>
      </c>
      <c r="BY1033" s="78">
        <f>IF(N($I1033)&gt;0,1,0)</f>
        <v/>
      </c>
      <c r="BZ1033" s="76">
        <f>IF($AJ1033="","Other / Leased Fee",IFERROR(INDEX(mapPTGroup,MATCH(LEFT(TRIM($AJ1033),2),mapPTCode,0)),"Other / Leased Fee"))</f>
        <v/>
      </c>
      <c r="CA1033" s="76">
        <f>IF(TRIM($AF1033&amp;"")="","NR",LEFT(TRIM($AF1033),2))</f>
        <v/>
      </c>
      <c r="CB1033" s="76">
        <f>IFERROR(LOOKUP(2,1/(LEFT(TRIM($AI1033&amp;""),LEN(mapRegion))=mapRegion),mapRegion),"Not Reported")</f>
        <v/>
      </c>
      <c r="CC1033" s="76">
        <f>IF($BY1033=0,"",IF(TRIM($W1033&amp;"")="REO","REO",IF(TRIM($W1033&amp;"")="FC","Foreclosure",IF(TRIM($W1033&amp;"")="90+","90+ Days Delinquent",IF(TRIM($W1033&amp;"")="60","60 Days Delinquent",IF(TRIM($W1033&amp;"")="30","30 Days Delinquent",IF($X1033="Non-Performing Matured Balloon","Non-Performing Matured Balloon",IF(OR($X1033="Late Payment But Less Than 30 Days Delinquent",LEFT($X1033&amp;"",20)="Payment Not Received"),"Late / In Grace (&lt;30 Days)",IF($X1033="Performing Matured Balloon","Performing Matured Balloon","Current")))))))))</f>
        <v/>
      </c>
      <c r="CD1033" s="78">
        <f>IF(OR($CC1033="REO",$CC1033="Foreclosure",$CC1033="90+ Days Delinquent",$CC1033="60 Days Delinquent",$CC1033="30 Days Delinquent",$CC1033="Non-Performing Matured Balloon"),1,0)</f>
        <v/>
      </c>
      <c r="CE1033" s="76">
        <f>IF($AB1033="Currently special serv","Currently Specially Serviced",IF($AB1033="Returned to master serv","Previously Specially Serviced","Never Specially Serviced"))</f>
        <v/>
      </c>
      <c r="CF1033" s="78">
        <f>IF($CE1033="Currently Specially Serviced",1,0)</f>
        <v/>
      </c>
      <c r="CG1033" s="76">
        <f>IF($AA1033="Yes","Currently on Watchlist",IF($AA1033="Previously","Previously on Watchlist","Never on Watchlist"))</f>
        <v/>
      </c>
      <c r="CH1033" s="78">
        <f>IF($CG1033="Currently on Watchlist",1,0)</f>
        <v/>
      </c>
      <c r="CI1033" s="76">
        <f>IF($Z1033="Full Defeasance","Fully Defeased",IF($Z1033="Portion Of Loan Previously Defeased","Partially Defeased",IF($Z1033="Defeasance Not Allowable","Not Defeased (Not Permitted)","Not Defeased")))</f>
        <v/>
      </c>
      <c r="CJ1033" s="78">
        <f>IF($CI1033="Fully Defeased",1,0)</f>
        <v/>
      </c>
      <c r="CK1033" s="76">
        <f>IF($R1033="IO","Full IO",IF(LEFT($R1033&amp;"",7)="IO then","Partial IO","Amortizing"))</f>
        <v/>
      </c>
      <c r="CL1033" s="78">
        <f>IF($CK1033="Full IO",1,0)</f>
        <v/>
      </c>
      <c r="CM1033" s="78">
        <f>IF($CK1033="Partial IO",1,0)</f>
        <v/>
      </c>
      <c r="CN1033" s="76">
        <f>IF(LEFT($F1033&amp;"",10)="SPLIT_LOAN","Pari Passu Split","Standalone")</f>
        <v/>
      </c>
      <c r="CO1033" s="78">
        <f>IF($CN1033="Pari Passu Split",1,0)</f>
        <v/>
      </c>
      <c r="CP1033" s="77">
        <f>IF(ISNUMBER($T1033),YEAR($T1033),"")</f>
        <v/>
      </c>
      <c r="CQ1033" s="79">
        <f>IF(ISNUMBER($V1033),$V1033,IF(ISNUMBER($U1033),$U1033,""))</f>
        <v/>
      </c>
      <c r="CR1033" s="77">
        <f>IF(ISNUMBER($CQ1033),YEAR($CQ1033),"")</f>
        <v/>
      </c>
      <c r="CS1033" s="78">
        <f>IF(ISNUMBER($M1033),MAX(0,$M1033),IF(TRIM($M1033&amp;"")="matured",0,""))</f>
        <v/>
      </c>
      <c r="CT1033" s="78">
        <f>IF(AND(ISNUMBER($CS1033),N($CS1033)&lt;=mMatWindow),1,0)</f>
        <v/>
      </c>
      <c r="CU1033" s="80">
        <f>IF(ISNUMBER($J1033),$J1033/100,"")</f>
        <v/>
      </c>
      <c r="CV1033" s="81">
        <f>IF(ISNUMBER($AQ1033),$AQ1033,"")</f>
        <v/>
      </c>
      <c r="CW1033" s="81">
        <f>IF(ISNUMBER($AR1033),$AR1033,"")</f>
        <v/>
      </c>
      <c r="CX1033" s="82">
        <f>IF(ISNUMBER($AS1033),$AS1033/100,"")</f>
        <v/>
      </c>
      <c r="CY1033" s="82">
        <f>IF(ISNUMBER($AT1033),$AT1033/100,"")</f>
        <v/>
      </c>
      <c r="CZ1033" s="82">
        <f>IF(ISNUMBER($AU1033),$AU1033/100,"")</f>
        <v/>
      </c>
      <c r="DA1033" s="82">
        <f>IF(ISNUMBER($AV1033),$AV1033/100,"")</f>
        <v/>
      </c>
      <c r="DB1033" s="82">
        <f>IF(ISNUMBER($AW1033),$AW1033/100,"")</f>
        <v/>
      </c>
      <c r="DC1033" s="82">
        <f>IF(ISNUMBER($AX1033),$AX1033/100,"")</f>
        <v/>
      </c>
      <c r="DD1033" s="77">
        <f>IFERROR(VALUE(LEFT(TRIM($AO1033&amp;""),4)),"")</f>
        <v/>
      </c>
      <c r="DE1033" s="78">
        <f>IF(AND($BY1033=1,$BX1033=1,OR(fDeal="All Deals",$BU1033=fDeal),OR(fEntity="All Entities",$BV1033=fEntity),OR(fPType="All Property Types",$BZ1033=fPType),OR(fDefeased="Include",$CJ1033=0)),1,0)</f>
        <v/>
      </c>
      <c r="DF1033" s="83">
        <f>$DE1033*N($I1033)</f>
        <v/>
      </c>
      <c r="DG1033" s="78">
        <f>IF($DE1033=1,IF(COUNTIFS($F$8:$F1033,$F1033,$DE$8:$DE1033,1)=1,1,0),0)</f>
        <v/>
      </c>
      <c r="DH1033" s="83">
        <f>IF($DG1033=1,SUMIFS($DF$8:$DF$1600,$F$8:$F$1600,$F1033),0)</f>
        <v/>
      </c>
      <c r="DI1033" s="78">
        <f>IF($DG1033=1,COUNTIFS($F$8:$F$1600,$F1033,$DE$8:$DE$1600,1),0)</f>
        <v/>
      </c>
      <c r="DJ1033" s="84">
        <f>IF($DG1033=1,$DH1033+(100000-ROW())/mTieBreak,0)</f>
        <v/>
      </c>
    </row>
    <row r="1034">
      <c r="B1034" s="68" t="n">
        <v>31</v>
      </c>
      <c r="C1034" s="69" t="inlineStr">
        <is>
          <t>MSB17C33</t>
        </is>
      </c>
      <c r="D1034" s="69" t="inlineStr">
        <is>
          <t>31.000</t>
        </is>
      </c>
      <c r="E1034" s="69" t="inlineStr">
        <is>
          <t>Dollar Self Storage Corona</t>
        </is>
      </c>
      <c r="F1034" s="69" t="inlineStr">
        <is>
          <t>LNMSB17C33-31.000</t>
        </is>
      </c>
      <c r="G1034" s="70" t="n"/>
      <c r="H1034" s="71" t="n">
        <v>7025000</v>
      </c>
      <c r="I1034" s="71" t="n">
        <v>5898798.539999775</v>
      </c>
      <c r="J1034" s="72" t="n">
        <v>5.24</v>
      </c>
      <c r="K1034" s="69" t="inlineStr">
        <is>
          <t>Fixed rate</t>
        </is>
      </c>
      <c r="L1034" s="68" t="n">
        <v>120</v>
      </c>
      <c r="M1034" s="68" t="n">
        <v>6</v>
      </c>
      <c r="N1034" s="68" t="n">
        <v>360</v>
      </c>
      <c r="O1034" s="68" t="n"/>
      <c r="P1034" s="68" t="n"/>
      <c r="Q1034" s="68" t="n">
        <v>114</v>
      </c>
      <c r="R1034" s="69" t="n"/>
      <c r="S1034" s="69" t="inlineStr">
        <is>
          <t>No</t>
        </is>
      </c>
      <c r="T1034" s="73" t="n">
        <v>42795</v>
      </c>
      <c r="U1034" s="73" t="n">
        <v>46447</v>
      </c>
      <c r="V1034" s="73" t="n"/>
      <c r="W1034" s="69" t="n"/>
      <c r="X1034" s="69" t="inlineStr">
        <is>
          <t>Current</t>
        </is>
      </c>
      <c r="Y1034" s="68" t="n"/>
      <c r="Z1034" s="69" t="inlineStr">
        <is>
          <t>No Defeasance Occurred</t>
        </is>
      </c>
      <c r="AA1034" s="69" t="inlineStr">
        <is>
          <t>Yes</t>
        </is>
      </c>
      <c r="AB1034" s="69" t="inlineStr">
        <is>
          <t>Never special serv</t>
        </is>
      </c>
      <c r="AC1034" s="73" t="n"/>
      <c r="AD1034" s="69" t="n"/>
      <c r="AE1034" s="69" t="n"/>
      <c r="AF1034" s="69" t="inlineStr">
        <is>
          <t>CA</t>
        </is>
      </c>
      <c r="AG1034" s="69" t="inlineStr">
        <is>
          <t>Corona</t>
        </is>
      </c>
      <c r="AH1034" s="69" t="inlineStr">
        <is>
          <t>Riverside-San Bernardino-Ontario, CA</t>
        </is>
      </c>
      <c r="AI1034" s="69" t="inlineStr">
        <is>
          <t>West / Pacific South</t>
        </is>
      </c>
      <c r="AJ1034" s="69" t="inlineStr">
        <is>
          <t>SS</t>
        </is>
      </c>
      <c r="AK1034" s="69" t="n"/>
      <c r="AL1034" s="68" t="n">
        <v>1</v>
      </c>
      <c r="AM1034" s="68" t="n"/>
      <c r="AN1034" s="68" t="n">
        <v>68455</v>
      </c>
      <c r="AO1034" s="69" t="inlineStr">
        <is>
          <t>2001</t>
        </is>
      </c>
      <c r="AP1034" s="70" t="n">
        <v>2001</v>
      </c>
      <c r="AQ1034" s="74" t="n">
        <v>1.34</v>
      </c>
      <c r="AR1034" s="74" t="n">
        <v>2.48</v>
      </c>
      <c r="AS1034" s="74" t="n">
        <v>60.38</v>
      </c>
      <c r="AT1034" s="74" t="n">
        <v>50.81</v>
      </c>
      <c r="AU1034" s="74" t="n">
        <v>50.27</v>
      </c>
      <c r="AV1034" s="74" t="n">
        <v>8.867160141999999</v>
      </c>
      <c r="AW1034" s="74" t="n">
        <v>19.536588547</v>
      </c>
      <c r="AX1034" s="75" t="n">
        <v>92</v>
      </c>
      <c r="AY1034" s="71" t="n">
        <v>11610000</v>
      </c>
      <c r="AZ1034" s="71" t="n">
        <v>11610000</v>
      </c>
      <c r="BA1034" s="71" t="n">
        <v>622918</v>
      </c>
      <c r="BB1034" s="71" t="n">
        <v>1152424</v>
      </c>
      <c r="BC1034" s="69" t="inlineStr">
        <is>
          <t>Refinance</t>
        </is>
      </c>
      <c r="BD1034" s="69" t="inlineStr">
        <is>
          <t>N</t>
        </is>
      </c>
      <c r="BE1034" s="71" t="n"/>
      <c r="BF1034" s="71" t="n"/>
      <c r="BG1034" s="71" t="n"/>
      <c r="BH1034" s="71" t="n">
        <v>0</v>
      </c>
      <c r="BI1034" s="71" t="n">
        <v>0</v>
      </c>
      <c r="BJ1034" s="69" t="inlineStr">
        <is>
          <t>N</t>
        </is>
      </c>
      <c r="BK1034" s="69" t="n"/>
      <c r="BL1034" s="75" t="n"/>
      <c r="BM1034" s="73" t="n"/>
      <c r="BN1034" s="69" t="inlineStr">
        <is>
          <t>Stadium Properties, LLC</t>
        </is>
      </c>
      <c r="BO1034" s="69" t="inlineStr">
        <is>
          <t>KeyBank</t>
        </is>
      </c>
      <c r="BP1034" s="69" t="inlineStr">
        <is>
          <t>TriMont Real Estate Advisors</t>
        </is>
      </c>
      <c r="BQ1034" s="69" t="inlineStr">
        <is>
          <t>Midland Loan Services</t>
        </is>
      </c>
      <c r="BR1034" s="69" t="n"/>
      <c r="BS1034" s="73" t="n">
        <v>46276</v>
      </c>
      <c r="BU1034" s="76">
        <f>IF($C1034="","",IFERROR(INDEX(dmName,MATCH($C1034,dmID,0)),"Unmapped"))</f>
        <v/>
      </c>
      <c r="BV1034" s="76">
        <f>IF($C1034="","",IFERROR(INDEX(dmEntity,MATCH($C1034,dmID,0)),"Unmapped"))</f>
        <v/>
      </c>
      <c r="BW1034" s="77">
        <f>IF($C1034="","",IFERROR(INDEX(dmVintage,MATCH($C1034,dmID,0)),""))</f>
        <v/>
      </c>
      <c r="BX1034" s="78">
        <f>IFERROR(INDEX(dmInclude,MATCH($C1034,dmID,0)),0)</f>
        <v/>
      </c>
      <c r="BY1034" s="78">
        <f>IF(N($I1034)&gt;0,1,0)</f>
        <v/>
      </c>
      <c r="BZ1034" s="76">
        <f>IF($AJ1034="","Other / Leased Fee",IFERROR(INDEX(mapPTGroup,MATCH(LEFT(TRIM($AJ1034),2),mapPTCode,0)),"Other / Leased Fee"))</f>
        <v/>
      </c>
      <c r="CA1034" s="76">
        <f>IF(TRIM($AF1034&amp;"")="","NR",LEFT(TRIM($AF1034),2))</f>
        <v/>
      </c>
      <c r="CB1034" s="76">
        <f>IFERROR(LOOKUP(2,1/(LEFT(TRIM($AI1034&amp;""),LEN(mapRegion))=mapRegion),mapRegion),"Not Reported")</f>
        <v/>
      </c>
      <c r="CC1034" s="76">
        <f>IF($BY1034=0,"",IF(TRIM($W1034&amp;"")="REO","REO",IF(TRIM($W1034&amp;"")="FC","Foreclosure",IF(TRIM($W1034&amp;"")="90+","90+ Days Delinquent",IF(TRIM($W1034&amp;"")="60","60 Days Delinquent",IF(TRIM($W1034&amp;"")="30","30 Days Delinquent",IF($X1034="Non-Performing Matured Balloon","Non-Performing Matured Balloon",IF(OR($X1034="Late Payment But Less Than 30 Days Delinquent",LEFT($X1034&amp;"",20)="Payment Not Received"),"Late / In Grace (&lt;30 Days)",IF($X1034="Performing Matured Balloon","Performing Matured Balloon","Current")))))))))</f>
        <v/>
      </c>
      <c r="CD1034" s="78">
        <f>IF(OR($CC1034="REO",$CC1034="Foreclosure",$CC1034="90+ Days Delinquent",$CC1034="60 Days Delinquent",$CC1034="30 Days Delinquent",$CC1034="Non-Performing Matured Balloon"),1,0)</f>
        <v/>
      </c>
      <c r="CE1034" s="76">
        <f>IF($AB1034="Currently special serv","Currently Specially Serviced",IF($AB1034="Returned to master serv","Previously Specially Serviced","Never Specially Serviced"))</f>
        <v/>
      </c>
      <c r="CF1034" s="78">
        <f>IF($CE1034="Currently Specially Serviced",1,0)</f>
        <v/>
      </c>
      <c r="CG1034" s="76">
        <f>IF($AA1034="Yes","Currently on Watchlist",IF($AA1034="Previously","Previously on Watchlist","Never on Watchlist"))</f>
        <v/>
      </c>
      <c r="CH1034" s="78">
        <f>IF($CG1034="Currently on Watchlist",1,0)</f>
        <v/>
      </c>
      <c r="CI1034" s="76">
        <f>IF($Z1034="Full Defeasance","Fully Defeased",IF($Z1034="Portion Of Loan Previously Defeased","Partially Defeased",IF($Z1034="Defeasance Not Allowable","Not Defeased (Not Permitted)","Not Defeased")))</f>
        <v/>
      </c>
      <c r="CJ1034" s="78">
        <f>IF($CI1034="Fully Defeased",1,0)</f>
        <v/>
      </c>
      <c r="CK1034" s="76">
        <f>IF($R1034="IO","Full IO",IF(LEFT($R1034&amp;"",7)="IO then","Partial IO","Amortizing"))</f>
        <v/>
      </c>
      <c r="CL1034" s="78">
        <f>IF($CK1034="Full IO",1,0)</f>
        <v/>
      </c>
      <c r="CM1034" s="78">
        <f>IF($CK1034="Partial IO",1,0)</f>
        <v/>
      </c>
      <c r="CN1034" s="76">
        <f>IF(LEFT($F1034&amp;"",10)="SPLIT_LOAN","Pari Passu Split","Standalone")</f>
        <v/>
      </c>
      <c r="CO1034" s="78">
        <f>IF($CN1034="Pari Passu Split",1,0)</f>
        <v/>
      </c>
      <c r="CP1034" s="77">
        <f>IF(ISNUMBER($T1034),YEAR($T1034),"")</f>
        <v/>
      </c>
      <c r="CQ1034" s="79">
        <f>IF(ISNUMBER($V1034),$V1034,IF(ISNUMBER($U1034),$U1034,""))</f>
        <v/>
      </c>
      <c r="CR1034" s="77">
        <f>IF(ISNUMBER($CQ1034),YEAR($CQ1034),"")</f>
        <v/>
      </c>
      <c r="CS1034" s="78">
        <f>IF(ISNUMBER($M1034),MAX(0,$M1034),IF(TRIM($M1034&amp;"")="matured",0,""))</f>
        <v/>
      </c>
      <c r="CT1034" s="78">
        <f>IF(AND(ISNUMBER($CS1034),N($CS1034)&lt;=mMatWindow),1,0)</f>
        <v/>
      </c>
      <c r="CU1034" s="80">
        <f>IF(ISNUMBER($J1034),$J1034/100,"")</f>
        <v/>
      </c>
      <c r="CV1034" s="81">
        <f>IF(ISNUMBER($AQ1034),$AQ1034,"")</f>
        <v/>
      </c>
      <c r="CW1034" s="81">
        <f>IF(ISNUMBER($AR1034),$AR1034,"")</f>
        <v/>
      </c>
      <c r="CX1034" s="82">
        <f>IF(ISNUMBER($AS1034),$AS1034/100,"")</f>
        <v/>
      </c>
      <c r="CY1034" s="82">
        <f>IF(ISNUMBER($AT1034),$AT1034/100,"")</f>
        <v/>
      </c>
      <c r="CZ1034" s="82">
        <f>IF(ISNUMBER($AU1034),$AU1034/100,"")</f>
        <v/>
      </c>
      <c r="DA1034" s="82">
        <f>IF(ISNUMBER($AV1034),$AV1034/100,"")</f>
        <v/>
      </c>
      <c r="DB1034" s="82">
        <f>IF(ISNUMBER($AW1034),$AW1034/100,"")</f>
        <v/>
      </c>
      <c r="DC1034" s="82">
        <f>IF(ISNUMBER($AX1034),$AX1034/100,"")</f>
        <v/>
      </c>
      <c r="DD1034" s="77">
        <f>IFERROR(VALUE(LEFT(TRIM($AO1034&amp;""),4)),"")</f>
        <v/>
      </c>
      <c r="DE1034" s="78">
        <f>IF(AND($BY1034=1,$BX1034=1,OR(fDeal="All Deals",$BU1034=fDeal),OR(fEntity="All Entities",$BV1034=fEntity),OR(fPType="All Property Types",$BZ1034=fPType),OR(fDefeased="Include",$CJ1034=0)),1,0)</f>
        <v/>
      </c>
      <c r="DF1034" s="83">
        <f>$DE1034*N($I1034)</f>
        <v/>
      </c>
      <c r="DG1034" s="78">
        <f>IF($DE1034=1,IF(COUNTIFS($F$8:$F1034,$F1034,$DE$8:$DE1034,1)=1,1,0),0)</f>
        <v/>
      </c>
      <c r="DH1034" s="83">
        <f>IF($DG1034=1,SUMIFS($DF$8:$DF$1600,$F$8:$F$1600,$F1034),0)</f>
        <v/>
      </c>
      <c r="DI1034" s="78">
        <f>IF($DG1034=1,COUNTIFS($F$8:$F$1600,$F1034,$DE$8:$DE$1600,1),0)</f>
        <v/>
      </c>
      <c r="DJ1034" s="84">
        <f>IF($DG1034=1,$DH1034+(100000-ROW())/mTieBreak,0)</f>
        <v/>
      </c>
    </row>
    <row r="1035">
      <c r="B1035" s="68" t="n">
        <v>32</v>
      </c>
      <c r="C1035" s="69" t="inlineStr">
        <is>
          <t>MSB17C33</t>
        </is>
      </c>
      <c r="D1035" s="69" t="inlineStr">
        <is>
          <t>32.000</t>
        </is>
      </c>
      <c r="E1035" s="69" t="inlineStr">
        <is>
          <t>All Storage Trinity Precinct</t>
        </is>
      </c>
      <c r="F1035" s="69" t="inlineStr">
        <is>
          <t>LNMSB17C33-32.000</t>
        </is>
      </c>
      <c r="G1035" s="70" t="n"/>
      <c r="H1035" s="71" t="n">
        <v>6600000</v>
      </c>
      <c r="I1035" s="71" t="n">
        <v>5379068.8900014</v>
      </c>
      <c r="J1035" s="72" t="n">
        <v>4.15</v>
      </c>
      <c r="K1035" s="69" t="inlineStr">
        <is>
          <t>Fixed rate</t>
        </is>
      </c>
      <c r="L1035" s="68" t="n">
        <v>120</v>
      </c>
      <c r="M1035" s="68" t="n">
        <v>8</v>
      </c>
      <c r="N1035" s="68" t="n">
        <v>360</v>
      </c>
      <c r="O1035" s="68" t="n"/>
      <c r="P1035" s="68" t="n"/>
      <c r="Q1035" s="68" t="n">
        <v>112</v>
      </c>
      <c r="R1035" s="69" t="n"/>
      <c r="S1035" s="69" t="inlineStr">
        <is>
          <t>No</t>
        </is>
      </c>
      <c r="T1035" s="73" t="n">
        <v>42856</v>
      </c>
      <c r="U1035" s="73" t="n">
        <v>46508</v>
      </c>
      <c r="V1035" s="73" t="n"/>
      <c r="W1035" s="69" t="n"/>
      <c r="X1035" s="69" t="inlineStr">
        <is>
          <t>Current</t>
        </is>
      </c>
      <c r="Y1035" s="68" t="n"/>
      <c r="Z1035" s="69" t="inlineStr">
        <is>
          <t>Full Defeasance</t>
        </is>
      </c>
      <c r="AA1035" s="69" t="inlineStr">
        <is>
          <t>Previously</t>
        </is>
      </c>
      <c r="AB1035" s="69" t="inlineStr">
        <is>
          <t>Never special serv</t>
        </is>
      </c>
      <c r="AC1035" s="73" t="n"/>
      <c r="AD1035" s="69" t="n"/>
      <c r="AE1035" s="69" t="n"/>
      <c r="AF1035" s="69" t="inlineStr">
        <is>
          <t>TX</t>
        </is>
      </c>
      <c r="AG1035" s="69" t="inlineStr">
        <is>
          <t>Fort Worth</t>
        </is>
      </c>
      <c r="AH1035" s="69" t="n"/>
      <c r="AI1035" s="69" t="n"/>
      <c r="AJ1035" s="69" t="inlineStr">
        <is>
          <t>MX</t>
        </is>
      </c>
      <c r="AK1035" s="69" t="inlineStr">
        <is>
          <t>Self Storage/Retail</t>
        </is>
      </c>
      <c r="AL1035" s="68" t="n">
        <v>1</v>
      </c>
      <c r="AM1035" s="68" t="n"/>
      <c r="AN1035" s="68" t="n">
        <v>92263</v>
      </c>
      <c r="AO1035" s="69" t="inlineStr">
        <is>
          <t>2006</t>
        </is>
      </c>
      <c r="AP1035" s="70" t="n">
        <v>2006</v>
      </c>
      <c r="AQ1035" s="74" t="n">
        <v>1.93</v>
      </c>
      <c r="AR1035" s="74" t="n">
        <v>1.98</v>
      </c>
      <c r="AS1035" s="74" t="n">
        <v>61.4</v>
      </c>
      <c r="AT1035" s="74" t="n">
        <v>50.04</v>
      </c>
      <c r="AU1035" s="74" t="n">
        <v>49.2</v>
      </c>
      <c r="AV1035" s="74" t="n">
        <v>11.285568333</v>
      </c>
      <c r="AW1035" s="74" t="n">
        <v>10.404922886</v>
      </c>
      <c r="AX1035" s="75" t="n">
        <v>97</v>
      </c>
      <c r="AY1035" s="71" t="n">
        <v>10750000</v>
      </c>
      <c r="AZ1035" s="71" t="n">
        <v>10750000</v>
      </c>
      <c r="BA1035" s="71" t="n">
        <v>744847.51</v>
      </c>
      <c r="BB1035" s="71" t="n">
        <v>571545.84</v>
      </c>
      <c r="BC1035" s="69" t="inlineStr">
        <is>
          <t>Refinance</t>
        </is>
      </c>
      <c r="BD1035" s="69" t="inlineStr">
        <is>
          <t>N</t>
        </is>
      </c>
      <c r="BE1035" s="71" t="n"/>
      <c r="BF1035" s="71" t="n"/>
      <c r="BG1035" s="71" t="n"/>
      <c r="BH1035" s="71" t="n">
        <v>0</v>
      </c>
      <c r="BI1035" s="71" t="n">
        <v>0</v>
      </c>
      <c r="BJ1035" s="69" t="inlineStr">
        <is>
          <t>N</t>
        </is>
      </c>
      <c r="BK1035" s="69" t="inlineStr">
        <is>
          <t>La Rose Nails</t>
        </is>
      </c>
      <c r="BL1035" s="75" t="n">
        <v>1.5</v>
      </c>
      <c r="BM1035" s="73" t="n">
        <v>44043</v>
      </c>
      <c r="BN1035" s="69" t="inlineStr">
        <is>
          <t>All Storage Trinity Precinct, Inc.; Jay Schuminsky</t>
        </is>
      </c>
      <c r="BO1035" s="69" t="inlineStr">
        <is>
          <t>Morgan Stanley</t>
        </is>
      </c>
      <c r="BP1035" s="69" t="inlineStr">
        <is>
          <t>TriMont Real Estate Advisors</t>
        </is>
      </c>
      <c r="BQ1035" s="69" t="inlineStr">
        <is>
          <t>Midland Loan Services</t>
        </is>
      </c>
      <c r="BR1035" s="69" t="n"/>
      <c r="BS1035" s="73" t="n">
        <v>46276</v>
      </c>
      <c r="BU1035" s="76">
        <f>IF($C1035="","",IFERROR(INDEX(dmName,MATCH($C1035,dmID,0)),"Unmapped"))</f>
        <v/>
      </c>
      <c r="BV1035" s="76">
        <f>IF($C1035="","",IFERROR(INDEX(dmEntity,MATCH($C1035,dmID,0)),"Unmapped"))</f>
        <v/>
      </c>
      <c r="BW1035" s="77">
        <f>IF($C1035="","",IFERROR(INDEX(dmVintage,MATCH($C1035,dmID,0)),""))</f>
        <v/>
      </c>
      <c r="BX1035" s="78">
        <f>IFERROR(INDEX(dmInclude,MATCH($C1035,dmID,0)),0)</f>
        <v/>
      </c>
      <c r="BY1035" s="78">
        <f>IF(N($I1035)&gt;0,1,0)</f>
        <v/>
      </c>
      <c r="BZ1035" s="76">
        <f>IF($AJ1035="","Other / Leased Fee",IFERROR(INDEX(mapPTGroup,MATCH(LEFT(TRIM($AJ1035),2),mapPTCode,0)),"Other / Leased Fee"))</f>
        <v/>
      </c>
      <c r="CA1035" s="76">
        <f>IF(TRIM($AF1035&amp;"")="","NR",LEFT(TRIM($AF1035),2))</f>
        <v/>
      </c>
      <c r="CB1035" s="76">
        <f>IFERROR(LOOKUP(2,1/(LEFT(TRIM($AI1035&amp;""),LEN(mapRegion))=mapRegion),mapRegion),"Not Reported")</f>
        <v/>
      </c>
      <c r="CC1035" s="76">
        <f>IF($BY1035=0,"",IF(TRIM($W1035&amp;"")="REO","REO",IF(TRIM($W1035&amp;"")="FC","Foreclosure",IF(TRIM($W1035&amp;"")="90+","90+ Days Delinquent",IF(TRIM($W1035&amp;"")="60","60 Days Delinquent",IF(TRIM($W1035&amp;"")="30","30 Days Delinquent",IF($X1035="Non-Performing Matured Balloon","Non-Performing Matured Balloon",IF(OR($X1035="Late Payment But Less Than 30 Days Delinquent",LEFT($X1035&amp;"",20)="Payment Not Received"),"Late / In Grace (&lt;30 Days)",IF($X1035="Performing Matured Balloon","Performing Matured Balloon","Current")))))))))</f>
        <v/>
      </c>
      <c r="CD1035" s="78">
        <f>IF(OR($CC1035="REO",$CC1035="Foreclosure",$CC1035="90+ Days Delinquent",$CC1035="60 Days Delinquent",$CC1035="30 Days Delinquent",$CC1035="Non-Performing Matured Balloon"),1,0)</f>
        <v/>
      </c>
      <c r="CE1035" s="76">
        <f>IF($AB1035="Currently special serv","Currently Specially Serviced",IF($AB1035="Returned to master serv","Previously Specially Serviced","Never Specially Serviced"))</f>
        <v/>
      </c>
      <c r="CF1035" s="78">
        <f>IF($CE1035="Currently Specially Serviced",1,0)</f>
        <v/>
      </c>
      <c r="CG1035" s="76">
        <f>IF($AA1035="Yes","Currently on Watchlist",IF($AA1035="Previously","Previously on Watchlist","Never on Watchlist"))</f>
        <v/>
      </c>
      <c r="CH1035" s="78">
        <f>IF($CG1035="Currently on Watchlist",1,0)</f>
        <v/>
      </c>
      <c r="CI1035" s="76">
        <f>IF($Z1035="Full Defeasance","Fully Defeased",IF($Z1035="Portion Of Loan Previously Defeased","Partially Defeased",IF($Z1035="Defeasance Not Allowable","Not Defeased (Not Permitted)","Not Defeased")))</f>
        <v/>
      </c>
      <c r="CJ1035" s="78">
        <f>IF($CI1035="Fully Defeased",1,0)</f>
        <v/>
      </c>
      <c r="CK1035" s="76">
        <f>IF($R1035="IO","Full IO",IF(LEFT($R1035&amp;"",7)="IO then","Partial IO","Amortizing"))</f>
        <v/>
      </c>
      <c r="CL1035" s="78">
        <f>IF($CK1035="Full IO",1,0)</f>
        <v/>
      </c>
      <c r="CM1035" s="78">
        <f>IF($CK1035="Partial IO",1,0)</f>
        <v/>
      </c>
      <c r="CN1035" s="76">
        <f>IF(LEFT($F1035&amp;"",10)="SPLIT_LOAN","Pari Passu Split","Standalone")</f>
        <v/>
      </c>
      <c r="CO1035" s="78">
        <f>IF($CN1035="Pari Passu Split",1,0)</f>
        <v/>
      </c>
      <c r="CP1035" s="77">
        <f>IF(ISNUMBER($T1035),YEAR($T1035),"")</f>
        <v/>
      </c>
      <c r="CQ1035" s="79">
        <f>IF(ISNUMBER($V1035),$V1035,IF(ISNUMBER($U1035),$U1035,""))</f>
        <v/>
      </c>
      <c r="CR1035" s="77">
        <f>IF(ISNUMBER($CQ1035),YEAR($CQ1035),"")</f>
        <v/>
      </c>
      <c r="CS1035" s="78">
        <f>IF(ISNUMBER($M1035),MAX(0,$M1035),IF(TRIM($M1035&amp;"")="matured",0,""))</f>
        <v/>
      </c>
      <c r="CT1035" s="78">
        <f>IF(AND(ISNUMBER($CS1035),N($CS1035)&lt;=mMatWindow),1,0)</f>
        <v/>
      </c>
      <c r="CU1035" s="80">
        <f>IF(ISNUMBER($J1035),$J1035/100,"")</f>
        <v/>
      </c>
      <c r="CV1035" s="81">
        <f>IF(ISNUMBER($AQ1035),$AQ1035,"")</f>
        <v/>
      </c>
      <c r="CW1035" s="81">
        <f>IF(ISNUMBER($AR1035),$AR1035,"")</f>
        <v/>
      </c>
      <c r="CX1035" s="82">
        <f>IF(ISNUMBER($AS1035),$AS1035/100,"")</f>
        <v/>
      </c>
      <c r="CY1035" s="82">
        <f>IF(ISNUMBER($AT1035),$AT1035/100,"")</f>
        <v/>
      </c>
      <c r="CZ1035" s="82">
        <f>IF(ISNUMBER($AU1035),$AU1035/100,"")</f>
        <v/>
      </c>
      <c r="DA1035" s="82">
        <f>IF(ISNUMBER($AV1035),$AV1035/100,"")</f>
        <v/>
      </c>
      <c r="DB1035" s="82">
        <f>IF(ISNUMBER($AW1035),$AW1035/100,"")</f>
        <v/>
      </c>
      <c r="DC1035" s="82">
        <f>IF(ISNUMBER($AX1035),$AX1035/100,"")</f>
        <v/>
      </c>
      <c r="DD1035" s="77">
        <f>IFERROR(VALUE(LEFT(TRIM($AO1035&amp;""),4)),"")</f>
        <v/>
      </c>
      <c r="DE1035" s="78">
        <f>IF(AND($BY1035=1,$BX1035=1,OR(fDeal="All Deals",$BU1035=fDeal),OR(fEntity="All Entities",$BV1035=fEntity),OR(fPType="All Property Types",$BZ1035=fPType),OR(fDefeased="Include",$CJ1035=0)),1,0)</f>
        <v/>
      </c>
      <c r="DF1035" s="83">
        <f>$DE1035*N($I1035)</f>
        <v/>
      </c>
      <c r="DG1035" s="78">
        <f>IF($DE1035=1,IF(COUNTIFS($F$8:$F1035,$F1035,$DE$8:$DE1035,1)=1,1,0),0)</f>
        <v/>
      </c>
      <c r="DH1035" s="83">
        <f>IF($DG1035=1,SUMIFS($DF$8:$DF$1600,$F$8:$F$1600,$F1035),0)</f>
        <v/>
      </c>
      <c r="DI1035" s="78">
        <f>IF($DG1035=1,COUNTIFS($F$8:$F$1600,$F1035,$DE$8:$DE$1600,1),0)</f>
        <v/>
      </c>
      <c r="DJ1035" s="84">
        <f>IF($DG1035=1,$DH1035+(100000-ROW())/mTieBreak,0)</f>
        <v/>
      </c>
    </row>
    <row r="1036">
      <c r="B1036" s="68" t="n">
        <v>33</v>
      </c>
      <c r="C1036" s="69" t="inlineStr">
        <is>
          <t>MSB17C33</t>
        </is>
      </c>
      <c r="D1036" s="69" t="inlineStr">
        <is>
          <t>33.000</t>
        </is>
      </c>
      <c r="E1036" s="69" t="inlineStr">
        <is>
          <t>Holiday Inn Express Quakertown</t>
        </is>
      </c>
      <c r="F1036" s="69" t="inlineStr">
        <is>
          <t>LNMSB17C33-33.000</t>
        </is>
      </c>
      <c r="G1036" s="70" t="n"/>
      <c r="H1036" s="71" t="n">
        <v>6231000</v>
      </c>
      <c r="I1036" s="71" t="n">
        <v>5175227.259998274</v>
      </c>
      <c r="J1036" s="72" t="n">
        <v>4.74</v>
      </c>
      <c r="K1036" s="69" t="inlineStr">
        <is>
          <t>Fixed rate</t>
        </is>
      </c>
      <c r="L1036" s="68" t="n">
        <v>120</v>
      </c>
      <c r="M1036" s="68" t="n">
        <v>8</v>
      </c>
      <c r="N1036" s="68" t="n">
        <v>360</v>
      </c>
      <c r="O1036" s="68" t="n"/>
      <c r="P1036" s="68" t="n"/>
      <c r="Q1036" s="68" t="n">
        <v>112</v>
      </c>
      <c r="R1036" s="69" t="n"/>
      <c r="S1036" s="69" t="inlineStr">
        <is>
          <t>No</t>
        </is>
      </c>
      <c r="T1036" s="73" t="n">
        <v>42856</v>
      </c>
      <c r="U1036" s="73" t="n">
        <v>46508</v>
      </c>
      <c r="V1036" s="73" t="n"/>
      <c r="W1036" s="69" t="n"/>
      <c r="X1036" s="69" t="inlineStr">
        <is>
          <t>Current</t>
        </is>
      </c>
      <c r="Y1036" s="68" t="n"/>
      <c r="Z1036" s="69" t="inlineStr">
        <is>
          <t>No Defeasance Occurred</t>
        </is>
      </c>
      <c r="AA1036" s="69" t="inlineStr">
        <is>
          <t>Previously</t>
        </is>
      </c>
      <c r="AB1036" s="69" t="inlineStr">
        <is>
          <t>Returned to master serv</t>
        </is>
      </c>
      <c r="AC1036" s="73" t="n"/>
      <c r="AD1036" s="69" t="inlineStr">
        <is>
          <t>Payment Default (all payments excluding Balloon/Maturity Payment)</t>
        </is>
      </c>
      <c r="AE1036" s="69" t="inlineStr">
        <is>
          <t>Resolved</t>
        </is>
      </c>
      <c r="AF1036" s="69" t="inlineStr">
        <is>
          <t>PA</t>
        </is>
      </c>
      <c r="AG1036" s="69" t="inlineStr">
        <is>
          <t>Quakertown</t>
        </is>
      </c>
      <c r="AH1036" s="69" t="inlineStr">
        <is>
          <t>Philadelphia-Camden-Wilmington, PA-NJ-DE-MD</t>
        </is>
      </c>
      <c r="AI1036" s="69" t="inlineStr">
        <is>
          <t>Northeast / Mid-Atlantic</t>
        </is>
      </c>
      <c r="AJ1036" s="69" t="inlineStr">
        <is>
          <t>HT</t>
        </is>
      </c>
      <c r="AK1036" s="69" t="inlineStr">
        <is>
          <t>Limited Service</t>
        </is>
      </c>
      <c r="AL1036" s="68" t="n">
        <v>1</v>
      </c>
      <c r="AM1036" s="68" t="n">
        <v>78</v>
      </c>
      <c r="AN1036" s="68" t="n"/>
      <c r="AO1036" s="69" t="inlineStr">
        <is>
          <t>2001</t>
        </is>
      </c>
      <c r="AP1036" s="70" t="n">
        <v>2015</v>
      </c>
      <c r="AQ1036" s="74" t="n">
        <v>1.81</v>
      </c>
      <c r="AR1036" s="74" t="n">
        <v>1.42</v>
      </c>
      <c r="AS1036" s="74" t="n">
        <v>67</v>
      </c>
      <c r="AT1036" s="74" t="n">
        <v>69</v>
      </c>
      <c r="AU1036" s="74" t="n">
        <v>54.7</v>
      </c>
      <c r="AV1036" s="74" t="n">
        <v>11.341678703</v>
      </c>
      <c r="AW1036" s="74" t="n">
        <v>10.697081929</v>
      </c>
      <c r="AX1036" s="75" t="n">
        <v>71</v>
      </c>
      <c r="AY1036" s="71" t="n">
        <v>9300000</v>
      </c>
      <c r="AZ1036" s="71" t="n">
        <v>7500000</v>
      </c>
      <c r="BA1036" s="71" t="n">
        <v>706700</v>
      </c>
      <c r="BB1036" s="71" t="n">
        <v>553598.3</v>
      </c>
      <c r="BC1036" s="69" t="inlineStr">
        <is>
          <t>Refinance</t>
        </is>
      </c>
      <c r="BD1036" s="69" t="inlineStr">
        <is>
          <t>N</t>
        </is>
      </c>
      <c r="BE1036" s="71" t="n"/>
      <c r="BF1036" s="71" t="n"/>
      <c r="BG1036" s="71" t="n"/>
      <c r="BH1036" s="71" t="n">
        <v>0</v>
      </c>
      <c r="BI1036" s="71" t="n">
        <v>0</v>
      </c>
      <c r="BJ1036" s="69" t="inlineStr">
        <is>
          <t>N</t>
        </is>
      </c>
      <c r="BK1036" s="69" t="n"/>
      <c r="BL1036" s="75" t="n"/>
      <c r="BM1036" s="73" t="n"/>
      <c r="BN1036" s="69" t="inlineStr">
        <is>
          <t>Ayer Capital Advisors; Wankawala Organization</t>
        </is>
      </c>
      <c r="BO1036" s="69" t="inlineStr">
        <is>
          <t>Morgan Stanley</t>
        </is>
      </c>
      <c r="BP1036" s="69" t="inlineStr">
        <is>
          <t>TriMont Real Estate Advisors</t>
        </is>
      </c>
      <c r="BQ1036" s="69" t="inlineStr">
        <is>
          <t>Midland Loan Services</t>
        </is>
      </c>
      <c r="BR1036" s="69" t="n"/>
      <c r="BS1036" s="73" t="n">
        <v>46276</v>
      </c>
      <c r="BU1036" s="76">
        <f>IF($C1036="","",IFERROR(INDEX(dmName,MATCH($C1036,dmID,0)),"Unmapped"))</f>
        <v/>
      </c>
      <c r="BV1036" s="76">
        <f>IF($C1036="","",IFERROR(INDEX(dmEntity,MATCH($C1036,dmID,0)),"Unmapped"))</f>
        <v/>
      </c>
      <c r="BW1036" s="77">
        <f>IF($C1036="","",IFERROR(INDEX(dmVintage,MATCH($C1036,dmID,0)),""))</f>
        <v/>
      </c>
      <c r="BX1036" s="78">
        <f>IFERROR(INDEX(dmInclude,MATCH($C1036,dmID,0)),0)</f>
        <v/>
      </c>
      <c r="BY1036" s="78">
        <f>IF(N($I1036)&gt;0,1,0)</f>
        <v/>
      </c>
      <c r="BZ1036" s="76">
        <f>IF($AJ1036="","Other / Leased Fee",IFERROR(INDEX(mapPTGroup,MATCH(LEFT(TRIM($AJ1036),2),mapPTCode,0)),"Other / Leased Fee"))</f>
        <v/>
      </c>
      <c r="CA1036" s="76">
        <f>IF(TRIM($AF1036&amp;"")="","NR",LEFT(TRIM($AF1036),2))</f>
        <v/>
      </c>
      <c r="CB1036" s="76">
        <f>IFERROR(LOOKUP(2,1/(LEFT(TRIM($AI1036&amp;""),LEN(mapRegion))=mapRegion),mapRegion),"Not Reported")</f>
        <v/>
      </c>
      <c r="CC1036" s="76">
        <f>IF($BY1036=0,"",IF(TRIM($W1036&amp;"")="REO","REO",IF(TRIM($W1036&amp;"")="FC","Foreclosure",IF(TRIM($W1036&amp;"")="90+","90+ Days Delinquent",IF(TRIM($W1036&amp;"")="60","60 Days Delinquent",IF(TRIM($W1036&amp;"")="30","30 Days Delinquent",IF($X1036="Non-Performing Matured Balloon","Non-Performing Matured Balloon",IF(OR($X1036="Late Payment But Less Than 30 Days Delinquent",LEFT($X1036&amp;"",20)="Payment Not Received"),"Late / In Grace (&lt;30 Days)",IF($X1036="Performing Matured Balloon","Performing Matured Balloon","Current")))))))))</f>
        <v/>
      </c>
      <c r="CD1036" s="78">
        <f>IF(OR($CC1036="REO",$CC1036="Foreclosure",$CC1036="90+ Days Delinquent",$CC1036="60 Days Delinquent",$CC1036="30 Days Delinquent",$CC1036="Non-Performing Matured Balloon"),1,0)</f>
        <v/>
      </c>
      <c r="CE1036" s="76">
        <f>IF($AB1036="Currently special serv","Currently Specially Serviced",IF($AB1036="Returned to master serv","Previously Specially Serviced","Never Specially Serviced"))</f>
        <v/>
      </c>
      <c r="CF1036" s="78">
        <f>IF($CE1036="Currently Specially Serviced",1,0)</f>
        <v/>
      </c>
      <c r="CG1036" s="76">
        <f>IF($AA1036="Yes","Currently on Watchlist",IF($AA1036="Previously","Previously on Watchlist","Never on Watchlist"))</f>
        <v/>
      </c>
      <c r="CH1036" s="78">
        <f>IF($CG1036="Currently on Watchlist",1,0)</f>
        <v/>
      </c>
      <c r="CI1036" s="76">
        <f>IF($Z1036="Full Defeasance","Fully Defeased",IF($Z1036="Portion Of Loan Previously Defeased","Partially Defeased",IF($Z1036="Defeasance Not Allowable","Not Defeased (Not Permitted)","Not Defeased")))</f>
        <v/>
      </c>
      <c r="CJ1036" s="78">
        <f>IF($CI1036="Fully Defeased",1,0)</f>
        <v/>
      </c>
      <c r="CK1036" s="76">
        <f>IF($R1036="IO","Full IO",IF(LEFT($R1036&amp;"",7)="IO then","Partial IO","Amortizing"))</f>
        <v/>
      </c>
      <c r="CL1036" s="78">
        <f>IF($CK1036="Full IO",1,0)</f>
        <v/>
      </c>
      <c r="CM1036" s="78">
        <f>IF($CK1036="Partial IO",1,0)</f>
        <v/>
      </c>
      <c r="CN1036" s="76">
        <f>IF(LEFT($F1036&amp;"",10)="SPLIT_LOAN","Pari Passu Split","Standalone")</f>
        <v/>
      </c>
      <c r="CO1036" s="78">
        <f>IF($CN1036="Pari Passu Split",1,0)</f>
        <v/>
      </c>
      <c r="CP1036" s="77">
        <f>IF(ISNUMBER($T1036),YEAR($T1036),"")</f>
        <v/>
      </c>
      <c r="CQ1036" s="79">
        <f>IF(ISNUMBER($V1036),$V1036,IF(ISNUMBER($U1036),$U1036,""))</f>
        <v/>
      </c>
      <c r="CR1036" s="77">
        <f>IF(ISNUMBER($CQ1036),YEAR($CQ1036),"")</f>
        <v/>
      </c>
      <c r="CS1036" s="78">
        <f>IF(ISNUMBER($M1036),MAX(0,$M1036),IF(TRIM($M1036&amp;"")="matured",0,""))</f>
        <v/>
      </c>
      <c r="CT1036" s="78">
        <f>IF(AND(ISNUMBER($CS1036),N($CS1036)&lt;=mMatWindow),1,0)</f>
        <v/>
      </c>
      <c r="CU1036" s="80">
        <f>IF(ISNUMBER($J1036),$J1036/100,"")</f>
        <v/>
      </c>
      <c r="CV1036" s="81">
        <f>IF(ISNUMBER($AQ1036),$AQ1036,"")</f>
        <v/>
      </c>
      <c r="CW1036" s="81">
        <f>IF(ISNUMBER($AR1036),$AR1036,"")</f>
        <v/>
      </c>
      <c r="CX1036" s="82">
        <f>IF(ISNUMBER($AS1036),$AS1036/100,"")</f>
        <v/>
      </c>
      <c r="CY1036" s="82">
        <f>IF(ISNUMBER($AT1036),$AT1036/100,"")</f>
        <v/>
      </c>
      <c r="CZ1036" s="82">
        <f>IF(ISNUMBER($AU1036),$AU1036/100,"")</f>
        <v/>
      </c>
      <c r="DA1036" s="82">
        <f>IF(ISNUMBER($AV1036),$AV1036/100,"")</f>
        <v/>
      </c>
      <c r="DB1036" s="82">
        <f>IF(ISNUMBER($AW1036),$AW1036/100,"")</f>
        <v/>
      </c>
      <c r="DC1036" s="82">
        <f>IF(ISNUMBER($AX1036),$AX1036/100,"")</f>
        <v/>
      </c>
      <c r="DD1036" s="77">
        <f>IFERROR(VALUE(LEFT(TRIM($AO1036&amp;""),4)),"")</f>
        <v/>
      </c>
      <c r="DE1036" s="78">
        <f>IF(AND($BY1036=1,$BX1036=1,OR(fDeal="All Deals",$BU1036=fDeal),OR(fEntity="All Entities",$BV1036=fEntity),OR(fPType="All Property Types",$BZ1036=fPType),OR(fDefeased="Include",$CJ1036=0)),1,0)</f>
        <v/>
      </c>
      <c r="DF1036" s="83">
        <f>$DE1036*N($I1036)</f>
        <v/>
      </c>
      <c r="DG1036" s="78">
        <f>IF($DE1036=1,IF(COUNTIFS($F$8:$F1036,$F1036,$DE$8:$DE1036,1)=1,1,0),0)</f>
        <v/>
      </c>
      <c r="DH1036" s="83">
        <f>IF($DG1036=1,SUMIFS($DF$8:$DF$1600,$F$8:$F$1600,$F1036),0)</f>
        <v/>
      </c>
      <c r="DI1036" s="78">
        <f>IF($DG1036=1,COUNTIFS($F$8:$F$1600,$F1036,$DE$8:$DE$1600,1),0)</f>
        <v/>
      </c>
      <c r="DJ1036" s="84">
        <f>IF($DG1036=1,$DH1036+(100000-ROW())/mTieBreak,0)</f>
        <v/>
      </c>
    </row>
    <row r="1037">
      <c r="B1037" s="68" t="n">
        <v>34</v>
      </c>
      <c r="C1037" s="69" t="inlineStr">
        <is>
          <t>MSB17C33</t>
        </is>
      </c>
      <c r="D1037" s="69" t="inlineStr">
        <is>
          <t>34.000</t>
        </is>
      </c>
      <c r="E1037" s="69" t="inlineStr">
        <is>
          <t>Secure Self Storage Bloomington</t>
        </is>
      </c>
      <c r="F1037" s="69" t="inlineStr">
        <is>
          <t>LNMSB17C33-34.000</t>
        </is>
      </c>
      <c r="G1037" s="70" t="n"/>
      <c r="H1037" s="71" t="n">
        <v>6000000</v>
      </c>
      <c r="I1037" s="71" t="n">
        <v>6000000</v>
      </c>
      <c r="J1037" s="72" t="n">
        <v>4.829</v>
      </c>
      <c r="K1037" s="69" t="inlineStr">
        <is>
          <t>Fixed rate</t>
        </is>
      </c>
      <c r="L1037" s="68" t="n">
        <v>120</v>
      </c>
      <c r="M1037" s="68" t="n">
        <v>6</v>
      </c>
      <c r="N1037" s="68" t="n">
        <v>120</v>
      </c>
      <c r="O1037" s="68" t="n">
        <v>120</v>
      </c>
      <c r="P1037" s="68" t="n">
        <v>6</v>
      </c>
      <c r="Q1037" s="68" t="n">
        <v>114</v>
      </c>
      <c r="R1037" s="69" t="inlineStr">
        <is>
          <t>IO</t>
        </is>
      </c>
      <c r="S1037" s="69" t="inlineStr">
        <is>
          <t>Yes</t>
        </is>
      </c>
      <c r="T1037" s="73" t="n">
        <v>42795</v>
      </c>
      <c r="U1037" s="73" t="n">
        <v>46447</v>
      </c>
      <c r="V1037" s="73" t="n"/>
      <c r="W1037" s="69" t="n"/>
      <c r="X1037" s="69" t="inlineStr">
        <is>
          <t>Current</t>
        </is>
      </c>
      <c r="Y1037" s="68" t="n"/>
      <c r="Z1037" s="69" t="inlineStr">
        <is>
          <t>No Defeasance Occurred</t>
        </is>
      </c>
      <c r="AA1037" s="69" t="inlineStr">
        <is>
          <t>Yes</t>
        </is>
      </c>
      <c r="AB1037" s="69" t="inlineStr">
        <is>
          <t>Never special serv</t>
        </is>
      </c>
      <c r="AC1037" s="73" t="n"/>
      <c r="AD1037" s="69" t="n"/>
      <c r="AE1037" s="69" t="n"/>
      <c r="AF1037" s="69" t="inlineStr">
        <is>
          <t>CA</t>
        </is>
      </c>
      <c r="AG1037" s="69" t="inlineStr">
        <is>
          <t>Bloomington</t>
        </is>
      </c>
      <c r="AH1037" s="69" t="inlineStr">
        <is>
          <t>Riverside-San Bernardino-Ontario, CA</t>
        </is>
      </c>
      <c r="AI1037" s="69" t="inlineStr">
        <is>
          <t>West / Pacific South</t>
        </is>
      </c>
      <c r="AJ1037" s="69" t="inlineStr">
        <is>
          <t>SS</t>
        </is>
      </c>
      <c r="AK1037" s="69" t="n"/>
      <c r="AL1037" s="68" t="n">
        <v>1</v>
      </c>
      <c r="AM1037" s="68" t="n"/>
      <c r="AN1037" s="68" t="n">
        <v>172126</v>
      </c>
      <c r="AO1037" s="69" t="inlineStr">
        <is>
          <t>2006</t>
        </is>
      </c>
      <c r="AP1037" s="70" t="n">
        <v>2006</v>
      </c>
      <c r="AQ1037" s="74" t="n">
        <v>2.34</v>
      </c>
      <c r="AR1037" s="74" t="n">
        <v>5.36</v>
      </c>
      <c r="AS1037" s="74" t="n">
        <v>54.3</v>
      </c>
      <c r="AT1037" s="74" t="n">
        <v>54.3</v>
      </c>
      <c r="AU1037" s="74" t="n">
        <v>54.3</v>
      </c>
      <c r="AV1037" s="74" t="n">
        <v>11.479533333</v>
      </c>
      <c r="AW1037" s="74" t="n">
        <v>26.228973167</v>
      </c>
      <c r="AX1037" s="75" t="n">
        <v>100</v>
      </c>
      <c r="AY1037" s="71" t="n">
        <v>11050000</v>
      </c>
      <c r="AZ1037" s="71" t="n">
        <v>11050000</v>
      </c>
      <c r="BA1037" s="71" t="n">
        <v>688772</v>
      </c>
      <c r="BB1037" s="71" t="n">
        <v>1573738.39</v>
      </c>
      <c r="BC1037" s="69" t="inlineStr">
        <is>
          <t>Refinance</t>
        </is>
      </c>
      <c r="BD1037" s="69" t="inlineStr">
        <is>
          <t>N</t>
        </is>
      </c>
      <c r="BE1037" s="71" t="n"/>
      <c r="BF1037" s="71" t="n"/>
      <c r="BG1037" s="71" t="n"/>
      <c r="BH1037" s="71" t="n">
        <v>0</v>
      </c>
      <c r="BI1037" s="71" t="n">
        <v>0</v>
      </c>
      <c r="BJ1037" s="69" t="inlineStr">
        <is>
          <t>N</t>
        </is>
      </c>
      <c r="BK1037" s="69" t="n"/>
      <c r="BL1037" s="75" t="n"/>
      <c r="BM1037" s="73" t="n"/>
      <c r="BN1037" s="69" t="inlineStr">
        <is>
          <t>James P. Karas</t>
        </is>
      </c>
      <c r="BO1037" s="69" t="inlineStr">
        <is>
          <t>Bank of America</t>
        </is>
      </c>
      <c r="BP1037" s="69" t="inlineStr">
        <is>
          <t>TriMont Real Estate Advisors</t>
        </is>
      </c>
      <c r="BQ1037" s="69" t="inlineStr">
        <is>
          <t>Midland Loan Services</t>
        </is>
      </c>
      <c r="BR1037" s="69" t="n"/>
      <c r="BS1037" s="73" t="n">
        <v>46276</v>
      </c>
      <c r="BU1037" s="76">
        <f>IF($C1037="","",IFERROR(INDEX(dmName,MATCH($C1037,dmID,0)),"Unmapped"))</f>
        <v/>
      </c>
      <c r="BV1037" s="76">
        <f>IF($C1037="","",IFERROR(INDEX(dmEntity,MATCH($C1037,dmID,0)),"Unmapped"))</f>
        <v/>
      </c>
      <c r="BW1037" s="77">
        <f>IF($C1037="","",IFERROR(INDEX(dmVintage,MATCH($C1037,dmID,0)),""))</f>
        <v/>
      </c>
      <c r="BX1037" s="78">
        <f>IFERROR(INDEX(dmInclude,MATCH($C1037,dmID,0)),0)</f>
        <v/>
      </c>
      <c r="BY1037" s="78">
        <f>IF(N($I1037)&gt;0,1,0)</f>
        <v/>
      </c>
      <c r="BZ1037" s="76">
        <f>IF($AJ1037="","Other / Leased Fee",IFERROR(INDEX(mapPTGroup,MATCH(LEFT(TRIM($AJ1037),2),mapPTCode,0)),"Other / Leased Fee"))</f>
        <v/>
      </c>
      <c r="CA1037" s="76">
        <f>IF(TRIM($AF1037&amp;"")="","NR",LEFT(TRIM($AF1037),2))</f>
        <v/>
      </c>
      <c r="CB1037" s="76">
        <f>IFERROR(LOOKUP(2,1/(LEFT(TRIM($AI1037&amp;""),LEN(mapRegion))=mapRegion),mapRegion),"Not Reported")</f>
        <v/>
      </c>
      <c r="CC1037" s="76">
        <f>IF($BY1037=0,"",IF(TRIM($W1037&amp;"")="REO","REO",IF(TRIM($W1037&amp;"")="FC","Foreclosure",IF(TRIM($W1037&amp;"")="90+","90+ Days Delinquent",IF(TRIM($W1037&amp;"")="60","60 Days Delinquent",IF(TRIM($W1037&amp;"")="30","30 Days Delinquent",IF($X1037="Non-Performing Matured Balloon","Non-Performing Matured Balloon",IF(OR($X1037="Late Payment But Less Than 30 Days Delinquent",LEFT($X1037&amp;"",20)="Payment Not Received"),"Late / In Grace (&lt;30 Days)",IF($X1037="Performing Matured Balloon","Performing Matured Balloon","Current")))))))))</f>
        <v/>
      </c>
      <c r="CD1037" s="78">
        <f>IF(OR($CC1037="REO",$CC1037="Foreclosure",$CC1037="90+ Days Delinquent",$CC1037="60 Days Delinquent",$CC1037="30 Days Delinquent",$CC1037="Non-Performing Matured Balloon"),1,0)</f>
        <v/>
      </c>
      <c r="CE1037" s="76">
        <f>IF($AB1037="Currently special serv","Currently Specially Serviced",IF($AB1037="Returned to master serv","Previously Specially Serviced","Never Specially Serviced"))</f>
        <v/>
      </c>
      <c r="CF1037" s="78">
        <f>IF($CE1037="Currently Specially Serviced",1,0)</f>
        <v/>
      </c>
      <c r="CG1037" s="76">
        <f>IF($AA1037="Yes","Currently on Watchlist",IF($AA1037="Previously","Previously on Watchlist","Never on Watchlist"))</f>
        <v/>
      </c>
      <c r="CH1037" s="78">
        <f>IF($CG1037="Currently on Watchlist",1,0)</f>
        <v/>
      </c>
      <c r="CI1037" s="76">
        <f>IF($Z1037="Full Defeasance","Fully Defeased",IF($Z1037="Portion Of Loan Previously Defeased","Partially Defeased",IF($Z1037="Defeasance Not Allowable","Not Defeased (Not Permitted)","Not Defeased")))</f>
        <v/>
      </c>
      <c r="CJ1037" s="78">
        <f>IF($CI1037="Fully Defeased",1,0)</f>
        <v/>
      </c>
      <c r="CK1037" s="76">
        <f>IF($R1037="IO","Full IO",IF(LEFT($R1037&amp;"",7)="IO then","Partial IO","Amortizing"))</f>
        <v/>
      </c>
      <c r="CL1037" s="78">
        <f>IF($CK1037="Full IO",1,0)</f>
        <v/>
      </c>
      <c r="CM1037" s="78">
        <f>IF($CK1037="Partial IO",1,0)</f>
        <v/>
      </c>
      <c r="CN1037" s="76">
        <f>IF(LEFT($F1037&amp;"",10)="SPLIT_LOAN","Pari Passu Split","Standalone")</f>
        <v/>
      </c>
      <c r="CO1037" s="78">
        <f>IF($CN1037="Pari Passu Split",1,0)</f>
        <v/>
      </c>
      <c r="CP1037" s="77">
        <f>IF(ISNUMBER($T1037),YEAR($T1037),"")</f>
        <v/>
      </c>
      <c r="CQ1037" s="79">
        <f>IF(ISNUMBER($V1037),$V1037,IF(ISNUMBER($U1037),$U1037,""))</f>
        <v/>
      </c>
      <c r="CR1037" s="77">
        <f>IF(ISNUMBER($CQ1037),YEAR($CQ1037),"")</f>
        <v/>
      </c>
      <c r="CS1037" s="78">
        <f>IF(ISNUMBER($M1037),MAX(0,$M1037),IF(TRIM($M1037&amp;"")="matured",0,""))</f>
        <v/>
      </c>
      <c r="CT1037" s="78">
        <f>IF(AND(ISNUMBER($CS1037),N($CS1037)&lt;=mMatWindow),1,0)</f>
        <v/>
      </c>
      <c r="CU1037" s="80">
        <f>IF(ISNUMBER($J1037),$J1037/100,"")</f>
        <v/>
      </c>
      <c r="CV1037" s="81">
        <f>IF(ISNUMBER($AQ1037),$AQ1037,"")</f>
        <v/>
      </c>
      <c r="CW1037" s="81">
        <f>IF(ISNUMBER($AR1037),$AR1037,"")</f>
        <v/>
      </c>
      <c r="CX1037" s="82">
        <f>IF(ISNUMBER($AS1037),$AS1037/100,"")</f>
        <v/>
      </c>
      <c r="CY1037" s="82">
        <f>IF(ISNUMBER($AT1037),$AT1037/100,"")</f>
        <v/>
      </c>
      <c r="CZ1037" s="82">
        <f>IF(ISNUMBER($AU1037),$AU1037/100,"")</f>
        <v/>
      </c>
      <c r="DA1037" s="82">
        <f>IF(ISNUMBER($AV1037),$AV1037/100,"")</f>
        <v/>
      </c>
      <c r="DB1037" s="82">
        <f>IF(ISNUMBER($AW1037),$AW1037/100,"")</f>
        <v/>
      </c>
      <c r="DC1037" s="82">
        <f>IF(ISNUMBER($AX1037),$AX1037/100,"")</f>
        <v/>
      </c>
      <c r="DD1037" s="77">
        <f>IFERROR(VALUE(LEFT(TRIM($AO1037&amp;""),4)),"")</f>
        <v/>
      </c>
      <c r="DE1037" s="78">
        <f>IF(AND($BY1037=1,$BX1037=1,OR(fDeal="All Deals",$BU1037=fDeal),OR(fEntity="All Entities",$BV1037=fEntity),OR(fPType="All Property Types",$BZ1037=fPType),OR(fDefeased="Include",$CJ1037=0)),1,0)</f>
        <v/>
      </c>
      <c r="DF1037" s="83">
        <f>$DE1037*N($I1037)</f>
        <v/>
      </c>
      <c r="DG1037" s="78">
        <f>IF($DE1037=1,IF(COUNTIFS($F$8:$F1037,$F1037,$DE$8:$DE1037,1)=1,1,0),0)</f>
        <v/>
      </c>
      <c r="DH1037" s="83">
        <f>IF($DG1037=1,SUMIFS($DF$8:$DF$1600,$F$8:$F$1600,$F1037),0)</f>
        <v/>
      </c>
      <c r="DI1037" s="78">
        <f>IF($DG1037=1,COUNTIFS($F$8:$F$1600,$F1037,$DE$8:$DE$1600,1),0)</f>
        <v/>
      </c>
      <c r="DJ1037" s="84">
        <f>IF($DG1037=1,$DH1037+(100000-ROW())/mTieBreak,0)</f>
        <v/>
      </c>
    </row>
    <row r="1038">
      <c r="B1038" s="68" t="n">
        <v>35</v>
      </c>
      <c r="C1038" s="69" t="inlineStr">
        <is>
          <t>MSB17C33</t>
        </is>
      </c>
      <c r="D1038" s="69" t="inlineStr">
        <is>
          <t>35.000</t>
        </is>
      </c>
      <c r="E1038" s="69" t="inlineStr">
        <is>
          <t>Northside Shopping Center</t>
        </is>
      </c>
      <c r="F1038" s="69" t="inlineStr">
        <is>
          <t>LNMSB17C33-35.000</t>
        </is>
      </c>
      <c r="G1038" s="70" t="n"/>
      <c r="H1038" s="71" t="n">
        <v>6000000</v>
      </c>
      <c r="I1038" s="71" t="n">
        <v>4873861.879998</v>
      </c>
      <c r="J1038" s="72" t="n">
        <v>4.05</v>
      </c>
      <c r="K1038" s="69" t="inlineStr">
        <is>
          <t>Fixed rate</t>
        </is>
      </c>
      <c r="L1038" s="68" t="n">
        <v>120</v>
      </c>
      <c r="M1038" s="68" t="n">
        <v>8</v>
      </c>
      <c r="N1038" s="68" t="n">
        <v>360</v>
      </c>
      <c r="O1038" s="68" t="n"/>
      <c r="P1038" s="68" t="n"/>
      <c r="Q1038" s="68" t="n">
        <v>112</v>
      </c>
      <c r="R1038" s="69" t="n"/>
      <c r="S1038" s="69" t="inlineStr">
        <is>
          <t>No</t>
        </is>
      </c>
      <c r="T1038" s="73" t="n">
        <v>42856</v>
      </c>
      <c r="U1038" s="73" t="n">
        <v>46508</v>
      </c>
      <c r="V1038" s="73" t="n"/>
      <c r="W1038" s="69" t="n"/>
      <c r="X1038" s="69" t="inlineStr">
        <is>
          <t>Current</t>
        </is>
      </c>
      <c r="Y1038" s="68" t="n"/>
      <c r="Z1038" s="69" t="inlineStr">
        <is>
          <t>No Defeasance Occurred</t>
        </is>
      </c>
      <c r="AA1038" s="69" t="inlineStr">
        <is>
          <t>Yes</t>
        </is>
      </c>
      <c r="AB1038" s="69" t="inlineStr">
        <is>
          <t>Never special serv</t>
        </is>
      </c>
      <c r="AC1038" s="73" t="n"/>
      <c r="AD1038" s="69" t="n"/>
      <c r="AE1038" s="69" t="n"/>
      <c r="AF1038" s="69" t="inlineStr">
        <is>
          <t>TX</t>
        </is>
      </c>
      <c r="AG1038" s="69" t="inlineStr">
        <is>
          <t>Fort Worth</t>
        </is>
      </c>
      <c r="AH1038" s="69" t="inlineStr">
        <is>
          <t>Dallas-Fort Worth-Arlington, TX</t>
        </is>
      </c>
      <c r="AI1038" s="69" t="inlineStr">
        <is>
          <t>South / Central West</t>
        </is>
      </c>
      <c r="AJ1038" s="69" t="inlineStr">
        <is>
          <t>RT</t>
        </is>
      </c>
      <c r="AK1038" s="69" t="inlineStr">
        <is>
          <t>Anchored</t>
        </is>
      </c>
      <c r="AL1038" s="68" t="n">
        <v>1</v>
      </c>
      <c r="AM1038" s="68" t="n"/>
      <c r="AN1038" s="68" t="n">
        <v>105248</v>
      </c>
      <c r="AO1038" s="69" t="inlineStr">
        <is>
          <t>1960, 1964, 1985, 1996</t>
        </is>
      </c>
      <c r="AP1038" s="70" t="n">
        <v>2017</v>
      </c>
      <c r="AQ1038" s="74" t="n">
        <v>2.08</v>
      </c>
      <c r="AR1038" s="74" t="n">
        <v>2.7</v>
      </c>
      <c r="AS1038" s="74" t="n">
        <v>54.5</v>
      </c>
      <c r="AT1038" s="74" t="n">
        <v>44.31</v>
      </c>
      <c r="AU1038" s="74" t="n">
        <v>43.5</v>
      </c>
      <c r="AV1038" s="74" t="n">
        <v>11.969117</v>
      </c>
      <c r="AW1038" s="74" t="n">
        <v>15.90125611</v>
      </c>
      <c r="AX1038" s="75" t="n">
        <v>96</v>
      </c>
      <c r="AY1038" s="71" t="n">
        <v>11000000</v>
      </c>
      <c r="AZ1038" s="71" t="n">
        <v>11000000</v>
      </c>
      <c r="BA1038" s="71" t="n">
        <v>718147.02</v>
      </c>
      <c r="BB1038" s="71" t="n">
        <v>467140.95</v>
      </c>
      <c r="BC1038" s="69" t="inlineStr">
        <is>
          <t>Refinance</t>
        </is>
      </c>
      <c r="BD1038" s="69" t="inlineStr">
        <is>
          <t>N</t>
        </is>
      </c>
      <c r="BE1038" s="71" t="n"/>
      <c r="BF1038" s="71" t="n"/>
      <c r="BG1038" s="71" t="n"/>
      <c r="BH1038" s="71" t="n">
        <v>0</v>
      </c>
      <c r="BI1038" s="71" t="n">
        <v>0</v>
      </c>
      <c r="BJ1038" s="69" t="inlineStr">
        <is>
          <t>N</t>
        </is>
      </c>
      <c r="BK1038" s="69" t="inlineStr">
        <is>
          <t>EL RANCHO</t>
        </is>
      </c>
      <c r="BL1038" s="75" t="n">
        <v>39.64</v>
      </c>
      <c r="BM1038" s="73" t="n">
        <v>46904</v>
      </c>
      <c r="BN1038" s="69" t="inlineStr">
        <is>
          <t>Tri-State Commercial Associates</t>
        </is>
      </c>
      <c r="BO1038" s="69" t="inlineStr">
        <is>
          <t>Morgan Stanley</t>
        </is>
      </c>
      <c r="BP1038" s="69" t="inlineStr">
        <is>
          <t>TriMont Real Estate Advisors</t>
        </is>
      </c>
      <c r="BQ1038" s="69" t="inlineStr">
        <is>
          <t>Midland Loan Services</t>
        </is>
      </c>
      <c r="BR1038" s="69" t="n"/>
      <c r="BS1038" s="73" t="n">
        <v>46276</v>
      </c>
      <c r="BU1038" s="76">
        <f>IF($C1038="","",IFERROR(INDEX(dmName,MATCH($C1038,dmID,0)),"Unmapped"))</f>
        <v/>
      </c>
      <c r="BV1038" s="76">
        <f>IF($C1038="","",IFERROR(INDEX(dmEntity,MATCH($C1038,dmID,0)),"Unmapped"))</f>
        <v/>
      </c>
      <c r="BW1038" s="77">
        <f>IF($C1038="","",IFERROR(INDEX(dmVintage,MATCH($C1038,dmID,0)),""))</f>
        <v/>
      </c>
      <c r="BX1038" s="78">
        <f>IFERROR(INDEX(dmInclude,MATCH($C1038,dmID,0)),0)</f>
        <v/>
      </c>
      <c r="BY1038" s="78">
        <f>IF(N($I1038)&gt;0,1,0)</f>
        <v/>
      </c>
      <c r="BZ1038" s="76">
        <f>IF($AJ1038="","Other / Leased Fee",IFERROR(INDEX(mapPTGroup,MATCH(LEFT(TRIM($AJ1038),2),mapPTCode,0)),"Other / Leased Fee"))</f>
        <v/>
      </c>
      <c r="CA1038" s="76">
        <f>IF(TRIM($AF1038&amp;"")="","NR",LEFT(TRIM($AF1038),2))</f>
        <v/>
      </c>
      <c r="CB1038" s="76">
        <f>IFERROR(LOOKUP(2,1/(LEFT(TRIM($AI1038&amp;""),LEN(mapRegion))=mapRegion),mapRegion),"Not Reported")</f>
        <v/>
      </c>
      <c r="CC1038" s="76">
        <f>IF($BY1038=0,"",IF(TRIM($W1038&amp;"")="REO","REO",IF(TRIM($W1038&amp;"")="FC","Foreclosure",IF(TRIM($W1038&amp;"")="90+","90+ Days Delinquent",IF(TRIM($W1038&amp;"")="60","60 Days Delinquent",IF(TRIM($W1038&amp;"")="30","30 Days Delinquent",IF($X1038="Non-Performing Matured Balloon","Non-Performing Matured Balloon",IF(OR($X1038="Late Payment But Less Than 30 Days Delinquent",LEFT($X1038&amp;"",20)="Payment Not Received"),"Late / In Grace (&lt;30 Days)",IF($X1038="Performing Matured Balloon","Performing Matured Balloon","Current")))))))))</f>
        <v/>
      </c>
      <c r="CD1038" s="78">
        <f>IF(OR($CC1038="REO",$CC1038="Foreclosure",$CC1038="90+ Days Delinquent",$CC1038="60 Days Delinquent",$CC1038="30 Days Delinquent",$CC1038="Non-Performing Matured Balloon"),1,0)</f>
        <v/>
      </c>
      <c r="CE1038" s="76">
        <f>IF($AB1038="Currently special serv","Currently Specially Serviced",IF($AB1038="Returned to master serv","Previously Specially Serviced","Never Specially Serviced"))</f>
        <v/>
      </c>
      <c r="CF1038" s="78">
        <f>IF($CE1038="Currently Specially Serviced",1,0)</f>
        <v/>
      </c>
      <c r="CG1038" s="76">
        <f>IF($AA1038="Yes","Currently on Watchlist",IF($AA1038="Previously","Previously on Watchlist","Never on Watchlist"))</f>
        <v/>
      </c>
      <c r="CH1038" s="78">
        <f>IF($CG1038="Currently on Watchlist",1,0)</f>
        <v/>
      </c>
      <c r="CI1038" s="76">
        <f>IF($Z1038="Full Defeasance","Fully Defeased",IF($Z1038="Portion Of Loan Previously Defeased","Partially Defeased",IF($Z1038="Defeasance Not Allowable","Not Defeased (Not Permitted)","Not Defeased")))</f>
        <v/>
      </c>
      <c r="CJ1038" s="78">
        <f>IF($CI1038="Fully Defeased",1,0)</f>
        <v/>
      </c>
      <c r="CK1038" s="76">
        <f>IF($R1038="IO","Full IO",IF(LEFT($R1038&amp;"",7)="IO then","Partial IO","Amortizing"))</f>
        <v/>
      </c>
      <c r="CL1038" s="78">
        <f>IF($CK1038="Full IO",1,0)</f>
        <v/>
      </c>
      <c r="CM1038" s="78">
        <f>IF($CK1038="Partial IO",1,0)</f>
        <v/>
      </c>
      <c r="CN1038" s="76">
        <f>IF(LEFT($F1038&amp;"",10)="SPLIT_LOAN","Pari Passu Split","Standalone")</f>
        <v/>
      </c>
      <c r="CO1038" s="78">
        <f>IF($CN1038="Pari Passu Split",1,0)</f>
        <v/>
      </c>
      <c r="CP1038" s="77">
        <f>IF(ISNUMBER($T1038),YEAR($T1038),"")</f>
        <v/>
      </c>
      <c r="CQ1038" s="79">
        <f>IF(ISNUMBER($V1038),$V1038,IF(ISNUMBER($U1038),$U1038,""))</f>
        <v/>
      </c>
      <c r="CR1038" s="77">
        <f>IF(ISNUMBER($CQ1038),YEAR($CQ1038),"")</f>
        <v/>
      </c>
      <c r="CS1038" s="78">
        <f>IF(ISNUMBER($M1038),MAX(0,$M1038),IF(TRIM($M1038&amp;"")="matured",0,""))</f>
        <v/>
      </c>
      <c r="CT1038" s="78">
        <f>IF(AND(ISNUMBER($CS1038),N($CS1038)&lt;=mMatWindow),1,0)</f>
        <v/>
      </c>
      <c r="CU1038" s="80">
        <f>IF(ISNUMBER($J1038),$J1038/100,"")</f>
        <v/>
      </c>
      <c r="CV1038" s="81">
        <f>IF(ISNUMBER($AQ1038),$AQ1038,"")</f>
        <v/>
      </c>
      <c r="CW1038" s="81">
        <f>IF(ISNUMBER($AR1038),$AR1038,"")</f>
        <v/>
      </c>
      <c r="CX1038" s="82">
        <f>IF(ISNUMBER($AS1038),$AS1038/100,"")</f>
        <v/>
      </c>
      <c r="CY1038" s="82">
        <f>IF(ISNUMBER($AT1038),$AT1038/100,"")</f>
        <v/>
      </c>
      <c r="CZ1038" s="82">
        <f>IF(ISNUMBER($AU1038),$AU1038/100,"")</f>
        <v/>
      </c>
      <c r="DA1038" s="82">
        <f>IF(ISNUMBER($AV1038),$AV1038/100,"")</f>
        <v/>
      </c>
      <c r="DB1038" s="82">
        <f>IF(ISNUMBER($AW1038),$AW1038/100,"")</f>
        <v/>
      </c>
      <c r="DC1038" s="82">
        <f>IF(ISNUMBER($AX1038),$AX1038/100,"")</f>
        <v/>
      </c>
      <c r="DD1038" s="77">
        <f>IFERROR(VALUE(LEFT(TRIM($AO1038&amp;""),4)),"")</f>
        <v/>
      </c>
      <c r="DE1038" s="78">
        <f>IF(AND($BY1038=1,$BX1038=1,OR(fDeal="All Deals",$BU1038=fDeal),OR(fEntity="All Entities",$BV1038=fEntity),OR(fPType="All Property Types",$BZ1038=fPType),OR(fDefeased="Include",$CJ1038=0)),1,0)</f>
        <v/>
      </c>
      <c r="DF1038" s="83">
        <f>$DE1038*N($I1038)</f>
        <v/>
      </c>
      <c r="DG1038" s="78">
        <f>IF($DE1038=1,IF(COUNTIFS($F$8:$F1038,$F1038,$DE$8:$DE1038,1)=1,1,0),0)</f>
        <v/>
      </c>
      <c r="DH1038" s="83">
        <f>IF($DG1038=1,SUMIFS($DF$8:$DF$1600,$F$8:$F$1600,$F1038),0)</f>
        <v/>
      </c>
      <c r="DI1038" s="78">
        <f>IF($DG1038=1,COUNTIFS($F$8:$F$1600,$F1038,$DE$8:$DE$1600,1),0)</f>
        <v/>
      </c>
      <c r="DJ1038" s="84">
        <f>IF($DG1038=1,$DH1038+(100000-ROW())/mTieBreak,0)</f>
        <v/>
      </c>
    </row>
    <row r="1039">
      <c r="B1039" s="68" t="n">
        <v>36</v>
      </c>
      <c r="C1039" s="69" t="inlineStr">
        <is>
          <t>MSB17C33</t>
        </is>
      </c>
      <c r="D1039" s="69" t="inlineStr">
        <is>
          <t>36.000</t>
        </is>
      </c>
      <c r="E1039" s="69" t="inlineStr">
        <is>
          <t>Trolley Industrial</t>
        </is>
      </c>
      <c r="F1039" s="69" t="inlineStr">
        <is>
          <t>LNMSB17C33-36.000</t>
        </is>
      </c>
      <c r="G1039" s="70" t="n"/>
      <c r="H1039" s="71" t="n">
        <v>6000000</v>
      </c>
      <c r="I1039" s="71" t="n">
        <v>0</v>
      </c>
      <c r="J1039" s="72" t="n">
        <v>4.43</v>
      </c>
      <c r="K1039" s="69" t="inlineStr">
        <is>
          <t>Fixed rate</t>
        </is>
      </c>
      <c r="L1039" s="68" t="n">
        <v>120</v>
      </c>
      <c r="M1039" s="68" t="n"/>
      <c r="N1039" s="68" t="n">
        <v>300</v>
      </c>
      <c r="O1039" s="68" t="n"/>
      <c r="P1039" s="68" t="n"/>
      <c r="Q1039" s="68" t="n"/>
      <c r="R1039" s="69" t="n"/>
      <c r="S1039" s="69" t="inlineStr">
        <is>
          <t>No</t>
        </is>
      </c>
      <c r="T1039" s="73" t="n">
        <v>42644</v>
      </c>
      <c r="U1039" s="73" t="n">
        <v>46296</v>
      </c>
      <c r="V1039" s="73" t="n"/>
      <c r="W1039" s="69" t="n"/>
      <c r="X1039" s="69" t="inlineStr">
        <is>
          <t>Current</t>
        </is>
      </c>
      <c r="Y1039" s="68" t="n"/>
      <c r="Z1039" s="69" t="inlineStr">
        <is>
          <t>No Defeasance Occurred</t>
        </is>
      </c>
      <c r="AA1039" s="69" t="inlineStr">
        <is>
          <t>Previously</t>
        </is>
      </c>
      <c r="AB1039" s="69" t="inlineStr">
        <is>
          <t>Never special serv</t>
        </is>
      </c>
      <c r="AC1039" s="73" t="n"/>
      <c r="AD1039" s="69" t="n"/>
      <c r="AE1039" s="69" t="n"/>
      <c r="AF1039" s="69" t="inlineStr">
        <is>
          <t>MI</t>
        </is>
      </c>
      <c r="AG1039" s="69" t="inlineStr">
        <is>
          <t>Taylor</t>
        </is>
      </c>
      <c r="AH1039" s="69" t="inlineStr">
        <is>
          <t>Detroit-Warren-Dearborn, MI</t>
        </is>
      </c>
      <c r="AI1039" s="69" t="inlineStr">
        <is>
          <t>Midwest / Central East</t>
        </is>
      </c>
      <c r="AJ1039" s="69" t="inlineStr">
        <is>
          <t>IN</t>
        </is>
      </c>
      <c r="AK1039" s="69" t="inlineStr">
        <is>
          <t>Distribution/Warehouse</t>
        </is>
      </c>
      <c r="AL1039" s="68" t="n">
        <v>1</v>
      </c>
      <c r="AM1039" s="68" t="n"/>
      <c r="AN1039" s="68" t="n">
        <v>243818</v>
      </c>
      <c r="AO1039" s="69" t="inlineStr">
        <is>
          <t>1967-1969</t>
        </is>
      </c>
      <c r="AP1039" s="70" t="n">
        <v>2015</v>
      </c>
      <c r="AQ1039" s="74" t="n">
        <v>1.55</v>
      </c>
      <c r="AR1039" s="74" t="n">
        <v>2.03</v>
      </c>
      <c r="AS1039" s="74" t="n">
        <v>64.73999999999999</v>
      </c>
      <c r="AT1039" s="74" t="n"/>
      <c r="AU1039" s="74" t="n">
        <v>48.18</v>
      </c>
      <c r="AV1039" s="74" t="n">
        <v>10.251466667</v>
      </c>
      <c r="AW1039" s="74" t="n"/>
      <c r="AX1039" s="75" t="n">
        <v>100</v>
      </c>
      <c r="AY1039" s="71" t="n">
        <v>9150000</v>
      </c>
      <c r="AZ1039" s="71" t="n">
        <v>9150000</v>
      </c>
      <c r="BA1039" s="71" t="n">
        <v>615088</v>
      </c>
      <c r="BB1039" s="71" t="n">
        <v>605202.09</v>
      </c>
      <c r="BC1039" s="69" t="inlineStr">
        <is>
          <t>Refinance</t>
        </is>
      </c>
      <c r="BD1039" s="69" t="inlineStr">
        <is>
          <t>N</t>
        </is>
      </c>
      <c r="BE1039" s="71" t="n"/>
      <c r="BF1039" s="71" t="n"/>
      <c r="BG1039" s="71" t="n"/>
      <c r="BH1039" s="71" t="n">
        <v>0</v>
      </c>
      <c r="BI1039" s="71" t="n">
        <v>0</v>
      </c>
      <c r="BJ1039" s="69" t="inlineStr">
        <is>
          <t>N</t>
        </is>
      </c>
      <c r="BK1039" s="69" t="inlineStr">
        <is>
          <t>New Branch  LLC</t>
        </is>
      </c>
      <c r="BL1039" s="75" t="n">
        <v>25.39</v>
      </c>
      <c r="BM1039" s="73" t="n">
        <v>44592</v>
      </c>
      <c r="BN1039" s="69" t="inlineStr">
        <is>
          <t>John Bogdasarian</t>
        </is>
      </c>
      <c r="BO1039" s="69" t="inlineStr">
        <is>
          <t>KeyBank</t>
        </is>
      </c>
      <c r="BP1039" s="69" t="inlineStr">
        <is>
          <t>Wells Fargo</t>
        </is>
      </c>
      <c r="BQ1039" s="69" t="inlineStr">
        <is>
          <t>Midland Loan Services</t>
        </is>
      </c>
      <c r="BR1039" s="69" t="inlineStr">
        <is>
          <t>Payoff With Yield Maintenance</t>
        </is>
      </c>
      <c r="BS1039" s="73" t="n">
        <v>44327</v>
      </c>
      <c r="BU1039" s="76">
        <f>IF($C1039="","",IFERROR(INDEX(dmName,MATCH($C1039,dmID,0)),"Unmapped"))</f>
        <v/>
      </c>
      <c r="BV1039" s="76">
        <f>IF($C1039="","",IFERROR(INDEX(dmEntity,MATCH($C1039,dmID,0)),"Unmapped"))</f>
        <v/>
      </c>
      <c r="BW1039" s="77">
        <f>IF($C1039="","",IFERROR(INDEX(dmVintage,MATCH($C1039,dmID,0)),""))</f>
        <v/>
      </c>
      <c r="BX1039" s="78">
        <f>IFERROR(INDEX(dmInclude,MATCH($C1039,dmID,0)),0)</f>
        <v/>
      </c>
      <c r="BY1039" s="78">
        <f>IF(N($I1039)&gt;0,1,0)</f>
        <v/>
      </c>
      <c r="BZ1039" s="76">
        <f>IF($AJ1039="","Other / Leased Fee",IFERROR(INDEX(mapPTGroup,MATCH(LEFT(TRIM($AJ1039),2),mapPTCode,0)),"Other / Leased Fee"))</f>
        <v/>
      </c>
      <c r="CA1039" s="76">
        <f>IF(TRIM($AF1039&amp;"")="","NR",LEFT(TRIM($AF1039),2))</f>
        <v/>
      </c>
      <c r="CB1039" s="76">
        <f>IFERROR(LOOKUP(2,1/(LEFT(TRIM($AI1039&amp;""),LEN(mapRegion))=mapRegion),mapRegion),"Not Reported")</f>
        <v/>
      </c>
      <c r="CC1039" s="76">
        <f>IF($BY1039=0,"",IF(TRIM($W1039&amp;"")="REO","REO",IF(TRIM($W1039&amp;"")="FC","Foreclosure",IF(TRIM($W1039&amp;"")="90+","90+ Days Delinquent",IF(TRIM($W1039&amp;"")="60","60 Days Delinquent",IF(TRIM($W1039&amp;"")="30","30 Days Delinquent",IF($X1039="Non-Performing Matured Balloon","Non-Performing Matured Balloon",IF(OR($X1039="Late Payment But Less Than 30 Days Delinquent",LEFT($X1039&amp;"",20)="Payment Not Received"),"Late / In Grace (&lt;30 Days)",IF($X1039="Performing Matured Balloon","Performing Matured Balloon","Current")))))))))</f>
        <v/>
      </c>
      <c r="CD1039" s="78">
        <f>IF(OR($CC1039="REO",$CC1039="Foreclosure",$CC1039="90+ Days Delinquent",$CC1039="60 Days Delinquent",$CC1039="30 Days Delinquent",$CC1039="Non-Performing Matured Balloon"),1,0)</f>
        <v/>
      </c>
      <c r="CE1039" s="76">
        <f>IF($AB1039="Currently special serv","Currently Specially Serviced",IF($AB1039="Returned to master serv","Previously Specially Serviced","Never Specially Serviced"))</f>
        <v/>
      </c>
      <c r="CF1039" s="78">
        <f>IF($CE1039="Currently Specially Serviced",1,0)</f>
        <v/>
      </c>
      <c r="CG1039" s="76">
        <f>IF($AA1039="Yes","Currently on Watchlist",IF($AA1039="Previously","Previously on Watchlist","Never on Watchlist"))</f>
        <v/>
      </c>
      <c r="CH1039" s="78">
        <f>IF($CG1039="Currently on Watchlist",1,0)</f>
        <v/>
      </c>
      <c r="CI1039" s="76">
        <f>IF($Z1039="Full Defeasance","Fully Defeased",IF($Z1039="Portion Of Loan Previously Defeased","Partially Defeased",IF($Z1039="Defeasance Not Allowable","Not Defeased (Not Permitted)","Not Defeased")))</f>
        <v/>
      </c>
      <c r="CJ1039" s="78">
        <f>IF($CI1039="Fully Defeased",1,0)</f>
        <v/>
      </c>
      <c r="CK1039" s="76">
        <f>IF($R1039="IO","Full IO",IF(LEFT($R1039&amp;"",7)="IO then","Partial IO","Amortizing"))</f>
        <v/>
      </c>
      <c r="CL1039" s="78">
        <f>IF($CK1039="Full IO",1,0)</f>
        <v/>
      </c>
      <c r="CM1039" s="78">
        <f>IF($CK1039="Partial IO",1,0)</f>
        <v/>
      </c>
      <c r="CN1039" s="76">
        <f>IF(LEFT($F1039&amp;"",10)="SPLIT_LOAN","Pari Passu Split","Standalone")</f>
        <v/>
      </c>
      <c r="CO1039" s="78">
        <f>IF($CN1039="Pari Passu Split",1,0)</f>
        <v/>
      </c>
      <c r="CP1039" s="77">
        <f>IF(ISNUMBER($T1039),YEAR($T1039),"")</f>
        <v/>
      </c>
      <c r="CQ1039" s="79">
        <f>IF(ISNUMBER($V1039),$V1039,IF(ISNUMBER($U1039),$U1039,""))</f>
        <v/>
      </c>
      <c r="CR1039" s="77">
        <f>IF(ISNUMBER($CQ1039),YEAR($CQ1039),"")</f>
        <v/>
      </c>
      <c r="CS1039" s="78">
        <f>IF(ISNUMBER($M1039),MAX(0,$M1039),IF(TRIM($M1039&amp;"")="matured",0,""))</f>
        <v/>
      </c>
      <c r="CT1039" s="78">
        <f>IF(AND(ISNUMBER($CS1039),N($CS1039)&lt;=mMatWindow),1,0)</f>
        <v/>
      </c>
      <c r="CU1039" s="80">
        <f>IF(ISNUMBER($J1039),$J1039/100,"")</f>
        <v/>
      </c>
      <c r="CV1039" s="81">
        <f>IF(ISNUMBER($AQ1039),$AQ1039,"")</f>
        <v/>
      </c>
      <c r="CW1039" s="81">
        <f>IF(ISNUMBER($AR1039),$AR1039,"")</f>
        <v/>
      </c>
      <c r="CX1039" s="82">
        <f>IF(ISNUMBER($AS1039),$AS1039/100,"")</f>
        <v/>
      </c>
      <c r="CY1039" s="82">
        <f>IF(ISNUMBER($AT1039),$AT1039/100,"")</f>
        <v/>
      </c>
      <c r="CZ1039" s="82">
        <f>IF(ISNUMBER($AU1039),$AU1039/100,"")</f>
        <v/>
      </c>
      <c r="DA1039" s="82">
        <f>IF(ISNUMBER($AV1039),$AV1039/100,"")</f>
        <v/>
      </c>
      <c r="DB1039" s="82">
        <f>IF(ISNUMBER($AW1039),$AW1039/100,"")</f>
        <v/>
      </c>
      <c r="DC1039" s="82">
        <f>IF(ISNUMBER($AX1039),$AX1039/100,"")</f>
        <v/>
      </c>
      <c r="DD1039" s="77">
        <f>IFERROR(VALUE(LEFT(TRIM($AO1039&amp;""),4)),"")</f>
        <v/>
      </c>
      <c r="DE1039" s="78">
        <f>IF(AND($BY1039=1,$BX1039=1,OR(fDeal="All Deals",$BU1039=fDeal),OR(fEntity="All Entities",$BV1039=fEntity),OR(fPType="All Property Types",$BZ1039=fPType),OR(fDefeased="Include",$CJ1039=0)),1,0)</f>
        <v/>
      </c>
      <c r="DF1039" s="83">
        <f>$DE1039*N($I1039)</f>
        <v/>
      </c>
      <c r="DG1039" s="78">
        <f>IF($DE1039=1,IF(COUNTIFS($F$8:$F1039,$F1039,$DE$8:$DE1039,1)=1,1,0),0)</f>
        <v/>
      </c>
      <c r="DH1039" s="83">
        <f>IF($DG1039=1,SUMIFS($DF$8:$DF$1600,$F$8:$F$1600,$F1039),0)</f>
        <v/>
      </c>
      <c r="DI1039" s="78">
        <f>IF($DG1039=1,COUNTIFS($F$8:$F$1600,$F1039,$DE$8:$DE$1600,1),0)</f>
        <v/>
      </c>
      <c r="DJ1039" s="84">
        <f>IF($DG1039=1,$DH1039+(100000-ROW())/mTieBreak,0)</f>
        <v/>
      </c>
    </row>
    <row r="1040">
      <c r="B1040" s="68" t="n">
        <v>37</v>
      </c>
      <c r="C1040" s="69" t="inlineStr">
        <is>
          <t>MSB17C33</t>
        </is>
      </c>
      <c r="D1040" s="69" t="inlineStr">
        <is>
          <t>37.000</t>
        </is>
      </c>
      <c r="E1040" s="69" t="inlineStr">
        <is>
          <t>Dollar Self Storage Baseline</t>
        </is>
      </c>
      <c r="F1040" s="69" t="inlineStr">
        <is>
          <t>LNMSB17C33-37.000</t>
        </is>
      </c>
      <c r="G1040" s="70" t="n"/>
      <c r="H1040" s="71" t="n">
        <v>5600000</v>
      </c>
      <c r="I1040" s="71" t="n">
        <v>4717887.300000001</v>
      </c>
      <c r="J1040" s="72" t="n">
        <v>5.21</v>
      </c>
      <c r="K1040" s="69" t="inlineStr">
        <is>
          <t>Fixed rate</t>
        </is>
      </c>
      <c r="L1040" s="68" t="n">
        <v>120</v>
      </c>
      <c r="M1040" s="68" t="n">
        <v>8</v>
      </c>
      <c r="N1040" s="68" t="n">
        <v>360</v>
      </c>
      <c r="O1040" s="68" t="n"/>
      <c r="P1040" s="68" t="n"/>
      <c r="Q1040" s="68" t="n">
        <v>112</v>
      </c>
      <c r="R1040" s="69" t="n"/>
      <c r="S1040" s="69" t="inlineStr">
        <is>
          <t>No</t>
        </is>
      </c>
      <c r="T1040" s="73" t="n">
        <v>42856</v>
      </c>
      <c r="U1040" s="73" t="n">
        <v>46508</v>
      </c>
      <c r="V1040" s="73" t="n"/>
      <c r="W1040" s="69" t="n"/>
      <c r="X1040" s="69" t="inlineStr">
        <is>
          <t>Current</t>
        </is>
      </c>
      <c r="Y1040" s="68" t="n"/>
      <c r="Z1040" s="69" t="inlineStr">
        <is>
          <t>No Defeasance Occurred</t>
        </is>
      </c>
      <c r="AA1040" s="69" t="n"/>
      <c r="AB1040" s="69" t="inlineStr">
        <is>
          <t>Never special serv</t>
        </is>
      </c>
      <c r="AC1040" s="73" t="n"/>
      <c r="AD1040" s="69" t="n"/>
      <c r="AE1040" s="69" t="n"/>
      <c r="AF1040" s="69" t="inlineStr">
        <is>
          <t>AZ</t>
        </is>
      </c>
      <c r="AG1040" s="69" t="inlineStr">
        <is>
          <t>Laveen</t>
        </is>
      </c>
      <c r="AH1040" s="69" t="inlineStr">
        <is>
          <t>Phoenix-Mesa-Chandler, AZ</t>
        </is>
      </c>
      <c r="AI1040" s="69" t="inlineStr">
        <is>
          <t>West / Mountain</t>
        </is>
      </c>
      <c r="AJ1040" s="69" t="inlineStr">
        <is>
          <t>SS</t>
        </is>
      </c>
      <c r="AK1040" s="69" t="n"/>
      <c r="AL1040" s="68" t="n">
        <v>1</v>
      </c>
      <c r="AM1040" s="68" t="n"/>
      <c r="AN1040" s="68" t="n">
        <v>68160</v>
      </c>
      <c r="AO1040" s="69" t="inlineStr">
        <is>
          <t>2006</t>
        </is>
      </c>
      <c r="AP1040" s="70" t="n">
        <v>2006</v>
      </c>
      <c r="AQ1040" s="74" t="n">
        <v>1.36</v>
      </c>
      <c r="AR1040" s="74" t="n">
        <v>1.63</v>
      </c>
      <c r="AS1040" s="74" t="n">
        <v>57.79</v>
      </c>
      <c r="AT1040" s="74" t="n">
        <v>48.69</v>
      </c>
      <c r="AU1040" s="74" t="n">
        <v>47.95</v>
      </c>
      <c r="AV1040" s="74" t="n">
        <v>8.97025</v>
      </c>
      <c r="AW1040" s="74" t="n">
        <v>12.769296121</v>
      </c>
      <c r="AX1040" s="75" t="n">
        <v>83</v>
      </c>
      <c r="AY1040" s="71" t="n">
        <v>9690000</v>
      </c>
      <c r="AZ1040" s="71" t="n">
        <v>9690000</v>
      </c>
      <c r="BA1040" s="71" t="n">
        <v>502334</v>
      </c>
      <c r="BB1040" s="71" t="n">
        <v>602441</v>
      </c>
      <c r="BC1040" s="69" t="inlineStr">
        <is>
          <t>Refinance</t>
        </is>
      </c>
      <c r="BD1040" s="69" t="inlineStr">
        <is>
          <t>N</t>
        </is>
      </c>
      <c r="BE1040" s="71" t="n"/>
      <c r="BF1040" s="71" t="n"/>
      <c r="BG1040" s="71" t="n"/>
      <c r="BH1040" s="71" t="n">
        <v>0</v>
      </c>
      <c r="BI1040" s="71" t="n">
        <v>0</v>
      </c>
      <c r="BJ1040" s="69" t="inlineStr">
        <is>
          <t>N</t>
        </is>
      </c>
      <c r="BK1040" s="69" t="n"/>
      <c r="BL1040" s="75" t="n"/>
      <c r="BM1040" s="73" t="n"/>
      <c r="BN1040" s="69" t="inlineStr">
        <is>
          <t>Stadium Properties, LLC</t>
        </is>
      </c>
      <c r="BO1040" s="69" t="inlineStr">
        <is>
          <t>KeyBank</t>
        </is>
      </c>
      <c r="BP1040" s="69" t="inlineStr">
        <is>
          <t>TriMont Real Estate Advisors</t>
        </is>
      </c>
      <c r="BQ1040" s="69" t="inlineStr">
        <is>
          <t>Midland Loan Services</t>
        </is>
      </c>
      <c r="BR1040" s="69" t="n"/>
      <c r="BS1040" s="73" t="n">
        <v>46276</v>
      </c>
      <c r="BU1040" s="76">
        <f>IF($C1040="","",IFERROR(INDEX(dmName,MATCH($C1040,dmID,0)),"Unmapped"))</f>
        <v/>
      </c>
      <c r="BV1040" s="76">
        <f>IF($C1040="","",IFERROR(INDEX(dmEntity,MATCH($C1040,dmID,0)),"Unmapped"))</f>
        <v/>
      </c>
      <c r="BW1040" s="77">
        <f>IF($C1040="","",IFERROR(INDEX(dmVintage,MATCH($C1040,dmID,0)),""))</f>
        <v/>
      </c>
      <c r="BX1040" s="78">
        <f>IFERROR(INDEX(dmInclude,MATCH($C1040,dmID,0)),0)</f>
        <v/>
      </c>
      <c r="BY1040" s="78">
        <f>IF(N($I1040)&gt;0,1,0)</f>
        <v/>
      </c>
      <c r="BZ1040" s="76">
        <f>IF($AJ1040="","Other / Leased Fee",IFERROR(INDEX(mapPTGroup,MATCH(LEFT(TRIM($AJ1040),2),mapPTCode,0)),"Other / Leased Fee"))</f>
        <v/>
      </c>
      <c r="CA1040" s="76">
        <f>IF(TRIM($AF1040&amp;"")="","NR",LEFT(TRIM($AF1040),2))</f>
        <v/>
      </c>
      <c r="CB1040" s="76">
        <f>IFERROR(LOOKUP(2,1/(LEFT(TRIM($AI1040&amp;""),LEN(mapRegion))=mapRegion),mapRegion),"Not Reported")</f>
        <v/>
      </c>
      <c r="CC1040" s="76">
        <f>IF($BY1040=0,"",IF(TRIM($W1040&amp;"")="REO","REO",IF(TRIM($W1040&amp;"")="FC","Foreclosure",IF(TRIM($W1040&amp;"")="90+","90+ Days Delinquent",IF(TRIM($W1040&amp;"")="60","60 Days Delinquent",IF(TRIM($W1040&amp;"")="30","30 Days Delinquent",IF($X1040="Non-Performing Matured Balloon","Non-Performing Matured Balloon",IF(OR($X1040="Late Payment But Less Than 30 Days Delinquent",LEFT($X1040&amp;"",20)="Payment Not Received"),"Late / In Grace (&lt;30 Days)",IF($X1040="Performing Matured Balloon","Performing Matured Balloon","Current")))))))))</f>
        <v/>
      </c>
      <c r="CD1040" s="78">
        <f>IF(OR($CC1040="REO",$CC1040="Foreclosure",$CC1040="90+ Days Delinquent",$CC1040="60 Days Delinquent",$CC1040="30 Days Delinquent",$CC1040="Non-Performing Matured Balloon"),1,0)</f>
        <v/>
      </c>
      <c r="CE1040" s="76">
        <f>IF($AB1040="Currently special serv","Currently Specially Serviced",IF($AB1040="Returned to master serv","Previously Specially Serviced","Never Specially Serviced"))</f>
        <v/>
      </c>
      <c r="CF1040" s="78">
        <f>IF($CE1040="Currently Specially Serviced",1,0)</f>
        <v/>
      </c>
      <c r="CG1040" s="76">
        <f>IF($AA1040="Yes","Currently on Watchlist",IF($AA1040="Previously","Previously on Watchlist","Never on Watchlist"))</f>
        <v/>
      </c>
      <c r="CH1040" s="78">
        <f>IF($CG1040="Currently on Watchlist",1,0)</f>
        <v/>
      </c>
      <c r="CI1040" s="76">
        <f>IF($Z1040="Full Defeasance","Fully Defeased",IF($Z1040="Portion Of Loan Previously Defeased","Partially Defeased",IF($Z1040="Defeasance Not Allowable","Not Defeased (Not Permitted)","Not Defeased")))</f>
        <v/>
      </c>
      <c r="CJ1040" s="78">
        <f>IF($CI1040="Fully Defeased",1,0)</f>
        <v/>
      </c>
      <c r="CK1040" s="76">
        <f>IF($R1040="IO","Full IO",IF(LEFT($R1040&amp;"",7)="IO then","Partial IO","Amortizing"))</f>
        <v/>
      </c>
      <c r="CL1040" s="78">
        <f>IF($CK1040="Full IO",1,0)</f>
        <v/>
      </c>
      <c r="CM1040" s="78">
        <f>IF($CK1040="Partial IO",1,0)</f>
        <v/>
      </c>
      <c r="CN1040" s="76">
        <f>IF(LEFT($F1040&amp;"",10)="SPLIT_LOAN","Pari Passu Split","Standalone")</f>
        <v/>
      </c>
      <c r="CO1040" s="78">
        <f>IF($CN1040="Pari Passu Split",1,0)</f>
        <v/>
      </c>
      <c r="CP1040" s="77">
        <f>IF(ISNUMBER($T1040),YEAR($T1040),"")</f>
        <v/>
      </c>
      <c r="CQ1040" s="79">
        <f>IF(ISNUMBER($V1040),$V1040,IF(ISNUMBER($U1040),$U1040,""))</f>
        <v/>
      </c>
      <c r="CR1040" s="77">
        <f>IF(ISNUMBER($CQ1040),YEAR($CQ1040),"")</f>
        <v/>
      </c>
      <c r="CS1040" s="78">
        <f>IF(ISNUMBER($M1040),MAX(0,$M1040),IF(TRIM($M1040&amp;"")="matured",0,""))</f>
        <v/>
      </c>
      <c r="CT1040" s="78">
        <f>IF(AND(ISNUMBER($CS1040),N($CS1040)&lt;=mMatWindow),1,0)</f>
        <v/>
      </c>
      <c r="CU1040" s="80">
        <f>IF(ISNUMBER($J1040),$J1040/100,"")</f>
        <v/>
      </c>
      <c r="CV1040" s="81">
        <f>IF(ISNUMBER($AQ1040),$AQ1040,"")</f>
        <v/>
      </c>
      <c r="CW1040" s="81">
        <f>IF(ISNUMBER($AR1040),$AR1040,"")</f>
        <v/>
      </c>
      <c r="CX1040" s="82">
        <f>IF(ISNUMBER($AS1040),$AS1040/100,"")</f>
        <v/>
      </c>
      <c r="CY1040" s="82">
        <f>IF(ISNUMBER($AT1040),$AT1040/100,"")</f>
        <v/>
      </c>
      <c r="CZ1040" s="82">
        <f>IF(ISNUMBER($AU1040),$AU1040/100,"")</f>
        <v/>
      </c>
      <c r="DA1040" s="82">
        <f>IF(ISNUMBER($AV1040),$AV1040/100,"")</f>
        <v/>
      </c>
      <c r="DB1040" s="82">
        <f>IF(ISNUMBER($AW1040),$AW1040/100,"")</f>
        <v/>
      </c>
      <c r="DC1040" s="82">
        <f>IF(ISNUMBER($AX1040),$AX1040/100,"")</f>
        <v/>
      </c>
      <c r="DD1040" s="77">
        <f>IFERROR(VALUE(LEFT(TRIM($AO1040&amp;""),4)),"")</f>
        <v/>
      </c>
      <c r="DE1040" s="78">
        <f>IF(AND($BY1040=1,$BX1040=1,OR(fDeal="All Deals",$BU1040=fDeal),OR(fEntity="All Entities",$BV1040=fEntity),OR(fPType="All Property Types",$BZ1040=fPType),OR(fDefeased="Include",$CJ1040=0)),1,0)</f>
        <v/>
      </c>
      <c r="DF1040" s="83">
        <f>$DE1040*N($I1040)</f>
        <v/>
      </c>
      <c r="DG1040" s="78">
        <f>IF($DE1040=1,IF(COUNTIFS($F$8:$F1040,$F1040,$DE$8:$DE1040,1)=1,1,0),0)</f>
        <v/>
      </c>
      <c r="DH1040" s="83">
        <f>IF($DG1040=1,SUMIFS($DF$8:$DF$1600,$F$8:$F$1600,$F1040),0)</f>
        <v/>
      </c>
      <c r="DI1040" s="78">
        <f>IF($DG1040=1,COUNTIFS($F$8:$F$1600,$F1040,$DE$8:$DE$1600,1),0)</f>
        <v/>
      </c>
      <c r="DJ1040" s="84">
        <f>IF($DG1040=1,$DH1040+(100000-ROW())/mTieBreak,0)</f>
        <v/>
      </c>
    </row>
    <row r="1041">
      <c r="B1041" s="68" t="n">
        <v>38</v>
      </c>
      <c r="C1041" s="69" t="inlineStr">
        <is>
          <t>MSB17C33</t>
        </is>
      </c>
      <c r="D1041" s="69" t="inlineStr">
        <is>
          <t>38.000</t>
        </is>
      </c>
      <c r="E1041" s="69" t="inlineStr">
        <is>
          <t>US Storage Corona</t>
        </is>
      </c>
      <c r="F1041" s="69" t="inlineStr">
        <is>
          <t>LNMSB17C33-38.000</t>
        </is>
      </c>
      <c r="G1041" s="70" t="n"/>
      <c r="H1041" s="71" t="n">
        <v>5500000</v>
      </c>
      <c r="I1041" s="71" t="n">
        <v>5097547.84</v>
      </c>
      <c r="J1041" s="72" t="n">
        <v>4.552</v>
      </c>
      <c r="K1041" s="69" t="inlineStr">
        <is>
          <t>Fixed rate</t>
        </is>
      </c>
      <c r="L1041" s="68" t="n">
        <v>120</v>
      </c>
      <c r="M1041" s="68" t="n">
        <v>7</v>
      </c>
      <c r="N1041" s="68" t="n">
        <v>420</v>
      </c>
      <c r="O1041" s="68" t="n">
        <v>60</v>
      </c>
      <c r="P1041" s="68" t="n">
        <v>0</v>
      </c>
      <c r="Q1041" s="68" t="n">
        <v>113</v>
      </c>
      <c r="R1041" s="69" t="inlineStr">
        <is>
          <t>IO then Amort</t>
        </is>
      </c>
      <c r="S1041" s="69" t="inlineStr">
        <is>
          <t>No</t>
        </is>
      </c>
      <c r="T1041" s="73" t="n">
        <v>42826</v>
      </c>
      <c r="U1041" s="73" t="n">
        <v>46478</v>
      </c>
      <c r="V1041" s="73" t="n"/>
      <c r="W1041" s="69" t="n"/>
      <c r="X1041" s="69" t="inlineStr">
        <is>
          <t>Current</t>
        </is>
      </c>
      <c r="Y1041" s="68" t="n"/>
      <c r="Z1041" s="69" t="inlineStr">
        <is>
          <t>No Defeasance Occurred</t>
        </is>
      </c>
      <c r="AA1041" s="69" t="n"/>
      <c r="AB1041" s="69" t="inlineStr">
        <is>
          <t>Never special serv</t>
        </is>
      </c>
      <c r="AC1041" s="73" t="n"/>
      <c r="AD1041" s="69" t="n"/>
      <c r="AE1041" s="69" t="n"/>
      <c r="AF1041" s="69" t="inlineStr">
        <is>
          <t>CA</t>
        </is>
      </c>
      <c r="AG1041" s="69" t="inlineStr">
        <is>
          <t>Corona</t>
        </is>
      </c>
      <c r="AH1041" s="69" t="inlineStr">
        <is>
          <t>Riverside-San Bernardino-Ontario, CA</t>
        </is>
      </c>
      <c r="AI1041" s="69" t="inlineStr">
        <is>
          <t>West / Pacific South</t>
        </is>
      </c>
      <c r="AJ1041" s="69" t="inlineStr">
        <is>
          <t>SS</t>
        </is>
      </c>
      <c r="AK1041" s="69" t="n"/>
      <c r="AL1041" s="68" t="n">
        <v>1</v>
      </c>
      <c r="AM1041" s="68" t="n"/>
      <c r="AN1041" s="68" t="n">
        <v>60434</v>
      </c>
      <c r="AO1041" s="69" t="inlineStr">
        <is>
          <t>2007</t>
        </is>
      </c>
      <c r="AP1041" s="70" t="n">
        <v>2007</v>
      </c>
      <c r="AQ1041" s="74" t="n">
        <v>1.71</v>
      </c>
      <c r="AR1041" s="74" t="n">
        <v>2.59</v>
      </c>
      <c r="AS1041" s="74" t="n">
        <v>57.5</v>
      </c>
      <c r="AT1041" s="74" t="n">
        <v>53.27</v>
      </c>
      <c r="AU1041" s="74" t="n">
        <v>52.7</v>
      </c>
      <c r="AV1041" s="74" t="n">
        <v>10.434472727</v>
      </c>
      <c r="AW1041" s="74" t="n">
        <v>18.217129866</v>
      </c>
      <c r="AX1041" s="75" t="n">
        <v>81</v>
      </c>
      <c r="AY1041" s="71" t="n">
        <v>9570000</v>
      </c>
      <c r="AZ1041" s="71" t="n">
        <v>9570000</v>
      </c>
      <c r="BA1041" s="71" t="n">
        <v>573896</v>
      </c>
      <c r="BB1041" s="71" t="n">
        <v>218015.93</v>
      </c>
      <c r="BC1041" s="69" t="inlineStr">
        <is>
          <t>Refinance</t>
        </is>
      </c>
      <c r="BD1041" s="69" t="inlineStr">
        <is>
          <t>N</t>
        </is>
      </c>
      <c r="BE1041" s="71" t="n"/>
      <c r="BF1041" s="71" t="n"/>
      <c r="BG1041" s="71" t="n"/>
      <c r="BH1041" s="71" t="n">
        <v>0</v>
      </c>
      <c r="BI1041" s="71" t="n">
        <v>0</v>
      </c>
      <c r="BJ1041" s="69" t="inlineStr">
        <is>
          <t>N</t>
        </is>
      </c>
      <c r="BK1041" s="69" t="n"/>
      <c r="BL1041" s="75" t="n"/>
      <c r="BM1041" s="73" t="n"/>
      <c r="BN1041" s="69" t="inlineStr">
        <is>
          <t>Westport Properties, Inc.</t>
        </is>
      </c>
      <c r="BO1041" s="69" t="inlineStr">
        <is>
          <t>Bank of America</t>
        </is>
      </c>
      <c r="BP1041" s="69" t="inlineStr">
        <is>
          <t>TriMont Real Estate Advisors</t>
        </is>
      </c>
      <c r="BQ1041" s="69" t="inlineStr">
        <is>
          <t>Midland Loan Services</t>
        </is>
      </c>
      <c r="BR1041" s="69" t="n"/>
      <c r="BS1041" s="73" t="n">
        <v>46276</v>
      </c>
      <c r="BU1041" s="76">
        <f>IF($C1041="","",IFERROR(INDEX(dmName,MATCH($C1041,dmID,0)),"Unmapped"))</f>
        <v/>
      </c>
      <c r="BV1041" s="76">
        <f>IF($C1041="","",IFERROR(INDEX(dmEntity,MATCH($C1041,dmID,0)),"Unmapped"))</f>
        <v/>
      </c>
      <c r="BW1041" s="77">
        <f>IF($C1041="","",IFERROR(INDEX(dmVintage,MATCH($C1041,dmID,0)),""))</f>
        <v/>
      </c>
      <c r="BX1041" s="78">
        <f>IFERROR(INDEX(dmInclude,MATCH($C1041,dmID,0)),0)</f>
        <v/>
      </c>
      <c r="BY1041" s="78">
        <f>IF(N($I1041)&gt;0,1,0)</f>
        <v/>
      </c>
      <c r="BZ1041" s="76">
        <f>IF($AJ1041="","Other / Leased Fee",IFERROR(INDEX(mapPTGroup,MATCH(LEFT(TRIM($AJ1041),2),mapPTCode,0)),"Other / Leased Fee"))</f>
        <v/>
      </c>
      <c r="CA1041" s="76">
        <f>IF(TRIM($AF1041&amp;"")="","NR",LEFT(TRIM($AF1041),2))</f>
        <v/>
      </c>
      <c r="CB1041" s="76">
        <f>IFERROR(LOOKUP(2,1/(LEFT(TRIM($AI1041&amp;""),LEN(mapRegion))=mapRegion),mapRegion),"Not Reported")</f>
        <v/>
      </c>
      <c r="CC1041" s="76">
        <f>IF($BY1041=0,"",IF(TRIM($W1041&amp;"")="REO","REO",IF(TRIM($W1041&amp;"")="FC","Foreclosure",IF(TRIM($W1041&amp;"")="90+","90+ Days Delinquent",IF(TRIM($W1041&amp;"")="60","60 Days Delinquent",IF(TRIM($W1041&amp;"")="30","30 Days Delinquent",IF($X1041="Non-Performing Matured Balloon","Non-Performing Matured Balloon",IF(OR($X1041="Late Payment But Less Than 30 Days Delinquent",LEFT($X1041&amp;"",20)="Payment Not Received"),"Late / In Grace (&lt;30 Days)",IF($X1041="Performing Matured Balloon","Performing Matured Balloon","Current")))))))))</f>
        <v/>
      </c>
      <c r="CD1041" s="78">
        <f>IF(OR($CC1041="REO",$CC1041="Foreclosure",$CC1041="90+ Days Delinquent",$CC1041="60 Days Delinquent",$CC1041="30 Days Delinquent",$CC1041="Non-Performing Matured Balloon"),1,0)</f>
        <v/>
      </c>
      <c r="CE1041" s="76">
        <f>IF($AB1041="Currently special serv","Currently Specially Serviced",IF($AB1041="Returned to master serv","Previously Specially Serviced","Never Specially Serviced"))</f>
        <v/>
      </c>
      <c r="CF1041" s="78">
        <f>IF($CE1041="Currently Specially Serviced",1,0)</f>
        <v/>
      </c>
      <c r="CG1041" s="76">
        <f>IF($AA1041="Yes","Currently on Watchlist",IF($AA1041="Previously","Previously on Watchlist","Never on Watchlist"))</f>
        <v/>
      </c>
      <c r="CH1041" s="78">
        <f>IF($CG1041="Currently on Watchlist",1,0)</f>
        <v/>
      </c>
      <c r="CI1041" s="76">
        <f>IF($Z1041="Full Defeasance","Fully Defeased",IF($Z1041="Portion Of Loan Previously Defeased","Partially Defeased",IF($Z1041="Defeasance Not Allowable","Not Defeased (Not Permitted)","Not Defeased")))</f>
        <v/>
      </c>
      <c r="CJ1041" s="78">
        <f>IF($CI1041="Fully Defeased",1,0)</f>
        <v/>
      </c>
      <c r="CK1041" s="76">
        <f>IF($R1041="IO","Full IO",IF(LEFT($R1041&amp;"",7)="IO then","Partial IO","Amortizing"))</f>
        <v/>
      </c>
      <c r="CL1041" s="78">
        <f>IF($CK1041="Full IO",1,0)</f>
        <v/>
      </c>
      <c r="CM1041" s="78">
        <f>IF($CK1041="Partial IO",1,0)</f>
        <v/>
      </c>
      <c r="CN1041" s="76">
        <f>IF(LEFT($F1041&amp;"",10)="SPLIT_LOAN","Pari Passu Split","Standalone")</f>
        <v/>
      </c>
      <c r="CO1041" s="78">
        <f>IF($CN1041="Pari Passu Split",1,0)</f>
        <v/>
      </c>
      <c r="CP1041" s="77">
        <f>IF(ISNUMBER($T1041),YEAR($T1041),"")</f>
        <v/>
      </c>
      <c r="CQ1041" s="79">
        <f>IF(ISNUMBER($V1041),$V1041,IF(ISNUMBER($U1041),$U1041,""))</f>
        <v/>
      </c>
      <c r="CR1041" s="77">
        <f>IF(ISNUMBER($CQ1041),YEAR($CQ1041),"")</f>
        <v/>
      </c>
      <c r="CS1041" s="78">
        <f>IF(ISNUMBER($M1041),MAX(0,$M1041),IF(TRIM($M1041&amp;"")="matured",0,""))</f>
        <v/>
      </c>
      <c r="CT1041" s="78">
        <f>IF(AND(ISNUMBER($CS1041),N($CS1041)&lt;=mMatWindow),1,0)</f>
        <v/>
      </c>
      <c r="CU1041" s="80">
        <f>IF(ISNUMBER($J1041),$J1041/100,"")</f>
        <v/>
      </c>
      <c r="CV1041" s="81">
        <f>IF(ISNUMBER($AQ1041),$AQ1041,"")</f>
        <v/>
      </c>
      <c r="CW1041" s="81">
        <f>IF(ISNUMBER($AR1041),$AR1041,"")</f>
        <v/>
      </c>
      <c r="CX1041" s="82">
        <f>IF(ISNUMBER($AS1041),$AS1041/100,"")</f>
        <v/>
      </c>
      <c r="CY1041" s="82">
        <f>IF(ISNUMBER($AT1041),$AT1041/100,"")</f>
        <v/>
      </c>
      <c r="CZ1041" s="82">
        <f>IF(ISNUMBER($AU1041),$AU1041/100,"")</f>
        <v/>
      </c>
      <c r="DA1041" s="82">
        <f>IF(ISNUMBER($AV1041),$AV1041/100,"")</f>
        <v/>
      </c>
      <c r="DB1041" s="82">
        <f>IF(ISNUMBER($AW1041),$AW1041/100,"")</f>
        <v/>
      </c>
      <c r="DC1041" s="82">
        <f>IF(ISNUMBER($AX1041),$AX1041/100,"")</f>
        <v/>
      </c>
      <c r="DD1041" s="77">
        <f>IFERROR(VALUE(LEFT(TRIM($AO1041&amp;""),4)),"")</f>
        <v/>
      </c>
      <c r="DE1041" s="78">
        <f>IF(AND($BY1041=1,$BX1041=1,OR(fDeal="All Deals",$BU1041=fDeal),OR(fEntity="All Entities",$BV1041=fEntity),OR(fPType="All Property Types",$BZ1041=fPType),OR(fDefeased="Include",$CJ1041=0)),1,0)</f>
        <v/>
      </c>
      <c r="DF1041" s="83">
        <f>$DE1041*N($I1041)</f>
        <v/>
      </c>
      <c r="DG1041" s="78">
        <f>IF($DE1041=1,IF(COUNTIFS($F$8:$F1041,$F1041,$DE$8:$DE1041,1)=1,1,0),0)</f>
        <v/>
      </c>
      <c r="DH1041" s="83">
        <f>IF($DG1041=1,SUMIFS($DF$8:$DF$1600,$F$8:$F$1600,$F1041),0)</f>
        <v/>
      </c>
      <c r="DI1041" s="78">
        <f>IF($DG1041=1,COUNTIFS($F$8:$F$1600,$F1041,$DE$8:$DE$1600,1),0)</f>
        <v/>
      </c>
      <c r="DJ1041" s="84">
        <f>IF($DG1041=1,$DH1041+(100000-ROW())/mTieBreak,0)</f>
        <v/>
      </c>
    </row>
    <row r="1042">
      <c r="B1042" s="68" t="n">
        <v>39</v>
      </c>
      <c r="C1042" s="69" t="inlineStr">
        <is>
          <t>MSB17C33</t>
        </is>
      </c>
      <c r="D1042" s="69" t="inlineStr">
        <is>
          <t>39.000</t>
        </is>
      </c>
      <c r="E1042" s="69" t="inlineStr">
        <is>
          <t>All Storage Kelly Old Mill</t>
        </is>
      </c>
      <c r="F1042" s="69" t="inlineStr">
        <is>
          <t>LNMSB17C33-39.000</t>
        </is>
      </c>
      <c r="G1042" s="70" t="n"/>
      <c r="H1042" s="71" t="n">
        <v>5500000</v>
      </c>
      <c r="I1042" s="71" t="n">
        <v>4482557.950002001</v>
      </c>
      <c r="J1042" s="72" t="n">
        <v>4.15</v>
      </c>
      <c r="K1042" s="69" t="inlineStr">
        <is>
          <t>Fixed rate</t>
        </is>
      </c>
      <c r="L1042" s="68" t="n">
        <v>120</v>
      </c>
      <c r="M1042" s="68" t="n">
        <v>8</v>
      </c>
      <c r="N1042" s="68" t="n">
        <v>360</v>
      </c>
      <c r="O1042" s="68" t="n"/>
      <c r="P1042" s="68" t="n"/>
      <c r="Q1042" s="68" t="n">
        <v>112</v>
      </c>
      <c r="R1042" s="69" t="n"/>
      <c r="S1042" s="69" t="inlineStr">
        <is>
          <t>No</t>
        </is>
      </c>
      <c r="T1042" s="73" t="n">
        <v>42856</v>
      </c>
      <c r="U1042" s="73" t="n">
        <v>46508</v>
      </c>
      <c r="V1042" s="73" t="n"/>
      <c r="W1042" s="69" t="n"/>
      <c r="X1042" s="69" t="inlineStr">
        <is>
          <t>Current</t>
        </is>
      </c>
      <c r="Y1042" s="68" t="n"/>
      <c r="Z1042" s="69" t="inlineStr">
        <is>
          <t>Full Defeasance</t>
        </is>
      </c>
      <c r="AA1042" s="69" t="inlineStr">
        <is>
          <t>Previously</t>
        </is>
      </c>
      <c r="AB1042" s="69" t="inlineStr">
        <is>
          <t>Never special serv</t>
        </is>
      </c>
      <c r="AC1042" s="73" t="n"/>
      <c r="AD1042" s="69" t="n"/>
      <c r="AE1042" s="69" t="n"/>
      <c r="AF1042" s="69" t="inlineStr">
        <is>
          <t>TX</t>
        </is>
      </c>
      <c r="AG1042" s="69" t="inlineStr">
        <is>
          <t>Carrollton</t>
        </is>
      </c>
      <c r="AH1042" s="69" t="inlineStr">
        <is>
          <t>Dallas-Fort Worth-Arlington, TX</t>
        </is>
      </c>
      <c r="AI1042" s="69" t="inlineStr">
        <is>
          <t>South / Central West</t>
        </is>
      </c>
      <c r="AJ1042" s="69" t="inlineStr">
        <is>
          <t>SS</t>
        </is>
      </c>
      <c r="AK1042" s="69" t="n"/>
      <c r="AL1042" s="68" t="n">
        <v>1</v>
      </c>
      <c r="AM1042" s="68" t="n"/>
      <c r="AN1042" s="68" t="n">
        <v>82270</v>
      </c>
      <c r="AO1042" s="69" t="inlineStr">
        <is>
          <t>2006</t>
        </is>
      </c>
      <c r="AP1042" s="70" t="n">
        <v>2006</v>
      </c>
      <c r="AQ1042" s="74" t="n">
        <v>1.88</v>
      </c>
      <c r="AR1042" s="74" t="n">
        <v>2.04</v>
      </c>
      <c r="AS1042" s="74" t="n">
        <v>61.5</v>
      </c>
      <c r="AT1042" s="74" t="n">
        <v>50.08</v>
      </c>
      <c r="AU1042" s="74" t="n">
        <v>49.2</v>
      </c>
      <c r="AV1042" s="74" t="n">
        <v>10.963404727</v>
      </c>
      <c r="AW1042" s="74" t="n">
        <v>10.838182248</v>
      </c>
      <c r="AX1042" s="75" t="n">
        <v>92</v>
      </c>
      <c r="AY1042" s="71" t="n">
        <v>8950000</v>
      </c>
      <c r="AZ1042" s="71" t="n">
        <v>8950000</v>
      </c>
      <c r="BA1042" s="71" t="n">
        <v>602987.26</v>
      </c>
      <c r="BB1042" s="71" t="n">
        <v>492038.31</v>
      </c>
      <c r="BC1042" s="69" t="inlineStr">
        <is>
          <t>Refinance</t>
        </is>
      </c>
      <c r="BD1042" s="69" t="inlineStr">
        <is>
          <t>N</t>
        </is>
      </c>
      <c r="BE1042" s="71" t="n"/>
      <c r="BF1042" s="71" t="n"/>
      <c r="BG1042" s="71" t="n"/>
      <c r="BH1042" s="71" t="n">
        <v>0</v>
      </c>
      <c r="BI1042" s="71" t="n">
        <v>0</v>
      </c>
      <c r="BJ1042" s="69" t="inlineStr">
        <is>
          <t>N</t>
        </is>
      </c>
      <c r="BK1042" s="69" t="n"/>
      <c r="BL1042" s="75" t="n"/>
      <c r="BM1042" s="73" t="n"/>
      <c r="BN1042" s="69" t="inlineStr">
        <is>
          <t>Jay Schuminsky</t>
        </is>
      </c>
      <c r="BO1042" s="69" t="inlineStr">
        <is>
          <t>Morgan Stanley</t>
        </is>
      </c>
      <c r="BP1042" s="69" t="inlineStr">
        <is>
          <t>TriMont Real Estate Advisors</t>
        </is>
      </c>
      <c r="BQ1042" s="69" t="inlineStr">
        <is>
          <t>Midland Loan Services</t>
        </is>
      </c>
      <c r="BR1042" s="69" t="n"/>
      <c r="BS1042" s="73" t="n">
        <v>46276</v>
      </c>
      <c r="BU1042" s="76">
        <f>IF($C1042="","",IFERROR(INDEX(dmName,MATCH($C1042,dmID,0)),"Unmapped"))</f>
        <v/>
      </c>
      <c r="BV1042" s="76">
        <f>IF($C1042="","",IFERROR(INDEX(dmEntity,MATCH($C1042,dmID,0)),"Unmapped"))</f>
        <v/>
      </c>
      <c r="BW1042" s="77">
        <f>IF($C1042="","",IFERROR(INDEX(dmVintage,MATCH($C1042,dmID,0)),""))</f>
        <v/>
      </c>
      <c r="BX1042" s="78">
        <f>IFERROR(INDEX(dmInclude,MATCH($C1042,dmID,0)),0)</f>
        <v/>
      </c>
      <c r="BY1042" s="78">
        <f>IF(N($I1042)&gt;0,1,0)</f>
        <v/>
      </c>
      <c r="BZ1042" s="76">
        <f>IF($AJ1042="","Other / Leased Fee",IFERROR(INDEX(mapPTGroup,MATCH(LEFT(TRIM($AJ1042),2),mapPTCode,0)),"Other / Leased Fee"))</f>
        <v/>
      </c>
      <c r="CA1042" s="76">
        <f>IF(TRIM($AF1042&amp;"")="","NR",LEFT(TRIM($AF1042),2))</f>
        <v/>
      </c>
      <c r="CB1042" s="76">
        <f>IFERROR(LOOKUP(2,1/(LEFT(TRIM($AI1042&amp;""),LEN(mapRegion))=mapRegion),mapRegion),"Not Reported")</f>
        <v/>
      </c>
      <c r="CC1042" s="76">
        <f>IF($BY1042=0,"",IF(TRIM($W1042&amp;"")="REO","REO",IF(TRIM($W1042&amp;"")="FC","Foreclosure",IF(TRIM($W1042&amp;"")="90+","90+ Days Delinquent",IF(TRIM($W1042&amp;"")="60","60 Days Delinquent",IF(TRIM($W1042&amp;"")="30","30 Days Delinquent",IF($X1042="Non-Performing Matured Balloon","Non-Performing Matured Balloon",IF(OR($X1042="Late Payment But Less Than 30 Days Delinquent",LEFT($X1042&amp;"",20)="Payment Not Received"),"Late / In Grace (&lt;30 Days)",IF($X1042="Performing Matured Balloon","Performing Matured Balloon","Current")))))))))</f>
        <v/>
      </c>
      <c r="CD1042" s="78">
        <f>IF(OR($CC1042="REO",$CC1042="Foreclosure",$CC1042="90+ Days Delinquent",$CC1042="60 Days Delinquent",$CC1042="30 Days Delinquent",$CC1042="Non-Performing Matured Balloon"),1,0)</f>
        <v/>
      </c>
      <c r="CE1042" s="76">
        <f>IF($AB1042="Currently special serv","Currently Specially Serviced",IF($AB1042="Returned to master serv","Previously Specially Serviced","Never Specially Serviced"))</f>
        <v/>
      </c>
      <c r="CF1042" s="78">
        <f>IF($CE1042="Currently Specially Serviced",1,0)</f>
        <v/>
      </c>
      <c r="CG1042" s="76">
        <f>IF($AA1042="Yes","Currently on Watchlist",IF($AA1042="Previously","Previously on Watchlist","Never on Watchlist"))</f>
        <v/>
      </c>
      <c r="CH1042" s="78">
        <f>IF($CG1042="Currently on Watchlist",1,0)</f>
        <v/>
      </c>
      <c r="CI1042" s="76">
        <f>IF($Z1042="Full Defeasance","Fully Defeased",IF($Z1042="Portion Of Loan Previously Defeased","Partially Defeased",IF($Z1042="Defeasance Not Allowable","Not Defeased (Not Permitted)","Not Defeased")))</f>
        <v/>
      </c>
      <c r="CJ1042" s="78">
        <f>IF($CI1042="Fully Defeased",1,0)</f>
        <v/>
      </c>
      <c r="CK1042" s="76">
        <f>IF($R1042="IO","Full IO",IF(LEFT($R1042&amp;"",7)="IO then","Partial IO","Amortizing"))</f>
        <v/>
      </c>
      <c r="CL1042" s="78">
        <f>IF($CK1042="Full IO",1,0)</f>
        <v/>
      </c>
      <c r="CM1042" s="78">
        <f>IF($CK1042="Partial IO",1,0)</f>
        <v/>
      </c>
      <c r="CN1042" s="76">
        <f>IF(LEFT($F1042&amp;"",10)="SPLIT_LOAN","Pari Passu Split","Standalone")</f>
        <v/>
      </c>
      <c r="CO1042" s="78">
        <f>IF($CN1042="Pari Passu Split",1,0)</f>
        <v/>
      </c>
      <c r="CP1042" s="77">
        <f>IF(ISNUMBER($T1042),YEAR($T1042),"")</f>
        <v/>
      </c>
      <c r="CQ1042" s="79">
        <f>IF(ISNUMBER($V1042),$V1042,IF(ISNUMBER($U1042),$U1042,""))</f>
        <v/>
      </c>
      <c r="CR1042" s="77">
        <f>IF(ISNUMBER($CQ1042),YEAR($CQ1042),"")</f>
        <v/>
      </c>
      <c r="CS1042" s="78">
        <f>IF(ISNUMBER($M1042),MAX(0,$M1042),IF(TRIM($M1042&amp;"")="matured",0,""))</f>
        <v/>
      </c>
      <c r="CT1042" s="78">
        <f>IF(AND(ISNUMBER($CS1042),N($CS1042)&lt;=mMatWindow),1,0)</f>
        <v/>
      </c>
      <c r="CU1042" s="80">
        <f>IF(ISNUMBER($J1042),$J1042/100,"")</f>
        <v/>
      </c>
      <c r="CV1042" s="81">
        <f>IF(ISNUMBER($AQ1042),$AQ1042,"")</f>
        <v/>
      </c>
      <c r="CW1042" s="81">
        <f>IF(ISNUMBER($AR1042),$AR1042,"")</f>
        <v/>
      </c>
      <c r="CX1042" s="82">
        <f>IF(ISNUMBER($AS1042),$AS1042/100,"")</f>
        <v/>
      </c>
      <c r="CY1042" s="82">
        <f>IF(ISNUMBER($AT1042),$AT1042/100,"")</f>
        <v/>
      </c>
      <c r="CZ1042" s="82">
        <f>IF(ISNUMBER($AU1042),$AU1042/100,"")</f>
        <v/>
      </c>
      <c r="DA1042" s="82">
        <f>IF(ISNUMBER($AV1042),$AV1042/100,"")</f>
        <v/>
      </c>
      <c r="DB1042" s="82">
        <f>IF(ISNUMBER($AW1042),$AW1042/100,"")</f>
        <v/>
      </c>
      <c r="DC1042" s="82">
        <f>IF(ISNUMBER($AX1042),$AX1042/100,"")</f>
        <v/>
      </c>
      <c r="DD1042" s="77">
        <f>IFERROR(VALUE(LEFT(TRIM($AO1042&amp;""),4)),"")</f>
        <v/>
      </c>
      <c r="DE1042" s="78">
        <f>IF(AND($BY1042=1,$BX1042=1,OR(fDeal="All Deals",$BU1042=fDeal),OR(fEntity="All Entities",$BV1042=fEntity),OR(fPType="All Property Types",$BZ1042=fPType),OR(fDefeased="Include",$CJ1042=0)),1,0)</f>
        <v/>
      </c>
      <c r="DF1042" s="83">
        <f>$DE1042*N($I1042)</f>
        <v/>
      </c>
      <c r="DG1042" s="78">
        <f>IF($DE1042=1,IF(COUNTIFS($F$8:$F1042,$F1042,$DE$8:$DE1042,1)=1,1,0),0)</f>
        <v/>
      </c>
      <c r="DH1042" s="83">
        <f>IF($DG1042=1,SUMIFS($DF$8:$DF$1600,$F$8:$F$1600,$F1042),0)</f>
        <v/>
      </c>
      <c r="DI1042" s="78">
        <f>IF($DG1042=1,COUNTIFS($F$8:$F$1600,$F1042,$DE$8:$DE$1600,1),0)</f>
        <v/>
      </c>
      <c r="DJ1042" s="84">
        <f>IF($DG1042=1,$DH1042+(100000-ROW())/mTieBreak,0)</f>
        <v/>
      </c>
    </row>
    <row r="1043">
      <c r="B1043" s="68" t="n">
        <v>40</v>
      </c>
      <c r="C1043" s="69" t="inlineStr">
        <is>
          <t>MSB17C33</t>
        </is>
      </c>
      <c r="D1043" s="69" t="inlineStr">
        <is>
          <t>40.000</t>
        </is>
      </c>
      <c r="E1043" s="69" t="inlineStr">
        <is>
          <t>71 Fuller Road</t>
        </is>
      </c>
      <c r="F1043" s="69" t="inlineStr">
        <is>
          <t>LNMSB17C33-40.000</t>
        </is>
      </c>
      <c r="G1043" s="70" t="n"/>
      <c r="H1043" s="71" t="n">
        <v>5500000</v>
      </c>
      <c r="I1043" s="71" t="n">
        <v>0</v>
      </c>
      <c r="J1043" s="72" t="n">
        <v>4.61</v>
      </c>
      <c r="K1043" s="69" t="inlineStr">
        <is>
          <t>Fixed rate</t>
        </is>
      </c>
      <c r="L1043" s="68" t="n">
        <v>60</v>
      </c>
      <c r="M1043" s="68" t="n"/>
      <c r="N1043" s="68" t="n">
        <v>300</v>
      </c>
      <c r="O1043" s="68" t="n"/>
      <c r="P1043" s="68" t="n"/>
      <c r="Q1043" s="68" t="n"/>
      <c r="R1043" s="69" t="n"/>
      <c r="S1043" s="69" t="inlineStr">
        <is>
          <t>No</t>
        </is>
      </c>
      <c r="T1043" s="73" t="n">
        <v>42767</v>
      </c>
      <c r="U1043" s="73" t="n">
        <v>44593</v>
      </c>
      <c r="V1043" s="73" t="n"/>
      <c r="W1043" s="69" t="n"/>
      <c r="X1043" s="69" t="inlineStr">
        <is>
          <t>Current</t>
        </is>
      </c>
      <c r="Y1043" s="68" t="n"/>
      <c r="Z1043" s="69" t="inlineStr">
        <is>
          <t>No Defeasance Occurred</t>
        </is>
      </c>
      <c r="AA1043" s="69" t="inlineStr">
        <is>
          <t>Previously</t>
        </is>
      </c>
      <c r="AB1043" s="69" t="inlineStr">
        <is>
          <t>Never special serv</t>
        </is>
      </c>
      <c r="AC1043" s="73" t="n"/>
      <c r="AD1043" s="69" t="n"/>
      <c r="AE1043" s="69" t="n"/>
      <c r="AF1043" s="69" t="inlineStr">
        <is>
          <t>NY</t>
        </is>
      </c>
      <c r="AG1043" s="69" t="inlineStr">
        <is>
          <t>Colonie</t>
        </is>
      </c>
      <c r="AH1043" s="69" t="inlineStr">
        <is>
          <t>Albany-Schenectady-Troy, NY</t>
        </is>
      </c>
      <c r="AI1043" s="69" t="inlineStr">
        <is>
          <t>Northeast / Mid-Atlantic</t>
        </is>
      </c>
      <c r="AJ1043" s="69" t="inlineStr">
        <is>
          <t>MX</t>
        </is>
      </c>
      <c r="AK1043" s="69" t="inlineStr">
        <is>
          <t>Industrial/Retail</t>
        </is>
      </c>
      <c r="AL1043" s="68" t="n">
        <v>1</v>
      </c>
      <c r="AM1043" s="68" t="n"/>
      <c r="AN1043" s="68" t="n">
        <v>262385</v>
      </c>
      <c r="AO1043" s="69" t="inlineStr">
        <is>
          <t>1955</t>
        </is>
      </c>
      <c r="AP1043" s="70" t="n">
        <v>2012</v>
      </c>
      <c r="AQ1043" s="74" t="n">
        <v>2.48</v>
      </c>
      <c r="AR1043" s="74" t="n">
        <v>2.02</v>
      </c>
      <c r="AS1043" s="74" t="n">
        <v>42.08</v>
      </c>
      <c r="AT1043" s="74" t="n"/>
      <c r="AU1043" s="74" t="n">
        <v>37.48</v>
      </c>
      <c r="AV1043" s="74" t="n">
        <v>16.707127273</v>
      </c>
      <c r="AW1043" s="74" t="n"/>
      <c r="AX1043" s="75" t="n">
        <v>87</v>
      </c>
      <c r="AY1043" s="71" t="n">
        <v>13000000</v>
      </c>
      <c r="AZ1043" s="71" t="n">
        <v>13000000</v>
      </c>
      <c r="BA1043" s="71" t="n">
        <v>918892</v>
      </c>
      <c r="BB1043" s="71" t="n">
        <v>750331</v>
      </c>
      <c r="BC1043" s="69" t="inlineStr">
        <is>
          <t>Refinance</t>
        </is>
      </c>
      <c r="BD1043" s="69" t="inlineStr">
        <is>
          <t>N</t>
        </is>
      </c>
      <c r="BE1043" s="71" t="n"/>
      <c r="BF1043" s="71" t="n"/>
      <c r="BG1043" s="71" t="n"/>
      <c r="BH1043" s="71" t="n">
        <v>0</v>
      </c>
      <c r="BI1043" s="71" t="n">
        <v>0</v>
      </c>
      <c r="BJ1043" s="69" t="inlineStr">
        <is>
          <t>N</t>
        </is>
      </c>
      <c r="BK1043" s="69" t="inlineStr">
        <is>
          <t>Cargill  Incorporated</t>
        </is>
      </c>
      <c r="BL1043" s="75" t="n">
        <v>33.84</v>
      </c>
      <c r="BM1043" s="73" t="n">
        <v>45322</v>
      </c>
      <c r="BN1043" s="69" t="inlineStr">
        <is>
          <t>Tomer Slutzky</t>
        </is>
      </c>
      <c r="BO1043" s="69" t="inlineStr">
        <is>
          <t>KeyBank</t>
        </is>
      </c>
      <c r="BP1043" s="69" t="inlineStr">
        <is>
          <t>Wells Fargo</t>
        </is>
      </c>
      <c r="BQ1043" s="69" t="inlineStr">
        <is>
          <t>Midland Loan Services</t>
        </is>
      </c>
      <c r="BR1043" s="69" t="inlineStr">
        <is>
          <t>Payoff Prior To Maturity</t>
        </is>
      </c>
      <c r="BS1043" s="73" t="n">
        <v>44543</v>
      </c>
      <c r="BU1043" s="76">
        <f>IF($C1043="","",IFERROR(INDEX(dmName,MATCH($C1043,dmID,0)),"Unmapped"))</f>
        <v/>
      </c>
      <c r="BV1043" s="76">
        <f>IF($C1043="","",IFERROR(INDEX(dmEntity,MATCH($C1043,dmID,0)),"Unmapped"))</f>
        <v/>
      </c>
      <c r="BW1043" s="77">
        <f>IF($C1043="","",IFERROR(INDEX(dmVintage,MATCH($C1043,dmID,0)),""))</f>
        <v/>
      </c>
      <c r="BX1043" s="78">
        <f>IFERROR(INDEX(dmInclude,MATCH($C1043,dmID,0)),0)</f>
        <v/>
      </c>
      <c r="BY1043" s="78">
        <f>IF(N($I1043)&gt;0,1,0)</f>
        <v/>
      </c>
      <c r="BZ1043" s="76">
        <f>IF($AJ1043="","Other / Leased Fee",IFERROR(INDEX(mapPTGroup,MATCH(LEFT(TRIM($AJ1043),2),mapPTCode,0)),"Other / Leased Fee"))</f>
        <v/>
      </c>
      <c r="CA1043" s="76">
        <f>IF(TRIM($AF1043&amp;"")="","NR",LEFT(TRIM($AF1043),2))</f>
        <v/>
      </c>
      <c r="CB1043" s="76">
        <f>IFERROR(LOOKUP(2,1/(LEFT(TRIM($AI1043&amp;""),LEN(mapRegion))=mapRegion),mapRegion),"Not Reported")</f>
        <v/>
      </c>
      <c r="CC1043" s="76">
        <f>IF($BY1043=0,"",IF(TRIM($W1043&amp;"")="REO","REO",IF(TRIM($W1043&amp;"")="FC","Foreclosure",IF(TRIM($W1043&amp;"")="90+","90+ Days Delinquent",IF(TRIM($W1043&amp;"")="60","60 Days Delinquent",IF(TRIM($W1043&amp;"")="30","30 Days Delinquent",IF($X1043="Non-Performing Matured Balloon","Non-Performing Matured Balloon",IF(OR($X1043="Late Payment But Less Than 30 Days Delinquent",LEFT($X1043&amp;"",20)="Payment Not Received"),"Late / In Grace (&lt;30 Days)",IF($X1043="Performing Matured Balloon","Performing Matured Balloon","Current")))))))))</f>
        <v/>
      </c>
      <c r="CD1043" s="78">
        <f>IF(OR($CC1043="REO",$CC1043="Foreclosure",$CC1043="90+ Days Delinquent",$CC1043="60 Days Delinquent",$CC1043="30 Days Delinquent",$CC1043="Non-Performing Matured Balloon"),1,0)</f>
        <v/>
      </c>
      <c r="CE1043" s="76">
        <f>IF($AB1043="Currently special serv","Currently Specially Serviced",IF($AB1043="Returned to master serv","Previously Specially Serviced","Never Specially Serviced"))</f>
        <v/>
      </c>
      <c r="CF1043" s="78">
        <f>IF($CE1043="Currently Specially Serviced",1,0)</f>
        <v/>
      </c>
      <c r="CG1043" s="76">
        <f>IF($AA1043="Yes","Currently on Watchlist",IF($AA1043="Previously","Previously on Watchlist","Never on Watchlist"))</f>
        <v/>
      </c>
      <c r="CH1043" s="78">
        <f>IF($CG1043="Currently on Watchlist",1,0)</f>
        <v/>
      </c>
      <c r="CI1043" s="76">
        <f>IF($Z1043="Full Defeasance","Fully Defeased",IF($Z1043="Portion Of Loan Previously Defeased","Partially Defeased",IF($Z1043="Defeasance Not Allowable","Not Defeased (Not Permitted)","Not Defeased")))</f>
        <v/>
      </c>
      <c r="CJ1043" s="78">
        <f>IF($CI1043="Fully Defeased",1,0)</f>
        <v/>
      </c>
      <c r="CK1043" s="76">
        <f>IF($R1043="IO","Full IO",IF(LEFT($R1043&amp;"",7)="IO then","Partial IO","Amortizing"))</f>
        <v/>
      </c>
      <c r="CL1043" s="78">
        <f>IF($CK1043="Full IO",1,0)</f>
        <v/>
      </c>
      <c r="CM1043" s="78">
        <f>IF($CK1043="Partial IO",1,0)</f>
        <v/>
      </c>
      <c r="CN1043" s="76">
        <f>IF(LEFT($F1043&amp;"",10)="SPLIT_LOAN","Pari Passu Split","Standalone")</f>
        <v/>
      </c>
      <c r="CO1043" s="78">
        <f>IF($CN1043="Pari Passu Split",1,0)</f>
        <v/>
      </c>
      <c r="CP1043" s="77">
        <f>IF(ISNUMBER($T1043),YEAR($T1043),"")</f>
        <v/>
      </c>
      <c r="CQ1043" s="79">
        <f>IF(ISNUMBER($V1043),$V1043,IF(ISNUMBER($U1043),$U1043,""))</f>
        <v/>
      </c>
      <c r="CR1043" s="77">
        <f>IF(ISNUMBER($CQ1043),YEAR($CQ1043),"")</f>
        <v/>
      </c>
      <c r="CS1043" s="78">
        <f>IF(ISNUMBER($M1043),MAX(0,$M1043),IF(TRIM($M1043&amp;"")="matured",0,""))</f>
        <v/>
      </c>
      <c r="CT1043" s="78">
        <f>IF(AND(ISNUMBER($CS1043),N($CS1043)&lt;=mMatWindow),1,0)</f>
        <v/>
      </c>
      <c r="CU1043" s="80">
        <f>IF(ISNUMBER($J1043),$J1043/100,"")</f>
        <v/>
      </c>
      <c r="CV1043" s="81">
        <f>IF(ISNUMBER($AQ1043),$AQ1043,"")</f>
        <v/>
      </c>
      <c r="CW1043" s="81">
        <f>IF(ISNUMBER($AR1043),$AR1043,"")</f>
        <v/>
      </c>
      <c r="CX1043" s="82">
        <f>IF(ISNUMBER($AS1043),$AS1043/100,"")</f>
        <v/>
      </c>
      <c r="CY1043" s="82">
        <f>IF(ISNUMBER($AT1043),$AT1043/100,"")</f>
        <v/>
      </c>
      <c r="CZ1043" s="82">
        <f>IF(ISNUMBER($AU1043),$AU1043/100,"")</f>
        <v/>
      </c>
      <c r="DA1043" s="82">
        <f>IF(ISNUMBER($AV1043),$AV1043/100,"")</f>
        <v/>
      </c>
      <c r="DB1043" s="82">
        <f>IF(ISNUMBER($AW1043),$AW1043/100,"")</f>
        <v/>
      </c>
      <c r="DC1043" s="82">
        <f>IF(ISNUMBER($AX1043),$AX1043/100,"")</f>
        <v/>
      </c>
      <c r="DD1043" s="77">
        <f>IFERROR(VALUE(LEFT(TRIM($AO1043&amp;""),4)),"")</f>
        <v/>
      </c>
      <c r="DE1043" s="78">
        <f>IF(AND($BY1043=1,$BX1043=1,OR(fDeal="All Deals",$BU1043=fDeal),OR(fEntity="All Entities",$BV1043=fEntity),OR(fPType="All Property Types",$BZ1043=fPType),OR(fDefeased="Include",$CJ1043=0)),1,0)</f>
        <v/>
      </c>
      <c r="DF1043" s="83">
        <f>$DE1043*N($I1043)</f>
        <v/>
      </c>
      <c r="DG1043" s="78">
        <f>IF($DE1043=1,IF(COUNTIFS($F$8:$F1043,$F1043,$DE$8:$DE1043,1)=1,1,0),0)</f>
        <v/>
      </c>
      <c r="DH1043" s="83">
        <f>IF($DG1043=1,SUMIFS($DF$8:$DF$1600,$F$8:$F$1600,$F1043),0)</f>
        <v/>
      </c>
      <c r="DI1043" s="78">
        <f>IF($DG1043=1,COUNTIFS($F$8:$F$1600,$F1043,$DE$8:$DE$1600,1),0)</f>
        <v/>
      </c>
      <c r="DJ1043" s="84">
        <f>IF($DG1043=1,$DH1043+(100000-ROW())/mTieBreak,0)</f>
        <v/>
      </c>
    </row>
    <row r="1044">
      <c r="B1044" s="68" t="n">
        <v>41</v>
      </c>
      <c r="C1044" s="69" t="inlineStr">
        <is>
          <t>MSB17C33</t>
        </is>
      </c>
      <c r="D1044" s="69" t="inlineStr">
        <is>
          <t>41.000</t>
        </is>
      </c>
      <c r="E1044" s="69" t="inlineStr">
        <is>
          <t>US Storage Murfreesboro</t>
        </is>
      </c>
      <c r="F1044" s="69" t="inlineStr">
        <is>
          <t>LNMSB17C33-41.000</t>
        </is>
      </c>
      <c r="G1044" s="70" t="n"/>
      <c r="H1044" s="71" t="n">
        <v>4700000</v>
      </c>
      <c r="I1044" s="71" t="n">
        <v>4332632.0300016</v>
      </c>
      <c r="J1044" s="72" t="n">
        <v>4.176</v>
      </c>
      <c r="K1044" s="69" t="inlineStr">
        <is>
          <t>Fixed rate</t>
        </is>
      </c>
      <c r="L1044" s="68" t="n">
        <v>120</v>
      </c>
      <c r="M1044" s="68" t="n">
        <v>7</v>
      </c>
      <c r="N1044" s="68" t="n">
        <v>420</v>
      </c>
      <c r="O1044" s="68" t="n">
        <v>60</v>
      </c>
      <c r="P1044" s="68" t="n">
        <v>0</v>
      </c>
      <c r="Q1044" s="68" t="n">
        <v>113</v>
      </c>
      <c r="R1044" s="69" t="inlineStr">
        <is>
          <t>IO then Amort</t>
        </is>
      </c>
      <c r="S1044" s="69" t="inlineStr">
        <is>
          <t>No</t>
        </is>
      </c>
      <c r="T1044" s="73" t="n">
        <v>42826</v>
      </c>
      <c r="U1044" s="73" t="n">
        <v>46478</v>
      </c>
      <c r="V1044" s="73" t="n"/>
      <c r="W1044" s="69" t="n"/>
      <c r="X1044" s="69" t="inlineStr">
        <is>
          <t>Current</t>
        </is>
      </c>
      <c r="Y1044" s="68" t="n"/>
      <c r="Z1044" s="69" t="inlineStr">
        <is>
          <t>No Defeasance Occurred</t>
        </is>
      </c>
      <c r="AA1044" s="69" t="n"/>
      <c r="AB1044" s="69" t="inlineStr">
        <is>
          <t>Never special serv</t>
        </is>
      </c>
      <c r="AC1044" s="73" t="n"/>
      <c r="AD1044" s="69" t="n"/>
      <c r="AE1044" s="69" t="n"/>
      <c r="AF1044" s="69" t="inlineStr">
        <is>
          <t>TN</t>
        </is>
      </c>
      <c r="AG1044" s="69" t="inlineStr">
        <is>
          <t>Murfreesboro</t>
        </is>
      </c>
      <c r="AH1044" s="69" t="inlineStr">
        <is>
          <t>Nashville-Davidson--Murfreesboro--Franklin, TN</t>
        </is>
      </c>
      <c r="AI1044" s="69" t="inlineStr">
        <is>
          <t>South / Central East</t>
        </is>
      </c>
      <c r="AJ1044" s="69" t="inlineStr">
        <is>
          <t>SS</t>
        </is>
      </c>
      <c r="AK1044" s="69" t="n"/>
      <c r="AL1044" s="68" t="n">
        <v>1</v>
      </c>
      <c r="AM1044" s="68" t="n"/>
      <c r="AN1044" s="68" t="n">
        <v>72575</v>
      </c>
      <c r="AO1044" s="69" t="inlineStr">
        <is>
          <t>1998</t>
        </is>
      </c>
      <c r="AP1044" s="70" t="n">
        <v>2015</v>
      </c>
      <c r="AQ1044" s="74" t="n">
        <v>1.98</v>
      </c>
      <c r="AR1044" s="74" t="n">
        <v>2.55</v>
      </c>
      <c r="AS1044" s="74" t="n">
        <v>50.6</v>
      </c>
      <c r="AT1044" s="74" t="n">
        <v>46.69</v>
      </c>
      <c r="AU1044" s="74" t="n">
        <v>46.2</v>
      </c>
      <c r="AV1044" s="74" t="n">
        <v>11.588170213</v>
      </c>
      <c r="AW1044" s="74" t="n">
        <v>16.534083094</v>
      </c>
      <c r="AX1044" s="75" t="n">
        <v>78</v>
      </c>
      <c r="AY1044" s="71" t="n">
        <v>9280000</v>
      </c>
      <c r="AZ1044" s="71" t="n">
        <v>9280000</v>
      </c>
      <c r="BA1044" s="71" t="n">
        <v>544644</v>
      </c>
      <c r="BB1044" s="71" t="n">
        <v>351278.01</v>
      </c>
      <c r="BC1044" s="69" t="inlineStr">
        <is>
          <t>Refinance</t>
        </is>
      </c>
      <c r="BD1044" s="69" t="inlineStr">
        <is>
          <t>N</t>
        </is>
      </c>
      <c r="BE1044" s="71" t="n"/>
      <c r="BF1044" s="71" t="n"/>
      <c r="BG1044" s="71" t="n"/>
      <c r="BH1044" s="71" t="n">
        <v>0</v>
      </c>
      <c r="BI1044" s="71" t="n">
        <v>0</v>
      </c>
      <c r="BJ1044" s="69" t="inlineStr">
        <is>
          <t>N</t>
        </is>
      </c>
      <c r="BK1044" s="69" t="n"/>
      <c r="BL1044" s="75" t="n"/>
      <c r="BM1044" s="73" t="n"/>
      <c r="BN1044" s="69" t="inlineStr">
        <is>
          <t>Westport Properties, Inc.</t>
        </is>
      </c>
      <c r="BO1044" s="69" t="inlineStr">
        <is>
          <t>Bank of America</t>
        </is>
      </c>
      <c r="BP1044" s="69" t="inlineStr">
        <is>
          <t>TriMont Real Estate Advisors</t>
        </is>
      </c>
      <c r="BQ1044" s="69" t="inlineStr">
        <is>
          <t>Midland Loan Services</t>
        </is>
      </c>
      <c r="BR1044" s="69" t="n"/>
      <c r="BS1044" s="73" t="n">
        <v>46276</v>
      </c>
      <c r="BU1044" s="76">
        <f>IF($C1044="","",IFERROR(INDEX(dmName,MATCH($C1044,dmID,0)),"Unmapped"))</f>
        <v/>
      </c>
      <c r="BV1044" s="76">
        <f>IF($C1044="","",IFERROR(INDEX(dmEntity,MATCH($C1044,dmID,0)),"Unmapped"))</f>
        <v/>
      </c>
      <c r="BW1044" s="77">
        <f>IF($C1044="","",IFERROR(INDEX(dmVintage,MATCH($C1044,dmID,0)),""))</f>
        <v/>
      </c>
      <c r="BX1044" s="78">
        <f>IFERROR(INDEX(dmInclude,MATCH($C1044,dmID,0)),0)</f>
        <v/>
      </c>
      <c r="BY1044" s="78">
        <f>IF(N($I1044)&gt;0,1,0)</f>
        <v/>
      </c>
      <c r="BZ1044" s="76">
        <f>IF($AJ1044="","Other / Leased Fee",IFERROR(INDEX(mapPTGroup,MATCH(LEFT(TRIM($AJ1044),2),mapPTCode,0)),"Other / Leased Fee"))</f>
        <v/>
      </c>
      <c r="CA1044" s="76">
        <f>IF(TRIM($AF1044&amp;"")="","NR",LEFT(TRIM($AF1044),2))</f>
        <v/>
      </c>
      <c r="CB1044" s="76">
        <f>IFERROR(LOOKUP(2,1/(LEFT(TRIM($AI1044&amp;""),LEN(mapRegion))=mapRegion),mapRegion),"Not Reported")</f>
        <v/>
      </c>
      <c r="CC1044" s="76">
        <f>IF($BY1044=0,"",IF(TRIM($W1044&amp;"")="REO","REO",IF(TRIM($W1044&amp;"")="FC","Foreclosure",IF(TRIM($W1044&amp;"")="90+","90+ Days Delinquent",IF(TRIM($W1044&amp;"")="60","60 Days Delinquent",IF(TRIM($W1044&amp;"")="30","30 Days Delinquent",IF($X1044="Non-Performing Matured Balloon","Non-Performing Matured Balloon",IF(OR($X1044="Late Payment But Less Than 30 Days Delinquent",LEFT($X1044&amp;"",20)="Payment Not Received"),"Late / In Grace (&lt;30 Days)",IF($X1044="Performing Matured Balloon","Performing Matured Balloon","Current")))))))))</f>
        <v/>
      </c>
      <c r="CD1044" s="78">
        <f>IF(OR($CC1044="REO",$CC1044="Foreclosure",$CC1044="90+ Days Delinquent",$CC1044="60 Days Delinquent",$CC1044="30 Days Delinquent",$CC1044="Non-Performing Matured Balloon"),1,0)</f>
        <v/>
      </c>
      <c r="CE1044" s="76">
        <f>IF($AB1044="Currently special serv","Currently Specially Serviced",IF($AB1044="Returned to master serv","Previously Specially Serviced","Never Specially Serviced"))</f>
        <v/>
      </c>
      <c r="CF1044" s="78">
        <f>IF($CE1044="Currently Specially Serviced",1,0)</f>
        <v/>
      </c>
      <c r="CG1044" s="76">
        <f>IF($AA1044="Yes","Currently on Watchlist",IF($AA1044="Previously","Previously on Watchlist","Never on Watchlist"))</f>
        <v/>
      </c>
      <c r="CH1044" s="78">
        <f>IF($CG1044="Currently on Watchlist",1,0)</f>
        <v/>
      </c>
      <c r="CI1044" s="76">
        <f>IF($Z1044="Full Defeasance","Fully Defeased",IF($Z1044="Portion Of Loan Previously Defeased","Partially Defeased",IF($Z1044="Defeasance Not Allowable","Not Defeased (Not Permitted)","Not Defeased")))</f>
        <v/>
      </c>
      <c r="CJ1044" s="78">
        <f>IF($CI1044="Fully Defeased",1,0)</f>
        <v/>
      </c>
      <c r="CK1044" s="76">
        <f>IF($R1044="IO","Full IO",IF(LEFT($R1044&amp;"",7)="IO then","Partial IO","Amortizing"))</f>
        <v/>
      </c>
      <c r="CL1044" s="78">
        <f>IF($CK1044="Full IO",1,0)</f>
        <v/>
      </c>
      <c r="CM1044" s="78">
        <f>IF($CK1044="Partial IO",1,0)</f>
        <v/>
      </c>
      <c r="CN1044" s="76">
        <f>IF(LEFT($F1044&amp;"",10)="SPLIT_LOAN","Pari Passu Split","Standalone")</f>
        <v/>
      </c>
      <c r="CO1044" s="78">
        <f>IF($CN1044="Pari Passu Split",1,0)</f>
        <v/>
      </c>
      <c r="CP1044" s="77">
        <f>IF(ISNUMBER($T1044),YEAR($T1044),"")</f>
        <v/>
      </c>
      <c r="CQ1044" s="79">
        <f>IF(ISNUMBER($V1044),$V1044,IF(ISNUMBER($U1044),$U1044,""))</f>
        <v/>
      </c>
      <c r="CR1044" s="77">
        <f>IF(ISNUMBER($CQ1044),YEAR($CQ1044),"")</f>
        <v/>
      </c>
      <c r="CS1044" s="78">
        <f>IF(ISNUMBER($M1044),MAX(0,$M1044),IF(TRIM($M1044&amp;"")="matured",0,""))</f>
        <v/>
      </c>
      <c r="CT1044" s="78">
        <f>IF(AND(ISNUMBER($CS1044),N($CS1044)&lt;=mMatWindow),1,0)</f>
        <v/>
      </c>
      <c r="CU1044" s="80">
        <f>IF(ISNUMBER($J1044),$J1044/100,"")</f>
        <v/>
      </c>
      <c r="CV1044" s="81">
        <f>IF(ISNUMBER($AQ1044),$AQ1044,"")</f>
        <v/>
      </c>
      <c r="CW1044" s="81">
        <f>IF(ISNUMBER($AR1044),$AR1044,"")</f>
        <v/>
      </c>
      <c r="CX1044" s="82">
        <f>IF(ISNUMBER($AS1044),$AS1044/100,"")</f>
        <v/>
      </c>
      <c r="CY1044" s="82">
        <f>IF(ISNUMBER($AT1044),$AT1044/100,"")</f>
        <v/>
      </c>
      <c r="CZ1044" s="82">
        <f>IF(ISNUMBER($AU1044),$AU1044/100,"")</f>
        <v/>
      </c>
      <c r="DA1044" s="82">
        <f>IF(ISNUMBER($AV1044),$AV1044/100,"")</f>
        <v/>
      </c>
      <c r="DB1044" s="82">
        <f>IF(ISNUMBER($AW1044),$AW1044/100,"")</f>
        <v/>
      </c>
      <c r="DC1044" s="82">
        <f>IF(ISNUMBER($AX1044),$AX1044/100,"")</f>
        <v/>
      </c>
      <c r="DD1044" s="77">
        <f>IFERROR(VALUE(LEFT(TRIM($AO1044&amp;""),4)),"")</f>
        <v/>
      </c>
      <c r="DE1044" s="78">
        <f>IF(AND($BY1044=1,$BX1044=1,OR(fDeal="All Deals",$BU1044=fDeal),OR(fEntity="All Entities",$BV1044=fEntity),OR(fPType="All Property Types",$BZ1044=fPType),OR(fDefeased="Include",$CJ1044=0)),1,0)</f>
        <v/>
      </c>
      <c r="DF1044" s="83">
        <f>$DE1044*N($I1044)</f>
        <v/>
      </c>
      <c r="DG1044" s="78">
        <f>IF($DE1044=1,IF(COUNTIFS($F$8:$F1044,$F1044,$DE$8:$DE1044,1)=1,1,0),0)</f>
        <v/>
      </c>
      <c r="DH1044" s="83">
        <f>IF($DG1044=1,SUMIFS($DF$8:$DF$1600,$F$8:$F$1600,$F1044),0)</f>
        <v/>
      </c>
      <c r="DI1044" s="78">
        <f>IF($DG1044=1,COUNTIFS($F$8:$F$1600,$F1044,$DE$8:$DE$1600,1),0)</f>
        <v/>
      </c>
      <c r="DJ1044" s="84">
        <f>IF($DG1044=1,$DH1044+(100000-ROW())/mTieBreak,0)</f>
        <v/>
      </c>
    </row>
    <row r="1045">
      <c r="B1045" s="68" t="n">
        <v>42</v>
      </c>
      <c r="C1045" s="69" t="inlineStr">
        <is>
          <t>MSB17C33</t>
        </is>
      </c>
      <c r="D1045" s="69" t="inlineStr">
        <is>
          <t>42.000</t>
        </is>
      </c>
      <c r="E1045" s="69" t="inlineStr">
        <is>
          <t>US Storage Fairview</t>
        </is>
      </c>
      <c r="F1045" s="69" t="inlineStr">
        <is>
          <t>LNMSB17C33-42.000</t>
        </is>
      </c>
      <c r="G1045" s="70" t="n"/>
      <c r="H1045" s="71" t="n">
        <v>3600000</v>
      </c>
      <c r="I1045" s="71" t="n">
        <v>3329924.3899992</v>
      </c>
      <c r="J1045" s="72" t="n">
        <v>4.411</v>
      </c>
      <c r="K1045" s="69" t="inlineStr">
        <is>
          <t>Fixed rate</t>
        </is>
      </c>
      <c r="L1045" s="68" t="n">
        <v>120</v>
      </c>
      <c r="M1045" s="68" t="n">
        <v>7</v>
      </c>
      <c r="N1045" s="68" t="n">
        <v>420</v>
      </c>
      <c r="O1045" s="68" t="n">
        <v>60</v>
      </c>
      <c r="P1045" s="68" t="n">
        <v>0</v>
      </c>
      <c r="Q1045" s="68" t="n">
        <v>113</v>
      </c>
      <c r="R1045" s="69" t="inlineStr">
        <is>
          <t>IO then Amort</t>
        </is>
      </c>
      <c r="S1045" s="69" t="inlineStr">
        <is>
          <t>No</t>
        </is>
      </c>
      <c r="T1045" s="73" t="n">
        <v>42826</v>
      </c>
      <c r="U1045" s="73" t="n">
        <v>46478</v>
      </c>
      <c r="V1045" s="73" t="n"/>
      <c r="W1045" s="69" t="n"/>
      <c r="X1045" s="69" t="inlineStr">
        <is>
          <t>Current</t>
        </is>
      </c>
      <c r="Y1045" s="68" t="n"/>
      <c r="Z1045" s="69" t="inlineStr">
        <is>
          <t>Full Defeasance</t>
        </is>
      </c>
      <c r="AA1045" s="69" t="inlineStr">
        <is>
          <t>Previously</t>
        </is>
      </c>
      <c r="AB1045" s="69" t="inlineStr">
        <is>
          <t>Never special serv</t>
        </is>
      </c>
      <c r="AC1045" s="73" t="n"/>
      <c r="AD1045" s="69" t="n"/>
      <c r="AE1045" s="69" t="n"/>
      <c r="AF1045" s="69" t="inlineStr">
        <is>
          <t>NJ</t>
        </is>
      </c>
      <c r="AG1045" s="69" t="inlineStr">
        <is>
          <t>Fairview</t>
        </is>
      </c>
      <c r="AH1045" s="69" t="inlineStr">
        <is>
          <t>New York-Newark-Jersey City, NY-NJ</t>
        </is>
      </c>
      <c r="AI1045" s="69" t="inlineStr">
        <is>
          <t>Northeast / Mid-Atlantic</t>
        </is>
      </c>
      <c r="AJ1045" s="69" t="inlineStr">
        <is>
          <t>SS</t>
        </is>
      </c>
      <c r="AK1045" s="69" t="n"/>
      <c r="AL1045" s="68" t="n">
        <v>1</v>
      </c>
      <c r="AM1045" s="68" t="n"/>
      <c r="AN1045" s="68" t="n">
        <v>45487</v>
      </c>
      <c r="AO1045" s="69" t="inlineStr">
        <is>
          <t>1927</t>
        </is>
      </c>
      <c r="AP1045" s="70" t="n">
        <v>1996</v>
      </c>
      <c r="AQ1045" s="74" t="n">
        <v>1.69</v>
      </c>
      <c r="AR1045" s="74" t="n">
        <v>3.29</v>
      </c>
      <c r="AS1045" s="74" t="n">
        <v>57.9</v>
      </c>
      <c r="AT1045" s="74" t="n">
        <v>53.54</v>
      </c>
      <c r="AU1045" s="74" t="n">
        <v>53</v>
      </c>
      <c r="AV1045" s="74" t="n">
        <v>10.14375</v>
      </c>
      <c r="AW1045" s="74" t="n">
        <v>15.899682335</v>
      </c>
      <c r="AX1045" s="75" t="n">
        <v>81</v>
      </c>
      <c r="AY1045" s="71" t="n">
        <v>6220000</v>
      </c>
      <c r="AZ1045" s="71" t="n">
        <v>6220000</v>
      </c>
      <c r="BA1045" s="71" t="n">
        <v>365175</v>
      </c>
      <c r="BB1045" s="71" t="n">
        <v>529447.4</v>
      </c>
      <c r="BC1045" s="69" t="inlineStr">
        <is>
          <t>Acquisition</t>
        </is>
      </c>
      <c r="BD1045" s="69" t="inlineStr">
        <is>
          <t>N</t>
        </is>
      </c>
      <c r="BE1045" s="71" t="n"/>
      <c r="BF1045" s="71" t="n"/>
      <c r="BG1045" s="71" t="n"/>
      <c r="BH1045" s="71" t="n">
        <v>0</v>
      </c>
      <c r="BI1045" s="71" t="n">
        <v>0</v>
      </c>
      <c r="BJ1045" s="69" t="inlineStr">
        <is>
          <t>N</t>
        </is>
      </c>
      <c r="BK1045" s="69" t="n"/>
      <c r="BL1045" s="75" t="n"/>
      <c r="BM1045" s="73" t="n"/>
      <c r="BN1045" s="69" t="inlineStr">
        <is>
          <t>Westport Properties, Inc.</t>
        </is>
      </c>
      <c r="BO1045" s="69" t="inlineStr">
        <is>
          <t>Bank of America</t>
        </is>
      </c>
      <c r="BP1045" s="69" t="inlineStr">
        <is>
          <t>TriMont Real Estate Advisors</t>
        </is>
      </c>
      <c r="BQ1045" s="69" t="inlineStr">
        <is>
          <t>Midland Loan Services</t>
        </is>
      </c>
      <c r="BR1045" s="69" t="n"/>
      <c r="BS1045" s="73" t="n">
        <v>46276</v>
      </c>
      <c r="BU1045" s="76">
        <f>IF($C1045="","",IFERROR(INDEX(dmName,MATCH($C1045,dmID,0)),"Unmapped"))</f>
        <v/>
      </c>
      <c r="BV1045" s="76">
        <f>IF($C1045="","",IFERROR(INDEX(dmEntity,MATCH($C1045,dmID,0)),"Unmapped"))</f>
        <v/>
      </c>
      <c r="BW1045" s="77">
        <f>IF($C1045="","",IFERROR(INDEX(dmVintage,MATCH($C1045,dmID,0)),""))</f>
        <v/>
      </c>
      <c r="BX1045" s="78">
        <f>IFERROR(INDEX(dmInclude,MATCH($C1045,dmID,0)),0)</f>
        <v/>
      </c>
      <c r="BY1045" s="78">
        <f>IF(N($I1045)&gt;0,1,0)</f>
        <v/>
      </c>
      <c r="BZ1045" s="76">
        <f>IF($AJ1045="","Other / Leased Fee",IFERROR(INDEX(mapPTGroup,MATCH(LEFT(TRIM($AJ1045),2),mapPTCode,0)),"Other / Leased Fee"))</f>
        <v/>
      </c>
      <c r="CA1045" s="76">
        <f>IF(TRIM($AF1045&amp;"")="","NR",LEFT(TRIM($AF1045),2))</f>
        <v/>
      </c>
      <c r="CB1045" s="76">
        <f>IFERROR(LOOKUP(2,1/(LEFT(TRIM($AI1045&amp;""),LEN(mapRegion))=mapRegion),mapRegion),"Not Reported")</f>
        <v/>
      </c>
      <c r="CC1045" s="76">
        <f>IF($BY1045=0,"",IF(TRIM($W1045&amp;"")="REO","REO",IF(TRIM($W1045&amp;"")="FC","Foreclosure",IF(TRIM($W1045&amp;"")="90+","90+ Days Delinquent",IF(TRIM($W1045&amp;"")="60","60 Days Delinquent",IF(TRIM($W1045&amp;"")="30","30 Days Delinquent",IF($X1045="Non-Performing Matured Balloon","Non-Performing Matured Balloon",IF(OR($X1045="Late Payment But Less Than 30 Days Delinquent",LEFT($X1045&amp;"",20)="Payment Not Received"),"Late / In Grace (&lt;30 Days)",IF($X1045="Performing Matured Balloon","Performing Matured Balloon","Current")))))))))</f>
        <v/>
      </c>
      <c r="CD1045" s="78">
        <f>IF(OR($CC1045="REO",$CC1045="Foreclosure",$CC1045="90+ Days Delinquent",$CC1045="60 Days Delinquent",$CC1045="30 Days Delinquent",$CC1045="Non-Performing Matured Balloon"),1,0)</f>
        <v/>
      </c>
      <c r="CE1045" s="76">
        <f>IF($AB1045="Currently special serv","Currently Specially Serviced",IF($AB1045="Returned to master serv","Previously Specially Serviced","Never Specially Serviced"))</f>
        <v/>
      </c>
      <c r="CF1045" s="78">
        <f>IF($CE1045="Currently Specially Serviced",1,0)</f>
        <v/>
      </c>
      <c r="CG1045" s="76">
        <f>IF($AA1045="Yes","Currently on Watchlist",IF($AA1045="Previously","Previously on Watchlist","Never on Watchlist"))</f>
        <v/>
      </c>
      <c r="CH1045" s="78">
        <f>IF($CG1045="Currently on Watchlist",1,0)</f>
        <v/>
      </c>
      <c r="CI1045" s="76">
        <f>IF($Z1045="Full Defeasance","Fully Defeased",IF($Z1045="Portion Of Loan Previously Defeased","Partially Defeased",IF($Z1045="Defeasance Not Allowable","Not Defeased (Not Permitted)","Not Defeased")))</f>
        <v/>
      </c>
      <c r="CJ1045" s="78">
        <f>IF($CI1045="Fully Defeased",1,0)</f>
        <v/>
      </c>
      <c r="CK1045" s="76">
        <f>IF($R1045="IO","Full IO",IF(LEFT($R1045&amp;"",7)="IO then","Partial IO","Amortizing"))</f>
        <v/>
      </c>
      <c r="CL1045" s="78">
        <f>IF($CK1045="Full IO",1,0)</f>
        <v/>
      </c>
      <c r="CM1045" s="78">
        <f>IF($CK1045="Partial IO",1,0)</f>
        <v/>
      </c>
      <c r="CN1045" s="76">
        <f>IF(LEFT($F1045&amp;"",10)="SPLIT_LOAN","Pari Passu Split","Standalone")</f>
        <v/>
      </c>
      <c r="CO1045" s="78">
        <f>IF($CN1045="Pari Passu Split",1,0)</f>
        <v/>
      </c>
      <c r="CP1045" s="77">
        <f>IF(ISNUMBER($T1045),YEAR($T1045),"")</f>
        <v/>
      </c>
      <c r="CQ1045" s="79">
        <f>IF(ISNUMBER($V1045),$V1045,IF(ISNUMBER($U1045),$U1045,""))</f>
        <v/>
      </c>
      <c r="CR1045" s="77">
        <f>IF(ISNUMBER($CQ1045),YEAR($CQ1045),"")</f>
        <v/>
      </c>
      <c r="CS1045" s="78">
        <f>IF(ISNUMBER($M1045),MAX(0,$M1045),IF(TRIM($M1045&amp;"")="matured",0,""))</f>
        <v/>
      </c>
      <c r="CT1045" s="78">
        <f>IF(AND(ISNUMBER($CS1045),N($CS1045)&lt;=mMatWindow),1,0)</f>
        <v/>
      </c>
      <c r="CU1045" s="80">
        <f>IF(ISNUMBER($J1045),$J1045/100,"")</f>
        <v/>
      </c>
      <c r="CV1045" s="81">
        <f>IF(ISNUMBER($AQ1045),$AQ1045,"")</f>
        <v/>
      </c>
      <c r="CW1045" s="81">
        <f>IF(ISNUMBER($AR1045),$AR1045,"")</f>
        <v/>
      </c>
      <c r="CX1045" s="82">
        <f>IF(ISNUMBER($AS1045),$AS1045/100,"")</f>
        <v/>
      </c>
      <c r="CY1045" s="82">
        <f>IF(ISNUMBER($AT1045),$AT1045/100,"")</f>
        <v/>
      </c>
      <c r="CZ1045" s="82">
        <f>IF(ISNUMBER($AU1045),$AU1045/100,"")</f>
        <v/>
      </c>
      <c r="DA1045" s="82">
        <f>IF(ISNUMBER($AV1045),$AV1045/100,"")</f>
        <v/>
      </c>
      <c r="DB1045" s="82">
        <f>IF(ISNUMBER($AW1045),$AW1045/100,"")</f>
        <v/>
      </c>
      <c r="DC1045" s="82">
        <f>IF(ISNUMBER($AX1045),$AX1045/100,"")</f>
        <v/>
      </c>
      <c r="DD1045" s="77">
        <f>IFERROR(VALUE(LEFT(TRIM($AO1045&amp;""),4)),"")</f>
        <v/>
      </c>
      <c r="DE1045" s="78">
        <f>IF(AND($BY1045=1,$BX1045=1,OR(fDeal="All Deals",$BU1045=fDeal),OR(fEntity="All Entities",$BV1045=fEntity),OR(fPType="All Property Types",$BZ1045=fPType),OR(fDefeased="Include",$CJ1045=0)),1,0)</f>
        <v/>
      </c>
      <c r="DF1045" s="83">
        <f>$DE1045*N($I1045)</f>
        <v/>
      </c>
      <c r="DG1045" s="78">
        <f>IF($DE1045=1,IF(COUNTIFS($F$8:$F1045,$F1045,$DE$8:$DE1045,1)=1,1,0),0)</f>
        <v/>
      </c>
      <c r="DH1045" s="83">
        <f>IF($DG1045=1,SUMIFS($DF$8:$DF$1600,$F$8:$F$1600,$F1045),0)</f>
        <v/>
      </c>
      <c r="DI1045" s="78">
        <f>IF($DG1045=1,COUNTIFS($F$8:$F$1600,$F1045,$DE$8:$DE$1600,1),0)</f>
        <v/>
      </c>
      <c r="DJ1045" s="84">
        <f>IF($DG1045=1,$DH1045+(100000-ROW())/mTieBreak,0)</f>
        <v/>
      </c>
    </row>
    <row r="1046">
      <c r="B1046" s="68" t="n">
        <v>43</v>
      </c>
      <c r="C1046" s="69" t="inlineStr">
        <is>
          <t>MSB17C33</t>
        </is>
      </c>
      <c r="D1046" s="69" t="inlineStr">
        <is>
          <t>43.000</t>
        </is>
      </c>
      <c r="E1046" s="69" t="inlineStr">
        <is>
          <t>Butler Crossing Plaza</t>
        </is>
      </c>
      <c r="F1046" s="69" t="inlineStr">
        <is>
          <t>LNMSB17C33-43.000</t>
        </is>
      </c>
      <c r="G1046" s="70" t="n"/>
      <c r="H1046" s="71" t="n">
        <v>3525000</v>
      </c>
      <c r="I1046" s="71" t="n">
        <v>2959888.069999125</v>
      </c>
      <c r="J1046" s="72" t="n">
        <v>5.174</v>
      </c>
      <c r="K1046" s="69" t="inlineStr">
        <is>
          <t>Fixed rate</t>
        </is>
      </c>
      <c r="L1046" s="68" t="n">
        <v>120</v>
      </c>
      <c r="M1046" s="68" t="n">
        <v>7</v>
      </c>
      <c r="N1046" s="68" t="n">
        <v>360</v>
      </c>
      <c r="O1046" s="68" t="n"/>
      <c r="P1046" s="68" t="n"/>
      <c r="Q1046" s="68" t="n">
        <v>113</v>
      </c>
      <c r="R1046" s="69" t="n"/>
      <c r="S1046" s="69" t="inlineStr">
        <is>
          <t>No</t>
        </is>
      </c>
      <c r="T1046" s="73" t="n">
        <v>42826</v>
      </c>
      <c r="U1046" s="73" t="n">
        <v>46478</v>
      </c>
      <c r="V1046" s="73" t="n"/>
      <c r="W1046" s="69" t="n"/>
      <c r="X1046" s="69" t="inlineStr">
        <is>
          <t>Current</t>
        </is>
      </c>
      <c r="Y1046" s="68" t="n"/>
      <c r="Z1046" s="69" t="inlineStr">
        <is>
          <t>No Defeasance Occurred</t>
        </is>
      </c>
      <c r="AA1046" s="69" t="inlineStr">
        <is>
          <t>Yes</t>
        </is>
      </c>
      <c r="AB1046" s="69" t="inlineStr">
        <is>
          <t>Never special serv</t>
        </is>
      </c>
      <c r="AC1046" s="73" t="n"/>
      <c r="AD1046" s="69" t="n"/>
      <c r="AE1046" s="69" t="n"/>
      <c r="AF1046" s="69" t="inlineStr">
        <is>
          <t>PA</t>
        </is>
      </c>
      <c r="AG1046" s="69" t="inlineStr">
        <is>
          <t>Butler</t>
        </is>
      </c>
      <c r="AH1046" s="69" t="inlineStr">
        <is>
          <t>Pittsburgh, PA</t>
        </is>
      </c>
      <c r="AI1046" s="69" t="inlineStr">
        <is>
          <t>Northeast / Mid-Atlantic</t>
        </is>
      </c>
      <c r="AJ1046" s="69" t="inlineStr">
        <is>
          <t>RT</t>
        </is>
      </c>
      <c r="AK1046" s="69" t="inlineStr">
        <is>
          <t>Shadow Anchored</t>
        </is>
      </c>
      <c r="AL1046" s="68" t="n">
        <v>1</v>
      </c>
      <c r="AM1046" s="68" t="n"/>
      <c r="AN1046" s="68" t="n">
        <v>16820</v>
      </c>
      <c r="AO1046" s="69" t="inlineStr">
        <is>
          <t>2016</t>
        </is>
      </c>
      <c r="AP1046" s="70" t="n">
        <v>2016</v>
      </c>
      <c r="AQ1046" s="74" t="n">
        <v>1.41</v>
      </c>
      <c r="AR1046" s="74" t="n">
        <v>1.42</v>
      </c>
      <c r="AS1046" s="74" t="n">
        <v>68.7</v>
      </c>
      <c r="AT1046" s="74" t="n">
        <v>57.75</v>
      </c>
      <c r="AU1046" s="74" t="n">
        <v>57</v>
      </c>
      <c r="AV1046" s="74" t="n">
        <v>9.241978156</v>
      </c>
      <c r="AW1046" s="74" t="n">
        <v>12.223017271</v>
      </c>
      <c r="AX1046" s="75" t="n">
        <v>100</v>
      </c>
      <c r="AY1046" s="71" t="n">
        <v>5125000</v>
      </c>
      <c r="AZ1046" s="71" t="n">
        <v>5125000</v>
      </c>
      <c r="BA1046" s="71" t="n">
        <v>325779.73</v>
      </c>
      <c r="BB1046" s="71" t="n">
        <v>82302.50999999999</v>
      </c>
      <c r="BC1046" s="69" t="inlineStr">
        <is>
          <t>Refinance</t>
        </is>
      </c>
      <c r="BD1046" s="69" t="inlineStr">
        <is>
          <t>N</t>
        </is>
      </c>
      <c r="BE1046" s="71" t="n"/>
      <c r="BF1046" s="71" t="n"/>
      <c r="BG1046" s="71" t="n"/>
      <c r="BH1046" s="71" t="n">
        <v>0</v>
      </c>
      <c r="BI1046" s="71" t="n">
        <v>0</v>
      </c>
      <c r="BJ1046" s="69" t="inlineStr">
        <is>
          <t>N</t>
        </is>
      </c>
      <c r="BK1046" s="69" t="inlineStr">
        <is>
          <t>LEVIN FURNITURE HVSC</t>
        </is>
      </c>
      <c r="BL1046" s="75" t="n">
        <v>29.79</v>
      </c>
      <c r="BM1046" s="73" t="n">
        <v>47756</v>
      </c>
      <c r="BN1046" s="69" t="inlineStr">
        <is>
          <t>Cedarwood Development</t>
        </is>
      </c>
      <c r="BO1046" s="69" t="inlineStr">
        <is>
          <t>Bank of America</t>
        </is>
      </c>
      <c r="BP1046" s="69" t="inlineStr">
        <is>
          <t>TriMont Real Estate Advisors</t>
        </is>
      </c>
      <c r="BQ1046" s="69" t="inlineStr">
        <is>
          <t>Midland Loan Services</t>
        </is>
      </c>
      <c r="BR1046" s="69" t="n"/>
      <c r="BS1046" s="73" t="n">
        <v>46276</v>
      </c>
      <c r="BU1046" s="76">
        <f>IF($C1046="","",IFERROR(INDEX(dmName,MATCH($C1046,dmID,0)),"Unmapped"))</f>
        <v/>
      </c>
      <c r="BV1046" s="76">
        <f>IF($C1046="","",IFERROR(INDEX(dmEntity,MATCH($C1046,dmID,0)),"Unmapped"))</f>
        <v/>
      </c>
      <c r="BW1046" s="77">
        <f>IF($C1046="","",IFERROR(INDEX(dmVintage,MATCH($C1046,dmID,0)),""))</f>
        <v/>
      </c>
      <c r="BX1046" s="78">
        <f>IFERROR(INDEX(dmInclude,MATCH($C1046,dmID,0)),0)</f>
        <v/>
      </c>
      <c r="BY1046" s="78">
        <f>IF(N($I1046)&gt;0,1,0)</f>
        <v/>
      </c>
      <c r="BZ1046" s="76">
        <f>IF($AJ1046="","Other / Leased Fee",IFERROR(INDEX(mapPTGroup,MATCH(LEFT(TRIM($AJ1046),2),mapPTCode,0)),"Other / Leased Fee"))</f>
        <v/>
      </c>
      <c r="CA1046" s="76">
        <f>IF(TRIM($AF1046&amp;"")="","NR",LEFT(TRIM($AF1046),2))</f>
        <v/>
      </c>
      <c r="CB1046" s="76">
        <f>IFERROR(LOOKUP(2,1/(LEFT(TRIM($AI1046&amp;""),LEN(mapRegion))=mapRegion),mapRegion),"Not Reported")</f>
        <v/>
      </c>
      <c r="CC1046" s="76">
        <f>IF($BY1046=0,"",IF(TRIM($W1046&amp;"")="REO","REO",IF(TRIM($W1046&amp;"")="FC","Foreclosure",IF(TRIM($W1046&amp;"")="90+","90+ Days Delinquent",IF(TRIM($W1046&amp;"")="60","60 Days Delinquent",IF(TRIM($W1046&amp;"")="30","30 Days Delinquent",IF($X1046="Non-Performing Matured Balloon","Non-Performing Matured Balloon",IF(OR($X1046="Late Payment But Less Than 30 Days Delinquent",LEFT($X1046&amp;"",20)="Payment Not Received"),"Late / In Grace (&lt;30 Days)",IF($X1046="Performing Matured Balloon","Performing Matured Balloon","Current")))))))))</f>
        <v/>
      </c>
      <c r="CD1046" s="78">
        <f>IF(OR($CC1046="REO",$CC1046="Foreclosure",$CC1046="90+ Days Delinquent",$CC1046="60 Days Delinquent",$CC1046="30 Days Delinquent",$CC1046="Non-Performing Matured Balloon"),1,0)</f>
        <v/>
      </c>
      <c r="CE1046" s="76">
        <f>IF($AB1046="Currently special serv","Currently Specially Serviced",IF($AB1046="Returned to master serv","Previously Specially Serviced","Never Specially Serviced"))</f>
        <v/>
      </c>
      <c r="CF1046" s="78">
        <f>IF($CE1046="Currently Specially Serviced",1,0)</f>
        <v/>
      </c>
      <c r="CG1046" s="76">
        <f>IF($AA1046="Yes","Currently on Watchlist",IF($AA1046="Previously","Previously on Watchlist","Never on Watchlist"))</f>
        <v/>
      </c>
      <c r="CH1046" s="78">
        <f>IF($CG1046="Currently on Watchlist",1,0)</f>
        <v/>
      </c>
      <c r="CI1046" s="76">
        <f>IF($Z1046="Full Defeasance","Fully Defeased",IF($Z1046="Portion Of Loan Previously Defeased","Partially Defeased",IF($Z1046="Defeasance Not Allowable","Not Defeased (Not Permitted)","Not Defeased")))</f>
        <v/>
      </c>
      <c r="CJ1046" s="78">
        <f>IF($CI1046="Fully Defeased",1,0)</f>
        <v/>
      </c>
      <c r="CK1046" s="76">
        <f>IF($R1046="IO","Full IO",IF(LEFT($R1046&amp;"",7)="IO then","Partial IO","Amortizing"))</f>
        <v/>
      </c>
      <c r="CL1046" s="78">
        <f>IF($CK1046="Full IO",1,0)</f>
        <v/>
      </c>
      <c r="CM1046" s="78">
        <f>IF($CK1046="Partial IO",1,0)</f>
        <v/>
      </c>
      <c r="CN1046" s="76">
        <f>IF(LEFT($F1046&amp;"",10)="SPLIT_LOAN","Pari Passu Split","Standalone")</f>
        <v/>
      </c>
      <c r="CO1046" s="78">
        <f>IF($CN1046="Pari Passu Split",1,0)</f>
        <v/>
      </c>
      <c r="CP1046" s="77">
        <f>IF(ISNUMBER($T1046),YEAR($T1046),"")</f>
        <v/>
      </c>
      <c r="CQ1046" s="79">
        <f>IF(ISNUMBER($V1046),$V1046,IF(ISNUMBER($U1046),$U1046,""))</f>
        <v/>
      </c>
      <c r="CR1046" s="77">
        <f>IF(ISNUMBER($CQ1046),YEAR($CQ1046),"")</f>
        <v/>
      </c>
      <c r="CS1046" s="78">
        <f>IF(ISNUMBER($M1046),MAX(0,$M1046),IF(TRIM($M1046&amp;"")="matured",0,""))</f>
        <v/>
      </c>
      <c r="CT1046" s="78">
        <f>IF(AND(ISNUMBER($CS1046),N($CS1046)&lt;=mMatWindow),1,0)</f>
        <v/>
      </c>
      <c r="CU1046" s="80">
        <f>IF(ISNUMBER($J1046),$J1046/100,"")</f>
        <v/>
      </c>
      <c r="CV1046" s="81">
        <f>IF(ISNUMBER($AQ1046),$AQ1046,"")</f>
        <v/>
      </c>
      <c r="CW1046" s="81">
        <f>IF(ISNUMBER($AR1046),$AR1046,"")</f>
        <v/>
      </c>
      <c r="CX1046" s="82">
        <f>IF(ISNUMBER($AS1046),$AS1046/100,"")</f>
        <v/>
      </c>
      <c r="CY1046" s="82">
        <f>IF(ISNUMBER($AT1046),$AT1046/100,"")</f>
        <v/>
      </c>
      <c r="CZ1046" s="82">
        <f>IF(ISNUMBER($AU1046),$AU1046/100,"")</f>
        <v/>
      </c>
      <c r="DA1046" s="82">
        <f>IF(ISNUMBER($AV1046),$AV1046/100,"")</f>
        <v/>
      </c>
      <c r="DB1046" s="82">
        <f>IF(ISNUMBER($AW1046),$AW1046/100,"")</f>
        <v/>
      </c>
      <c r="DC1046" s="82">
        <f>IF(ISNUMBER($AX1046),$AX1046/100,"")</f>
        <v/>
      </c>
      <c r="DD1046" s="77">
        <f>IFERROR(VALUE(LEFT(TRIM($AO1046&amp;""),4)),"")</f>
        <v/>
      </c>
      <c r="DE1046" s="78">
        <f>IF(AND($BY1046=1,$BX1046=1,OR(fDeal="All Deals",$BU1046=fDeal),OR(fEntity="All Entities",$BV1046=fEntity),OR(fPType="All Property Types",$BZ1046=fPType),OR(fDefeased="Include",$CJ1046=0)),1,0)</f>
        <v/>
      </c>
      <c r="DF1046" s="83">
        <f>$DE1046*N($I1046)</f>
        <v/>
      </c>
      <c r="DG1046" s="78">
        <f>IF($DE1046=1,IF(COUNTIFS($F$8:$F1046,$F1046,$DE$8:$DE1046,1)=1,1,0),0)</f>
        <v/>
      </c>
      <c r="DH1046" s="83">
        <f>IF($DG1046=1,SUMIFS($DF$8:$DF$1600,$F$8:$F$1600,$F1046),0)</f>
        <v/>
      </c>
      <c r="DI1046" s="78">
        <f>IF($DG1046=1,COUNTIFS($F$8:$F$1600,$F1046,$DE$8:$DE$1600,1),0)</f>
        <v/>
      </c>
      <c r="DJ1046" s="84">
        <f>IF($DG1046=1,$DH1046+(100000-ROW())/mTieBreak,0)</f>
        <v/>
      </c>
    </row>
    <row r="1047">
      <c r="B1047" s="68" t="n">
        <v>44</v>
      </c>
      <c r="C1047" s="69" t="inlineStr">
        <is>
          <t>MSB17C33</t>
        </is>
      </c>
      <c r="D1047" s="69" t="inlineStr">
        <is>
          <t>44.000</t>
        </is>
      </c>
      <c r="E1047" s="69" t="inlineStr">
        <is>
          <t>StaxUp Self Storage - Enterprise</t>
        </is>
      </c>
      <c r="F1047" s="69" t="inlineStr">
        <is>
          <t>LNMSB17C33-44.000</t>
        </is>
      </c>
      <c r="G1047" s="70" t="n"/>
      <c r="H1047" s="71" t="n">
        <v>2870000</v>
      </c>
      <c r="I1047" s="71" t="n">
        <v>2314818.8900011</v>
      </c>
      <c r="J1047" s="72" t="n">
        <v>4.36</v>
      </c>
      <c r="K1047" s="69" t="inlineStr">
        <is>
          <t>Fixed rate</t>
        </is>
      </c>
      <c r="L1047" s="68" t="n">
        <v>120</v>
      </c>
      <c r="M1047" s="68" t="n">
        <v>1</v>
      </c>
      <c r="N1047" s="68" t="n">
        <v>360</v>
      </c>
      <c r="O1047" s="68" t="n"/>
      <c r="P1047" s="68" t="n"/>
      <c r="Q1047" s="68" t="n">
        <v>119</v>
      </c>
      <c r="R1047" s="69" t="n"/>
      <c r="S1047" s="69" t="inlineStr">
        <is>
          <t>No</t>
        </is>
      </c>
      <c r="T1047" s="73" t="n">
        <v>42644</v>
      </c>
      <c r="U1047" s="73" t="n">
        <v>46296</v>
      </c>
      <c r="V1047" s="73" t="n"/>
      <c r="W1047" s="69" t="n"/>
      <c r="X1047" s="69" t="inlineStr">
        <is>
          <t>Current</t>
        </is>
      </c>
      <c r="Y1047" s="68" t="n"/>
      <c r="Z1047" s="69" t="inlineStr">
        <is>
          <t>No Defeasance Occurred</t>
        </is>
      </c>
      <c r="AA1047" s="69" t="inlineStr">
        <is>
          <t>Yes</t>
        </is>
      </c>
      <c r="AB1047" s="69" t="inlineStr">
        <is>
          <t>Never special serv</t>
        </is>
      </c>
      <c r="AC1047" s="73" t="n"/>
      <c r="AD1047" s="69" t="n"/>
      <c r="AE1047" s="69" t="n"/>
      <c r="AF1047" s="69" t="inlineStr">
        <is>
          <t>CA</t>
        </is>
      </c>
      <c r="AG1047" s="69" t="inlineStr">
        <is>
          <t>Calexico</t>
        </is>
      </c>
      <c r="AH1047" s="69" t="inlineStr">
        <is>
          <t>El Centro, CA</t>
        </is>
      </c>
      <c r="AI1047" s="69" t="inlineStr">
        <is>
          <t>West / Pacific South</t>
        </is>
      </c>
      <c r="AJ1047" s="69" t="inlineStr">
        <is>
          <t>SS</t>
        </is>
      </c>
      <c r="AK1047" s="69" t="n"/>
      <c r="AL1047" s="68" t="n">
        <v>1</v>
      </c>
      <c r="AM1047" s="68" t="n"/>
      <c r="AN1047" s="68" t="n">
        <v>48138</v>
      </c>
      <c r="AO1047" s="69" t="inlineStr">
        <is>
          <t>1998, 2003</t>
        </is>
      </c>
      <c r="AP1047" s="70" t="n">
        <v>2003</v>
      </c>
      <c r="AQ1047" s="74" t="n">
        <v>1.64</v>
      </c>
      <c r="AR1047" s="74" t="n">
        <v>1.87</v>
      </c>
      <c r="AS1047" s="74" t="n">
        <v>69.34999999999999</v>
      </c>
      <c r="AT1047" s="74" t="n">
        <v>56.46</v>
      </c>
      <c r="AU1047" s="74" t="n">
        <v>56.46</v>
      </c>
      <c r="AV1047" s="74" t="n">
        <v>9.785958188</v>
      </c>
      <c r="AW1047" s="74" t="n">
        <v>13.890028347</v>
      </c>
      <c r="AX1047" s="75" t="n">
        <v>81</v>
      </c>
      <c r="AY1047" s="71" t="n">
        <v>4100000</v>
      </c>
      <c r="AZ1047" s="71" t="n">
        <v>4100000</v>
      </c>
      <c r="BA1047" s="71" t="n">
        <v>280857</v>
      </c>
      <c r="BB1047" s="71" t="n">
        <v>321529</v>
      </c>
      <c r="BC1047" s="69" t="inlineStr">
        <is>
          <t>Acquisition</t>
        </is>
      </c>
      <c r="BD1047" s="69" t="inlineStr">
        <is>
          <t>N</t>
        </is>
      </c>
      <c r="BE1047" s="71" t="n"/>
      <c r="BF1047" s="71" t="n"/>
      <c r="BG1047" s="71" t="n"/>
      <c r="BH1047" s="71" t="n">
        <v>0</v>
      </c>
      <c r="BI1047" s="71" t="n">
        <v>0</v>
      </c>
      <c r="BJ1047" s="69" t="inlineStr">
        <is>
          <t>N</t>
        </is>
      </c>
      <c r="BK1047" s="69" t="n"/>
      <c r="BL1047" s="75" t="n"/>
      <c r="BM1047" s="73" t="n"/>
      <c r="BN1047" s="69" t="inlineStr">
        <is>
          <t>Strat Property Management, Inc.</t>
        </is>
      </c>
      <c r="BO1047" s="69" t="inlineStr">
        <is>
          <t>KeyBank</t>
        </is>
      </c>
      <c r="BP1047" s="69" t="inlineStr">
        <is>
          <t>TriMont Real Estate Advisors</t>
        </is>
      </c>
      <c r="BQ1047" s="69" t="inlineStr">
        <is>
          <t>Midland Loan Services</t>
        </is>
      </c>
      <c r="BR1047" s="69" t="n"/>
      <c r="BS1047" s="73" t="n">
        <v>46276</v>
      </c>
      <c r="BU1047" s="76">
        <f>IF($C1047="","",IFERROR(INDEX(dmName,MATCH($C1047,dmID,0)),"Unmapped"))</f>
        <v/>
      </c>
      <c r="BV1047" s="76">
        <f>IF($C1047="","",IFERROR(INDEX(dmEntity,MATCH($C1047,dmID,0)),"Unmapped"))</f>
        <v/>
      </c>
      <c r="BW1047" s="77">
        <f>IF($C1047="","",IFERROR(INDEX(dmVintage,MATCH($C1047,dmID,0)),""))</f>
        <v/>
      </c>
      <c r="BX1047" s="78">
        <f>IFERROR(INDEX(dmInclude,MATCH($C1047,dmID,0)),0)</f>
        <v/>
      </c>
      <c r="BY1047" s="78">
        <f>IF(N($I1047)&gt;0,1,0)</f>
        <v/>
      </c>
      <c r="BZ1047" s="76">
        <f>IF($AJ1047="","Other / Leased Fee",IFERROR(INDEX(mapPTGroup,MATCH(LEFT(TRIM($AJ1047),2),mapPTCode,0)),"Other / Leased Fee"))</f>
        <v/>
      </c>
      <c r="CA1047" s="76">
        <f>IF(TRIM($AF1047&amp;"")="","NR",LEFT(TRIM($AF1047),2))</f>
        <v/>
      </c>
      <c r="CB1047" s="76">
        <f>IFERROR(LOOKUP(2,1/(LEFT(TRIM($AI1047&amp;""),LEN(mapRegion))=mapRegion),mapRegion),"Not Reported")</f>
        <v/>
      </c>
      <c r="CC1047" s="76">
        <f>IF($BY1047=0,"",IF(TRIM($W1047&amp;"")="REO","REO",IF(TRIM($W1047&amp;"")="FC","Foreclosure",IF(TRIM($W1047&amp;"")="90+","90+ Days Delinquent",IF(TRIM($W1047&amp;"")="60","60 Days Delinquent",IF(TRIM($W1047&amp;"")="30","30 Days Delinquent",IF($X1047="Non-Performing Matured Balloon","Non-Performing Matured Balloon",IF(OR($X1047="Late Payment But Less Than 30 Days Delinquent",LEFT($X1047&amp;"",20)="Payment Not Received"),"Late / In Grace (&lt;30 Days)",IF($X1047="Performing Matured Balloon","Performing Matured Balloon","Current")))))))))</f>
        <v/>
      </c>
      <c r="CD1047" s="78">
        <f>IF(OR($CC1047="REO",$CC1047="Foreclosure",$CC1047="90+ Days Delinquent",$CC1047="60 Days Delinquent",$CC1047="30 Days Delinquent",$CC1047="Non-Performing Matured Balloon"),1,0)</f>
        <v/>
      </c>
      <c r="CE1047" s="76">
        <f>IF($AB1047="Currently special serv","Currently Specially Serviced",IF($AB1047="Returned to master serv","Previously Specially Serviced","Never Specially Serviced"))</f>
        <v/>
      </c>
      <c r="CF1047" s="78">
        <f>IF($CE1047="Currently Specially Serviced",1,0)</f>
        <v/>
      </c>
      <c r="CG1047" s="76">
        <f>IF($AA1047="Yes","Currently on Watchlist",IF($AA1047="Previously","Previously on Watchlist","Never on Watchlist"))</f>
        <v/>
      </c>
      <c r="CH1047" s="78">
        <f>IF($CG1047="Currently on Watchlist",1,0)</f>
        <v/>
      </c>
      <c r="CI1047" s="76">
        <f>IF($Z1047="Full Defeasance","Fully Defeased",IF($Z1047="Portion Of Loan Previously Defeased","Partially Defeased",IF($Z1047="Defeasance Not Allowable","Not Defeased (Not Permitted)","Not Defeased")))</f>
        <v/>
      </c>
      <c r="CJ1047" s="78">
        <f>IF($CI1047="Fully Defeased",1,0)</f>
        <v/>
      </c>
      <c r="CK1047" s="76">
        <f>IF($R1047="IO","Full IO",IF(LEFT($R1047&amp;"",7)="IO then","Partial IO","Amortizing"))</f>
        <v/>
      </c>
      <c r="CL1047" s="78">
        <f>IF($CK1047="Full IO",1,0)</f>
        <v/>
      </c>
      <c r="CM1047" s="78">
        <f>IF($CK1047="Partial IO",1,0)</f>
        <v/>
      </c>
      <c r="CN1047" s="76">
        <f>IF(LEFT($F1047&amp;"",10)="SPLIT_LOAN","Pari Passu Split","Standalone")</f>
        <v/>
      </c>
      <c r="CO1047" s="78">
        <f>IF($CN1047="Pari Passu Split",1,0)</f>
        <v/>
      </c>
      <c r="CP1047" s="77">
        <f>IF(ISNUMBER($T1047),YEAR($T1047),"")</f>
        <v/>
      </c>
      <c r="CQ1047" s="79">
        <f>IF(ISNUMBER($V1047),$V1047,IF(ISNUMBER($U1047),$U1047,""))</f>
        <v/>
      </c>
      <c r="CR1047" s="77">
        <f>IF(ISNUMBER($CQ1047),YEAR($CQ1047),"")</f>
        <v/>
      </c>
      <c r="CS1047" s="78">
        <f>IF(ISNUMBER($M1047),MAX(0,$M1047),IF(TRIM($M1047&amp;"")="matured",0,""))</f>
        <v/>
      </c>
      <c r="CT1047" s="78">
        <f>IF(AND(ISNUMBER($CS1047),N($CS1047)&lt;=mMatWindow),1,0)</f>
        <v/>
      </c>
      <c r="CU1047" s="80">
        <f>IF(ISNUMBER($J1047),$J1047/100,"")</f>
        <v/>
      </c>
      <c r="CV1047" s="81">
        <f>IF(ISNUMBER($AQ1047),$AQ1047,"")</f>
        <v/>
      </c>
      <c r="CW1047" s="81">
        <f>IF(ISNUMBER($AR1047),$AR1047,"")</f>
        <v/>
      </c>
      <c r="CX1047" s="82">
        <f>IF(ISNUMBER($AS1047),$AS1047/100,"")</f>
        <v/>
      </c>
      <c r="CY1047" s="82">
        <f>IF(ISNUMBER($AT1047),$AT1047/100,"")</f>
        <v/>
      </c>
      <c r="CZ1047" s="82">
        <f>IF(ISNUMBER($AU1047),$AU1047/100,"")</f>
        <v/>
      </c>
      <c r="DA1047" s="82">
        <f>IF(ISNUMBER($AV1047),$AV1047/100,"")</f>
        <v/>
      </c>
      <c r="DB1047" s="82">
        <f>IF(ISNUMBER($AW1047),$AW1047/100,"")</f>
        <v/>
      </c>
      <c r="DC1047" s="82">
        <f>IF(ISNUMBER($AX1047),$AX1047/100,"")</f>
        <v/>
      </c>
      <c r="DD1047" s="77">
        <f>IFERROR(VALUE(LEFT(TRIM($AO1047&amp;""),4)),"")</f>
        <v/>
      </c>
      <c r="DE1047" s="78">
        <f>IF(AND($BY1047=1,$BX1047=1,OR(fDeal="All Deals",$BU1047=fDeal),OR(fEntity="All Entities",$BV1047=fEntity),OR(fPType="All Property Types",$BZ1047=fPType),OR(fDefeased="Include",$CJ1047=0)),1,0)</f>
        <v/>
      </c>
      <c r="DF1047" s="83">
        <f>$DE1047*N($I1047)</f>
        <v/>
      </c>
      <c r="DG1047" s="78">
        <f>IF($DE1047=1,IF(COUNTIFS($F$8:$F1047,$F1047,$DE$8:$DE1047,1)=1,1,0),0)</f>
        <v/>
      </c>
      <c r="DH1047" s="83">
        <f>IF($DG1047=1,SUMIFS($DF$8:$DF$1600,$F$8:$F$1600,$F1047),0)</f>
        <v/>
      </c>
      <c r="DI1047" s="78">
        <f>IF($DG1047=1,COUNTIFS($F$8:$F$1600,$F1047,$DE$8:$DE$1600,1),0)</f>
        <v/>
      </c>
      <c r="DJ1047" s="84">
        <f>IF($DG1047=1,$DH1047+(100000-ROW())/mTieBreak,0)</f>
        <v/>
      </c>
    </row>
    <row r="1048">
      <c r="B1048" s="68" t="n">
        <v>1</v>
      </c>
      <c r="C1048" s="69" t="inlineStr">
        <is>
          <t>GS217GS6</t>
        </is>
      </c>
      <c r="D1048" s="69" t="inlineStr">
        <is>
          <t>1.TR</t>
        </is>
      </c>
      <c r="E1048" s="69" t="inlineStr">
        <is>
          <t>1999 Avenue of the Stars - Trust</t>
        </is>
      </c>
      <c r="F1048" s="69" t="inlineStr">
        <is>
          <t>SPLIT_LOAN_00984</t>
        </is>
      </c>
      <c r="G1048" s="70" t="n">
        <v>984</v>
      </c>
      <c r="H1048" s="71" t="n">
        <v>95500000</v>
      </c>
      <c r="I1048" s="71" t="n">
        <v>95500000</v>
      </c>
      <c r="J1048" s="72" t="n">
        <v>4.136513</v>
      </c>
      <c r="K1048" s="69" t="inlineStr">
        <is>
          <t>Fixed rate</t>
        </is>
      </c>
      <c r="L1048" s="68" t="n">
        <v>120</v>
      </c>
      <c r="M1048" s="68" t="n">
        <v>8</v>
      </c>
      <c r="N1048" s="68" t="n">
        <v>120</v>
      </c>
      <c r="O1048" s="68" t="n">
        <v>120</v>
      </c>
      <c r="P1048" s="68" t="n">
        <v>8</v>
      </c>
      <c r="Q1048" s="68" t="n">
        <v>112</v>
      </c>
      <c r="R1048" s="69" t="inlineStr">
        <is>
          <t>IO</t>
        </is>
      </c>
      <c r="S1048" s="69" t="inlineStr">
        <is>
          <t>Yes</t>
        </is>
      </c>
      <c r="T1048" s="73" t="n">
        <v>42856</v>
      </c>
      <c r="U1048" s="73" t="n">
        <v>46513</v>
      </c>
      <c r="V1048" s="73" t="n"/>
      <c r="W1048" s="69" t="n"/>
      <c r="X1048" s="69" t="inlineStr">
        <is>
          <t>Current</t>
        </is>
      </c>
      <c r="Y1048" s="68" t="n"/>
      <c r="Z1048" s="69" t="inlineStr">
        <is>
          <t>No Defeasance Occurred</t>
        </is>
      </c>
      <c r="AA1048" s="69" t="n"/>
      <c r="AB1048" s="69" t="inlineStr">
        <is>
          <t>Never special serv</t>
        </is>
      </c>
      <c r="AC1048" s="73" t="n"/>
      <c r="AD1048" s="69" t="n"/>
      <c r="AE1048" s="69" t="n"/>
      <c r="AF1048" s="69" t="inlineStr">
        <is>
          <t>CA</t>
        </is>
      </c>
      <c r="AG1048" s="69" t="inlineStr">
        <is>
          <t>Los Angeles</t>
        </is>
      </c>
      <c r="AH1048" s="69" t="inlineStr">
        <is>
          <t>Los Angeles-Long Beach-Anaheim, CA</t>
        </is>
      </c>
      <c r="AI1048" s="69" t="inlineStr">
        <is>
          <t>West / Pacific South</t>
        </is>
      </c>
      <c r="AJ1048" s="69" t="inlineStr">
        <is>
          <t>OF</t>
        </is>
      </c>
      <c r="AK1048" s="69" t="inlineStr">
        <is>
          <t>CBD</t>
        </is>
      </c>
      <c r="AL1048" s="68" t="n">
        <v>1</v>
      </c>
      <c r="AM1048" s="68" t="n"/>
      <c r="AN1048" s="68" t="n">
        <v>821357</v>
      </c>
      <c r="AO1048" s="69" t="inlineStr">
        <is>
          <t>1990</t>
        </is>
      </c>
      <c r="AP1048" s="70" t="n">
        <v>2014</v>
      </c>
      <c r="AQ1048" s="74" t="n">
        <v>3.84</v>
      </c>
      <c r="AR1048" s="74" t="n">
        <v>4.52</v>
      </c>
      <c r="AS1048" s="74" t="n">
        <v>27.07</v>
      </c>
      <c r="AT1048" s="74" t="n">
        <v>27.07</v>
      </c>
      <c r="AU1048" s="74" t="n"/>
      <c r="AV1048" s="74" t="n">
        <v>16.097325601</v>
      </c>
      <c r="AW1048" s="74" t="n">
        <v>22.373352535</v>
      </c>
      <c r="AX1048" s="75" t="n">
        <v>92</v>
      </c>
      <c r="AY1048" s="71" t="n">
        <v>860000000</v>
      </c>
      <c r="AZ1048" s="71" t="n">
        <v>860000000</v>
      </c>
      <c r="BA1048" s="71" t="n">
        <v>37468135.07</v>
      </c>
      <c r="BB1048" s="71" t="n">
        <v>44165423.76</v>
      </c>
      <c r="BC1048" s="69" t="inlineStr">
        <is>
          <t>Recapitalization</t>
        </is>
      </c>
      <c r="BD1048" s="69" t="inlineStr">
        <is>
          <t>N</t>
        </is>
      </c>
      <c r="BE1048" s="71" t="n">
        <v>137260000</v>
      </c>
      <c r="BF1048" s="71" t="n">
        <v>192240000</v>
      </c>
      <c r="BG1048" s="71" t="n">
        <v>75000000</v>
      </c>
      <c r="BH1048" s="71" t="n">
        <v>0</v>
      </c>
      <c r="BI1048" s="71" t="n">
        <v>0</v>
      </c>
      <c r="BJ1048" s="69" t="inlineStr">
        <is>
          <t>N</t>
        </is>
      </c>
      <c r="BK1048" s="69" t="inlineStr">
        <is>
          <t>Simpson Thacher &amp; Bartlett LLP</t>
        </is>
      </c>
      <c r="BL1048" s="75" t="n">
        <v>7.93</v>
      </c>
      <c r="BM1048" s="73" t="n">
        <v>50951</v>
      </c>
      <c r="BN1048" s="69" t="inlineStr">
        <is>
          <t>JMB Realty Corporation</t>
        </is>
      </c>
      <c r="BO1048" s="69" t="inlineStr">
        <is>
          <t>Goldman Sachs</t>
        </is>
      </c>
      <c r="BP1048" s="69" t="inlineStr">
        <is>
          <t>Midland Loan Services</t>
        </is>
      </c>
      <c r="BQ1048" s="69" t="inlineStr">
        <is>
          <t>Midland Loan Services</t>
        </is>
      </c>
      <c r="BR1048" s="69" t="n"/>
      <c r="BS1048" s="73" t="n">
        <v>46273</v>
      </c>
      <c r="BU1048" s="76">
        <f>IF($C1048="","",IFERROR(INDEX(dmName,MATCH($C1048,dmID,0)),"Unmapped"))</f>
        <v/>
      </c>
      <c r="BV1048" s="76">
        <f>IF($C1048="","",IFERROR(INDEX(dmEntity,MATCH($C1048,dmID,0)),"Unmapped"))</f>
        <v/>
      </c>
      <c r="BW1048" s="77">
        <f>IF($C1048="","",IFERROR(INDEX(dmVintage,MATCH($C1048,dmID,0)),""))</f>
        <v/>
      </c>
      <c r="BX1048" s="78">
        <f>IFERROR(INDEX(dmInclude,MATCH($C1048,dmID,0)),0)</f>
        <v/>
      </c>
      <c r="BY1048" s="78">
        <f>IF(N($I1048)&gt;0,1,0)</f>
        <v/>
      </c>
      <c r="BZ1048" s="76">
        <f>IF($AJ1048="","Other / Leased Fee",IFERROR(INDEX(mapPTGroup,MATCH(LEFT(TRIM($AJ1048),2),mapPTCode,0)),"Other / Leased Fee"))</f>
        <v/>
      </c>
      <c r="CA1048" s="76">
        <f>IF(TRIM($AF1048&amp;"")="","NR",LEFT(TRIM($AF1048),2))</f>
        <v/>
      </c>
      <c r="CB1048" s="76">
        <f>IFERROR(LOOKUP(2,1/(LEFT(TRIM($AI1048&amp;""),LEN(mapRegion))=mapRegion),mapRegion),"Not Reported")</f>
        <v/>
      </c>
      <c r="CC1048" s="76">
        <f>IF($BY1048=0,"",IF(TRIM($W1048&amp;"")="REO","REO",IF(TRIM($W1048&amp;"")="FC","Foreclosure",IF(TRIM($W1048&amp;"")="90+","90+ Days Delinquent",IF(TRIM($W1048&amp;"")="60","60 Days Delinquent",IF(TRIM($W1048&amp;"")="30","30 Days Delinquent",IF($X1048="Non-Performing Matured Balloon","Non-Performing Matured Balloon",IF(OR($X1048="Late Payment But Less Than 30 Days Delinquent",LEFT($X1048&amp;"",20)="Payment Not Received"),"Late / In Grace (&lt;30 Days)",IF($X1048="Performing Matured Balloon","Performing Matured Balloon","Current")))))))))</f>
        <v/>
      </c>
      <c r="CD1048" s="78">
        <f>IF(OR($CC1048="REO",$CC1048="Foreclosure",$CC1048="90+ Days Delinquent",$CC1048="60 Days Delinquent",$CC1048="30 Days Delinquent",$CC1048="Non-Performing Matured Balloon"),1,0)</f>
        <v/>
      </c>
      <c r="CE1048" s="76">
        <f>IF($AB1048="Currently special serv","Currently Specially Serviced",IF($AB1048="Returned to master serv","Previously Specially Serviced","Never Specially Serviced"))</f>
        <v/>
      </c>
      <c r="CF1048" s="78">
        <f>IF($CE1048="Currently Specially Serviced",1,0)</f>
        <v/>
      </c>
      <c r="CG1048" s="76">
        <f>IF($AA1048="Yes","Currently on Watchlist",IF($AA1048="Previously","Previously on Watchlist","Never on Watchlist"))</f>
        <v/>
      </c>
      <c r="CH1048" s="78">
        <f>IF($CG1048="Currently on Watchlist",1,0)</f>
        <v/>
      </c>
      <c r="CI1048" s="76">
        <f>IF($Z1048="Full Defeasance","Fully Defeased",IF($Z1048="Portion Of Loan Previously Defeased","Partially Defeased",IF($Z1048="Defeasance Not Allowable","Not Defeased (Not Permitted)","Not Defeased")))</f>
        <v/>
      </c>
      <c r="CJ1048" s="78">
        <f>IF($CI1048="Fully Defeased",1,0)</f>
        <v/>
      </c>
      <c r="CK1048" s="76">
        <f>IF($R1048="IO","Full IO",IF(LEFT($R1048&amp;"",7)="IO then","Partial IO","Amortizing"))</f>
        <v/>
      </c>
      <c r="CL1048" s="78">
        <f>IF($CK1048="Full IO",1,0)</f>
        <v/>
      </c>
      <c r="CM1048" s="78">
        <f>IF($CK1048="Partial IO",1,0)</f>
        <v/>
      </c>
      <c r="CN1048" s="76">
        <f>IF(LEFT($F1048&amp;"",10)="SPLIT_LOAN","Pari Passu Split","Standalone")</f>
        <v/>
      </c>
      <c r="CO1048" s="78">
        <f>IF($CN1048="Pari Passu Split",1,0)</f>
        <v/>
      </c>
      <c r="CP1048" s="77">
        <f>IF(ISNUMBER($T1048),YEAR($T1048),"")</f>
        <v/>
      </c>
      <c r="CQ1048" s="79">
        <f>IF(ISNUMBER($V1048),$V1048,IF(ISNUMBER($U1048),$U1048,""))</f>
        <v/>
      </c>
      <c r="CR1048" s="77">
        <f>IF(ISNUMBER($CQ1048),YEAR($CQ1048),"")</f>
        <v/>
      </c>
      <c r="CS1048" s="78">
        <f>IF(ISNUMBER($M1048),MAX(0,$M1048),IF(TRIM($M1048&amp;"")="matured",0,""))</f>
        <v/>
      </c>
      <c r="CT1048" s="78">
        <f>IF(AND(ISNUMBER($CS1048),N($CS1048)&lt;=mMatWindow),1,0)</f>
        <v/>
      </c>
      <c r="CU1048" s="80">
        <f>IF(ISNUMBER($J1048),$J1048/100,"")</f>
        <v/>
      </c>
      <c r="CV1048" s="81">
        <f>IF(ISNUMBER($AQ1048),$AQ1048,"")</f>
        <v/>
      </c>
      <c r="CW1048" s="81">
        <f>IF(ISNUMBER($AR1048),$AR1048,"")</f>
        <v/>
      </c>
      <c r="CX1048" s="82">
        <f>IF(ISNUMBER($AS1048),$AS1048/100,"")</f>
        <v/>
      </c>
      <c r="CY1048" s="82">
        <f>IF(ISNUMBER($AT1048),$AT1048/100,"")</f>
        <v/>
      </c>
      <c r="CZ1048" s="82">
        <f>IF(ISNUMBER($AU1048),$AU1048/100,"")</f>
        <v/>
      </c>
      <c r="DA1048" s="82">
        <f>IF(ISNUMBER($AV1048),$AV1048/100,"")</f>
        <v/>
      </c>
      <c r="DB1048" s="82">
        <f>IF(ISNUMBER($AW1048),$AW1048/100,"")</f>
        <v/>
      </c>
      <c r="DC1048" s="82">
        <f>IF(ISNUMBER($AX1048),$AX1048/100,"")</f>
        <v/>
      </c>
      <c r="DD1048" s="77">
        <f>IFERROR(VALUE(LEFT(TRIM($AO1048&amp;""),4)),"")</f>
        <v/>
      </c>
      <c r="DE1048" s="78">
        <f>IF(AND($BY1048=1,$BX1048=1,OR(fDeal="All Deals",$BU1048=fDeal),OR(fEntity="All Entities",$BV1048=fEntity),OR(fPType="All Property Types",$BZ1048=fPType),OR(fDefeased="Include",$CJ1048=0)),1,0)</f>
        <v/>
      </c>
      <c r="DF1048" s="83">
        <f>$DE1048*N($I1048)</f>
        <v/>
      </c>
      <c r="DG1048" s="78">
        <f>IF($DE1048=1,IF(COUNTIFS($F$8:$F1048,$F1048,$DE$8:$DE1048,1)=1,1,0),0)</f>
        <v/>
      </c>
      <c r="DH1048" s="83">
        <f>IF($DG1048=1,SUMIFS($DF$8:$DF$1600,$F$8:$F$1600,$F1048),0)</f>
        <v/>
      </c>
      <c r="DI1048" s="78">
        <f>IF($DG1048=1,COUNTIFS($F$8:$F$1600,$F1048,$DE$8:$DE$1600,1),0)</f>
        <v/>
      </c>
      <c r="DJ1048" s="84">
        <f>IF($DG1048=1,$DH1048+(100000-ROW())/mTieBreak,0)</f>
        <v/>
      </c>
    </row>
    <row r="1049">
      <c r="B1049" s="68" t="n">
        <v>2</v>
      </c>
      <c r="C1049" s="69" t="inlineStr">
        <is>
          <t>GS217GS6</t>
        </is>
      </c>
      <c r="D1049" s="69" t="inlineStr">
        <is>
          <t>2.000</t>
        </is>
      </c>
      <c r="E1049" s="69" t="inlineStr">
        <is>
          <t>Lafayette Centre</t>
        </is>
      </c>
      <c r="F1049" s="69" t="inlineStr">
        <is>
          <t>SPLIT_LOAN_00948</t>
        </is>
      </c>
      <c r="G1049" s="70" t="n">
        <v>948</v>
      </c>
      <c r="H1049" s="71" t="n">
        <v>80250000</v>
      </c>
      <c r="I1049" s="71" t="n">
        <v>80250000</v>
      </c>
      <c r="J1049" s="72" t="n">
        <v>4.246</v>
      </c>
      <c r="K1049" s="69" t="inlineStr">
        <is>
          <t>Fixed rate</t>
        </is>
      </c>
      <c r="L1049" s="68" t="n">
        <v>121</v>
      </c>
      <c r="M1049" s="68" t="n">
        <v>6</v>
      </c>
      <c r="N1049" s="68" t="n">
        <v>121</v>
      </c>
      <c r="O1049" s="68" t="n">
        <v>121</v>
      </c>
      <c r="P1049" s="68" t="n">
        <v>6</v>
      </c>
      <c r="Q1049" s="68" t="n">
        <v>115</v>
      </c>
      <c r="R1049" s="69" t="inlineStr">
        <is>
          <t>IO</t>
        </is>
      </c>
      <c r="S1049" s="69" t="inlineStr">
        <is>
          <t>Yes</t>
        </is>
      </c>
      <c r="T1049" s="73" t="n">
        <v>42767</v>
      </c>
      <c r="U1049" s="73" t="n">
        <v>46452</v>
      </c>
      <c r="V1049" s="73" t="n"/>
      <c r="W1049" s="69" t="n"/>
      <c r="X1049" s="69" t="inlineStr">
        <is>
          <t>Late Payment But Less Than 30 Days Delinquent</t>
        </is>
      </c>
      <c r="Y1049" s="68" t="n"/>
      <c r="Z1049" s="69" t="inlineStr">
        <is>
          <t>No Defeasance Occurred</t>
        </is>
      </c>
      <c r="AA1049" s="69" t="n"/>
      <c r="AB1049" s="69" t="inlineStr">
        <is>
          <t>Currently special serv</t>
        </is>
      </c>
      <c r="AC1049" s="73" t="n">
        <v>45428</v>
      </c>
      <c r="AD1049" s="69" t="inlineStr">
        <is>
          <t>Imminent Monetary Default (excluding Balloon/Maturity Default &amp; Single Tenant Bankruptcy/Vacate)</t>
        </is>
      </c>
      <c r="AE1049" s="69" t="inlineStr">
        <is>
          <t>Other</t>
        </is>
      </c>
      <c r="AF1049" s="69" t="inlineStr">
        <is>
          <t>DC</t>
        </is>
      </c>
      <c r="AG1049" s="69" t="inlineStr">
        <is>
          <t>Washington</t>
        </is>
      </c>
      <c r="AH1049" s="69" t="inlineStr">
        <is>
          <t>Washington-Arlington-Alexandria, DC-VA-MD-WV</t>
        </is>
      </c>
      <c r="AI1049" s="69" t="inlineStr">
        <is>
          <t>South / Atlantic</t>
        </is>
      </c>
      <c r="AJ1049" s="69" t="inlineStr">
        <is>
          <t>OF</t>
        </is>
      </c>
      <c r="AK1049" s="69" t="inlineStr">
        <is>
          <t>CBD</t>
        </is>
      </c>
      <c r="AL1049" s="68" t="n">
        <v>1</v>
      </c>
      <c r="AM1049" s="68" t="n"/>
      <c r="AN1049" s="68" t="n">
        <v>793553</v>
      </c>
      <c r="AO1049" s="69" t="inlineStr">
        <is>
          <t>1980-1986</t>
        </is>
      </c>
      <c r="AP1049" s="70" t="n">
        <v>2016</v>
      </c>
      <c r="AQ1049" s="74" t="n">
        <v>2.27</v>
      </c>
      <c r="AR1049" s="74" t="n">
        <v>1.86</v>
      </c>
      <c r="AS1049" s="74" t="n">
        <v>60.15</v>
      </c>
      <c r="AT1049" s="74" t="n">
        <v>60.15</v>
      </c>
      <c r="AU1049" s="74" t="n">
        <v>56.51</v>
      </c>
      <c r="AV1049" s="74" t="n">
        <v>9.77483707</v>
      </c>
      <c r="AW1049" s="74" t="n">
        <v>8.002302073999999</v>
      </c>
      <c r="AX1049" s="75" t="n">
        <v>74</v>
      </c>
      <c r="AY1049" s="71" t="n">
        <v>404000000</v>
      </c>
      <c r="AZ1049" s="71" t="n">
        <v>404000000</v>
      </c>
      <c r="BA1049" s="71" t="n">
        <v>23752854.08</v>
      </c>
      <c r="BB1049" s="71" t="n">
        <v>19445594.04</v>
      </c>
      <c r="BC1049" s="69" t="inlineStr">
        <is>
          <t>Acquisition</t>
        </is>
      </c>
      <c r="BD1049" s="69" t="inlineStr">
        <is>
          <t>N</t>
        </is>
      </c>
      <c r="BE1049" s="71" t="n">
        <v>162750000</v>
      </c>
      <c r="BF1049" s="71" t="n"/>
      <c r="BG1049" s="71" t="n"/>
      <c r="BH1049" s="71" t="n">
        <v>0</v>
      </c>
      <c r="BI1049" s="71" t="n">
        <v>293070.77</v>
      </c>
      <c r="BJ1049" s="69" t="inlineStr">
        <is>
          <t>N</t>
        </is>
      </c>
      <c r="BK1049" s="69" t="inlineStr">
        <is>
          <t>COMMODITY FUTURE TRADIN</t>
        </is>
      </c>
      <c r="BL1049" s="75" t="n">
        <v>36.58</v>
      </c>
      <c r="BM1049" s="73" t="n">
        <v>46295</v>
      </c>
      <c r="BN1049" s="69" t="n"/>
      <c r="BO1049" s="69" t="inlineStr">
        <is>
          <t>Goldman Sachs</t>
        </is>
      </c>
      <c r="BP1049" s="69" t="inlineStr">
        <is>
          <t>Midland Loan Services</t>
        </is>
      </c>
      <c r="BQ1049" s="69" t="inlineStr">
        <is>
          <t>Rialto Capital</t>
        </is>
      </c>
      <c r="BR1049" s="69" t="n"/>
      <c r="BS1049" s="73" t="n">
        <v>46273</v>
      </c>
      <c r="BU1049" s="76">
        <f>IF($C1049="","",IFERROR(INDEX(dmName,MATCH($C1049,dmID,0)),"Unmapped"))</f>
        <v/>
      </c>
      <c r="BV1049" s="76">
        <f>IF($C1049="","",IFERROR(INDEX(dmEntity,MATCH($C1049,dmID,0)),"Unmapped"))</f>
        <v/>
      </c>
      <c r="BW1049" s="77">
        <f>IF($C1049="","",IFERROR(INDEX(dmVintage,MATCH($C1049,dmID,0)),""))</f>
        <v/>
      </c>
      <c r="BX1049" s="78">
        <f>IFERROR(INDEX(dmInclude,MATCH($C1049,dmID,0)),0)</f>
        <v/>
      </c>
      <c r="BY1049" s="78">
        <f>IF(N($I1049)&gt;0,1,0)</f>
        <v/>
      </c>
      <c r="BZ1049" s="76">
        <f>IF($AJ1049="","Other / Leased Fee",IFERROR(INDEX(mapPTGroup,MATCH(LEFT(TRIM($AJ1049),2),mapPTCode,0)),"Other / Leased Fee"))</f>
        <v/>
      </c>
      <c r="CA1049" s="76">
        <f>IF(TRIM($AF1049&amp;"")="","NR",LEFT(TRIM($AF1049),2))</f>
        <v/>
      </c>
      <c r="CB1049" s="76">
        <f>IFERROR(LOOKUP(2,1/(LEFT(TRIM($AI1049&amp;""),LEN(mapRegion))=mapRegion),mapRegion),"Not Reported")</f>
        <v/>
      </c>
      <c r="CC1049" s="76">
        <f>IF($BY1049=0,"",IF(TRIM($W1049&amp;"")="REO","REO",IF(TRIM($W1049&amp;"")="FC","Foreclosure",IF(TRIM($W1049&amp;"")="90+","90+ Days Delinquent",IF(TRIM($W1049&amp;"")="60","60 Days Delinquent",IF(TRIM($W1049&amp;"")="30","30 Days Delinquent",IF($X1049="Non-Performing Matured Balloon","Non-Performing Matured Balloon",IF(OR($X1049="Late Payment But Less Than 30 Days Delinquent",LEFT($X1049&amp;"",20)="Payment Not Received"),"Late / In Grace (&lt;30 Days)",IF($X1049="Performing Matured Balloon","Performing Matured Balloon","Current")))))))))</f>
        <v/>
      </c>
      <c r="CD1049" s="78">
        <f>IF(OR($CC1049="REO",$CC1049="Foreclosure",$CC1049="90+ Days Delinquent",$CC1049="60 Days Delinquent",$CC1049="30 Days Delinquent",$CC1049="Non-Performing Matured Balloon"),1,0)</f>
        <v/>
      </c>
      <c r="CE1049" s="76">
        <f>IF($AB1049="Currently special serv","Currently Specially Serviced",IF($AB1049="Returned to master serv","Previously Specially Serviced","Never Specially Serviced"))</f>
        <v/>
      </c>
      <c r="CF1049" s="78">
        <f>IF($CE1049="Currently Specially Serviced",1,0)</f>
        <v/>
      </c>
      <c r="CG1049" s="76">
        <f>IF($AA1049="Yes","Currently on Watchlist",IF($AA1049="Previously","Previously on Watchlist","Never on Watchlist"))</f>
        <v/>
      </c>
      <c r="CH1049" s="78">
        <f>IF($CG1049="Currently on Watchlist",1,0)</f>
        <v/>
      </c>
      <c r="CI1049" s="76">
        <f>IF($Z1049="Full Defeasance","Fully Defeased",IF($Z1049="Portion Of Loan Previously Defeased","Partially Defeased",IF($Z1049="Defeasance Not Allowable","Not Defeased (Not Permitted)","Not Defeased")))</f>
        <v/>
      </c>
      <c r="CJ1049" s="78">
        <f>IF($CI1049="Fully Defeased",1,0)</f>
        <v/>
      </c>
      <c r="CK1049" s="76">
        <f>IF($R1049="IO","Full IO",IF(LEFT($R1049&amp;"",7)="IO then","Partial IO","Amortizing"))</f>
        <v/>
      </c>
      <c r="CL1049" s="78">
        <f>IF($CK1049="Full IO",1,0)</f>
        <v/>
      </c>
      <c r="CM1049" s="78">
        <f>IF($CK1049="Partial IO",1,0)</f>
        <v/>
      </c>
      <c r="CN1049" s="76">
        <f>IF(LEFT($F1049&amp;"",10)="SPLIT_LOAN","Pari Passu Split","Standalone")</f>
        <v/>
      </c>
      <c r="CO1049" s="78">
        <f>IF($CN1049="Pari Passu Split",1,0)</f>
        <v/>
      </c>
      <c r="CP1049" s="77">
        <f>IF(ISNUMBER($T1049),YEAR($T1049),"")</f>
        <v/>
      </c>
      <c r="CQ1049" s="79">
        <f>IF(ISNUMBER($V1049),$V1049,IF(ISNUMBER($U1049),$U1049,""))</f>
        <v/>
      </c>
      <c r="CR1049" s="77">
        <f>IF(ISNUMBER($CQ1049),YEAR($CQ1049),"")</f>
        <v/>
      </c>
      <c r="CS1049" s="78">
        <f>IF(ISNUMBER($M1049),MAX(0,$M1049),IF(TRIM($M1049&amp;"")="matured",0,""))</f>
        <v/>
      </c>
      <c r="CT1049" s="78">
        <f>IF(AND(ISNUMBER($CS1049),N($CS1049)&lt;=mMatWindow),1,0)</f>
        <v/>
      </c>
      <c r="CU1049" s="80">
        <f>IF(ISNUMBER($J1049),$J1049/100,"")</f>
        <v/>
      </c>
      <c r="CV1049" s="81">
        <f>IF(ISNUMBER($AQ1049),$AQ1049,"")</f>
        <v/>
      </c>
      <c r="CW1049" s="81">
        <f>IF(ISNUMBER($AR1049),$AR1049,"")</f>
        <v/>
      </c>
      <c r="CX1049" s="82">
        <f>IF(ISNUMBER($AS1049),$AS1049/100,"")</f>
        <v/>
      </c>
      <c r="CY1049" s="82">
        <f>IF(ISNUMBER($AT1049),$AT1049/100,"")</f>
        <v/>
      </c>
      <c r="CZ1049" s="82">
        <f>IF(ISNUMBER($AU1049),$AU1049/100,"")</f>
        <v/>
      </c>
      <c r="DA1049" s="82">
        <f>IF(ISNUMBER($AV1049),$AV1049/100,"")</f>
        <v/>
      </c>
      <c r="DB1049" s="82">
        <f>IF(ISNUMBER($AW1049),$AW1049/100,"")</f>
        <v/>
      </c>
      <c r="DC1049" s="82">
        <f>IF(ISNUMBER($AX1049),$AX1049/100,"")</f>
        <v/>
      </c>
      <c r="DD1049" s="77">
        <f>IFERROR(VALUE(LEFT(TRIM($AO1049&amp;""),4)),"")</f>
        <v/>
      </c>
      <c r="DE1049" s="78">
        <f>IF(AND($BY1049=1,$BX1049=1,OR(fDeal="All Deals",$BU1049=fDeal),OR(fEntity="All Entities",$BV1049=fEntity),OR(fPType="All Property Types",$BZ1049=fPType),OR(fDefeased="Include",$CJ1049=0)),1,0)</f>
        <v/>
      </c>
      <c r="DF1049" s="83">
        <f>$DE1049*N($I1049)</f>
        <v/>
      </c>
      <c r="DG1049" s="78">
        <f>IF($DE1049=1,IF(COUNTIFS($F$8:$F1049,$F1049,$DE$8:$DE1049,1)=1,1,0),0)</f>
        <v/>
      </c>
      <c r="DH1049" s="83">
        <f>IF($DG1049=1,SUMIFS($DF$8:$DF$1600,$F$8:$F$1600,$F1049),0)</f>
        <v/>
      </c>
      <c r="DI1049" s="78">
        <f>IF($DG1049=1,COUNTIFS($F$8:$F$1600,$F1049,$DE$8:$DE$1600,1),0)</f>
        <v/>
      </c>
      <c r="DJ1049" s="84">
        <f>IF($DG1049=1,$DH1049+(100000-ROW())/mTieBreak,0)</f>
        <v/>
      </c>
    </row>
    <row r="1050">
      <c r="B1050" s="68" t="n">
        <v>3</v>
      </c>
      <c r="C1050" s="69" t="inlineStr">
        <is>
          <t>GS217GS6</t>
        </is>
      </c>
      <c r="D1050" s="69" t="inlineStr">
        <is>
          <t>3.000</t>
        </is>
      </c>
      <c r="E1050" s="69" t="inlineStr">
        <is>
          <t>Pentagon Center</t>
        </is>
      </c>
      <c r="F1050" s="69" t="inlineStr">
        <is>
          <t>SPLIT_LOAN_00951</t>
        </is>
      </c>
      <c r="G1050" s="70" t="n">
        <v>951</v>
      </c>
      <c r="H1050" s="71" t="n">
        <v>80000000</v>
      </c>
      <c r="I1050" s="71" t="n">
        <v>80000000</v>
      </c>
      <c r="J1050" s="72" t="n">
        <v>4.326</v>
      </c>
      <c r="K1050" s="69" t="inlineStr">
        <is>
          <t>Fixed rate</t>
        </is>
      </c>
      <c r="L1050" s="68" t="n">
        <v>121</v>
      </c>
      <c r="M1050" s="68" t="n">
        <v>6</v>
      </c>
      <c r="N1050" s="68" t="n">
        <v>121</v>
      </c>
      <c r="O1050" s="68" t="n">
        <v>121</v>
      </c>
      <c r="P1050" s="68" t="n">
        <v>6</v>
      </c>
      <c r="Q1050" s="68" t="n">
        <v>115</v>
      </c>
      <c r="R1050" s="69" t="inlineStr">
        <is>
          <t>IO</t>
        </is>
      </c>
      <c r="S1050" s="69" t="inlineStr">
        <is>
          <t>Yes</t>
        </is>
      </c>
      <c r="T1050" s="73" t="n">
        <v>42767</v>
      </c>
      <c r="U1050" s="73" t="n">
        <v>46452</v>
      </c>
      <c r="V1050" s="73" t="n"/>
      <c r="W1050" s="69" t="n"/>
      <c r="X1050" s="69" t="inlineStr">
        <is>
          <t>Current</t>
        </is>
      </c>
      <c r="Y1050" s="68" t="n"/>
      <c r="Z1050" s="69" t="inlineStr">
        <is>
          <t>No Defeasance Occurred</t>
        </is>
      </c>
      <c r="AA1050" s="69" t="inlineStr">
        <is>
          <t>Yes</t>
        </is>
      </c>
      <c r="AB1050" s="69" t="inlineStr">
        <is>
          <t>Never special serv</t>
        </is>
      </c>
      <c r="AC1050" s="73" t="n"/>
      <c r="AD1050" s="69" t="n"/>
      <c r="AE1050" s="69" t="n"/>
      <c r="AF1050" s="69" t="inlineStr">
        <is>
          <t>VA</t>
        </is>
      </c>
      <c r="AG1050" s="69" t="inlineStr">
        <is>
          <t>Arlington</t>
        </is>
      </c>
      <c r="AH1050" s="69" t="inlineStr">
        <is>
          <t>Washington-Arlington-Alexandria, DC-VA-MD-WV</t>
        </is>
      </c>
      <c r="AI1050" s="69" t="inlineStr">
        <is>
          <t>South / Atlantic</t>
        </is>
      </c>
      <c r="AJ1050" s="69" t="inlineStr">
        <is>
          <t>OF</t>
        </is>
      </c>
      <c r="AK1050" s="69" t="inlineStr">
        <is>
          <t>Suburban</t>
        </is>
      </c>
      <c r="AL1050" s="68" t="n">
        <v>1</v>
      </c>
      <c r="AM1050" s="68" t="n"/>
      <c r="AN1050" s="68" t="n">
        <v>911818</v>
      </c>
      <c r="AO1050" s="69" t="inlineStr">
        <is>
          <t>1970, 1971</t>
        </is>
      </c>
      <c r="AP1050" s="70" t="n">
        <v>2002</v>
      </c>
      <c r="AQ1050" s="74" t="n">
        <v>2.72</v>
      </c>
      <c r="AR1050" s="74" t="n">
        <v>2.8</v>
      </c>
      <c r="AS1050" s="74" t="n">
        <v>55.29</v>
      </c>
      <c r="AT1050" s="74" t="n">
        <v>55.29</v>
      </c>
      <c r="AU1050" s="74" t="n">
        <v>55.29</v>
      </c>
      <c r="AV1050" s="74" t="n">
        <v>11.932342381</v>
      </c>
      <c r="AW1050" s="74" t="n">
        <v>11.731691833</v>
      </c>
      <c r="AX1050" s="75" t="n">
        <v>100</v>
      </c>
      <c r="AY1050" s="71" t="n">
        <v>379800000</v>
      </c>
      <c r="AZ1050" s="71" t="n">
        <v>379800000</v>
      </c>
      <c r="BA1050" s="71" t="n">
        <v>25057919</v>
      </c>
      <c r="BB1050" s="71" t="n">
        <v>25799762.28</v>
      </c>
      <c r="BC1050" s="69" t="inlineStr">
        <is>
          <t>Acquisition</t>
        </is>
      </c>
      <c r="BD1050" s="69" t="inlineStr">
        <is>
          <t>N</t>
        </is>
      </c>
      <c r="BE1050" s="71" t="n">
        <v>130000000</v>
      </c>
      <c r="BF1050" s="71" t="n"/>
      <c r="BG1050" s="71" t="n"/>
      <c r="BH1050" s="71" t="n">
        <v>0</v>
      </c>
      <c r="BI1050" s="71" t="n">
        <v>0</v>
      </c>
      <c r="BJ1050" s="69" t="inlineStr">
        <is>
          <t>N</t>
        </is>
      </c>
      <c r="BK1050" s="69" t="inlineStr">
        <is>
          <t>GS -11B-12576</t>
        </is>
      </c>
      <c r="BL1050" s="75" t="n">
        <v>61.22</v>
      </c>
      <c r="BM1050" s="73" t="n">
        <v>46873</v>
      </c>
      <c r="BN1050" s="69" t="n"/>
      <c r="BO1050" s="69" t="inlineStr">
        <is>
          <t>Goldman Sachs</t>
        </is>
      </c>
      <c r="BP1050" s="69" t="inlineStr">
        <is>
          <t>Midland Loan Services</t>
        </is>
      </c>
      <c r="BQ1050" s="69" t="inlineStr">
        <is>
          <t>K-Star Asset Management LLC</t>
        </is>
      </c>
      <c r="BR1050" s="69" t="n"/>
      <c r="BS1050" s="73" t="n">
        <v>46273</v>
      </c>
      <c r="BU1050" s="76">
        <f>IF($C1050="","",IFERROR(INDEX(dmName,MATCH($C1050,dmID,0)),"Unmapped"))</f>
        <v/>
      </c>
      <c r="BV1050" s="76">
        <f>IF($C1050="","",IFERROR(INDEX(dmEntity,MATCH($C1050,dmID,0)),"Unmapped"))</f>
        <v/>
      </c>
      <c r="BW1050" s="77">
        <f>IF($C1050="","",IFERROR(INDEX(dmVintage,MATCH($C1050,dmID,0)),""))</f>
        <v/>
      </c>
      <c r="BX1050" s="78">
        <f>IFERROR(INDEX(dmInclude,MATCH($C1050,dmID,0)),0)</f>
        <v/>
      </c>
      <c r="BY1050" s="78">
        <f>IF(N($I1050)&gt;0,1,0)</f>
        <v/>
      </c>
      <c r="BZ1050" s="76">
        <f>IF($AJ1050="","Other / Leased Fee",IFERROR(INDEX(mapPTGroup,MATCH(LEFT(TRIM($AJ1050),2),mapPTCode,0)),"Other / Leased Fee"))</f>
        <v/>
      </c>
      <c r="CA1050" s="76">
        <f>IF(TRIM($AF1050&amp;"")="","NR",LEFT(TRIM($AF1050),2))</f>
        <v/>
      </c>
      <c r="CB1050" s="76">
        <f>IFERROR(LOOKUP(2,1/(LEFT(TRIM($AI1050&amp;""),LEN(mapRegion))=mapRegion),mapRegion),"Not Reported")</f>
        <v/>
      </c>
      <c r="CC1050" s="76">
        <f>IF($BY1050=0,"",IF(TRIM($W1050&amp;"")="REO","REO",IF(TRIM($W1050&amp;"")="FC","Foreclosure",IF(TRIM($W1050&amp;"")="90+","90+ Days Delinquent",IF(TRIM($W1050&amp;"")="60","60 Days Delinquent",IF(TRIM($W1050&amp;"")="30","30 Days Delinquent",IF($X1050="Non-Performing Matured Balloon","Non-Performing Matured Balloon",IF(OR($X1050="Late Payment But Less Than 30 Days Delinquent",LEFT($X1050&amp;"",20)="Payment Not Received"),"Late / In Grace (&lt;30 Days)",IF($X1050="Performing Matured Balloon","Performing Matured Balloon","Current")))))))))</f>
        <v/>
      </c>
      <c r="CD1050" s="78">
        <f>IF(OR($CC1050="REO",$CC1050="Foreclosure",$CC1050="90+ Days Delinquent",$CC1050="60 Days Delinquent",$CC1050="30 Days Delinquent",$CC1050="Non-Performing Matured Balloon"),1,0)</f>
        <v/>
      </c>
      <c r="CE1050" s="76">
        <f>IF($AB1050="Currently special serv","Currently Specially Serviced",IF($AB1050="Returned to master serv","Previously Specially Serviced","Never Specially Serviced"))</f>
        <v/>
      </c>
      <c r="CF1050" s="78">
        <f>IF($CE1050="Currently Specially Serviced",1,0)</f>
        <v/>
      </c>
      <c r="CG1050" s="76">
        <f>IF($AA1050="Yes","Currently on Watchlist",IF($AA1050="Previously","Previously on Watchlist","Never on Watchlist"))</f>
        <v/>
      </c>
      <c r="CH1050" s="78">
        <f>IF($CG1050="Currently on Watchlist",1,0)</f>
        <v/>
      </c>
      <c r="CI1050" s="76">
        <f>IF($Z1050="Full Defeasance","Fully Defeased",IF($Z1050="Portion Of Loan Previously Defeased","Partially Defeased",IF($Z1050="Defeasance Not Allowable","Not Defeased (Not Permitted)","Not Defeased")))</f>
        <v/>
      </c>
      <c r="CJ1050" s="78">
        <f>IF($CI1050="Fully Defeased",1,0)</f>
        <v/>
      </c>
      <c r="CK1050" s="76">
        <f>IF($R1050="IO","Full IO",IF(LEFT($R1050&amp;"",7)="IO then","Partial IO","Amortizing"))</f>
        <v/>
      </c>
      <c r="CL1050" s="78">
        <f>IF($CK1050="Full IO",1,0)</f>
        <v/>
      </c>
      <c r="CM1050" s="78">
        <f>IF($CK1050="Partial IO",1,0)</f>
        <v/>
      </c>
      <c r="CN1050" s="76">
        <f>IF(LEFT($F1050&amp;"",10)="SPLIT_LOAN","Pari Passu Split","Standalone")</f>
        <v/>
      </c>
      <c r="CO1050" s="78">
        <f>IF($CN1050="Pari Passu Split",1,0)</f>
        <v/>
      </c>
      <c r="CP1050" s="77">
        <f>IF(ISNUMBER($T1050),YEAR($T1050),"")</f>
        <v/>
      </c>
      <c r="CQ1050" s="79">
        <f>IF(ISNUMBER($V1050),$V1050,IF(ISNUMBER($U1050),$U1050,""))</f>
        <v/>
      </c>
      <c r="CR1050" s="77">
        <f>IF(ISNUMBER($CQ1050),YEAR($CQ1050),"")</f>
        <v/>
      </c>
      <c r="CS1050" s="78">
        <f>IF(ISNUMBER($M1050),MAX(0,$M1050),IF(TRIM($M1050&amp;"")="matured",0,""))</f>
        <v/>
      </c>
      <c r="CT1050" s="78">
        <f>IF(AND(ISNUMBER($CS1050),N($CS1050)&lt;=mMatWindow),1,0)</f>
        <v/>
      </c>
      <c r="CU1050" s="80">
        <f>IF(ISNUMBER($J1050),$J1050/100,"")</f>
        <v/>
      </c>
      <c r="CV1050" s="81">
        <f>IF(ISNUMBER($AQ1050),$AQ1050,"")</f>
        <v/>
      </c>
      <c r="CW1050" s="81">
        <f>IF(ISNUMBER($AR1050),$AR1050,"")</f>
        <v/>
      </c>
      <c r="CX1050" s="82">
        <f>IF(ISNUMBER($AS1050),$AS1050/100,"")</f>
        <v/>
      </c>
      <c r="CY1050" s="82">
        <f>IF(ISNUMBER($AT1050),$AT1050/100,"")</f>
        <v/>
      </c>
      <c r="CZ1050" s="82">
        <f>IF(ISNUMBER($AU1050),$AU1050/100,"")</f>
        <v/>
      </c>
      <c r="DA1050" s="82">
        <f>IF(ISNUMBER($AV1050),$AV1050/100,"")</f>
        <v/>
      </c>
      <c r="DB1050" s="82">
        <f>IF(ISNUMBER($AW1050),$AW1050/100,"")</f>
        <v/>
      </c>
      <c r="DC1050" s="82">
        <f>IF(ISNUMBER($AX1050),$AX1050/100,"")</f>
        <v/>
      </c>
      <c r="DD1050" s="77">
        <f>IFERROR(VALUE(LEFT(TRIM($AO1050&amp;""),4)),"")</f>
        <v/>
      </c>
      <c r="DE1050" s="78">
        <f>IF(AND($BY1050=1,$BX1050=1,OR(fDeal="All Deals",$BU1050=fDeal),OR(fEntity="All Entities",$BV1050=fEntity),OR(fPType="All Property Types",$BZ1050=fPType),OR(fDefeased="Include",$CJ1050=0)),1,0)</f>
        <v/>
      </c>
      <c r="DF1050" s="83">
        <f>$DE1050*N($I1050)</f>
        <v/>
      </c>
      <c r="DG1050" s="78">
        <f>IF($DE1050=1,IF(COUNTIFS($F$8:$F1050,$F1050,$DE$8:$DE1050,1)=1,1,0),0)</f>
        <v/>
      </c>
      <c r="DH1050" s="83">
        <f>IF($DG1050=1,SUMIFS($DF$8:$DF$1600,$F$8:$F$1600,$F1050),0)</f>
        <v/>
      </c>
      <c r="DI1050" s="78">
        <f>IF($DG1050=1,COUNTIFS($F$8:$F$1600,$F1050,$DE$8:$DE$1600,1),0)</f>
        <v/>
      </c>
      <c r="DJ1050" s="84">
        <f>IF($DG1050=1,$DH1050+(100000-ROW())/mTieBreak,0)</f>
        <v/>
      </c>
    </row>
    <row r="1051">
      <c r="B1051" s="68" t="n">
        <v>4</v>
      </c>
      <c r="C1051" s="69" t="inlineStr">
        <is>
          <t>GS217GS6</t>
        </is>
      </c>
      <c r="D1051" s="69" t="inlineStr">
        <is>
          <t>4.000</t>
        </is>
      </c>
      <c r="E1051" s="69" t="inlineStr">
        <is>
          <t>U.S. Industrial Portfolio</t>
        </is>
      </c>
      <c r="F1051" s="69" t="inlineStr">
        <is>
          <t>SPLIT_LOAN_00865</t>
        </is>
      </c>
      <c r="G1051" s="70" t="n">
        <v>865</v>
      </c>
      <c r="H1051" s="71" t="n">
        <v>72640000</v>
      </c>
      <c r="I1051" s="71" t="n">
        <v>0</v>
      </c>
      <c r="J1051" s="72" t="n">
        <v>3.974</v>
      </c>
      <c r="K1051" s="69" t="inlineStr">
        <is>
          <t>Fixed rate</t>
        </is>
      </c>
      <c r="L1051" s="68" t="n">
        <v>120</v>
      </c>
      <c r="M1051" s="68" t="n"/>
      <c r="N1051" s="68" t="n">
        <v>608</v>
      </c>
      <c r="O1051" s="68" t="n"/>
      <c r="P1051" s="68" t="n"/>
      <c r="Q1051" s="68" t="n"/>
      <c r="R1051" s="69" t="inlineStr">
        <is>
          <t>Sched</t>
        </is>
      </c>
      <c r="S1051" s="69" t="inlineStr">
        <is>
          <t>No</t>
        </is>
      </c>
      <c r="T1051" s="73" t="n">
        <v>42614</v>
      </c>
      <c r="U1051" s="73" t="n">
        <v>46269</v>
      </c>
      <c r="V1051" s="73" t="n"/>
      <c r="W1051" s="69" t="n"/>
      <c r="X1051" s="69" t="inlineStr">
        <is>
          <t>Current</t>
        </is>
      </c>
      <c r="Y1051" s="68" t="n"/>
      <c r="Z1051" s="69" t="inlineStr">
        <is>
          <t>Full Defeasance</t>
        </is>
      </c>
      <c r="AA1051" s="69" t="inlineStr">
        <is>
          <t>Previously</t>
        </is>
      </c>
      <c r="AB1051" s="69" t="inlineStr">
        <is>
          <t>Never special serv</t>
        </is>
      </c>
      <c r="AC1051" s="73" t="n"/>
      <c r="AD1051" s="69" t="n"/>
      <c r="AE1051" s="69" t="n"/>
      <c r="AF1051" s="69" t="inlineStr">
        <is>
          <t>CA-26.263486661% IL-14.231970471% GA-10.493564262% MI-8.290743889% AZ-7.027257236% OH-5.489305309% SC-4.301533214% NC-3.708830212% KY-3.661508613% FL-3.317244001% CO-2.862956652% TX-2.732822266% MN-2.093980688% NY-2.058489500% NJ-1.632595110% MO-1.029244750% IN-0.804467166%</t>
        </is>
      </c>
      <c r="AG1051" s="69" t="n"/>
      <c r="AH1051" s="69" t="inlineStr">
        <is>
          <t>Los Angeles-Long Beach-Anaheim, CA-22.832670837% Chicago-Naperville-Elgin, IL-IN-14.231970471% Atlanta-Sandy Springs-Roswell, GA-8.411413970% Detroit-Warren-Dearborn, MI-8.290743889% Phoenix-Mesa-Chandler, AZ-7.027257236% Winston-Salem, NC-3.708830212% Cleveland, OH-3.442646220% Sacramento-Roseville-Folsom, CA-3.430815824% Denver-Aurora-Centennial, CO-2.862956652% Louisville/Jefferson County, KY-IN-2.638179068% Greenville-Anderson-Greer, SC-2.574294906% Minneapolis-St. Paul-Bloomington, MN-WI-2.093980688% Savannah, GA-2.082150292% Rochester, NY-2.058489500% Dallas-Fort Worth-Arlington, TX-1.892863897% Charleston-North Charleston, SC-1.727238308% Philadelphia-Camden-Wilmington, PA-NJ-DE-MD-1.632595110% Pensacola-Ferry Pass-Brent, FL-1.230361542% St. Louis, MO-IL-1.029244750% Mayfield, KY-1.023329545% Tampa-St. Petersburg-Clearwater, FL-0.932235476% Ocala, FL-0.645939806% Tallahassee, FL-0.508707177% Longview, TX-0.496876781% Corpus Christi, TX-0.343081588%</t>
        </is>
      </c>
      <c r="AI1051" s="69" t="inlineStr">
        <is>
          <t>Midwest / Central East-26.769827747% West / Pacific South-22.832670837% South / Atlantic-21.821171689% West / Mountain-9.890213888% Northeast / Mid-Atlantic-3.691084610% South / Central East-3.661508613% West / Pacific North-3.430815824% Midwest / Central West-3.123225438% South / Central West-2.732822266%</t>
        </is>
      </c>
      <c r="AJ1051" s="69" t="inlineStr">
        <is>
          <t>IN</t>
        </is>
      </c>
      <c r="AK1051" s="69" t="n"/>
      <c r="AL1051" s="68" t="n">
        <v>39</v>
      </c>
      <c r="AM1051" s="68" t="n"/>
      <c r="AN1051" s="68" t="n">
        <v>6298728</v>
      </c>
      <c r="AO1051" s="69" t="n"/>
      <c r="AP1051" s="70" t="n">
        <v>2015</v>
      </c>
      <c r="AQ1051" s="74" t="n">
        <v>2.14</v>
      </c>
      <c r="AR1051" s="74" t="n">
        <v>2.34</v>
      </c>
      <c r="AS1051" s="74" t="n">
        <v>67.25</v>
      </c>
      <c r="AT1051" s="74" t="n"/>
      <c r="AU1051" s="74" t="n">
        <v>64.17</v>
      </c>
      <c r="AV1051" s="74" t="n">
        <v>9.615859063</v>
      </c>
      <c r="AW1051" s="74" t="n"/>
      <c r="AX1051" s="75" t="n">
        <v>100</v>
      </c>
      <c r="AY1051" s="71" t="n">
        <v>456000000</v>
      </c>
      <c r="AZ1051" s="71" t="n">
        <v>422640000</v>
      </c>
      <c r="BA1051" s="71" t="n">
        <v>29582228.82</v>
      </c>
      <c r="BB1051" s="71" t="n">
        <v>24622804.32</v>
      </c>
      <c r="BC1051" s="69" t="inlineStr">
        <is>
          <t>Recapitalization</t>
        </is>
      </c>
      <c r="BD1051" s="69" t="inlineStr">
        <is>
          <t>N</t>
        </is>
      </c>
      <c r="BE1051" s="71" t="n">
        <v>0</v>
      </c>
      <c r="BF1051" s="71" t="n"/>
      <c r="BG1051" s="71" t="n"/>
      <c r="BH1051" s="71" t="n">
        <v>0</v>
      </c>
      <c r="BI1051" s="71" t="n">
        <v>0</v>
      </c>
      <c r="BJ1051" s="69" t="inlineStr">
        <is>
          <t>N</t>
        </is>
      </c>
      <c r="BK1051" s="69" t="inlineStr">
        <is>
          <t>World's Finest Chocolate Inc.</t>
        </is>
      </c>
      <c r="BL1051" s="75" t="n">
        <v>22.02</v>
      </c>
      <c r="BM1051" s="73" t="n">
        <v>46599</v>
      </c>
      <c r="BN1051" s="69" t="inlineStr">
        <is>
          <t>Michael W. Brennan, Robert G. Vanecko, Scott D. McKibben, Samuel A. Mandarino, Allen Crosswell, Tod Greenwood and Troy MacMane</t>
        </is>
      </c>
      <c r="BO1051" s="69" t="inlineStr">
        <is>
          <t>Goldman Sachs</t>
        </is>
      </c>
      <c r="BP1051" s="69" t="inlineStr">
        <is>
          <t>Midland Loan Services</t>
        </is>
      </c>
      <c r="BQ1051" s="69" t="inlineStr">
        <is>
          <t>Rialto Capital</t>
        </is>
      </c>
      <c r="BR1051" s="69" t="inlineStr">
        <is>
          <t>Full Payoff At Maturity</t>
        </is>
      </c>
      <c r="BS1051" s="73" t="n">
        <v>46181</v>
      </c>
      <c r="BU1051" s="76">
        <f>IF($C1051="","",IFERROR(INDEX(dmName,MATCH($C1051,dmID,0)),"Unmapped"))</f>
        <v/>
      </c>
      <c r="BV1051" s="76">
        <f>IF($C1051="","",IFERROR(INDEX(dmEntity,MATCH($C1051,dmID,0)),"Unmapped"))</f>
        <v/>
      </c>
      <c r="BW1051" s="77">
        <f>IF($C1051="","",IFERROR(INDEX(dmVintage,MATCH($C1051,dmID,0)),""))</f>
        <v/>
      </c>
      <c r="BX1051" s="78">
        <f>IFERROR(INDEX(dmInclude,MATCH($C1051,dmID,0)),0)</f>
        <v/>
      </c>
      <c r="BY1051" s="78">
        <f>IF(N($I1051)&gt;0,1,0)</f>
        <v/>
      </c>
      <c r="BZ1051" s="76">
        <f>IF($AJ1051="","Other / Leased Fee",IFERROR(INDEX(mapPTGroup,MATCH(LEFT(TRIM($AJ1051),2),mapPTCode,0)),"Other / Leased Fee"))</f>
        <v/>
      </c>
      <c r="CA1051" s="76">
        <f>IF(TRIM($AF1051&amp;"")="","NR",LEFT(TRIM($AF1051),2))</f>
        <v/>
      </c>
      <c r="CB1051" s="76">
        <f>IFERROR(LOOKUP(2,1/(LEFT(TRIM($AI1051&amp;""),LEN(mapRegion))=mapRegion),mapRegion),"Not Reported")</f>
        <v/>
      </c>
      <c r="CC1051" s="76">
        <f>IF($BY1051=0,"",IF(TRIM($W1051&amp;"")="REO","REO",IF(TRIM($W1051&amp;"")="FC","Foreclosure",IF(TRIM($W1051&amp;"")="90+","90+ Days Delinquent",IF(TRIM($W1051&amp;"")="60","60 Days Delinquent",IF(TRIM($W1051&amp;"")="30","30 Days Delinquent",IF($X1051="Non-Performing Matured Balloon","Non-Performing Matured Balloon",IF(OR($X1051="Late Payment But Less Than 30 Days Delinquent",LEFT($X1051&amp;"",20)="Payment Not Received"),"Late / In Grace (&lt;30 Days)",IF($X1051="Performing Matured Balloon","Performing Matured Balloon","Current")))))))))</f>
        <v/>
      </c>
      <c r="CD1051" s="78">
        <f>IF(OR($CC1051="REO",$CC1051="Foreclosure",$CC1051="90+ Days Delinquent",$CC1051="60 Days Delinquent",$CC1051="30 Days Delinquent",$CC1051="Non-Performing Matured Balloon"),1,0)</f>
        <v/>
      </c>
      <c r="CE1051" s="76">
        <f>IF($AB1051="Currently special serv","Currently Specially Serviced",IF($AB1051="Returned to master serv","Previously Specially Serviced","Never Specially Serviced"))</f>
        <v/>
      </c>
      <c r="CF1051" s="78">
        <f>IF($CE1051="Currently Specially Serviced",1,0)</f>
        <v/>
      </c>
      <c r="CG1051" s="76">
        <f>IF($AA1051="Yes","Currently on Watchlist",IF($AA1051="Previously","Previously on Watchlist","Never on Watchlist"))</f>
        <v/>
      </c>
      <c r="CH1051" s="78">
        <f>IF($CG1051="Currently on Watchlist",1,0)</f>
        <v/>
      </c>
      <c r="CI1051" s="76">
        <f>IF($Z1051="Full Defeasance","Fully Defeased",IF($Z1051="Portion Of Loan Previously Defeased","Partially Defeased",IF($Z1051="Defeasance Not Allowable","Not Defeased (Not Permitted)","Not Defeased")))</f>
        <v/>
      </c>
      <c r="CJ1051" s="78">
        <f>IF($CI1051="Fully Defeased",1,0)</f>
        <v/>
      </c>
      <c r="CK1051" s="76">
        <f>IF($R1051="IO","Full IO",IF(LEFT($R1051&amp;"",7)="IO then","Partial IO","Amortizing"))</f>
        <v/>
      </c>
      <c r="CL1051" s="78">
        <f>IF($CK1051="Full IO",1,0)</f>
        <v/>
      </c>
      <c r="CM1051" s="78">
        <f>IF($CK1051="Partial IO",1,0)</f>
        <v/>
      </c>
      <c r="CN1051" s="76">
        <f>IF(LEFT($F1051&amp;"",10)="SPLIT_LOAN","Pari Passu Split","Standalone")</f>
        <v/>
      </c>
      <c r="CO1051" s="78">
        <f>IF($CN1051="Pari Passu Split",1,0)</f>
        <v/>
      </c>
      <c r="CP1051" s="77">
        <f>IF(ISNUMBER($T1051),YEAR($T1051),"")</f>
        <v/>
      </c>
      <c r="CQ1051" s="79">
        <f>IF(ISNUMBER($V1051),$V1051,IF(ISNUMBER($U1051),$U1051,""))</f>
        <v/>
      </c>
      <c r="CR1051" s="77">
        <f>IF(ISNUMBER($CQ1051),YEAR($CQ1051),"")</f>
        <v/>
      </c>
      <c r="CS1051" s="78">
        <f>IF(ISNUMBER($M1051),MAX(0,$M1051),IF(TRIM($M1051&amp;"")="matured",0,""))</f>
        <v/>
      </c>
      <c r="CT1051" s="78">
        <f>IF(AND(ISNUMBER($CS1051),N($CS1051)&lt;=mMatWindow),1,0)</f>
        <v/>
      </c>
      <c r="CU1051" s="80">
        <f>IF(ISNUMBER($J1051),$J1051/100,"")</f>
        <v/>
      </c>
      <c r="CV1051" s="81">
        <f>IF(ISNUMBER($AQ1051),$AQ1051,"")</f>
        <v/>
      </c>
      <c r="CW1051" s="81">
        <f>IF(ISNUMBER($AR1051),$AR1051,"")</f>
        <v/>
      </c>
      <c r="CX1051" s="82">
        <f>IF(ISNUMBER($AS1051),$AS1051/100,"")</f>
        <v/>
      </c>
      <c r="CY1051" s="82">
        <f>IF(ISNUMBER($AT1051),$AT1051/100,"")</f>
        <v/>
      </c>
      <c r="CZ1051" s="82">
        <f>IF(ISNUMBER($AU1051),$AU1051/100,"")</f>
        <v/>
      </c>
      <c r="DA1051" s="82">
        <f>IF(ISNUMBER($AV1051),$AV1051/100,"")</f>
        <v/>
      </c>
      <c r="DB1051" s="82">
        <f>IF(ISNUMBER($AW1051),$AW1051/100,"")</f>
        <v/>
      </c>
      <c r="DC1051" s="82">
        <f>IF(ISNUMBER($AX1051),$AX1051/100,"")</f>
        <v/>
      </c>
      <c r="DD1051" s="77">
        <f>IFERROR(VALUE(LEFT(TRIM($AO1051&amp;""),4)),"")</f>
        <v/>
      </c>
      <c r="DE1051" s="78">
        <f>IF(AND($BY1051=1,$BX1051=1,OR(fDeal="All Deals",$BU1051=fDeal),OR(fEntity="All Entities",$BV1051=fEntity),OR(fPType="All Property Types",$BZ1051=fPType),OR(fDefeased="Include",$CJ1051=0)),1,0)</f>
        <v/>
      </c>
      <c r="DF1051" s="83">
        <f>$DE1051*N($I1051)</f>
        <v/>
      </c>
      <c r="DG1051" s="78">
        <f>IF($DE1051=1,IF(COUNTIFS($F$8:$F1051,$F1051,$DE$8:$DE1051,1)=1,1,0),0)</f>
        <v/>
      </c>
      <c r="DH1051" s="83">
        <f>IF($DG1051=1,SUMIFS($DF$8:$DF$1600,$F$8:$F$1600,$F1051),0)</f>
        <v/>
      </c>
      <c r="DI1051" s="78">
        <f>IF($DG1051=1,COUNTIFS($F$8:$F$1600,$F1051,$DE$8:$DE$1600,1),0)</f>
        <v/>
      </c>
      <c r="DJ1051" s="84">
        <f>IF($DG1051=1,$DH1051+(100000-ROW())/mTieBreak,0)</f>
        <v/>
      </c>
    </row>
    <row r="1052">
      <c r="B1052" s="68" t="n">
        <v>5</v>
      </c>
      <c r="C1052" s="69" t="inlineStr">
        <is>
          <t>GS217GS6</t>
        </is>
      </c>
      <c r="D1052" s="69" t="inlineStr">
        <is>
          <t>5.000</t>
        </is>
      </c>
      <c r="E1052" s="69" t="inlineStr">
        <is>
          <t>GSK R&amp;D Centre</t>
        </is>
      </c>
      <c r="F1052" s="69" t="inlineStr">
        <is>
          <t>SPLIT_LOAN_00949</t>
        </is>
      </c>
      <c r="G1052" s="70" t="n">
        <v>949</v>
      </c>
      <c r="H1052" s="71" t="n">
        <v>65500000</v>
      </c>
      <c r="I1052" s="71" t="n">
        <v>65500000</v>
      </c>
      <c r="J1052" s="72" t="n">
        <v>3.945</v>
      </c>
      <c r="K1052" s="69" t="inlineStr">
        <is>
          <t>Fixed rate</t>
        </is>
      </c>
      <c r="L1052" s="68" t="n">
        <v>120</v>
      </c>
      <c r="M1052" s="68" t="n">
        <v>4</v>
      </c>
      <c r="N1052" s="68" t="n">
        <v>120</v>
      </c>
      <c r="O1052" s="68" t="n">
        <v>120</v>
      </c>
      <c r="P1052" s="68" t="n">
        <v>4</v>
      </c>
      <c r="Q1052" s="68" t="n">
        <v>116</v>
      </c>
      <c r="R1052" s="69" t="inlineStr">
        <is>
          <t>IO</t>
        </is>
      </c>
      <c r="S1052" s="69" t="inlineStr">
        <is>
          <t>Yes</t>
        </is>
      </c>
      <c r="T1052" s="73" t="n">
        <v>42736</v>
      </c>
      <c r="U1052" s="73" t="n">
        <v>46393</v>
      </c>
      <c r="V1052" s="73" t="n"/>
      <c r="W1052" s="69" t="n"/>
      <c r="X1052" s="69" t="inlineStr">
        <is>
          <t>Late Payment But Less Than 30 Days Delinquent</t>
        </is>
      </c>
      <c r="Y1052" s="68" t="n"/>
      <c r="Z1052" s="69" t="inlineStr">
        <is>
          <t>No Defeasance Occurred</t>
        </is>
      </c>
      <c r="AA1052" s="69" t="inlineStr">
        <is>
          <t>Previously</t>
        </is>
      </c>
      <c r="AB1052" s="69" t="inlineStr">
        <is>
          <t>Currently special serv</t>
        </is>
      </c>
      <c r="AC1052" s="73" t="n">
        <v>46112</v>
      </c>
      <c r="AD1052" s="69" t="inlineStr">
        <is>
          <t>Imminent Monetary Default (Single Tenant Bankruptcy/Vacate)</t>
        </is>
      </c>
      <c r="AE1052" s="69" t="inlineStr">
        <is>
          <t>Other</t>
        </is>
      </c>
      <c r="AF1052" s="69" t="inlineStr">
        <is>
          <t>MD</t>
        </is>
      </c>
      <c r="AG1052" s="69" t="inlineStr">
        <is>
          <t>Rockville</t>
        </is>
      </c>
      <c r="AH1052" s="69" t="inlineStr">
        <is>
          <t>Washington-Arlington-Alexandria, DC-VA-MD-WV</t>
        </is>
      </c>
      <c r="AI1052" s="69" t="inlineStr">
        <is>
          <t>South / Atlantic</t>
        </is>
      </c>
      <c r="AJ1052" s="69" t="inlineStr">
        <is>
          <t>MX</t>
        </is>
      </c>
      <c r="AK1052" s="69" t="inlineStr">
        <is>
          <t>Office/R&amp;D</t>
        </is>
      </c>
      <c r="AL1052" s="68" t="n">
        <v>1</v>
      </c>
      <c r="AM1052" s="68" t="n"/>
      <c r="AN1052" s="68" t="n">
        <v>635058</v>
      </c>
      <c r="AO1052" s="69" t="inlineStr">
        <is>
          <t>2003</t>
        </is>
      </c>
      <c r="AP1052" s="70" t="n">
        <v>2016</v>
      </c>
      <c r="AQ1052" s="74" t="n">
        <v>4.74</v>
      </c>
      <c r="AR1052" s="74" t="n">
        <v>5.04</v>
      </c>
      <c r="AS1052" s="74" t="n">
        <v>39.94</v>
      </c>
      <c r="AT1052" s="74" t="n">
        <v>39.94</v>
      </c>
      <c r="AU1052" s="74" t="n">
        <v>39.94</v>
      </c>
      <c r="AV1052" s="74" t="n">
        <v>18.957952899</v>
      </c>
      <c r="AW1052" s="74" t="n">
        <v>20.144285674</v>
      </c>
      <c r="AX1052" s="75" t="n">
        <v>100</v>
      </c>
      <c r="AY1052" s="71" t="n">
        <v>345500000</v>
      </c>
      <c r="AZ1052" s="71" t="n">
        <v>345500000</v>
      </c>
      <c r="BA1052" s="71" t="n">
        <v>26161975</v>
      </c>
      <c r="BB1052" s="71" t="n">
        <v>6992604.44</v>
      </c>
      <c r="BC1052" s="69" t="inlineStr">
        <is>
          <t>Acquisition</t>
        </is>
      </c>
      <c r="BD1052" s="69" t="inlineStr">
        <is>
          <t>N</t>
        </is>
      </c>
      <c r="BE1052" s="71" t="n">
        <v>72500000</v>
      </c>
      <c r="BF1052" s="71" t="n"/>
      <c r="BG1052" s="71" t="n"/>
      <c r="BH1052" s="71" t="n">
        <v>0</v>
      </c>
      <c r="BI1052" s="71" t="n">
        <v>222226.95</v>
      </c>
      <c r="BJ1052" s="69" t="inlineStr">
        <is>
          <t>N</t>
        </is>
      </c>
      <c r="BK1052" s="69" t="inlineStr">
        <is>
          <t>Human Gerome Sciences</t>
        </is>
      </c>
      <c r="BL1052" s="75" t="n">
        <v>100</v>
      </c>
      <c r="BM1052" s="73" t="n">
        <v>46173</v>
      </c>
      <c r="BN1052" s="69" t="inlineStr">
        <is>
          <t>DataCore Fund L.P.</t>
        </is>
      </c>
      <c r="BO1052" s="69" t="inlineStr">
        <is>
          <t>Goldman Sachs</t>
        </is>
      </c>
      <c r="BP1052" s="69" t="inlineStr">
        <is>
          <t>Midland Loan Services</t>
        </is>
      </c>
      <c r="BQ1052" s="69" t="inlineStr">
        <is>
          <t>Rialto Capital</t>
        </is>
      </c>
      <c r="BR1052" s="69" t="n"/>
      <c r="BS1052" s="73" t="n">
        <v>46273</v>
      </c>
      <c r="BU1052" s="76">
        <f>IF($C1052="","",IFERROR(INDEX(dmName,MATCH($C1052,dmID,0)),"Unmapped"))</f>
        <v/>
      </c>
      <c r="BV1052" s="76">
        <f>IF($C1052="","",IFERROR(INDEX(dmEntity,MATCH($C1052,dmID,0)),"Unmapped"))</f>
        <v/>
      </c>
      <c r="BW1052" s="77">
        <f>IF($C1052="","",IFERROR(INDEX(dmVintage,MATCH($C1052,dmID,0)),""))</f>
        <v/>
      </c>
      <c r="BX1052" s="78">
        <f>IFERROR(INDEX(dmInclude,MATCH($C1052,dmID,0)),0)</f>
        <v/>
      </c>
      <c r="BY1052" s="78">
        <f>IF(N($I1052)&gt;0,1,0)</f>
        <v/>
      </c>
      <c r="BZ1052" s="76">
        <f>IF($AJ1052="","Other / Leased Fee",IFERROR(INDEX(mapPTGroup,MATCH(LEFT(TRIM($AJ1052),2),mapPTCode,0)),"Other / Leased Fee"))</f>
        <v/>
      </c>
      <c r="CA1052" s="76">
        <f>IF(TRIM($AF1052&amp;"")="","NR",LEFT(TRIM($AF1052),2))</f>
        <v/>
      </c>
      <c r="CB1052" s="76">
        <f>IFERROR(LOOKUP(2,1/(LEFT(TRIM($AI1052&amp;""),LEN(mapRegion))=mapRegion),mapRegion),"Not Reported")</f>
        <v/>
      </c>
      <c r="CC1052" s="76">
        <f>IF($BY1052=0,"",IF(TRIM($W1052&amp;"")="REO","REO",IF(TRIM($W1052&amp;"")="FC","Foreclosure",IF(TRIM($W1052&amp;"")="90+","90+ Days Delinquent",IF(TRIM($W1052&amp;"")="60","60 Days Delinquent",IF(TRIM($W1052&amp;"")="30","30 Days Delinquent",IF($X1052="Non-Performing Matured Balloon","Non-Performing Matured Balloon",IF(OR($X1052="Late Payment But Less Than 30 Days Delinquent",LEFT($X1052&amp;"",20)="Payment Not Received"),"Late / In Grace (&lt;30 Days)",IF($X1052="Performing Matured Balloon","Performing Matured Balloon","Current")))))))))</f>
        <v/>
      </c>
      <c r="CD1052" s="78">
        <f>IF(OR($CC1052="REO",$CC1052="Foreclosure",$CC1052="90+ Days Delinquent",$CC1052="60 Days Delinquent",$CC1052="30 Days Delinquent",$CC1052="Non-Performing Matured Balloon"),1,0)</f>
        <v/>
      </c>
      <c r="CE1052" s="76">
        <f>IF($AB1052="Currently special serv","Currently Specially Serviced",IF($AB1052="Returned to master serv","Previously Specially Serviced","Never Specially Serviced"))</f>
        <v/>
      </c>
      <c r="CF1052" s="78">
        <f>IF($CE1052="Currently Specially Serviced",1,0)</f>
        <v/>
      </c>
      <c r="CG1052" s="76">
        <f>IF($AA1052="Yes","Currently on Watchlist",IF($AA1052="Previously","Previously on Watchlist","Never on Watchlist"))</f>
        <v/>
      </c>
      <c r="CH1052" s="78">
        <f>IF($CG1052="Currently on Watchlist",1,0)</f>
        <v/>
      </c>
      <c r="CI1052" s="76">
        <f>IF($Z1052="Full Defeasance","Fully Defeased",IF($Z1052="Portion Of Loan Previously Defeased","Partially Defeased",IF($Z1052="Defeasance Not Allowable","Not Defeased (Not Permitted)","Not Defeased")))</f>
        <v/>
      </c>
      <c r="CJ1052" s="78">
        <f>IF($CI1052="Fully Defeased",1,0)</f>
        <v/>
      </c>
      <c r="CK1052" s="76">
        <f>IF($R1052="IO","Full IO",IF(LEFT($R1052&amp;"",7)="IO then","Partial IO","Amortizing"))</f>
        <v/>
      </c>
      <c r="CL1052" s="78">
        <f>IF($CK1052="Full IO",1,0)</f>
        <v/>
      </c>
      <c r="CM1052" s="78">
        <f>IF($CK1052="Partial IO",1,0)</f>
        <v/>
      </c>
      <c r="CN1052" s="76">
        <f>IF(LEFT($F1052&amp;"",10)="SPLIT_LOAN","Pari Passu Split","Standalone")</f>
        <v/>
      </c>
      <c r="CO1052" s="78">
        <f>IF($CN1052="Pari Passu Split",1,0)</f>
        <v/>
      </c>
      <c r="CP1052" s="77">
        <f>IF(ISNUMBER($T1052),YEAR($T1052),"")</f>
        <v/>
      </c>
      <c r="CQ1052" s="79">
        <f>IF(ISNUMBER($V1052),$V1052,IF(ISNUMBER($U1052),$U1052,""))</f>
        <v/>
      </c>
      <c r="CR1052" s="77">
        <f>IF(ISNUMBER($CQ1052),YEAR($CQ1052),"")</f>
        <v/>
      </c>
      <c r="CS1052" s="78">
        <f>IF(ISNUMBER($M1052),MAX(0,$M1052),IF(TRIM($M1052&amp;"")="matured",0,""))</f>
        <v/>
      </c>
      <c r="CT1052" s="78">
        <f>IF(AND(ISNUMBER($CS1052),N($CS1052)&lt;=mMatWindow),1,0)</f>
        <v/>
      </c>
      <c r="CU1052" s="80">
        <f>IF(ISNUMBER($J1052),$J1052/100,"")</f>
        <v/>
      </c>
      <c r="CV1052" s="81">
        <f>IF(ISNUMBER($AQ1052),$AQ1052,"")</f>
        <v/>
      </c>
      <c r="CW1052" s="81">
        <f>IF(ISNUMBER($AR1052),$AR1052,"")</f>
        <v/>
      </c>
      <c r="CX1052" s="82">
        <f>IF(ISNUMBER($AS1052),$AS1052/100,"")</f>
        <v/>
      </c>
      <c r="CY1052" s="82">
        <f>IF(ISNUMBER($AT1052),$AT1052/100,"")</f>
        <v/>
      </c>
      <c r="CZ1052" s="82">
        <f>IF(ISNUMBER($AU1052),$AU1052/100,"")</f>
        <v/>
      </c>
      <c r="DA1052" s="82">
        <f>IF(ISNUMBER($AV1052),$AV1052/100,"")</f>
        <v/>
      </c>
      <c r="DB1052" s="82">
        <f>IF(ISNUMBER($AW1052),$AW1052/100,"")</f>
        <v/>
      </c>
      <c r="DC1052" s="82">
        <f>IF(ISNUMBER($AX1052),$AX1052/100,"")</f>
        <v/>
      </c>
      <c r="DD1052" s="77">
        <f>IFERROR(VALUE(LEFT(TRIM($AO1052&amp;""),4)),"")</f>
        <v/>
      </c>
      <c r="DE1052" s="78">
        <f>IF(AND($BY1052=1,$BX1052=1,OR(fDeal="All Deals",$BU1052=fDeal),OR(fEntity="All Entities",$BV1052=fEntity),OR(fPType="All Property Types",$BZ1052=fPType),OR(fDefeased="Include",$CJ1052=0)),1,0)</f>
        <v/>
      </c>
      <c r="DF1052" s="83">
        <f>$DE1052*N($I1052)</f>
        <v/>
      </c>
      <c r="DG1052" s="78">
        <f>IF($DE1052=1,IF(COUNTIFS($F$8:$F1052,$F1052,$DE$8:$DE1052,1)=1,1,0),0)</f>
        <v/>
      </c>
      <c r="DH1052" s="83">
        <f>IF($DG1052=1,SUMIFS($DF$8:$DF$1600,$F$8:$F$1600,$F1052),0)</f>
        <v/>
      </c>
      <c r="DI1052" s="78">
        <f>IF($DG1052=1,COUNTIFS($F$8:$F$1600,$F1052,$DE$8:$DE$1600,1),0)</f>
        <v/>
      </c>
      <c r="DJ1052" s="84">
        <f>IF($DG1052=1,$DH1052+(100000-ROW())/mTieBreak,0)</f>
        <v/>
      </c>
    </row>
    <row r="1053">
      <c r="B1053" s="68" t="n">
        <v>6</v>
      </c>
      <c r="C1053" s="69" t="inlineStr">
        <is>
          <t>GS217GS6</t>
        </is>
      </c>
      <c r="D1053" s="69" t="inlineStr">
        <is>
          <t>6.000</t>
        </is>
      </c>
      <c r="E1053" s="69" t="inlineStr">
        <is>
          <t>CH2M Global Headquarters</t>
        </is>
      </c>
      <c r="F1053" s="69" t="inlineStr">
        <is>
          <t>SPLIT_LOAN_00985</t>
        </is>
      </c>
      <c r="G1053" s="70" t="n">
        <v>985</v>
      </c>
      <c r="H1053" s="71" t="n">
        <v>60000000</v>
      </c>
      <c r="I1053" s="71" t="n">
        <v>55835394.46002</v>
      </c>
      <c r="J1053" s="72" t="n">
        <v>4.846</v>
      </c>
      <c r="K1053" s="69" t="inlineStr">
        <is>
          <t>Fixed rate</t>
        </is>
      </c>
      <c r="L1053" s="68" t="n">
        <v>120</v>
      </c>
      <c r="M1053" s="68" t="n">
        <v>7</v>
      </c>
      <c r="N1053" s="68" t="n">
        <v>420</v>
      </c>
      <c r="O1053" s="68" t="n">
        <v>60</v>
      </c>
      <c r="P1053" s="68" t="n">
        <v>0</v>
      </c>
      <c r="Q1053" s="68" t="n">
        <v>113</v>
      </c>
      <c r="R1053" s="69" t="inlineStr">
        <is>
          <t>IO then Amort</t>
        </is>
      </c>
      <c r="S1053" s="69" t="inlineStr">
        <is>
          <t>No</t>
        </is>
      </c>
      <c r="T1053" s="73" t="n">
        <v>42826</v>
      </c>
      <c r="U1053" s="73" t="n">
        <v>46483</v>
      </c>
      <c r="V1053" s="73" t="n"/>
      <c r="W1053" s="69" t="n"/>
      <c r="X1053" s="69" t="inlineStr">
        <is>
          <t>Current</t>
        </is>
      </c>
      <c r="Y1053" s="68" t="n"/>
      <c r="Z1053" s="69" t="inlineStr">
        <is>
          <t>Defeasance Not Allowable</t>
        </is>
      </c>
      <c r="AA1053" s="69" t="inlineStr">
        <is>
          <t>Yes</t>
        </is>
      </c>
      <c r="AB1053" s="69" t="inlineStr">
        <is>
          <t>Never special serv</t>
        </is>
      </c>
      <c r="AC1053" s="73" t="n"/>
      <c r="AD1053" s="69" t="n"/>
      <c r="AE1053" s="69" t="n"/>
      <c r="AF1053" s="69" t="inlineStr">
        <is>
          <t>CO</t>
        </is>
      </c>
      <c r="AG1053" s="69" t="inlineStr">
        <is>
          <t>Englewood</t>
        </is>
      </c>
      <c r="AH1053" s="69" t="inlineStr">
        <is>
          <t>Denver-Aurora-Centennial, CO</t>
        </is>
      </c>
      <c r="AI1053" s="69" t="inlineStr">
        <is>
          <t>West / Mountain</t>
        </is>
      </c>
      <c r="AJ1053" s="69" t="inlineStr">
        <is>
          <t>OF</t>
        </is>
      </c>
      <c r="AK1053" s="69" t="inlineStr">
        <is>
          <t>Suburban</t>
        </is>
      </c>
      <c r="AL1053" s="68" t="n">
        <v>1</v>
      </c>
      <c r="AM1053" s="68" t="n"/>
      <c r="AN1053" s="68" t="n">
        <v>370485</v>
      </c>
      <c r="AO1053" s="69" t="inlineStr">
        <is>
          <t>2002</t>
        </is>
      </c>
      <c r="AP1053" s="70" t="n">
        <v>2017</v>
      </c>
      <c r="AQ1053" s="74" t="n">
        <v>1.36</v>
      </c>
      <c r="AR1053" s="74" t="n">
        <v>1.36</v>
      </c>
      <c r="AS1053" s="74" t="n">
        <v>65.47</v>
      </c>
      <c r="AT1053" s="74" t="n">
        <v>60.92</v>
      </c>
      <c r="AU1053" s="74" t="n">
        <v>60.24</v>
      </c>
      <c r="AV1053" s="74" t="n">
        <v>8.582246138</v>
      </c>
      <c r="AW1053" s="74" t="n">
        <v>8.809705685000001</v>
      </c>
      <c r="AX1053" s="75" t="n">
        <v>100</v>
      </c>
      <c r="AY1053" s="71" t="n">
        <v>122200000</v>
      </c>
      <c r="AZ1053" s="71" t="n">
        <v>122200000</v>
      </c>
      <c r="BA1053" s="71" t="n">
        <v>6865796.91</v>
      </c>
      <c r="BB1053" s="71" t="n">
        <v>1726682.33</v>
      </c>
      <c r="BC1053" s="69" t="inlineStr">
        <is>
          <t>Acquisition</t>
        </is>
      </c>
      <c r="BD1053" s="69" t="inlineStr">
        <is>
          <t>N</t>
        </is>
      </c>
      <c r="BE1053" s="71" t="n">
        <v>18611798.15</v>
      </c>
      <c r="BF1053" s="71" t="n"/>
      <c r="BG1053" s="71" t="n"/>
      <c r="BH1053" s="71" t="n">
        <v>0</v>
      </c>
      <c r="BI1053" s="71" t="n">
        <v>0</v>
      </c>
      <c r="BJ1053" s="69" t="inlineStr">
        <is>
          <t>N</t>
        </is>
      </c>
      <c r="BK1053" s="69" t="inlineStr">
        <is>
          <t>CH2M Global Headquarters</t>
        </is>
      </c>
      <c r="BL1053" s="75" t="n">
        <v>100</v>
      </c>
      <c r="BM1053" s="73" t="n">
        <v>48487</v>
      </c>
      <c r="BN1053" s="69" t="inlineStr">
        <is>
          <t>AG Net Lease III (SO) Corp. and AG Net Lease III Corp.</t>
        </is>
      </c>
      <c r="BO1053" s="69" t="inlineStr">
        <is>
          <t>Goldman Sachs</t>
        </is>
      </c>
      <c r="BP1053" s="69" t="inlineStr">
        <is>
          <t>Midland Loan Services</t>
        </is>
      </c>
      <c r="BQ1053" s="69" t="inlineStr">
        <is>
          <t>K-Star Asset Management LLC</t>
        </is>
      </c>
      <c r="BR1053" s="69" t="n"/>
      <c r="BS1053" s="73" t="n">
        <v>46273</v>
      </c>
      <c r="BU1053" s="76">
        <f>IF($C1053="","",IFERROR(INDEX(dmName,MATCH($C1053,dmID,0)),"Unmapped"))</f>
        <v/>
      </c>
      <c r="BV1053" s="76">
        <f>IF($C1053="","",IFERROR(INDEX(dmEntity,MATCH($C1053,dmID,0)),"Unmapped"))</f>
        <v/>
      </c>
      <c r="BW1053" s="77">
        <f>IF($C1053="","",IFERROR(INDEX(dmVintage,MATCH($C1053,dmID,0)),""))</f>
        <v/>
      </c>
      <c r="BX1053" s="78">
        <f>IFERROR(INDEX(dmInclude,MATCH($C1053,dmID,0)),0)</f>
        <v/>
      </c>
      <c r="BY1053" s="78">
        <f>IF(N($I1053)&gt;0,1,0)</f>
        <v/>
      </c>
      <c r="BZ1053" s="76">
        <f>IF($AJ1053="","Other / Leased Fee",IFERROR(INDEX(mapPTGroup,MATCH(LEFT(TRIM($AJ1053),2),mapPTCode,0)),"Other / Leased Fee"))</f>
        <v/>
      </c>
      <c r="CA1053" s="76">
        <f>IF(TRIM($AF1053&amp;"")="","NR",LEFT(TRIM($AF1053),2))</f>
        <v/>
      </c>
      <c r="CB1053" s="76">
        <f>IFERROR(LOOKUP(2,1/(LEFT(TRIM($AI1053&amp;""),LEN(mapRegion))=mapRegion),mapRegion),"Not Reported")</f>
        <v/>
      </c>
      <c r="CC1053" s="76">
        <f>IF($BY1053=0,"",IF(TRIM($W1053&amp;"")="REO","REO",IF(TRIM($W1053&amp;"")="FC","Foreclosure",IF(TRIM($W1053&amp;"")="90+","90+ Days Delinquent",IF(TRIM($W1053&amp;"")="60","60 Days Delinquent",IF(TRIM($W1053&amp;"")="30","30 Days Delinquent",IF($X1053="Non-Performing Matured Balloon","Non-Performing Matured Balloon",IF(OR($X1053="Late Payment But Less Than 30 Days Delinquent",LEFT($X1053&amp;"",20)="Payment Not Received"),"Late / In Grace (&lt;30 Days)",IF($X1053="Performing Matured Balloon","Performing Matured Balloon","Current")))))))))</f>
        <v/>
      </c>
      <c r="CD1053" s="78">
        <f>IF(OR($CC1053="REO",$CC1053="Foreclosure",$CC1053="90+ Days Delinquent",$CC1053="60 Days Delinquent",$CC1053="30 Days Delinquent",$CC1053="Non-Performing Matured Balloon"),1,0)</f>
        <v/>
      </c>
      <c r="CE1053" s="76">
        <f>IF($AB1053="Currently special serv","Currently Specially Serviced",IF($AB1053="Returned to master serv","Previously Specially Serviced","Never Specially Serviced"))</f>
        <v/>
      </c>
      <c r="CF1053" s="78">
        <f>IF($CE1053="Currently Specially Serviced",1,0)</f>
        <v/>
      </c>
      <c r="CG1053" s="76">
        <f>IF($AA1053="Yes","Currently on Watchlist",IF($AA1053="Previously","Previously on Watchlist","Never on Watchlist"))</f>
        <v/>
      </c>
      <c r="CH1053" s="78">
        <f>IF($CG1053="Currently on Watchlist",1,0)</f>
        <v/>
      </c>
      <c r="CI1053" s="76">
        <f>IF($Z1053="Full Defeasance","Fully Defeased",IF($Z1053="Portion Of Loan Previously Defeased","Partially Defeased",IF($Z1053="Defeasance Not Allowable","Not Defeased (Not Permitted)","Not Defeased")))</f>
        <v/>
      </c>
      <c r="CJ1053" s="78">
        <f>IF($CI1053="Fully Defeased",1,0)</f>
        <v/>
      </c>
      <c r="CK1053" s="76">
        <f>IF($R1053="IO","Full IO",IF(LEFT($R1053&amp;"",7)="IO then","Partial IO","Amortizing"))</f>
        <v/>
      </c>
      <c r="CL1053" s="78">
        <f>IF($CK1053="Full IO",1,0)</f>
        <v/>
      </c>
      <c r="CM1053" s="78">
        <f>IF($CK1053="Partial IO",1,0)</f>
        <v/>
      </c>
      <c r="CN1053" s="76">
        <f>IF(LEFT($F1053&amp;"",10)="SPLIT_LOAN","Pari Passu Split","Standalone")</f>
        <v/>
      </c>
      <c r="CO1053" s="78">
        <f>IF($CN1053="Pari Passu Split",1,0)</f>
        <v/>
      </c>
      <c r="CP1053" s="77">
        <f>IF(ISNUMBER($T1053),YEAR($T1053),"")</f>
        <v/>
      </c>
      <c r="CQ1053" s="79">
        <f>IF(ISNUMBER($V1053),$V1053,IF(ISNUMBER($U1053),$U1053,""))</f>
        <v/>
      </c>
      <c r="CR1053" s="77">
        <f>IF(ISNUMBER($CQ1053),YEAR($CQ1053),"")</f>
        <v/>
      </c>
      <c r="CS1053" s="78">
        <f>IF(ISNUMBER($M1053),MAX(0,$M1053),IF(TRIM($M1053&amp;"")="matured",0,""))</f>
        <v/>
      </c>
      <c r="CT1053" s="78">
        <f>IF(AND(ISNUMBER($CS1053),N($CS1053)&lt;=mMatWindow),1,0)</f>
        <v/>
      </c>
      <c r="CU1053" s="80">
        <f>IF(ISNUMBER($J1053),$J1053/100,"")</f>
        <v/>
      </c>
      <c r="CV1053" s="81">
        <f>IF(ISNUMBER($AQ1053),$AQ1053,"")</f>
        <v/>
      </c>
      <c r="CW1053" s="81">
        <f>IF(ISNUMBER($AR1053),$AR1053,"")</f>
        <v/>
      </c>
      <c r="CX1053" s="82">
        <f>IF(ISNUMBER($AS1053),$AS1053/100,"")</f>
        <v/>
      </c>
      <c r="CY1053" s="82">
        <f>IF(ISNUMBER($AT1053),$AT1053/100,"")</f>
        <v/>
      </c>
      <c r="CZ1053" s="82">
        <f>IF(ISNUMBER($AU1053),$AU1053/100,"")</f>
        <v/>
      </c>
      <c r="DA1053" s="82">
        <f>IF(ISNUMBER($AV1053),$AV1053/100,"")</f>
        <v/>
      </c>
      <c r="DB1053" s="82">
        <f>IF(ISNUMBER($AW1053),$AW1053/100,"")</f>
        <v/>
      </c>
      <c r="DC1053" s="82">
        <f>IF(ISNUMBER($AX1053),$AX1053/100,"")</f>
        <v/>
      </c>
      <c r="DD1053" s="77">
        <f>IFERROR(VALUE(LEFT(TRIM($AO1053&amp;""),4)),"")</f>
        <v/>
      </c>
      <c r="DE1053" s="78">
        <f>IF(AND($BY1053=1,$BX1053=1,OR(fDeal="All Deals",$BU1053=fDeal),OR(fEntity="All Entities",$BV1053=fEntity),OR(fPType="All Property Types",$BZ1053=fPType),OR(fDefeased="Include",$CJ1053=0)),1,0)</f>
        <v/>
      </c>
      <c r="DF1053" s="83">
        <f>$DE1053*N($I1053)</f>
        <v/>
      </c>
      <c r="DG1053" s="78">
        <f>IF($DE1053=1,IF(COUNTIFS($F$8:$F1053,$F1053,$DE$8:$DE1053,1)=1,1,0),0)</f>
        <v/>
      </c>
      <c r="DH1053" s="83">
        <f>IF($DG1053=1,SUMIFS($DF$8:$DF$1600,$F$8:$F$1600,$F1053),0)</f>
        <v/>
      </c>
      <c r="DI1053" s="78">
        <f>IF($DG1053=1,COUNTIFS($F$8:$F$1600,$F1053,$DE$8:$DE$1600,1),0)</f>
        <v/>
      </c>
      <c r="DJ1053" s="84">
        <f>IF($DG1053=1,$DH1053+(100000-ROW())/mTieBreak,0)</f>
        <v/>
      </c>
    </row>
    <row r="1054">
      <c r="B1054" s="68" t="n">
        <v>7</v>
      </c>
      <c r="C1054" s="69" t="inlineStr">
        <is>
          <t>GS217GS6</t>
        </is>
      </c>
      <c r="D1054" s="69" t="inlineStr">
        <is>
          <t>7.000</t>
        </is>
      </c>
      <c r="E1054" s="69" t="inlineStr">
        <is>
          <t>Mack-Cali Short Hills Office Portfolio</t>
        </is>
      </c>
      <c r="F1054" s="69" t="inlineStr">
        <is>
          <t>SPLIT_LOAN_00964</t>
        </is>
      </c>
      <c r="G1054" s="70" t="n">
        <v>964</v>
      </c>
      <c r="H1054" s="71" t="n">
        <v>49800000</v>
      </c>
      <c r="I1054" s="71" t="n">
        <v>49800000</v>
      </c>
      <c r="J1054" s="72" t="n">
        <v>4.06</v>
      </c>
      <c r="K1054" s="69" t="inlineStr">
        <is>
          <t>Fixed rate</t>
        </is>
      </c>
      <c r="L1054" s="68" t="n">
        <v>117</v>
      </c>
      <c r="M1054" s="68" t="n">
        <v>4</v>
      </c>
      <c r="N1054" s="68" t="n">
        <v>120</v>
      </c>
      <c r="O1054" s="68" t="n">
        <v>117</v>
      </c>
      <c r="P1054" s="68" t="n">
        <v>4</v>
      </c>
      <c r="Q1054" s="68" t="n">
        <v>113</v>
      </c>
      <c r="R1054" s="69" t="inlineStr">
        <is>
          <t>IO</t>
        </is>
      </c>
      <c r="S1054" s="69" t="inlineStr">
        <is>
          <t>Yes</t>
        </is>
      </c>
      <c r="T1054" s="73" t="n">
        <v>42826</v>
      </c>
      <c r="U1054" s="73" t="n">
        <v>46388</v>
      </c>
      <c r="V1054" s="73" t="n"/>
      <c r="W1054" s="69" t="n"/>
      <c r="X1054" s="69" t="inlineStr">
        <is>
          <t>Current</t>
        </is>
      </c>
      <c r="Y1054" s="68" t="n"/>
      <c r="Z1054" s="69" t="inlineStr">
        <is>
          <t>Full Defeasance</t>
        </is>
      </c>
      <c r="AA1054" s="69" t="n"/>
      <c r="AB1054" s="69" t="inlineStr">
        <is>
          <t>Never special serv</t>
        </is>
      </c>
      <c r="AC1054" s="73" t="n"/>
      <c r="AD1054" s="69" t="n"/>
      <c r="AE1054" s="69" t="n"/>
      <c r="AF1054" s="69" t="inlineStr">
        <is>
          <t>NJ</t>
        </is>
      </c>
      <c r="AG1054" s="69" t="n"/>
      <c r="AH1054" s="69" t="inlineStr">
        <is>
          <t>New York-Newark-Jersey City, NY-NJ</t>
        </is>
      </c>
      <c r="AI1054" s="69" t="inlineStr">
        <is>
          <t>Northeast / Mid-Atlantic</t>
        </is>
      </c>
      <c r="AJ1054" s="69" t="inlineStr">
        <is>
          <t>OF</t>
        </is>
      </c>
      <c r="AK1054" s="69" t="inlineStr">
        <is>
          <t>Suburban</t>
        </is>
      </c>
      <c r="AL1054" s="68" t="n">
        <v>3</v>
      </c>
      <c r="AM1054" s="68" t="n"/>
      <c r="AN1054" s="68" t="n">
        <v>572168</v>
      </c>
      <c r="AO1054" s="69" t="n"/>
      <c r="AP1054" s="70" t="n">
        <v>1988</v>
      </c>
      <c r="AQ1054" s="74" t="n">
        <v>3.28</v>
      </c>
      <c r="AR1054" s="74" t="n">
        <v>2.96</v>
      </c>
      <c r="AS1054" s="74" t="n">
        <v>45.11</v>
      </c>
      <c r="AT1054" s="74" t="n">
        <v>45.11</v>
      </c>
      <c r="AU1054" s="74" t="n">
        <v>45.11</v>
      </c>
      <c r="AV1054" s="74" t="n">
        <v>13.50158241</v>
      </c>
      <c r="AW1054" s="74" t="n">
        <v>12.202088602</v>
      </c>
      <c r="AX1054" s="75" t="n">
        <v>98</v>
      </c>
      <c r="AY1054" s="71" t="n">
        <v>276000000</v>
      </c>
      <c r="AZ1054" s="71" t="n">
        <v>276000000</v>
      </c>
      <c r="BA1054" s="71" t="n">
        <v>16809470.1</v>
      </c>
      <c r="BB1054" s="71" t="n">
        <v>15191600.31</v>
      </c>
      <c r="BC1054" s="69" t="inlineStr">
        <is>
          <t>Acquisition</t>
        </is>
      </c>
      <c r="BD1054" s="69" t="inlineStr">
        <is>
          <t>N</t>
        </is>
      </c>
      <c r="BE1054" s="71" t="n">
        <v>74700000</v>
      </c>
      <c r="BF1054" s="71" t="n"/>
      <c r="BG1054" s="71" t="n"/>
      <c r="BH1054" s="71" t="n">
        <v>0</v>
      </c>
      <c r="BI1054" s="71" t="n">
        <v>0</v>
      </c>
      <c r="BJ1054" s="69" t="inlineStr">
        <is>
          <t>N</t>
        </is>
      </c>
      <c r="BK1054" s="69" t="n"/>
      <c r="BL1054" s="75" t="n"/>
      <c r="BM1054" s="73" t="n"/>
      <c r="BN1054" s="69" t="inlineStr">
        <is>
          <t>Mack-Cali Realty, L.P.</t>
        </is>
      </c>
      <c r="BO1054" s="69" t="inlineStr">
        <is>
          <t>Goldman Sachs</t>
        </is>
      </c>
      <c r="BP1054" s="69" t="inlineStr">
        <is>
          <t>Midland Loan Services</t>
        </is>
      </c>
      <c r="BQ1054" s="69" t="inlineStr">
        <is>
          <t>Rialto Capital</t>
        </is>
      </c>
      <c r="BR1054" s="69" t="n"/>
      <c r="BS1054" s="73" t="n">
        <v>46273</v>
      </c>
      <c r="BU1054" s="76">
        <f>IF($C1054="","",IFERROR(INDEX(dmName,MATCH($C1054,dmID,0)),"Unmapped"))</f>
        <v/>
      </c>
      <c r="BV1054" s="76">
        <f>IF($C1054="","",IFERROR(INDEX(dmEntity,MATCH($C1054,dmID,0)),"Unmapped"))</f>
        <v/>
      </c>
      <c r="BW1054" s="77">
        <f>IF($C1054="","",IFERROR(INDEX(dmVintage,MATCH($C1054,dmID,0)),""))</f>
        <v/>
      </c>
      <c r="BX1054" s="78">
        <f>IFERROR(INDEX(dmInclude,MATCH($C1054,dmID,0)),0)</f>
        <v/>
      </c>
      <c r="BY1054" s="78">
        <f>IF(N($I1054)&gt;0,1,0)</f>
        <v/>
      </c>
      <c r="BZ1054" s="76">
        <f>IF($AJ1054="","Other / Leased Fee",IFERROR(INDEX(mapPTGroup,MATCH(LEFT(TRIM($AJ1054),2),mapPTCode,0)),"Other / Leased Fee"))</f>
        <v/>
      </c>
      <c r="CA1054" s="76">
        <f>IF(TRIM($AF1054&amp;"")="","NR",LEFT(TRIM($AF1054),2))</f>
        <v/>
      </c>
      <c r="CB1054" s="76">
        <f>IFERROR(LOOKUP(2,1/(LEFT(TRIM($AI1054&amp;""),LEN(mapRegion))=mapRegion),mapRegion),"Not Reported")</f>
        <v/>
      </c>
      <c r="CC1054" s="76">
        <f>IF($BY1054=0,"",IF(TRIM($W1054&amp;"")="REO","REO",IF(TRIM($W1054&amp;"")="FC","Foreclosure",IF(TRIM($W1054&amp;"")="90+","90+ Days Delinquent",IF(TRIM($W1054&amp;"")="60","60 Days Delinquent",IF(TRIM($W1054&amp;"")="30","30 Days Delinquent",IF($X1054="Non-Performing Matured Balloon","Non-Performing Matured Balloon",IF(OR($X1054="Late Payment But Less Than 30 Days Delinquent",LEFT($X1054&amp;"",20)="Payment Not Received"),"Late / In Grace (&lt;30 Days)",IF($X1054="Performing Matured Balloon","Performing Matured Balloon","Current")))))))))</f>
        <v/>
      </c>
      <c r="CD1054" s="78">
        <f>IF(OR($CC1054="REO",$CC1054="Foreclosure",$CC1054="90+ Days Delinquent",$CC1054="60 Days Delinquent",$CC1054="30 Days Delinquent",$CC1054="Non-Performing Matured Balloon"),1,0)</f>
        <v/>
      </c>
      <c r="CE1054" s="76">
        <f>IF($AB1054="Currently special serv","Currently Specially Serviced",IF($AB1054="Returned to master serv","Previously Specially Serviced","Never Specially Serviced"))</f>
        <v/>
      </c>
      <c r="CF1054" s="78">
        <f>IF($CE1054="Currently Specially Serviced",1,0)</f>
        <v/>
      </c>
      <c r="CG1054" s="76">
        <f>IF($AA1054="Yes","Currently on Watchlist",IF($AA1054="Previously","Previously on Watchlist","Never on Watchlist"))</f>
        <v/>
      </c>
      <c r="CH1054" s="78">
        <f>IF($CG1054="Currently on Watchlist",1,0)</f>
        <v/>
      </c>
      <c r="CI1054" s="76">
        <f>IF($Z1054="Full Defeasance","Fully Defeased",IF($Z1054="Portion Of Loan Previously Defeased","Partially Defeased",IF($Z1054="Defeasance Not Allowable","Not Defeased (Not Permitted)","Not Defeased")))</f>
        <v/>
      </c>
      <c r="CJ1054" s="78">
        <f>IF($CI1054="Fully Defeased",1,0)</f>
        <v/>
      </c>
      <c r="CK1054" s="76">
        <f>IF($R1054="IO","Full IO",IF(LEFT($R1054&amp;"",7)="IO then","Partial IO","Amortizing"))</f>
        <v/>
      </c>
      <c r="CL1054" s="78">
        <f>IF($CK1054="Full IO",1,0)</f>
        <v/>
      </c>
      <c r="CM1054" s="78">
        <f>IF($CK1054="Partial IO",1,0)</f>
        <v/>
      </c>
      <c r="CN1054" s="76">
        <f>IF(LEFT($F1054&amp;"",10)="SPLIT_LOAN","Pari Passu Split","Standalone")</f>
        <v/>
      </c>
      <c r="CO1054" s="78">
        <f>IF($CN1054="Pari Passu Split",1,0)</f>
        <v/>
      </c>
      <c r="CP1054" s="77">
        <f>IF(ISNUMBER($T1054),YEAR($T1054),"")</f>
        <v/>
      </c>
      <c r="CQ1054" s="79">
        <f>IF(ISNUMBER($V1054),$V1054,IF(ISNUMBER($U1054),$U1054,""))</f>
        <v/>
      </c>
      <c r="CR1054" s="77">
        <f>IF(ISNUMBER($CQ1054),YEAR($CQ1054),"")</f>
        <v/>
      </c>
      <c r="CS1054" s="78">
        <f>IF(ISNUMBER($M1054),MAX(0,$M1054),IF(TRIM($M1054&amp;"")="matured",0,""))</f>
        <v/>
      </c>
      <c r="CT1054" s="78">
        <f>IF(AND(ISNUMBER($CS1054),N($CS1054)&lt;=mMatWindow),1,0)</f>
        <v/>
      </c>
      <c r="CU1054" s="80">
        <f>IF(ISNUMBER($J1054),$J1054/100,"")</f>
        <v/>
      </c>
      <c r="CV1054" s="81">
        <f>IF(ISNUMBER($AQ1054),$AQ1054,"")</f>
        <v/>
      </c>
      <c r="CW1054" s="81">
        <f>IF(ISNUMBER($AR1054),$AR1054,"")</f>
        <v/>
      </c>
      <c r="CX1054" s="82">
        <f>IF(ISNUMBER($AS1054),$AS1054/100,"")</f>
        <v/>
      </c>
      <c r="CY1054" s="82">
        <f>IF(ISNUMBER($AT1054),$AT1054/100,"")</f>
        <v/>
      </c>
      <c r="CZ1054" s="82">
        <f>IF(ISNUMBER($AU1054),$AU1054/100,"")</f>
        <v/>
      </c>
      <c r="DA1054" s="82">
        <f>IF(ISNUMBER($AV1054),$AV1054/100,"")</f>
        <v/>
      </c>
      <c r="DB1054" s="82">
        <f>IF(ISNUMBER($AW1054),$AW1054/100,"")</f>
        <v/>
      </c>
      <c r="DC1054" s="82">
        <f>IF(ISNUMBER($AX1054),$AX1054/100,"")</f>
        <v/>
      </c>
      <c r="DD1054" s="77">
        <f>IFERROR(VALUE(LEFT(TRIM($AO1054&amp;""),4)),"")</f>
        <v/>
      </c>
      <c r="DE1054" s="78">
        <f>IF(AND($BY1054=1,$BX1054=1,OR(fDeal="All Deals",$BU1054=fDeal),OR(fEntity="All Entities",$BV1054=fEntity),OR(fPType="All Property Types",$BZ1054=fPType),OR(fDefeased="Include",$CJ1054=0)),1,0)</f>
        <v/>
      </c>
      <c r="DF1054" s="83">
        <f>$DE1054*N($I1054)</f>
        <v/>
      </c>
      <c r="DG1054" s="78">
        <f>IF($DE1054=1,IF(COUNTIFS($F$8:$F1054,$F1054,$DE$8:$DE1054,1)=1,1,0),0)</f>
        <v/>
      </c>
      <c r="DH1054" s="83">
        <f>IF($DG1054=1,SUMIFS($DF$8:$DF$1600,$F$8:$F$1600,$F1054),0)</f>
        <v/>
      </c>
      <c r="DI1054" s="78">
        <f>IF($DG1054=1,COUNTIFS($F$8:$F$1600,$F1054,$DE$8:$DE$1600,1),0)</f>
        <v/>
      </c>
      <c r="DJ1054" s="84">
        <f>IF($DG1054=1,$DH1054+(100000-ROW())/mTieBreak,0)</f>
        <v/>
      </c>
    </row>
    <row r="1055">
      <c r="B1055" s="68" t="n">
        <v>8</v>
      </c>
      <c r="C1055" s="69" t="inlineStr">
        <is>
          <t>GS217GS6</t>
        </is>
      </c>
      <c r="D1055" s="69" t="inlineStr">
        <is>
          <t>8.000</t>
        </is>
      </c>
      <c r="E1055" s="69" t="inlineStr">
        <is>
          <t>Redlands Town Center</t>
        </is>
      </c>
      <c r="F1055" s="69" t="inlineStr">
        <is>
          <t>LNGS217GS6-8.000</t>
        </is>
      </c>
      <c r="G1055" s="70" t="n"/>
      <c r="H1055" s="71" t="n">
        <v>46500000</v>
      </c>
      <c r="I1055" s="71" t="n">
        <v>46500000</v>
      </c>
      <c r="J1055" s="72" t="n">
        <v>4.65</v>
      </c>
      <c r="K1055" s="69" t="inlineStr">
        <is>
          <t>Fixed rate</t>
        </is>
      </c>
      <c r="L1055" s="68" t="n">
        <v>120</v>
      </c>
      <c r="M1055" s="68" t="n">
        <v>8</v>
      </c>
      <c r="N1055" s="68" t="n">
        <v>120</v>
      </c>
      <c r="O1055" s="68" t="n">
        <v>120</v>
      </c>
      <c r="P1055" s="68" t="n">
        <v>8</v>
      </c>
      <c r="Q1055" s="68" t="n">
        <v>112</v>
      </c>
      <c r="R1055" s="69" t="inlineStr">
        <is>
          <t>IO</t>
        </is>
      </c>
      <c r="S1055" s="69" t="inlineStr">
        <is>
          <t>Yes</t>
        </is>
      </c>
      <c r="T1055" s="73" t="n">
        <v>42856</v>
      </c>
      <c r="U1055" s="73" t="n">
        <v>46513</v>
      </c>
      <c r="V1055" s="73" t="n"/>
      <c r="W1055" s="69" t="n"/>
      <c r="X1055" s="69" t="inlineStr">
        <is>
          <t>Current</t>
        </is>
      </c>
      <c r="Y1055" s="68" t="n"/>
      <c r="Z1055" s="69" t="inlineStr">
        <is>
          <t>Full Defeasance</t>
        </is>
      </c>
      <c r="AA1055" s="69" t="inlineStr">
        <is>
          <t>Previously</t>
        </is>
      </c>
      <c r="AB1055" s="69" t="inlineStr">
        <is>
          <t>Never special serv</t>
        </is>
      </c>
      <c r="AC1055" s="73" t="n"/>
      <c r="AD1055" s="69" t="n"/>
      <c r="AE1055" s="69" t="n"/>
      <c r="AF1055" s="69" t="inlineStr">
        <is>
          <t>CA</t>
        </is>
      </c>
      <c r="AG1055" s="69" t="inlineStr">
        <is>
          <t>Redlands</t>
        </is>
      </c>
      <c r="AH1055" s="69" t="inlineStr">
        <is>
          <t>Riverside-San Bernardino-Ontario, CA</t>
        </is>
      </c>
      <c r="AI1055" s="69" t="inlineStr">
        <is>
          <t>West / Pacific South</t>
        </is>
      </c>
      <c r="AJ1055" s="69" t="inlineStr">
        <is>
          <t>RT</t>
        </is>
      </c>
      <c r="AK1055" s="69" t="inlineStr">
        <is>
          <t>Anchored</t>
        </is>
      </c>
      <c r="AL1055" s="68" t="n">
        <v>1</v>
      </c>
      <c r="AM1055" s="68" t="n"/>
      <c r="AN1055" s="68" t="n">
        <v>251621</v>
      </c>
      <c r="AO1055" s="69" t="inlineStr">
        <is>
          <t>2007</t>
        </is>
      </c>
      <c r="AP1055" s="70" t="n">
        <v>2007</v>
      </c>
      <c r="AQ1055" s="74" t="n">
        <v>1.92</v>
      </c>
      <c r="AR1055" s="74" t="n">
        <v>2.37</v>
      </c>
      <c r="AS1055" s="74" t="n">
        <v>62.84</v>
      </c>
      <c r="AT1055" s="74" t="n">
        <v>62.84</v>
      </c>
      <c r="AU1055" s="74" t="n">
        <v>62</v>
      </c>
      <c r="AV1055" s="74" t="n">
        <v>9.062296882</v>
      </c>
      <c r="AW1055" s="74" t="n">
        <v>11.144656946</v>
      </c>
      <c r="AX1055" s="75" t="n">
        <v>100</v>
      </c>
      <c r="AY1055" s="71" t="n">
        <v>74000000</v>
      </c>
      <c r="AZ1055" s="71" t="n">
        <v>74000000</v>
      </c>
      <c r="BA1055" s="71" t="n">
        <v>4213968.05</v>
      </c>
      <c r="BB1055" s="71" t="n">
        <v>5182265.48</v>
      </c>
      <c r="BC1055" s="69" t="inlineStr">
        <is>
          <t>Refinance</t>
        </is>
      </c>
      <c r="BD1055" s="69" t="inlineStr">
        <is>
          <t>N</t>
        </is>
      </c>
      <c r="BE1055" s="71" t="n"/>
      <c r="BF1055" s="71" t="n"/>
      <c r="BG1055" s="71" t="n"/>
      <c r="BH1055" s="71" t="n">
        <v>0</v>
      </c>
      <c r="BI1055" s="71" t="n">
        <v>0</v>
      </c>
      <c r="BJ1055" s="69" t="inlineStr">
        <is>
          <t>N</t>
        </is>
      </c>
      <c r="BK1055" s="69" t="inlineStr">
        <is>
          <t>J.C. Penney Properties</t>
        </is>
      </c>
      <c r="BL1055" s="75" t="n">
        <v>38.85</v>
      </c>
      <c r="BM1055" s="73" t="n">
        <v>46234</v>
      </c>
      <c r="BN1055" s="69" t="inlineStr">
        <is>
          <t>Hugo F. Aviles, Gary C. Otto, Aviles Family Trust Dated 11/7/2003 and The Otto Family Inter Vivos Trust Dated 10/24/2002</t>
        </is>
      </c>
      <c r="BO1055" s="69" t="inlineStr">
        <is>
          <t>Goldman Sachs</t>
        </is>
      </c>
      <c r="BP1055" s="69" t="inlineStr">
        <is>
          <t>Midland Loan Services</t>
        </is>
      </c>
      <c r="BQ1055" s="69" t="inlineStr">
        <is>
          <t>K-Star Asset Management LLC</t>
        </is>
      </c>
      <c r="BR1055" s="69" t="n"/>
      <c r="BS1055" s="73" t="n">
        <v>46273</v>
      </c>
      <c r="BU1055" s="76">
        <f>IF($C1055="","",IFERROR(INDEX(dmName,MATCH($C1055,dmID,0)),"Unmapped"))</f>
        <v/>
      </c>
      <c r="BV1055" s="76">
        <f>IF($C1055="","",IFERROR(INDEX(dmEntity,MATCH($C1055,dmID,0)),"Unmapped"))</f>
        <v/>
      </c>
      <c r="BW1055" s="77">
        <f>IF($C1055="","",IFERROR(INDEX(dmVintage,MATCH($C1055,dmID,0)),""))</f>
        <v/>
      </c>
      <c r="BX1055" s="78">
        <f>IFERROR(INDEX(dmInclude,MATCH($C1055,dmID,0)),0)</f>
        <v/>
      </c>
      <c r="BY1055" s="78">
        <f>IF(N($I1055)&gt;0,1,0)</f>
        <v/>
      </c>
      <c r="BZ1055" s="76">
        <f>IF($AJ1055="","Other / Leased Fee",IFERROR(INDEX(mapPTGroup,MATCH(LEFT(TRIM($AJ1055),2),mapPTCode,0)),"Other / Leased Fee"))</f>
        <v/>
      </c>
      <c r="CA1055" s="76">
        <f>IF(TRIM($AF1055&amp;"")="","NR",LEFT(TRIM($AF1055),2))</f>
        <v/>
      </c>
      <c r="CB1055" s="76">
        <f>IFERROR(LOOKUP(2,1/(LEFT(TRIM($AI1055&amp;""),LEN(mapRegion))=mapRegion),mapRegion),"Not Reported")</f>
        <v/>
      </c>
      <c r="CC1055" s="76">
        <f>IF($BY1055=0,"",IF(TRIM($W1055&amp;"")="REO","REO",IF(TRIM($W1055&amp;"")="FC","Foreclosure",IF(TRIM($W1055&amp;"")="90+","90+ Days Delinquent",IF(TRIM($W1055&amp;"")="60","60 Days Delinquent",IF(TRIM($W1055&amp;"")="30","30 Days Delinquent",IF($X1055="Non-Performing Matured Balloon","Non-Performing Matured Balloon",IF(OR($X1055="Late Payment But Less Than 30 Days Delinquent",LEFT($X1055&amp;"",20)="Payment Not Received"),"Late / In Grace (&lt;30 Days)",IF($X1055="Performing Matured Balloon","Performing Matured Balloon","Current")))))))))</f>
        <v/>
      </c>
      <c r="CD1055" s="78">
        <f>IF(OR($CC1055="REO",$CC1055="Foreclosure",$CC1055="90+ Days Delinquent",$CC1055="60 Days Delinquent",$CC1055="30 Days Delinquent",$CC1055="Non-Performing Matured Balloon"),1,0)</f>
        <v/>
      </c>
      <c r="CE1055" s="76">
        <f>IF($AB1055="Currently special serv","Currently Specially Serviced",IF($AB1055="Returned to master serv","Previously Specially Serviced","Never Specially Serviced"))</f>
        <v/>
      </c>
      <c r="CF1055" s="78">
        <f>IF($CE1055="Currently Specially Serviced",1,0)</f>
        <v/>
      </c>
      <c r="CG1055" s="76">
        <f>IF($AA1055="Yes","Currently on Watchlist",IF($AA1055="Previously","Previously on Watchlist","Never on Watchlist"))</f>
        <v/>
      </c>
      <c r="CH1055" s="78">
        <f>IF($CG1055="Currently on Watchlist",1,0)</f>
        <v/>
      </c>
      <c r="CI1055" s="76">
        <f>IF($Z1055="Full Defeasance","Fully Defeased",IF($Z1055="Portion Of Loan Previously Defeased","Partially Defeased",IF($Z1055="Defeasance Not Allowable","Not Defeased (Not Permitted)","Not Defeased")))</f>
        <v/>
      </c>
      <c r="CJ1055" s="78">
        <f>IF($CI1055="Fully Defeased",1,0)</f>
        <v/>
      </c>
      <c r="CK1055" s="76">
        <f>IF($R1055="IO","Full IO",IF(LEFT($R1055&amp;"",7)="IO then","Partial IO","Amortizing"))</f>
        <v/>
      </c>
      <c r="CL1055" s="78">
        <f>IF($CK1055="Full IO",1,0)</f>
        <v/>
      </c>
      <c r="CM1055" s="78">
        <f>IF($CK1055="Partial IO",1,0)</f>
        <v/>
      </c>
      <c r="CN1055" s="76">
        <f>IF(LEFT($F1055&amp;"",10)="SPLIT_LOAN","Pari Passu Split","Standalone")</f>
        <v/>
      </c>
      <c r="CO1055" s="78">
        <f>IF($CN1055="Pari Passu Split",1,0)</f>
        <v/>
      </c>
      <c r="CP1055" s="77">
        <f>IF(ISNUMBER($T1055),YEAR($T1055),"")</f>
        <v/>
      </c>
      <c r="CQ1055" s="79">
        <f>IF(ISNUMBER($V1055),$V1055,IF(ISNUMBER($U1055),$U1055,""))</f>
        <v/>
      </c>
      <c r="CR1055" s="77">
        <f>IF(ISNUMBER($CQ1055),YEAR($CQ1055),"")</f>
        <v/>
      </c>
      <c r="CS1055" s="78">
        <f>IF(ISNUMBER($M1055),MAX(0,$M1055),IF(TRIM($M1055&amp;"")="matured",0,""))</f>
        <v/>
      </c>
      <c r="CT1055" s="78">
        <f>IF(AND(ISNUMBER($CS1055),N($CS1055)&lt;=mMatWindow),1,0)</f>
        <v/>
      </c>
      <c r="CU1055" s="80">
        <f>IF(ISNUMBER($J1055),$J1055/100,"")</f>
        <v/>
      </c>
      <c r="CV1055" s="81">
        <f>IF(ISNUMBER($AQ1055),$AQ1055,"")</f>
        <v/>
      </c>
      <c r="CW1055" s="81">
        <f>IF(ISNUMBER($AR1055),$AR1055,"")</f>
        <v/>
      </c>
      <c r="CX1055" s="82">
        <f>IF(ISNUMBER($AS1055),$AS1055/100,"")</f>
        <v/>
      </c>
      <c r="CY1055" s="82">
        <f>IF(ISNUMBER($AT1055),$AT1055/100,"")</f>
        <v/>
      </c>
      <c r="CZ1055" s="82">
        <f>IF(ISNUMBER($AU1055),$AU1055/100,"")</f>
        <v/>
      </c>
      <c r="DA1055" s="82">
        <f>IF(ISNUMBER($AV1055),$AV1055/100,"")</f>
        <v/>
      </c>
      <c r="DB1055" s="82">
        <f>IF(ISNUMBER($AW1055),$AW1055/100,"")</f>
        <v/>
      </c>
      <c r="DC1055" s="82">
        <f>IF(ISNUMBER($AX1055),$AX1055/100,"")</f>
        <v/>
      </c>
      <c r="DD1055" s="77">
        <f>IFERROR(VALUE(LEFT(TRIM($AO1055&amp;""),4)),"")</f>
        <v/>
      </c>
      <c r="DE1055" s="78">
        <f>IF(AND($BY1055=1,$BX1055=1,OR(fDeal="All Deals",$BU1055=fDeal),OR(fEntity="All Entities",$BV1055=fEntity),OR(fPType="All Property Types",$BZ1055=fPType),OR(fDefeased="Include",$CJ1055=0)),1,0)</f>
        <v/>
      </c>
      <c r="DF1055" s="83">
        <f>$DE1055*N($I1055)</f>
        <v/>
      </c>
      <c r="DG1055" s="78">
        <f>IF($DE1055=1,IF(COUNTIFS($F$8:$F1055,$F1055,$DE$8:$DE1055,1)=1,1,0),0)</f>
        <v/>
      </c>
      <c r="DH1055" s="83">
        <f>IF($DG1055=1,SUMIFS($DF$8:$DF$1600,$F$8:$F$1600,$F1055),0)</f>
        <v/>
      </c>
      <c r="DI1055" s="78">
        <f>IF($DG1055=1,COUNTIFS($F$8:$F$1600,$F1055,$DE$8:$DE$1600,1),0)</f>
        <v/>
      </c>
      <c r="DJ1055" s="84">
        <f>IF($DG1055=1,$DH1055+(100000-ROW())/mTieBreak,0)</f>
        <v/>
      </c>
    </row>
    <row r="1056">
      <c r="B1056" s="68" t="n">
        <v>9</v>
      </c>
      <c r="C1056" s="69" t="inlineStr">
        <is>
          <t>GS217GS6</t>
        </is>
      </c>
      <c r="D1056" s="69" t="inlineStr">
        <is>
          <t>9.000</t>
        </is>
      </c>
      <c r="E1056" s="69" t="inlineStr">
        <is>
          <t>Ericsson North American HQ</t>
        </is>
      </c>
      <c r="F1056" s="69" t="inlineStr">
        <is>
          <t>SPLIT_LOAN_00950</t>
        </is>
      </c>
      <c r="G1056" s="70" t="n">
        <v>950</v>
      </c>
      <c r="H1056" s="71" t="n">
        <v>45600000</v>
      </c>
      <c r="I1056" s="71" t="n">
        <v>40192037.4100152</v>
      </c>
      <c r="J1056" s="72" t="n">
        <v>4.458</v>
      </c>
      <c r="K1056" s="69" t="inlineStr">
        <is>
          <t>Fixed rate</t>
        </is>
      </c>
      <c r="L1056" s="68" t="n">
        <v>120</v>
      </c>
      <c r="M1056" s="68" t="n">
        <v>4</v>
      </c>
      <c r="N1056" s="68" t="n">
        <v>396</v>
      </c>
      <c r="O1056" s="68" t="n">
        <v>36</v>
      </c>
      <c r="P1056" s="68" t="n">
        <v>0</v>
      </c>
      <c r="Q1056" s="68" t="n">
        <v>116</v>
      </c>
      <c r="R1056" s="69" t="inlineStr">
        <is>
          <t>IO then Amort</t>
        </is>
      </c>
      <c r="S1056" s="69" t="inlineStr">
        <is>
          <t>No</t>
        </is>
      </c>
      <c r="T1056" s="73" t="n">
        <v>42736</v>
      </c>
      <c r="U1056" s="73" t="n">
        <v>46393</v>
      </c>
      <c r="V1056" s="73" t="n"/>
      <c r="W1056" s="69" t="n"/>
      <c r="X1056" s="69" t="inlineStr">
        <is>
          <t>Current</t>
        </is>
      </c>
      <c r="Y1056" s="68" t="n"/>
      <c r="Z1056" s="69" t="inlineStr">
        <is>
          <t>No Defeasance Occurred</t>
        </is>
      </c>
      <c r="AA1056" s="69" t="n"/>
      <c r="AB1056" s="69" t="inlineStr">
        <is>
          <t>Never special serv</t>
        </is>
      </c>
      <c r="AC1056" s="73" t="n"/>
      <c r="AD1056" s="69" t="n"/>
      <c r="AE1056" s="69" t="n"/>
      <c r="AF1056" s="69" t="inlineStr">
        <is>
          <t>TX</t>
        </is>
      </c>
      <c r="AG1056" s="69" t="inlineStr">
        <is>
          <t>Plano</t>
        </is>
      </c>
      <c r="AH1056" s="69" t="inlineStr">
        <is>
          <t>Dallas-Fort Worth-Arlington, TX</t>
        </is>
      </c>
      <c r="AI1056" s="69" t="inlineStr">
        <is>
          <t>South / Central West</t>
        </is>
      </c>
      <c r="AJ1056" s="69" t="inlineStr">
        <is>
          <t>OF</t>
        </is>
      </c>
      <c r="AK1056" s="69" t="inlineStr">
        <is>
          <t>Suburban</t>
        </is>
      </c>
      <c r="AL1056" s="68" t="n">
        <v>1</v>
      </c>
      <c r="AM1056" s="68" t="n"/>
      <c r="AN1056" s="68" t="n">
        <v>491891</v>
      </c>
      <c r="AO1056" s="69" t="inlineStr">
        <is>
          <t>2001</t>
        </is>
      </c>
      <c r="AP1056" s="70" t="n">
        <v>2001</v>
      </c>
      <c r="AQ1056" s="74" t="n">
        <v>1.98</v>
      </c>
      <c r="AR1056" s="74" t="n">
        <v>2.01</v>
      </c>
      <c r="AS1056" s="74" t="n">
        <v>69.06999999999999</v>
      </c>
      <c r="AT1056" s="74" t="n">
        <v>60.88</v>
      </c>
      <c r="AU1056" s="74" t="n">
        <v>60.4</v>
      </c>
      <c r="AV1056" s="74" t="n">
        <v>11.977761873</v>
      </c>
      <c r="AW1056" s="74" t="n">
        <v>13.392663232</v>
      </c>
      <c r="AX1056" s="75" t="n">
        <v>100</v>
      </c>
      <c r="AY1056" s="71" t="n">
        <v>150000000</v>
      </c>
      <c r="AZ1056" s="71" t="n">
        <v>150000000</v>
      </c>
      <c r="BA1056" s="71" t="n">
        <v>12408961.3</v>
      </c>
      <c r="BB1056" s="71" t="n">
        <v>12630254</v>
      </c>
      <c r="BC1056" s="69" t="inlineStr">
        <is>
          <t>Acquisition</t>
        </is>
      </c>
      <c r="BD1056" s="69" t="inlineStr">
        <is>
          <t>N</t>
        </is>
      </c>
      <c r="BE1056" s="71" t="n">
        <v>51121451.09</v>
      </c>
      <c r="BF1056" s="71" t="n"/>
      <c r="BG1056" s="71" t="n"/>
      <c r="BH1056" s="71" t="n">
        <v>0</v>
      </c>
      <c r="BI1056" s="71" t="n">
        <v>0</v>
      </c>
      <c r="BJ1056" s="69" t="inlineStr">
        <is>
          <t>N</t>
        </is>
      </c>
      <c r="BK1056" s="69" t="inlineStr">
        <is>
          <t>Ericsson Inc.</t>
        </is>
      </c>
      <c r="BL1056" s="75" t="n">
        <v>100</v>
      </c>
      <c r="BM1056" s="73" t="n">
        <v>48213</v>
      </c>
      <c r="BN1056" s="69" t="inlineStr">
        <is>
          <t>LCN North American Fund II REIT</t>
        </is>
      </c>
      <c r="BO1056" s="69" t="inlineStr">
        <is>
          <t>Goldman Sachs</t>
        </is>
      </c>
      <c r="BP1056" s="69" t="inlineStr">
        <is>
          <t>Midland Loan Services</t>
        </is>
      </c>
      <c r="BQ1056" s="69" t="inlineStr">
        <is>
          <t>Rialto Capital</t>
        </is>
      </c>
      <c r="BR1056" s="69" t="n"/>
      <c r="BS1056" s="73" t="n">
        <v>46273</v>
      </c>
      <c r="BU1056" s="76">
        <f>IF($C1056="","",IFERROR(INDEX(dmName,MATCH($C1056,dmID,0)),"Unmapped"))</f>
        <v/>
      </c>
      <c r="BV1056" s="76">
        <f>IF($C1056="","",IFERROR(INDEX(dmEntity,MATCH($C1056,dmID,0)),"Unmapped"))</f>
        <v/>
      </c>
      <c r="BW1056" s="77">
        <f>IF($C1056="","",IFERROR(INDEX(dmVintage,MATCH($C1056,dmID,0)),""))</f>
        <v/>
      </c>
      <c r="BX1056" s="78">
        <f>IFERROR(INDEX(dmInclude,MATCH($C1056,dmID,0)),0)</f>
        <v/>
      </c>
      <c r="BY1056" s="78">
        <f>IF(N($I1056)&gt;0,1,0)</f>
        <v/>
      </c>
      <c r="BZ1056" s="76">
        <f>IF($AJ1056="","Other / Leased Fee",IFERROR(INDEX(mapPTGroup,MATCH(LEFT(TRIM($AJ1056),2),mapPTCode,0)),"Other / Leased Fee"))</f>
        <v/>
      </c>
      <c r="CA1056" s="76">
        <f>IF(TRIM($AF1056&amp;"")="","NR",LEFT(TRIM($AF1056),2))</f>
        <v/>
      </c>
      <c r="CB1056" s="76">
        <f>IFERROR(LOOKUP(2,1/(LEFT(TRIM($AI1056&amp;""),LEN(mapRegion))=mapRegion),mapRegion),"Not Reported")</f>
        <v/>
      </c>
      <c r="CC1056" s="76">
        <f>IF($BY1056=0,"",IF(TRIM($W1056&amp;"")="REO","REO",IF(TRIM($W1056&amp;"")="FC","Foreclosure",IF(TRIM($W1056&amp;"")="90+","90+ Days Delinquent",IF(TRIM($W1056&amp;"")="60","60 Days Delinquent",IF(TRIM($W1056&amp;"")="30","30 Days Delinquent",IF($X1056="Non-Performing Matured Balloon","Non-Performing Matured Balloon",IF(OR($X1056="Late Payment But Less Than 30 Days Delinquent",LEFT($X1056&amp;"",20)="Payment Not Received"),"Late / In Grace (&lt;30 Days)",IF($X1056="Performing Matured Balloon","Performing Matured Balloon","Current")))))))))</f>
        <v/>
      </c>
      <c r="CD1056" s="78">
        <f>IF(OR($CC1056="REO",$CC1056="Foreclosure",$CC1056="90+ Days Delinquent",$CC1056="60 Days Delinquent",$CC1056="30 Days Delinquent",$CC1056="Non-Performing Matured Balloon"),1,0)</f>
        <v/>
      </c>
      <c r="CE1056" s="76">
        <f>IF($AB1056="Currently special serv","Currently Specially Serviced",IF($AB1056="Returned to master serv","Previously Specially Serviced","Never Specially Serviced"))</f>
        <v/>
      </c>
      <c r="CF1056" s="78">
        <f>IF($CE1056="Currently Specially Serviced",1,0)</f>
        <v/>
      </c>
      <c r="CG1056" s="76">
        <f>IF($AA1056="Yes","Currently on Watchlist",IF($AA1056="Previously","Previously on Watchlist","Never on Watchlist"))</f>
        <v/>
      </c>
      <c r="CH1056" s="78">
        <f>IF($CG1056="Currently on Watchlist",1,0)</f>
        <v/>
      </c>
      <c r="CI1056" s="76">
        <f>IF($Z1056="Full Defeasance","Fully Defeased",IF($Z1056="Portion Of Loan Previously Defeased","Partially Defeased",IF($Z1056="Defeasance Not Allowable","Not Defeased (Not Permitted)","Not Defeased")))</f>
        <v/>
      </c>
      <c r="CJ1056" s="78">
        <f>IF($CI1056="Fully Defeased",1,0)</f>
        <v/>
      </c>
      <c r="CK1056" s="76">
        <f>IF($R1056="IO","Full IO",IF(LEFT($R1056&amp;"",7)="IO then","Partial IO","Amortizing"))</f>
        <v/>
      </c>
      <c r="CL1056" s="78">
        <f>IF($CK1056="Full IO",1,0)</f>
        <v/>
      </c>
      <c r="CM1056" s="78">
        <f>IF($CK1056="Partial IO",1,0)</f>
        <v/>
      </c>
      <c r="CN1056" s="76">
        <f>IF(LEFT($F1056&amp;"",10)="SPLIT_LOAN","Pari Passu Split","Standalone")</f>
        <v/>
      </c>
      <c r="CO1056" s="78">
        <f>IF($CN1056="Pari Passu Split",1,0)</f>
        <v/>
      </c>
      <c r="CP1056" s="77">
        <f>IF(ISNUMBER($T1056),YEAR($T1056),"")</f>
        <v/>
      </c>
      <c r="CQ1056" s="79">
        <f>IF(ISNUMBER($V1056),$V1056,IF(ISNUMBER($U1056),$U1056,""))</f>
        <v/>
      </c>
      <c r="CR1056" s="77">
        <f>IF(ISNUMBER($CQ1056),YEAR($CQ1056),"")</f>
        <v/>
      </c>
      <c r="CS1056" s="78">
        <f>IF(ISNUMBER($M1056),MAX(0,$M1056),IF(TRIM($M1056&amp;"")="matured",0,""))</f>
        <v/>
      </c>
      <c r="CT1056" s="78">
        <f>IF(AND(ISNUMBER($CS1056),N($CS1056)&lt;=mMatWindow),1,0)</f>
        <v/>
      </c>
      <c r="CU1056" s="80">
        <f>IF(ISNUMBER($J1056),$J1056/100,"")</f>
        <v/>
      </c>
      <c r="CV1056" s="81">
        <f>IF(ISNUMBER($AQ1056),$AQ1056,"")</f>
        <v/>
      </c>
      <c r="CW1056" s="81">
        <f>IF(ISNUMBER($AR1056),$AR1056,"")</f>
        <v/>
      </c>
      <c r="CX1056" s="82">
        <f>IF(ISNUMBER($AS1056),$AS1056/100,"")</f>
        <v/>
      </c>
      <c r="CY1056" s="82">
        <f>IF(ISNUMBER($AT1056),$AT1056/100,"")</f>
        <v/>
      </c>
      <c r="CZ1056" s="82">
        <f>IF(ISNUMBER($AU1056),$AU1056/100,"")</f>
        <v/>
      </c>
      <c r="DA1056" s="82">
        <f>IF(ISNUMBER($AV1056),$AV1056/100,"")</f>
        <v/>
      </c>
      <c r="DB1056" s="82">
        <f>IF(ISNUMBER($AW1056),$AW1056/100,"")</f>
        <v/>
      </c>
      <c r="DC1056" s="82">
        <f>IF(ISNUMBER($AX1056),$AX1056/100,"")</f>
        <v/>
      </c>
      <c r="DD1056" s="77">
        <f>IFERROR(VALUE(LEFT(TRIM($AO1056&amp;""),4)),"")</f>
        <v/>
      </c>
      <c r="DE1056" s="78">
        <f>IF(AND($BY1056=1,$BX1056=1,OR(fDeal="All Deals",$BU1056=fDeal),OR(fEntity="All Entities",$BV1056=fEntity),OR(fPType="All Property Types",$BZ1056=fPType),OR(fDefeased="Include",$CJ1056=0)),1,0)</f>
        <v/>
      </c>
      <c r="DF1056" s="83">
        <f>$DE1056*N($I1056)</f>
        <v/>
      </c>
      <c r="DG1056" s="78">
        <f>IF($DE1056=1,IF(COUNTIFS($F$8:$F1056,$F1056,$DE$8:$DE1056,1)=1,1,0),0)</f>
        <v/>
      </c>
      <c r="DH1056" s="83">
        <f>IF($DG1056=1,SUMIFS($DF$8:$DF$1600,$F$8:$F$1600,$F1056),0)</f>
        <v/>
      </c>
      <c r="DI1056" s="78">
        <f>IF($DG1056=1,COUNTIFS($F$8:$F$1600,$F1056,$DE$8:$DE$1600,1),0)</f>
        <v/>
      </c>
      <c r="DJ1056" s="84">
        <f>IF($DG1056=1,$DH1056+(100000-ROW())/mTieBreak,0)</f>
        <v/>
      </c>
    </row>
    <row r="1057">
      <c r="B1057" s="68" t="n">
        <v>10</v>
      </c>
      <c r="C1057" s="69" t="inlineStr">
        <is>
          <t>GS217GS6</t>
        </is>
      </c>
      <c r="D1057" s="69" t="inlineStr">
        <is>
          <t>10.000</t>
        </is>
      </c>
      <c r="E1057" s="69" t="inlineStr">
        <is>
          <t>One West 34th Street</t>
        </is>
      </c>
      <c r="F1057" s="69" t="inlineStr">
        <is>
          <t>SPLIT_LOAN_00971</t>
        </is>
      </c>
      <c r="G1057" s="70" t="n">
        <v>971</v>
      </c>
      <c r="H1057" s="71" t="n">
        <v>40000000</v>
      </c>
      <c r="I1057" s="71" t="n">
        <v>40000000</v>
      </c>
      <c r="J1057" s="72" t="n">
        <v>4.31</v>
      </c>
      <c r="K1057" s="69" t="inlineStr">
        <is>
          <t>Fixed rate</t>
        </is>
      </c>
      <c r="L1057" s="68" t="n">
        <v>120</v>
      </c>
      <c r="M1057" s="68" t="n">
        <v>7</v>
      </c>
      <c r="N1057" s="68" t="n">
        <v>120</v>
      </c>
      <c r="O1057" s="68" t="n">
        <v>120</v>
      </c>
      <c r="P1057" s="68" t="n">
        <v>7</v>
      </c>
      <c r="Q1057" s="68" t="n">
        <v>113</v>
      </c>
      <c r="R1057" s="69" t="inlineStr">
        <is>
          <t>IO</t>
        </is>
      </c>
      <c r="S1057" s="69" t="inlineStr">
        <is>
          <t>Yes</t>
        </is>
      </c>
      <c r="T1057" s="73" t="n">
        <v>42826</v>
      </c>
      <c r="U1057" s="73" t="n">
        <v>46483</v>
      </c>
      <c r="V1057" s="73" t="n"/>
      <c r="W1057" s="69" t="n"/>
      <c r="X1057" s="69" t="inlineStr">
        <is>
          <t>Payment Not Received But Still In Grace Period Or Not Yet Due</t>
        </is>
      </c>
      <c r="Y1057" s="68" t="n"/>
      <c r="Z1057" s="69" t="inlineStr">
        <is>
          <t>No Defeasance Occurred</t>
        </is>
      </c>
      <c r="AA1057" s="69" t="inlineStr">
        <is>
          <t>Yes</t>
        </is>
      </c>
      <c r="AB1057" s="69" t="inlineStr">
        <is>
          <t>Never special serv</t>
        </is>
      </c>
      <c r="AC1057" s="73" t="n"/>
      <c r="AD1057" s="69" t="n"/>
      <c r="AE1057" s="69" t="n"/>
      <c r="AF1057" s="69" t="inlineStr">
        <is>
          <t>NY</t>
        </is>
      </c>
      <c r="AG1057" s="69" t="inlineStr">
        <is>
          <t>New York</t>
        </is>
      </c>
      <c r="AH1057" s="69" t="inlineStr">
        <is>
          <t>New York-Newark-Jersey City, NY-NJ</t>
        </is>
      </c>
      <c r="AI1057" s="69" t="inlineStr">
        <is>
          <t>Northeast / Mid-Atlantic</t>
        </is>
      </c>
      <c r="AJ1057" s="69" t="inlineStr">
        <is>
          <t>MX</t>
        </is>
      </c>
      <c r="AK1057" s="69" t="inlineStr">
        <is>
          <t>Office/Retail</t>
        </is>
      </c>
      <c r="AL1057" s="68" t="n">
        <v>1</v>
      </c>
      <c r="AM1057" s="68" t="n"/>
      <c r="AN1057" s="68" t="n">
        <v>210358</v>
      </c>
      <c r="AO1057" s="69" t="inlineStr">
        <is>
          <t>1906, 1920</t>
        </is>
      </c>
      <c r="AP1057" s="70" t="n">
        <v>1920</v>
      </c>
      <c r="AQ1057" s="74" t="n">
        <v>1.24</v>
      </c>
      <c r="AR1057" s="74" t="n">
        <v>0.63</v>
      </c>
      <c r="AS1057" s="74" t="n">
        <v>53.57</v>
      </c>
      <c r="AT1057" s="74" t="n">
        <v>53.57</v>
      </c>
      <c r="AU1057" s="74" t="n">
        <v>53.57</v>
      </c>
      <c r="AV1057" s="74" t="n">
        <v>5.407734053</v>
      </c>
      <c r="AW1057" s="74" t="n">
        <v>2.739999607</v>
      </c>
      <c r="AX1057" s="75" t="n">
        <v>62</v>
      </c>
      <c r="AY1057" s="71" t="n">
        <v>280000000</v>
      </c>
      <c r="AZ1057" s="71" t="n">
        <v>280000000</v>
      </c>
      <c r="BA1057" s="71" t="n">
        <v>8111601.08</v>
      </c>
      <c r="BB1057" s="71" t="n">
        <v>4109999.41</v>
      </c>
      <c r="BC1057" s="69" t="inlineStr">
        <is>
          <t>Refinance</t>
        </is>
      </c>
      <c r="BD1057" s="69" t="inlineStr">
        <is>
          <t>N</t>
        </is>
      </c>
      <c r="BE1057" s="71" t="n">
        <v>110000000</v>
      </c>
      <c r="BF1057" s="71" t="n"/>
      <c r="BG1057" s="71" t="n"/>
      <c r="BH1057" s="71" t="n">
        <v>0</v>
      </c>
      <c r="BI1057" s="71" t="n">
        <v>148283.34</v>
      </c>
      <c r="BJ1057" s="69" t="inlineStr">
        <is>
          <t>N</t>
        </is>
      </c>
      <c r="BK1057" s="69" t="inlineStr">
        <is>
          <t>Bottomless Closet</t>
        </is>
      </c>
      <c r="BL1057" s="75" t="n">
        <v>2.86</v>
      </c>
      <c r="BM1057" s="73" t="n">
        <v>47391</v>
      </c>
      <c r="BN1057" s="69" t="inlineStr">
        <is>
          <t>Lloyd Goldman and Stanley Chera</t>
        </is>
      </c>
      <c r="BO1057" s="69" t="inlineStr">
        <is>
          <t>Goldman Sachs</t>
        </is>
      </c>
      <c r="BP1057" s="69" t="inlineStr">
        <is>
          <t>Midland Loan Services</t>
        </is>
      </c>
      <c r="BQ1057" s="69" t="inlineStr">
        <is>
          <t>Rialto Capital</t>
        </is>
      </c>
      <c r="BR1057" s="69" t="n"/>
      <c r="BS1057" s="73" t="n">
        <v>46273</v>
      </c>
      <c r="BU1057" s="76">
        <f>IF($C1057="","",IFERROR(INDEX(dmName,MATCH($C1057,dmID,0)),"Unmapped"))</f>
        <v/>
      </c>
      <c r="BV1057" s="76">
        <f>IF($C1057="","",IFERROR(INDEX(dmEntity,MATCH($C1057,dmID,0)),"Unmapped"))</f>
        <v/>
      </c>
      <c r="BW1057" s="77">
        <f>IF($C1057="","",IFERROR(INDEX(dmVintage,MATCH($C1057,dmID,0)),""))</f>
        <v/>
      </c>
      <c r="BX1057" s="78">
        <f>IFERROR(INDEX(dmInclude,MATCH($C1057,dmID,0)),0)</f>
        <v/>
      </c>
      <c r="BY1057" s="78">
        <f>IF(N($I1057)&gt;0,1,0)</f>
        <v/>
      </c>
      <c r="BZ1057" s="76">
        <f>IF($AJ1057="","Other / Leased Fee",IFERROR(INDEX(mapPTGroup,MATCH(LEFT(TRIM($AJ1057),2),mapPTCode,0)),"Other / Leased Fee"))</f>
        <v/>
      </c>
      <c r="CA1057" s="76">
        <f>IF(TRIM($AF1057&amp;"")="","NR",LEFT(TRIM($AF1057),2))</f>
        <v/>
      </c>
      <c r="CB1057" s="76">
        <f>IFERROR(LOOKUP(2,1/(LEFT(TRIM($AI1057&amp;""),LEN(mapRegion))=mapRegion),mapRegion),"Not Reported")</f>
        <v/>
      </c>
      <c r="CC1057" s="76">
        <f>IF($BY1057=0,"",IF(TRIM($W1057&amp;"")="REO","REO",IF(TRIM($W1057&amp;"")="FC","Foreclosure",IF(TRIM($W1057&amp;"")="90+","90+ Days Delinquent",IF(TRIM($W1057&amp;"")="60","60 Days Delinquent",IF(TRIM($W1057&amp;"")="30","30 Days Delinquent",IF($X1057="Non-Performing Matured Balloon","Non-Performing Matured Balloon",IF(OR($X1057="Late Payment But Less Than 30 Days Delinquent",LEFT($X1057&amp;"",20)="Payment Not Received"),"Late / In Grace (&lt;30 Days)",IF($X1057="Performing Matured Balloon","Performing Matured Balloon","Current")))))))))</f>
        <v/>
      </c>
      <c r="CD1057" s="78">
        <f>IF(OR($CC1057="REO",$CC1057="Foreclosure",$CC1057="90+ Days Delinquent",$CC1057="60 Days Delinquent",$CC1057="30 Days Delinquent",$CC1057="Non-Performing Matured Balloon"),1,0)</f>
        <v/>
      </c>
      <c r="CE1057" s="76">
        <f>IF($AB1057="Currently special serv","Currently Specially Serviced",IF($AB1057="Returned to master serv","Previously Specially Serviced","Never Specially Serviced"))</f>
        <v/>
      </c>
      <c r="CF1057" s="78">
        <f>IF($CE1057="Currently Specially Serviced",1,0)</f>
        <v/>
      </c>
      <c r="CG1057" s="76">
        <f>IF($AA1057="Yes","Currently on Watchlist",IF($AA1057="Previously","Previously on Watchlist","Never on Watchlist"))</f>
        <v/>
      </c>
      <c r="CH1057" s="78">
        <f>IF($CG1057="Currently on Watchlist",1,0)</f>
        <v/>
      </c>
      <c r="CI1057" s="76">
        <f>IF($Z1057="Full Defeasance","Fully Defeased",IF($Z1057="Portion Of Loan Previously Defeased","Partially Defeased",IF($Z1057="Defeasance Not Allowable","Not Defeased (Not Permitted)","Not Defeased")))</f>
        <v/>
      </c>
      <c r="CJ1057" s="78">
        <f>IF($CI1057="Fully Defeased",1,0)</f>
        <v/>
      </c>
      <c r="CK1057" s="76">
        <f>IF($R1057="IO","Full IO",IF(LEFT($R1057&amp;"",7)="IO then","Partial IO","Amortizing"))</f>
        <v/>
      </c>
      <c r="CL1057" s="78">
        <f>IF($CK1057="Full IO",1,0)</f>
        <v/>
      </c>
      <c r="CM1057" s="78">
        <f>IF($CK1057="Partial IO",1,0)</f>
        <v/>
      </c>
      <c r="CN1057" s="76">
        <f>IF(LEFT($F1057&amp;"",10)="SPLIT_LOAN","Pari Passu Split","Standalone")</f>
        <v/>
      </c>
      <c r="CO1057" s="78">
        <f>IF($CN1057="Pari Passu Split",1,0)</f>
        <v/>
      </c>
      <c r="CP1057" s="77">
        <f>IF(ISNUMBER($T1057),YEAR($T1057),"")</f>
        <v/>
      </c>
      <c r="CQ1057" s="79">
        <f>IF(ISNUMBER($V1057),$V1057,IF(ISNUMBER($U1057),$U1057,""))</f>
        <v/>
      </c>
      <c r="CR1057" s="77">
        <f>IF(ISNUMBER($CQ1057),YEAR($CQ1057),"")</f>
        <v/>
      </c>
      <c r="CS1057" s="78">
        <f>IF(ISNUMBER($M1057),MAX(0,$M1057),IF(TRIM($M1057&amp;"")="matured",0,""))</f>
        <v/>
      </c>
      <c r="CT1057" s="78">
        <f>IF(AND(ISNUMBER($CS1057),N($CS1057)&lt;=mMatWindow),1,0)</f>
        <v/>
      </c>
      <c r="CU1057" s="80">
        <f>IF(ISNUMBER($J1057),$J1057/100,"")</f>
        <v/>
      </c>
      <c r="CV1057" s="81">
        <f>IF(ISNUMBER($AQ1057),$AQ1057,"")</f>
        <v/>
      </c>
      <c r="CW1057" s="81">
        <f>IF(ISNUMBER($AR1057),$AR1057,"")</f>
        <v/>
      </c>
      <c r="CX1057" s="82">
        <f>IF(ISNUMBER($AS1057),$AS1057/100,"")</f>
        <v/>
      </c>
      <c r="CY1057" s="82">
        <f>IF(ISNUMBER($AT1057),$AT1057/100,"")</f>
        <v/>
      </c>
      <c r="CZ1057" s="82">
        <f>IF(ISNUMBER($AU1057),$AU1057/100,"")</f>
        <v/>
      </c>
      <c r="DA1057" s="82">
        <f>IF(ISNUMBER($AV1057),$AV1057/100,"")</f>
        <v/>
      </c>
      <c r="DB1057" s="82">
        <f>IF(ISNUMBER($AW1057),$AW1057/100,"")</f>
        <v/>
      </c>
      <c r="DC1057" s="82">
        <f>IF(ISNUMBER($AX1057),$AX1057/100,"")</f>
        <v/>
      </c>
      <c r="DD1057" s="77">
        <f>IFERROR(VALUE(LEFT(TRIM($AO1057&amp;""),4)),"")</f>
        <v/>
      </c>
      <c r="DE1057" s="78">
        <f>IF(AND($BY1057=1,$BX1057=1,OR(fDeal="All Deals",$BU1057=fDeal),OR(fEntity="All Entities",$BV1057=fEntity),OR(fPType="All Property Types",$BZ1057=fPType),OR(fDefeased="Include",$CJ1057=0)),1,0)</f>
        <v/>
      </c>
      <c r="DF1057" s="83">
        <f>$DE1057*N($I1057)</f>
        <v/>
      </c>
      <c r="DG1057" s="78">
        <f>IF($DE1057=1,IF(COUNTIFS($F$8:$F1057,$F1057,$DE$8:$DE1057,1)=1,1,0),0)</f>
        <v/>
      </c>
      <c r="DH1057" s="83">
        <f>IF($DG1057=1,SUMIFS($DF$8:$DF$1600,$F$8:$F$1600,$F1057),0)</f>
        <v/>
      </c>
      <c r="DI1057" s="78">
        <f>IF($DG1057=1,COUNTIFS($F$8:$F$1600,$F1057,$DE$8:$DE$1600,1),0)</f>
        <v/>
      </c>
      <c r="DJ1057" s="84">
        <f>IF($DG1057=1,$DH1057+(100000-ROW())/mTieBreak,0)</f>
        <v/>
      </c>
    </row>
    <row r="1058">
      <c r="B1058" s="68" t="n">
        <v>11</v>
      </c>
      <c r="C1058" s="69" t="inlineStr">
        <is>
          <t>GS217GS6</t>
        </is>
      </c>
      <c r="D1058" s="69" t="inlineStr">
        <is>
          <t>11.000</t>
        </is>
      </c>
      <c r="E1058" s="69" t="inlineStr">
        <is>
          <t>The Gramercy</t>
        </is>
      </c>
      <c r="F1058" s="69" t="inlineStr">
        <is>
          <t>LNGS217GS6-11.000</t>
        </is>
      </c>
      <c r="G1058" s="70" t="n"/>
      <c r="H1058" s="71" t="n">
        <v>37000000</v>
      </c>
      <c r="I1058" s="71" t="n">
        <v>34165578.67998601</v>
      </c>
      <c r="J1058" s="72" t="n">
        <v>4.167</v>
      </c>
      <c r="K1058" s="69" t="inlineStr">
        <is>
          <t>Fixed rate</t>
        </is>
      </c>
      <c r="L1058" s="68" t="n">
        <v>120</v>
      </c>
      <c r="M1058" s="68" t="n">
        <v>8</v>
      </c>
      <c r="N1058" s="68" t="n">
        <v>420</v>
      </c>
      <c r="O1058" s="68" t="n">
        <v>60</v>
      </c>
      <c r="P1058" s="68" t="n">
        <v>0</v>
      </c>
      <c r="Q1058" s="68" t="n">
        <v>112</v>
      </c>
      <c r="R1058" s="69" t="inlineStr">
        <is>
          <t>IO then Amort</t>
        </is>
      </c>
      <c r="S1058" s="69" t="inlineStr">
        <is>
          <t>No</t>
        </is>
      </c>
      <c r="T1058" s="73" t="n">
        <v>42856</v>
      </c>
      <c r="U1058" s="73" t="n">
        <v>46513</v>
      </c>
      <c r="V1058" s="73" t="n"/>
      <c r="W1058" s="69" t="n"/>
      <c r="X1058" s="69" t="inlineStr">
        <is>
          <t>Current</t>
        </is>
      </c>
      <c r="Y1058" s="68" t="n"/>
      <c r="Z1058" s="69" t="inlineStr">
        <is>
          <t>Defeasance Not Allowable</t>
        </is>
      </c>
      <c r="AA1058" s="69" t="inlineStr">
        <is>
          <t>Yes</t>
        </is>
      </c>
      <c r="AB1058" s="69" t="inlineStr">
        <is>
          <t>Never special serv</t>
        </is>
      </c>
      <c r="AC1058" s="73" t="n"/>
      <c r="AD1058" s="69" t="n"/>
      <c r="AE1058" s="69" t="n"/>
      <c r="AF1058" s="69" t="inlineStr">
        <is>
          <t>NV</t>
        </is>
      </c>
      <c r="AG1058" s="69" t="inlineStr">
        <is>
          <t>Las Vegas</t>
        </is>
      </c>
      <c r="AH1058" s="69" t="inlineStr">
        <is>
          <t>Las Vegas-Henderson-North Las Vegas, NV</t>
        </is>
      </c>
      <c r="AI1058" s="69" t="inlineStr">
        <is>
          <t>West / Mountain</t>
        </is>
      </c>
      <c r="AJ1058" s="69" t="inlineStr">
        <is>
          <t>MX</t>
        </is>
      </c>
      <c r="AK1058" s="69" t="inlineStr">
        <is>
          <t>Office/Retail</t>
        </is>
      </c>
      <c r="AL1058" s="68" t="n">
        <v>1</v>
      </c>
      <c r="AM1058" s="68" t="n"/>
      <c r="AN1058" s="68" t="n">
        <v>187008</v>
      </c>
      <c r="AO1058" s="69" t="inlineStr">
        <is>
          <t>2008</t>
        </is>
      </c>
      <c r="AP1058" s="70" t="n">
        <v>2014</v>
      </c>
      <c r="AQ1058" s="74" t="n">
        <v>1.88</v>
      </c>
      <c r="AR1058" s="74" t="n">
        <v>1.39</v>
      </c>
      <c r="AS1058" s="74" t="n">
        <v>59.92</v>
      </c>
      <c r="AT1058" s="74" t="n">
        <v>55.33</v>
      </c>
      <c r="AU1058" s="74" t="n">
        <v>54.53</v>
      </c>
      <c r="AV1058" s="74" t="n">
        <v>11.006080108</v>
      </c>
      <c r="AW1058" s="74" t="n">
        <v>7.175166043</v>
      </c>
      <c r="AX1058" s="75" t="n">
        <v>69</v>
      </c>
      <c r="AY1058" s="71" t="n">
        <v>61750000</v>
      </c>
      <c r="AZ1058" s="71" t="n">
        <v>61750000</v>
      </c>
      <c r="BA1058" s="71" t="n">
        <v>4072249.64</v>
      </c>
      <c r="BB1058" s="71" t="n">
        <v>3004922.84</v>
      </c>
      <c r="BC1058" s="69" t="inlineStr">
        <is>
          <t>Acquisition</t>
        </is>
      </c>
      <c r="BD1058" s="69" t="inlineStr">
        <is>
          <t>N</t>
        </is>
      </c>
      <c r="BE1058" s="71" t="n"/>
      <c r="BF1058" s="71" t="n"/>
      <c r="BG1058" s="71" t="n"/>
      <c r="BH1058" s="71" t="n">
        <v>0</v>
      </c>
      <c r="BI1058" s="71" t="n">
        <v>0</v>
      </c>
      <c r="BJ1058" s="69" t="inlineStr">
        <is>
          <t>N</t>
        </is>
      </c>
      <c r="BK1058" s="69" t="inlineStr">
        <is>
          <t>Axos Fnancial Inc.</t>
        </is>
      </c>
      <c r="BL1058" s="75" t="n">
        <v>15.98</v>
      </c>
      <c r="BM1058" s="73" t="n">
        <v>46630</v>
      </c>
      <c r="BN1058" s="69" t="inlineStr">
        <is>
          <t>Estein Holdings, Ltd.</t>
        </is>
      </c>
      <c r="BO1058" s="69" t="inlineStr">
        <is>
          <t>Goldman Sachs</t>
        </is>
      </c>
      <c r="BP1058" s="69" t="inlineStr">
        <is>
          <t>Midland Loan Services</t>
        </is>
      </c>
      <c r="BQ1058" s="69" t="inlineStr">
        <is>
          <t>K-Star Asset Management LLC</t>
        </is>
      </c>
      <c r="BR1058" s="69" t="n"/>
      <c r="BS1058" s="73" t="n">
        <v>46273</v>
      </c>
      <c r="BU1058" s="76">
        <f>IF($C1058="","",IFERROR(INDEX(dmName,MATCH($C1058,dmID,0)),"Unmapped"))</f>
        <v/>
      </c>
      <c r="BV1058" s="76">
        <f>IF($C1058="","",IFERROR(INDEX(dmEntity,MATCH($C1058,dmID,0)),"Unmapped"))</f>
        <v/>
      </c>
      <c r="BW1058" s="77">
        <f>IF($C1058="","",IFERROR(INDEX(dmVintage,MATCH($C1058,dmID,0)),""))</f>
        <v/>
      </c>
      <c r="BX1058" s="78">
        <f>IFERROR(INDEX(dmInclude,MATCH($C1058,dmID,0)),0)</f>
        <v/>
      </c>
      <c r="BY1058" s="78">
        <f>IF(N($I1058)&gt;0,1,0)</f>
        <v/>
      </c>
      <c r="BZ1058" s="76">
        <f>IF($AJ1058="","Other / Leased Fee",IFERROR(INDEX(mapPTGroup,MATCH(LEFT(TRIM($AJ1058),2),mapPTCode,0)),"Other / Leased Fee"))</f>
        <v/>
      </c>
      <c r="CA1058" s="76">
        <f>IF(TRIM($AF1058&amp;"")="","NR",LEFT(TRIM($AF1058),2))</f>
        <v/>
      </c>
      <c r="CB1058" s="76">
        <f>IFERROR(LOOKUP(2,1/(LEFT(TRIM($AI1058&amp;""),LEN(mapRegion))=mapRegion),mapRegion),"Not Reported")</f>
        <v/>
      </c>
      <c r="CC1058" s="76">
        <f>IF($BY1058=0,"",IF(TRIM($W1058&amp;"")="REO","REO",IF(TRIM($W1058&amp;"")="FC","Foreclosure",IF(TRIM($W1058&amp;"")="90+","90+ Days Delinquent",IF(TRIM($W1058&amp;"")="60","60 Days Delinquent",IF(TRIM($W1058&amp;"")="30","30 Days Delinquent",IF($X1058="Non-Performing Matured Balloon","Non-Performing Matured Balloon",IF(OR($X1058="Late Payment But Less Than 30 Days Delinquent",LEFT($X1058&amp;"",20)="Payment Not Received"),"Late / In Grace (&lt;30 Days)",IF($X1058="Performing Matured Balloon","Performing Matured Balloon","Current")))))))))</f>
        <v/>
      </c>
      <c r="CD1058" s="78">
        <f>IF(OR($CC1058="REO",$CC1058="Foreclosure",$CC1058="90+ Days Delinquent",$CC1058="60 Days Delinquent",$CC1058="30 Days Delinquent",$CC1058="Non-Performing Matured Balloon"),1,0)</f>
        <v/>
      </c>
      <c r="CE1058" s="76">
        <f>IF($AB1058="Currently special serv","Currently Specially Serviced",IF($AB1058="Returned to master serv","Previously Specially Serviced","Never Specially Serviced"))</f>
        <v/>
      </c>
      <c r="CF1058" s="78">
        <f>IF($CE1058="Currently Specially Serviced",1,0)</f>
        <v/>
      </c>
      <c r="CG1058" s="76">
        <f>IF($AA1058="Yes","Currently on Watchlist",IF($AA1058="Previously","Previously on Watchlist","Never on Watchlist"))</f>
        <v/>
      </c>
      <c r="CH1058" s="78">
        <f>IF($CG1058="Currently on Watchlist",1,0)</f>
        <v/>
      </c>
      <c r="CI1058" s="76">
        <f>IF($Z1058="Full Defeasance","Fully Defeased",IF($Z1058="Portion Of Loan Previously Defeased","Partially Defeased",IF($Z1058="Defeasance Not Allowable","Not Defeased (Not Permitted)","Not Defeased")))</f>
        <v/>
      </c>
      <c r="CJ1058" s="78">
        <f>IF($CI1058="Fully Defeased",1,0)</f>
        <v/>
      </c>
      <c r="CK1058" s="76">
        <f>IF($R1058="IO","Full IO",IF(LEFT($R1058&amp;"",7)="IO then","Partial IO","Amortizing"))</f>
        <v/>
      </c>
      <c r="CL1058" s="78">
        <f>IF($CK1058="Full IO",1,0)</f>
        <v/>
      </c>
      <c r="CM1058" s="78">
        <f>IF($CK1058="Partial IO",1,0)</f>
        <v/>
      </c>
      <c r="CN1058" s="76">
        <f>IF(LEFT($F1058&amp;"",10)="SPLIT_LOAN","Pari Passu Split","Standalone")</f>
        <v/>
      </c>
      <c r="CO1058" s="78">
        <f>IF($CN1058="Pari Passu Split",1,0)</f>
        <v/>
      </c>
      <c r="CP1058" s="77">
        <f>IF(ISNUMBER($T1058),YEAR($T1058),"")</f>
        <v/>
      </c>
      <c r="CQ1058" s="79">
        <f>IF(ISNUMBER($V1058),$V1058,IF(ISNUMBER($U1058),$U1058,""))</f>
        <v/>
      </c>
      <c r="CR1058" s="77">
        <f>IF(ISNUMBER($CQ1058),YEAR($CQ1058),"")</f>
        <v/>
      </c>
      <c r="CS1058" s="78">
        <f>IF(ISNUMBER($M1058),MAX(0,$M1058),IF(TRIM($M1058&amp;"")="matured",0,""))</f>
        <v/>
      </c>
      <c r="CT1058" s="78">
        <f>IF(AND(ISNUMBER($CS1058),N($CS1058)&lt;=mMatWindow),1,0)</f>
        <v/>
      </c>
      <c r="CU1058" s="80">
        <f>IF(ISNUMBER($J1058),$J1058/100,"")</f>
        <v/>
      </c>
      <c r="CV1058" s="81">
        <f>IF(ISNUMBER($AQ1058),$AQ1058,"")</f>
        <v/>
      </c>
      <c r="CW1058" s="81">
        <f>IF(ISNUMBER($AR1058),$AR1058,"")</f>
        <v/>
      </c>
      <c r="CX1058" s="82">
        <f>IF(ISNUMBER($AS1058),$AS1058/100,"")</f>
        <v/>
      </c>
      <c r="CY1058" s="82">
        <f>IF(ISNUMBER($AT1058),$AT1058/100,"")</f>
        <v/>
      </c>
      <c r="CZ1058" s="82">
        <f>IF(ISNUMBER($AU1058),$AU1058/100,"")</f>
        <v/>
      </c>
      <c r="DA1058" s="82">
        <f>IF(ISNUMBER($AV1058),$AV1058/100,"")</f>
        <v/>
      </c>
      <c r="DB1058" s="82">
        <f>IF(ISNUMBER($AW1058),$AW1058/100,"")</f>
        <v/>
      </c>
      <c r="DC1058" s="82">
        <f>IF(ISNUMBER($AX1058),$AX1058/100,"")</f>
        <v/>
      </c>
      <c r="DD1058" s="77">
        <f>IFERROR(VALUE(LEFT(TRIM($AO1058&amp;""),4)),"")</f>
        <v/>
      </c>
      <c r="DE1058" s="78">
        <f>IF(AND($BY1058=1,$BX1058=1,OR(fDeal="All Deals",$BU1058=fDeal),OR(fEntity="All Entities",$BV1058=fEntity),OR(fPType="All Property Types",$BZ1058=fPType),OR(fDefeased="Include",$CJ1058=0)),1,0)</f>
        <v/>
      </c>
      <c r="DF1058" s="83">
        <f>$DE1058*N($I1058)</f>
        <v/>
      </c>
      <c r="DG1058" s="78">
        <f>IF($DE1058=1,IF(COUNTIFS($F$8:$F1058,$F1058,$DE$8:$DE1058,1)=1,1,0),0)</f>
        <v/>
      </c>
      <c r="DH1058" s="83">
        <f>IF($DG1058=1,SUMIFS($DF$8:$DF$1600,$F$8:$F$1600,$F1058),0)</f>
        <v/>
      </c>
      <c r="DI1058" s="78">
        <f>IF($DG1058=1,COUNTIFS($F$8:$F$1600,$F1058,$DE$8:$DE$1600,1),0)</f>
        <v/>
      </c>
      <c r="DJ1058" s="84">
        <f>IF($DG1058=1,$DH1058+(100000-ROW())/mTieBreak,0)</f>
        <v/>
      </c>
    </row>
    <row r="1059">
      <c r="B1059" s="68" t="n">
        <v>12</v>
      </c>
      <c r="C1059" s="69" t="inlineStr">
        <is>
          <t>GS217GS6</t>
        </is>
      </c>
      <c r="D1059" s="69" t="inlineStr">
        <is>
          <t>12.000</t>
        </is>
      </c>
      <c r="E1059" s="69" t="inlineStr">
        <is>
          <t>634 Second Street</t>
        </is>
      </c>
      <c r="F1059" s="69" t="inlineStr">
        <is>
          <t>LNGS217GS6-12.000</t>
        </is>
      </c>
      <c r="G1059" s="70" t="n"/>
      <c r="H1059" s="71" t="n">
        <v>30000000</v>
      </c>
      <c r="I1059" s="71" t="n">
        <v>27901043.58</v>
      </c>
      <c r="J1059" s="72" t="n">
        <v>4.9095</v>
      </c>
      <c r="K1059" s="69" t="inlineStr">
        <is>
          <t>Fixed rate</t>
        </is>
      </c>
      <c r="L1059" s="68" t="n">
        <v>120</v>
      </c>
      <c r="M1059" s="68" t="n">
        <v>6</v>
      </c>
      <c r="N1059" s="68" t="n">
        <v>420</v>
      </c>
      <c r="O1059" s="68" t="n">
        <v>60</v>
      </c>
      <c r="P1059" s="68" t="n">
        <v>0</v>
      </c>
      <c r="Q1059" s="68" t="n">
        <v>114</v>
      </c>
      <c r="R1059" s="69" t="inlineStr">
        <is>
          <t>IO then Amort</t>
        </is>
      </c>
      <c r="S1059" s="69" t="inlineStr">
        <is>
          <t>No</t>
        </is>
      </c>
      <c r="T1059" s="73" t="n">
        <v>42795</v>
      </c>
      <c r="U1059" s="73" t="n">
        <v>46452</v>
      </c>
      <c r="V1059" s="73" t="n"/>
      <c r="W1059" s="69" t="n"/>
      <c r="X1059" s="69" t="inlineStr">
        <is>
          <t>Current</t>
        </is>
      </c>
      <c r="Y1059" s="68" t="n"/>
      <c r="Z1059" s="69" t="inlineStr">
        <is>
          <t>No Defeasance Occurred</t>
        </is>
      </c>
      <c r="AA1059" s="69" t="inlineStr">
        <is>
          <t>Yes</t>
        </is>
      </c>
      <c r="AB1059" s="69" t="inlineStr">
        <is>
          <t>Never special serv</t>
        </is>
      </c>
      <c r="AC1059" s="73" t="n"/>
      <c r="AD1059" s="69" t="n"/>
      <c r="AE1059" s="69" t="n"/>
      <c r="AF1059" s="69" t="inlineStr">
        <is>
          <t>CA</t>
        </is>
      </c>
      <c r="AG1059" s="69" t="inlineStr">
        <is>
          <t>San Francisco</t>
        </is>
      </c>
      <c r="AH1059" s="69" t="inlineStr">
        <is>
          <t>San Francisco-Oakland-Fremont, CA</t>
        </is>
      </c>
      <c r="AI1059" s="69" t="inlineStr">
        <is>
          <t>West / Pacific North</t>
        </is>
      </c>
      <c r="AJ1059" s="69" t="inlineStr">
        <is>
          <t>OF</t>
        </is>
      </c>
      <c r="AK1059" s="69" t="inlineStr">
        <is>
          <t>CBD</t>
        </is>
      </c>
      <c r="AL1059" s="68" t="n">
        <v>1</v>
      </c>
      <c r="AM1059" s="68" t="n"/>
      <c r="AN1059" s="68" t="n">
        <v>46752</v>
      </c>
      <c r="AO1059" s="69" t="inlineStr">
        <is>
          <t>1927</t>
        </is>
      </c>
      <c r="AP1059" s="70" t="n">
        <v>2008</v>
      </c>
      <c r="AQ1059" s="74" t="n">
        <v>1.27</v>
      </c>
      <c r="AR1059" s="74" t="n">
        <v>2.2</v>
      </c>
      <c r="AS1059" s="74" t="n">
        <v>74.06999999999999</v>
      </c>
      <c r="AT1059" s="74" t="n">
        <v>68.89</v>
      </c>
      <c r="AU1059" s="74" t="n">
        <v>68.22</v>
      </c>
      <c r="AV1059" s="74" t="n">
        <v>8.084910000000001</v>
      </c>
      <c r="AW1059" s="74" t="n">
        <v>12.50719551</v>
      </c>
      <c r="AX1059" s="75" t="n">
        <v>99</v>
      </c>
      <c r="AY1059" s="71" t="n">
        <v>40500000</v>
      </c>
      <c r="AZ1059" s="71" t="n">
        <v>40500000</v>
      </c>
      <c r="BA1059" s="71" t="n">
        <v>2425473</v>
      </c>
      <c r="BB1059" s="71" t="n">
        <v>4213692.12</v>
      </c>
      <c r="BC1059" s="69" t="inlineStr">
        <is>
          <t>Acquisition</t>
        </is>
      </c>
      <c r="BD1059" s="69" t="inlineStr">
        <is>
          <t>N</t>
        </is>
      </c>
      <c r="BE1059" s="71" t="n"/>
      <c r="BF1059" s="71" t="n"/>
      <c r="BG1059" s="71" t="n"/>
      <c r="BH1059" s="71" t="n">
        <v>0</v>
      </c>
      <c r="BI1059" s="71" t="n">
        <v>0</v>
      </c>
      <c r="BJ1059" s="69" t="inlineStr">
        <is>
          <t>N</t>
        </is>
      </c>
      <c r="BK1059" s="69" t="inlineStr">
        <is>
          <t>Cloudfare Inc</t>
        </is>
      </c>
      <c r="BL1059" s="75" t="n">
        <v>96.06999999999999</v>
      </c>
      <c r="BM1059" s="73" t="n">
        <v>46752</v>
      </c>
      <c r="BN1059" s="69" t="inlineStr">
        <is>
          <t>Joseph J. Sitt</t>
        </is>
      </c>
      <c r="BO1059" s="69" t="inlineStr">
        <is>
          <t>Goldman Sachs</t>
        </is>
      </c>
      <c r="BP1059" s="69" t="inlineStr">
        <is>
          <t>Midland Loan Services</t>
        </is>
      </c>
      <c r="BQ1059" s="69" t="inlineStr">
        <is>
          <t>K-Star Asset Management LLC</t>
        </is>
      </c>
      <c r="BR1059" s="69" t="n"/>
      <c r="BS1059" s="73" t="n">
        <v>46273</v>
      </c>
      <c r="BU1059" s="76">
        <f>IF($C1059="","",IFERROR(INDEX(dmName,MATCH($C1059,dmID,0)),"Unmapped"))</f>
        <v/>
      </c>
      <c r="BV1059" s="76">
        <f>IF($C1059="","",IFERROR(INDEX(dmEntity,MATCH($C1059,dmID,0)),"Unmapped"))</f>
        <v/>
      </c>
      <c r="BW1059" s="77">
        <f>IF($C1059="","",IFERROR(INDEX(dmVintage,MATCH($C1059,dmID,0)),""))</f>
        <v/>
      </c>
      <c r="BX1059" s="78">
        <f>IFERROR(INDEX(dmInclude,MATCH($C1059,dmID,0)),0)</f>
        <v/>
      </c>
      <c r="BY1059" s="78">
        <f>IF(N($I1059)&gt;0,1,0)</f>
        <v/>
      </c>
      <c r="BZ1059" s="76">
        <f>IF($AJ1059="","Other / Leased Fee",IFERROR(INDEX(mapPTGroup,MATCH(LEFT(TRIM($AJ1059),2),mapPTCode,0)),"Other / Leased Fee"))</f>
        <v/>
      </c>
      <c r="CA1059" s="76">
        <f>IF(TRIM($AF1059&amp;"")="","NR",LEFT(TRIM($AF1059),2))</f>
        <v/>
      </c>
      <c r="CB1059" s="76">
        <f>IFERROR(LOOKUP(2,1/(LEFT(TRIM($AI1059&amp;""),LEN(mapRegion))=mapRegion),mapRegion),"Not Reported")</f>
        <v/>
      </c>
      <c r="CC1059" s="76">
        <f>IF($BY1059=0,"",IF(TRIM($W1059&amp;"")="REO","REO",IF(TRIM($W1059&amp;"")="FC","Foreclosure",IF(TRIM($W1059&amp;"")="90+","90+ Days Delinquent",IF(TRIM($W1059&amp;"")="60","60 Days Delinquent",IF(TRIM($W1059&amp;"")="30","30 Days Delinquent",IF($X1059="Non-Performing Matured Balloon","Non-Performing Matured Balloon",IF(OR($X1059="Late Payment But Less Than 30 Days Delinquent",LEFT($X1059&amp;"",20)="Payment Not Received"),"Late / In Grace (&lt;30 Days)",IF($X1059="Performing Matured Balloon","Performing Matured Balloon","Current")))))))))</f>
        <v/>
      </c>
      <c r="CD1059" s="78">
        <f>IF(OR($CC1059="REO",$CC1059="Foreclosure",$CC1059="90+ Days Delinquent",$CC1059="60 Days Delinquent",$CC1059="30 Days Delinquent",$CC1059="Non-Performing Matured Balloon"),1,0)</f>
        <v/>
      </c>
      <c r="CE1059" s="76">
        <f>IF($AB1059="Currently special serv","Currently Specially Serviced",IF($AB1059="Returned to master serv","Previously Specially Serviced","Never Specially Serviced"))</f>
        <v/>
      </c>
      <c r="CF1059" s="78">
        <f>IF($CE1059="Currently Specially Serviced",1,0)</f>
        <v/>
      </c>
      <c r="CG1059" s="76">
        <f>IF($AA1059="Yes","Currently on Watchlist",IF($AA1059="Previously","Previously on Watchlist","Never on Watchlist"))</f>
        <v/>
      </c>
      <c r="CH1059" s="78">
        <f>IF($CG1059="Currently on Watchlist",1,0)</f>
        <v/>
      </c>
      <c r="CI1059" s="76">
        <f>IF($Z1059="Full Defeasance","Fully Defeased",IF($Z1059="Portion Of Loan Previously Defeased","Partially Defeased",IF($Z1059="Defeasance Not Allowable","Not Defeased (Not Permitted)","Not Defeased")))</f>
        <v/>
      </c>
      <c r="CJ1059" s="78">
        <f>IF($CI1059="Fully Defeased",1,0)</f>
        <v/>
      </c>
      <c r="CK1059" s="76">
        <f>IF($R1059="IO","Full IO",IF(LEFT($R1059&amp;"",7)="IO then","Partial IO","Amortizing"))</f>
        <v/>
      </c>
      <c r="CL1059" s="78">
        <f>IF($CK1059="Full IO",1,0)</f>
        <v/>
      </c>
      <c r="CM1059" s="78">
        <f>IF($CK1059="Partial IO",1,0)</f>
        <v/>
      </c>
      <c r="CN1059" s="76">
        <f>IF(LEFT($F1059&amp;"",10)="SPLIT_LOAN","Pari Passu Split","Standalone")</f>
        <v/>
      </c>
      <c r="CO1059" s="78">
        <f>IF($CN1059="Pari Passu Split",1,0)</f>
        <v/>
      </c>
      <c r="CP1059" s="77">
        <f>IF(ISNUMBER($T1059),YEAR($T1059),"")</f>
        <v/>
      </c>
      <c r="CQ1059" s="79">
        <f>IF(ISNUMBER($V1059),$V1059,IF(ISNUMBER($U1059),$U1059,""))</f>
        <v/>
      </c>
      <c r="CR1059" s="77">
        <f>IF(ISNUMBER($CQ1059),YEAR($CQ1059),"")</f>
        <v/>
      </c>
      <c r="CS1059" s="78">
        <f>IF(ISNUMBER($M1059),MAX(0,$M1059),IF(TRIM($M1059&amp;"")="matured",0,""))</f>
        <v/>
      </c>
      <c r="CT1059" s="78">
        <f>IF(AND(ISNUMBER($CS1059),N($CS1059)&lt;=mMatWindow),1,0)</f>
        <v/>
      </c>
      <c r="CU1059" s="80">
        <f>IF(ISNUMBER($J1059),$J1059/100,"")</f>
        <v/>
      </c>
      <c r="CV1059" s="81">
        <f>IF(ISNUMBER($AQ1059),$AQ1059,"")</f>
        <v/>
      </c>
      <c r="CW1059" s="81">
        <f>IF(ISNUMBER($AR1059),$AR1059,"")</f>
        <v/>
      </c>
      <c r="CX1059" s="82">
        <f>IF(ISNUMBER($AS1059),$AS1059/100,"")</f>
        <v/>
      </c>
      <c r="CY1059" s="82">
        <f>IF(ISNUMBER($AT1059),$AT1059/100,"")</f>
        <v/>
      </c>
      <c r="CZ1059" s="82">
        <f>IF(ISNUMBER($AU1059),$AU1059/100,"")</f>
        <v/>
      </c>
      <c r="DA1059" s="82">
        <f>IF(ISNUMBER($AV1059),$AV1059/100,"")</f>
        <v/>
      </c>
      <c r="DB1059" s="82">
        <f>IF(ISNUMBER($AW1059),$AW1059/100,"")</f>
        <v/>
      </c>
      <c r="DC1059" s="82">
        <f>IF(ISNUMBER($AX1059),$AX1059/100,"")</f>
        <v/>
      </c>
      <c r="DD1059" s="77">
        <f>IFERROR(VALUE(LEFT(TRIM($AO1059&amp;""),4)),"")</f>
        <v/>
      </c>
      <c r="DE1059" s="78">
        <f>IF(AND($BY1059=1,$BX1059=1,OR(fDeal="All Deals",$BU1059=fDeal),OR(fEntity="All Entities",$BV1059=fEntity),OR(fPType="All Property Types",$BZ1059=fPType),OR(fDefeased="Include",$CJ1059=0)),1,0)</f>
        <v/>
      </c>
      <c r="DF1059" s="83">
        <f>$DE1059*N($I1059)</f>
        <v/>
      </c>
      <c r="DG1059" s="78">
        <f>IF($DE1059=1,IF(COUNTIFS($F$8:$F1059,$F1059,$DE$8:$DE1059,1)=1,1,0),0)</f>
        <v/>
      </c>
      <c r="DH1059" s="83">
        <f>IF($DG1059=1,SUMIFS($DF$8:$DF$1600,$F$8:$F$1600,$F1059),0)</f>
        <v/>
      </c>
      <c r="DI1059" s="78">
        <f>IF($DG1059=1,COUNTIFS($F$8:$F$1600,$F1059,$DE$8:$DE$1600,1),0)</f>
        <v/>
      </c>
      <c r="DJ1059" s="84">
        <f>IF($DG1059=1,$DH1059+(100000-ROW())/mTieBreak,0)</f>
        <v/>
      </c>
    </row>
    <row r="1060">
      <c r="B1060" s="68" t="n">
        <v>13</v>
      </c>
      <c r="C1060" s="69" t="inlineStr">
        <is>
          <t>GS217GS6</t>
        </is>
      </c>
      <c r="D1060" s="69" t="inlineStr">
        <is>
          <t>13.000</t>
        </is>
      </c>
      <c r="E1060" s="69" t="inlineStr">
        <is>
          <t>The Plaza</t>
        </is>
      </c>
      <c r="F1060" s="69" t="inlineStr">
        <is>
          <t>LNGS217GS6-13.000</t>
        </is>
      </c>
      <c r="G1060" s="70" t="n"/>
      <c r="H1060" s="71" t="n">
        <v>24500000</v>
      </c>
      <c r="I1060" s="71" t="n">
        <v>21738010.0500115</v>
      </c>
      <c r="J1060" s="72" t="n">
        <v>4.4</v>
      </c>
      <c r="K1060" s="69" t="inlineStr">
        <is>
          <t>Fixed rate</t>
        </is>
      </c>
      <c r="L1060" s="68" t="n">
        <v>120</v>
      </c>
      <c r="M1060" s="68" t="n">
        <v>8</v>
      </c>
      <c r="N1060" s="68" t="n">
        <v>396</v>
      </c>
      <c r="O1060" s="68" t="n">
        <v>36</v>
      </c>
      <c r="P1060" s="68" t="n">
        <v>0</v>
      </c>
      <c r="Q1060" s="68" t="n">
        <v>112</v>
      </c>
      <c r="R1060" s="69" t="inlineStr">
        <is>
          <t>IO then Amort</t>
        </is>
      </c>
      <c r="S1060" s="69" t="inlineStr">
        <is>
          <t>No</t>
        </is>
      </c>
      <c r="T1060" s="73" t="n">
        <v>42856</v>
      </c>
      <c r="U1060" s="73" t="n">
        <v>46513</v>
      </c>
      <c r="V1060" s="73" t="n"/>
      <c r="W1060" s="69" t="n"/>
      <c r="X1060" s="69" t="inlineStr">
        <is>
          <t>Current</t>
        </is>
      </c>
      <c r="Y1060" s="68" t="n"/>
      <c r="Z1060" s="69" t="inlineStr">
        <is>
          <t>No Defeasance Occurred</t>
        </is>
      </c>
      <c r="AA1060" s="69" t="inlineStr">
        <is>
          <t>Previously</t>
        </is>
      </c>
      <c r="AB1060" s="69" t="inlineStr">
        <is>
          <t>Never special serv</t>
        </is>
      </c>
      <c r="AC1060" s="73" t="n"/>
      <c r="AD1060" s="69" t="n"/>
      <c r="AE1060" s="69" t="n"/>
      <c r="AF1060" s="69" t="inlineStr">
        <is>
          <t>GA</t>
        </is>
      </c>
      <c r="AG1060" s="69" t="inlineStr">
        <is>
          <t>Buford</t>
        </is>
      </c>
      <c r="AH1060" s="69" t="inlineStr">
        <is>
          <t>Atlanta-Sandy Springs-Roswell, GA</t>
        </is>
      </c>
      <c r="AI1060" s="69" t="inlineStr">
        <is>
          <t>South / Atlantic</t>
        </is>
      </c>
      <c r="AJ1060" s="69" t="inlineStr">
        <is>
          <t>RT</t>
        </is>
      </c>
      <c r="AK1060" s="69" t="inlineStr">
        <is>
          <t>Anchored</t>
        </is>
      </c>
      <c r="AL1060" s="68" t="n">
        <v>1</v>
      </c>
      <c r="AM1060" s="68" t="n"/>
      <c r="AN1060" s="68" t="n">
        <v>96960</v>
      </c>
      <c r="AO1060" s="69" t="inlineStr">
        <is>
          <t>2006</t>
        </is>
      </c>
      <c r="AP1060" s="70" t="n">
        <v>2006</v>
      </c>
      <c r="AQ1060" s="74" t="n">
        <v>1.55</v>
      </c>
      <c r="AR1060" s="74" t="n">
        <v>1.54</v>
      </c>
      <c r="AS1060" s="74" t="n">
        <v>71.22</v>
      </c>
      <c r="AT1060" s="74" t="n">
        <v>63.19</v>
      </c>
      <c r="AU1060" s="74" t="n">
        <v>62.2</v>
      </c>
      <c r="AV1060" s="74" t="n">
        <v>9.299926653</v>
      </c>
      <c r="AW1060" s="74" t="n">
        <v>10.931157887</v>
      </c>
      <c r="AX1060" s="75" t="n">
        <v>100</v>
      </c>
      <c r="AY1060" s="71" t="n">
        <v>34400000</v>
      </c>
      <c r="AZ1060" s="71" t="n">
        <v>34400000</v>
      </c>
      <c r="BA1060" s="71" t="n">
        <v>2278482.03</v>
      </c>
      <c r="BB1060" s="71" t="n">
        <v>2274252</v>
      </c>
      <c r="BC1060" s="69" t="inlineStr">
        <is>
          <t>Acquisition</t>
        </is>
      </c>
      <c r="BD1060" s="69" t="inlineStr">
        <is>
          <t>N</t>
        </is>
      </c>
      <c r="BE1060" s="71" t="n"/>
      <c r="BF1060" s="71" t="n"/>
      <c r="BG1060" s="71" t="n"/>
      <c r="BH1060" s="71" t="n">
        <v>0</v>
      </c>
      <c r="BI1060" s="71" t="n">
        <v>0</v>
      </c>
      <c r="BJ1060" s="69" t="inlineStr">
        <is>
          <t>N</t>
        </is>
      </c>
      <c r="BK1060" s="69" t="inlineStr">
        <is>
          <t>LA Fitness</t>
        </is>
      </c>
      <c r="BL1060" s="75" t="n">
        <v>46.41</v>
      </c>
      <c r="BM1060" s="73" t="n">
        <v>50313</v>
      </c>
      <c r="BN1060" s="69" t="inlineStr">
        <is>
          <t>Ernest W. Livingston, Jr.</t>
        </is>
      </c>
      <c r="BO1060" s="69" t="inlineStr">
        <is>
          <t>Goldman Sachs</t>
        </is>
      </c>
      <c r="BP1060" s="69" t="inlineStr">
        <is>
          <t>Midland Loan Services</t>
        </is>
      </c>
      <c r="BQ1060" s="69" t="inlineStr">
        <is>
          <t>K-Star Asset Management LLC</t>
        </is>
      </c>
      <c r="BR1060" s="69" t="n"/>
      <c r="BS1060" s="73" t="n">
        <v>46273</v>
      </c>
      <c r="BU1060" s="76">
        <f>IF($C1060="","",IFERROR(INDEX(dmName,MATCH($C1060,dmID,0)),"Unmapped"))</f>
        <v/>
      </c>
      <c r="BV1060" s="76">
        <f>IF($C1060="","",IFERROR(INDEX(dmEntity,MATCH($C1060,dmID,0)),"Unmapped"))</f>
        <v/>
      </c>
      <c r="BW1060" s="77">
        <f>IF($C1060="","",IFERROR(INDEX(dmVintage,MATCH($C1060,dmID,0)),""))</f>
        <v/>
      </c>
      <c r="BX1060" s="78">
        <f>IFERROR(INDEX(dmInclude,MATCH($C1060,dmID,0)),0)</f>
        <v/>
      </c>
      <c r="BY1060" s="78">
        <f>IF(N($I1060)&gt;0,1,0)</f>
        <v/>
      </c>
      <c r="BZ1060" s="76">
        <f>IF($AJ1060="","Other / Leased Fee",IFERROR(INDEX(mapPTGroup,MATCH(LEFT(TRIM($AJ1060),2),mapPTCode,0)),"Other / Leased Fee"))</f>
        <v/>
      </c>
      <c r="CA1060" s="76">
        <f>IF(TRIM($AF1060&amp;"")="","NR",LEFT(TRIM($AF1060),2))</f>
        <v/>
      </c>
      <c r="CB1060" s="76">
        <f>IFERROR(LOOKUP(2,1/(LEFT(TRIM($AI1060&amp;""),LEN(mapRegion))=mapRegion),mapRegion),"Not Reported")</f>
        <v/>
      </c>
      <c r="CC1060" s="76">
        <f>IF($BY1060=0,"",IF(TRIM($W1060&amp;"")="REO","REO",IF(TRIM($W1060&amp;"")="FC","Foreclosure",IF(TRIM($W1060&amp;"")="90+","90+ Days Delinquent",IF(TRIM($W1060&amp;"")="60","60 Days Delinquent",IF(TRIM($W1060&amp;"")="30","30 Days Delinquent",IF($X1060="Non-Performing Matured Balloon","Non-Performing Matured Balloon",IF(OR($X1060="Late Payment But Less Than 30 Days Delinquent",LEFT($X1060&amp;"",20)="Payment Not Received"),"Late / In Grace (&lt;30 Days)",IF($X1060="Performing Matured Balloon","Performing Matured Balloon","Current")))))))))</f>
        <v/>
      </c>
      <c r="CD1060" s="78">
        <f>IF(OR($CC1060="REO",$CC1060="Foreclosure",$CC1060="90+ Days Delinquent",$CC1060="60 Days Delinquent",$CC1060="30 Days Delinquent",$CC1060="Non-Performing Matured Balloon"),1,0)</f>
        <v/>
      </c>
      <c r="CE1060" s="76">
        <f>IF($AB1060="Currently special serv","Currently Specially Serviced",IF($AB1060="Returned to master serv","Previously Specially Serviced","Never Specially Serviced"))</f>
        <v/>
      </c>
      <c r="CF1060" s="78">
        <f>IF($CE1060="Currently Specially Serviced",1,0)</f>
        <v/>
      </c>
      <c r="CG1060" s="76">
        <f>IF($AA1060="Yes","Currently on Watchlist",IF($AA1060="Previously","Previously on Watchlist","Never on Watchlist"))</f>
        <v/>
      </c>
      <c r="CH1060" s="78">
        <f>IF($CG1060="Currently on Watchlist",1,0)</f>
        <v/>
      </c>
      <c r="CI1060" s="76">
        <f>IF($Z1060="Full Defeasance","Fully Defeased",IF($Z1060="Portion Of Loan Previously Defeased","Partially Defeased",IF($Z1060="Defeasance Not Allowable","Not Defeased (Not Permitted)","Not Defeased")))</f>
        <v/>
      </c>
      <c r="CJ1060" s="78">
        <f>IF($CI1060="Fully Defeased",1,0)</f>
        <v/>
      </c>
      <c r="CK1060" s="76">
        <f>IF($R1060="IO","Full IO",IF(LEFT($R1060&amp;"",7)="IO then","Partial IO","Amortizing"))</f>
        <v/>
      </c>
      <c r="CL1060" s="78">
        <f>IF($CK1060="Full IO",1,0)</f>
        <v/>
      </c>
      <c r="CM1060" s="78">
        <f>IF($CK1060="Partial IO",1,0)</f>
        <v/>
      </c>
      <c r="CN1060" s="76">
        <f>IF(LEFT($F1060&amp;"",10)="SPLIT_LOAN","Pari Passu Split","Standalone")</f>
        <v/>
      </c>
      <c r="CO1060" s="78">
        <f>IF($CN1060="Pari Passu Split",1,0)</f>
        <v/>
      </c>
      <c r="CP1060" s="77">
        <f>IF(ISNUMBER($T1060),YEAR($T1060),"")</f>
        <v/>
      </c>
      <c r="CQ1060" s="79">
        <f>IF(ISNUMBER($V1060),$V1060,IF(ISNUMBER($U1060),$U1060,""))</f>
        <v/>
      </c>
      <c r="CR1060" s="77">
        <f>IF(ISNUMBER($CQ1060),YEAR($CQ1060),"")</f>
        <v/>
      </c>
      <c r="CS1060" s="78">
        <f>IF(ISNUMBER($M1060),MAX(0,$M1060),IF(TRIM($M1060&amp;"")="matured",0,""))</f>
        <v/>
      </c>
      <c r="CT1060" s="78">
        <f>IF(AND(ISNUMBER($CS1060),N($CS1060)&lt;=mMatWindow),1,0)</f>
        <v/>
      </c>
      <c r="CU1060" s="80">
        <f>IF(ISNUMBER($J1060),$J1060/100,"")</f>
        <v/>
      </c>
      <c r="CV1060" s="81">
        <f>IF(ISNUMBER($AQ1060),$AQ1060,"")</f>
        <v/>
      </c>
      <c r="CW1060" s="81">
        <f>IF(ISNUMBER($AR1060),$AR1060,"")</f>
        <v/>
      </c>
      <c r="CX1060" s="82">
        <f>IF(ISNUMBER($AS1060),$AS1060/100,"")</f>
        <v/>
      </c>
      <c r="CY1060" s="82">
        <f>IF(ISNUMBER($AT1060),$AT1060/100,"")</f>
        <v/>
      </c>
      <c r="CZ1060" s="82">
        <f>IF(ISNUMBER($AU1060),$AU1060/100,"")</f>
        <v/>
      </c>
      <c r="DA1060" s="82">
        <f>IF(ISNUMBER($AV1060),$AV1060/100,"")</f>
        <v/>
      </c>
      <c r="DB1060" s="82">
        <f>IF(ISNUMBER($AW1060),$AW1060/100,"")</f>
        <v/>
      </c>
      <c r="DC1060" s="82">
        <f>IF(ISNUMBER($AX1060),$AX1060/100,"")</f>
        <v/>
      </c>
      <c r="DD1060" s="77">
        <f>IFERROR(VALUE(LEFT(TRIM($AO1060&amp;""),4)),"")</f>
        <v/>
      </c>
      <c r="DE1060" s="78">
        <f>IF(AND($BY1060=1,$BX1060=1,OR(fDeal="All Deals",$BU1060=fDeal),OR(fEntity="All Entities",$BV1060=fEntity),OR(fPType="All Property Types",$BZ1060=fPType),OR(fDefeased="Include",$CJ1060=0)),1,0)</f>
        <v/>
      </c>
      <c r="DF1060" s="83">
        <f>$DE1060*N($I1060)</f>
        <v/>
      </c>
      <c r="DG1060" s="78">
        <f>IF($DE1060=1,IF(COUNTIFS($F$8:$F1060,$F1060,$DE$8:$DE1060,1)=1,1,0),0)</f>
        <v/>
      </c>
      <c r="DH1060" s="83">
        <f>IF($DG1060=1,SUMIFS($DF$8:$DF$1600,$F$8:$F$1600,$F1060),0)</f>
        <v/>
      </c>
      <c r="DI1060" s="78">
        <f>IF($DG1060=1,COUNTIFS($F$8:$F$1600,$F1060,$DE$8:$DE$1600,1),0)</f>
        <v/>
      </c>
      <c r="DJ1060" s="84">
        <f>IF($DG1060=1,$DH1060+(100000-ROW())/mTieBreak,0)</f>
        <v/>
      </c>
    </row>
    <row r="1061">
      <c r="B1061" s="68" t="n">
        <v>14</v>
      </c>
      <c r="C1061" s="69" t="inlineStr">
        <is>
          <t>GS217GS6</t>
        </is>
      </c>
      <c r="D1061" s="69" t="inlineStr">
        <is>
          <t>14.000</t>
        </is>
      </c>
      <c r="E1061" s="69" t="inlineStr">
        <is>
          <t>River Ranch</t>
        </is>
      </c>
      <c r="F1061" s="69" t="inlineStr">
        <is>
          <t>LNGS217GS6-14.000</t>
        </is>
      </c>
      <c r="G1061" s="70" t="n"/>
      <c r="H1061" s="71" t="n">
        <v>18725000</v>
      </c>
      <c r="I1061" s="71" t="n">
        <v>15550479.54000467</v>
      </c>
      <c r="J1061" s="72" t="n">
        <v>4.88</v>
      </c>
      <c r="K1061" s="69" t="inlineStr">
        <is>
          <t>Fixed rate</t>
        </is>
      </c>
      <c r="L1061" s="68" t="n">
        <v>120</v>
      </c>
      <c r="M1061" s="68" t="n">
        <v>6</v>
      </c>
      <c r="N1061" s="68" t="n">
        <v>360</v>
      </c>
      <c r="O1061" s="68" t="n"/>
      <c r="P1061" s="68" t="n"/>
      <c r="Q1061" s="68" t="n">
        <v>114</v>
      </c>
      <c r="R1061" s="69" t="n"/>
      <c r="S1061" s="69" t="inlineStr">
        <is>
          <t>No</t>
        </is>
      </c>
      <c r="T1061" s="73" t="n">
        <v>42795</v>
      </c>
      <c r="U1061" s="73" t="n">
        <v>46452</v>
      </c>
      <c r="V1061" s="73" t="n"/>
      <c r="W1061" s="69" t="n"/>
      <c r="X1061" s="69" t="inlineStr">
        <is>
          <t>Current</t>
        </is>
      </c>
      <c r="Y1061" s="68" t="n"/>
      <c r="Z1061" s="69" t="inlineStr">
        <is>
          <t>No Defeasance Occurred</t>
        </is>
      </c>
      <c r="AA1061" s="69" t="inlineStr">
        <is>
          <t>Yes</t>
        </is>
      </c>
      <c r="AB1061" s="69" t="inlineStr">
        <is>
          <t>Never special serv</t>
        </is>
      </c>
      <c r="AC1061" s="73" t="n"/>
      <c r="AD1061" s="69" t="n"/>
      <c r="AE1061" s="69" t="n"/>
      <c r="AF1061" s="69" t="inlineStr">
        <is>
          <t>LA</t>
        </is>
      </c>
      <c r="AG1061" s="69" t="inlineStr">
        <is>
          <t>Lafayette</t>
        </is>
      </c>
      <c r="AH1061" s="69" t="inlineStr">
        <is>
          <t>Lafayette, LA</t>
        </is>
      </c>
      <c r="AI1061" s="69" t="inlineStr">
        <is>
          <t>South / Central West</t>
        </is>
      </c>
      <c r="AJ1061" s="69" t="inlineStr">
        <is>
          <t>MX</t>
        </is>
      </c>
      <c r="AK1061" s="69" t="inlineStr">
        <is>
          <t>Retail/Multifamily</t>
        </is>
      </c>
      <c r="AL1061" s="68" t="n">
        <v>1</v>
      </c>
      <c r="AM1061" s="68" t="n"/>
      <c r="AN1061" s="68" t="n">
        <v>140701</v>
      </c>
      <c r="AO1061" s="69" t="inlineStr">
        <is>
          <t>2001-2006</t>
        </is>
      </c>
      <c r="AP1061" s="70" t="n">
        <v>2006</v>
      </c>
      <c r="AQ1061" s="74" t="n">
        <v>1.52</v>
      </c>
      <c r="AR1061" s="74" t="n">
        <v>1.47</v>
      </c>
      <c r="AS1061" s="74" t="n">
        <v>70.36</v>
      </c>
      <c r="AT1061" s="74" t="n">
        <v>58.57</v>
      </c>
      <c r="AU1061" s="74" t="n">
        <v>57.76</v>
      </c>
      <c r="AV1061" s="74" t="n">
        <v>9.650800427</v>
      </c>
      <c r="AW1061" s="74" t="n">
        <v>9.703225332000001</v>
      </c>
      <c r="AX1061" s="75" t="n">
        <v>100</v>
      </c>
      <c r="AY1061" s="71" t="n">
        <v>26550000</v>
      </c>
      <c r="AZ1061" s="71" t="n">
        <v>26550000</v>
      </c>
      <c r="BA1061" s="71" t="n">
        <v>1807112.38</v>
      </c>
      <c r="BB1061" s="71" t="n">
        <v>436894.3</v>
      </c>
      <c r="BC1061" s="69" t="inlineStr">
        <is>
          <t>Refinance</t>
        </is>
      </c>
      <c r="BD1061" s="69" t="inlineStr">
        <is>
          <t>N</t>
        </is>
      </c>
      <c r="BE1061" s="71" t="n"/>
      <c r="BF1061" s="71" t="n"/>
      <c r="BG1061" s="71" t="n"/>
      <c r="BH1061" s="71" t="n">
        <v>0</v>
      </c>
      <c r="BI1061" s="71" t="n">
        <v>0</v>
      </c>
      <c r="BJ1061" s="69" t="inlineStr">
        <is>
          <t>N</t>
        </is>
      </c>
      <c r="BK1061" s="69" t="inlineStr">
        <is>
          <t>The Fresh Market</t>
        </is>
      </c>
      <c r="BL1061" s="75" t="n">
        <v>15.82</v>
      </c>
      <c r="BM1061" s="73" t="n">
        <v>47087</v>
      </c>
      <c r="BN1061" s="69" t="inlineStr">
        <is>
          <t>Rodney L. Savoy and Robert Gagnard</t>
        </is>
      </c>
      <c r="BO1061" s="69" t="inlineStr">
        <is>
          <t>Goldman Sachs</t>
        </is>
      </c>
      <c r="BP1061" s="69" t="inlineStr">
        <is>
          <t>Midland Loan Services</t>
        </is>
      </c>
      <c r="BQ1061" s="69" t="inlineStr">
        <is>
          <t>K-Star Asset Management LLC</t>
        </is>
      </c>
      <c r="BR1061" s="69" t="n"/>
      <c r="BS1061" s="73" t="n">
        <v>46273</v>
      </c>
      <c r="BU1061" s="76">
        <f>IF($C1061="","",IFERROR(INDEX(dmName,MATCH($C1061,dmID,0)),"Unmapped"))</f>
        <v/>
      </c>
      <c r="BV1061" s="76">
        <f>IF($C1061="","",IFERROR(INDEX(dmEntity,MATCH($C1061,dmID,0)),"Unmapped"))</f>
        <v/>
      </c>
      <c r="BW1061" s="77">
        <f>IF($C1061="","",IFERROR(INDEX(dmVintage,MATCH($C1061,dmID,0)),""))</f>
        <v/>
      </c>
      <c r="BX1061" s="78">
        <f>IFERROR(INDEX(dmInclude,MATCH($C1061,dmID,0)),0)</f>
        <v/>
      </c>
      <c r="BY1061" s="78">
        <f>IF(N($I1061)&gt;0,1,0)</f>
        <v/>
      </c>
      <c r="BZ1061" s="76">
        <f>IF($AJ1061="","Other / Leased Fee",IFERROR(INDEX(mapPTGroup,MATCH(LEFT(TRIM($AJ1061),2),mapPTCode,0)),"Other / Leased Fee"))</f>
        <v/>
      </c>
      <c r="CA1061" s="76">
        <f>IF(TRIM($AF1061&amp;"")="","NR",LEFT(TRIM($AF1061),2))</f>
        <v/>
      </c>
      <c r="CB1061" s="76">
        <f>IFERROR(LOOKUP(2,1/(LEFT(TRIM($AI1061&amp;""),LEN(mapRegion))=mapRegion),mapRegion),"Not Reported")</f>
        <v/>
      </c>
      <c r="CC1061" s="76">
        <f>IF($BY1061=0,"",IF(TRIM($W1061&amp;"")="REO","REO",IF(TRIM($W1061&amp;"")="FC","Foreclosure",IF(TRIM($W1061&amp;"")="90+","90+ Days Delinquent",IF(TRIM($W1061&amp;"")="60","60 Days Delinquent",IF(TRIM($W1061&amp;"")="30","30 Days Delinquent",IF($X1061="Non-Performing Matured Balloon","Non-Performing Matured Balloon",IF(OR($X1061="Late Payment But Less Than 30 Days Delinquent",LEFT($X1061&amp;"",20)="Payment Not Received"),"Late / In Grace (&lt;30 Days)",IF($X1061="Performing Matured Balloon","Performing Matured Balloon","Current")))))))))</f>
        <v/>
      </c>
      <c r="CD1061" s="78">
        <f>IF(OR($CC1061="REO",$CC1061="Foreclosure",$CC1061="90+ Days Delinquent",$CC1061="60 Days Delinquent",$CC1061="30 Days Delinquent",$CC1061="Non-Performing Matured Balloon"),1,0)</f>
        <v/>
      </c>
      <c r="CE1061" s="76">
        <f>IF($AB1061="Currently special serv","Currently Specially Serviced",IF($AB1061="Returned to master serv","Previously Specially Serviced","Never Specially Serviced"))</f>
        <v/>
      </c>
      <c r="CF1061" s="78">
        <f>IF($CE1061="Currently Specially Serviced",1,0)</f>
        <v/>
      </c>
      <c r="CG1061" s="76">
        <f>IF($AA1061="Yes","Currently on Watchlist",IF($AA1061="Previously","Previously on Watchlist","Never on Watchlist"))</f>
        <v/>
      </c>
      <c r="CH1061" s="78">
        <f>IF($CG1061="Currently on Watchlist",1,0)</f>
        <v/>
      </c>
      <c r="CI1061" s="76">
        <f>IF($Z1061="Full Defeasance","Fully Defeased",IF($Z1061="Portion Of Loan Previously Defeased","Partially Defeased",IF($Z1061="Defeasance Not Allowable","Not Defeased (Not Permitted)","Not Defeased")))</f>
        <v/>
      </c>
      <c r="CJ1061" s="78">
        <f>IF($CI1061="Fully Defeased",1,0)</f>
        <v/>
      </c>
      <c r="CK1061" s="76">
        <f>IF($R1061="IO","Full IO",IF(LEFT($R1061&amp;"",7)="IO then","Partial IO","Amortizing"))</f>
        <v/>
      </c>
      <c r="CL1061" s="78">
        <f>IF($CK1061="Full IO",1,0)</f>
        <v/>
      </c>
      <c r="CM1061" s="78">
        <f>IF($CK1061="Partial IO",1,0)</f>
        <v/>
      </c>
      <c r="CN1061" s="76">
        <f>IF(LEFT($F1061&amp;"",10)="SPLIT_LOAN","Pari Passu Split","Standalone")</f>
        <v/>
      </c>
      <c r="CO1061" s="78">
        <f>IF($CN1061="Pari Passu Split",1,0)</f>
        <v/>
      </c>
      <c r="CP1061" s="77">
        <f>IF(ISNUMBER($T1061),YEAR($T1061),"")</f>
        <v/>
      </c>
      <c r="CQ1061" s="79">
        <f>IF(ISNUMBER($V1061),$V1061,IF(ISNUMBER($U1061),$U1061,""))</f>
        <v/>
      </c>
      <c r="CR1061" s="77">
        <f>IF(ISNUMBER($CQ1061),YEAR($CQ1061),"")</f>
        <v/>
      </c>
      <c r="CS1061" s="78">
        <f>IF(ISNUMBER($M1061),MAX(0,$M1061),IF(TRIM($M1061&amp;"")="matured",0,""))</f>
        <v/>
      </c>
      <c r="CT1061" s="78">
        <f>IF(AND(ISNUMBER($CS1061),N($CS1061)&lt;=mMatWindow),1,0)</f>
        <v/>
      </c>
      <c r="CU1061" s="80">
        <f>IF(ISNUMBER($J1061),$J1061/100,"")</f>
        <v/>
      </c>
      <c r="CV1061" s="81">
        <f>IF(ISNUMBER($AQ1061),$AQ1061,"")</f>
        <v/>
      </c>
      <c r="CW1061" s="81">
        <f>IF(ISNUMBER($AR1061),$AR1061,"")</f>
        <v/>
      </c>
      <c r="CX1061" s="82">
        <f>IF(ISNUMBER($AS1061),$AS1061/100,"")</f>
        <v/>
      </c>
      <c r="CY1061" s="82">
        <f>IF(ISNUMBER($AT1061),$AT1061/100,"")</f>
        <v/>
      </c>
      <c r="CZ1061" s="82">
        <f>IF(ISNUMBER($AU1061),$AU1061/100,"")</f>
        <v/>
      </c>
      <c r="DA1061" s="82">
        <f>IF(ISNUMBER($AV1061),$AV1061/100,"")</f>
        <v/>
      </c>
      <c r="DB1061" s="82">
        <f>IF(ISNUMBER($AW1061),$AW1061/100,"")</f>
        <v/>
      </c>
      <c r="DC1061" s="82">
        <f>IF(ISNUMBER($AX1061),$AX1061/100,"")</f>
        <v/>
      </c>
      <c r="DD1061" s="77">
        <f>IFERROR(VALUE(LEFT(TRIM($AO1061&amp;""),4)),"")</f>
        <v/>
      </c>
      <c r="DE1061" s="78">
        <f>IF(AND($BY1061=1,$BX1061=1,OR(fDeal="All Deals",$BU1061=fDeal),OR(fEntity="All Entities",$BV1061=fEntity),OR(fPType="All Property Types",$BZ1061=fPType),OR(fDefeased="Include",$CJ1061=0)),1,0)</f>
        <v/>
      </c>
      <c r="DF1061" s="83">
        <f>$DE1061*N($I1061)</f>
        <v/>
      </c>
      <c r="DG1061" s="78">
        <f>IF($DE1061=1,IF(COUNTIFS($F$8:$F1061,$F1061,$DE$8:$DE1061,1)=1,1,0),0)</f>
        <v/>
      </c>
      <c r="DH1061" s="83">
        <f>IF($DG1061=1,SUMIFS($DF$8:$DF$1600,$F$8:$F$1600,$F1061),0)</f>
        <v/>
      </c>
      <c r="DI1061" s="78">
        <f>IF($DG1061=1,COUNTIFS($F$8:$F$1600,$F1061,$DE$8:$DE$1600,1),0)</f>
        <v/>
      </c>
      <c r="DJ1061" s="84">
        <f>IF($DG1061=1,$DH1061+(100000-ROW())/mTieBreak,0)</f>
        <v/>
      </c>
    </row>
    <row r="1062">
      <c r="B1062" s="68" t="n">
        <v>15</v>
      </c>
      <c r="C1062" s="69" t="inlineStr">
        <is>
          <t>GS217GS6</t>
        </is>
      </c>
      <c r="D1062" s="69" t="inlineStr">
        <is>
          <t>15.000</t>
        </is>
      </c>
      <c r="E1062" s="69" t="inlineStr">
        <is>
          <t>Holiday Inn Charleston</t>
        </is>
      </c>
      <c r="F1062" s="69" t="inlineStr">
        <is>
          <t>LNGS217GS6-15.000</t>
        </is>
      </c>
      <c r="G1062" s="70" t="n"/>
      <c r="H1062" s="71" t="n">
        <v>17500000</v>
      </c>
      <c r="I1062" s="71" t="n">
        <v>14416777.579995</v>
      </c>
      <c r="J1062" s="72" t="n">
        <v>4.5575</v>
      </c>
      <c r="K1062" s="69" t="inlineStr">
        <is>
          <t>Fixed rate</t>
        </is>
      </c>
      <c r="L1062" s="68" t="n">
        <v>120</v>
      </c>
      <c r="M1062" s="68" t="n">
        <v>7</v>
      </c>
      <c r="N1062" s="68" t="n">
        <v>360</v>
      </c>
      <c r="O1062" s="68" t="n"/>
      <c r="P1062" s="68" t="n"/>
      <c r="Q1062" s="68" t="n">
        <v>113</v>
      </c>
      <c r="R1062" s="69" t="n"/>
      <c r="S1062" s="69" t="inlineStr">
        <is>
          <t>No</t>
        </is>
      </c>
      <c r="T1062" s="73" t="n">
        <v>42826</v>
      </c>
      <c r="U1062" s="73" t="n">
        <v>46483</v>
      </c>
      <c r="V1062" s="73" t="n"/>
      <c r="W1062" s="69" t="n"/>
      <c r="X1062" s="69" t="inlineStr">
        <is>
          <t>Current</t>
        </is>
      </c>
      <c r="Y1062" s="68" t="n"/>
      <c r="Z1062" s="69" t="inlineStr">
        <is>
          <t>Full Defeasance</t>
        </is>
      </c>
      <c r="AA1062" s="69" t="inlineStr">
        <is>
          <t>Previously</t>
        </is>
      </c>
      <c r="AB1062" s="69" t="inlineStr">
        <is>
          <t>Never special serv</t>
        </is>
      </c>
      <c r="AC1062" s="73" t="n"/>
      <c r="AD1062" s="69" t="n"/>
      <c r="AE1062" s="69" t="n"/>
      <c r="AF1062" s="69" t="inlineStr">
        <is>
          <t>SC</t>
        </is>
      </c>
      <c r="AG1062" s="69" t="inlineStr">
        <is>
          <t>Charleston</t>
        </is>
      </c>
      <c r="AH1062" s="69" t="inlineStr">
        <is>
          <t>Charleston-North Charleston, SC</t>
        </is>
      </c>
      <c r="AI1062" s="69" t="inlineStr">
        <is>
          <t>South / Atlantic</t>
        </is>
      </c>
      <c r="AJ1062" s="69" t="inlineStr">
        <is>
          <t>HT</t>
        </is>
      </c>
      <c r="AK1062" s="69" t="inlineStr">
        <is>
          <t>Full Service</t>
        </is>
      </c>
      <c r="AL1062" s="68" t="n">
        <v>1</v>
      </c>
      <c r="AM1062" s="68" t="n">
        <v>120</v>
      </c>
      <c r="AN1062" s="68" t="n"/>
      <c r="AO1062" s="69" t="inlineStr">
        <is>
          <t>2013</t>
        </is>
      </c>
      <c r="AP1062" s="70" t="n">
        <v>2013</v>
      </c>
      <c r="AQ1062" s="74" t="n">
        <v>2.32</v>
      </c>
      <c r="AR1062" s="74" t="n">
        <v>3.34</v>
      </c>
      <c r="AS1062" s="74" t="n">
        <v>58.06</v>
      </c>
      <c r="AT1062" s="74" t="n">
        <v>47.9</v>
      </c>
      <c r="AU1062" s="74" t="n">
        <v>47.1</v>
      </c>
      <c r="AV1062" s="74" t="n">
        <v>14.209055314</v>
      </c>
      <c r="AW1062" s="74" t="n">
        <v>22.711379792</v>
      </c>
      <c r="AX1062" s="75" t="n">
        <v>72</v>
      </c>
      <c r="AY1062" s="71" t="n">
        <v>30100000</v>
      </c>
      <c r="AZ1062" s="71" t="n">
        <v>30100000</v>
      </c>
      <c r="BA1062" s="71" t="n">
        <v>2486584.68</v>
      </c>
      <c r="BB1062" s="71" t="n">
        <v>3573813.55</v>
      </c>
      <c r="BC1062" s="69" t="inlineStr">
        <is>
          <t>Refinance</t>
        </is>
      </c>
      <c r="BD1062" s="69" t="inlineStr">
        <is>
          <t>N</t>
        </is>
      </c>
      <c r="BE1062" s="71" t="n"/>
      <c r="BF1062" s="71" t="n"/>
      <c r="BG1062" s="71" t="n"/>
      <c r="BH1062" s="71" t="n">
        <v>0</v>
      </c>
      <c r="BI1062" s="71" t="n">
        <v>0</v>
      </c>
      <c r="BJ1062" s="69" t="inlineStr">
        <is>
          <t>Y</t>
        </is>
      </c>
      <c r="BK1062" s="69" t="n"/>
      <c r="BL1062" s="75" t="n"/>
      <c r="BM1062" s="73" t="n"/>
      <c r="BN1062" s="69" t="inlineStr">
        <is>
          <t>Pratapkumar B. Patel, Yogendrakumar H. Patel, Jayshree Patel, Rashmi Patel, Urvashi H. Patel, Urvashi H. Patel, as Trustee of The Hasmukh Patel Revocable Living Trust Dated September 24, 2015, Yogendrakumar H. Patel, as Trustee of The Yogendrakumar Patel Revocable Living Trust Dated December 16, 2015, Jayshree Patel, as Trustee of The Jayshree Patel Revocable Living Trust Dated December 16, 2015, Pratapkumar Patel, as Trustee of The Pratapkumar Patel Revocable Living Trust Dated December 21, 201</t>
        </is>
      </c>
      <c r="BO1062" s="69" t="inlineStr">
        <is>
          <t>Goldman Sachs</t>
        </is>
      </c>
      <c r="BP1062" s="69" t="inlineStr">
        <is>
          <t>Midland Loan Services</t>
        </is>
      </c>
      <c r="BQ1062" s="69" t="inlineStr">
        <is>
          <t>K-Star Asset Management LLC</t>
        </is>
      </c>
      <c r="BR1062" s="69" t="n"/>
      <c r="BS1062" s="73" t="n">
        <v>46273</v>
      </c>
      <c r="BU1062" s="76">
        <f>IF($C1062="","",IFERROR(INDEX(dmName,MATCH($C1062,dmID,0)),"Unmapped"))</f>
        <v/>
      </c>
      <c r="BV1062" s="76">
        <f>IF($C1062="","",IFERROR(INDEX(dmEntity,MATCH($C1062,dmID,0)),"Unmapped"))</f>
        <v/>
      </c>
      <c r="BW1062" s="77">
        <f>IF($C1062="","",IFERROR(INDEX(dmVintage,MATCH($C1062,dmID,0)),""))</f>
        <v/>
      </c>
      <c r="BX1062" s="78">
        <f>IFERROR(INDEX(dmInclude,MATCH($C1062,dmID,0)),0)</f>
        <v/>
      </c>
      <c r="BY1062" s="78">
        <f>IF(N($I1062)&gt;0,1,0)</f>
        <v/>
      </c>
      <c r="BZ1062" s="76">
        <f>IF($AJ1062="","Other / Leased Fee",IFERROR(INDEX(mapPTGroup,MATCH(LEFT(TRIM($AJ1062),2),mapPTCode,0)),"Other / Leased Fee"))</f>
        <v/>
      </c>
      <c r="CA1062" s="76">
        <f>IF(TRIM($AF1062&amp;"")="","NR",LEFT(TRIM($AF1062),2))</f>
        <v/>
      </c>
      <c r="CB1062" s="76">
        <f>IFERROR(LOOKUP(2,1/(LEFT(TRIM($AI1062&amp;""),LEN(mapRegion))=mapRegion),mapRegion),"Not Reported")</f>
        <v/>
      </c>
      <c r="CC1062" s="76">
        <f>IF($BY1062=0,"",IF(TRIM($W1062&amp;"")="REO","REO",IF(TRIM($W1062&amp;"")="FC","Foreclosure",IF(TRIM($W1062&amp;"")="90+","90+ Days Delinquent",IF(TRIM($W1062&amp;"")="60","60 Days Delinquent",IF(TRIM($W1062&amp;"")="30","30 Days Delinquent",IF($X1062="Non-Performing Matured Balloon","Non-Performing Matured Balloon",IF(OR($X1062="Late Payment But Less Than 30 Days Delinquent",LEFT($X1062&amp;"",20)="Payment Not Received"),"Late / In Grace (&lt;30 Days)",IF($X1062="Performing Matured Balloon","Performing Matured Balloon","Current")))))))))</f>
        <v/>
      </c>
      <c r="CD1062" s="78">
        <f>IF(OR($CC1062="REO",$CC1062="Foreclosure",$CC1062="90+ Days Delinquent",$CC1062="60 Days Delinquent",$CC1062="30 Days Delinquent",$CC1062="Non-Performing Matured Balloon"),1,0)</f>
        <v/>
      </c>
      <c r="CE1062" s="76">
        <f>IF($AB1062="Currently special serv","Currently Specially Serviced",IF($AB1062="Returned to master serv","Previously Specially Serviced","Never Specially Serviced"))</f>
        <v/>
      </c>
      <c r="CF1062" s="78">
        <f>IF($CE1062="Currently Specially Serviced",1,0)</f>
        <v/>
      </c>
      <c r="CG1062" s="76">
        <f>IF($AA1062="Yes","Currently on Watchlist",IF($AA1062="Previously","Previously on Watchlist","Never on Watchlist"))</f>
        <v/>
      </c>
      <c r="CH1062" s="78">
        <f>IF($CG1062="Currently on Watchlist",1,0)</f>
        <v/>
      </c>
      <c r="CI1062" s="76">
        <f>IF($Z1062="Full Defeasance","Fully Defeased",IF($Z1062="Portion Of Loan Previously Defeased","Partially Defeased",IF($Z1062="Defeasance Not Allowable","Not Defeased (Not Permitted)","Not Defeased")))</f>
        <v/>
      </c>
      <c r="CJ1062" s="78">
        <f>IF($CI1062="Fully Defeased",1,0)</f>
        <v/>
      </c>
      <c r="CK1062" s="76">
        <f>IF($R1062="IO","Full IO",IF(LEFT($R1062&amp;"",7)="IO then","Partial IO","Amortizing"))</f>
        <v/>
      </c>
      <c r="CL1062" s="78">
        <f>IF($CK1062="Full IO",1,0)</f>
        <v/>
      </c>
      <c r="CM1062" s="78">
        <f>IF($CK1062="Partial IO",1,0)</f>
        <v/>
      </c>
      <c r="CN1062" s="76">
        <f>IF(LEFT($F1062&amp;"",10)="SPLIT_LOAN","Pari Passu Split","Standalone")</f>
        <v/>
      </c>
      <c r="CO1062" s="78">
        <f>IF($CN1062="Pari Passu Split",1,0)</f>
        <v/>
      </c>
      <c r="CP1062" s="77">
        <f>IF(ISNUMBER($T1062),YEAR($T1062),"")</f>
        <v/>
      </c>
      <c r="CQ1062" s="79">
        <f>IF(ISNUMBER($V1062),$V1062,IF(ISNUMBER($U1062),$U1062,""))</f>
        <v/>
      </c>
      <c r="CR1062" s="77">
        <f>IF(ISNUMBER($CQ1062),YEAR($CQ1062),"")</f>
        <v/>
      </c>
      <c r="CS1062" s="78">
        <f>IF(ISNUMBER($M1062),MAX(0,$M1062),IF(TRIM($M1062&amp;"")="matured",0,""))</f>
        <v/>
      </c>
      <c r="CT1062" s="78">
        <f>IF(AND(ISNUMBER($CS1062),N($CS1062)&lt;=mMatWindow),1,0)</f>
        <v/>
      </c>
      <c r="CU1062" s="80">
        <f>IF(ISNUMBER($J1062),$J1062/100,"")</f>
        <v/>
      </c>
      <c r="CV1062" s="81">
        <f>IF(ISNUMBER($AQ1062),$AQ1062,"")</f>
        <v/>
      </c>
      <c r="CW1062" s="81">
        <f>IF(ISNUMBER($AR1062),$AR1062,"")</f>
        <v/>
      </c>
      <c r="CX1062" s="82">
        <f>IF(ISNUMBER($AS1062),$AS1062/100,"")</f>
        <v/>
      </c>
      <c r="CY1062" s="82">
        <f>IF(ISNUMBER($AT1062),$AT1062/100,"")</f>
        <v/>
      </c>
      <c r="CZ1062" s="82">
        <f>IF(ISNUMBER($AU1062),$AU1062/100,"")</f>
        <v/>
      </c>
      <c r="DA1062" s="82">
        <f>IF(ISNUMBER($AV1062),$AV1062/100,"")</f>
        <v/>
      </c>
      <c r="DB1062" s="82">
        <f>IF(ISNUMBER($AW1062),$AW1062/100,"")</f>
        <v/>
      </c>
      <c r="DC1062" s="82">
        <f>IF(ISNUMBER($AX1062),$AX1062/100,"")</f>
        <v/>
      </c>
      <c r="DD1062" s="77">
        <f>IFERROR(VALUE(LEFT(TRIM($AO1062&amp;""),4)),"")</f>
        <v/>
      </c>
      <c r="DE1062" s="78">
        <f>IF(AND($BY1062=1,$BX1062=1,OR(fDeal="All Deals",$BU1062=fDeal),OR(fEntity="All Entities",$BV1062=fEntity),OR(fPType="All Property Types",$BZ1062=fPType),OR(fDefeased="Include",$CJ1062=0)),1,0)</f>
        <v/>
      </c>
      <c r="DF1062" s="83">
        <f>$DE1062*N($I1062)</f>
        <v/>
      </c>
      <c r="DG1062" s="78">
        <f>IF($DE1062=1,IF(COUNTIFS($F$8:$F1062,$F1062,$DE$8:$DE1062,1)=1,1,0),0)</f>
        <v/>
      </c>
      <c r="DH1062" s="83">
        <f>IF($DG1062=1,SUMIFS($DF$8:$DF$1600,$F$8:$F$1600,$F1062),0)</f>
        <v/>
      </c>
      <c r="DI1062" s="78">
        <f>IF($DG1062=1,COUNTIFS($F$8:$F$1600,$F1062,$DE$8:$DE$1600,1),0)</f>
        <v/>
      </c>
      <c r="DJ1062" s="84">
        <f>IF($DG1062=1,$DH1062+(100000-ROW())/mTieBreak,0)</f>
        <v/>
      </c>
    </row>
    <row r="1063">
      <c r="B1063" s="68" t="n">
        <v>16</v>
      </c>
      <c r="C1063" s="69" t="inlineStr">
        <is>
          <t>GS217GS6</t>
        </is>
      </c>
      <c r="D1063" s="69" t="inlineStr">
        <is>
          <t>16.000</t>
        </is>
      </c>
      <c r="E1063" s="69" t="inlineStr">
        <is>
          <t>Boulevard Center II</t>
        </is>
      </c>
      <c r="F1063" s="69" t="inlineStr">
        <is>
          <t>LNGS217GS6-16.000</t>
        </is>
      </c>
      <c r="G1063" s="70" t="n"/>
      <c r="H1063" s="71" t="n">
        <v>15500000</v>
      </c>
      <c r="I1063" s="71" t="n">
        <v>13836475.310006</v>
      </c>
      <c r="J1063" s="72" t="n">
        <v>4.6945</v>
      </c>
      <c r="K1063" s="69" t="inlineStr">
        <is>
          <t>Fixed rate</t>
        </is>
      </c>
      <c r="L1063" s="68" t="n">
        <v>120</v>
      </c>
      <c r="M1063" s="68" t="n">
        <v>8</v>
      </c>
      <c r="N1063" s="68" t="n">
        <v>396</v>
      </c>
      <c r="O1063" s="68" t="n">
        <v>36</v>
      </c>
      <c r="P1063" s="68" t="n">
        <v>0</v>
      </c>
      <c r="Q1063" s="68" t="n">
        <v>112</v>
      </c>
      <c r="R1063" s="69" t="inlineStr">
        <is>
          <t>IO then Amort</t>
        </is>
      </c>
      <c r="S1063" s="69" t="inlineStr">
        <is>
          <t>No</t>
        </is>
      </c>
      <c r="T1063" s="73" t="n">
        <v>42856</v>
      </c>
      <c r="U1063" s="73" t="n">
        <v>46513</v>
      </c>
      <c r="V1063" s="73" t="n"/>
      <c r="W1063" s="69" t="n"/>
      <c r="X1063" s="69" t="inlineStr">
        <is>
          <t>Current</t>
        </is>
      </c>
      <c r="Y1063" s="68" t="n"/>
      <c r="Z1063" s="69" t="inlineStr">
        <is>
          <t>No Defeasance Occurred</t>
        </is>
      </c>
      <c r="AA1063" s="69" t="inlineStr">
        <is>
          <t>Yes</t>
        </is>
      </c>
      <c r="AB1063" s="69" t="inlineStr">
        <is>
          <t>Never special serv</t>
        </is>
      </c>
      <c r="AC1063" s="73" t="n"/>
      <c r="AD1063" s="69" t="n"/>
      <c r="AE1063" s="69" t="n"/>
      <c r="AF1063" s="69" t="inlineStr">
        <is>
          <t>CO</t>
        </is>
      </c>
      <c r="AG1063" s="69" t="inlineStr">
        <is>
          <t>Denver</t>
        </is>
      </c>
      <c r="AH1063" s="69" t="inlineStr">
        <is>
          <t>Denver-Aurora-Centennial, CO</t>
        </is>
      </c>
      <c r="AI1063" s="69" t="inlineStr">
        <is>
          <t>West / Mountain</t>
        </is>
      </c>
      <c r="AJ1063" s="69" t="inlineStr">
        <is>
          <t>RT</t>
        </is>
      </c>
      <c r="AK1063" s="69" t="inlineStr">
        <is>
          <t>Shadow Anchored</t>
        </is>
      </c>
      <c r="AL1063" s="68" t="n">
        <v>1</v>
      </c>
      <c r="AM1063" s="68" t="n"/>
      <c r="AN1063" s="68" t="n">
        <v>61085</v>
      </c>
      <c r="AO1063" s="69" t="inlineStr">
        <is>
          <t>1964</t>
        </is>
      </c>
      <c r="AP1063" s="70" t="n">
        <v>2000</v>
      </c>
      <c r="AQ1063" s="74" t="n">
        <v>1.38</v>
      </c>
      <c r="AR1063" s="74" t="n">
        <v>1.04</v>
      </c>
      <c r="AS1063" s="74" t="n">
        <v>71.86</v>
      </c>
      <c r="AT1063" s="74" t="n">
        <v>64.15000000000001</v>
      </c>
      <c r="AU1063" s="74" t="n">
        <v>63.18</v>
      </c>
      <c r="AV1063" s="74" t="n">
        <v>8.554487741999999</v>
      </c>
      <c r="AW1063" s="74" t="n">
        <v>7.831081585</v>
      </c>
      <c r="AX1063" s="75" t="n">
        <v>93</v>
      </c>
      <c r="AY1063" s="71" t="n">
        <v>21570000</v>
      </c>
      <c r="AZ1063" s="71" t="n">
        <v>21570000</v>
      </c>
      <c r="BA1063" s="71" t="n">
        <v>1325945.6</v>
      </c>
      <c r="BB1063" s="71" t="n">
        <v>250322.75</v>
      </c>
      <c r="BC1063" s="69" t="inlineStr">
        <is>
          <t>Refinance</t>
        </is>
      </c>
      <c r="BD1063" s="69" t="inlineStr">
        <is>
          <t>N</t>
        </is>
      </c>
      <c r="BE1063" s="71" t="n"/>
      <c r="BF1063" s="71" t="n"/>
      <c r="BG1063" s="71" t="n"/>
      <c r="BH1063" s="71" t="n">
        <v>0</v>
      </c>
      <c r="BI1063" s="71" t="n">
        <v>0</v>
      </c>
      <c r="BJ1063" s="69" t="inlineStr">
        <is>
          <t>N</t>
        </is>
      </c>
      <c r="BK1063" s="69" t="inlineStr">
        <is>
          <t>Guitar Center</t>
        </is>
      </c>
      <c r="BL1063" s="75" t="n">
        <v>27.51</v>
      </c>
      <c r="BM1063" s="73" t="n">
        <v>48610</v>
      </c>
      <c r="BN1063" s="69" t="inlineStr">
        <is>
          <t>Jerry J. Tepper and The Phoenix Limited Partnership</t>
        </is>
      </c>
      <c r="BO1063" s="69" t="inlineStr">
        <is>
          <t>Goldman Sachs</t>
        </is>
      </c>
      <c r="BP1063" s="69" t="inlineStr">
        <is>
          <t>Midland Loan Services</t>
        </is>
      </c>
      <c r="BQ1063" s="69" t="inlineStr">
        <is>
          <t>K-Star Asset Management LLC</t>
        </is>
      </c>
      <c r="BR1063" s="69" t="n"/>
      <c r="BS1063" s="73" t="n">
        <v>46273</v>
      </c>
      <c r="BU1063" s="76">
        <f>IF($C1063="","",IFERROR(INDEX(dmName,MATCH($C1063,dmID,0)),"Unmapped"))</f>
        <v/>
      </c>
      <c r="BV1063" s="76">
        <f>IF($C1063="","",IFERROR(INDEX(dmEntity,MATCH($C1063,dmID,0)),"Unmapped"))</f>
        <v/>
      </c>
      <c r="BW1063" s="77">
        <f>IF($C1063="","",IFERROR(INDEX(dmVintage,MATCH($C1063,dmID,0)),""))</f>
        <v/>
      </c>
      <c r="BX1063" s="78">
        <f>IFERROR(INDEX(dmInclude,MATCH($C1063,dmID,0)),0)</f>
        <v/>
      </c>
      <c r="BY1063" s="78">
        <f>IF(N($I1063)&gt;0,1,0)</f>
        <v/>
      </c>
      <c r="BZ1063" s="76">
        <f>IF($AJ1063="","Other / Leased Fee",IFERROR(INDEX(mapPTGroup,MATCH(LEFT(TRIM($AJ1063),2),mapPTCode,0)),"Other / Leased Fee"))</f>
        <v/>
      </c>
      <c r="CA1063" s="76">
        <f>IF(TRIM($AF1063&amp;"")="","NR",LEFT(TRIM($AF1063),2))</f>
        <v/>
      </c>
      <c r="CB1063" s="76">
        <f>IFERROR(LOOKUP(2,1/(LEFT(TRIM($AI1063&amp;""),LEN(mapRegion))=mapRegion),mapRegion),"Not Reported")</f>
        <v/>
      </c>
      <c r="CC1063" s="76">
        <f>IF($BY1063=0,"",IF(TRIM($W1063&amp;"")="REO","REO",IF(TRIM($W1063&amp;"")="FC","Foreclosure",IF(TRIM($W1063&amp;"")="90+","90+ Days Delinquent",IF(TRIM($W1063&amp;"")="60","60 Days Delinquent",IF(TRIM($W1063&amp;"")="30","30 Days Delinquent",IF($X1063="Non-Performing Matured Balloon","Non-Performing Matured Balloon",IF(OR($X1063="Late Payment But Less Than 30 Days Delinquent",LEFT($X1063&amp;"",20)="Payment Not Received"),"Late / In Grace (&lt;30 Days)",IF($X1063="Performing Matured Balloon","Performing Matured Balloon","Current")))))))))</f>
        <v/>
      </c>
      <c r="CD1063" s="78">
        <f>IF(OR($CC1063="REO",$CC1063="Foreclosure",$CC1063="90+ Days Delinquent",$CC1063="60 Days Delinquent",$CC1063="30 Days Delinquent",$CC1063="Non-Performing Matured Balloon"),1,0)</f>
        <v/>
      </c>
      <c r="CE1063" s="76">
        <f>IF($AB1063="Currently special serv","Currently Specially Serviced",IF($AB1063="Returned to master serv","Previously Specially Serviced","Never Specially Serviced"))</f>
        <v/>
      </c>
      <c r="CF1063" s="78">
        <f>IF($CE1063="Currently Specially Serviced",1,0)</f>
        <v/>
      </c>
      <c r="CG1063" s="76">
        <f>IF($AA1063="Yes","Currently on Watchlist",IF($AA1063="Previously","Previously on Watchlist","Never on Watchlist"))</f>
        <v/>
      </c>
      <c r="CH1063" s="78">
        <f>IF($CG1063="Currently on Watchlist",1,0)</f>
        <v/>
      </c>
      <c r="CI1063" s="76">
        <f>IF($Z1063="Full Defeasance","Fully Defeased",IF($Z1063="Portion Of Loan Previously Defeased","Partially Defeased",IF($Z1063="Defeasance Not Allowable","Not Defeased (Not Permitted)","Not Defeased")))</f>
        <v/>
      </c>
      <c r="CJ1063" s="78">
        <f>IF($CI1063="Fully Defeased",1,0)</f>
        <v/>
      </c>
      <c r="CK1063" s="76">
        <f>IF($R1063="IO","Full IO",IF(LEFT($R1063&amp;"",7)="IO then","Partial IO","Amortizing"))</f>
        <v/>
      </c>
      <c r="CL1063" s="78">
        <f>IF($CK1063="Full IO",1,0)</f>
        <v/>
      </c>
      <c r="CM1063" s="78">
        <f>IF($CK1063="Partial IO",1,0)</f>
        <v/>
      </c>
      <c r="CN1063" s="76">
        <f>IF(LEFT($F1063&amp;"",10)="SPLIT_LOAN","Pari Passu Split","Standalone")</f>
        <v/>
      </c>
      <c r="CO1063" s="78">
        <f>IF($CN1063="Pari Passu Split",1,0)</f>
        <v/>
      </c>
      <c r="CP1063" s="77">
        <f>IF(ISNUMBER($T1063),YEAR($T1063),"")</f>
        <v/>
      </c>
      <c r="CQ1063" s="79">
        <f>IF(ISNUMBER($V1063),$V1063,IF(ISNUMBER($U1063),$U1063,""))</f>
        <v/>
      </c>
      <c r="CR1063" s="77">
        <f>IF(ISNUMBER($CQ1063),YEAR($CQ1063),"")</f>
        <v/>
      </c>
      <c r="CS1063" s="78">
        <f>IF(ISNUMBER($M1063),MAX(0,$M1063),IF(TRIM($M1063&amp;"")="matured",0,""))</f>
        <v/>
      </c>
      <c r="CT1063" s="78">
        <f>IF(AND(ISNUMBER($CS1063),N($CS1063)&lt;=mMatWindow),1,0)</f>
        <v/>
      </c>
      <c r="CU1063" s="80">
        <f>IF(ISNUMBER($J1063),$J1063/100,"")</f>
        <v/>
      </c>
      <c r="CV1063" s="81">
        <f>IF(ISNUMBER($AQ1063),$AQ1063,"")</f>
        <v/>
      </c>
      <c r="CW1063" s="81">
        <f>IF(ISNUMBER($AR1063),$AR1063,"")</f>
        <v/>
      </c>
      <c r="CX1063" s="82">
        <f>IF(ISNUMBER($AS1063),$AS1063/100,"")</f>
        <v/>
      </c>
      <c r="CY1063" s="82">
        <f>IF(ISNUMBER($AT1063),$AT1063/100,"")</f>
        <v/>
      </c>
      <c r="CZ1063" s="82">
        <f>IF(ISNUMBER($AU1063),$AU1063/100,"")</f>
        <v/>
      </c>
      <c r="DA1063" s="82">
        <f>IF(ISNUMBER($AV1063),$AV1063/100,"")</f>
        <v/>
      </c>
      <c r="DB1063" s="82">
        <f>IF(ISNUMBER($AW1063),$AW1063/100,"")</f>
        <v/>
      </c>
      <c r="DC1063" s="82">
        <f>IF(ISNUMBER($AX1063),$AX1063/100,"")</f>
        <v/>
      </c>
      <c r="DD1063" s="77">
        <f>IFERROR(VALUE(LEFT(TRIM($AO1063&amp;""),4)),"")</f>
        <v/>
      </c>
      <c r="DE1063" s="78">
        <f>IF(AND($BY1063=1,$BX1063=1,OR(fDeal="All Deals",$BU1063=fDeal),OR(fEntity="All Entities",$BV1063=fEntity),OR(fPType="All Property Types",$BZ1063=fPType),OR(fDefeased="Include",$CJ1063=0)),1,0)</f>
        <v/>
      </c>
      <c r="DF1063" s="83">
        <f>$DE1063*N($I1063)</f>
        <v/>
      </c>
      <c r="DG1063" s="78">
        <f>IF($DE1063=1,IF(COUNTIFS($F$8:$F1063,$F1063,$DE$8:$DE1063,1)=1,1,0),0)</f>
        <v/>
      </c>
      <c r="DH1063" s="83">
        <f>IF($DG1063=1,SUMIFS($DF$8:$DF$1600,$F$8:$F$1600,$F1063),0)</f>
        <v/>
      </c>
      <c r="DI1063" s="78">
        <f>IF($DG1063=1,COUNTIFS($F$8:$F$1600,$F1063,$DE$8:$DE$1600,1),0)</f>
        <v/>
      </c>
      <c r="DJ1063" s="84">
        <f>IF($DG1063=1,$DH1063+(100000-ROW())/mTieBreak,0)</f>
        <v/>
      </c>
    </row>
    <row r="1064">
      <c r="B1064" s="68" t="n">
        <v>17</v>
      </c>
      <c r="C1064" s="69" t="inlineStr">
        <is>
          <t>GS217GS6</t>
        </is>
      </c>
      <c r="D1064" s="69" t="inlineStr">
        <is>
          <t>17.000</t>
        </is>
      </c>
      <c r="E1064" s="69" t="inlineStr">
        <is>
          <t>Courtyard Boise Meridian</t>
        </is>
      </c>
      <c r="F1064" s="69" t="inlineStr">
        <is>
          <t>LNGS217GS6-17.000</t>
        </is>
      </c>
      <c r="G1064" s="70" t="n"/>
      <c r="H1064" s="71" t="n">
        <v>15350000</v>
      </c>
      <c r="I1064" s="71" t="n">
        <v>12867293.96999475</v>
      </c>
      <c r="J1064" s="72" t="n">
        <v>5.1175</v>
      </c>
      <c r="K1064" s="69" t="inlineStr">
        <is>
          <t>Fixed rate</t>
        </is>
      </c>
      <c r="L1064" s="68" t="n">
        <v>120</v>
      </c>
      <c r="M1064" s="68" t="n">
        <v>7</v>
      </c>
      <c r="N1064" s="68" t="n">
        <v>360</v>
      </c>
      <c r="O1064" s="68" t="n"/>
      <c r="P1064" s="68" t="n"/>
      <c r="Q1064" s="68" t="n">
        <v>113</v>
      </c>
      <c r="R1064" s="69" t="n"/>
      <c r="S1064" s="69" t="inlineStr">
        <is>
          <t>No</t>
        </is>
      </c>
      <c r="T1064" s="73" t="n">
        <v>42826</v>
      </c>
      <c r="U1064" s="73" t="n">
        <v>46483</v>
      </c>
      <c r="V1064" s="73" t="n"/>
      <c r="W1064" s="69" t="n"/>
      <c r="X1064" s="69" t="inlineStr">
        <is>
          <t>Current</t>
        </is>
      </c>
      <c r="Y1064" s="68" t="n"/>
      <c r="Z1064" s="69" t="inlineStr">
        <is>
          <t>Full Defeasance</t>
        </is>
      </c>
      <c r="AA1064" s="69" t="inlineStr">
        <is>
          <t>Previously</t>
        </is>
      </c>
      <c r="AB1064" s="69" t="inlineStr">
        <is>
          <t>Never special serv</t>
        </is>
      </c>
      <c r="AC1064" s="73" t="n"/>
      <c r="AD1064" s="69" t="n"/>
      <c r="AE1064" s="69" t="n"/>
      <c r="AF1064" s="69" t="inlineStr">
        <is>
          <t>ID</t>
        </is>
      </c>
      <c r="AG1064" s="69" t="inlineStr">
        <is>
          <t>Meridian</t>
        </is>
      </c>
      <c r="AH1064" s="69" t="inlineStr">
        <is>
          <t>Boise City, ID</t>
        </is>
      </c>
      <c r="AI1064" s="69" t="inlineStr">
        <is>
          <t>West / Mountain</t>
        </is>
      </c>
      <c r="AJ1064" s="69" t="inlineStr">
        <is>
          <t>HT</t>
        </is>
      </c>
      <c r="AK1064" s="69" t="inlineStr">
        <is>
          <t>Select Service</t>
        </is>
      </c>
      <c r="AL1064" s="68" t="n">
        <v>1</v>
      </c>
      <c r="AM1064" s="68" t="n">
        <v>145</v>
      </c>
      <c r="AN1064" s="68" t="n"/>
      <c r="AO1064" s="69" t="inlineStr">
        <is>
          <t>2007</t>
        </is>
      </c>
      <c r="AP1064" s="70" t="n">
        <v>2015</v>
      </c>
      <c r="AQ1064" s="74" t="n">
        <v>1.75</v>
      </c>
      <c r="AR1064" s="74" t="n">
        <v>2.52</v>
      </c>
      <c r="AS1064" s="74" t="n">
        <v>61.33</v>
      </c>
      <c r="AT1064" s="74" t="n">
        <v>51.47</v>
      </c>
      <c r="AU1064" s="74" t="n">
        <v>50.67</v>
      </c>
      <c r="AV1064" s="74" t="n">
        <v>11.443383779</v>
      </c>
      <c r="AW1064" s="74" t="n">
        <v>19.588989308</v>
      </c>
      <c r="AX1064" s="75" t="n">
        <v>72</v>
      </c>
      <c r="AY1064" s="71" t="n">
        <v>25000000</v>
      </c>
      <c r="AZ1064" s="71" t="n">
        <v>25000000</v>
      </c>
      <c r="BA1064" s="71" t="n">
        <v>1756559.41</v>
      </c>
      <c r="BB1064" s="71" t="n">
        <v>2520572.84</v>
      </c>
      <c r="BC1064" s="69" t="inlineStr">
        <is>
          <t>Refinance</t>
        </is>
      </c>
      <c r="BD1064" s="69" t="inlineStr">
        <is>
          <t>N</t>
        </is>
      </c>
      <c r="BE1064" s="71" t="n"/>
      <c r="BF1064" s="71" t="n"/>
      <c r="BG1064" s="71" t="n"/>
      <c r="BH1064" s="71" t="n">
        <v>0</v>
      </c>
      <c r="BI1064" s="71" t="n">
        <v>0</v>
      </c>
      <c r="BJ1064" s="69" t="inlineStr">
        <is>
          <t>N</t>
        </is>
      </c>
      <c r="BK1064" s="69" t="n"/>
      <c r="BL1064" s="75" t="n"/>
      <c r="BM1064" s="73" t="n"/>
      <c r="BN1064" s="69" t="inlineStr">
        <is>
          <t>Andrew P. Hardy, Wells L. Marvin, William E. Swank, Jr. and David Wani</t>
        </is>
      </c>
      <c r="BO1064" s="69" t="inlineStr">
        <is>
          <t>Goldman Sachs</t>
        </is>
      </c>
      <c r="BP1064" s="69" t="inlineStr">
        <is>
          <t>Midland Loan Services</t>
        </is>
      </c>
      <c r="BQ1064" s="69" t="inlineStr">
        <is>
          <t>K-Star Asset Management LLC</t>
        </is>
      </c>
      <c r="BR1064" s="69" t="n"/>
      <c r="BS1064" s="73" t="n">
        <v>46273</v>
      </c>
      <c r="BU1064" s="76">
        <f>IF($C1064="","",IFERROR(INDEX(dmName,MATCH($C1064,dmID,0)),"Unmapped"))</f>
        <v/>
      </c>
      <c r="BV1064" s="76">
        <f>IF($C1064="","",IFERROR(INDEX(dmEntity,MATCH($C1064,dmID,0)),"Unmapped"))</f>
        <v/>
      </c>
      <c r="BW1064" s="77">
        <f>IF($C1064="","",IFERROR(INDEX(dmVintage,MATCH($C1064,dmID,0)),""))</f>
        <v/>
      </c>
      <c r="BX1064" s="78">
        <f>IFERROR(INDEX(dmInclude,MATCH($C1064,dmID,0)),0)</f>
        <v/>
      </c>
      <c r="BY1064" s="78">
        <f>IF(N($I1064)&gt;0,1,0)</f>
        <v/>
      </c>
      <c r="BZ1064" s="76">
        <f>IF($AJ1064="","Other / Leased Fee",IFERROR(INDEX(mapPTGroup,MATCH(LEFT(TRIM($AJ1064),2),mapPTCode,0)),"Other / Leased Fee"))</f>
        <v/>
      </c>
      <c r="CA1064" s="76">
        <f>IF(TRIM($AF1064&amp;"")="","NR",LEFT(TRIM($AF1064),2))</f>
        <v/>
      </c>
      <c r="CB1064" s="76">
        <f>IFERROR(LOOKUP(2,1/(LEFT(TRIM($AI1064&amp;""),LEN(mapRegion))=mapRegion),mapRegion),"Not Reported")</f>
        <v/>
      </c>
      <c r="CC1064" s="76">
        <f>IF($BY1064=0,"",IF(TRIM($W1064&amp;"")="REO","REO",IF(TRIM($W1064&amp;"")="FC","Foreclosure",IF(TRIM($W1064&amp;"")="90+","90+ Days Delinquent",IF(TRIM($W1064&amp;"")="60","60 Days Delinquent",IF(TRIM($W1064&amp;"")="30","30 Days Delinquent",IF($X1064="Non-Performing Matured Balloon","Non-Performing Matured Balloon",IF(OR($X1064="Late Payment But Less Than 30 Days Delinquent",LEFT($X1064&amp;"",20)="Payment Not Received"),"Late / In Grace (&lt;30 Days)",IF($X1064="Performing Matured Balloon","Performing Matured Balloon","Current")))))))))</f>
        <v/>
      </c>
      <c r="CD1064" s="78">
        <f>IF(OR($CC1064="REO",$CC1064="Foreclosure",$CC1064="90+ Days Delinquent",$CC1064="60 Days Delinquent",$CC1064="30 Days Delinquent",$CC1064="Non-Performing Matured Balloon"),1,0)</f>
        <v/>
      </c>
      <c r="CE1064" s="76">
        <f>IF($AB1064="Currently special serv","Currently Specially Serviced",IF($AB1064="Returned to master serv","Previously Specially Serviced","Never Specially Serviced"))</f>
        <v/>
      </c>
      <c r="CF1064" s="78">
        <f>IF($CE1064="Currently Specially Serviced",1,0)</f>
        <v/>
      </c>
      <c r="CG1064" s="76">
        <f>IF($AA1064="Yes","Currently on Watchlist",IF($AA1064="Previously","Previously on Watchlist","Never on Watchlist"))</f>
        <v/>
      </c>
      <c r="CH1064" s="78">
        <f>IF($CG1064="Currently on Watchlist",1,0)</f>
        <v/>
      </c>
      <c r="CI1064" s="76">
        <f>IF($Z1064="Full Defeasance","Fully Defeased",IF($Z1064="Portion Of Loan Previously Defeased","Partially Defeased",IF($Z1064="Defeasance Not Allowable","Not Defeased (Not Permitted)","Not Defeased")))</f>
        <v/>
      </c>
      <c r="CJ1064" s="78">
        <f>IF($CI1064="Fully Defeased",1,0)</f>
        <v/>
      </c>
      <c r="CK1064" s="76">
        <f>IF($R1064="IO","Full IO",IF(LEFT($R1064&amp;"",7)="IO then","Partial IO","Amortizing"))</f>
        <v/>
      </c>
      <c r="CL1064" s="78">
        <f>IF($CK1064="Full IO",1,0)</f>
        <v/>
      </c>
      <c r="CM1064" s="78">
        <f>IF($CK1064="Partial IO",1,0)</f>
        <v/>
      </c>
      <c r="CN1064" s="76">
        <f>IF(LEFT($F1064&amp;"",10)="SPLIT_LOAN","Pari Passu Split","Standalone")</f>
        <v/>
      </c>
      <c r="CO1064" s="78">
        <f>IF($CN1064="Pari Passu Split",1,0)</f>
        <v/>
      </c>
      <c r="CP1064" s="77">
        <f>IF(ISNUMBER($T1064),YEAR($T1064),"")</f>
        <v/>
      </c>
      <c r="CQ1064" s="79">
        <f>IF(ISNUMBER($V1064),$V1064,IF(ISNUMBER($U1064),$U1064,""))</f>
        <v/>
      </c>
      <c r="CR1064" s="77">
        <f>IF(ISNUMBER($CQ1064),YEAR($CQ1064),"")</f>
        <v/>
      </c>
      <c r="CS1064" s="78">
        <f>IF(ISNUMBER($M1064),MAX(0,$M1064),IF(TRIM($M1064&amp;"")="matured",0,""))</f>
        <v/>
      </c>
      <c r="CT1064" s="78">
        <f>IF(AND(ISNUMBER($CS1064),N($CS1064)&lt;=mMatWindow),1,0)</f>
        <v/>
      </c>
      <c r="CU1064" s="80">
        <f>IF(ISNUMBER($J1064),$J1064/100,"")</f>
        <v/>
      </c>
      <c r="CV1064" s="81">
        <f>IF(ISNUMBER($AQ1064),$AQ1064,"")</f>
        <v/>
      </c>
      <c r="CW1064" s="81">
        <f>IF(ISNUMBER($AR1064),$AR1064,"")</f>
        <v/>
      </c>
      <c r="CX1064" s="82">
        <f>IF(ISNUMBER($AS1064),$AS1064/100,"")</f>
        <v/>
      </c>
      <c r="CY1064" s="82">
        <f>IF(ISNUMBER($AT1064),$AT1064/100,"")</f>
        <v/>
      </c>
      <c r="CZ1064" s="82">
        <f>IF(ISNUMBER($AU1064),$AU1064/100,"")</f>
        <v/>
      </c>
      <c r="DA1064" s="82">
        <f>IF(ISNUMBER($AV1064),$AV1064/100,"")</f>
        <v/>
      </c>
      <c r="DB1064" s="82">
        <f>IF(ISNUMBER($AW1064),$AW1064/100,"")</f>
        <v/>
      </c>
      <c r="DC1064" s="82">
        <f>IF(ISNUMBER($AX1064),$AX1064/100,"")</f>
        <v/>
      </c>
      <c r="DD1064" s="77">
        <f>IFERROR(VALUE(LEFT(TRIM($AO1064&amp;""),4)),"")</f>
        <v/>
      </c>
      <c r="DE1064" s="78">
        <f>IF(AND($BY1064=1,$BX1064=1,OR(fDeal="All Deals",$BU1064=fDeal),OR(fEntity="All Entities",$BV1064=fEntity),OR(fPType="All Property Types",$BZ1064=fPType),OR(fDefeased="Include",$CJ1064=0)),1,0)</f>
        <v/>
      </c>
      <c r="DF1064" s="83">
        <f>$DE1064*N($I1064)</f>
        <v/>
      </c>
      <c r="DG1064" s="78">
        <f>IF($DE1064=1,IF(COUNTIFS($F$8:$F1064,$F1064,$DE$8:$DE1064,1)=1,1,0),0)</f>
        <v/>
      </c>
      <c r="DH1064" s="83">
        <f>IF($DG1064=1,SUMIFS($DF$8:$DF$1600,$F$8:$F$1600,$F1064),0)</f>
        <v/>
      </c>
      <c r="DI1064" s="78">
        <f>IF($DG1064=1,COUNTIFS($F$8:$F$1600,$F1064,$DE$8:$DE$1600,1),0)</f>
        <v/>
      </c>
      <c r="DJ1064" s="84">
        <f>IF($DG1064=1,$DH1064+(100000-ROW())/mTieBreak,0)</f>
        <v/>
      </c>
    </row>
    <row r="1065">
      <c r="B1065" s="68" t="n">
        <v>18</v>
      </c>
      <c r="C1065" s="69" t="inlineStr">
        <is>
          <t>GS217GS6</t>
        </is>
      </c>
      <c r="D1065" s="69" t="inlineStr">
        <is>
          <t>18.000</t>
        </is>
      </c>
      <c r="E1065" s="69" t="inlineStr">
        <is>
          <t>Lakeview Boulevard</t>
        </is>
      </c>
      <c r="F1065" s="69" t="inlineStr">
        <is>
          <t>LNGS217GS6-18.000</t>
        </is>
      </c>
      <c r="G1065" s="70" t="n"/>
      <c r="H1065" s="71" t="n">
        <v>13000000</v>
      </c>
      <c r="I1065" s="71" t="n">
        <v>10808648.020001</v>
      </c>
      <c r="J1065" s="72" t="n">
        <v>4.85</v>
      </c>
      <c r="K1065" s="69" t="inlineStr">
        <is>
          <t>Fixed rate</t>
        </is>
      </c>
      <c r="L1065" s="68" t="n">
        <v>120</v>
      </c>
      <c r="M1065" s="68" t="n">
        <v>7</v>
      </c>
      <c r="N1065" s="68" t="n">
        <v>360</v>
      </c>
      <c r="O1065" s="68" t="n"/>
      <c r="P1065" s="68" t="n"/>
      <c r="Q1065" s="68" t="n">
        <v>113</v>
      </c>
      <c r="R1065" s="69" t="n"/>
      <c r="S1065" s="69" t="inlineStr">
        <is>
          <t>No</t>
        </is>
      </c>
      <c r="T1065" s="73" t="n">
        <v>42826</v>
      </c>
      <c r="U1065" s="73" t="n">
        <v>46483</v>
      </c>
      <c r="V1065" s="73" t="n"/>
      <c r="W1065" s="69" t="n"/>
      <c r="X1065" s="69" t="inlineStr">
        <is>
          <t>Current</t>
        </is>
      </c>
      <c r="Y1065" s="68" t="n"/>
      <c r="Z1065" s="69" t="inlineStr">
        <is>
          <t>No Defeasance Occurred</t>
        </is>
      </c>
      <c r="AA1065" s="69" t="inlineStr">
        <is>
          <t>Yes</t>
        </is>
      </c>
      <c r="AB1065" s="69" t="inlineStr">
        <is>
          <t>Never special serv</t>
        </is>
      </c>
      <c r="AC1065" s="73" t="n"/>
      <c r="AD1065" s="69" t="n"/>
      <c r="AE1065" s="69" t="n"/>
      <c r="AF1065" s="69" t="inlineStr">
        <is>
          <t>CA</t>
        </is>
      </c>
      <c r="AG1065" s="69" t="inlineStr">
        <is>
          <t>Fremont</t>
        </is>
      </c>
      <c r="AH1065" s="69" t="inlineStr">
        <is>
          <t>San Francisco-Oakland-Fremont, CA</t>
        </is>
      </c>
      <c r="AI1065" s="69" t="inlineStr">
        <is>
          <t>West / Pacific North</t>
        </is>
      </c>
      <c r="AJ1065" s="69" t="inlineStr">
        <is>
          <t>IN</t>
        </is>
      </c>
      <c r="AK1065" s="69" t="inlineStr">
        <is>
          <t>Flex</t>
        </is>
      </c>
      <c r="AL1065" s="68" t="n">
        <v>1</v>
      </c>
      <c r="AM1065" s="68" t="n"/>
      <c r="AN1065" s="68" t="n">
        <v>86118</v>
      </c>
      <c r="AO1065" s="69" t="inlineStr">
        <is>
          <t>1993</t>
        </is>
      </c>
      <c r="AP1065" s="70" t="n">
        <v>2015</v>
      </c>
      <c r="AQ1065" s="74" t="n">
        <v>1.58</v>
      </c>
      <c r="AR1065" s="74" t="n">
        <v>1.81</v>
      </c>
      <c r="AS1065" s="74" t="n">
        <v>67.45</v>
      </c>
      <c r="AT1065" s="74" t="n">
        <v>56.15</v>
      </c>
      <c r="AU1065" s="74" t="n">
        <v>55.25</v>
      </c>
      <c r="AV1065" s="74" t="n">
        <v>10.016353846</v>
      </c>
      <c r="AW1065" s="74" t="n">
        <v>11.950409502</v>
      </c>
      <c r="AX1065" s="75" t="n">
        <v>100</v>
      </c>
      <c r="AY1065" s="71" t="n">
        <v>19250000</v>
      </c>
      <c r="AZ1065" s="71" t="n">
        <v>19250000</v>
      </c>
      <c r="BA1065" s="71" t="n">
        <v>1302126</v>
      </c>
      <c r="BB1065" s="71" t="n">
        <v>1491076.14</v>
      </c>
      <c r="BC1065" s="69" t="inlineStr">
        <is>
          <t>Acquisition</t>
        </is>
      </c>
      <c r="BD1065" s="69" t="inlineStr">
        <is>
          <t>N</t>
        </is>
      </c>
      <c r="BE1065" s="71" t="n"/>
      <c r="BF1065" s="71" t="n"/>
      <c r="BG1065" s="71" t="n"/>
      <c r="BH1065" s="71" t="n">
        <v>0</v>
      </c>
      <c r="BI1065" s="71" t="n">
        <v>0</v>
      </c>
      <c r="BJ1065" s="69" t="inlineStr">
        <is>
          <t>N</t>
        </is>
      </c>
      <c r="BK1065" s="69" t="inlineStr">
        <is>
          <t>Genmark Automation</t>
        </is>
      </c>
      <c r="BL1065" s="75" t="n">
        <v>100</v>
      </c>
      <c r="BM1065" s="73" t="n">
        <v>50860</v>
      </c>
      <c r="BN1065" s="69" t="inlineStr">
        <is>
          <t>Jason A. Hammerman</t>
        </is>
      </c>
      <c r="BO1065" s="69" t="inlineStr">
        <is>
          <t>Goldman Sachs</t>
        </is>
      </c>
      <c r="BP1065" s="69" t="inlineStr">
        <is>
          <t>Midland Loan Services</t>
        </is>
      </c>
      <c r="BQ1065" s="69" t="inlineStr">
        <is>
          <t>K-Star Asset Management LLC</t>
        </is>
      </c>
      <c r="BR1065" s="69" t="n"/>
      <c r="BS1065" s="73" t="n">
        <v>46273</v>
      </c>
      <c r="BU1065" s="76">
        <f>IF($C1065="","",IFERROR(INDEX(dmName,MATCH($C1065,dmID,0)),"Unmapped"))</f>
        <v/>
      </c>
      <c r="BV1065" s="76">
        <f>IF($C1065="","",IFERROR(INDEX(dmEntity,MATCH($C1065,dmID,0)),"Unmapped"))</f>
        <v/>
      </c>
      <c r="BW1065" s="77">
        <f>IF($C1065="","",IFERROR(INDEX(dmVintage,MATCH($C1065,dmID,0)),""))</f>
        <v/>
      </c>
      <c r="BX1065" s="78">
        <f>IFERROR(INDEX(dmInclude,MATCH($C1065,dmID,0)),0)</f>
        <v/>
      </c>
      <c r="BY1065" s="78">
        <f>IF(N($I1065)&gt;0,1,0)</f>
        <v/>
      </c>
      <c r="BZ1065" s="76">
        <f>IF($AJ1065="","Other / Leased Fee",IFERROR(INDEX(mapPTGroup,MATCH(LEFT(TRIM($AJ1065),2),mapPTCode,0)),"Other / Leased Fee"))</f>
        <v/>
      </c>
      <c r="CA1065" s="76">
        <f>IF(TRIM($AF1065&amp;"")="","NR",LEFT(TRIM($AF1065),2))</f>
        <v/>
      </c>
      <c r="CB1065" s="76">
        <f>IFERROR(LOOKUP(2,1/(LEFT(TRIM($AI1065&amp;""),LEN(mapRegion))=mapRegion),mapRegion),"Not Reported")</f>
        <v/>
      </c>
      <c r="CC1065" s="76">
        <f>IF($BY1065=0,"",IF(TRIM($W1065&amp;"")="REO","REO",IF(TRIM($W1065&amp;"")="FC","Foreclosure",IF(TRIM($W1065&amp;"")="90+","90+ Days Delinquent",IF(TRIM($W1065&amp;"")="60","60 Days Delinquent",IF(TRIM($W1065&amp;"")="30","30 Days Delinquent",IF($X1065="Non-Performing Matured Balloon","Non-Performing Matured Balloon",IF(OR($X1065="Late Payment But Less Than 30 Days Delinquent",LEFT($X1065&amp;"",20)="Payment Not Received"),"Late / In Grace (&lt;30 Days)",IF($X1065="Performing Matured Balloon","Performing Matured Balloon","Current")))))))))</f>
        <v/>
      </c>
      <c r="CD1065" s="78">
        <f>IF(OR($CC1065="REO",$CC1065="Foreclosure",$CC1065="90+ Days Delinquent",$CC1065="60 Days Delinquent",$CC1065="30 Days Delinquent",$CC1065="Non-Performing Matured Balloon"),1,0)</f>
        <v/>
      </c>
      <c r="CE1065" s="76">
        <f>IF($AB1065="Currently special serv","Currently Specially Serviced",IF($AB1065="Returned to master serv","Previously Specially Serviced","Never Specially Serviced"))</f>
        <v/>
      </c>
      <c r="CF1065" s="78">
        <f>IF($CE1065="Currently Specially Serviced",1,0)</f>
        <v/>
      </c>
      <c r="CG1065" s="76">
        <f>IF($AA1065="Yes","Currently on Watchlist",IF($AA1065="Previously","Previously on Watchlist","Never on Watchlist"))</f>
        <v/>
      </c>
      <c r="CH1065" s="78">
        <f>IF($CG1065="Currently on Watchlist",1,0)</f>
        <v/>
      </c>
      <c r="CI1065" s="76">
        <f>IF($Z1065="Full Defeasance","Fully Defeased",IF($Z1065="Portion Of Loan Previously Defeased","Partially Defeased",IF($Z1065="Defeasance Not Allowable","Not Defeased (Not Permitted)","Not Defeased")))</f>
        <v/>
      </c>
      <c r="CJ1065" s="78">
        <f>IF($CI1065="Fully Defeased",1,0)</f>
        <v/>
      </c>
      <c r="CK1065" s="76">
        <f>IF($R1065="IO","Full IO",IF(LEFT($R1065&amp;"",7)="IO then","Partial IO","Amortizing"))</f>
        <v/>
      </c>
      <c r="CL1065" s="78">
        <f>IF($CK1065="Full IO",1,0)</f>
        <v/>
      </c>
      <c r="CM1065" s="78">
        <f>IF($CK1065="Partial IO",1,0)</f>
        <v/>
      </c>
      <c r="CN1065" s="76">
        <f>IF(LEFT($F1065&amp;"",10)="SPLIT_LOAN","Pari Passu Split","Standalone")</f>
        <v/>
      </c>
      <c r="CO1065" s="78">
        <f>IF($CN1065="Pari Passu Split",1,0)</f>
        <v/>
      </c>
      <c r="CP1065" s="77">
        <f>IF(ISNUMBER($T1065),YEAR($T1065),"")</f>
        <v/>
      </c>
      <c r="CQ1065" s="79">
        <f>IF(ISNUMBER($V1065),$V1065,IF(ISNUMBER($U1065),$U1065,""))</f>
        <v/>
      </c>
      <c r="CR1065" s="77">
        <f>IF(ISNUMBER($CQ1065),YEAR($CQ1065),"")</f>
        <v/>
      </c>
      <c r="CS1065" s="78">
        <f>IF(ISNUMBER($M1065),MAX(0,$M1065),IF(TRIM($M1065&amp;"")="matured",0,""))</f>
        <v/>
      </c>
      <c r="CT1065" s="78">
        <f>IF(AND(ISNUMBER($CS1065),N($CS1065)&lt;=mMatWindow),1,0)</f>
        <v/>
      </c>
      <c r="CU1065" s="80">
        <f>IF(ISNUMBER($J1065),$J1065/100,"")</f>
        <v/>
      </c>
      <c r="CV1065" s="81">
        <f>IF(ISNUMBER($AQ1065),$AQ1065,"")</f>
        <v/>
      </c>
      <c r="CW1065" s="81">
        <f>IF(ISNUMBER($AR1065),$AR1065,"")</f>
        <v/>
      </c>
      <c r="CX1065" s="82">
        <f>IF(ISNUMBER($AS1065),$AS1065/100,"")</f>
        <v/>
      </c>
      <c r="CY1065" s="82">
        <f>IF(ISNUMBER($AT1065),$AT1065/100,"")</f>
        <v/>
      </c>
      <c r="CZ1065" s="82">
        <f>IF(ISNUMBER($AU1065),$AU1065/100,"")</f>
        <v/>
      </c>
      <c r="DA1065" s="82">
        <f>IF(ISNUMBER($AV1065),$AV1065/100,"")</f>
        <v/>
      </c>
      <c r="DB1065" s="82">
        <f>IF(ISNUMBER($AW1065),$AW1065/100,"")</f>
        <v/>
      </c>
      <c r="DC1065" s="82">
        <f>IF(ISNUMBER($AX1065),$AX1065/100,"")</f>
        <v/>
      </c>
      <c r="DD1065" s="77">
        <f>IFERROR(VALUE(LEFT(TRIM($AO1065&amp;""),4)),"")</f>
        <v/>
      </c>
      <c r="DE1065" s="78">
        <f>IF(AND($BY1065=1,$BX1065=1,OR(fDeal="All Deals",$BU1065=fDeal),OR(fEntity="All Entities",$BV1065=fEntity),OR(fPType="All Property Types",$BZ1065=fPType),OR(fDefeased="Include",$CJ1065=0)),1,0)</f>
        <v/>
      </c>
      <c r="DF1065" s="83">
        <f>$DE1065*N($I1065)</f>
        <v/>
      </c>
      <c r="DG1065" s="78">
        <f>IF($DE1065=1,IF(COUNTIFS($F$8:$F1065,$F1065,$DE$8:$DE1065,1)=1,1,0),0)</f>
        <v/>
      </c>
      <c r="DH1065" s="83">
        <f>IF($DG1065=1,SUMIFS($DF$8:$DF$1600,$F$8:$F$1600,$F1065),0)</f>
        <v/>
      </c>
      <c r="DI1065" s="78">
        <f>IF($DG1065=1,COUNTIFS($F$8:$F$1600,$F1065,$DE$8:$DE$1600,1),0)</f>
        <v/>
      </c>
      <c r="DJ1065" s="84">
        <f>IF($DG1065=1,$DH1065+(100000-ROW())/mTieBreak,0)</f>
        <v/>
      </c>
    </row>
    <row r="1066">
      <c r="B1066" s="68" t="n">
        <v>19</v>
      </c>
      <c r="C1066" s="69" t="inlineStr">
        <is>
          <t>GS217GS6</t>
        </is>
      </c>
      <c r="D1066" s="69" t="inlineStr">
        <is>
          <t>19.000</t>
        </is>
      </c>
      <c r="E1066" s="69" t="inlineStr">
        <is>
          <t>Shoppes at Albertville</t>
        </is>
      </c>
      <c r="F1066" s="69" t="inlineStr">
        <is>
          <t>LNGS217GS6-19.000</t>
        </is>
      </c>
      <c r="G1066" s="70" t="n"/>
      <c r="H1066" s="71" t="n">
        <v>12895000</v>
      </c>
      <c r="I1066" s="71" t="n">
        <v>11021467.00000164</v>
      </c>
      <c r="J1066" s="72" t="n">
        <v>4.83</v>
      </c>
      <c r="K1066" s="69" t="inlineStr">
        <is>
          <t>Fixed rate</t>
        </is>
      </c>
      <c r="L1066" s="68" t="n">
        <v>120</v>
      </c>
      <c r="M1066" s="68" t="n">
        <v>8</v>
      </c>
      <c r="N1066" s="68" t="n">
        <v>372</v>
      </c>
      <c r="O1066" s="68" t="n">
        <v>12</v>
      </c>
      <c r="P1066" s="68" t="n">
        <v>0</v>
      </c>
      <c r="Q1066" s="68" t="n">
        <v>112</v>
      </c>
      <c r="R1066" s="69" t="inlineStr">
        <is>
          <t>IO then Amort</t>
        </is>
      </c>
      <c r="S1066" s="69" t="inlineStr">
        <is>
          <t>No</t>
        </is>
      </c>
      <c r="T1066" s="73" t="n">
        <v>42856</v>
      </c>
      <c r="U1066" s="73" t="n">
        <v>46513</v>
      </c>
      <c r="V1066" s="73" t="n"/>
      <c r="W1066" s="69" t="n"/>
      <c r="X1066" s="69" t="inlineStr">
        <is>
          <t>Current</t>
        </is>
      </c>
      <c r="Y1066" s="68" t="n"/>
      <c r="Z1066" s="69" t="inlineStr">
        <is>
          <t>No Defeasance Occurred</t>
        </is>
      </c>
      <c r="AA1066" s="69" t="inlineStr">
        <is>
          <t>Previously</t>
        </is>
      </c>
      <c r="AB1066" s="69" t="inlineStr">
        <is>
          <t>Never special serv</t>
        </is>
      </c>
      <c r="AC1066" s="73" t="n"/>
      <c r="AD1066" s="69" t="n"/>
      <c r="AE1066" s="69" t="n"/>
      <c r="AF1066" s="69" t="inlineStr">
        <is>
          <t>AL</t>
        </is>
      </c>
      <c r="AG1066" s="69" t="inlineStr">
        <is>
          <t>Albertville</t>
        </is>
      </c>
      <c r="AH1066" s="69" t="inlineStr">
        <is>
          <t>Albertville, AL</t>
        </is>
      </c>
      <c r="AI1066" s="69" t="inlineStr">
        <is>
          <t>South / Central East</t>
        </is>
      </c>
      <c r="AJ1066" s="69" t="inlineStr">
        <is>
          <t>RT</t>
        </is>
      </c>
      <c r="AK1066" s="69" t="inlineStr">
        <is>
          <t>Anchored</t>
        </is>
      </c>
      <c r="AL1066" s="68" t="n">
        <v>1</v>
      </c>
      <c r="AM1066" s="68" t="n"/>
      <c r="AN1066" s="68" t="n">
        <v>134535</v>
      </c>
      <c r="AO1066" s="69" t="inlineStr">
        <is>
          <t>2016</t>
        </is>
      </c>
      <c r="AP1066" s="70" t="n">
        <v>2016</v>
      </c>
      <c r="AQ1066" s="74" t="n">
        <v>1.32</v>
      </c>
      <c r="AR1066" s="74" t="n">
        <v>1.51</v>
      </c>
      <c r="AS1066" s="74" t="n">
        <v>74.11</v>
      </c>
      <c r="AT1066" s="74" t="n">
        <v>63.34</v>
      </c>
      <c r="AU1066" s="74" t="n">
        <v>62.26</v>
      </c>
      <c r="AV1066" s="74" t="n">
        <v>8.308074913</v>
      </c>
      <c r="AW1066" s="74" t="n">
        <v>11.181164812</v>
      </c>
      <c r="AX1066" s="75" t="n">
        <v>100</v>
      </c>
      <c r="AY1066" s="71" t="n">
        <v>17400000</v>
      </c>
      <c r="AZ1066" s="71" t="n">
        <v>17400000</v>
      </c>
      <c r="BA1066" s="71" t="n">
        <v>1071326.26</v>
      </c>
      <c r="BB1066" s="71" t="n">
        <v>1233594.9</v>
      </c>
      <c r="BC1066" s="69" t="inlineStr">
        <is>
          <t>Refinance</t>
        </is>
      </c>
      <c r="BD1066" s="69" t="inlineStr">
        <is>
          <t>N</t>
        </is>
      </c>
      <c r="BE1066" s="71" t="n"/>
      <c r="BF1066" s="71" t="n"/>
      <c r="BG1066" s="71" t="n"/>
      <c r="BH1066" s="71" t="n">
        <v>0</v>
      </c>
      <c r="BI1066" s="71" t="n">
        <v>0</v>
      </c>
      <c r="BJ1066" s="69" t="inlineStr">
        <is>
          <t>N</t>
        </is>
      </c>
      <c r="BK1066" s="69" t="inlineStr">
        <is>
          <t>Hobby Lobby #0707</t>
        </is>
      </c>
      <c r="BL1066" s="75" t="n">
        <v>40.88</v>
      </c>
      <c r="BM1066" s="73" t="n">
        <v>47879</v>
      </c>
      <c r="BN1066" s="69" t="inlineStr">
        <is>
          <t>George B. Tomlin</t>
        </is>
      </c>
      <c r="BO1066" s="69" t="inlineStr">
        <is>
          <t>Goldman Sachs</t>
        </is>
      </c>
      <c r="BP1066" s="69" t="inlineStr">
        <is>
          <t>Midland Loan Services</t>
        </is>
      </c>
      <c r="BQ1066" s="69" t="inlineStr">
        <is>
          <t>K-Star Asset Management LLC</t>
        </is>
      </c>
      <c r="BR1066" s="69" t="n"/>
      <c r="BS1066" s="73" t="n">
        <v>46273</v>
      </c>
      <c r="BU1066" s="76">
        <f>IF($C1066="","",IFERROR(INDEX(dmName,MATCH($C1066,dmID,0)),"Unmapped"))</f>
        <v/>
      </c>
      <c r="BV1066" s="76">
        <f>IF($C1066="","",IFERROR(INDEX(dmEntity,MATCH($C1066,dmID,0)),"Unmapped"))</f>
        <v/>
      </c>
      <c r="BW1066" s="77">
        <f>IF($C1066="","",IFERROR(INDEX(dmVintage,MATCH($C1066,dmID,0)),""))</f>
        <v/>
      </c>
      <c r="BX1066" s="78">
        <f>IFERROR(INDEX(dmInclude,MATCH($C1066,dmID,0)),0)</f>
        <v/>
      </c>
      <c r="BY1066" s="78">
        <f>IF(N($I1066)&gt;0,1,0)</f>
        <v/>
      </c>
      <c r="BZ1066" s="76">
        <f>IF($AJ1066="","Other / Leased Fee",IFERROR(INDEX(mapPTGroup,MATCH(LEFT(TRIM($AJ1066),2),mapPTCode,0)),"Other / Leased Fee"))</f>
        <v/>
      </c>
      <c r="CA1066" s="76">
        <f>IF(TRIM($AF1066&amp;"")="","NR",LEFT(TRIM($AF1066),2))</f>
        <v/>
      </c>
      <c r="CB1066" s="76">
        <f>IFERROR(LOOKUP(2,1/(LEFT(TRIM($AI1066&amp;""),LEN(mapRegion))=mapRegion),mapRegion),"Not Reported")</f>
        <v/>
      </c>
      <c r="CC1066" s="76">
        <f>IF($BY1066=0,"",IF(TRIM($W1066&amp;"")="REO","REO",IF(TRIM($W1066&amp;"")="FC","Foreclosure",IF(TRIM($W1066&amp;"")="90+","90+ Days Delinquent",IF(TRIM($W1066&amp;"")="60","60 Days Delinquent",IF(TRIM($W1066&amp;"")="30","30 Days Delinquent",IF($X1066="Non-Performing Matured Balloon","Non-Performing Matured Balloon",IF(OR($X1066="Late Payment But Less Than 30 Days Delinquent",LEFT($X1066&amp;"",20)="Payment Not Received"),"Late / In Grace (&lt;30 Days)",IF($X1066="Performing Matured Balloon","Performing Matured Balloon","Current")))))))))</f>
        <v/>
      </c>
      <c r="CD1066" s="78">
        <f>IF(OR($CC1066="REO",$CC1066="Foreclosure",$CC1066="90+ Days Delinquent",$CC1066="60 Days Delinquent",$CC1066="30 Days Delinquent",$CC1066="Non-Performing Matured Balloon"),1,0)</f>
        <v/>
      </c>
      <c r="CE1066" s="76">
        <f>IF($AB1066="Currently special serv","Currently Specially Serviced",IF($AB1066="Returned to master serv","Previously Specially Serviced","Never Specially Serviced"))</f>
        <v/>
      </c>
      <c r="CF1066" s="78">
        <f>IF($CE1066="Currently Specially Serviced",1,0)</f>
        <v/>
      </c>
      <c r="CG1066" s="76">
        <f>IF($AA1066="Yes","Currently on Watchlist",IF($AA1066="Previously","Previously on Watchlist","Never on Watchlist"))</f>
        <v/>
      </c>
      <c r="CH1066" s="78">
        <f>IF($CG1066="Currently on Watchlist",1,0)</f>
        <v/>
      </c>
      <c r="CI1066" s="76">
        <f>IF($Z1066="Full Defeasance","Fully Defeased",IF($Z1066="Portion Of Loan Previously Defeased","Partially Defeased",IF($Z1066="Defeasance Not Allowable","Not Defeased (Not Permitted)","Not Defeased")))</f>
        <v/>
      </c>
      <c r="CJ1066" s="78">
        <f>IF($CI1066="Fully Defeased",1,0)</f>
        <v/>
      </c>
      <c r="CK1066" s="76">
        <f>IF($R1066="IO","Full IO",IF(LEFT($R1066&amp;"",7)="IO then","Partial IO","Amortizing"))</f>
        <v/>
      </c>
      <c r="CL1066" s="78">
        <f>IF($CK1066="Full IO",1,0)</f>
        <v/>
      </c>
      <c r="CM1066" s="78">
        <f>IF($CK1066="Partial IO",1,0)</f>
        <v/>
      </c>
      <c r="CN1066" s="76">
        <f>IF(LEFT($F1066&amp;"",10)="SPLIT_LOAN","Pari Passu Split","Standalone")</f>
        <v/>
      </c>
      <c r="CO1066" s="78">
        <f>IF($CN1066="Pari Passu Split",1,0)</f>
        <v/>
      </c>
      <c r="CP1066" s="77">
        <f>IF(ISNUMBER($T1066),YEAR($T1066),"")</f>
        <v/>
      </c>
      <c r="CQ1066" s="79">
        <f>IF(ISNUMBER($V1066),$V1066,IF(ISNUMBER($U1066),$U1066,""))</f>
        <v/>
      </c>
      <c r="CR1066" s="77">
        <f>IF(ISNUMBER($CQ1066),YEAR($CQ1066),"")</f>
        <v/>
      </c>
      <c r="CS1066" s="78">
        <f>IF(ISNUMBER($M1066),MAX(0,$M1066),IF(TRIM($M1066&amp;"")="matured",0,""))</f>
        <v/>
      </c>
      <c r="CT1066" s="78">
        <f>IF(AND(ISNUMBER($CS1066),N($CS1066)&lt;=mMatWindow),1,0)</f>
        <v/>
      </c>
      <c r="CU1066" s="80">
        <f>IF(ISNUMBER($J1066),$J1066/100,"")</f>
        <v/>
      </c>
      <c r="CV1066" s="81">
        <f>IF(ISNUMBER($AQ1066),$AQ1066,"")</f>
        <v/>
      </c>
      <c r="CW1066" s="81">
        <f>IF(ISNUMBER($AR1066),$AR1066,"")</f>
        <v/>
      </c>
      <c r="CX1066" s="82">
        <f>IF(ISNUMBER($AS1066),$AS1066/100,"")</f>
        <v/>
      </c>
      <c r="CY1066" s="82">
        <f>IF(ISNUMBER($AT1066),$AT1066/100,"")</f>
        <v/>
      </c>
      <c r="CZ1066" s="82">
        <f>IF(ISNUMBER($AU1066),$AU1066/100,"")</f>
        <v/>
      </c>
      <c r="DA1066" s="82">
        <f>IF(ISNUMBER($AV1066),$AV1066/100,"")</f>
        <v/>
      </c>
      <c r="DB1066" s="82">
        <f>IF(ISNUMBER($AW1066),$AW1066/100,"")</f>
        <v/>
      </c>
      <c r="DC1066" s="82">
        <f>IF(ISNUMBER($AX1066),$AX1066/100,"")</f>
        <v/>
      </c>
      <c r="DD1066" s="77">
        <f>IFERROR(VALUE(LEFT(TRIM($AO1066&amp;""),4)),"")</f>
        <v/>
      </c>
      <c r="DE1066" s="78">
        <f>IF(AND($BY1066=1,$BX1066=1,OR(fDeal="All Deals",$BU1066=fDeal),OR(fEntity="All Entities",$BV1066=fEntity),OR(fPType="All Property Types",$BZ1066=fPType),OR(fDefeased="Include",$CJ1066=0)),1,0)</f>
        <v/>
      </c>
      <c r="DF1066" s="83">
        <f>$DE1066*N($I1066)</f>
        <v/>
      </c>
      <c r="DG1066" s="78">
        <f>IF($DE1066=1,IF(COUNTIFS($F$8:$F1066,$F1066,$DE$8:$DE1066,1)=1,1,0),0)</f>
        <v/>
      </c>
      <c r="DH1066" s="83">
        <f>IF($DG1066=1,SUMIFS($DF$8:$DF$1600,$F$8:$F$1600,$F1066),0)</f>
        <v/>
      </c>
      <c r="DI1066" s="78">
        <f>IF($DG1066=1,COUNTIFS($F$8:$F$1600,$F1066,$DE$8:$DE$1600,1),0)</f>
        <v/>
      </c>
      <c r="DJ1066" s="84">
        <f>IF($DG1066=1,$DH1066+(100000-ROW())/mTieBreak,0)</f>
        <v/>
      </c>
    </row>
    <row r="1067">
      <c r="B1067" s="68" t="n">
        <v>20</v>
      </c>
      <c r="C1067" s="69" t="inlineStr">
        <is>
          <t>GS217GS6</t>
        </is>
      </c>
      <c r="D1067" s="69" t="inlineStr">
        <is>
          <t>20.000</t>
        </is>
      </c>
      <c r="E1067" s="69" t="inlineStr">
        <is>
          <t>Northern Trust Plaza</t>
        </is>
      </c>
      <c r="F1067" s="69" t="inlineStr">
        <is>
          <t>LNGS217GS6-20.000</t>
        </is>
      </c>
      <c r="G1067" s="70" t="n"/>
      <c r="H1067" s="71" t="n">
        <v>12765000</v>
      </c>
      <c r="I1067" s="71" t="n">
        <v>11091078.64000362</v>
      </c>
      <c r="J1067" s="72" t="n">
        <v>4.5985</v>
      </c>
      <c r="K1067" s="69" t="inlineStr">
        <is>
          <t>Fixed rate</t>
        </is>
      </c>
      <c r="L1067" s="68" t="n">
        <v>120</v>
      </c>
      <c r="M1067" s="68" t="n">
        <v>7</v>
      </c>
      <c r="N1067" s="68" t="n">
        <v>384</v>
      </c>
      <c r="O1067" s="68" t="n">
        <v>24</v>
      </c>
      <c r="P1067" s="68" t="n">
        <v>0</v>
      </c>
      <c r="Q1067" s="68" t="n">
        <v>113</v>
      </c>
      <c r="R1067" s="69" t="inlineStr">
        <is>
          <t>IO then Amort</t>
        </is>
      </c>
      <c r="S1067" s="69" t="inlineStr">
        <is>
          <t>No</t>
        </is>
      </c>
      <c r="T1067" s="73" t="n">
        <v>42826</v>
      </c>
      <c r="U1067" s="73" t="n">
        <v>46483</v>
      </c>
      <c r="V1067" s="73" t="n"/>
      <c r="W1067" s="69" t="n"/>
      <c r="X1067" s="69" t="inlineStr">
        <is>
          <t>Current</t>
        </is>
      </c>
      <c r="Y1067" s="68" t="n"/>
      <c r="Z1067" s="69" t="inlineStr">
        <is>
          <t>No Defeasance Occurred</t>
        </is>
      </c>
      <c r="AA1067" s="69" t="inlineStr">
        <is>
          <t>Previously</t>
        </is>
      </c>
      <c r="AB1067" s="69" t="inlineStr">
        <is>
          <t>Never special serv</t>
        </is>
      </c>
      <c r="AC1067" s="73" t="n"/>
      <c r="AD1067" s="69" t="n"/>
      <c r="AE1067" s="69" t="n"/>
      <c r="AF1067" s="69" t="inlineStr">
        <is>
          <t>FL</t>
        </is>
      </c>
      <c r="AG1067" s="69" t="inlineStr">
        <is>
          <t>Sarasota</t>
        </is>
      </c>
      <c r="AH1067" s="69" t="inlineStr">
        <is>
          <t>North Port-Bradenton-Sarasota, FL</t>
        </is>
      </c>
      <c r="AI1067" s="69" t="inlineStr">
        <is>
          <t>South / Atlantic</t>
        </is>
      </c>
      <c r="AJ1067" s="69" t="inlineStr">
        <is>
          <t>OF</t>
        </is>
      </c>
      <c r="AK1067" s="69" t="inlineStr">
        <is>
          <t>CBD</t>
        </is>
      </c>
      <c r="AL1067" s="68" t="n">
        <v>1</v>
      </c>
      <c r="AM1067" s="68" t="n"/>
      <c r="AN1067" s="68" t="n">
        <v>109927</v>
      </c>
      <c r="AO1067" s="69" t="inlineStr">
        <is>
          <t>1982</t>
        </is>
      </c>
      <c r="AP1067" s="70" t="n">
        <v>2014</v>
      </c>
      <c r="AQ1067" s="74" t="n">
        <v>1.43</v>
      </c>
      <c r="AR1067" s="74" t="n">
        <v>1.98</v>
      </c>
      <c r="AS1067" s="74" t="n">
        <v>67.90000000000001</v>
      </c>
      <c r="AT1067" s="74" t="n">
        <v>59</v>
      </c>
      <c r="AU1067" s="74" t="n">
        <v>53.33</v>
      </c>
      <c r="AV1067" s="74" t="n">
        <v>8.803102233000001</v>
      </c>
      <c r="AW1067" s="74" t="n">
        <v>14.540023584</v>
      </c>
      <c r="AX1067" s="75" t="n">
        <v>97</v>
      </c>
      <c r="AY1067" s="71" t="n">
        <v>18800000</v>
      </c>
      <c r="AZ1067" s="71" t="n">
        <v>18800000</v>
      </c>
      <c r="BA1067" s="71" t="n">
        <v>1123716</v>
      </c>
      <c r="BB1067" s="71" t="n">
        <v>1552926.82</v>
      </c>
      <c r="BC1067" s="69" t="inlineStr">
        <is>
          <t>Acquisition</t>
        </is>
      </c>
      <c r="BD1067" s="69" t="inlineStr">
        <is>
          <t>N</t>
        </is>
      </c>
      <c r="BE1067" s="71" t="n"/>
      <c r="BF1067" s="71" t="n"/>
      <c r="BG1067" s="71" t="n"/>
      <c r="BH1067" s="71" t="n">
        <v>0</v>
      </c>
      <c r="BI1067" s="71" t="n">
        <v>0</v>
      </c>
      <c r="BJ1067" s="69" t="inlineStr">
        <is>
          <t>N</t>
        </is>
      </c>
      <c r="BK1067" s="69" t="inlineStr">
        <is>
          <t>Northern Trust</t>
        </is>
      </c>
      <c r="BL1067" s="75" t="n">
        <v>29.75</v>
      </c>
      <c r="BM1067" s="73" t="n">
        <v>48121</v>
      </c>
      <c r="BN1067" s="69" t="inlineStr">
        <is>
          <t>Charles E. Githler, III, EDM Realty Partners L.P. and Howard Brumer</t>
        </is>
      </c>
      <c r="BO1067" s="69" t="inlineStr">
        <is>
          <t>Goldman Sachs</t>
        </is>
      </c>
      <c r="BP1067" s="69" t="inlineStr">
        <is>
          <t>Midland Loan Services</t>
        </is>
      </c>
      <c r="BQ1067" s="69" t="inlineStr">
        <is>
          <t>K-Star Asset Management LLC</t>
        </is>
      </c>
      <c r="BR1067" s="69" t="n"/>
      <c r="BS1067" s="73" t="n">
        <v>46273</v>
      </c>
      <c r="BU1067" s="76">
        <f>IF($C1067="","",IFERROR(INDEX(dmName,MATCH($C1067,dmID,0)),"Unmapped"))</f>
        <v/>
      </c>
      <c r="BV1067" s="76">
        <f>IF($C1067="","",IFERROR(INDEX(dmEntity,MATCH($C1067,dmID,0)),"Unmapped"))</f>
        <v/>
      </c>
      <c r="BW1067" s="77">
        <f>IF($C1067="","",IFERROR(INDEX(dmVintage,MATCH($C1067,dmID,0)),""))</f>
        <v/>
      </c>
      <c r="BX1067" s="78">
        <f>IFERROR(INDEX(dmInclude,MATCH($C1067,dmID,0)),0)</f>
        <v/>
      </c>
      <c r="BY1067" s="78">
        <f>IF(N($I1067)&gt;0,1,0)</f>
        <v/>
      </c>
      <c r="BZ1067" s="76">
        <f>IF($AJ1067="","Other / Leased Fee",IFERROR(INDEX(mapPTGroup,MATCH(LEFT(TRIM($AJ1067),2),mapPTCode,0)),"Other / Leased Fee"))</f>
        <v/>
      </c>
      <c r="CA1067" s="76">
        <f>IF(TRIM($AF1067&amp;"")="","NR",LEFT(TRIM($AF1067),2))</f>
        <v/>
      </c>
      <c r="CB1067" s="76">
        <f>IFERROR(LOOKUP(2,1/(LEFT(TRIM($AI1067&amp;""),LEN(mapRegion))=mapRegion),mapRegion),"Not Reported")</f>
        <v/>
      </c>
      <c r="CC1067" s="76">
        <f>IF($BY1067=0,"",IF(TRIM($W1067&amp;"")="REO","REO",IF(TRIM($W1067&amp;"")="FC","Foreclosure",IF(TRIM($W1067&amp;"")="90+","90+ Days Delinquent",IF(TRIM($W1067&amp;"")="60","60 Days Delinquent",IF(TRIM($W1067&amp;"")="30","30 Days Delinquent",IF($X1067="Non-Performing Matured Balloon","Non-Performing Matured Balloon",IF(OR($X1067="Late Payment But Less Than 30 Days Delinquent",LEFT($X1067&amp;"",20)="Payment Not Received"),"Late / In Grace (&lt;30 Days)",IF($X1067="Performing Matured Balloon","Performing Matured Balloon","Current")))))))))</f>
        <v/>
      </c>
      <c r="CD1067" s="78">
        <f>IF(OR($CC1067="REO",$CC1067="Foreclosure",$CC1067="90+ Days Delinquent",$CC1067="60 Days Delinquent",$CC1067="30 Days Delinquent",$CC1067="Non-Performing Matured Balloon"),1,0)</f>
        <v/>
      </c>
      <c r="CE1067" s="76">
        <f>IF($AB1067="Currently special serv","Currently Specially Serviced",IF($AB1067="Returned to master serv","Previously Specially Serviced","Never Specially Serviced"))</f>
        <v/>
      </c>
      <c r="CF1067" s="78">
        <f>IF($CE1067="Currently Specially Serviced",1,0)</f>
        <v/>
      </c>
      <c r="CG1067" s="76">
        <f>IF($AA1067="Yes","Currently on Watchlist",IF($AA1067="Previously","Previously on Watchlist","Never on Watchlist"))</f>
        <v/>
      </c>
      <c r="CH1067" s="78">
        <f>IF($CG1067="Currently on Watchlist",1,0)</f>
        <v/>
      </c>
      <c r="CI1067" s="76">
        <f>IF($Z1067="Full Defeasance","Fully Defeased",IF($Z1067="Portion Of Loan Previously Defeased","Partially Defeased",IF($Z1067="Defeasance Not Allowable","Not Defeased (Not Permitted)","Not Defeased")))</f>
        <v/>
      </c>
      <c r="CJ1067" s="78">
        <f>IF($CI1067="Fully Defeased",1,0)</f>
        <v/>
      </c>
      <c r="CK1067" s="76">
        <f>IF($R1067="IO","Full IO",IF(LEFT($R1067&amp;"",7)="IO then","Partial IO","Amortizing"))</f>
        <v/>
      </c>
      <c r="CL1067" s="78">
        <f>IF($CK1067="Full IO",1,0)</f>
        <v/>
      </c>
      <c r="CM1067" s="78">
        <f>IF($CK1067="Partial IO",1,0)</f>
        <v/>
      </c>
      <c r="CN1067" s="76">
        <f>IF(LEFT($F1067&amp;"",10)="SPLIT_LOAN","Pari Passu Split","Standalone")</f>
        <v/>
      </c>
      <c r="CO1067" s="78">
        <f>IF($CN1067="Pari Passu Split",1,0)</f>
        <v/>
      </c>
      <c r="CP1067" s="77">
        <f>IF(ISNUMBER($T1067),YEAR($T1067),"")</f>
        <v/>
      </c>
      <c r="CQ1067" s="79">
        <f>IF(ISNUMBER($V1067),$V1067,IF(ISNUMBER($U1067),$U1067,""))</f>
        <v/>
      </c>
      <c r="CR1067" s="77">
        <f>IF(ISNUMBER($CQ1067),YEAR($CQ1067),"")</f>
        <v/>
      </c>
      <c r="CS1067" s="78">
        <f>IF(ISNUMBER($M1067),MAX(0,$M1067),IF(TRIM($M1067&amp;"")="matured",0,""))</f>
        <v/>
      </c>
      <c r="CT1067" s="78">
        <f>IF(AND(ISNUMBER($CS1067),N($CS1067)&lt;=mMatWindow),1,0)</f>
        <v/>
      </c>
      <c r="CU1067" s="80">
        <f>IF(ISNUMBER($J1067),$J1067/100,"")</f>
        <v/>
      </c>
      <c r="CV1067" s="81">
        <f>IF(ISNUMBER($AQ1067),$AQ1067,"")</f>
        <v/>
      </c>
      <c r="CW1067" s="81">
        <f>IF(ISNUMBER($AR1067),$AR1067,"")</f>
        <v/>
      </c>
      <c r="CX1067" s="82">
        <f>IF(ISNUMBER($AS1067),$AS1067/100,"")</f>
        <v/>
      </c>
      <c r="CY1067" s="82">
        <f>IF(ISNUMBER($AT1067),$AT1067/100,"")</f>
        <v/>
      </c>
      <c r="CZ1067" s="82">
        <f>IF(ISNUMBER($AU1067),$AU1067/100,"")</f>
        <v/>
      </c>
      <c r="DA1067" s="82">
        <f>IF(ISNUMBER($AV1067),$AV1067/100,"")</f>
        <v/>
      </c>
      <c r="DB1067" s="82">
        <f>IF(ISNUMBER($AW1067),$AW1067/100,"")</f>
        <v/>
      </c>
      <c r="DC1067" s="82">
        <f>IF(ISNUMBER($AX1067),$AX1067/100,"")</f>
        <v/>
      </c>
      <c r="DD1067" s="77">
        <f>IFERROR(VALUE(LEFT(TRIM($AO1067&amp;""),4)),"")</f>
        <v/>
      </c>
      <c r="DE1067" s="78">
        <f>IF(AND($BY1067=1,$BX1067=1,OR(fDeal="All Deals",$BU1067=fDeal),OR(fEntity="All Entities",$BV1067=fEntity),OR(fPType="All Property Types",$BZ1067=fPType),OR(fDefeased="Include",$CJ1067=0)),1,0)</f>
        <v/>
      </c>
      <c r="DF1067" s="83">
        <f>$DE1067*N($I1067)</f>
        <v/>
      </c>
      <c r="DG1067" s="78">
        <f>IF($DE1067=1,IF(COUNTIFS($F$8:$F1067,$F1067,$DE$8:$DE1067,1)=1,1,0),0)</f>
        <v/>
      </c>
      <c r="DH1067" s="83">
        <f>IF($DG1067=1,SUMIFS($DF$8:$DF$1600,$F$8:$F$1600,$F1067),0)</f>
        <v/>
      </c>
      <c r="DI1067" s="78">
        <f>IF($DG1067=1,COUNTIFS($F$8:$F$1600,$F1067,$DE$8:$DE$1600,1),0)</f>
        <v/>
      </c>
      <c r="DJ1067" s="84">
        <f>IF($DG1067=1,$DH1067+(100000-ROW())/mTieBreak,0)</f>
        <v/>
      </c>
    </row>
    <row r="1068">
      <c r="B1068" s="68" t="n">
        <v>21</v>
      </c>
      <c r="C1068" s="69" t="inlineStr">
        <is>
          <t>GS217GS6</t>
        </is>
      </c>
      <c r="D1068" s="69" t="inlineStr">
        <is>
          <t>21.000</t>
        </is>
      </c>
      <c r="E1068" s="69" t="inlineStr">
        <is>
          <t>Shiloh Crossing</t>
        </is>
      </c>
      <c r="F1068" s="69" t="inlineStr">
        <is>
          <t>LNGS217GS6-21.000</t>
        </is>
      </c>
      <c r="G1068" s="70" t="n"/>
      <c r="H1068" s="71" t="n">
        <v>12562500</v>
      </c>
      <c r="I1068" s="71" t="n">
        <v>10444933.86999937</v>
      </c>
      <c r="J1068" s="72" t="n">
        <v>4.774</v>
      </c>
      <c r="K1068" s="69" t="inlineStr">
        <is>
          <t>Fixed rate</t>
        </is>
      </c>
      <c r="L1068" s="68" t="n">
        <v>120</v>
      </c>
      <c r="M1068" s="68" t="n">
        <v>8</v>
      </c>
      <c r="N1068" s="68" t="n">
        <v>360</v>
      </c>
      <c r="O1068" s="68" t="n"/>
      <c r="P1068" s="68" t="n"/>
      <c r="Q1068" s="68" t="n">
        <v>112</v>
      </c>
      <c r="R1068" s="69" t="n"/>
      <c r="S1068" s="69" t="inlineStr">
        <is>
          <t>No</t>
        </is>
      </c>
      <c r="T1068" s="73" t="n">
        <v>42856</v>
      </c>
      <c r="U1068" s="73" t="n">
        <v>46513</v>
      </c>
      <c r="V1068" s="73" t="n"/>
      <c r="W1068" s="69" t="n"/>
      <c r="X1068" s="69" t="inlineStr">
        <is>
          <t>Current</t>
        </is>
      </c>
      <c r="Y1068" s="68" t="n"/>
      <c r="Z1068" s="69" t="inlineStr">
        <is>
          <t>No Defeasance Occurred</t>
        </is>
      </c>
      <c r="AA1068" s="69" t="inlineStr">
        <is>
          <t>Previously</t>
        </is>
      </c>
      <c r="AB1068" s="69" t="inlineStr">
        <is>
          <t>Never special serv</t>
        </is>
      </c>
      <c r="AC1068" s="73" t="n"/>
      <c r="AD1068" s="69" t="n"/>
      <c r="AE1068" s="69" t="n"/>
      <c r="AF1068" s="69" t="inlineStr">
        <is>
          <t>IN</t>
        </is>
      </c>
      <c r="AG1068" s="69" t="inlineStr">
        <is>
          <t>Avon</t>
        </is>
      </c>
      <c r="AH1068" s="69" t="inlineStr">
        <is>
          <t>Indianapolis-Carmel-Greenwood, IN</t>
        </is>
      </c>
      <c r="AI1068" s="69" t="inlineStr">
        <is>
          <t>Midwest / Central East</t>
        </is>
      </c>
      <c r="AJ1068" s="69" t="inlineStr">
        <is>
          <t>RT</t>
        </is>
      </c>
      <c r="AK1068" s="69" t="inlineStr">
        <is>
          <t>Anchored</t>
        </is>
      </c>
      <c r="AL1068" s="68" t="n">
        <v>1</v>
      </c>
      <c r="AM1068" s="68" t="n"/>
      <c r="AN1068" s="68" t="n">
        <v>99916</v>
      </c>
      <c r="AO1068" s="69" t="inlineStr">
        <is>
          <t>2001</t>
        </is>
      </c>
      <c r="AP1068" s="70" t="n">
        <v>2001</v>
      </c>
      <c r="AQ1068" s="74" t="n">
        <v>1.36</v>
      </c>
      <c r="AR1068" s="74" t="n">
        <v>1.42</v>
      </c>
      <c r="AS1068" s="74" t="n">
        <v>75</v>
      </c>
      <c r="AT1068" s="74" t="n">
        <v>62.36</v>
      </c>
      <c r="AU1068" s="74" t="n">
        <v>61.2</v>
      </c>
      <c r="AV1068" s="74" t="n">
        <v>8.532036856</v>
      </c>
      <c r="AW1068" s="74" t="n">
        <v>10.742861027</v>
      </c>
      <c r="AX1068" s="75" t="n">
        <v>100</v>
      </c>
      <c r="AY1068" s="71" t="n">
        <v>16750000</v>
      </c>
      <c r="AZ1068" s="71" t="n">
        <v>16750000</v>
      </c>
      <c r="BA1068" s="71" t="n">
        <v>1071837.13</v>
      </c>
      <c r="BB1068" s="71" t="n">
        <v>1122084.73</v>
      </c>
      <c r="BC1068" s="69" t="inlineStr">
        <is>
          <t>Refinance</t>
        </is>
      </c>
      <c r="BD1068" s="69" t="inlineStr">
        <is>
          <t>N</t>
        </is>
      </c>
      <c r="BE1068" s="71" t="n"/>
      <c r="BF1068" s="71" t="n"/>
      <c r="BG1068" s="71" t="n"/>
      <c r="BH1068" s="71" t="n">
        <v>0</v>
      </c>
      <c r="BI1068" s="71" t="n">
        <v>0</v>
      </c>
      <c r="BJ1068" s="69" t="inlineStr">
        <is>
          <t>N</t>
        </is>
      </c>
      <c r="BK1068" s="69" t="inlineStr">
        <is>
          <t>Best Buy</t>
        </is>
      </c>
      <c r="BL1068" s="75" t="n">
        <v>30.14</v>
      </c>
      <c r="BM1068" s="73" t="n">
        <v>50130</v>
      </c>
      <c r="BN1068" s="69" t="inlineStr">
        <is>
          <t>Ronald B. Russ, Jeffrey S. Gould and Bryan Chandler</t>
        </is>
      </c>
      <c r="BO1068" s="69" t="inlineStr">
        <is>
          <t>Goldman Sachs</t>
        </is>
      </c>
      <c r="BP1068" s="69" t="inlineStr">
        <is>
          <t>Midland Loan Services</t>
        </is>
      </c>
      <c r="BQ1068" s="69" t="inlineStr">
        <is>
          <t>K-Star Asset Management LLC</t>
        </is>
      </c>
      <c r="BR1068" s="69" t="n"/>
      <c r="BS1068" s="73" t="n">
        <v>46273</v>
      </c>
      <c r="BU1068" s="76">
        <f>IF($C1068="","",IFERROR(INDEX(dmName,MATCH($C1068,dmID,0)),"Unmapped"))</f>
        <v/>
      </c>
      <c r="BV1068" s="76">
        <f>IF($C1068="","",IFERROR(INDEX(dmEntity,MATCH($C1068,dmID,0)),"Unmapped"))</f>
        <v/>
      </c>
      <c r="BW1068" s="77">
        <f>IF($C1068="","",IFERROR(INDEX(dmVintage,MATCH($C1068,dmID,0)),""))</f>
        <v/>
      </c>
      <c r="BX1068" s="78">
        <f>IFERROR(INDEX(dmInclude,MATCH($C1068,dmID,0)),0)</f>
        <v/>
      </c>
      <c r="BY1068" s="78">
        <f>IF(N($I1068)&gt;0,1,0)</f>
        <v/>
      </c>
      <c r="BZ1068" s="76">
        <f>IF($AJ1068="","Other / Leased Fee",IFERROR(INDEX(mapPTGroup,MATCH(LEFT(TRIM($AJ1068),2),mapPTCode,0)),"Other / Leased Fee"))</f>
        <v/>
      </c>
      <c r="CA1068" s="76">
        <f>IF(TRIM($AF1068&amp;"")="","NR",LEFT(TRIM($AF1068),2))</f>
        <v/>
      </c>
      <c r="CB1068" s="76">
        <f>IFERROR(LOOKUP(2,1/(LEFT(TRIM($AI1068&amp;""),LEN(mapRegion))=mapRegion),mapRegion),"Not Reported")</f>
        <v/>
      </c>
      <c r="CC1068" s="76">
        <f>IF($BY1068=0,"",IF(TRIM($W1068&amp;"")="REO","REO",IF(TRIM($W1068&amp;"")="FC","Foreclosure",IF(TRIM($W1068&amp;"")="90+","90+ Days Delinquent",IF(TRIM($W1068&amp;"")="60","60 Days Delinquent",IF(TRIM($W1068&amp;"")="30","30 Days Delinquent",IF($X1068="Non-Performing Matured Balloon","Non-Performing Matured Balloon",IF(OR($X1068="Late Payment But Less Than 30 Days Delinquent",LEFT($X1068&amp;"",20)="Payment Not Received"),"Late / In Grace (&lt;30 Days)",IF($X1068="Performing Matured Balloon","Performing Matured Balloon","Current")))))))))</f>
        <v/>
      </c>
      <c r="CD1068" s="78">
        <f>IF(OR($CC1068="REO",$CC1068="Foreclosure",$CC1068="90+ Days Delinquent",$CC1068="60 Days Delinquent",$CC1068="30 Days Delinquent",$CC1068="Non-Performing Matured Balloon"),1,0)</f>
        <v/>
      </c>
      <c r="CE1068" s="76">
        <f>IF($AB1068="Currently special serv","Currently Specially Serviced",IF($AB1068="Returned to master serv","Previously Specially Serviced","Never Specially Serviced"))</f>
        <v/>
      </c>
      <c r="CF1068" s="78">
        <f>IF($CE1068="Currently Specially Serviced",1,0)</f>
        <v/>
      </c>
      <c r="CG1068" s="76">
        <f>IF($AA1068="Yes","Currently on Watchlist",IF($AA1068="Previously","Previously on Watchlist","Never on Watchlist"))</f>
        <v/>
      </c>
      <c r="CH1068" s="78">
        <f>IF($CG1068="Currently on Watchlist",1,0)</f>
        <v/>
      </c>
      <c r="CI1068" s="76">
        <f>IF($Z1068="Full Defeasance","Fully Defeased",IF($Z1068="Portion Of Loan Previously Defeased","Partially Defeased",IF($Z1068="Defeasance Not Allowable","Not Defeased (Not Permitted)","Not Defeased")))</f>
        <v/>
      </c>
      <c r="CJ1068" s="78">
        <f>IF($CI1068="Fully Defeased",1,0)</f>
        <v/>
      </c>
      <c r="CK1068" s="76">
        <f>IF($R1068="IO","Full IO",IF(LEFT($R1068&amp;"",7)="IO then","Partial IO","Amortizing"))</f>
        <v/>
      </c>
      <c r="CL1068" s="78">
        <f>IF($CK1068="Full IO",1,0)</f>
        <v/>
      </c>
      <c r="CM1068" s="78">
        <f>IF($CK1068="Partial IO",1,0)</f>
        <v/>
      </c>
      <c r="CN1068" s="76">
        <f>IF(LEFT($F1068&amp;"",10)="SPLIT_LOAN","Pari Passu Split","Standalone")</f>
        <v/>
      </c>
      <c r="CO1068" s="78">
        <f>IF($CN1068="Pari Passu Split",1,0)</f>
        <v/>
      </c>
      <c r="CP1068" s="77">
        <f>IF(ISNUMBER($T1068),YEAR($T1068),"")</f>
        <v/>
      </c>
      <c r="CQ1068" s="79">
        <f>IF(ISNUMBER($V1068),$V1068,IF(ISNUMBER($U1068),$U1068,""))</f>
        <v/>
      </c>
      <c r="CR1068" s="77">
        <f>IF(ISNUMBER($CQ1068),YEAR($CQ1068),"")</f>
        <v/>
      </c>
      <c r="CS1068" s="78">
        <f>IF(ISNUMBER($M1068),MAX(0,$M1068),IF(TRIM($M1068&amp;"")="matured",0,""))</f>
        <v/>
      </c>
      <c r="CT1068" s="78">
        <f>IF(AND(ISNUMBER($CS1068),N($CS1068)&lt;=mMatWindow),1,0)</f>
        <v/>
      </c>
      <c r="CU1068" s="80">
        <f>IF(ISNUMBER($J1068),$J1068/100,"")</f>
        <v/>
      </c>
      <c r="CV1068" s="81">
        <f>IF(ISNUMBER($AQ1068),$AQ1068,"")</f>
        <v/>
      </c>
      <c r="CW1068" s="81">
        <f>IF(ISNUMBER($AR1068),$AR1068,"")</f>
        <v/>
      </c>
      <c r="CX1068" s="82">
        <f>IF(ISNUMBER($AS1068),$AS1068/100,"")</f>
        <v/>
      </c>
      <c r="CY1068" s="82">
        <f>IF(ISNUMBER($AT1068),$AT1068/100,"")</f>
        <v/>
      </c>
      <c r="CZ1068" s="82">
        <f>IF(ISNUMBER($AU1068),$AU1068/100,"")</f>
        <v/>
      </c>
      <c r="DA1068" s="82">
        <f>IF(ISNUMBER($AV1068),$AV1068/100,"")</f>
        <v/>
      </c>
      <c r="DB1068" s="82">
        <f>IF(ISNUMBER($AW1068),$AW1068/100,"")</f>
        <v/>
      </c>
      <c r="DC1068" s="82">
        <f>IF(ISNUMBER($AX1068),$AX1068/100,"")</f>
        <v/>
      </c>
      <c r="DD1068" s="77">
        <f>IFERROR(VALUE(LEFT(TRIM($AO1068&amp;""),4)),"")</f>
        <v/>
      </c>
      <c r="DE1068" s="78">
        <f>IF(AND($BY1068=1,$BX1068=1,OR(fDeal="All Deals",$BU1068=fDeal),OR(fEntity="All Entities",$BV1068=fEntity),OR(fPType="All Property Types",$BZ1068=fPType),OR(fDefeased="Include",$CJ1068=0)),1,0)</f>
        <v/>
      </c>
      <c r="DF1068" s="83">
        <f>$DE1068*N($I1068)</f>
        <v/>
      </c>
      <c r="DG1068" s="78">
        <f>IF($DE1068=1,IF(COUNTIFS($F$8:$F1068,$F1068,$DE$8:$DE1068,1)=1,1,0),0)</f>
        <v/>
      </c>
      <c r="DH1068" s="83">
        <f>IF($DG1068=1,SUMIFS($DF$8:$DF$1600,$F$8:$F$1600,$F1068),0)</f>
        <v/>
      </c>
      <c r="DI1068" s="78">
        <f>IF($DG1068=1,COUNTIFS($F$8:$F$1600,$F1068,$DE$8:$DE$1600,1),0)</f>
        <v/>
      </c>
      <c r="DJ1068" s="84">
        <f>IF($DG1068=1,$DH1068+(100000-ROW())/mTieBreak,0)</f>
        <v/>
      </c>
    </row>
    <row r="1069">
      <c r="B1069" s="68" t="n">
        <v>22</v>
      </c>
      <c r="C1069" s="69" t="inlineStr">
        <is>
          <t>GS217GS6</t>
        </is>
      </c>
      <c r="D1069" s="69" t="inlineStr">
        <is>
          <t>22.000</t>
        </is>
      </c>
      <c r="E1069" s="69" t="inlineStr">
        <is>
          <t>Mission Gorge Square</t>
        </is>
      </c>
      <c r="F1069" s="69" t="inlineStr">
        <is>
          <t>LNGS217GS6-22.000</t>
        </is>
      </c>
      <c r="G1069" s="70" t="n"/>
      <c r="H1069" s="71" t="n">
        <v>12500000</v>
      </c>
      <c r="I1069" s="71" t="n">
        <v>12500000</v>
      </c>
      <c r="J1069" s="72" t="n">
        <v>3.83</v>
      </c>
      <c r="K1069" s="69" t="inlineStr">
        <is>
          <t>Fixed rate</t>
        </is>
      </c>
      <c r="L1069" s="68" t="n">
        <v>120</v>
      </c>
      <c r="M1069" s="68" t="n">
        <v>8</v>
      </c>
      <c r="N1069" s="68" t="n">
        <v>120</v>
      </c>
      <c r="O1069" s="68" t="n">
        <v>120</v>
      </c>
      <c r="P1069" s="68" t="n">
        <v>8</v>
      </c>
      <c r="Q1069" s="68" t="n">
        <v>112</v>
      </c>
      <c r="R1069" s="69" t="inlineStr">
        <is>
          <t>IO</t>
        </is>
      </c>
      <c r="S1069" s="69" t="inlineStr">
        <is>
          <t>Yes</t>
        </is>
      </c>
      <c r="T1069" s="73" t="n">
        <v>42856</v>
      </c>
      <c r="U1069" s="73" t="n">
        <v>46513</v>
      </c>
      <c r="V1069" s="73" t="n"/>
      <c r="W1069" s="69" t="n"/>
      <c r="X1069" s="69" t="inlineStr">
        <is>
          <t>Current</t>
        </is>
      </c>
      <c r="Y1069" s="68" t="n"/>
      <c r="Z1069" s="69" t="inlineStr">
        <is>
          <t>No Defeasance Occurred</t>
        </is>
      </c>
      <c r="AA1069" s="69" t="inlineStr">
        <is>
          <t>Previously</t>
        </is>
      </c>
      <c r="AB1069" s="69" t="inlineStr">
        <is>
          <t>Never special serv</t>
        </is>
      </c>
      <c r="AC1069" s="73" t="n"/>
      <c r="AD1069" s="69" t="n"/>
      <c r="AE1069" s="69" t="n"/>
      <c r="AF1069" s="69" t="inlineStr">
        <is>
          <t>CA</t>
        </is>
      </c>
      <c r="AG1069" s="69" t="inlineStr">
        <is>
          <t>Santee</t>
        </is>
      </c>
      <c r="AH1069" s="69" t="inlineStr">
        <is>
          <t>San Diego-Chula Vista-Carlsbad, CA</t>
        </is>
      </c>
      <c r="AI1069" s="69" t="inlineStr">
        <is>
          <t>West / Pacific South</t>
        </is>
      </c>
      <c r="AJ1069" s="69" t="inlineStr">
        <is>
          <t>RT</t>
        </is>
      </c>
      <c r="AK1069" s="69" t="inlineStr">
        <is>
          <t>Anchored</t>
        </is>
      </c>
      <c r="AL1069" s="68" t="n">
        <v>1</v>
      </c>
      <c r="AM1069" s="68" t="n"/>
      <c r="AN1069" s="68" t="n">
        <v>95035</v>
      </c>
      <c r="AO1069" s="69" t="inlineStr">
        <is>
          <t>1979</t>
        </is>
      </c>
      <c r="AP1069" s="70" t="n">
        <v>2006</v>
      </c>
      <c r="AQ1069" s="74" t="n">
        <v>3.37</v>
      </c>
      <c r="AR1069" s="74" t="n">
        <v>4.14</v>
      </c>
      <c r="AS1069" s="74" t="n">
        <v>47.17</v>
      </c>
      <c r="AT1069" s="74" t="n">
        <v>47.17</v>
      </c>
      <c r="AU1069" s="74" t="n">
        <v>47.17</v>
      </c>
      <c r="AV1069" s="74" t="n">
        <v>13.09497456</v>
      </c>
      <c r="AW1069" s="74" t="n">
        <v>15.39710784</v>
      </c>
      <c r="AX1069" s="75" t="n">
        <v>96</v>
      </c>
      <c r="AY1069" s="71" t="n">
        <v>26500000</v>
      </c>
      <c r="AZ1069" s="71" t="n">
        <v>26500000</v>
      </c>
      <c r="BA1069" s="71" t="n">
        <v>1636871.82</v>
      </c>
      <c r="BB1069" s="71" t="n">
        <v>2010348.22</v>
      </c>
      <c r="BC1069" s="69" t="inlineStr">
        <is>
          <t>Refinance</t>
        </is>
      </c>
      <c r="BD1069" s="69" t="inlineStr">
        <is>
          <t>N</t>
        </is>
      </c>
      <c r="BE1069" s="71" t="n"/>
      <c r="BF1069" s="71" t="n"/>
      <c r="BG1069" s="71" t="n"/>
      <c r="BH1069" s="71" t="n">
        <v>0</v>
      </c>
      <c r="BI1069" s="71" t="n">
        <v>0</v>
      </c>
      <c r="BJ1069" s="69" t="inlineStr">
        <is>
          <t>N</t>
        </is>
      </c>
      <c r="BK1069" s="69" t="inlineStr">
        <is>
          <t>CVS</t>
        </is>
      </c>
      <c r="BL1069" s="75" t="n">
        <v>18.1</v>
      </c>
      <c r="BM1069" s="73" t="n"/>
      <c r="BN1069" s="69" t="inlineStr">
        <is>
          <t>Weiman Commercial LLC, Laskey-Weil Co. LLC, Ruth Weil, Mindy Weiman Geller and Stephanie Laskey</t>
        </is>
      </c>
      <c r="BO1069" s="69" t="inlineStr">
        <is>
          <t>Goldman Sachs</t>
        </is>
      </c>
      <c r="BP1069" s="69" t="inlineStr">
        <is>
          <t>Midland Loan Services</t>
        </is>
      </c>
      <c r="BQ1069" s="69" t="inlineStr">
        <is>
          <t>K-Star Asset Management LLC</t>
        </is>
      </c>
      <c r="BR1069" s="69" t="n"/>
      <c r="BS1069" s="73" t="n">
        <v>46273</v>
      </c>
      <c r="BU1069" s="76">
        <f>IF($C1069="","",IFERROR(INDEX(dmName,MATCH($C1069,dmID,0)),"Unmapped"))</f>
        <v/>
      </c>
      <c r="BV1069" s="76">
        <f>IF($C1069="","",IFERROR(INDEX(dmEntity,MATCH($C1069,dmID,0)),"Unmapped"))</f>
        <v/>
      </c>
      <c r="BW1069" s="77">
        <f>IF($C1069="","",IFERROR(INDEX(dmVintage,MATCH($C1069,dmID,0)),""))</f>
        <v/>
      </c>
      <c r="BX1069" s="78">
        <f>IFERROR(INDEX(dmInclude,MATCH($C1069,dmID,0)),0)</f>
        <v/>
      </c>
      <c r="BY1069" s="78">
        <f>IF(N($I1069)&gt;0,1,0)</f>
        <v/>
      </c>
      <c r="BZ1069" s="76">
        <f>IF($AJ1069="","Other / Leased Fee",IFERROR(INDEX(mapPTGroup,MATCH(LEFT(TRIM($AJ1069),2),mapPTCode,0)),"Other / Leased Fee"))</f>
        <v/>
      </c>
      <c r="CA1069" s="76">
        <f>IF(TRIM($AF1069&amp;"")="","NR",LEFT(TRIM($AF1069),2))</f>
        <v/>
      </c>
      <c r="CB1069" s="76">
        <f>IFERROR(LOOKUP(2,1/(LEFT(TRIM($AI1069&amp;""),LEN(mapRegion))=mapRegion),mapRegion),"Not Reported")</f>
        <v/>
      </c>
      <c r="CC1069" s="76">
        <f>IF($BY1069=0,"",IF(TRIM($W1069&amp;"")="REO","REO",IF(TRIM($W1069&amp;"")="FC","Foreclosure",IF(TRIM($W1069&amp;"")="90+","90+ Days Delinquent",IF(TRIM($W1069&amp;"")="60","60 Days Delinquent",IF(TRIM($W1069&amp;"")="30","30 Days Delinquent",IF($X1069="Non-Performing Matured Balloon","Non-Performing Matured Balloon",IF(OR($X1069="Late Payment But Less Than 30 Days Delinquent",LEFT($X1069&amp;"",20)="Payment Not Received"),"Late / In Grace (&lt;30 Days)",IF($X1069="Performing Matured Balloon","Performing Matured Balloon","Current")))))))))</f>
        <v/>
      </c>
      <c r="CD1069" s="78">
        <f>IF(OR($CC1069="REO",$CC1069="Foreclosure",$CC1069="90+ Days Delinquent",$CC1069="60 Days Delinquent",$CC1069="30 Days Delinquent",$CC1069="Non-Performing Matured Balloon"),1,0)</f>
        <v/>
      </c>
      <c r="CE1069" s="76">
        <f>IF($AB1069="Currently special serv","Currently Specially Serviced",IF($AB1069="Returned to master serv","Previously Specially Serviced","Never Specially Serviced"))</f>
        <v/>
      </c>
      <c r="CF1069" s="78">
        <f>IF($CE1069="Currently Specially Serviced",1,0)</f>
        <v/>
      </c>
      <c r="CG1069" s="76">
        <f>IF($AA1069="Yes","Currently on Watchlist",IF($AA1069="Previously","Previously on Watchlist","Never on Watchlist"))</f>
        <v/>
      </c>
      <c r="CH1069" s="78">
        <f>IF($CG1069="Currently on Watchlist",1,0)</f>
        <v/>
      </c>
      <c r="CI1069" s="76">
        <f>IF($Z1069="Full Defeasance","Fully Defeased",IF($Z1069="Portion Of Loan Previously Defeased","Partially Defeased",IF($Z1069="Defeasance Not Allowable","Not Defeased (Not Permitted)","Not Defeased")))</f>
        <v/>
      </c>
      <c r="CJ1069" s="78">
        <f>IF($CI1069="Fully Defeased",1,0)</f>
        <v/>
      </c>
      <c r="CK1069" s="76">
        <f>IF($R1069="IO","Full IO",IF(LEFT($R1069&amp;"",7)="IO then","Partial IO","Amortizing"))</f>
        <v/>
      </c>
      <c r="CL1069" s="78">
        <f>IF($CK1069="Full IO",1,0)</f>
        <v/>
      </c>
      <c r="CM1069" s="78">
        <f>IF($CK1069="Partial IO",1,0)</f>
        <v/>
      </c>
      <c r="CN1069" s="76">
        <f>IF(LEFT($F1069&amp;"",10)="SPLIT_LOAN","Pari Passu Split","Standalone")</f>
        <v/>
      </c>
      <c r="CO1069" s="78">
        <f>IF($CN1069="Pari Passu Split",1,0)</f>
        <v/>
      </c>
      <c r="CP1069" s="77">
        <f>IF(ISNUMBER($T1069),YEAR($T1069),"")</f>
        <v/>
      </c>
      <c r="CQ1069" s="79">
        <f>IF(ISNUMBER($V1069),$V1069,IF(ISNUMBER($U1069),$U1069,""))</f>
        <v/>
      </c>
      <c r="CR1069" s="77">
        <f>IF(ISNUMBER($CQ1069),YEAR($CQ1069),"")</f>
        <v/>
      </c>
      <c r="CS1069" s="78">
        <f>IF(ISNUMBER($M1069),MAX(0,$M1069),IF(TRIM($M1069&amp;"")="matured",0,""))</f>
        <v/>
      </c>
      <c r="CT1069" s="78">
        <f>IF(AND(ISNUMBER($CS1069),N($CS1069)&lt;=mMatWindow),1,0)</f>
        <v/>
      </c>
      <c r="CU1069" s="80">
        <f>IF(ISNUMBER($J1069),$J1069/100,"")</f>
        <v/>
      </c>
      <c r="CV1069" s="81">
        <f>IF(ISNUMBER($AQ1069),$AQ1069,"")</f>
        <v/>
      </c>
      <c r="CW1069" s="81">
        <f>IF(ISNUMBER($AR1069),$AR1069,"")</f>
        <v/>
      </c>
      <c r="CX1069" s="82">
        <f>IF(ISNUMBER($AS1069),$AS1069/100,"")</f>
        <v/>
      </c>
      <c r="CY1069" s="82">
        <f>IF(ISNUMBER($AT1069),$AT1069/100,"")</f>
        <v/>
      </c>
      <c r="CZ1069" s="82">
        <f>IF(ISNUMBER($AU1069),$AU1069/100,"")</f>
        <v/>
      </c>
      <c r="DA1069" s="82">
        <f>IF(ISNUMBER($AV1069),$AV1069/100,"")</f>
        <v/>
      </c>
      <c r="DB1069" s="82">
        <f>IF(ISNUMBER($AW1069),$AW1069/100,"")</f>
        <v/>
      </c>
      <c r="DC1069" s="82">
        <f>IF(ISNUMBER($AX1069),$AX1069/100,"")</f>
        <v/>
      </c>
      <c r="DD1069" s="77">
        <f>IFERROR(VALUE(LEFT(TRIM($AO1069&amp;""),4)),"")</f>
        <v/>
      </c>
      <c r="DE1069" s="78">
        <f>IF(AND($BY1069=1,$BX1069=1,OR(fDeal="All Deals",$BU1069=fDeal),OR(fEntity="All Entities",$BV1069=fEntity),OR(fPType="All Property Types",$BZ1069=fPType),OR(fDefeased="Include",$CJ1069=0)),1,0)</f>
        <v/>
      </c>
      <c r="DF1069" s="83">
        <f>$DE1069*N($I1069)</f>
        <v/>
      </c>
      <c r="DG1069" s="78">
        <f>IF($DE1069=1,IF(COUNTIFS($F$8:$F1069,$F1069,$DE$8:$DE1069,1)=1,1,0),0)</f>
        <v/>
      </c>
      <c r="DH1069" s="83">
        <f>IF($DG1069=1,SUMIFS($DF$8:$DF$1600,$F$8:$F$1600,$F1069),0)</f>
        <v/>
      </c>
      <c r="DI1069" s="78">
        <f>IF($DG1069=1,COUNTIFS($F$8:$F$1600,$F1069,$DE$8:$DE$1600,1),0)</f>
        <v/>
      </c>
      <c r="DJ1069" s="84">
        <f>IF($DG1069=1,$DH1069+(100000-ROW())/mTieBreak,0)</f>
        <v/>
      </c>
    </row>
    <row r="1070">
      <c r="B1070" s="68" t="n">
        <v>23</v>
      </c>
      <c r="C1070" s="69" t="inlineStr">
        <is>
          <t>GS217GS6</t>
        </is>
      </c>
      <c r="D1070" s="69" t="inlineStr">
        <is>
          <t>23.000</t>
        </is>
      </c>
      <c r="E1070" s="69" t="inlineStr">
        <is>
          <t>Camino Vida Roble</t>
        </is>
      </c>
      <c r="F1070" s="69" t="inlineStr">
        <is>
          <t>LNGS217GS6-23.000</t>
        </is>
      </c>
      <c r="G1070" s="70" t="n"/>
      <c r="H1070" s="71" t="n">
        <v>12000000</v>
      </c>
      <c r="I1070" s="71" t="n">
        <v>12000000</v>
      </c>
      <c r="J1070" s="72" t="n">
        <v>4.84</v>
      </c>
      <c r="K1070" s="69" t="inlineStr">
        <is>
          <t>Fixed rate</t>
        </is>
      </c>
      <c r="L1070" s="68" t="n">
        <v>120</v>
      </c>
      <c r="M1070" s="68" t="n">
        <v>7</v>
      </c>
      <c r="N1070" s="68" t="n">
        <v>120</v>
      </c>
      <c r="O1070" s="68" t="n">
        <v>120</v>
      </c>
      <c r="P1070" s="68" t="n">
        <v>7</v>
      </c>
      <c r="Q1070" s="68" t="n">
        <v>113</v>
      </c>
      <c r="R1070" s="69" t="inlineStr">
        <is>
          <t>IO</t>
        </is>
      </c>
      <c r="S1070" s="69" t="inlineStr">
        <is>
          <t>Yes</t>
        </is>
      </c>
      <c r="T1070" s="73" t="n">
        <v>42826</v>
      </c>
      <c r="U1070" s="73" t="n">
        <v>46483</v>
      </c>
      <c r="V1070" s="73" t="n"/>
      <c r="W1070" s="69" t="n"/>
      <c r="X1070" s="69" t="inlineStr">
        <is>
          <t>Current</t>
        </is>
      </c>
      <c r="Y1070" s="68" t="n"/>
      <c r="Z1070" s="69" t="inlineStr">
        <is>
          <t>No Defeasance Occurred</t>
        </is>
      </c>
      <c r="AA1070" s="69" t="inlineStr">
        <is>
          <t>Yes</t>
        </is>
      </c>
      <c r="AB1070" s="69" t="inlineStr">
        <is>
          <t>Never special serv</t>
        </is>
      </c>
      <c r="AC1070" s="73" t="n"/>
      <c r="AD1070" s="69" t="n"/>
      <c r="AE1070" s="69" t="n"/>
      <c r="AF1070" s="69" t="inlineStr">
        <is>
          <t>CA</t>
        </is>
      </c>
      <c r="AG1070" s="69" t="inlineStr">
        <is>
          <t>Carlsbad</t>
        </is>
      </c>
      <c r="AH1070" s="69" t="inlineStr">
        <is>
          <t>San Diego-Chula Vista-Carlsbad, CA</t>
        </is>
      </c>
      <c r="AI1070" s="69" t="inlineStr">
        <is>
          <t>West / Pacific South</t>
        </is>
      </c>
      <c r="AJ1070" s="69" t="inlineStr">
        <is>
          <t>MX</t>
        </is>
      </c>
      <c r="AK1070" s="69" t="inlineStr">
        <is>
          <t>Office/Industrial</t>
        </is>
      </c>
      <c r="AL1070" s="68" t="n">
        <v>1</v>
      </c>
      <c r="AM1070" s="68" t="n"/>
      <c r="AN1070" s="68" t="n">
        <v>86896</v>
      </c>
      <c r="AO1070" s="69" t="inlineStr">
        <is>
          <t>1982</t>
        </is>
      </c>
      <c r="AP1070" s="70" t="n">
        <v>2014</v>
      </c>
      <c r="AQ1070" s="74" t="n">
        <v>2.07</v>
      </c>
      <c r="AR1070" s="74" t="n">
        <v>3.1</v>
      </c>
      <c r="AS1070" s="74" t="n">
        <v>60</v>
      </c>
      <c r="AT1070" s="74" t="n">
        <v>60</v>
      </c>
      <c r="AU1070" s="74" t="n">
        <v>60</v>
      </c>
      <c r="AV1070" s="74" t="n">
        <v>10.1718335</v>
      </c>
      <c r="AW1070" s="74" t="n">
        <v>13.349843833</v>
      </c>
      <c r="AX1070" s="75" t="n">
        <v>100</v>
      </c>
      <c r="AY1070" s="71" t="n">
        <v>20000000</v>
      </c>
      <c r="AZ1070" s="71" t="n">
        <v>20000000</v>
      </c>
      <c r="BA1070" s="71" t="n">
        <v>1220620.02</v>
      </c>
      <c r="BB1070" s="71" t="n">
        <v>1822884.94</v>
      </c>
      <c r="BC1070" s="69" t="inlineStr">
        <is>
          <t>Acquisition</t>
        </is>
      </c>
      <c r="BD1070" s="69" t="inlineStr">
        <is>
          <t>N</t>
        </is>
      </c>
      <c r="BE1070" s="71" t="n"/>
      <c r="BF1070" s="71" t="n"/>
      <c r="BG1070" s="71" t="n"/>
      <c r="BH1070" s="71" t="n">
        <v>0</v>
      </c>
      <c r="BI1070" s="71" t="n">
        <v>0</v>
      </c>
      <c r="BJ1070" s="69" t="inlineStr">
        <is>
          <t>N</t>
        </is>
      </c>
      <c r="BK1070" s="69" t="inlineStr">
        <is>
          <t>CISCO Systems</t>
        </is>
      </c>
      <c r="BL1070" s="75" t="n">
        <v>50.56</v>
      </c>
      <c r="BM1070" s="73" t="n">
        <v>46326</v>
      </c>
      <c r="BN1070" s="69" t="inlineStr">
        <is>
          <t>Roy Doumani and Jared Doumani</t>
        </is>
      </c>
      <c r="BO1070" s="69" t="inlineStr">
        <is>
          <t>Goldman Sachs</t>
        </is>
      </c>
      <c r="BP1070" s="69" t="inlineStr">
        <is>
          <t>Midland Loan Services</t>
        </is>
      </c>
      <c r="BQ1070" s="69" t="inlineStr">
        <is>
          <t>K-Star Asset Management LLC</t>
        </is>
      </c>
      <c r="BR1070" s="69" t="n"/>
      <c r="BS1070" s="73" t="n">
        <v>46273</v>
      </c>
      <c r="BU1070" s="76">
        <f>IF($C1070="","",IFERROR(INDEX(dmName,MATCH($C1070,dmID,0)),"Unmapped"))</f>
        <v/>
      </c>
      <c r="BV1070" s="76">
        <f>IF($C1070="","",IFERROR(INDEX(dmEntity,MATCH($C1070,dmID,0)),"Unmapped"))</f>
        <v/>
      </c>
      <c r="BW1070" s="77">
        <f>IF($C1070="","",IFERROR(INDEX(dmVintage,MATCH($C1070,dmID,0)),""))</f>
        <v/>
      </c>
      <c r="BX1070" s="78">
        <f>IFERROR(INDEX(dmInclude,MATCH($C1070,dmID,0)),0)</f>
        <v/>
      </c>
      <c r="BY1070" s="78">
        <f>IF(N($I1070)&gt;0,1,0)</f>
        <v/>
      </c>
      <c r="BZ1070" s="76">
        <f>IF($AJ1070="","Other / Leased Fee",IFERROR(INDEX(mapPTGroup,MATCH(LEFT(TRIM($AJ1070),2),mapPTCode,0)),"Other / Leased Fee"))</f>
        <v/>
      </c>
      <c r="CA1070" s="76">
        <f>IF(TRIM($AF1070&amp;"")="","NR",LEFT(TRIM($AF1070),2))</f>
        <v/>
      </c>
      <c r="CB1070" s="76">
        <f>IFERROR(LOOKUP(2,1/(LEFT(TRIM($AI1070&amp;""),LEN(mapRegion))=mapRegion),mapRegion),"Not Reported")</f>
        <v/>
      </c>
      <c r="CC1070" s="76">
        <f>IF($BY1070=0,"",IF(TRIM($W1070&amp;"")="REO","REO",IF(TRIM($W1070&amp;"")="FC","Foreclosure",IF(TRIM($W1070&amp;"")="90+","90+ Days Delinquent",IF(TRIM($W1070&amp;"")="60","60 Days Delinquent",IF(TRIM($W1070&amp;"")="30","30 Days Delinquent",IF($X1070="Non-Performing Matured Balloon","Non-Performing Matured Balloon",IF(OR($X1070="Late Payment But Less Than 30 Days Delinquent",LEFT($X1070&amp;"",20)="Payment Not Received"),"Late / In Grace (&lt;30 Days)",IF($X1070="Performing Matured Balloon","Performing Matured Balloon","Current")))))))))</f>
        <v/>
      </c>
      <c r="CD1070" s="78">
        <f>IF(OR($CC1070="REO",$CC1070="Foreclosure",$CC1070="90+ Days Delinquent",$CC1070="60 Days Delinquent",$CC1070="30 Days Delinquent",$CC1070="Non-Performing Matured Balloon"),1,0)</f>
        <v/>
      </c>
      <c r="CE1070" s="76">
        <f>IF($AB1070="Currently special serv","Currently Specially Serviced",IF($AB1070="Returned to master serv","Previously Specially Serviced","Never Specially Serviced"))</f>
        <v/>
      </c>
      <c r="CF1070" s="78">
        <f>IF($CE1070="Currently Specially Serviced",1,0)</f>
        <v/>
      </c>
      <c r="CG1070" s="76">
        <f>IF($AA1070="Yes","Currently on Watchlist",IF($AA1070="Previously","Previously on Watchlist","Never on Watchlist"))</f>
        <v/>
      </c>
      <c r="CH1070" s="78">
        <f>IF($CG1070="Currently on Watchlist",1,0)</f>
        <v/>
      </c>
      <c r="CI1070" s="76">
        <f>IF($Z1070="Full Defeasance","Fully Defeased",IF($Z1070="Portion Of Loan Previously Defeased","Partially Defeased",IF($Z1070="Defeasance Not Allowable","Not Defeased (Not Permitted)","Not Defeased")))</f>
        <v/>
      </c>
      <c r="CJ1070" s="78">
        <f>IF($CI1070="Fully Defeased",1,0)</f>
        <v/>
      </c>
      <c r="CK1070" s="76">
        <f>IF($R1070="IO","Full IO",IF(LEFT($R1070&amp;"",7)="IO then","Partial IO","Amortizing"))</f>
        <v/>
      </c>
      <c r="CL1070" s="78">
        <f>IF($CK1070="Full IO",1,0)</f>
        <v/>
      </c>
      <c r="CM1070" s="78">
        <f>IF($CK1070="Partial IO",1,0)</f>
        <v/>
      </c>
      <c r="CN1070" s="76">
        <f>IF(LEFT($F1070&amp;"",10)="SPLIT_LOAN","Pari Passu Split","Standalone")</f>
        <v/>
      </c>
      <c r="CO1070" s="78">
        <f>IF($CN1070="Pari Passu Split",1,0)</f>
        <v/>
      </c>
      <c r="CP1070" s="77">
        <f>IF(ISNUMBER($T1070),YEAR($T1070),"")</f>
        <v/>
      </c>
      <c r="CQ1070" s="79">
        <f>IF(ISNUMBER($V1070),$V1070,IF(ISNUMBER($U1070),$U1070,""))</f>
        <v/>
      </c>
      <c r="CR1070" s="77">
        <f>IF(ISNUMBER($CQ1070),YEAR($CQ1070),"")</f>
        <v/>
      </c>
      <c r="CS1070" s="78">
        <f>IF(ISNUMBER($M1070),MAX(0,$M1070),IF(TRIM($M1070&amp;"")="matured",0,""))</f>
        <v/>
      </c>
      <c r="CT1070" s="78">
        <f>IF(AND(ISNUMBER($CS1070),N($CS1070)&lt;=mMatWindow),1,0)</f>
        <v/>
      </c>
      <c r="CU1070" s="80">
        <f>IF(ISNUMBER($J1070),$J1070/100,"")</f>
        <v/>
      </c>
      <c r="CV1070" s="81">
        <f>IF(ISNUMBER($AQ1070),$AQ1070,"")</f>
        <v/>
      </c>
      <c r="CW1070" s="81">
        <f>IF(ISNUMBER($AR1070),$AR1070,"")</f>
        <v/>
      </c>
      <c r="CX1070" s="82">
        <f>IF(ISNUMBER($AS1070),$AS1070/100,"")</f>
        <v/>
      </c>
      <c r="CY1070" s="82">
        <f>IF(ISNUMBER($AT1070),$AT1070/100,"")</f>
        <v/>
      </c>
      <c r="CZ1070" s="82">
        <f>IF(ISNUMBER($AU1070),$AU1070/100,"")</f>
        <v/>
      </c>
      <c r="DA1070" s="82">
        <f>IF(ISNUMBER($AV1070),$AV1070/100,"")</f>
        <v/>
      </c>
      <c r="DB1070" s="82">
        <f>IF(ISNUMBER($AW1070),$AW1070/100,"")</f>
        <v/>
      </c>
      <c r="DC1070" s="82">
        <f>IF(ISNUMBER($AX1070),$AX1070/100,"")</f>
        <v/>
      </c>
      <c r="DD1070" s="77">
        <f>IFERROR(VALUE(LEFT(TRIM($AO1070&amp;""),4)),"")</f>
        <v/>
      </c>
      <c r="DE1070" s="78">
        <f>IF(AND($BY1070=1,$BX1070=1,OR(fDeal="All Deals",$BU1070=fDeal),OR(fEntity="All Entities",$BV1070=fEntity),OR(fPType="All Property Types",$BZ1070=fPType),OR(fDefeased="Include",$CJ1070=0)),1,0)</f>
        <v/>
      </c>
      <c r="DF1070" s="83">
        <f>$DE1070*N($I1070)</f>
        <v/>
      </c>
      <c r="DG1070" s="78">
        <f>IF($DE1070=1,IF(COUNTIFS($F$8:$F1070,$F1070,$DE$8:$DE1070,1)=1,1,0),0)</f>
        <v/>
      </c>
      <c r="DH1070" s="83">
        <f>IF($DG1070=1,SUMIFS($DF$8:$DF$1600,$F$8:$F$1600,$F1070),0)</f>
        <v/>
      </c>
      <c r="DI1070" s="78">
        <f>IF($DG1070=1,COUNTIFS($F$8:$F$1600,$F1070,$DE$8:$DE$1600,1),0)</f>
        <v/>
      </c>
      <c r="DJ1070" s="84">
        <f>IF($DG1070=1,$DH1070+(100000-ROW())/mTieBreak,0)</f>
        <v/>
      </c>
    </row>
    <row r="1071">
      <c r="B1071" s="68" t="n">
        <v>24</v>
      </c>
      <c r="C1071" s="69" t="inlineStr">
        <is>
          <t>GS217GS6</t>
        </is>
      </c>
      <c r="D1071" s="69" t="inlineStr">
        <is>
          <t>24.000</t>
        </is>
      </c>
      <c r="E1071" s="69" t="inlineStr">
        <is>
          <t>Shoppes at Northgate</t>
        </is>
      </c>
      <c r="F1071" s="69" t="inlineStr">
        <is>
          <t>LNGS217GS6-24.000</t>
        </is>
      </c>
      <c r="G1071" s="70" t="n"/>
      <c r="H1071" s="71" t="n">
        <v>12000000</v>
      </c>
      <c r="I1071" s="71" t="n">
        <v>10228607.49</v>
      </c>
      <c r="J1071" s="72" t="n">
        <v>4.73</v>
      </c>
      <c r="K1071" s="69" t="inlineStr">
        <is>
          <t>Fixed rate</t>
        </is>
      </c>
      <c r="L1071" s="68" t="n">
        <v>120</v>
      </c>
      <c r="M1071" s="68" t="n">
        <v>8</v>
      </c>
      <c r="N1071" s="68" t="n">
        <v>372</v>
      </c>
      <c r="O1071" s="68" t="n">
        <v>12</v>
      </c>
      <c r="P1071" s="68" t="n">
        <v>0</v>
      </c>
      <c r="Q1071" s="68" t="n">
        <v>112</v>
      </c>
      <c r="R1071" s="69" t="inlineStr">
        <is>
          <t>IO then Amort</t>
        </is>
      </c>
      <c r="S1071" s="69" t="inlineStr">
        <is>
          <t>No</t>
        </is>
      </c>
      <c r="T1071" s="73" t="n">
        <v>42856</v>
      </c>
      <c r="U1071" s="73" t="n">
        <v>46513</v>
      </c>
      <c r="V1071" s="73" t="n"/>
      <c r="W1071" s="69" t="n"/>
      <c r="X1071" s="69" t="inlineStr">
        <is>
          <t>Current</t>
        </is>
      </c>
      <c r="Y1071" s="68" t="n"/>
      <c r="Z1071" s="69" t="inlineStr">
        <is>
          <t>No Defeasance Occurred</t>
        </is>
      </c>
      <c r="AA1071" s="69" t="inlineStr">
        <is>
          <t>Previously</t>
        </is>
      </c>
      <c r="AB1071" s="69" t="inlineStr">
        <is>
          <t>Never special serv</t>
        </is>
      </c>
      <c r="AC1071" s="73" t="n"/>
      <c r="AD1071" s="69" t="n"/>
      <c r="AE1071" s="69" t="n"/>
      <c r="AF1071" s="69" t="inlineStr">
        <is>
          <t>TN</t>
        </is>
      </c>
      <c r="AG1071" s="69" t="inlineStr">
        <is>
          <t>Murfreesboro</t>
        </is>
      </c>
      <c r="AH1071" s="69" t="inlineStr">
        <is>
          <t>Nashville-Davidson--Murfreesboro--Franklin, TN</t>
        </is>
      </c>
      <c r="AI1071" s="69" t="inlineStr">
        <is>
          <t>South / Central East</t>
        </is>
      </c>
      <c r="AJ1071" s="69" t="inlineStr">
        <is>
          <t>RT</t>
        </is>
      </c>
      <c r="AK1071" s="69" t="inlineStr">
        <is>
          <t>Anchored</t>
        </is>
      </c>
      <c r="AL1071" s="68" t="n">
        <v>1</v>
      </c>
      <c r="AM1071" s="68" t="n"/>
      <c r="AN1071" s="68" t="n">
        <v>53276</v>
      </c>
      <c r="AO1071" s="69" t="inlineStr">
        <is>
          <t>2016</t>
        </is>
      </c>
      <c r="AP1071" s="70" t="n">
        <v>2016</v>
      </c>
      <c r="AQ1071" s="74" t="n">
        <v>1.27</v>
      </c>
      <c r="AR1071" s="74" t="n">
        <v>1.26</v>
      </c>
      <c r="AS1071" s="74" t="n">
        <v>73.17</v>
      </c>
      <c r="AT1071" s="74" t="n">
        <v>62.37</v>
      </c>
      <c r="AU1071" s="74" t="n">
        <v>61.29</v>
      </c>
      <c r="AV1071" s="74" t="n">
        <v>7.949478583</v>
      </c>
      <c r="AW1071" s="74" t="n">
        <v>9.249190087000001</v>
      </c>
      <c r="AX1071" s="75" t="n">
        <v>100</v>
      </c>
      <c r="AY1071" s="71" t="n">
        <v>16400000</v>
      </c>
      <c r="AZ1071" s="71" t="n">
        <v>16400000</v>
      </c>
      <c r="BA1071" s="71" t="n">
        <v>953937.4300000001</v>
      </c>
      <c r="BB1071" s="71" t="n">
        <v>946063.35</v>
      </c>
      <c r="BC1071" s="69" t="inlineStr">
        <is>
          <t>Refinance</t>
        </is>
      </c>
      <c r="BD1071" s="69" t="inlineStr">
        <is>
          <t>N</t>
        </is>
      </c>
      <c r="BE1071" s="71" t="n"/>
      <c r="BF1071" s="71" t="n"/>
      <c r="BG1071" s="71" t="n"/>
      <c r="BH1071" s="71" t="n">
        <v>0</v>
      </c>
      <c r="BI1071" s="71" t="n">
        <v>0</v>
      </c>
      <c r="BJ1071" s="69" t="inlineStr">
        <is>
          <t>N</t>
        </is>
      </c>
      <c r="BK1071" s="69" t="inlineStr">
        <is>
          <t>Sprouts #581 - Northgate</t>
        </is>
      </c>
      <c r="BL1071" s="75" t="n">
        <v>56.08</v>
      </c>
      <c r="BM1071" s="73" t="n">
        <v>48091</v>
      </c>
      <c r="BN1071" s="69" t="inlineStr">
        <is>
          <t>George B. Tomlin</t>
        </is>
      </c>
      <c r="BO1071" s="69" t="inlineStr">
        <is>
          <t>Goldman Sachs</t>
        </is>
      </c>
      <c r="BP1071" s="69" t="inlineStr">
        <is>
          <t>Midland Loan Services</t>
        </is>
      </c>
      <c r="BQ1071" s="69" t="inlineStr">
        <is>
          <t>K-Star Asset Management LLC</t>
        </is>
      </c>
      <c r="BR1071" s="69" t="n"/>
      <c r="BS1071" s="73" t="n">
        <v>46273</v>
      </c>
      <c r="BU1071" s="76">
        <f>IF($C1071="","",IFERROR(INDEX(dmName,MATCH($C1071,dmID,0)),"Unmapped"))</f>
        <v/>
      </c>
      <c r="BV1071" s="76">
        <f>IF($C1071="","",IFERROR(INDEX(dmEntity,MATCH($C1071,dmID,0)),"Unmapped"))</f>
        <v/>
      </c>
      <c r="BW1071" s="77">
        <f>IF($C1071="","",IFERROR(INDEX(dmVintage,MATCH($C1071,dmID,0)),""))</f>
        <v/>
      </c>
      <c r="BX1071" s="78">
        <f>IFERROR(INDEX(dmInclude,MATCH($C1071,dmID,0)),0)</f>
        <v/>
      </c>
      <c r="BY1071" s="78">
        <f>IF(N($I1071)&gt;0,1,0)</f>
        <v/>
      </c>
      <c r="BZ1071" s="76">
        <f>IF($AJ1071="","Other / Leased Fee",IFERROR(INDEX(mapPTGroup,MATCH(LEFT(TRIM($AJ1071),2),mapPTCode,0)),"Other / Leased Fee"))</f>
        <v/>
      </c>
      <c r="CA1071" s="76">
        <f>IF(TRIM($AF1071&amp;"")="","NR",LEFT(TRIM($AF1071),2))</f>
        <v/>
      </c>
      <c r="CB1071" s="76">
        <f>IFERROR(LOOKUP(2,1/(LEFT(TRIM($AI1071&amp;""),LEN(mapRegion))=mapRegion),mapRegion),"Not Reported")</f>
        <v/>
      </c>
      <c r="CC1071" s="76">
        <f>IF($BY1071=0,"",IF(TRIM($W1071&amp;"")="REO","REO",IF(TRIM($W1071&amp;"")="FC","Foreclosure",IF(TRIM($W1071&amp;"")="90+","90+ Days Delinquent",IF(TRIM($W1071&amp;"")="60","60 Days Delinquent",IF(TRIM($W1071&amp;"")="30","30 Days Delinquent",IF($X1071="Non-Performing Matured Balloon","Non-Performing Matured Balloon",IF(OR($X1071="Late Payment But Less Than 30 Days Delinquent",LEFT($X1071&amp;"",20)="Payment Not Received"),"Late / In Grace (&lt;30 Days)",IF($X1071="Performing Matured Balloon","Performing Matured Balloon","Current")))))))))</f>
        <v/>
      </c>
      <c r="CD1071" s="78">
        <f>IF(OR($CC1071="REO",$CC1071="Foreclosure",$CC1071="90+ Days Delinquent",$CC1071="60 Days Delinquent",$CC1071="30 Days Delinquent",$CC1071="Non-Performing Matured Balloon"),1,0)</f>
        <v/>
      </c>
      <c r="CE1071" s="76">
        <f>IF($AB1071="Currently special serv","Currently Specially Serviced",IF($AB1071="Returned to master serv","Previously Specially Serviced","Never Specially Serviced"))</f>
        <v/>
      </c>
      <c r="CF1071" s="78">
        <f>IF($CE1071="Currently Specially Serviced",1,0)</f>
        <v/>
      </c>
      <c r="CG1071" s="76">
        <f>IF($AA1071="Yes","Currently on Watchlist",IF($AA1071="Previously","Previously on Watchlist","Never on Watchlist"))</f>
        <v/>
      </c>
      <c r="CH1071" s="78">
        <f>IF($CG1071="Currently on Watchlist",1,0)</f>
        <v/>
      </c>
      <c r="CI1071" s="76">
        <f>IF($Z1071="Full Defeasance","Fully Defeased",IF($Z1071="Portion Of Loan Previously Defeased","Partially Defeased",IF($Z1071="Defeasance Not Allowable","Not Defeased (Not Permitted)","Not Defeased")))</f>
        <v/>
      </c>
      <c r="CJ1071" s="78">
        <f>IF($CI1071="Fully Defeased",1,0)</f>
        <v/>
      </c>
      <c r="CK1071" s="76">
        <f>IF($R1071="IO","Full IO",IF(LEFT($R1071&amp;"",7)="IO then","Partial IO","Amortizing"))</f>
        <v/>
      </c>
      <c r="CL1071" s="78">
        <f>IF($CK1071="Full IO",1,0)</f>
        <v/>
      </c>
      <c r="CM1071" s="78">
        <f>IF($CK1071="Partial IO",1,0)</f>
        <v/>
      </c>
      <c r="CN1071" s="76">
        <f>IF(LEFT($F1071&amp;"",10)="SPLIT_LOAN","Pari Passu Split","Standalone")</f>
        <v/>
      </c>
      <c r="CO1071" s="78">
        <f>IF($CN1071="Pari Passu Split",1,0)</f>
        <v/>
      </c>
      <c r="CP1071" s="77">
        <f>IF(ISNUMBER($T1071),YEAR($T1071),"")</f>
        <v/>
      </c>
      <c r="CQ1071" s="79">
        <f>IF(ISNUMBER($V1071),$V1071,IF(ISNUMBER($U1071),$U1071,""))</f>
        <v/>
      </c>
      <c r="CR1071" s="77">
        <f>IF(ISNUMBER($CQ1071),YEAR($CQ1071),"")</f>
        <v/>
      </c>
      <c r="CS1071" s="78">
        <f>IF(ISNUMBER($M1071),MAX(0,$M1071),IF(TRIM($M1071&amp;"")="matured",0,""))</f>
        <v/>
      </c>
      <c r="CT1071" s="78">
        <f>IF(AND(ISNUMBER($CS1071),N($CS1071)&lt;=mMatWindow),1,0)</f>
        <v/>
      </c>
      <c r="CU1071" s="80">
        <f>IF(ISNUMBER($J1071),$J1071/100,"")</f>
        <v/>
      </c>
      <c r="CV1071" s="81">
        <f>IF(ISNUMBER($AQ1071),$AQ1071,"")</f>
        <v/>
      </c>
      <c r="CW1071" s="81">
        <f>IF(ISNUMBER($AR1071),$AR1071,"")</f>
        <v/>
      </c>
      <c r="CX1071" s="82">
        <f>IF(ISNUMBER($AS1071),$AS1071/100,"")</f>
        <v/>
      </c>
      <c r="CY1071" s="82">
        <f>IF(ISNUMBER($AT1071),$AT1071/100,"")</f>
        <v/>
      </c>
      <c r="CZ1071" s="82">
        <f>IF(ISNUMBER($AU1071),$AU1071/100,"")</f>
        <v/>
      </c>
      <c r="DA1071" s="82">
        <f>IF(ISNUMBER($AV1071),$AV1071/100,"")</f>
        <v/>
      </c>
      <c r="DB1071" s="82">
        <f>IF(ISNUMBER($AW1071),$AW1071/100,"")</f>
        <v/>
      </c>
      <c r="DC1071" s="82">
        <f>IF(ISNUMBER($AX1071),$AX1071/100,"")</f>
        <v/>
      </c>
      <c r="DD1071" s="77">
        <f>IFERROR(VALUE(LEFT(TRIM($AO1071&amp;""),4)),"")</f>
        <v/>
      </c>
      <c r="DE1071" s="78">
        <f>IF(AND($BY1071=1,$BX1071=1,OR(fDeal="All Deals",$BU1071=fDeal),OR(fEntity="All Entities",$BV1071=fEntity),OR(fPType="All Property Types",$BZ1071=fPType),OR(fDefeased="Include",$CJ1071=0)),1,0)</f>
        <v/>
      </c>
      <c r="DF1071" s="83">
        <f>$DE1071*N($I1071)</f>
        <v/>
      </c>
      <c r="DG1071" s="78">
        <f>IF($DE1071=1,IF(COUNTIFS($F$8:$F1071,$F1071,$DE$8:$DE1071,1)=1,1,0),0)</f>
        <v/>
      </c>
      <c r="DH1071" s="83">
        <f>IF($DG1071=1,SUMIFS($DF$8:$DF$1600,$F$8:$F$1600,$F1071),0)</f>
        <v/>
      </c>
      <c r="DI1071" s="78">
        <f>IF($DG1071=1,COUNTIFS($F$8:$F$1600,$F1071,$DE$8:$DE$1600,1),0)</f>
        <v/>
      </c>
      <c r="DJ1071" s="84">
        <f>IF($DG1071=1,$DH1071+(100000-ROW())/mTieBreak,0)</f>
        <v/>
      </c>
    </row>
    <row r="1072">
      <c r="B1072" s="68" t="n">
        <v>25</v>
      </c>
      <c r="C1072" s="69" t="inlineStr">
        <is>
          <t>GS217GS6</t>
        </is>
      </c>
      <c r="D1072" s="69" t="inlineStr">
        <is>
          <t>25.000</t>
        </is>
      </c>
      <c r="E1072" s="69" t="inlineStr">
        <is>
          <t>Victoria Villa</t>
        </is>
      </c>
      <c r="F1072" s="69" t="inlineStr">
        <is>
          <t>LNGS217GS6-25.000</t>
        </is>
      </c>
      <c r="G1072" s="70" t="n"/>
      <c r="H1072" s="71" t="n">
        <v>11250000</v>
      </c>
      <c r="I1072" s="71" t="n">
        <v>9306191.9900025</v>
      </c>
      <c r="J1072" s="72" t="n">
        <v>4.611</v>
      </c>
      <c r="K1072" s="69" t="inlineStr">
        <is>
          <t>Fixed rate</t>
        </is>
      </c>
      <c r="L1072" s="68" t="n">
        <v>120</v>
      </c>
      <c r="M1072" s="68" t="n">
        <v>8</v>
      </c>
      <c r="N1072" s="68" t="n">
        <v>360</v>
      </c>
      <c r="O1072" s="68" t="n"/>
      <c r="P1072" s="68" t="n"/>
      <c r="Q1072" s="68" t="n">
        <v>112</v>
      </c>
      <c r="R1072" s="69" t="n"/>
      <c r="S1072" s="69" t="inlineStr">
        <is>
          <t>No</t>
        </is>
      </c>
      <c r="T1072" s="73" t="n">
        <v>42856</v>
      </c>
      <c r="U1072" s="73" t="n">
        <v>46513</v>
      </c>
      <c r="V1072" s="73" t="n"/>
      <c r="W1072" s="69" t="n"/>
      <c r="X1072" s="69" t="inlineStr">
        <is>
          <t>Current</t>
        </is>
      </c>
      <c r="Y1072" s="68" t="n"/>
      <c r="Z1072" s="69" t="inlineStr">
        <is>
          <t>Full Defeasance</t>
        </is>
      </c>
      <c r="AA1072" s="69" t="inlineStr">
        <is>
          <t>Previously</t>
        </is>
      </c>
      <c r="AB1072" s="69" t="inlineStr">
        <is>
          <t>Never special serv</t>
        </is>
      </c>
      <c r="AC1072" s="73" t="n"/>
      <c r="AD1072" s="69" t="n"/>
      <c r="AE1072" s="69" t="n"/>
      <c r="AF1072" s="69" t="inlineStr">
        <is>
          <t>TX</t>
        </is>
      </c>
      <c r="AG1072" s="69" t="inlineStr">
        <is>
          <t>Houston</t>
        </is>
      </c>
      <c r="AH1072" s="69" t="inlineStr">
        <is>
          <t>Houston-Pasadena-The Woodlands, TX</t>
        </is>
      </c>
      <c r="AI1072" s="69" t="inlineStr">
        <is>
          <t>South / Central West</t>
        </is>
      </c>
      <c r="AJ1072" s="69" t="inlineStr">
        <is>
          <t>MF</t>
        </is>
      </c>
      <c r="AK1072" s="69" t="inlineStr">
        <is>
          <t>Garden</t>
        </is>
      </c>
      <c r="AL1072" s="68" t="n">
        <v>1</v>
      </c>
      <c r="AM1072" s="68" t="n">
        <v>376</v>
      </c>
      <c r="AN1072" s="68" t="n"/>
      <c r="AO1072" s="69" t="inlineStr">
        <is>
          <t>1970</t>
        </is>
      </c>
      <c r="AP1072" s="70" t="n">
        <v>2010</v>
      </c>
      <c r="AQ1072" s="74" t="n">
        <v>1.62</v>
      </c>
      <c r="AR1072" s="74" t="n">
        <v>1.81</v>
      </c>
      <c r="AS1072" s="74" t="n">
        <v>69.19</v>
      </c>
      <c r="AT1072" s="74" t="n">
        <v>57.23</v>
      </c>
      <c r="AU1072" s="74" t="n">
        <v>56.15</v>
      </c>
      <c r="AV1072" s="74" t="n">
        <v>9.984062311000001</v>
      </c>
      <c r="AW1072" s="74" t="n">
        <v>13.033137091</v>
      </c>
      <c r="AX1072" s="75" t="n">
        <v>92</v>
      </c>
      <c r="AY1072" s="71" t="n">
        <v>16260000</v>
      </c>
      <c r="AZ1072" s="71" t="n">
        <v>16260000</v>
      </c>
      <c r="BA1072" s="71" t="n">
        <v>1123207.01</v>
      </c>
      <c r="BB1072" s="71" t="n">
        <v>1254802.22</v>
      </c>
      <c r="BC1072" s="69" t="inlineStr">
        <is>
          <t>Refinance</t>
        </is>
      </c>
      <c r="BD1072" s="69" t="inlineStr">
        <is>
          <t>N</t>
        </is>
      </c>
      <c r="BE1072" s="71" t="n"/>
      <c r="BF1072" s="71" t="n"/>
      <c r="BG1072" s="71" t="n"/>
      <c r="BH1072" s="71" t="n">
        <v>0</v>
      </c>
      <c r="BI1072" s="71" t="n">
        <v>0</v>
      </c>
      <c r="BJ1072" s="69" t="inlineStr">
        <is>
          <t>N</t>
        </is>
      </c>
      <c r="BK1072" s="69" t="n"/>
      <c r="BL1072" s="75" t="n"/>
      <c r="BM1072" s="73" t="n"/>
      <c r="BN1072" s="69" t="inlineStr">
        <is>
          <t>Yakov Albaz</t>
        </is>
      </c>
      <c r="BO1072" s="69" t="inlineStr">
        <is>
          <t>Goldman Sachs</t>
        </is>
      </c>
      <c r="BP1072" s="69" t="inlineStr">
        <is>
          <t>Midland Loan Services</t>
        </is>
      </c>
      <c r="BQ1072" s="69" t="inlineStr">
        <is>
          <t>K-Star Asset Management LLC</t>
        </is>
      </c>
      <c r="BR1072" s="69" t="n"/>
      <c r="BS1072" s="73" t="n">
        <v>46273</v>
      </c>
      <c r="BU1072" s="76">
        <f>IF($C1072="","",IFERROR(INDEX(dmName,MATCH($C1072,dmID,0)),"Unmapped"))</f>
        <v/>
      </c>
      <c r="BV1072" s="76">
        <f>IF($C1072="","",IFERROR(INDEX(dmEntity,MATCH($C1072,dmID,0)),"Unmapped"))</f>
        <v/>
      </c>
      <c r="BW1072" s="77">
        <f>IF($C1072="","",IFERROR(INDEX(dmVintage,MATCH($C1072,dmID,0)),""))</f>
        <v/>
      </c>
      <c r="BX1072" s="78">
        <f>IFERROR(INDEX(dmInclude,MATCH($C1072,dmID,0)),0)</f>
        <v/>
      </c>
      <c r="BY1072" s="78">
        <f>IF(N($I1072)&gt;0,1,0)</f>
        <v/>
      </c>
      <c r="BZ1072" s="76">
        <f>IF($AJ1072="","Other / Leased Fee",IFERROR(INDEX(mapPTGroup,MATCH(LEFT(TRIM($AJ1072),2),mapPTCode,0)),"Other / Leased Fee"))</f>
        <v/>
      </c>
      <c r="CA1072" s="76">
        <f>IF(TRIM($AF1072&amp;"")="","NR",LEFT(TRIM($AF1072),2))</f>
        <v/>
      </c>
      <c r="CB1072" s="76">
        <f>IFERROR(LOOKUP(2,1/(LEFT(TRIM($AI1072&amp;""),LEN(mapRegion))=mapRegion),mapRegion),"Not Reported")</f>
        <v/>
      </c>
      <c r="CC1072" s="76">
        <f>IF($BY1072=0,"",IF(TRIM($W1072&amp;"")="REO","REO",IF(TRIM($W1072&amp;"")="FC","Foreclosure",IF(TRIM($W1072&amp;"")="90+","90+ Days Delinquent",IF(TRIM($W1072&amp;"")="60","60 Days Delinquent",IF(TRIM($W1072&amp;"")="30","30 Days Delinquent",IF($X1072="Non-Performing Matured Balloon","Non-Performing Matured Balloon",IF(OR($X1072="Late Payment But Less Than 30 Days Delinquent",LEFT($X1072&amp;"",20)="Payment Not Received"),"Late / In Grace (&lt;30 Days)",IF($X1072="Performing Matured Balloon","Performing Matured Balloon","Current")))))))))</f>
        <v/>
      </c>
      <c r="CD1072" s="78">
        <f>IF(OR($CC1072="REO",$CC1072="Foreclosure",$CC1072="90+ Days Delinquent",$CC1072="60 Days Delinquent",$CC1072="30 Days Delinquent",$CC1072="Non-Performing Matured Balloon"),1,0)</f>
        <v/>
      </c>
      <c r="CE1072" s="76">
        <f>IF($AB1072="Currently special serv","Currently Specially Serviced",IF($AB1072="Returned to master serv","Previously Specially Serviced","Never Specially Serviced"))</f>
        <v/>
      </c>
      <c r="CF1072" s="78">
        <f>IF($CE1072="Currently Specially Serviced",1,0)</f>
        <v/>
      </c>
      <c r="CG1072" s="76">
        <f>IF($AA1072="Yes","Currently on Watchlist",IF($AA1072="Previously","Previously on Watchlist","Never on Watchlist"))</f>
        <v/>
      </c>
      <c r="CH1072" s="78">
        <f>IF($CG1072="Currently on Watchlist",1,0)</f>
        <v/>
      </c>
      <c r="CI1072" s="76">
        <f>IF($Z1072="Full Defeasance","Fully Defeased",IF($Z1072="Portion Of Loan Previously Defeased","Partially Defeased",IF($Z1072="Defeasance Not Allowable","Not Defeased (Not Permitted)","Not Defeased")))</f>
        <v/>
      </c>
      <c r="CJ1072" s="78">
        <f>IF($CI1072="Fully Defeased",1,0)</f>
        <v/>
      </c>
      <c r="CK1072" s="76">
        <f>IF($R1072="IO","Full IO",IF(LEFT($R1072&amp;"",7)="IO then","Partial IO","Amortizing"))</f>
        <v/>
      </c>
      <c r="CL1072" s="78">
        <f>IF($CK1072="Full IO",1,0)</f>
        <v/>
      </c>
      <c r="CM1072" s="78">
        <f>IF($CK1072="Partial IO",1,0)</f>
        <v/>
      </c>
      <c r="CN1072" s="76">
        <f>IF(LEFT($F1072&amp;"",10)="SPLIT_LOAN","Pari Passu Split","Standalone")</f>
        <v/>
      </c>
      <c r="CO1072" s="78">
        <f>IF($CN1072="Pari Passu Split",1,0)</f>
        <v/>
      </c>
      <c r="CP1072" s="77">
        <f>IF(ISNUMBER($T1072),YEAR($T1072),"")</f>
        <v/>
      </c>
      <c r="CQ1072" s="79">
        <f>IF(ISNUMBER($V1072),$V1072,IF(ISNUMBER($U1072),$U1072,""))</f>
        <v/>
      </c>
      <c r="CR1072" s="77">
        <f>IF(ISNUMBER($CQ1072),YEAR($CQ1072),"")</f>
        <v/>
      </c>
      <c r="CS1072" s="78">
        <f>IF(ISNUMBER($M1072),MAX(0,$M1072),IF(TRIM($M1072&amp;"")="matured",0,""))</f>
        <v/>
      </c>
      <c r="CT1072" s="78">
        <f>IF(AND(ISNUMBER($CS1072),N($CS1072)&lt;=mMatWindow),1,0)</f>
        <v/>
      </c>
      <c r="CU1072" s="80">
        <f>IF(ISNUMBER($J1072),$J1072/100,"")</f>
        <v/>
      </c>
      <c r="CV1072" s="81">
        <f>IF(ISNUMBER($AQ1072),$AQ1072,"")</f>
        <v/>
      </c>
      <c r="CW1072" s="81">
        <f>IF(ISNUMBER($AR1072),$AR1072,"")</f>
        <v/>
      </c>
      <c r="CX1072" s="82">
        <f>IF(ISNUMBER($AS1072),$AS1072/100,"")</f>
        <v/>
      </c>
      <c r="CY1072" s="82">
        <f>IF(ISNUMBER($AT1072),$AT1072/100,"")</f>
        <v/>
      </c>
      <c r="CZ1072" s="82">
        <f>IF(ISNUMBER($AU1072),$AU1072/100,"")</f>
        <v/>
      </c>
      <c r="DA1072" s="82">
        <f>IF(ISNUMBER($AV1072),$AV1072/100,"")</f>
        <v/>
      </c>
      <c r="DB1072" s="82">
        <f>IF(ISNUMBER($AW1072),$AW1072/100,"")</f>
        <v/>
      </c>
      <c r="DC1072" s="82">
        <f>IF(ISNUMBER($AX1072),$AX1072/100,"")</f>
        <v/>
      </c>
      <c r="DD1072" s="77">
        <f>IFERROR(VALUE(LEFT(TRIM($AO1072&amp;""),4)),"")</f>
        <v/>
      </c>
      <c r="DE1072" s="78">
        <f>IF(AND($BY1072=1,$BX1072=1,OR(fDeal="All Deals",$BU1072=fDeal),OR(fEntity="All Entities",$BV1072=fEntity),OR(fPType="All Property Types",$BZ1072=fPType),OR(fDefeased="Include",$CJ1072=0)),1,0)</f>
        <v/>
      </c>
      <c r="DF1072" s="83">
        <f>$DE1072*N($I1072)</f>
        <v/>
      </c>
      <c r="DG1072" s="78">
        <f>IF($DE1072=1,IF(COUNTIFS($F$8:$F1072,$F1072,$DE$8:$DE1072,1)=1,1,0),0)</f>
        <v/>
      </c>
      <c r="DH1072" s="83">
        <f>IF($DG1072=1,SUMIFS($DF$8:$DF$1600,$F$8:$F$1600,$F1072),0)</f>
        <v/>
      </c>
      <c r="DI1072" s="78">
        <f>IF($DG1072=1,COUNTIFS($F$8:$F$1600,$F1072,$DE$8:$DE$1600,1),0)</f>
        <v/>
      </c>
      <c r="DJ1072" s="84">
        <f>IF($DG1072=1,$DH1072+(100000-ROW())/mTieBreak,0)</f>
        <v/>
      </c>
    </row>
    <row r="1073">
      <c r="B1073" s="68" t="n">
        <v>26</v>
      </c>
      <c r="C1073" s="69" t="inlineStr">
        <is>
          <t>GS217GS6</t>
        </is>
      </c>
      <c r="D1073" s="69" t="inlineStr">
        <is>
          <t>26.000</t>
        </is>
      </c>
      <c r="E1073" s="69" t="inlineStr">
        <is>
          <t>2 Corporate Parkway</t>
        </is>
      </c>
      <c r="F1073" s="69" t="inlineStr">
        <is>
          <t>LNGS217GS6-26.000</t>
        </is>
      </c>
      <c r="G1073" s="70" t="n"/>
      <c r="H1073" s="71" t="n">
        <v>11000000</v>
      </c>
      <c r="I1073" s="71" t="n">
        <v>9621898.830005001</v>
      </c>
      <c r="J1073" s="72" t="n">
        <v>4.9535</v>
      </c>
      <c r="K1073" s="69" t="inlineStr">
        <is>
          <t>Fixed rate</t>
        </is>
      </c>
      <c r="L1073" s="68" t="n">
        <v>120</v>
      </c>
      <c r="M1073" s="68" t="n">
        <v>6</v>
      </c>
      <c r="N1073" s="68" t="n">
        <v>384</v>
      </c>
      <c r="O1073" s="68" t="n">
        <v>24</v>
      </c>
      <c r="P1073" s="68" t="n">
        <v>0</v>
      </c>
      <c r="Q1073" s="68" t="n">
        <v>114</v>
      </c>
      <c r="R1073" s="69" t="inlineStr">
        <is>
          <t>IO then Amort</t>
        </is>
      </c>
      <c r="S1073" s="69" t="inlineStr">
        <is>
          <t>No</t>
        </is>
      </c>
      <c r="T1073" s="73" t="n">
        <v>42795</v>
      </c>
      <c r="U1073" s="73" t="n">
        <v>46452</v>
      </c>
      <c r="V1073" s="73" t="n"/>
      <c r="W1073" s="69" t="n"/>
      <c r="X1073" s="69" t="inlineStr">
        <is>
          <t>Current</t>
        </is>
      </c>
      <c r="Y1073" s="68" t="n"/>
      <c r="Z1073" s="69" t="inlineStr">
        <is>
          <t>No Defeasance Occurred</t>
        </is>
      </c>
      <c r="AA1073" s="69" t="inlineStr">
        <is>
          <t>Previously</t>
        </is>
      </c>
      <c r="AB1073" s="69" t="inlineStr">
        <is>
          <t>Never special serv</t>
        </is>
      </c>
      <c r="AC1073" s="73" t="n"/>
      <c r="AD1073" s="69" t="n"/>
      <c r="AE1073" s="69" t="n"/>
      <c r="AF1073" s="69" t="inlineStr">
        <is>
          <t>OH</t>
        </is>
      </c>
      <c r="AG1073" s="69" t="inlineStr">
        <is>
          <t>Twinsburg</t>
        </is>
      </c>
      <c r="AH1073" s="69" t="inlineStr">
        <is>
          <t>Akron, OH</t>
        </is>
      </c>
      <c r="AI1073" s="69" t="inlineStr">
        <is>
          <t>Midwest / Central East</t>
        </is>
      </c>
      <c r="AJ1073" s="69" t="inlineStr">
        <is>
          <t>IN</t>
        </is>
      </c>
      <c r="AK1073" s="69" t="inlineStr">
        <is>
          <t>Warehouse/Distribution</t>
        </is>
      </c>
      <c r="AL1073" s="68" t="n">
        <v>1</v>
      </c>
      <c r="AM1073" s="68" t="n"/>
      <c r="AN1073" s="68" t="n">
        <v>207360</v>
      </c>
      <c r="AO1073" s="69" t="inlineStr">
        <is>
          <t>2015</t>
        </is>
      </c>
      <c r="AP1073" s="70" t="n">
        <v>2015</v>
      </c>
      <c r="AQ1073" s="74" t="n">
        <v>1.28</v>
      </c>
      <c r="AR1073" s="74" t="n">
        <v>1.79</v>
      </c>
      <c r="AS1073" s="74" t="n">
        <v>72.37</v>
      </c>
      <c r="AT1073" s="74" t="n">
        <v>63.3</v>
      </c>
      <c r="AU1073" s="74" t="n">
        <v>60.37</v>
      </c>
      <c r="AV1073" s="74" t="n">
        <v>8.213582364000001</v>
      </c>
      <c r="AW1073" s="74" t="n">
        <v>14.668436916</v>
      </c>
      <c r="AX1073" s="75" t="n">
        <v>99</v>
      </c>
      <c r="AY1073" s="71" t="n">
        <v>15200000</v>
      </c>
      <c r="AZ1073" s="71" t="n">
        <v>15200000</v>
      </c>
      <c r="BA1073" s="71" t="n">
        <v>903494.0600000001</v>
      </c>
      <c r="BB1073" s="71" t="n">
        <v>1261345.67</v>
      </c>
      <c r="BC1073" s="69" t="inlineStr">
        <is>
          <t>Refinance</t>
        </is>
      </c>
      <c r="BD1073" s="69" t="inlineStr">
        <is>
          <t>N</t>
        </is>
      </c>
      <c r="BE1073" s="71" t="n"/>
      <c r="BF1073" s="71" t="n"/>
      <c r="BG1073" s="71" t="n"/>
      <c r="BH1073" s="71" t="n">
        <v>0</v>
      </c>
      <c r="BI1073" s="71" t="n">
        <v>0</v>
      </c>
      <c r="BJ1073" s="69" t="inlineStr">
        <is>
          <t>N</t>
        </is>
      </c>
      <c r="BK1073" s="69" t="inlineStr">
        <is>
          <t>National DCP LLC Dunkin t0000003</t>
        </is>
      </c>
      <c r="BL1073" s="75" t="n">
        <v>39.12</v>
      </c>
      <c r="BM1073" s="73" t="n">
        <v>47057</v>
      </c>
      <c r="BN1073" s="69" t="inlineStr">
        <is>
          <t>Robert J. Scannell and Robert J. Scannell, as trustee of The Revocable Trust Agreement of Robert J. Scannell, dated September 9, 2002, as amended by the First Amendment to the Robert J. Scannell Revocable Trust Agreement dated March 7, 2003</t>
        </is>
      </c>
      <c r="BO1073" s="69" t="inlineStr">
        <is>
          <t>Goldman Sachs</t>
        </is>
      </c>
      <c r="BP1073" s="69" t="inlineStr">
        <is>
          <t>Midland Loan Services</t>
        </is>
      </c>
      <c r="BQ1073" s="69" t="inlineStr">
        <is>
          <t>K-Star Asset Management LLC</t>
        </is>
      </c>
      <c r="BR1073" s="69" t="n"/>
      <c r="BS1073" s="73" t="n">
        <v>46273</v>
      </c>
      <c r="BU1073" s="76">
        <f>IF($C1073="","",IFERROR(INDEX(dmName,MATCH($C1073,dmID,0)),"Unmapped"))</f>
        <v/>
      </c>
      <c r="BV1073" s="76">
        <f>IF($C1073="","",IFERROR(INDEX(dmEntity,MATCH($C1073,dmID,0)),"Unmapped"))</f>
        <v/>
      </c>
      <c r="BW1073" s="77">
        <f>IF($C1073="","",IFERROR(INDEX(dmVintage,MATCH($C1073,dmID,0)),""))</f>
        <v/>
      </c>
      <c r="BX1073" s="78">
        <f>IFERROR(INDEX(dmInclude,MATCH($C1073,dmID,0)),0)</f>
        <v/>
      </c>
      <c r="BY1073" s="78">
        <f>IF(N($I1073)&gt;0,1,0)</f>
        <v/>
      </c>
      <c r="BZ1073" s="76">
        <f>IF($AJ1073="","Other / Leased Fee",IFERROR(INDEX(mapPTGroup,MATCH(LEFT(TRIM($AJ1073),2),mapPTCode,0)),"Other / Leased Fee"))</f>
        <v/>
      </c>
      <c r="CA1073" s="76">
        <f>IF(TRIM($AF1073&amp;"")="","NR",LEFT(TRIM($AF1073),2))</f>
        <v/>
      </c>
      <c r="CB1073" s="76">
        <f>IFERROR(LOOKUP(2,1/(LEFT(TRIM($AI1073&amp;""),LEN(mapRegion))=mapRegion),mapRegion),"Not Reported")</f>
        <v/>
      </c>
      <c r="CC1073" s="76">
        <f>IF($BY1073=0,"",IF(TRIM($W1073&amp;"")="REO","REO",IF(TRIM($W1073&amp;"")="FC","Foreclosure",IF(TRIM($W1073&amp;"")="90+","90+ Days Delinquent",IF(TRIM($W1073&amp;"")="60","60 Days Delinquent",IF(TRIM($W1073&amp;"")="30","30 Days Delinquent",IF($X1073="Non-Performing Matured Balloon","Non-Performing Matured Balloon",IF(OR($X1073="Late Payment But Less Than 30 Days Delinquent",LEFT($X1073&amp;"",20)="Payment Not Received"),"Late / In Grace (&lt;30 Days)",IF($X1073="Performing Matured Balloon","Performing Matured Balloon","Current")))))))))</f>
        <v/>
      </c>
      <c r="CD1073" s="78">
        <f>IF(OR($CC1073="REO",$CC1073="Foreclosure",$CC1073="90+ Days Delinquent",$CC1073="60 Days Delinquent",$CC1073="30 Days Delinquent",$CC1073="Non-Performing Matured Balloon"),1,0)</f>
        <v/>
      </c>
      <c r="CE1073" s="76">
        <f>IF($AB1073="Currently special serv","Currently Specially Serviced",IF($AB1073="Returned to master serv","Previously Specially Serviced","Never Specially Serviced"))</f>
        <v/>
      </c>
      <c r="CF1073" s="78">
        <f>IF($CE1073="Currently Specially Serviced",1,0)</f>
        <v/>
      </c>
      <c r="CG1073" s="76">
        <f>IF($AA1073="Yes","Currently on Watchlist",IF($AA1073="Previously","Previously on Watchlist","Never on Watchlist"))</f>
        <v/>
      </c>
      <c r="CH1073" s="78">
        <f>IF($CG1073="Currently on Watchlist",1,0)</f>
        <v/>
      </c>
      <c r="CI1073" s="76">
        <f>IF($Z1073="Full Defeasance","Fully Defeased",IF($Z1073="Portion Of Loan Previously Defeased","Partially Defeased",IF($Z1073="Defeasance Not Allowable","Not Defeased (Not Permitted)","Not Defeased")))</f>
        <v/>
      </c>
      <c r="CJ1073" s="78">
        <f>IF($CI1073="Fully Defeased",1,0)</f>
        <v/>
      </c>
      <c r="CK1073" s="76">
        <f>IF($R1073="IO","Full IO",IF(LEFT($R1073&amp;"",7)="IO then","Partial IO","Amortizing"))</f>
        <v/>
      </c>
      <c r="CL1073" s="78">
        <f>IF($CK1073="Full IO",1,0)</f>
        <v/>
      </c>
      <c r="CM1073" s="78">
        <f>IF($CK1073="Partial IO",1,0)</f>
        <v/>
      </c>
      <c r="CN1073" s="76">
        <f>IF(LEFT($F1073&amp;"",10)="SPLIT_LOAN","Pari Passu Split","Standalone")</f>
        <v/>
      </c>
      <c r="CO1073" s="78">
        <f>IF($CN1073="Pari Passu Split",1,0)</f>
        <v/>
      </c>
      <c r="CP1073" s="77">
        <f>IF(ISNUMBER($T1073),YEAR($T1073),"")</f>
        <v/>
      </c>
      <c r="CQ1073" s="79">
        <f>IF(ISNUMBER($V1073),$V1073,IF(ISNUMBER($U1073),$U1073,""))</f>
        <v/>
      </c>
      <c r="CR1073" s="77">
        <f>IF(ISNUMBER($CQ1073),YEAR($CQ1073),"")</f>
        <v/>
      </c>
      <c r="CS1073" s="78">
        <f>IF(ISNUMBER($M1073),MAX(0,$M1073),IF(TRIM($M1073&amp;"")="matured",0,""))</f>
        <v/>
      </c>
      <c r="CT1073" s="78">
        <f>IF(AND(ISNUMBER($CS1073),N($CS1073)&lt;=mMatWindow),1,0)</f>
        <v/>
      </c>
      <c r="CU1073" s="80">
        <f>IF(ISNUMBER($J1073),$J1073/100,"")</f>
        <v/>
      </c>
      <c r="CV1073" s="81">
        <f>IF(ISNUMBER($AQ1073),$AQ1073,"")</f>
        <v/>
      </c>
      <c r="CW1073" s="81">
        <f>IF(ISNUMBER($AR1073),$AR1073,"")</f>
        <v/>
      </c>
      <c r="CX1073" s="82">
        <f>IF(ISNUMBER($AS1073),$AS1073/100,"")</f>
        <v/>
      </c>
      <c r="CY1073" s="82">
        <f>IF(ISNUMBER($AT1073),$AT1073/100,"")</f>
        <v/>
      </c>
      <c r="CZ1073" s="82">
        <f>IF(ISNUMBER($AU1073),$AU1073/100,"")</f>
        <v/>
      </c>
      <c r="DA1073" s="82">
        <f>IF(ISNUMBER($AV1073),$AV1073/100,"")</f>
        <v/>
      </c>
      <c r="DB1073" s="82">
        <f>IF(ISNUMBER($AW1073),$AW1073/100,"")</f>
        <v/>
      </c>
      <c r="DC1073" s="82">
        <f>IF(ISNUMBER($AX1073),$AX1073/100,"")</f>
        <v/>
      </c>
      <c r="DD1073" s="77">
        <f>IFERROR(VALUE(LEFT(TRIM($AO1073&amp;""),4)),"")</f>
        <v/>
      </c>
      <c r="DE1073" s="78">
        <f>IF(AND($BY1073=1,$BX1073=1,OR(fDeal="All Deals",$BU1073=fDeal),OR(fEntity="All Entities",$BV1073=fEntity),OR(fPType="All Property Types",$BZ1073=fPType),OR(fDefeased="Include",$CJ1073=0)),1,0)</f>
        <v/>
      </c>
      <c r="DF1073" s="83">
        <f>$DE1073*N($I1073)</f>
        <v/>
      </c>
      <c r="DG1073" s="78">
        <f>IF($DE1073=1,IF(COUNTIFS($F$8:$F1073,$F1073,$DE$8:$DE1073,1)=1,1,0),0)</f>
        <v/>
      </c>
      <c r="DH1073" s="83">
        <f>IF($DG1073=1,SUMIFS($DF$8:$DF$1600,$F$8:$F$1600,$F1073),0)</f>
        <v/>
      </c>
      <c r="DI1073" s="78">
        <f>IF($DG1073=1,COUNTIFS($F$8:$F$1600,$F1073,$DE$8:$DE$1600,1),0)</f>
        <v/>
      </c>
      <c r="DJ1073" s="84">
        <f>IF($DG1073=1,$DH1073+(100000-ROW())/mTieBreak,0)</f>
        <v/>
      </c>
    </row>
    <row r="1074">
      <c r="B1074" s="68" t="n">
        <v>27</v>
      </c>
      <c r="C1074" s="69" t="inlineStr">
        <is>
          <t>GS217GS6</t>
        </is>
      </c>
      <c r="D1074" s="69" t="inlineStr">
        <is>
          <t>27.000</t>
        </is>
      </c>
      <c r="E1074" s="69" t="inlineStr">
        <is>
          <t>200 Livingston Street</t>
        </is>
      </c>
      <c r="F1074" s="69" t="inlineStr">
        <is>
          <t>LNGS217GS6-27.000</t>
        </is>
      </c>
      <c r="G1074" s="70" t="n"/>
      <c r="H1074" s="71" t="n">
        <v>10550000</v>
      </c>
      <c r="I1074" s="71" t="n">
        <v>10550000</v>
      </c>
      <c r="J1074" s="72" t="n">
        <v>4.90825</v>
      </c>
      <c r="K1074" s="69" t="inlineStr">
        <is>
          <t>Fixed rate</t>
        </is>
      </c>
      <c r="L1074" s="68" t="n">
        <v>120</v>
      </c>
      <c r="M1074" s="68" t="n">
        <v>6</v>
      </c>
      <c r="N1074" s="68" t="n">
        <v>120</v>
      </c>
      <c r="O1074" s="68" t="n">
        <v>120</v>
      </c>
      <c r="P1074" s="68" t="n">
        <v>6</v>
      </c>
      <c r="Q1074" s="68" t="n">
        <v>114</v>
      </c>
      <c r="R1074" s="69" t="inlineStr">
        <is>
          <t>IO</t>
        </is>
      </c>
      <c r="S1074" s="69" t="inlineStr">
        <is>
          <t>Yes</t>
        </is>
      </c>
      <c r="T1074" s="73" t="n">
        <v>42795</v>
      </c>
      <c r="U1074" s="73" t="n">
        <v>46452</v>
      </c>
      <c r="V1074" s="73" t="n"/>
      <c r="W1074" s="69" t="n"/>
      <c r="X1074" s="69" t="inlineStr">
        <is>
          <t>Current</t>
        </is>
      </c>
      <c r="Y1074" s="68" t="n"/>
      <c r="Z1074" s="69" t="inlineStr">
        <is>
          <t>No Defeasance Occurred</t>
        </is>
      </c>
      <c r="AA1074" s="69" t="inlineStr">
        <is>
          <t>Yes</t>
        </is>
      </c>
      <c r="AB1074" s="69" t="inlineStr">
        <is>
          <t>Never special serv</t>
        </is>
      </c>
      <c r="AC1074" s="73" t="n"/>
      <c r="AD1074" s="69" t="n"/>
      <c r="AE1074" s="69" t="n"/>
      <c r="AF1074" s="69" t="inlineStr">
        <is>
          <t>NY</t>
        </is>
      </c>
      <c r="AG1074" s="69" t="inlineStr">
        <is>
          <t>Brooklyn</t>
        </is>
      </c>
      <c r="AH1074" s="69" t="inlineStr">
        <is>
          <t>New York-Newark-Jersey City, NY-NJ</t>
        </is>
      </c>
      <c r="AI1074" s="69" t="inlineStr">
        <is>
          <t>Northeast / Mid-Atlantic</t>
        </is>
      </c>
      <c r="AJ1074" s="69" t="inlineStr">
        <is>
          <t>RT</t>
        </is>
      </c>
      <c r="AK1074" s="69" t="inlineStr">
        <is>
          <t>Unanchored</t>
        </is>
      </c>
      <c r="AL1074" s="68" t="n">
        <v>1</v>
      </c>
      <c r="AM1074" s="68" t="n"/>
      <c r="AN1074" s="68" t="n">
        <v>14685</v>
      </c>
      <c r="AO1074" s="69" t="inlineStr">
        <is>
          <t>2007</t>
        </is>
      </c>
      <c r="AP1074" s="70" t="n">
        <v>2007</v>
      </c>
      <c r="AQ1074" s="74" t="n">
        <v>1.5</v>
      </c>
      <c r="AR1074" s="74" t="n">
        <v>1.37</v>
      </c>
      <c r="AS1074" s="74" t="n">
        <v>58.61</v>
      </c>
      <c r="AT1074" s="74" t="n">
        <v>58.61</v>
      </c>
      <c r="AU1074" s="74" t="n">
        <v>58.61</v>
      </c>
      <c r="AV1074" s="74" t="n">
        <v>7.459220853</v>
      </c>
      <c r="AW1074" s="74" t="n">
        <v>8.371770237</v>
      </c>
      <c r="AX1074" s="75" t="n">
        <v>100</v>
      </c>
      <c r="AY1074" s="71" t="n">
        <v>18000000</v>
      </c>
      <c r="AZ1074" s="71" t="n">
        <v>18000000</v>
      </c>
      <c r="BA1074" s="71" t="n">
        <v>786947.8</v>
      </c>
      <c r="BB1074" s="71" t="n">
        <v>180063.68</v>
      </c>
      <c r="BC1074" s="69" t="inlineStr">
        <is>
          <t>Recapitalization</t>
        </is>
      </c>
      <c r="BD1074" s="69" t="inlineStr">
        <is>
          <t>N</t>
        </is>
      </c>
      <c r="BE1074" s="71" t="n"/>
      <c r="BF1074" s="71" t="n"/>
      <c r="BG1074" s="71" t="n"/>
      <c r="BH1074" s="71" t="n">
        <v>0</v>
      </c>
      <c r="BI1074" s="71" t="n">
        <v>0</v>
      </c>
      <c r="BJ1074" s="69" t="inlineStr">
        <is>
          <t>N</t>
        </is>
      </c>
      <c r="BK1074" s="69" t="inlineStr">
        <is>
          <t>Century Medical - RET1</t>
        </is>
      </c>
      <c r="BL1074" s="75" t="n">
        <v>51.06</v>
      </c>
      <c r="BM1074" s="73" t="n">
        <v>49156</v>
      </c>
      <c r="BN1074" s="69" t="inlineStr">
        <is>
          <t>Shimshon Klugman</t>
        </is>
      </c>
      <c r="BO1074" s="69" t="inlineStr">
        <is>
          <t>Goldman Sachs</t>
        </is>
      </c>
      <c r="BP1074" s="69" t="inlineStr">
        <is>
          <t>Midland Loan Services</t>
        </is>
      </c>
      <c r="BQ1074" s="69" t="inlineStr">
        <is>
          <t>K-Star Asset Management LLC</t>
        </is>
      </c>
      <c r="BR1074" s="69" t="n"/>
      <c r="BS1074" s="73" t="n">
        <v>46273</v>
      </c>
      <c r="BU1074" s="76">
        <f>IF($C1074="","",IFERROR(INDEX(dmName,MATCH($C1074,dmID,0)),"Unmapped"))</f>
        <v/>
      </c>
      <c r="BV1074" s="76">
        <f>IF($C1074="","",IFERROR(INDEX(dmEntity,MATCH($C1074,dmID,0)),"Unmapped"))</f>
        <v/>
      </c>
      <c r="BW1074" s="77">
        <f>IF($C1074="","",IFERROR(INDEX(dmVintage,MATCH($C1074,dmID,0)),""))</f>
        <v/>
      </c>
      <c r="BX1074" s="78">
        <f>IFERROR(INDEX(dmInclude,MATCH($C1074,dmID,0)),0)</f>
        <v/>
      </c>
      <c r="BY1074" s="78">
        <f>IF(N($I1074)&gt;0,1,0)</f>
        <v/>
      </c>
      <c r="BZ1074" s="76">
        <f>IF($AJ1074="","Other / Leased Fee",IFERROR(INDEX(mapPTGroup,MATCH(LEFT(TRIM($AJ1074),2),mapPTCode,0)),"Other / Leased Fee"))</f>
        <v/>
      </c>
      <c r="CA1074" s="76">
        <f>IF(TRIM($AF1074&amp;"")="","NR",LEFT(TRIM($AF1074),2))</f>
        <v/>
      </c>
      <c r="CB1074" s="76">
        <f>IFERROR(LOOKUP(2,1/(LEFT(TRIM($AI1074&amp;""),LEN(mapRegion))=mapRegion),mapRegion),"Not Reported")</f>
        <v/>
      </c>
      <c r="CC1074" s="76">
        <f>IF($BY1074=0,"",IF(TRIM($W1074&amp;"")="REO","REO",IF(TRIM($W1074&amp;"")="FC","Foreclosure",IF(TRIM($W1074&amp;"")="90+","90+ Days Delinquent",IF(TRIM($W1074&amp;"")="60","60 Days Delinquent",IF(TRIM($W1074&amp;"")="30","30 Days Delinquent",IF($X1074="Non-Performing Matured Balloon","Non-Performing Matured Balloon",IF(OR($X1074="Late Payment But Less Than 30 Days Delinquent",LEFT($X1074&amp;"",20)="Payment Not Received"),"Late / In Grace (&lt;30 Days)",IF($X1074="Performing Matured Balloon","Performing Matured Balloon","Current")))))))))</f>
        <v/>
      </c>
      <c r="CD1074" s="78">
        <f>IF(OR($CC1074="REO",$CC1074="Foreclosure",$CC1074="90+ Days Delinquent",$CC1074="60 Days Delinquent",$CC1074="30 Days Delinquent",$CC1074="Non-Performing Matured Balloon"),1,0)</f>
        <v/>
      </c>
      <c r="CE1074" s="76">
        <f>IF($AB1074="Currently special serv","Currently Specially Serviced",IF($AB1074="Returned to master serv","Previously Specially Serviced","Never Specially Serviced"))</f>
        <v/>
      </c>
      <c r="CF1074" s="78">
        <f>IF($CE1074="Currently Specially Serviced",1,0)</f>
        <v/>
      </c>
      <c r="CG1074" s="76">
        <f>IF($AA1074="Yes","Currently on Watchlist",IF($AA1074="Previously","Previously on Watchlist","Never on Watchlist"))</f>
        <v/>
      </c>
      <c r="CH1074" s="78">
        <f>IF($CG1074="Currently on Watchlist",1,0)</f>
        <v/>
      </c>
      <c r="CI1074" s="76">
        <f>IF($Z1074="Full Defeasance","Fully Defeased",IF($Z1074="Portion Of Loan Previously Defeased","Partially Defeased",IF($Z1074="Defeasance Not Allowable","Not Defeased (Not Permitted)","Not Defeased")))</f>
        <v/>
      </c>
      <c r="CJ1074" s="78">
        <f>IF($CI1074="Fully Defeased",1,0)</f>
        <v/>
      </c>
      <c r="CK1074" s="76">
        <f>IF($R1074="IO","Full IO",IF(LEFT($R1074&amp;"",7)="IO then","Partial IO","Amortizing"))</f>
        <v/>
      </c>
      <c r="CL1074" s="78">
        <f>IF($CK1074="Full IO",1,0)</f>
        <v/>
      </c>
      <c r="CM1074" s="78">
        <f>IF($CK1074="Partial IO",1,0)</f>
        <v/>
      </c>
      <c r="CN1074" s="76">
        <f>IF(LEFT($F1074&amp;"",10)="SPLIT_LOAN","Pari Passu Split","Standalone")</f>
        <v/>
      </c>
      <c r="CO1074" s="78">
        <f>IF($CN1074="Pari Passu Split",1,0)</f>
        <v/>
      </c>
      <c r="CP1074" s="77">
        <f>IF(ISNUMBER($T1074),YEAR($T1074),"")</f>
        <v/>
      </c>
      <c r="CQ1074" s="79">
        <f>IF(ISNUMBER($V1074),$V1074,IF(ISNUMBER($U1074),$U1074,""))</f>
        <v/>
      </c>
      <c r="CR1074" s="77">
        <f>IF(ISNUMBER($CQ1074),YEAR($CQ1074),"")</f>
        <v/>
      </c>
      <c r="CS1074" s="78">
        <f>IF(ISNUMBER($M1074),MAX(0,$M1074),IF(TRIM($M1074&amp;"")="matured",0,""))</f>
        <v/>
      </c>
      <c r="CT1074" s="78">
        <f>IF(AND(ISNUMBER($CS1074),N($CS1074)&lt;=mMatWindow),1,0)</f>
        <v/>
      </c>
      <c r="CU1074" s="80">
        <f>IF(ISNUMBER($J1074),$J1074/100,"")</f>
        <v/>
      </c>
      <c r="CV1074" s="81">
        <f>IF(ISNUMBER($AQ1074),$AQ1074,"")</f>
        <v/>
      </c>
      <c r="CW1074" s="81">
        <f>IF(ISNUMBER($AR1074),$AR1074,"")</f>
        <v/>
      </c>
      <c r="CX1074" s="82">
        <f>IF(ISNUMBER($AS1074),$AS1074/100,"")</f>
        <v/>
      </c>
      <c r="CY1074" s="82">
        <f>IF(ISNUMBER($AT1074),$AT1074/100,"")</f>
        <v/>
      </c>
      <c r="CZ1074" s="82">
        <f>IF(ISNUMBER($AU1074),$AU1074/100,"")</f>
        <v/>
      </c>
      <c r="DA1074" s="82">
        <f>IF(ISNUMBER($AV1074),$AV1074/100,"")</f>
        <v/>
      </c>
      <c r="DB1074" s="82">
        <f>IF(ISNUMBER($AW1074),$AW1074/100,"")</f>
        <v/>
      </c>
      <c r="DC1074" s="82">
        <f>IF(ISNUMBER($AX1074),$AX1074/100,"")</f>
        <v/>
      </c>
      <c r="DD1074" s="77">
        <f>IFERROR(VALUE(LEFT(TRIM($AO1074&amp;""),4)),"")</f>
        <v/>
      </c>
      <c r="DE1074" s="78">
        <f>IF(AND($BY1074=1,$BX1074=1,OR(fDeal="All Deals",$BU1074=fDeal),OR(fEntity="All Entities",$BV1074=fEntity),OR(fPType="All Property Types",$BZ1074=fPType),OR(fDefeased="Include",$CJ1074=0)),1,0)</f>
        <v/>
      </c>
      <c r="DF1074" s="83">
        <f>$DE1074*N($I1074)</f>
        <v/>
      </c>
      <c r="DG1074" s="78">
        <f>IF($DE1074=1,IF(COUNTIFS($F$8:$F1074,$F1074,$DE$8:$DE1074,1)=1,1,0),0)</f>
        <v/>
      </c>
      <c r="DH1074" s="83">
        <f>IF($DG1074=1,SUMIFS($DF$8:$DF$1600,$F$8:$F$1600,$F1074),0)</f>
        <v/>
      </c>
      <c r="DI1074" s="78">
        <f>IF($DG1074=1,COUNTIFS($F$8:$F$1600,$F1074,$DE$8:$DE$1600,1),0)</f>
        <v/>
      </c>
      <c r="DJ1074" s="84">
        <f>IF($DG1074=1,$DH1074+(100000-ROW())/mTieBreak,0)</f>
        <v/>
      </c>
    </row>
    <row r="1075">
      <c r="B1075" s="68" t="n">
        <v>28</v>
      </c>
      <c r="C1075" s="69" t="inlineStr">
        <is>
          <t>GS217GS6</t>
        </is>
      </c>
      <c r="D1075" s="69" t="inlineStr">
        <is>
          <t>28.000</t>
        </is>
      </c>
      <c r="E1075" s="69" t="inlineStr">
        <is>
          <t>Pride Center</t>
        </is>
      </c>
      <c r="F1075" s="69" t="inlineStr">
        <is>
          <t>LNGS217GS6-28.000</t>
        </is>
      </c>
      <c r="G1075" s="70" t="n"/>
      <c r="H1075" s="71" t="n">
        <v>10000000</v>
      </c>
      <c r="I1075" s="71" t="n">
        <v>10000000</v>
      </c>
      <c r="J1075" s="72" t="n">
        <v>4.252</v>
      </c>
      <c r="K1075" s="69" t="inlineStr">
        <is>
          <t>Fixed rate</t>
        </is>
      </c>
      <c r="L1075" s="68" t="n">
        <v>120</v>
      </c>
      <c r="M1075" s="68" t="n">
        <v>7</v>
      </c>
      <c r="N1075" s="68" t="n">
        <v>120</v>
      </c>
      <c r="O1075" s="68" t="n">
        <v>120</v>
      </c>
      <c r="P1075" s="68" t="n">
        <v>7</v>
      </c>
      <c r="Q1075" s="68" t="n">
        <v>113</v>
      </c>
      <c r="R1075" s="69" t="inlineStr">
        <is>
          <t>IO</t>
        </is>
      </c>
      <c r="S1075" s="69" t="inlineStr">
        <is>
          <t>Yes</t>
        </is>
      </c>
      <c r="T1075" s="73" t="n">
        <v>42826</v>
      </c>
      <c r="U1075" s="73" t="n">
        <v>46483</v>
      </c>
      <c r="V1075" s="73" t="n"/>
      <c r="W1075" s="69" t="n"/>
      <c r="X1075" s="69" t="inlineStr">
        <is>
          <t>Current</t>
        </is>
      </c>
      <c r="Y1075" s="68" t="n"/>
      <c r="Z1075" s="69" t="inlineStr">
        <is>
          <t>No Defeasance Occurred</t>
        </is>
      </c>
      <c r="AA1075" s="69" t="inlineStr">
        <is>
          <t>Previously</t>
        </is>
      </c>
      <c r="AB1075" s="69" t="inlineStr">
        <is>
          <t>Never special serv</t>
        </is>
      </c>
      <c r="AC1075" s="73" t="n"/>
      <c r="AD1075" s="69" t="n"/>
      <c r="AE1075" s="69" t="n"/>
      <c r="AF1075" s="69" t="inlineStr">
        <is>
          <t>CA</t>
        </is>
      </c>
      <c r="AG1075" s="69" t="inlineStr">
        <is>
          <t>Woodland Hills</t>
        </is>
      </c>
      <c r="AH1075" s="69" t="inlineStr">
        <is>
          <t>Los Angeles-Long Beach-Anaheim, CA</t>
        </is>
      </c>
      <c r="AI1075" s="69" t="inlineStr">
        <is>
          <t>West / Pacific South</t>
        </is>
      </c>
      <c r="AJ1075" s="69" t="inlineStr">
        <is>
          <t>RT</t>
        </is>
      </c>
      <c r="AK1075" s="69" t="inlineStr">
        <is>
          <t>Anchored</t>
        </is>
      </c>
      <c r="AL1075" s="68" t="n">
        <v>1</v>
      </c>
      <c r="AM1075" s="68" t="n"/>
      <c r="AN1075" s="68" t="n">
        <v>184270</v>
      </c>
      <c r="AO1075" s="69" t="inlineStr">
        <is>
          <t>1964, 1972</t>
        </is>
      </c>
      <c r="AP1075" s="70" t="n">
        <v>1972</v>
      </c>
      <c r="AQ1075" s="74" t="n">
        <v>4.97</v>
      </c>
      <c r="AR1075" s="74" t="n">
        <v>3.24</v>
      </c>
      <c r="AS1075" s="74" t="n">
        <v>23.66</v>
      </c>
      <c r="AT1075" s="74" t="n">
        <v>23.66</v>
      </c>
      <c r="AU1075" s="74" t="n">
        <v>23.66</v>
      </c>
      <c r="AV1075" s="74" t="n">
        <v>21.4402746</v>
      </c>
      <c r="AW1075" s="74" t="n">
        <v>18.3281968</v>
      </c>
      <c r="AX1075" s="75" t="n">
        <v>78</v>
      </c>
      <c r="AY1075" s="71" t="n">
        <v>42270000</v>
      </c>
      <c r="AZ1075" s="71" t="n">
        <v>42270000</v>
      </c>
      <c r="BA1075" s="71" t="n">
        <v>2144027.46</v>
      </c>
      <c r="BB1075" s="71" t="n">
        <v>1394972.71</v>
      </c>
      <c r="BC1075" s="69" t="inlineStr">
        <is>
          <t>Refinance</t>
        </is>
      </c>
      <c r="BD1075" s="69" t="inlineStr">
        <is>
          <t>N</t>
        </is>
      </c>
      <c r="BE1075" s="71" t="n"/>
      <c r="BF1075" s="71" t="n"/>
      <c r="BG1075" s="71" t="n"/>
      <c r="BH1075" s="71" t="n">
        <v>0</v>
      </c>
      <c r="BI1075" s="71" t="n">
        <v>0</v>
      </c>
      <c r="BJ1075" s="69" t="inlineStr">
        <is>
          <t>N</t>
        </is>
      </c>
      <c r="BK1075" s="69" t="inlineStr">
        <is>
          <t>Floor &amp; Decor</t>
        </is>
      </c>
      <c r="BL1075" s="75" t="n">
        <v>28.54</v>
      </c>
      <c r="BM1075" s="73" t="n">
        <v>48152</v>
      </c>
      <c r="BN1075" s="69" t="inlineStr">
        <is>
          <t>Maxine N. Dunitz, as Trustee of the Non-Exempt Marital Trust Under the Maxine &amp; Gerald Dunitz Trust U/T/D June 3, 1982, Lisa Dunitz-Johnson, Barbara Miller and Robin Dunitz</t>
        </is>
      </c>
      <c r="BO1075" s="69" t="inlineStr">
        <is>
          <t>Goldman Sachs</t>
        </is>
      </c>
      <c r="BP1075" s="69" t="inlineStr">
        <is>
          <t>Midland Loan Services</t>
        </is>
      </c>
      <c r="BQ1075" s="69" t="inlineStr">
        <is>
          <t>K-Star Asset Management LLC</t>
        </is>
      </c>
      <c r="BR1075" s="69" t="n"/>
      <c r="BS1075" s="73" t="n">
        <v>46273</v>
      </c>
      <c r="BU1075" s="76">
        <f>IF($C1075="","",IFERROR(INDEX(dmName,MATCH($C1075,dmID,0)),"Unmapped"))</f>
        <v/>
      </c>
      <c r="BV1075" s="76">
        <f>IF($C1075="","",IFERROR(INDEX(dmEntity,MATCH($C1075,dmID,0)),"Unmapped"))</f>
        <v/>
      </c>
      <c r="BW1075" s="77">
        <f>IF($C1075="","",IFERROR(INDEX(dmVintage,MATCH($C1075,dmID,0)),""))</f>
        <v/>
      </c>
      <c r="BX1075" s="78">
        <f>IFERROR(INDEX(dmInclude,MATCH($C1075,dmID,0)),0)</f>
        <v/>
      </c>
      <c r="BY1075" s="78">
        <f>IF(N($I1075)&gt;0,1,0)</f>
        <v/>
      </c>
      <c r="BZ1075" s="76">
        <f>IF($AJ1075="","Other / Leased Fee",IFERROR(INDEX(mapPTGroup,MATCH(LEFT(TRIM($AJ1075),2),mapPTCode,0)),"Other / Leased Fee"))</f>
        <v/>
      </c>
      <c r="CA1075" s="76">
        <f>IF(TRIM($AF1075&amp;"")="","NR",LEFT(TRIM($AF1075),2))</f>
        <v/>
      </c>
      <c r="CB1075" s="76">
        <f>IFERROR(LOOKUP(2,1/(LEFT(TRIM($AI1075&amp;""),LEN(mapRegion))=mapRegion),mapRegion),"Not Reported")</f>
        <v/>
      </c>
      <c r="CC1075" s="76">
        <f>IF($BY1075=0,"",IF(TRIM($W1075&amp;"")="REO","REO",IF(TRIM($W1075&amp;"")="FC","Foreclosure",IF(TRIM($W1075&amp;"")="90+","90+ Days Delinquent",IF(TRIM($W1075&amp;"")="60","60 Days Delinquent",IF(TRIM($W1075&amp;"")="30","30 Days Delinquent",IF($X1075="Non-Performing Matured Balloon","Non-Performing Matured Balloon",IF(OR($X1075="Late Payment But Less Than 30 Days Delinquent",LEFT($X1075&amp;"",20)="Payment Not Received"),"Late / In Grace (&lt;30 Days)",IF($X1075="Performing Matured Balloon","Performing Matured Balloon","Current")))))))))</f>
        <v/>
      </c>
      <c r="CD1075" s="78">
        <f>IF(OR($CC1075="REO",$CC1075="Foreclosure",$CC1075="90+ Days Delinquent",$CC1075="60 Days Delinquent",$CC1075="30 Days Delinquent",$CC1075="Non-Performing Matured Balloon"),1,0)</f>
        <v/>
      </c>
      <c r="CE1075" s="76">
        <f>IF($AB1075="Currently special serv","Currently Specially Serviced",IF($AB1075="Returned to master serv","Previously Specially Serviced","Never Specially Serviced"))</f>
        <v/>
      </c>
      <c r="CF1075" s="78">
        <f>IF($CE1075="Currently Specially Serviced",1,0)</f>
        <v/>
      </c>
      <c r="CG1075" s="76">
        <f>IF($AA1075="Yes","Currently on Watchlist",IF($AA1075="Previously","Previously on Watchlist","Never on Watchlist"))</f>
        <v/>
      </c>
      <c r="CH1075" s="78">
        <f>IF($CG1075="Currently on Watchlist",1,0)</f>
        <v/>
      </c>
      <c r="CI1075" s="76">
        <f>IF($Z1075="Full Defeasance","Fully Defeased",IF($Z1075="Portion Of Loan Previously Defeased","Partially Defeased",IF($Z1075="Defeasance Not Allowable","Not Defeased (Not Permitted)","Not Defeased")))</f>
        <v/>
      </c>
      <c r="CJ1075" s="78">
        <f>IF($CI1075="Fully Defeased",1,0)</f>
        <v/>
      </c>
      <c r="CK1075" s="76">
        <f>IF($R1075="IO","Full IO",IF(LEFT($R1075&amp;"",7)="IO then","Partial IO","Amortizing"))</f>
        <v/>
      </c>
      <c r="CL1075" s="78">
        <f>IF($CK1075="Full IO",1,0)</f>
        <v/>
      </c>
      <c r="CM1075" s="78">
        <f>IF($CK1075="Partial IO",1,0)</f>
        <v/>
      </c>
      <c r="CN1075" s="76">
        <f>IF(LEFT($F1075&amp;"",10)="SPLIT_LOAN","Pari Passu Split","Standalone")</f>
        <v/>
      </c>
      <c r="CO1075" s="78">
        <f>IF($CN1075="Pari Passu Split",1,0)</f>
        <v/>
      </c>
      <c r="CP1075" s="77">
        <f>IF(ISNUMBER($T1075),YEAR($T1075),"")</f>
        <v/>
      </c>
      <c r="CQ1075" s="79">
        <f>IF(ISNUMBER($V1075),$V1075,IF(ISNUMBER($U1075),$U1075,""))</f>
        <v/>
      </c>
      <c r="CR1075" s="77">
        <f>IF(ISNUMBER($CQ1075),YEAR($CQ1075),"")</f>
        <v/>
      </c>
      <c r="CS1075" s="78">
        <f>IF(ISNUMBER($M1075),MAX(0,$M1075),IF(TRIM($M1075&amp;"")="matured",0,""))</f>
        <v/>
      </c>
      <c r="CT1075" s="78">
        <f>IF(AND(ISNUMBER($CS1075),N($CS1075)&lt;=mMatWindow),1,0)</f>
        <v/>
      </c>
      <c r="CU1075" s="80">
        <f>IF(ISNUMBER($J1075),$J1075/100,"")</f>
        <v/>
      </c>
      <c r="CV1075" s="81">
        <f>IF(ISNUMBER($AQ1075),$AQ1075,"")</f>
        <v/>
      </c>
      <c r="CW1075" s="81">
        <f>IF(ISNUMBER($AR1075),$AR1075,"")</f>
        <v/>
      </c>
      <c r="CX1075" s="82">
        <f>IF(ISNUMBER($AS1075),$AS1075/100,"")</f>
        <v/>
      </c>
      <c r="CY1075" s="82">
        <f>IF(ISNUMBER($AT1075),$AT1075/100,"")</f>
        <v/>
      </c>
      <c r="CZ1075" s="82">
        <f>IF(ISNUMBER($AU1075),$AU1075/100,"")</f>
        <v/>
      </c>
      <c r="DA1075" s="82">
        <f>IF(ISNUMBER($AV1075),$AV1075/100,"")</f>
        <v/>
      </c>
      <c r="DB1075" s="82">
        <f>IF(ISNUMBER($AW1075),$AW1075/100,"")</f>
        <v/>
      </c>
      <c r="DC1075" s="82">
        <f>IF(ISNUMBER($AX1075),$AX1075/100,"")</f>
        <v/>
      </c>
      <c r="DD1075" s="77">
        <f>IFERROR(VALUE(LEFT(TRIM($AO1075&amp;""),4)),"")</f>
        <v/>
      </c>
      <c r="DE1075" s="78">
        <f>IF(AND($BY1075=1,$BX1075=1,OR(fDeal="All Deals",$BU1075=fDeal),OR(fEntity="All Entities",$BV1075=fEntity),OR(fPType="All Property Types",$BZ1075=fPType),OR(fDefeased="Include",$CJ1075=0)),1,0)</f>
        <v/>
      </c>
      <c r="DF1075" s="83">
        <f>$DE1075*N($I1075)</f>
        <v/>
      </c>
      <c r="DG1075" s="78">
        <f>IF($DE1075=1,IF(COUNTIFS($F$8:$F1075,$F1075,$DE$8:$DE1075,1)=1,1,0),0)</f>
        <v/>
      </c>
      <c r="DH1075" s="83">
        <f>IF($DG1075=1,SUMIFS($DF$8:$DF$1600,$F$8:$F$1600,$F1075),0)</f>
        <v/>
      </c>
      <c r="DI1075" s="78">
        <f>IF($DG1075=1,COUNTIFS($F$8:$F$1600,$F1075,$DE$8:$DE$1600,1),0)</f>
        <v/>
      </c>
      <c r="DJ1075" s="84">
        <f>IF($DG1075=1,$DH1075+(100000-ROW())/mTieBreak,0)</f>
        <v/>
      </c>
    </row>
    <row r="1076">
      <c r="B1076" s="68" t="n">
        <v>29</v>
      </c>
      <c r="C1076" s="69" t="inlineStr">
        <is>
          <t>GS217GS6</t>
        </is>
      </c>
      <c r="D1076" s="69" t="inlineStr">
        <is>
          <t>29.000</t>
        </is>
      </c>
      <c r="E1076" s="69" t="inlineStr">
        <is>
          <t>Spruce Street</t>
        </is>
      </c>
      <c r="F1076" s="69" t="inlineStr">
        <is>
          <t>LNGS217GS6-29.000</t>
        </is>
      </c>
      <c r="G1076" s="70" t="n"/>
      <c r="H1076" s="71" t="n">
        <v>9500000</v>
      </c>
      <c r="I1076" s="71" t="n">
        <v>8311376.279998003</v>
      </c>
      <c r="J1076" s="72" t="n">
        <v>4.8</v>
      </c>
      <c r="K1076" s="69" t="inlineStr">
        <is>
          <t>Fixed rate</t>
        </is>
      </c>
      <c r="L1076" s="68" t="n">
        <v>120</v>
      </c>
      <c r="M1076" s="68" t="n">
        <v>8</v>
      </c>
      <c r="N1076" s="68" t="n">
        <v>384</v>
      </c>
      <c r="O1076" s="68" t="n">
        <v>24</v>
      </c>
      <c r="P1076" s="68" t="n">
        <v>0</v>
      </c>
      <c r="Q1076" s="68" t="n">
        <v>112</v>
      </c>
      <c r="R1076" s="69" t="inlineStr">
        <is>
          <t>IO then Amort</t>
        </is>
      </c>
      <c r="S1076" s="69" t="inlineStr">
        <is>
          <t>No</t>
        </is>
      </c>
      <c r="T1076" s="73" t="n">
        <v>42856</v>
      </c>
      <c r="U1076" s="73" t="n">
        <v>46513</v>
      </c>
      <c r="V1076" s="73" t="n"/>
      <c r="W1076" s="69" t="n"/>
      <c r="X1076" s="69" t="inlineStr">
        <is>
          <t>Current</t>
        </is>
      </c>
      <c r="Y1076" s="68" t="n"/>
      <c r="Z1076" s="69" t="inlineStr">
        <is>
          <t>No Defeasance Occurred</t>
        </is>
      </c>
      <c r="AA1076" s="69" t="inlineStr">
        <is>
          <t>Yes</t>
        </is>
      </c>
      <c r="AB1076" s="69" t="inlineStr">
        <is>
          <t>Returned to master serv</t>
        </is>
      </c>
      <c r="AC1076" s="73" t="n"/>
      <c r="AD1076" s="69" t="inlineStr">
        <is>
          <t>Other</t>
        </is>
      </c>
      <c r="AE1076" s="69" t="inlineStr">
        <is>
          <t>Resolved</t>
        </is>
      </c>
      <c r="AF1076" s="69" t="inlineStr">
        <is>
          <t>CA</t>
        </is>
      </c>
      <c r="AG1076" s="69" t="inlineStr">
        <is>
          <t>Riverside</t>
        </is>
      </c>
      <c r="AH1076" s="69" t="inlineStr">
        <is>
          <t>Riverside-San Bernardino-Ontario, CA</t>
        </is>
      </c>
      <c r="AI1076" s="69" t="inlineStr">
        <is>
          <t>West / Pacific South</t>
        </is>
      </c>
      <c r="AJ1076" s="69" t="inlineStr">
        <is>
          <t>OF</t>
        </is>
      </c>
      <c r="AK1076" s="69" t="inlineStr">
        <is>
          <t>Suburban</t>
        </is>
      </c>
      <c r="AL1076" s="68" t="n">
        <v>1</v>
      </c>
      <c r="AM1076" s="68" t="n"/>
      <c r="AN1076" s="68" t="n">
        <v>74862</v>
      </c>
      <c r="AO1076" s="69" t="inlineStr">
        <is>
          <t>2007</t>
        </is>
      </c>
      <c r="AP1076" s="70" t="n">
        <v>2007</v>
      </c>
      <c r="AQ1076" s="74" t="n">
        <v>1.49</v>
      </c>
      <c r="AR1076" s="74" t="n">
        <v>2.18</v>
      </c>
      <c r="AS1076" s="74" t="n">
        <v>73.08</v>
      </c>
      <c r="AT1076" s="74" t="n">
        <v>68.69</v>
      </c>
      <c r="AU1076" s="74" t="n">
        <v>59.7</v>
      </c>
      <c r="AV1076" s="74" t="n">
        <v>9.358588737</v>
      </c>
      <c r="AW1076" s="74" t="n">
        <v>12.077699964</v>
      </c>
      <c r="AX1076" s="75" t="n">
        <v>100</v>
      </c>
      <c r="AY1076" s="71" t="n">
        <v>12100000</v>
      </c>
      <c r="AZ1076" s="71" t="n">
        <v>12100000</v>
      </c>
      <c r="BA1076" s="71" t="n">
        <v>889065.9300000001</v>
      </c>
      <c r="BB1076" s="71" t="n">
        <v>326091.14</v>
      </c>
      <c r="BC1076" s="69" t="inlineStr">
        <is>
          <t>Refinance</t>
        </is>
      </c>
      <c r="BD1076" s="69" t="inlineStr">
        <is>
          <t>N</t>
        </is>
      </c>
      <c r="BE1076" s="71" t="n"/>
      <c r="BF1076" s="71" t="n"/>
      <c r="BG1076" s="71" t="n"/>
      <c r="BH1076" s="71" t="n">
        <v>0</v>
      </c>
      <c r="BI1076" s="71" t="n">
        <v>0</v>
      </c>
      <c r="BJ1076" s="69" t="inlineStr">
        <is>
          <t>N</t>
        </is>
      </c>
      <c r="BK1076" s="69" t="inlineStr">
        <is>
          <t>Work Force Development</t>
        </is>
      </c>
      <c r="BL1076" s="75" t="n">
        <v>48.36</v>
      </c>
      <c r="BM1076" s="73" t="n">
        <v>46295</v>
      </c>
      <c r="BN1076" s="69" t="inlineStr">
        <is>
          <t>Deanna Magnon, The Magnon Legacy Gift Trust and The Deanna Rae Magnon Trust</t>
        </is>
      </c>
      <c r="BO1076" s="69" t="inlineStr">
        <is>
          <t>Goldman Sachs</t>
        </is>
      </c>
      <c r="BP1076" s="69" t="inlineStr">
        <is>
          <t>Midland Loan Services</t>
        </is>
      </c>
      <c r="BQ1076" s="69" t="inlineStr">
        <is>
          <t>K-Star Asset Management LLC</t>
        </is>
      </c>
      <c r="BR1076" s="69" t="n"/>
      <c r="BS1076" s="73" t="n">
        <v>46273</v>
      </c>
      <c r="BU1076" s="76">
        <f>IF($C1076="","",IFERROR(INDEX(dmName,MATCH($C1076,dmID,0)),"Unmapped"))</f>
        <v/>
      </c>
      <c r="BV1076" s="76">
        <f>IF($C1076="","",IFERROR(INDEX(dmEntity,MATCH($C1076,dmID,0)),"Unmapped"))</f>
        <v/>
      </c>
      <c r="BW1076" s="77">
        <f>IF($C1076="","",IFERROR(INDEX(dmVintage,MATCH($C1076,dmID,0)),""))</f>
        <v/>
      </c>
      <c r="BX1076" s="78">
        <f>IFERROR(INDEX(dmInclude,MATCH($C1076,dmID,0)),0)</f>
        <v/>
      </c>
      <c r="BY1076" s="78">
        <f>IF(N($I1076)&gt;0,1,0)</f>
        <v/>
      </c>
      <c r="BZ1076" s="76">
        <f>IF($AJ1076="","Other / Leased Fee",IFERROR(INDEX(mapPTGroup,MATCH(LEFT(TRIM($AJ1076),2),mapPTCode,0)),"Other / Leased Fee"))</f>
        <v/>
      </c>
      <c r="CA1076" s="76">
        <f>IF(TRIM($AF1076&amp;"")="","NR",LEFT(TRIM($AF1076),2))</f>
        <v/>
      </c>
      <c r="CB1076" s="76">
        <f>IFERROR(LOOKUP(2,1/(LEFT(TRIM($AI1076&amp;""),LEN(mapRegion))=mapRegion),mapRegion),"Not Reported")</f>
        <v/>
      </c>
      <c r="CC1076" s="76">
        <f>IF($BY1076=0,"",IF(TRIM($W1076&amp;"")="REO","REO",IF(TRIM($W1076&amp;"")="FC","Foreclosure",IF(TRIM($W1076&amp;"")="90+","90+ Days Delinquent",IF(TRIM($W1076&amp;"")="60","60 Days Delinquent",IF(TRIM($W1076&amp;"")="30","30 Days Delinquent",IF($X1076="Non-Performing Matured Balloon","Non-Performing Matured Balloon",IF(OR($X1076="Late Payment But Less Than 30 Days Delinquent",LEFT($X1076&amp;"",20)="Payment Not Received"),"Late / In Grace (&lt;30 Days)",IF($X1076="Performing Matured Balloon","Performing Matured Balloon","Current")))))))))</f>
        <v/>
      </c>
      <c r="CD1076" s="78">
        <f>IF(OR($CC1076="REO",$CC1076="Foreclosure",$CC1076="90+ Days Delinquent",$CC1076="60 Days Delinquent",$CC1076="30 Days Delinquent",$CC1076="Non-Performing Matured Balloon"),1,0)</f>
        <v/>
      </c>
      <c r="CE1076" s="76">
        <f>IF($AB1076="Currently special serv","Currently Specially Serviced",IF($AB1076="Returned to master serv","Previously Specially Serviced","Never Specially Serviced"))</f>
        <v/>
      </c>
      <c r="CF1076" s="78">
        <f>IF($CE1076="Currently Specially Serviced",1,0)</f>
        <v/>
      </c>
      <c r="CG1076" s="76">
        <f>IF($AA1076="Yes","Currently on Watchlist",IF($AA1076="Previously","Previously on Watchlist","Never on Watchlist"))</f>
        <v/>
      </c>
      <c r="CH1076" s="78">
        <f>IF($CG1076="Currently on Watchlist",1,0)</f>
        <v/>
      </c>
      <c r="CI1076" s="76">
        <f>IF($Z1076="Full Defeasance","Fully Defeased",IF($Z1076="Portion Of Loan Previously Defeased","Partially Defeased",IF($Z1076="Defeasance Not Allowable","Not Defeased (Not Permitted)","Not Defeased")))</f>
        <v/>
      </c>
      <c r="CJ1076" s="78">
        <f>IF($CI1076="Fully Defeased",1,0)</f>
        <v/>
      </c>
      <c r="CK1076" s="76">
        <f>IF($R1076="IO","Full IO",IF(LEFT($R1076&amp;"",7)="IO then","Partial IO","Amortizing"))</f>
        <v/>
      </c>
      <c r="CL1076" s="78">
        <f>IF($CK1076="Full IO",1,0)</f>
        <v/>
      </c>
      <c r="CM1076" s="78">
        <f>IF($CK1076="Partial IO",1,0)</f>
        <v/>
      </c>
      <c r="CN1076" s="76">
        <f>IF(LEFT($F1076&amp;"",10)="SPLIT_LOAN","Pari Passu Split","Standalone")</f>
        <v/>
      </c>
      <c r="CO1076" s="78">
        <f>IF($CN1076="Pari Passu Split",1,0)</f>
        <v/>
      </c>
      <c r="CP1076" s="77">
        <f>IF(ISNUMBER($T1076),YEAR($T1076),"")</f>
        <v/>
      </c>
      <c r="CQ1076" s="79">
        <f>IF(ISNUMBER($V1076),$V1076,IF(ISNUMBER($U1076),$U1076,""))</f>
        <v/>
      </c>
      <c r="CR1076" s="77">
        <f>IF(ISNUMBER($CQ1076),YEAR($CQ1076),"")</f>
        <v/>
      </c>
      <c r="CS1076" s="78">
        <f>IF(ISNUMBER($M1076),MAX(0,$M1076),IF(TRIM($M1076&amp;"")="matured",0,""))</f>
        <v/>
      </c>
      <c r="CT1076" s="78">
        <f>IF(AND(ISNUMBER($CS1076),N($CS1076)&lt;=mMatWindow),1,0)</f>
        <v/>
      </c>
      <c r="CU1076" s="80">
        <f>IF(ISNUMBER($J1076),$J1076/100,"")</f>
        <v/>
      </c>
      <c r="CV1076" s="81">
        <f>IF(ISNUMBER($AQ1076),$AQ1076,"")</f>
        <v/>
      </c>
      <c r="CW1076" s="81">
        <f>IF(ISNUMBER($AR1076),$AR1076,"")</f>
        <v/>
      </c>
      <c r="CX1076" s="82">
        <f>IF(ISNUMBER($AS1076),$AS1076/100,"")</f>
        <v/>
      </c>
      <c r="CY1076" s="82">
        <f>IF(ISNUMBER($AT1076),$AT1076/100,"")</f>
        <v/>
      </c>
      <c r="CZ1076" s="82">
        <f>IF(ISNUMBER($AU1076),$AU1076/100,"")</f>
        <v/>
      </c>
      <c r="DA1076" s="82">
        <f>IF(ISNUMBER($AV1076),$AV1076/100,"")</f>
        <v/>
      </c>
      <c r="DB1076" s="82">
        <f>IF(ISNUMBER($AW1076),$AW1076/100,"")</f>
        <v/>
      </c>
      <c r="DC1076" s="82">
        <f>IF(ISNUMBER($AX1076),$AX1076/100,"")</f>
        <v/>
      </c>
      <c r="DD1076" s="77">
        <f>IFERROR(VALUE(LEFT(TRIM($AO1076&amp;""),4)),"")</f>
        <v/>
      </c>
      <c r="DE1076" s="78">
        <f>IF(AND($BY1076=1,$BX1076=1,OR(fDeal="All Deals",$BU1076=fDeal),OR(fEntity="All Entities",$BV1076=fEntity),OR(fPType="All Property Types",$BZ1076=fPType),OR(fDefeased="Include",$CJ1076=0)),1,0)</f>
        <v/>
      </c>
      <c r="DF1076" s="83">
        <f>$DE1076*N($I1076)</f>
        <v/>
      </c>
      <c r="DG1076" s="78">
        <f>IF($DE1076=1,IF(COUNTIFS($F$8:$F1076,$F1076,$DE$8:$DE1076,1)=1,1,0),0)</f>
        <v/>
      </c>
      <c r="DH1076" s="83">
        <f>IF($DG1076=1,SUMIFS($DF$8:$DF$1600,$F$8:$F$1600,$F1076),0)</f>
        <v/>
      </c>
      <c r="DI1076" s="78">
        <f>IF($DG1076=1,COUNTIFS($F$8:$F$1600,$F1076,$DE$8:$DE$1600,1),0)</f>
        <v/>
      </c>
      <c r="DJ1076" s="84">
        <f>IF($DG1076=1,$DH1076+(100000-ROW())/mTieBreak,0)</f>
        <v/>
      </c>
    </row>
    <row r="1077">
      <c r="B1077" s="68" t="n">
        <v>30</v>
      </c>
      <c r="C1077" s="69" t="inlineStr">
        <is>
          <t>GS217GS6</t>
        </is>
      </c>
      <c r="D1077" s="69" t="inlineStr">
        <is>
          <t>30.000</t>
        </is>
      </c>
      <c r="E1077" s="69" t="inlineStr">
        <is>
          <t>Metro Self Storage Limerick</t>
        </is>
      </c>
      <c r="F1077" s="69" t="inlineStr">
        <is>
          <t>LNGS217GS6-30.000</t>
        </is>
      </c>
      <c r="G1077" s="70" t="n"/>
      <c r="H1077" s="71" t="n">
        <v>7500000</v>
      </c>
      <c r="I1077" s="71" t="n">
        <v>0</v>
      </c>
      <c r="J1077" s="72" t="n">
        <v>5.257</v>
      </c>
      <c r="K1077" s="69" t="inlineStr">
        <is>
          <t>Fixed rate</t>
        </is>
      </c>
      <c r="L1077" s="68" t="n">
        <v>120</v>
      </c>
      <c r="M1077" s="68" t="n"/>
      <c r="N1077" s="68" t="n">
        <v>120</v>
      </c>
      <c r="O1077" s="68" t="n">
        <v>120</v>
      </c>
      <c r="P1077" s="68" t="n"/>
      <c r="Q1077" s="68" t="n"/>
      <c r="R1077" s="69" t="inlineStr">
        <is>
          <t>IO</t>
        </is>
      </c>
      <c r="S1077" s="69" t="inlineStr">
        <is>
          <t>Yes</t>
        </is>
      </c>
      <c r="T1077" s="73" t="n">
        <v>42826</v>
      </c>
      <c r="U1077" s="73" t="n">
        <v>46483</v>
      </c>
      <c r="V1077" s="73" t="n"/>
      <c r="W1077" s="69" t="n"/>
      <c r="X1077" s="69" t="inlineStr">
        <is>
          <t>Current</t>
        </is>
      </c>
      <c r="Y1077" s="68" t="n"/>
      <c r="Z1077" s="69" t="inlineStr">
        <is>
          <t>No Defeasance Occurred</t>
        </is>
      </c>
      <c r="AA1077" s="69" t="n"/>
      <c r="AB1077" s="69" t="inlineStr">
        <is>
          <t>Never special serv</t>
        </is>
      </c>
      <c r="AC1077" s="73" t="n"/>
      <c r="AD1077" s="69" t="n"/>
      <c r="AE1077" s="69" t="n"/>
      <c r="AF1077" s="69" t="inlineStr">
        <is>
          <t>PA</t>
        </is>
      </c>
      <c r="AG1077" s="69" t="inlineStr">
        <is>
          <t>Royersford</t>
        </is>
      </c>
      <c r="AH1077" s="69" t="inlineStr">
        <is>
          <t>Philadelphia-Camden-Wilmington, PA-NJ-DE-MD</t>
        </is>
      </c>
      <c r="AI1077" s="69" t="inlineStr">
        <is>
          <t>Northeast / Mid-Atlantic</t>
        </is>
      </c>
      <c r="AJ1077" s="69" t="inlineStr">
        <is>
          <t>SS</t>
        </is>
      </c>
      <c r="AK1077" s="69" t="n"/>
      <c r="AL1077" s="68" t="n">
        <v>1</v>
      </c>
      <c r="AM1077" s="68" t="n"/>
      <c r="AN1077" s="68" t="n">
        <v>78875</v>
      </c>
      <c r="AO1077" s="69" t="inlineStr">
        <is>
          <t>2008</t>
        </is>
      </c>
      <c r="AP1077" s="70" t="n">
        <v>2008</v>
      </c>
      <c r="AQ1077" s="74" t="n">
        <v>1.61</v>
      </c>
      <c r="AR1077" s="74" t="n">
        <v>2.22</v>
      </c>
      <c r="AS1077" s="74" t="n">
        <v>64.66</v>
      </c>
      <c r="AT1077" s="74" t="n"/>
      <c r="AU1077" s="74" t="n">
        <v>64.66</v>
      </c>
      <c r="AV1077" s="74" t="n">
        <v>8.599621867</v>
      </c>
      <c r="AW1077" s="74" t="n"/>
      <c r="AX1077" s="75" t="n">
        <v>90</v>
      </c>
      <c r="AY1077" s="71" t="n">
        <v>11600000</v>
      </c>
      <c r="AZ1077" s="71" t="n">
        <v>11600000</v>
      </c>
      <c r="BA1077" s="71" t="n">
        <v>644971.64</v>
      </c>
      <c r="BB1077" s="71" t="n">
        <v>886401.16</v>
      </c>
      <c r="BC1077" s="69" t="inlineStr">
        <is>
          <t>Refinance</t>
        </is>
      </c>
      <c r="BD1077" s="69" t="inlineStr">
        <is>
          <t>N</t>
        </is>
      </c>
      <c r="BE1077" s="71" t="n"/>
      <c r="BF1077" s="71" t="n"/>
      <c r="BG1077" s="71" t="n"/>
      <c r="BH1077" s="71" t="n">
        <v>0</v>
      </c>
      <c r="BI1077" s="71" t="n">
        <v>0</v>
      </c>
      <c r="BJ1077" s="69" t="inlineStr">
        <is>
          <t>N</t>
        </is>
      </c>
      <c r="BK1077" s="69" t="n"/>
      <c r="BL1077" s="75" t="n"/>
      <c r="BM1077" s="73" t="n"/>
      <c r="BN1077" s="69" t="inlineStr">
        <is>
          <t>Metro Storage LLC</t>
        </is>
      </c>
      <c r="BO1077" s="69" t="inlineStr">
        <is>
          <t>Goldman Sachs</t>
        </is>
      </c>
      <c r="BP1077" s="69" t="inlineStr">
        <is>
          <t>Midland Loan Services</t>
        </is>
      </c>
      <c r="BQ1077" s="69" t="inlineStr">
        <is>
          <t>K-Star Asset Management LLC</t>
        </is>
      </c>
      <c r="BR1077" s="69" t="inlineStr">
        <is>
          <t>Payoff With Penalty</t>
        </is>
      </c>
      <c r="BS1077" s="73" t="n">
        <v>45541</v>
      </c>
      <c r="BU1077" s="76">
        <f>IF($C1077="","",IFERROR(INDEX(dmName,MATCH($C1077,dmID,0)),"Unmapped"))</f>
        <v/>
      </c>
      <c r="BV1077" s="76">
        <f>IF($C1077="","",IFERROR(INDEX(dmEntity,MATCH($C1077,dmID,0)),"Unmapped"))</f>
        <v/>
      </c>
      <c r="BW1077" s="77">
        <f>IF($C1077="","",IFERROR(INDEX(dmVintage,MATCH($C1077,dmID,0)),""))</f>
        <v/>
      </c>
      <c r="BX1077" s="78">
        <f>IFERROR(INDEX(dmInclude,MATCH($C1077,dmID,0)),0)</f>
        <v/>
      </c>
      <c r="BY1077" s="78">
        <f>IF(N($I1077)&gt;0,1,0)</f>
        <v/>
      </c>
      <c r="BZ1077" s="76">
        <f>IF($AJ1077="","Other / Leased Fee",IFERROR(INDEX(mapPTGroup,MATCH(LEFT(TRIM($AJ1077),2),mapPTCode,0)),"Other / Leased Fee"))</f>
        <v/>
      </c>
      <c r="CA1077" s="76">
        <f>IF(TRIM($AF1077&amp;"")="","NR",LEFT(TRIM($AF1077),2))</f>
        <v/>
      </c>
      <c r="CB1077" s="76">
        <f>IFERROR(LOOKUP(2,1/(LEFT(TRIM($AI1077&amp;""),LEN(mapRegion))=mapRegion),mapRegion),"Not Reported")</f>
        <v/>
      </c>
      <c r="CC1077" s="76">
        <f>IF($BY1077=0,"",IF(TRIM($W1077&amp;"")="REO","REO",IF(TRIM($W1077&amp;"")="FC","Foreclosure",IF(TRIM($W1077&amp;"")="90+","90+ Days Delinquent",IF(TRIM($W1077&amp;"")="60","60 Days Delinquent",IF(TRIM($W1077&amp;"")="30","30 Days Delinquent",IF($X1077="Non-Performing Matured Balloon","Non-Performing Matured Balloon",IF(OR($X1077="Late Payment But Less Than 30 Days Delinquent",LEFT($X1077&amp;"",20)="Payment Not Received"),"Late / In Grace (&lt;30 Days)",IF($X1077="Performing Matured Balloon","Performing Matured Balloon","Current")))))))))</f>
        <v/>
      </c>
      <c r="CD1077" s="78">
        <f>IF(OR($CC1077="REO",$CC1077="Foreclosure",$CC1077="90+ Days Delinquent",$CC1077="60 Days Delinquent",$CC1077="30 Days Delinquent",$CC1077="Non-Performing Matured Balloon"),1,0)</f>
        <v/>
      </c>
      <c r="CE1077" s="76">
        <f>IF($AB1077="Currently special serv","Currently Specially Serviced",IF($AB1077="Returned to master serv","Previously Specially Serviced","Never Specially Serviced"))</f>
        <v/>
      </c>
      <c r="CF1077" s="78">
        <f>IF($CE1077="Currently Specially Serviced",1,0)</f>
        <v/>
      </c>
      <c r="CG1077" s="76">
        <f>IF($AA1077="Yes","Currently on Watchlist",IF($AA1077="Previously","Previously on Watchlist","Never on Watchlist"))</f>
        <v/>
      </c>
      <c r="CH1077" s="78">
        <f>IF($CG1077="Currently on Watchlist",1,0)</f>
        <v/>
      </c>
      <c r="CI1077" s="76">
        <f>IF($Z1077="Full Defeasance","Fully Defeased",IF($Z1077="Portion Of Loan Previously Defeased","Partially Defeased",IF($Z1077="Defeasance Not Allowable","Not Defeased (Not Permitted)","Not Defeased")))</f>
        <v/>
      </c>
      <c r="CJ1077" s="78">
        <f>IF($CI1077="Fully Defeased",1,0)</f>
        <v/>
      </c>
      <c r="CK1077" s="76">
        <f>IF($R1077="IO","Full IO",IF(LEFT($R1077&amp;"",7)="IO then","Partial IO","Amortizing"))</f>
        <v/>
      </c>
      <c r="CL1077" s="78">
        <f>IF($CK1077="Full IO",1,0)</f>
        <v/>
      </c>
      <c r="CM1077" s="78">
        <f>IF($CK1077="Partial IO",1,0)</f>
        <v/>
      </c>
      <c r="CN1077" s="76">
        <f>IF(LEFT($F1077&amp;"",10)="SPLIT_LOAN","Pari Passu Split","Standalone")</f>
        <v/>
      </c>
      <c r="CO1077" s="78">
        <f>IF($CN1077="Pari Passu Split",1,0)</f>
        <v/>
      </c>
      <c r="CP1077" s="77">
        <f>IF(ISNUMBER($T1077),YEAR($T1077),"")</f>
        <v/>
      </c>
      <c r="CQ1077" s="79">
        <f>IF(ISNUMBER($V1077),$V1077,IF(ISNUMBER($U1077),$U1077,""))</f>
        <v/>
      </c>
      <c r="CR1077" s="77">
        <f>IF(ISNUMBER($CQ1077),YEAR($CQ1077),"")</f>
        <v/>
      </c>
      <c r="CS1077" s="78">
        <f>IF(ISNUMBER($M1077),MAX(0,$M1077),IF(TRIM($M1077&amp;"")="matured",0,""))</f>
        <v/>
      </c>
      <c r="CT1077" s="78">
        <f>IF(AND(ISNUMBER($CS1077),N($CS1077)&lt;=mMatWindow),1,0)</f>
        <v/>
      </c>
      <c r="CU1077" s="80">
        <f>IF(ISNUMBER($J1077),$J1077/100,"")</f>
        <v/>
      </c>
      <c r="CV1077" s="81">
        <f>IF(ISNUMBER($AQ1077),$AQ1077,"")</f>
        <v/>
      </c>
      <c r="CW1077" s="81">
        <f>IF(ISNUMBER($AR1077),$AR1077,"")</f>
        <v/>
      </c>
      <c r="CX1077" s="82">
        <f>IF(ISNUMBER($AS1077),$AS1077/100,"")</f>
        <v/>
      </c>
      <c r="CY1077" s="82">
        <f>IF(ISNUMBER($AT1077),$AT1077/100,"")</f>
        <v/>
      </c>
      <c r="CZ1077" s="82">
        <f>IF(ISNUMBER($AU1077),$AU1077/100,"")</f>
        <v/>
      </c>
      <c r="DA1077" s="82">
        <f>IF(ISNUMBER($AV1077),$AV1077/100,"")</f>
        <v/>
      </c>
      <c r="DB1077" s="82">
        <f>IF(ISNUMBER($AW1077),$AW1077/100,"")</f>
        <v/>
      </c>
      <c r="DC1077" s="82">
        <f>IF(ISNUMBER($AX1077),$AX1077/100,"")</f>
        <v/>
      </c>
      <c r="DD1077" s="77">
        <f>IFERROR(VALUE(LEFT(TRIM($AO1077&amp;""),4)),"")</f>
        <v/>
      </c>
      <c r="DE1077" s="78">
        <f>IF(AND($BY1077=1,$BX1077=1,OR(fDeal="All Deals",$BU1077=fDeal),OR(fEntity="All Entities",$BV1077=fEntity),OR(fPType="All Property Types",$BZ1077=fPType),OR(fDefeased="Include",$CJ1077=0)),1,0)</f>
        <v/>
      </c>
      <c r="DF1077" s="83">
        <f>$DE1077*N($I1077)</f>
        <v/>
      </c>
      <c r="DG1077" s="78">
        <f>IF($DE1077=1,IF(COUNTIFS($F$8:$F1077,$F1077,$DE$8:$DE1077,1)=1,1,0),0)</f>
        <v/>
      </c>
      <c r="DH1077" s="83">
        <f>IF($DG1077=1,SUMIFS($DF$8:$DF$1600,$F$8:$F$1600,$F1077),0)</f>
        <v/>
      </c>
      <c r="DI1077" s="78">
        <f>IF($DG1077=1,COUNTIFS($F$8:$F$1600,$F1077,$DE$8:$DE$1600,1),0)</f>
        <v/>
      </c>
      <c r="DJ1077" s="84">
        <f>IF($DG1077=1,$DH1077+(100000-ROW())/mTieBreak,0)</f>
        <v/>
      </c>
    </row>
    <row r="1078">
      <c r="B1078" s="68" t="n">
        <v>31</v>
      </c>
      <c r="C1078" s="69" t="inlineStr">
        <is>
          <t>GS217GS6</t>
        </is>
      </c>
      <c r="D1078" s="69" t="inlineStr">
        <is>
          <t>31.000</t>
        </is>
      </c>
      <c r="E1078" s="69" t="inlineStr">
        <is>
          <t>Village at Oakhurst</t>
        </is>
      </c>
      <c r="F1078" s="69" t="inlineStr">
        <is>
          <t>LNGS217GS6-31.000</t>
        </is>
      </c>
      <c r="G1078" s="70" t="n"/>
      <c r="H1078" s="71" t="n">
        <v>6000000</v>
      </c>
      <c r="I1078" s="71" t="n">
        <v>5035993.05</v>
      </c>
      <c r="J1078" s="72" t="n">
        <v>5.16</v>
      </c>
      <c r="K1078" s="69" t="inlineStr">
        <is>
          <t>Fixed rate</t>
        </is>
      </c>
      <c r="L1078" s="68" t="n">
        <v>120</v>
      </c>
      <c r="M1078" s="68" t="n">
        <v>7</v>
      </c>
      <c r="N1078" s="68" t="n">
        <v>360</v>
      </c>
      <c r="O1078" s="68" t="n"/>
      <c r="P1078" s="68" t="n"/>
      <c r="Q1078" s="68" t="n">
        <v>113</v>
      </c>
      <c r="R1078" s="69" t="n"/>
      <c r="S1078" s="69" t="inlineStr">
        <is>
          <t>No</t>
        </is>
      </c>
      <c r="T1078" s="73" t="n">
        <v>42826</v>
      </c>
      <c r="U1078" s="73" t="n">
        <v>46483</v>
      </c>
      <c r="V1078" s="73" t="n"/>
      <c r="W1078" s="69" t="n"/>
      <c r="X1078" s="69" t="inlineStr">
        <is>
          <t>Current</t>
        </is>
      </c>
      <c r="Y1078" s="68" t="n"/>
      <c r="Z1078" s="69" t="inlineStr">
        <is>
          <t>No Defeasance Occurred</t>
        </is>
      </c>
      <c r="AA1078" s="69" t="inlineStr">
        <is>
          <t>Previously</t>
        </is>
      </c>
      <c r="AB1078" s="69" t="inlineStr">
        <is>
          <t>Never special serv</t>
        </is>
      </c>
      <c r="AC1078" s="73" t="n"/>
      <c r="AD1078" s="69" t="n"/>
      <c r="AE1078" s="69" t="n"/>
      <c r="AF1078" s="69" t="inlineStr">
        <is>
          <t>NC</t>
        </is>
      </c>
      <c r="AG1078" s="69" t="inlineStr">
        <is>
          <t>Cornelius</t>
        </is>
      </c>
      <c r="AH1078" s="69" t="inlineStr">
        <is>
          <t>Charlotte-Concord-Gastonia, NC-SC</t>
        </is>
      </c>
      <c r="AI1078" s="69" t="inlineStr">
        <is>
          <t>South / Atlantic</t>
        </is>
      </c>
      <c r="AJ1078" s="69" t="inlineStr">
        <is>
          <t>MX</t>
        </is>
      </c>
      <c r="AK1078" s="69" t="inlineStr">
        <is>
          <t>Office/Retail</t>
        </is>
      </c>
      <c r="AL1078" s="68" t="n">
        <v>1</v>
      </c>
      <c r="AM1078" s="68" t="n"/>
      <c r="AN1078" s="68" t="n">
        <v>42743</v>
      </c>
      <c r="AO1078" s="69" t="inlineStr">
        <is>
          <t>2004</t>
        </is>
      </c>
      <c r="AP1078" s="70" t="n">
        <v>2004</v>
      </c>
      <c r="AQ1078" s="74" t="n">
        <v>1.61</v>
      </c>
      <c r="AR1078" s="74" t="n">
        <v>1.92</v>
      </c>
      <c r="AS1078" s="74" t="n">
        <v>66.22</v>
      </c>
      <c r="AT1078" s="74" t="n">
        <v>55.65</v>
      </c>
      <c r="AU1078" s="74" t="n">
        <v>54.79</v>
      </c>
      <c r="AV1078" s="74" t="n">
        <v>10.563724</v>
      </c>
      <c r="AW1078" s="74" t="n">
        <v>15.008408719</v>
      </c>
      <c r="AX1078" s="75" t="n">
        <v>100</v>
      </c>
      <c r="AY1078" s="71" t="n">
        <v>9050000</v>
      </c>
      <c r="AZ1078" s="71" t="n">
        <v>9050000</v>
      </c>
      <c r="BA1078" s="71" t="n">
        <v>633823.4399999999</v>
      </c>
      <c r="BB1078" s="71" t="n">
        <v>755822.42</v>
      </c>
      <c r="BC1078" s="69" t="inlineStr">
        <is>
          <t>Refinance</t>
        </is>
      </c>
      <c r="BD1078" s="69" t="inlineStr">
        <is>
          <t>N</t>
        </is>
      </c>
      <c r="BE1078" s="71" t="n"/>
      <c r="BF1078" s="71" t="n"/>
      <c r="BG1078" s="71" t="n"/>
      <c r="BH1078" s="71" t="n">
        <v>0</v>
      </c>
      <c r="BI1078" s="71" t="n">
        <v>0</v>
      </c>
      <c r="BJ1078" s="69" t="inlineStr">
        <is>
          <t>N</t>
        </is>
      </c>
      <c r="BK1078" s="69" t="inlineStr">
        <is>
          <t>131 MAIN Restaurant</t>
        </is>
      </c>
      <c r="BL1078" s="75" t="n">
        <v>13.11</v>
      </c>
      <c r="BM1078" s="73" t="n">
        <v>48304</v>
      </c>
      <c r="BN1078" s="69" t="inlineStr">
        <is>
          <t>Joseph Scott Douglas</t>
        </is>
      </c>
      <c r="BO1078" s="69" t="inlineStr">
        <is>
          <t>Goldman Sachs</t>
        </is>
      </c>
      <c r="BP1078" s="69" t="inlineStr">
        <is>
          <t>Midland Loan Services</t>
        </is>
      </c>
      <c r="BQ1078" s="69" t="inlineStr">
        <is>
          <t>K-Star Asset Management LLC</t>
        </is>
      </c>
      <c r="BR1078" s="69" t="n"/>
      <c r="BS1078" s="73" t="n">
        <v>46273</v>
      </c>
      <c r="BU1078" s="76">
        <f>IF($C1078="","",IFERROR(INDEX(dmName,MATCH($C1078,dmID,0)),"Unmapped"))</f>
        <v/>
      </c>
      <c r="BV1078" s="76">
        <f>IF($C1078="","",IFERROR(INDEX(dmEntity,MATCH($C1078,dmID,0)),"Unmapped"))</f>
        <v/>
      </c>
      <c r="BW1078" s="77">
        <f>IF($C1078="","",IFERROR(INDEX(dmVintage,MATCH($C1078,dmID,0)),""))</f>
        <v/>
      </c>
      <c r="BX1078" s="78">
        <f>IFERROR(INDEX(dmInclude,MATCH($C1078,dmID,0)),0)</f>
        <v/>
      </c>
      <c r="BY1078" s="78">
        <f>IF(N($I1078)&gt;0,1,0)</f>
        <v/>
      </c>
      <c r="BZ1078" s="76">
        <f>IF($AJ1078="","Other / Leased Fee",IFERROR(INDEX(mapPTGroup,MATCH(LEFT(TRIM($AJ1078),2),mapPTCode,0)),"Other / Leased Fee"))</f>
        <v/>
      </c>
      <c r="CA1078" s="76">
        <f>IF(TRIM($AF1078&amp;"")="","NR",LEFT(TRIM($AF1078),2))</f>
        <v/>
      </c>
      <c r="CB1078" s="76">
        <f>IFERROR(LOOKUP(2,1/(LEFT(TRIM($AI1078&amp;""),LEN(mapRegion))=mapRegion),mapRegion),"Not Reported")</f>
        <v/>
      </c>
      <c r="CC1078" s="76">
        <f>IF($BY1078=0,"",IF(TRIM($W1078&amp;"")="REO","REO",IF(TRIM($W1078&amp;"")="FC","Foreclosure",IF(TRIM($W1078&amp;"")="90+","90+ Days Delinquent",IF(TRIM($W1078&amp;"")="60","60 Days Delinquent",IF(TRIM($W1078&amp;"")="30","30 Days Delinquent",IF($X1078="Non-Performing Matured Balloon","Non-Performing Matured Balloon",IF(OR($X1078="Late Payment But Less Than 30 Days Delinquent",LEFT($X1078&amp;"",20)="Payment Not Received"),"Late / In Grace (&lt;30 Days)",IF($X1078="Performing Matured Balloon","Performing Matured Balloon","Current")))))))))</f>
        <v/>
      </c>
      <c r="CD1078" s="78">
        <f>IF(OR($CC1078="REO",$CC1078="Foreclosure",$CC1078="90+ Days Delinquent",$CC1078="60 Days Delinquent",$CC1078="30 Days Delinquent",$CC1078="Non-Performing Matured Balloon"),1,0)</f>
        <v/>
      </c>
      <c r="CE1078" s="76">
        <f>IF($AB1078="Currently special serv","Currently Specially Serviced",IF($AB1078="Returned to master serv","Previously Specially Serviced","Never Specially Serviced"))</f>
        <v/>
      </c>
      <c r="CF1078" s="78">
        <f>IF($CE1078="Currently Specially Serviced",1,0)</f>
        <v/>
      </c>
      <c r="CG1078" s="76">
        <f>IF($AA1078="Yes","Currently on Watchlist",IF($AA1078="Previously","Previously on Watchlist","Never on Watchlist"))</f>
        <v/>
      </c>
      <c r="CH1078" s="78">
        <f>IF($CG1078="Currently on Watchlist",1,0)</f>
        <v/>
      </c>
      <c r="CI1078" s="76">
        <f>IF($Z1078="Full Defeasance","Fully Defeased",IF($Z1078="Portion Of Loan Previously Defeased","Partially Defeased",IF($Z1078="Defeasance Not Allowable","Not Defeased (Not Permitted)","Not Defeased")))</f>
        <v/>
      </c>
      <c r="CJ1078" s="78">
        <f>IF($CI1078="Fully Defeased",1,0)</f>
        <v/>
      </c>
      <c r="CK1078" s="76">
        <f>IF($R1078="IO","Full IO",IF(LEFT($R1078&amp;"",7)="IO then","Partial IO","Amortizing"))</f>
        <v/>
      </c>
      <c r="CL1078" s="78">
        <f>IF($CK1078="Full IO",1,0)</f>
        <v/>
      </c>
      <c r="CM1078" s="78">
        <f>IF($CK1078="Partial IO",1,0)</f>
        <v/>
      </c>
      <c r="CN1078" s="76">
        <f>IF(LEFT($F1078&amp;"",10)="SPLIT_LOAN","Pari Passu Split","Standalone")</f>
        <v/>
      </c>
      <c r="CO1078" s="78">
        <f>IF($CN1078="Pari Passu Split",1,0)</f>
        <v/>
      </c>
      <c r="CP1078" s="77">
        <f>IF(ISNUMBER($T1078),YEAR($T1078),"")</f>
        <v/>
      </c>
      <c r="CQ1078" s="79">
        <f>IF(ISNUMBER($V1078),$V1078,IF(ISNUMBER($U1078),$U1078,""))</f>
        <v/>
      </c>
      <c r="CR1078" s="77">
        <f>IF(ISNUMBER($CQ1078),YEAR($CQ1078),"")</f>
        <v/>
      </c>
      <c r="CS1078" s="78">
        <f>IF(ISNUMBER($M1078),MAX(0,$M1078),IF(TRIM($M1078&amp;"")="matured",0,""))</f>
        <v/>
      </c>
      <c r="CT1078" s="78">
        <f>IF(AND(ISNUMBER($CS1078),N($CS1078)&lt;=mMatWindow),1,0)</f>
        <v/>
      </c>
      <c r="CU1078" s="80">
        <f>IF(ISNUMBER($J1078),$J1078/100,"")</f>
        <v/>
      </c>
      <c r="CV1078" s="81">
        <f>IF(ISNUMBER($AQ1078),$AQ1078,"")</f>
        <v/>
      </c>
      <c r="CW1078" s="81">
        <f>IF(ISNUMBER($AR1078),$AR1078,"")</f>
        <v/>
      </c>
      <c r="CX1078" s="82">
        <f>IF(ISNUMBER($AS1078),$AS1078/100,"")</f>
        <v/>
      </c>
      <c r="CY1078" s="82">
        <f>IF(ISNUMBER($AT1078),$AT1078/100,"")</f>
        <v/>
      </c>
      <c r="CZ1078" s="82">
        <f>IF(ISNUMBER($AU1078),$AU1078/100,"")</f>
        <v/>
      </c>
      <c r="DA1078" s="82">
        <f>IF(ISNUMBER($AV1078),$AV1078/100,"")</f>
        <v/>
      </c>
      <c r="DB1078" s="82">
        <f>IF(ISNUMBER($AW1078),$AW1078/100,"")</f>
        <v/>
      </c>
      <c r="DC1078" s="82">
        <f>IF(ISNUMBER($AX1078),$AX1078/100,"")</f>
        <v/>
      </c>
      <c r="DD1078" s="77">
        <f>IFERROR(VALUE(LEFT(TRIM($AO1078&amp;""),4)),"")</f>
        <v/>
      </c>
      <c r="DE1078" s="78">
        <f>IF(AND($BY1078=1,$BX1078=1,OR(fDeal="All Deals",$BU1078=fDeal),OR(fEntity="All Entities",$BV1078=fEntity),OR(fPType="All Property Types",$BZ1078=fPType),OR(fDefeased="Include",$CJ1078=0)),1,0)</f>
        <v/>
      </c>
      <c r="DF1078" s="83">
        <f>$DE1078*N($I1078)</f>
        <v/>
      </c>
      <c r="DG1078" s="78">
        <f>IF($DE1078=1,IF(COUNTIFS($F$8:$F1078,$F1078,$DE$8:$DE1078,1)=1,1,0),0)</f>
        <v/>
      </c>
      <c r="DH1078" s="83">
        <f>IF($DG1078=1,SUMIFS($DF$8:$DF$1600,$F$8:$F$1600,$F1078),0)</f>
        <v/>
      </c>
      <c r="DI1078" s="78">
        <f>IF($DG1078=1,COUNTIFS($F$8:$F$1600,$F1078,$DE$8:$DE$1600,1),0)</f>
        <v/>
      </c>
      <c r="DJ1078" s="84">
        <f>IF($DG1078=1,$DH1078+(100000-ROW())/mTieBreak,0)</f>
        <v/>
      </c>
    </row>
    <row r="1079">
      <c r="B1079" s="68" t="n">
        <v>32</v>
      </c>
      <c r="C1079" s="69" t="inlineStr">
        <is>
          <t>GS217GS6</t>
        </is>
      </c>
      <c r="D1079" s="69" t="inlineStr">
        <is>
          <t>32.000</t>
        </is>
      </c>
      <c r="E1079" s="69" t="inlineStr">
        <is>
          <t>Best Buy Danvers</t>
        </is>
      </c>
      <c r="F1079" s="69" t="inlineStr">
        <is>
          <t>LNGS217GS6-32.000</t>
        </is>
      </c>
      <c r="G1079" s="70" t="n"/>
      <c r="H1079" s="71" t="n">
        <v>5900000</v>
      </c>
      <c r="I1079" s="71" t="n">
        <v>0</v>
      </c>
      <c r="J1079" s="72" t="n">
        <v>4.85</v>
      </c>
      <c r="K1079" s="69" t="inlineStr">
        <is>
          <t>Fixed rate</t>
        </is>
      </c>
      <c r="L1079" s="68" t="n">
        <v>120</v>
      </c>
      <c r="M1079" s="68" t="n"/>
      <c r="N1079" s="68" t="n">
        <v>120</v>
      </c>
      <c r="O1079" s="68" t="n">
        <v>120</v>
      </c>
      <c r="P1079" s="68" t="n"/>
      <c r="Q1079" s="68" t="n"/>
      <c r="R1079" s="69" t="inlineStr">
        <is>
          <t>IO</t>
        </is>
      </c>
      <c r="S1079" s="69" t="inlineStr">
        <is>
          <t>Yes</t>
        </is>
      </c>
      <c r="T1079" s="73" t="n">
        <v>42767</v>
      </c>
      <c r="U1079" s="73" t="n">
        <v>46424</v>
      </c>
      <c r="V1079" s="73" t="n"/>
      <c r="W1079" s="69" t="n"/>
      <c r="X1079" s="69" t="inlineStr">
        <is>
          <t>Current</t>
        </is>
      </c>
      <c r="Y1079" s="68" t="n"/>
      <c r="Z1079" s="69" t="inlineStr">
        <is>
          <t>Defeasance Not Allowable</t>
        </is>
      </c>
      <c r="AA1079" s="69" t="inlineStr">
        <is>
          <t>Previously</t>
        </is>
      </c>
      <c r="AB1079" s="69" t="inlineStr">
        <is>
          <t>Never special serv</t>
        </is>
      </c>
      <c r="AC1079" s="73" t="n"/>
      <c r="AD1079" s="69" t="n"/>
      <c r="AE1079" s="69" t="n"/>
      <c r="AF1079" s="69" t="inlineStr">
        <is>
          <t>MA</t>
        </is>
      </c>
      <c r="AG1079" s="69" t="inlineStr">
        <is>
          <t>Danvers</t>
        </is>
      </c>
      <c r="AH1079" s="69" t="inlineStr">
        <is>
          <t>Boston-Cambridge-Newton, MA-NH</t>
        </is>
      </c>
      <c r="AI1079" s="69" t="inlineStr">
        <is>
          <t>Northeast / New England</t>
        </is>
      </c>
      <c r="AJ1079" s="69" t="inlineStr">
        <is>
          <t>RT</t>
        </is>
      </c>
      <c r="AK1079" s="69" t="inlineStr">
        <is>
          <t>Single Tenant</t>
        </is>
      </c>
      <c r="AL1079" s="68" t="n">
        <v>1</v>
      </c>
      <c r="AM1079" s="68" t="n"/>
      <c r="AN1079" s="68" t="n">
        <v>45500</v>
      </c>
      <c r="AO1079" s="69" t="inlineStr">
        <is>
          <t>1999</t>
        </is>
      </c>
      <c r="AP1079" s="70" t="n">
        <v>2005</v>
      </c>
      <c r="AQ1079" s="74" t="n">
        <v>2.02</v>
      </c>
      <c r="AR1079" s="74" t="n">
        <v>2.38</v>
      </c>
      <c r="AS1079" s="74" t="n">
        <v>50.86</v>
      </c>
      <c r="AT1079" s="74" t="n"/>
      <c r="AU1079" s="74" t="n">
        <v>50.86</v>
      </c>
      <c r="AV1079" s="74" t="n">
        <v>9.917423728999999</v>
      </c>
      <c r="AW1079" s="74" t="n"/>
      <c r="AX1079" s="75" t="n">
        <v>100</v>
      </c>
      <c r="AY1079" s="71" t="n">
        <v>11600000</v>
      </c>
      <c r="AZ1079" s="71" t="n">
        <v>11600000</v>
      </c>
      <c r="BA1079" s="71" t="n">
        <v>585128</v>
      </c>
      <c r="BB1079" s="71" t="n">
        <v>687158.3</v>
      </c>
      <c r="BC1079" s="69" t="inlineStr">
        <is>
          <t>Refinance</t>
        </is>
      </c>
      <c r="BD1079" s="69" t="inlineStr">
        <is>
          <t>N</t>
        </is>
      </c>
      <c r="BE1079" s="71" t="n"/>
      <c r="BF1079" s="71" t="n"/>
      <c r="BG1079" s="71" t="n"/>
      <c r="BH1079" s="71" t="n">
        <v>0</v>
      </c>
      <c r="BI1079" s="71" t="n">
        <v>0</v>
      </c>
      <c r="BJ1079" s="69" t="inlineStr">
        <is>
          <t>Y</t>
        </is>
      </c>
      <c r="BK1079" s="69" t="inlineStr">
        <is>
          <t>BEST BUY STORES INC</t>
        </is>
      </c>
      <c r="BL1079" s="75" t="n">
        <v>100</v>
      </c>
      <c r="BM1079" s="73" t="n">
        <v>45688</v>
      </c>
      <c r="BN1079" s="69" t="inlineStr">
        <is>
          <t>Richard D. Squires and Dennis J. Wong</t>
        </is>
      </c>
      <c r="BO1079" s="69" t="inlineStr">
        <is>
          <t>Goldman Sachs</t>
        </is>
      </c>
      <c r="BP1079" s="69" t="inlineStr">
        <is>
          <t>Midland Loan Services</t>
        </is>
      </c>
      <c r="BQ1079" s="69" t="inlineStr">
        <is>
          <t>Midland Loan Services</t>
        </is>
      </c>
      <c r="BR1079" s="69" t="inlineStr">
        <is>
          <t>Payoff With Yield Maintenance</t>
        </is>
      </c>
      <c r="BS1079" s="73" t="n">
        <v>44872</v>
      </c>
      <c r="BU1079" s="76">
        <f>IF($C1079="","",IFERROR(INDEX(dmName,MATCH($C1079,dmID,0)),"Unmapped"))</f>
        <v/>
      </c>
      <c r="BV1079" s="76">
        <f>IF($C1079="","",IFERROR(INDEX(dmEntity,MATCH($C1079,dmID,0)),"Unmapped"))</f>
        <v/>
      </c>
      <c r="BW1079" s="77">
        <f>IF($C1079="","",IFERROR(INDEX(dmVintage,MATCH($C1079,dmID,0)),""))</f>
        <v/>
      </c>
      <c r="BX1079" s="78">
        <f>IFERROR(INDEX(dmInclude,MATCH($C1079,dmID,0)),0)</f>
        <v/>
      </c>
      <c r="BY1079" s="78">
        <f>IF(N($I1079)&gt;0,1,0)</f>
        <v/>
      </c>
      <c r="BZ1079" s="76">
        <f>IF($AJ1079="","Other / Leased Fee",IFERROR(INDEX(mapPTGroup,MATCH(LEFT(TRIM($AJ1079),2),mapPTCode,0)),"Other / Leased Fee"))</f>
        <v/>
      </c>
      <c r="CA1079" s="76">
        <f>IF(TRIM($AF1079&amp;"")="","NR",LEFT(TRIM($AF1079),2))</f>
        <v/>
      </c>
      <c r="CB1079" s="76">
        <f>IFERROR(LOOKUP(2,1/(LEFT(TRIM($AI1079&amp;""),LEN(mapRegion))=mapRegion),mapRegion),"Not Reported")</f>
        <v/>
      </c>
      <c r="CC1079" s="76">
        <f>IF($BY1079=0,"",IF(TRIM($W1079&amp;"")="REO","REO",IF(TRIM($W1079&amp;"")="FC","Foreclosure",IF(TRIM($W1079&amp;"")="90+","90+ Days Delinquent",IF(TRIM($W1079&amp;"")="60","60 Days Delinquent",IF(TRIM($W1079&amp;"")="30","30 Days Delinquent",IF($X1079="Non-Performing Matured Balloon","Non-Performing Matured Balloon",IF(OR($X1079="Late Payment But Less Than 30 Days Delinquent",LEFT($X1079&amp;"",20)="Payment Not Received"),"Late / In Grace (&lt;30 Days)",IF($X1079="Performing Matured Balloon","Performing Matured Balloon","Current")))))))))</f>
        <v/>
      </c>
      <c r="CD1079" s="78">
        <f>IF(OR($CC1079="REO",$CC1079="Foreclosure",$CC1079="90+ Days Delinquent",$CC1079="60 Days Delinquent",$CC1079="30 Days Delinquent",$CC1079="Non-Performing Matured Balloon"),1,0)</f>
        <v/>
      </c>
      <c r="CE1079" s="76">
        <f>IF($AB1079="Currently special serv","Currently Specially Serviced",IF($AB1079="Returned to master serv","Previously Specially Serviced","Never Specially Serviced"))</f>
        <v/>
      </c>
      <c r="CF1079" s="78">
        <f>IF($CE1079="Currently Specially Serviced",1,0)</f>
        <v/>
      </c>
      <c r="CG1079" s="76">
        <f>IF($AA1079="Yes","Currently on Watchlist",IF($AA1079="Previously","Previously on Watchlist","Never on Watchlist"))</f>
        <v/>
      </c>
      <c r="CH1079" s="78">
        <f>IF($CG1079="Currently on Watchlist",1,0)</f>
        <v/>
      </c>
      <c r="CI1079" s="76">
        <f>IF($Z1079="Full Defeasance","Fully Defeased",IF($Z1079="Portion Of Loan Previously Defeased","Partially Defeased",IF($Z1079="Defeasance Not Allowable","Not Defeased (Not Permitted)","Not Defeased")))</f>
        <v/>
      </c>
      <c r="CJ1079" s="78">
        <f>IF($CI1079="Fully Defeased",1,0)</f>
        <v/>
      </c>
      <c r="CK1079" s="76">
        <f>IF($R1079="IO","Full IO",IF(LEFT($R1079&amp;"",7)="IO then","Partial IO","Amortizing"))</f>
        <v/>
      </c>
      <c r="CL1079" s="78">
        <f>IF($CK1079="Full IO",1,0)</f>
        <v/>
      </c>
      <c r="CM1079" s="78">
        <f>IF($CK1079="Partial IO",1,0)</f>
        <v/>
      </c>
      <c r="CN1079" s="76">
        <f>IF(LEFT($F1079&amp;"",10)="SPLIT_LOAN","Pari Passu Split","Standalone")</f>
        <v/>
      </c>
      <c r="CO1079" s="78">
        <f>IF($CN1079="Pari Passu Split",1,0)</f>
        <v/>
      </c>
      <c r="CP1079" s="77">
        <f>IF(ISNUMBER($T1079),YEAR($T1079),"")</f>
        <v/>
      </c>
      <c r="CQ1079" s="79">
        <f>IF(ISNUMBER($V1079),$V1079,IF(ISNUMBER($U1079),$U1079,""))</f>
        <v/>
      </c>
      <c r="CR1079" s="77">
        <f>IF(ISNUMBER($CQ1079),YEAR($CQ1079),"")</f>
        <v/>
      </c>
      <c r="CS1079" s="78">
        <f>IF(ISNUMBER($M1079),MAX(0,$M1079),IF(TRIM($M1079&amp;"")="matured",0,""))</f>
        <v/>
      </c>
      <c r="CT1079" s="78">
        <f>IF(AND(ISNUMBER($CS1079),N($CS1079)&lt;=mMatWindow),1,0)</f>
        <v/>
      </c>
      <c r="CU1079" s="80">
        <f>IF(ISNUMBER($J1079),$J1079/100,"")</f>
        <v/>
      </c>
      <c r="CV1079" s="81">
        <f>IF(ISNUMBER($AQ1079),$AQ1079,"")</f>
        <v/>
      </c>
      <c r="CW1079" s="81">
        <f>IF(ISNUMBER($AR1079),$AR1079,"")</f>
        <v/>
      </c>
      <c r="CX1079" s="82">
        <f>IF(ISNUMBER($AS1079),$AS1079/100,"")</f>
        <v/>
      </c>
      <c r="CY1079" s="82">
        <f>IF(ISNUMBER($AT1079),$AT1079/100,"")</f>
        <v/>
      </c>
      <c r="CZ1079" s="82">
        <f>IF(ISNUMBER($AU1079),$AU1079/100,"")</f>
        <v/>
      </c>
      <c r="DA1079" s="82">
        <f>IF(ISNUMBER($AV1079),$AV1079/100,"")</f>
        <v/>
      </c>
      <c r="DB1079" s="82">
        <f>IF(ISNUMBER($AW1079),$AW1079/100,"")</f>
        <v/>
      </c>
      <c r="DC1079" s="82">
        <f>IF(ISNUMBER($AX1079),$AX1079/100,"")</f>
        <v/>
      </c>
      <c r="DD1079" s="77">
        <f>IFERROR(VALUE(LEFT(TRIM($AO1079&amp;""),4)),"")</f>
        <v/>
      </c>
      <c r="DE1079" s="78">
        <f>IF(AND($BY1079=1,$BX1079=1,OR(fDeal="All Deals",$BU1079=fDeal),OR(fEntity="All Entities",$BV1079=fEntity),OR(fPType="All Property Types",$BZ1079=fPType),OR(fDefeased="Include",$CJ1079=0)),1,0)</f>
        <v/>
      </c>
      <c r="DF1079" s="83">
        <f>$DE1079*N($I1079)</f>
        <v/>
      </c>
      <c r="DG1079" s="78">
        <f>IF($DE1079=1,IF(COUNTIFS($F$8:$F1079,$F1079,$DE$8:$DE1079,1)=1,1,0),0)</f>
        <v/>
      </c>
      <c r="DH1079" s="83">
        <f>IF($DG1079=1,SUMIFS($DF$8:$DF$1600,$F$8:$F$1600,$F1079),0)</f>
        <v/>
      </c>
      <c r="DI1079" s="78">
        <f>IF($DG1079=1,COUNTIFS($F$8:$F$1600,$F1079,$DE$8:$DE$1600,1),0)</f>
        <v/>
      </c>
      <c r="DJ1079" s="84">
        <f>IF($DG1079=1,$DH1079+(100000-ROW())/mTieBreak,0)</f>
        <v/>
      </c>
    </row>
    <row r="1080">
      <c r="B1080" s="68" t="n">
        <v>33</v>
      </c>
      <c r="C1080" s="69" t="inlineStr">
        <is>
          <t>GS217GS6</t>
        </is>
      </c>
      <c r="D1080" s="69" t="inlineStr">
        <is>
          <t>33.000</t>
        </is>
      </c>
      <c r="E1080" s="69" t="inlineStr">
        <is>
          <t>1076 Pittsburgh Drive</t>
        </is>
      </c>
      <c r="F1080" s="69" t="inlineStr">
        <is>
          <t>LNGS217GS6-33.000</t>
        </is>
      </c>
      <c r="G1080" s="70" t="n"/>
      <c r="H1080" s="71" t="n">
        <v>5687500</v>
      </c>
      <c r="I1080" s="71" t="n">
        <v>0</v>
      </c>
      <c r="J1080" s="72" t="n">
        <v>4.462</v>
      </c>
      <c r="K1080" s="69" t="inlineStr">
        <is>
          <t>Fixed rate</t>
        </is>
      </c>
      <c r="L1080" s="68" t="n">
        <v>120</v>
      </c>
      <c r="M1080" s="68" t="n"/>
      <c r="N1080" s="68" t="n">
        <v>396</v>
      </c>
      <c r="O1080" s="68" t="n">
        <v>36</v>
      </c>
      <c r="P1080" s="68" t="n"/>
      <c r="Q1080" s="68" t="n"/>
      <c r="R1080" s="69" t="inlineStr">
        <is>
          <t>IO then Amort</t>
        </is>
      </c>
      <c r="S1080" s="69" t="inlineStr">
        <is>
          <t>No</t>
        </is>
      </c>
      <c r="T1080" s="73" t="n">
        <v>42856</v>
      </c>
      <c r="U1080" s="73" t="n">
        <v>46513</v>
      </c>
      <c r="V1080" s="73" t="n"/>
      <c r="W1080" s="69" t="n"/>
      <c r="X1080" s="69" t="inlineStr">
        <is>
          <t>Current</t>
        </is>
      </c>
      <c r="Y1080" s="68" t="n"/>
      <c r="Z1080" s="69" t="inlineStr">
        <is>
          <t>Defeasance Not Allowable</t>
        </is>
      </c>
      <c r="AA1080" s="69" t="inlineStr">
        <is>
          <t>Previously</t>
        </is>
      </c>
      <c r="AB1080" s="69" t="inlineStr">
        <is>
          <t>Never special serv</t>
        </is>
      </c>
      <c r="AC1080" s="73" t="n"/>
      <c r="AD1080" s="69" t="n"/>
      <c r="AE1080" s="69" t="n"/>
      <c r="AF1080" s="69" t="inlineStr">
        <is>
          <t>OH</t>
        </is>
      </c>
      <c r="AG1080" s="69" t="inlineStr">
        <is>
          <t>Delaware</t>
        </is>
      </c>
      <c r="AH1080" s="69" t="inlineStr">
        <is>
          <t>Columbus, OH</t>
        </is>
      </c>
      <c r="AI1080" s="69" t="inlineStr">
        <is>
          <t>Midwest / Central East</t>
        </is>
      </c>
      <c r="AJ1080" s="69" t="inlineStr">
        <is>
          <t>IN</t>
        </is>
      </c>
      <c r="AK1080" s="69" t="inlineStr">
        <is>
          <t>Warehouse/Distribution</t>
        </is>
      </c>
      <c r="AL1080" s="68" t="n">
        <v>1</v>
      </c>
      <c r="AM1080" s="68" t="n"/>
      <c r="AN1080" s="68" t="n">
        <v>362260</v>
      </c>
      <c r="AO1080" s="69" t="inlineStr">
        <is>
          <t>1996</t>
        </is>
      </c>
      <c r="AP1080" s="70" t="n">
        <v>1996</v>
      </c>
      <c r="AQ1080" s="74" t="n">
        <v>2.25</v>
      </c>
      <c r="AR1080" s="74" t="n">
        <v>0.89</v>
      </c>
      <c r="AS1080" s="74" t="n">
        <v>65.37</v>
      </c>
      <c r="AT1080" s="74" t="n"/>
      <c r="AU1080" s="74" t="n">
        <v>57.17</v>
      </c>
      <c r="AV1080" s="74" t="n">
        <v>13.646000527</v>
      </c>
      <c r="AW1080" s="74" t="n"/>
      <c r="AX1080" s="75" t="n">
        <v>55</v>
      </c>
      <c r="AY1080" s="71" t="n">
        <v>8700000</v>
      </c>
      <c r="AZ1080" s="71" t="n">
        <v>8700000</v>
      </c>
      <c r="BA1080" s="71" t="n">
        <v>776116.28</v>
      </c>
      <c r="BB1080" s="71" t="n">
        <v>307420.43</v>
      </c>
      <c r="BC1080" s="69" t="inlineStr">
        <is>
          <t>Acquisition</t>
        </is>
      </c>
      <c r="BD1080" s="69" t="inlineStr">
        <is>
          <t>N</t>
        </is>
      </c>
      <c r="BE1080" s="71" t="n"/>
      <c r="BF1080" s="71" t="n"/>
      <c r="BG1080" s="71" t="n"/>
      <c r="BH1080" s="71" t="n">
        <v>0</v>
      </c>
      <c r="BI1080" s="71" t="n">
        <v>0</v>
      </c>
      <c r="BJ1080" s="69" t="inlineStr">
        <is>
          <t>N</t>
        </is>
      </c>
      <c r="BK1080" s="69" t="inlineStr">
        <is>
          <t>International Paper</t>
        </is>
      </c>
      <c r="BL1080" s="75" t="n">
        <v>37.89</v>
      </c>
      <c r="BM1080" s="73" t="n">
        <v>46173</v>
      </c>
      <c r="BN1080" s="69" t="inlineStr">
        <is>
          <t>Thomas R. Homco and Michael J. McFarland</t>
        </is>
      </c>
      <c r="BO1080" s="69" t="inlineStr">
        <is>
          <t>Goldman Sachs</t>
        </is>
      </c>
      <c r="BP1080" s="69" t="inlineStr">
        <is>
          <t>Midland Loan Services</t>
        </is>
      </c>
      <c r="BQ1080" s="69" t="inlineStr">
        <is>
          <t>Midland Loan Services</t>
        </is>
      </c>
      <c r="BR1080" s="69" t="inlineStr">
        <is>
          <t>Payoff With Yield Maintenance</t>
        </is>
      </c>
      <c r="BS1080" s="73" t="n">
        <v>44508</v>
      </c>
      <c r="BU1080" s="76">
        <f>IF($C1080="","",IFERROR(INDEX(dmName,MATCH($C1080,dmID,0)),"Unmapped"))</f>
        <v/>
      </c>
      <c r="BV1080" s="76">
        <f>IF($C1080="","",IFERROR(INDEX(dmEntity,MATCH($C1080,dmID,0)),"Unmapped"))</f>
        <v/>
      </c>
      <c r="BW1080" s="77">
        <f>IF($C1080="","",IFERROR(INDEX(dmVintage,MATCH($C1080,dmID,0)),""))</f>
        <v/>
      </c>
      <c r="BX1080" s="78">
        <f>IFERROR(INDEX(dmInclude,MATCH($C1080,dmID,0)),0)</f>
        <v/>
      </c>
      <c r="BY1080" s="78">
        <f>IF(N($I1080)&gt;0,1,0)</f>
        <v/>
      </c>
      <c r="BZ1080" s="76">
        <f>IF($AJ1080="","Other / Leased Fee",IFERROR(INDEX(mapPTGroup,MATCH(LEFT(TRIM($AJ1080),2),mapPTCode,0)),"Other / Leased Fee"))</f>
        <v/>
      </c>
      <c r="CA1080" s="76">
        <f>IF(TRIM($AF1080&amp;"")="","NR",LEFT(TRIM($AF1080),2))</f>
        <v/>
      </c>
      <c r="CB1080" s="76">
        <f>IFERROR(LOOKUP(2,1/(LEFT(TRIM($AI1080&amp;""),LEN(mapRegion))=mapRegion),mapRegion),"Not Reported")</f>
        <v/>
      </c>
      <c r="CC1080" s="76">
        <f>IF($BY1080=0,"",IF(TRIM($W1080&amp;"")="REO","REO",IF(TRIM($W1080&amp;"")="FC","Foreclosure",IF(TRIM($W1080&amp;"")="90+","90+ Days Delinquent",IF(TRIM($W1080&amp;"")="60","60 Days Delinquent",IF(TRIM($W1080&amp;"")="30","30 Days Delinquent",IF($X1080="Non-Performing Matured Balloon","Non-Performing Matured Balloon",IF(OR($X1080="Late Payment But Less Than 30 Days Delinquent",LEFT($X1080&amp;"",20)="Payment Not Received"),"Late / In Grace (&lt;30 Days)",IF($X1080="Performing Matured Balloon","Performing Matured Balloon","Current")))))))))</f>
        <v/>
      </c>
      <c r="CD1080" s="78">
        <f>IF(OR($CC1080="REO",$CC1080="Foreclosure",$CC1080="90+ Days Delinquent",$CC1080="60 Days Delinquent",$CC1080="30 Days Delinquent",$CC1080="Non-Performing Matured Balloon"),1,0)</f>
        <v/>
      </c>
      <c r="CE1080" s="76">
        <f>IF($AB1080="Currently special serv","Currently Specially Serviced",IF($AB1080="Returned to master serv","Previously Specially Serviced","Never Specially Serviced"))</f>
        <v/>
      </c>
      <c r="CF1080" s="78">
        <f>IF($CE1080="Currently Specially Serviced",1,0)</f>
        <v/>
      </c>
      <c r="CG1080" s="76">
        <f>IF($AA1080="Yes","Currently on Watchlist",IF($AA1080="Previously","Previously on Watchlist","Never on Watchlist"))</f>
        <v/>
      </c>
      <c r="CH1080" s="78">
        <f>IF($CG1080="Currently on Watchlist",1,0)</f>
        <v/>
      </c>
      <c r="CI1080" s="76">
        <f>IF($Z1080="Full Defeasance","Fully Defeased",IF($Z1080="Portion Of Loan Previously Defeased","Partially Defeased",IF($Z1080="Defeasance Not Allowable","Not Defeased (Not Permitted)","Not Defeased")))</f>
        <v/>
      </c>
      <c r="CJ1080" s="78">
        <f>IF($CI1080="Fully Defeased",1,0)</f>
        <v/>
      </c>
      <c r="CK1080" s="76">
        <f>IF($R1080="IO","Full IO",IF(LEFT($R1080&amp;"",7)="IO then","Partial IO","Amortizing"))</f>
        <v/>
      </c>
      <c r="CL1080" s="78">
        <f>IF($CK1080="Full IO",1,0)</f>
        <v/>
      </c>
      <c r="CM1080" s="78">
        <f>IF($CK1080="Partial IO",1,0)</f>
        <v/>
      </c>
      <c r="CN1080" s="76">
        <f>IF(LEFT($F1080&amp;"",10)="SPLIT_LOAN","Pari Passu Split","Standalone")</f>
        <v/>
      </c>
      <c r="CO1080" s="78">
        <f>IF($CN1080="Pari Passu Split",1,0)</f>
        <v/>
      </c>
      <c r="CP1080" s="77">
        <f>IF(ISNUMBER($T1080),YEAR($T1080),"")</f>
        <v/>
      </c>
      <c r="CQ1080" s="79">
        <f>IF(ISNUMBER($V1080),$V1080,IF(ISNUMBER($U1080),$U1080,""))</f>
        <v/>
      </c>
      <c r="CR1080" s="77">
        <f>IF(ISNUMBER($CQ1080),YEAR($CQ1080),"")</f>
        <v/>
      </c>
      <c r="CS1080" s="78">
        <f>IF(ISNUMBER($M1080),MAX(0,$M1080),IF(TRIM($M1080&amp;"")="matured",0,""))</f>
        <v/>
      </c>
      <c r="CT1080" s="78">
        <f>IF(AND(ISNUMBER($CS1080),N($CS1080)&lt;=mMatWindow),1,0)</f>
        <v/>
      </c>
      <c r="CU1080" s="80">
        <f>IF(ISNUMBER($J1080),$J1080/100,"")</f>
        <v/>
      </c>
      <c r="CV1080" s="81">
        <f>IF(ISNUMBER($AQ1080),$AQ1080,"")</f>
        <v/>
      </c>
      <c r="CW1080" s="81">
        <f>IF(ISNUMBER($AR1080),$AR1080,"")</f>
        <v/>
      </c>
      <c r="CX1080" s="82">
        <f>IF(ISNUMBER($AS1080),$AS1080/100,"")</f>
        <v/>
      </c>
      <c r="CY1080" s="82">
        <f>IF(ISNUMBER($AT1080),$AT1080/100,"")</f>
        <v/>
      </c>
      <c r="CZ1080" s="82">
        <f>IF(ISNUMBER($AU1080),$AU1080/100,"")</f>
        <v/>
      </c>
      <c r="DA1080" s="82">
        <f>IF(ISNUMBER($AV1080),$AV1080/100,"")</f>
        <v/>
      </c>
      <c r="DB1080" s="82">
        <f>IF(ISNUMBER($AW1080),$AW1080/100,"")</f>
        <v/>
      </c>
      <c r="DC1080" s="82">
        <f>IF(ISNUMBER($AX1080),$AX1080/100,"")</f>
        <v/>
      </c>
      <c r="DD1080" s="77">
        <f>IFERROR(VALUE(LEFT(TRIM($AO1080&amp;""),4)),"")</f>
        <v/>
      </c>
      <c r="DE1080" s="78">
        <f>IF(AND($BY1080=1,$BX1080=1,OR(fDeal="All Deals",$BU1080=fDeal),OR(fEntity="All Entities",$BV1080=fEntity),OR(fPType="All Property Types",$BZ1080=fPType),OR(fDefeased="Include",$CJ1080=0)),1,0)</f>
        <v/>
      </c>
      <c r="DF1080" s="83">
        <f>$DE1080*N($I1080)</f>
        <v/>
      </c>
      <c r="DG1080" s="78">
        <f>IF($DE1080=1,IF(COUNTIFS($F$8:$F1080,$F1080,$DE$8:$DE1080,1)=1,1,0),0)</f>
        <v/>
      </c>
      <c r="DH1080" s="83">
        <f>IF($DG1080=1,SUMIFS($DF$8:$DF$1600,$F$8:$F$1600,$F1080),0)</f>
        <v/>
      </c>
      <c r="DI1080" s="78">
        <f>IF($DG1080=1,COUNTIFS($F$8:$F$1600,$F1080,$DE$8:$DE$1600,1),0)</f>
        <v/>
      </c>
      <c r="DJ1080" s="84">
        <f>IF($DG1080=1,$DH1080+(100000-ROW())/mTieBreak,0)</f>
        <v/>
      </c>
    </row>
    <row r="1081">
      <c r="B1081" s="68" t="n">
        <v>1</v>
      </c>
      <c r="C1081" s="69" t="inlineStr">
        <is>
          <t>JPD17C7</t>
        </is>
      </c>
      <c r="D1081" s="69" t="inlineStr">
        <is>
          <t>1.000</t>
        </is>
      </c>
      <c r="E1081" s="69" t="inlineStr">
        <is>
          <t>Moffett Place Building 4</t>
        </is>
      </c>
      <c r="F1081" s="69" t="inlineStr">
        <is>
          <t>SPLIT_LOAN_01088</t>
        </is>
      </c>
      <c r="G1081" s="70" t="n">
        <v>1088</v>
      </c>
      <c r="H1081" s="71" t="n">
        <v>70000000</v>
      </c>
      <c r="I1081" s="71" t="n">
        <v>64895111.78997</v>
      </c>
      <c r="J1081" s="72" t="n">
        <v>3.6365</v>
      </c>
      <c r="K1081" s="69" t="inlineStr">
        <is>
          <t>Fixed rate</t>
        </is>
      </c>
      <c r="L1081" s="68" t="n">
        <v>120</v>
      </c>
      <c r="M1081" s="68" t="n">
        <v>11</v>
      </c>
      <c r="N1081" s="68" t="n">
        <v>420</v>
      </c>
      <c r="O1081" s="68" t="n">
        <v>60</v>
      </c>
      <c r="P1081" s="68" t="n">
        <v>0</v>
      </c>
      <c r="Q1081" s="68" t="n">
        <v>109</v>
      </c>
      <c r="R1081" s="69" t="inlineStr">
        <is>
          <t>IO then Sched</t>
        </is>
      </c>
      <c r="S1081" s="69" t="inlineStr">
        <is>
          <t>No</t>
        </is>
      </c>
      <c r="T1081" s="73" t="n">
        <v>42948</v>
      </c>
      <c r="U1081" s="73" t="n">
        <v>46605</v>
      </c>
      <c r="V1081" s="73" t="n"/>
      <c r="W1081" s="69" t="n"/>
      <c r="X1081" s="69" t="inlineStr">
        <is>
          <t>Current</t>
        </is>
      </c>
      <c r="Y1081" s="68" t="n"/>
      <c r="Z1081" s="69" t="inlineStr">
        <is>
          <t>No Defeasance Occurred</t>
        </is>
      </c>
      <c r="AA1081" s="69" t="inlineStr">
        <is>
          <t>Yes</t>
        </is>
      </c>
      <c r="AB1081" s="69" t="inlineStr">
        <is>
          <t>Never special serv</t>
        </is>
      </c>
      <c r="AC1081" s="73" t="n"/>
      <c r="AD1081" s="69" t="n"/>
      <c r="AE1081" s="69" t="n"/>
      <c r="AF1081" s="69" t="inlineStr">
        <is>
          <t>CA</t>
        </is>
      </c>
      <c r="AG1081" s="69" t="inlineStr">
        <is>
          <t>Sunnyvale</t>
        </is>
      </c>
      <c r="AH1081" s="69" t="inlineStr">
        <is>
          <t>San Jose-Sunnyvale-Santa Clara, CA</t>
        </is>
      </c>
      <c r="AI1081" s="69" t="inlineStr">
        <is>
          <t>West / Pacific North</t>
        </is>
      </c>
      <c r="AJ1081" s="69" t="inlineStr">
        <is>
          <t>OF</t>
        </is>
      </c>
      <c r="AK1081" s="69" t="inlineStr">
        <is>
          <t>Suburban</t>
        </is>
      </c>
      <c r="AL1081" s="68" t="n">
        <v>1</v>
      </c>
      <c r="AM1081" s="68" t="n"/>
      <c r="AN1081" s="68" t="n">
        <v>314352</v>
      </c>
      <c r="AO1081" s="69" t="inlineStr">
        <is>
          <t>2017</t>
        </is>
      </c>
      <c r="AP1081" s="70" t="n">
        <v>2017</v>
      </c>
      <c r="AQ1081" s="74" t="n">
        <v>2.29</v>
      </c>
      <c r="AR1081" s="74" t="n">
        <v>2.45</v>
      </c>
      <c r="AS1081" s="74" t="n">
        <v>41.03</v>
      </c>
      <c r="AT1081" s="74" t="n">
        <v>38.04</v>
      </c>
      <c r="AU1081" s="74" t="n">
        <v>37.29</v>
      </c>
      <c r="AV1081" s="74" t="n">
        <v>12.197675764</v>
      </c>
      <c r="AW1081" s="74" t="n">
        <v>13.861274156</v>
      </c>
      <c r="AX1081" s="75" t="n">
        <v>100</v>
      </c>
      <c r="AY1081" s="71" t="n">
        <v>309500000</v>
      </c>
      <c r="AZ1081" s="71" t="n">
        <v>309500000</v>
      </c>
      <c r="BA1081" s="71" t="n">
        <v>15491048.22</v>
      </c>
      <c r="BB1081" s="71" t="n">
        <v>4170101.75</v>
      </c>
      <c r="BC1081" s="69" t="inlineStr">
        <is>
          <t>Refinance</t>
        </is>
      </c>
      <c r="BD1081" s="69" t="inlineStr">
        <is>
          <t>N</t>
        </is>
      </c>
      <c r="BE1081" s="71" t="n">
        <v>52843162.46</v>
      </c>
      <c r="BF1081" s="71" t="n"/>
      <c r="BG1081" s="71" t="n">
        <v>98000000</v>
      </c>
      <c r="BH1081" s="71" t="n">
        <v>0</v>
      </c>
      <c r="BI1081" s="71" t="n">
        <v>0</v>
      </c>
      <c r="BJ1081" s="69" t="inlineStr">
        <is>
          <t>N</t>
        </is>
      </c>
      <c r="BK1081" s="69" t="inlineStr">
        <is>
          <t>Google LLC</t>
        </is>
      </c>
      <c r="BL1081" s="75" t="n">
        <v>100</v>
      </c>
      <c r="BM1081" s="73" t="n">
        <v>47087</v>
      </c>
      <c r="BN1081" s="69" t="inlineStr">
        <is>
          <t>Paul Guarantor LLC</t>
        </is>
      </c>
      <c r="BO1081" s="69" t="inlineStr">
        <is>
          <t>GACC</t>
        </is>
      </c>
      <c r="BP1081" s="69" t="inlineStr">
        <is>
          <t>Midland Loan Services</t>
        </is>
      </c>
      <c r="BQ1081" s="69" t="inlineStr">
        <is>
          <t>K-Star Asset Management LLC</t>
        </is>
      </c>
      <c r="BR1081" s="69" t="n"/>
      <c r="BS1081" s="73" t="n">
        <v>46276</v>
      </c>
      <c r="BU1081" s="76">
        <f>IF($C1081="","",IFERROR(INDEX(dmName,MATCH($C1081,dmID,0)),"Unmapped"))</f>
        <v/>
      </c>
      <c r="BV1081" s="76">
        <f>IF($C1081="","",IFERROR(INDEX(dmEntity,MATCH($C1081,dmID,0)),"Unmapped"))</f>
        <v/>
      </c>
      <c r="BW1081" s="77">
        <f>IF($C1081="","",IFERROR(INDEX(dmVintage,MATCH($C1081,dmID,0)),""))</f>
        <v/>
      </c>
      <c r="BX1081" s="78">
        <f>IFERROR(INDEX(dmInclude,MATCH($C1081,dmID,0)),0)</f>
        <v/>
      </c>
      <c r="BY1081" s="78">
        <f>IF(N($I1081)&gt;0,1,0)</f>
        <v/>
      </c>
      <c r="BZ1081" s="76">
        <f>IF($AJ1081="","Other / Leased Fee",IFERROR(INDEX(mapPTGroup,MATCH(LEFT(TRIM($AJ1081),2),mapPTCode,0)),"Other / Leased Fee"))</f>
        <v/>
      </c>
      <c r="CA1081" s="76">
        <f>IF(TRIM($AF1081&amp;"")="","NR",LEFT(TRIM($AF1081),2))</f>
        <v/>
      </c>
      <c r="CB1081" s="76">
        <f>IFERROR(LOOKUP(2,1/(LEFT(TRIM($AI1081&amp;""),LEN(mapRegion))=mapRegion),mapRegion),"Not Reported")</f>
        <v/>
      </c>
      <c r="CC1081" s="76">
        <f>IF($BY1081=0,"",IF(TRIM($W1081&amp;"")="REO","REO",IF(TRIM($W1081&amp;"")="FC","Foreclosure",IF(TRIM($W1081&amp;"")="90+","90+ Days Delinquent",IF(TRIM($W1081&amp;"")="60","60 Days Delinquent",IF(TRIM($W1081&amp;"")="30","30 Days Delinquent",IF($X1081="Non-Performing Matured Balloon","Non-Performing Matured Balloon",IF(OR($X1081="Late Payment But Less Than 30 Days Delinquent",LEFT($X1081&amp;"",20)="Payment Not Received"),"Late / In Grace (&lt;30 Days)",IF($X1081="Performing Matured Balloon","Performing Matured Balloon","Current")))))))))</f>
        <v/>
      </c>
      <c r="CD1081" s="78">
        <f>IF(OR($CC1081="REO",$CC1081="Foreclosure",$CC1081="90+ Days Delinquent",$CC1081="60 Days Delinquent",$CC1081="30 Days Delinquent",$CC1081="Non-Performing Matured Balloon"),1,0)</f>
        <v/>
      </c>
      <c r="CE1081" s="76">
        <f>IF($AB1081="Currently special serv","Currently Specially Serviced",IF($AB1081="Returned to master serv","Previously Specially Serviced","Never Specially Serviced"))</f>
        <v/>
      </c>
      <c r="CF1081" s="78">
        <f>IF($CE1081="Currently Specially Serviced",1,0)</f>
        <v/>
      </c>
      <c r="CG1081" s="76">
        <f>IF($AA1081="Yes","Currently on Watchlist",IF($AA1081="Previously","Previously on Watchlist","Never on Watchlist"))</f>
        <v/>
      </c>
      <c r="CH1081" s="78">
        <f>IF($CG1081="Currently on Watchlist",1,0)</f>
        <v/>
      </c>
      <c r="CI1081" s="76">
        <f>IF($Z1081="Full Defeasance","Fully Defeased",IF($Z1081="Portion Of Loan Previously Defeased","Partially Defeased",IF($Z1081="Defeasance Not Allowable","Not Defeased (Not Permitted)","Not Defeased")))</f>
        <v/>
      </c>
      <c r="CJ1081" s="78">
        <f>IF($CI1081="Fully Defeased",1,0)</f>
        <v/>
      </c>
      <c r="CK1081" s="76">
        <f>IF($R1081="IO","Full IO",IF(LEFT($R1081&amp;"",7)="IO then","Partial IO","Amortizing"))</f>
        <v/>
      </c>
      <c r="CL1081" s="78">
        <f>IF($CK1081="Full IO",1,0)</f>
        <v/>
      </c>
      <c r="CM1081" s="78">
        <f>IF($CK1081="Partial IO",1,0)</f>
        <v/>
      </c>
      <c r="CN1081" s="76">
        <f>IF(LEFT($F1081&amp;"",10)="SPLIT_LOAN","Pari Passu Split","Standalone")</f>
        <v/>
      </c>
      <c r="CO1081" s="78">
        <f>IF($CN1081="Pari Passu Split",1,0)</f>
        <v/>
      </c>
      <c r="CP1081" s="77">
        <f>IF(ISNUMBER($T1081),YEAR($T1081),"")</f>
        <v/>
      </c>
      <c r="CQ1081" s="79">
        <f>IF(ISNUMBER($V1081),$V1081,IF(ISNUMBER($U1081),$U1081,""))</f>
        <v/>
      </c>
      <c r="CR1081" s="77">
        <f>IF(ISNUMBER($CQ1081),YEAR($CQ1081),"")</f>
        <v/>
      </c>
      <c r="CS1081" s="78">
        <f>IF(ISNUMBER($M1081),MAX(0,$M1081),IF(TRIM($M1081&amp;"")="matured",0,""))</f>
        <v/>
      </c>
      <c r="CT1081" s="78">
        <f>IF(AND(ISNUMBER($CS1081),N($CS1081)&lt;=mMatWindow),1,0)</f>
        <v/>
      </c>
      <c r="CU1081" s="80">
        <f>IF(ISNUMBER($J1081),$J1081/100,"")</f>
        <v/>
      </c>
      <c r="CV1081" s="81">
        <f>IF(ISNUMBER($AQ1081),$AQ1081,"")</f>
        <v/>
      </c>
      <c r="CW1081" s="81">
        <f>IF(ISNUMBER($AR1081),$AR1081,"")</f>
        <v/>
      </c>
      <c r="CX1081" s="82">
        <f>IF(ISNUMBER($AS1081),$AS1081/100,"")</f>
        <v/>
      </c>
      <c r="CY1081" s="82">
        <f>IF(ISNUMBER($AT1081),$AT1081/100,"")</f>
        <v/>
      </c>
      <c r="CZ1081" s="82">
        <f>IF(ISNUMBER($AU1081),$AU1081/100,"")</f>
        <v/>
      </c>
      <c r="DA1081" s="82">
        <f>IF(ISNUMBER($AV1081),$AV1081/100,"")</f>
        <v/>
      </c>
      <c r="DB1081" s="82">
        <f>IF(ISNUMBER($AW1081),$AW1081/100,"")</f>
        <v/>
      </c>
      <c r="DC1081" s="82">
        <f>IF(ISNUMBER($AX1081),$AX1081/100,"")</f>
        <v/>
      </c>
      <c r="DD1081" s="77">
        <f>IFERROR(VALUE(LEFT(TRIM($AO1081&amp;""),4)),"")</f>
        <v/>
      </c>
      <c r="DE1081" s="78">
        <f>IF(AND($BY1081=1,$BX1081=1,OR(fDeal="All Deals",$BU1081=fDeal),OR(fEntity="All Entities",$BV1081=fEntity),OR(fPType="All Property Types",$BZ1081=fPType),OR(fDefeased="Include",$CJ1081=0)),1,0)</f>
        <v/>
      </c>
      <c r="DF1081" s="83">
        <f>$DE1081*N($I1081)</f>
        <v/>
      </c>
      <c r="DG1081" s="78">
        <f>IF($DE1081=1,IF(COUNTIFS($F$8:$F1081,$F1081,$DE$8:$DE1081,1)=1,1,0),0)</f>
        <v/>
      </c>
      <c r="DH1081" s="83">
        <f>IF($DG1081=1,SUMIFS($DF$8:$DF$1600,$F$8:$F$1600,$F1081),0)</f>
        <v/>
      </c>
      <c r="DI1081" s="78">
        <f>IF($DG1081=1,COUNTIFS($F$8:$F$1600,$F1081,$DE$8:$DE$1600,1),0)</f>
        <v/>
      </c>
      <c r="DJ1081" s="84">
        <f>IF($DG1081=1,$DH1081+(100000-ROW())/mTieBreak,0)</f>
        <v/>
      </c>
    </row>
    <row r="1082">
      <c r="B1082" s="68" t="n">
        <v>2</v>
      </c>
      <c r="C1082" s="69" t="inlineStr">
        <is>
          <t>JPD17C7</t>
        </is>
      </c>
      <c r="D1082" s="69" t="inlineStr">
        <is>
          <t>2.000</t>
        </is>
      </c>
      <c r="E1082" s="69" t="inlineStr">
        <is>
          <t>U-Haul SAC Portfolios 14, 15, 17</t>
        </is>
      </c>
      <c r="F1082" s="69" t="inlineStr">
        <is>
          <t>SPLIT_LOAN_01097</t>
        </is>
      </c>
      <c r="G1082" s="70" t="n">
        <v>1097</v>
      </c>
      <c r="H1082" s="71" t="n">
        <v>69000000</v>
      </c>
      <c r="I1082" s="71" t="n">
        <v>51202872.71997001</v>
      </c>
      <c r="J1082" s="72" t="n">
        <v>3.7025</v>
      </c>
      <c r="K1082" s="69" t="inlineStr">
        <is>
          <t>Fixed rate</t>
        </is>
      </c>
      <c r="L1082" s="68" t="n">
        <v>120</v>
      </c>
      <c r="M1082" s="68" t="n">
        <v>12</v>
      </c>
      <c r="N1082" s="68" t="n">
        <v>300</v>
      </c>
      <c r="O1082" s="68" t="n"/>
      <c r="P1082" s="68" t="n"/>
      <c r="Q1082" s="68" t="n">
        <v>108</v>
      </c>
      <c r="R1082" s="69" t="n"/>
      <c r="S1082" s="69" t="inlineStr">
        <is>
          <t>No</t>
        </is>
      </c>
      <c r="T1082" s="73" t="n">
        <v>42979</v>
      </c>
      <c r="U1082" s="73" t="n">
        <v>50289</v>
      </c>
      <c r="V1082" s="73" t="n">
        <v>46636</v>
      </c>
      <c r="W1082" s="69" t="n"/>
      <c r="X1082" s="69" t="inlineStr">
        <is>
          <t>Current</t>
        </is>
      </c>
      <c r="Y1082" s="68" t="n"/>
      <c r="Z1082" s="69" t="inlineStr">
        <is>
          <t>No Defeasance Occurred</t>
        </is>
      </c>
      <c r="AA1082" s="69" t="inlineStr">
        <is>
          <t>Yes</t>
        </is>
      </c>
      <c r="AB1082" s="69" t="inlineStr">
        <is>
          <t>Never special serv</t>
        </is>
      </c>
      <c r="AC1082" s="73" t="n"/>
      <c r="AD1082" s="69" t="n"/>
      <c r="AE1082" s="69" t="n"/>
      <c r="AF1082" s="69" t="inlineStr">
        <is>
          <t>MA-26.867918150% NY-18.009122246% TX-17.868057095% NV-8.360371271% IL-7.796116172% CA-7.415243694% CT-4.678610268% KS-2.369868165% MO-1.782104405% AR-1.716273938% NJ-1.711572503% VA-1.424742092%</t>
        </is>
      </c>
      <c r="AG1082" s="69" t="n"/>
      <c r="AH1082" s="69" t="inlineStr">
        <is>
          <t>Boston-Cambridge-Newton, MA-NH-26.867918150% New York-Newark-Jersey City, NY-NJ-10.946536539% Las Vegas-Henderson-North Las Vegas, NV-8.360371271% Dallas-Fort Worth-Arlington, TX-8.233411851% Chicago-Naperville-Elgin, IL-IN-7.796116172% Los Angeles-Long Beach-Anaheim, CA-7.415243694% Albany-Schenectady-Troy, NY-5.680162471% Bridgeport-Stamford-Danbury, CT-4.678610268% Austin-Round Rock-San Marcos, TX-3.601824766% College Station-Bryan, TX-3.521888509% Beaumont-Port Arthur, TX-2.510931969% Kansas City, MO-KS-2.369868165% St. Louis, MO-IL-1.782104405% Little Rock-North Little Rock-Conway, AR-1.716273938% Philadelphia-Camden-Wilmington, PA-NJ-DE-MD-1.711572503% Virginia Beach-Chesapeake-Norfolk, VA-NC-1.424742092% Syracuse, NY-1.382423236%</t>
        </is>
      </c>
      <c r="AI1082" s="69" t="inlineStr">
        <is>
          <t>Northeast / New England-31.546528417% Northeast / Mid-Atlantic-19.720694749% South / Central West-19.584331033% West / Mountain-8.360371271% Midwest / Central East-7.796116172% West / Pacific South-7.415243694% Midwest / Central West-4.151972570% South / Atlantic-1.424742092%</t>
        </is>
      </c>
      <c r="AJ1082" s="69" t="inlineStr">
        <is>
          <t>SS</t>
        </is>
      </c>
      <c r="AK1082" s="69" t="n"/>
      <c r="AL1082" s="68" t="n">
        <v>22</v>
      </c>
      <c r="AM1082" s="68" t="n"/>
      <c r="AN1082" s="68" t="n">
        <v>1149651</v>
      </c>
      <c r="AO1082" s="69" t="n"/>
      <c r="AP1082" s="70" t="n">
        <v>2001</v>
      </c>
      <c r="AQ1082" s="74" t="n">
        <v>1.63</v>
      </c>
      <c r="AR1082" s="74" t="n">
        <v>1.53</v>
      </c>
      <c r="AS1082" s="74" t="n">
        <v>60.53</v>
      </c>
      <c r="AT1082" s="74" t="n">
        <v>26.18</v>
      </c>
      <c r="AU1082" s="74" t="n">
        <v>43.15</v>
      </c>
      <c r="AV1082" s="74" t="n">
        <v>9.986700744</v>
      </c>
      <c r="AW1082" s="74" t="n">
        <v>12.522688595</v>
      </c>
      <c r="AX1082" s="75" t="n">
        <v>89</v>
      </c>
      <c r="AY1082" s="71" t="n">
        <v>212670000</v>
      </c>
      <c r="AZ1082" s="71" t="n">
        <v>365670000</v>
      </c>
      <c r="BA1082" s="71" t="n">
        <v>12882843.96</v>
      </c>
      <c r="BB1082" s="71" t="n">
        <v>12102873.74</v>
      </c>
      <c r="BC1082" s="69" t="inlineStr">
        <is>
          <t>Refinance</t>
        </is>
      </c>
      <c r="BD1082" s="69" t="inlineStr">
        <is>
          <t>N</t>
        </is>
      </c>
      <c r="BE1082" s="71" t="n">
        <v>44524237.15</v>
      </c>
      <c r="BF1082" s="71" t="n"/>
      <c r="BG1082" s="71" t="n"/>
      <c r="BH1082" s="71" t="n">
        <v>0</v>
      </c>
      <c r="BI1082" s="71" t="n">
        <v>0</v>
      </c>
      <c r="BJ1082" s="69" t="inlineStr">
        <is>
          <t>N</t>
        </is>
      </c>
      <c r="BK1082" s="69" t="n"/>
      <c r="BL1082" s="75" t="n"/>
      <c r="BM1082" s="73" t="n"/>
      <c r="BN1082" s="69" t="inlineStr">
        <is>
          <t>Blackwater Investments, Inc.</t>
        </is>
      </c>
      <c r="BO1082" s="69" t="inlineStr">
        <is>
          <t>GACC</t>
        </is>
      </c>
      <c r="BP1082" s="69" t="inlineStr">
        <is>
          <t>Midland Loan Services</t>
        </is>
      </c>
      <c r="BQ1082" s="69" t="inlineStr">
        <is>
          <t>K-Star Asset Management LLC</t>
        </is>
      </c>
      <c r="BR1082" s="69" t="inlineStr">
        <is>
          <t>Partial Liquidation (Curtailment)</t>
        </is>
      </c>
      <c r="BS1082" s="73" t="n">
        <v>46276</v>
      </c>
      <c r="BU1082" s="76">
        <f>IF($C1082="","",IFERROR(INDEX(dmName,MATCH($C1082,dmID,0)),"Unmapped"))</f>
        <v/>
      </c>
      <c r="BV1082" s="76">
        <f>IF($C1082="","",IFERROR(INDEX(dmEntity,MATCH($C1082,dmID,0)),"Unmapped"))</f>
        <v/>
      </c>
      <c r="BW1082" s="77">
        <f>IF($C1082="","",IFERROR(INDEX(dmVintage,MATCH($C1082,dmID,0)),""))</f>
        <v/>
      </c>
      <c r="BX1082" s="78">
        <f>IFERROR(INDEX(dmInclude,MATCH($C1082,dmID,0)),0)</f>
        <v/>
      </c>
      <c r="BY1082" s="78">
        <f>IF(N($I1082)&gt;0,1,0)</f>
        <v/>
      </c>
      <c r="BZ1082" s="76">
        <f>IF($AJ1082="","Other / Leased Fee",IFERROR(INDEX(mapPTGroup,MATCH(LEFT(TRIM($AJ1082),2),mapPTCode,0)),"Other / Leased Fee"))</f>
        <v/>
      </c>
      <c r="CA1082" s="76">
        <f>IF(TRIM($AF1082&amp;"")="","NR",LEFT(TRIM($AF1082),2))</f>
        <v/>
      </c>
      <c r="CB1082" s="76">
        <f>IFERROR(LOOKUP(2,1/(LEFT(TRIM($AI1082&amp;""),LEN(mapRegion))=mapRegion),mapRegion),"Not Reported")</f>
        <v/>
      </c>
      <c r="CC1082" s="76">
        <f>IF($BY1082=0,"",IF(TRIM($W1082&amp;"")="REO","REO",IF(TRIM($W1082&amp;"")="FC","Foreclosure",IF(TRIM($W1082&amp;"")="90+","90+ Days Delinquent",IF(TRIM($W1082&amp;"")="60","60 Days Delinquent",IF(TRIM($W1082&amp;"")="30","30 Days Delinquent",IF($X1082="Non-Performing Matured Balloon","Non-Performing Matured Balloon",IF(OR($X1082="Late Payment But Less Than 30 Days Delinquent",LEFT($X1082&amp;"",20)="Payment Not Received"),"Late / In Grace (&lt;30 Days)",IF($X1082="Performing Matured Balloon","Performing Matured Balloon","Current")))))))))</f>
        <v/>
      </c>
      <c r="CD1082" s="78">
        <f>IF(OR($CC1082="REO",$CC1082="Foreclosure",$CC1082="90+ Days Delinquent",$CC1082="60 Days Delinquent",$CC1082="30 Days Delinquent",$CC1082="Non-Performing Matured Balloon"),1,0)</f>
        <v/>
      </c>
      <c r="CE1082" s="76">
        <f>IF($AB1082="Currently special serv","Currently Specially Serviced",IF($AB1082="Returned to master serv","Previously Specially Serviced","Never Specially Serviced"))</f>
        <v/>
      </c>
      <c r="CF1082" s="78">
        <f>IF($CE1082="Currently Specially Serviced",1,0)</f>
        <v/>
      </c>
      <c r="CG1082" s="76">
        <f>IF($AA1082="Yes","Currently on Watchlist",IF($AA1082="Previously","Previously on Watchlist","Never on Watchlist"))</f>
        <v/>
      </c>
      <c r="CH1082" s="78">
        <f>IF($CG1082="Currently on Watchlist",1,0)</f>
        <v/>
      </c>
      <c r="CI1082" s="76">
        <f>IF($Z1082="Full Defeasance","Fully Defeased",IF($Z1082="Portion Of Loan Previously Defeased","Partially Defeased",IF($Z1082="Defeasance Not Allowable","Not Defeased (Not Permitted)","Not Defeased")))</f>
        <v/>
      </c>
      <c r="CJ1082" s="78">
        <f>IF($CI1082="Fully Defeased",1,0)</f>
        <v/>
      </c>
      <c r="CK1082" s="76">
        <f>IF($R1082="IO","Full IO",IF(LEFT($R1082&amp;"",7)="IO then","Partial IO","Amortizing"))</f>
        <v/>
      </c>
      <c r="CL1082" s="78">
        <f>IF($CK1082="Full IO",1,0)</f>
        <v/>
      </c>
      <c r="CM1082" s="78">
        <f>IF($CK1082="Partial IO",1,0)</f>
        <v/>
      </c>
      <c r="CN1082" s="76">
        <f>IF(LEFT($F1082&amp;"",10)="SPLIT_LOAN","Pari Passu Split","Standalone")</f>
        <v/>
      </c>
      <c r="CO1082" s="78">
        <f>IF($CN1082="Pari Passu Split",1,0)</f>
        <v/>
      </c>
      <c r="CP1082" s="77">
        <f>IF(ISNUMBER($T1082),YEAR($T1082),"")</f>
        <v/>
      </c>
      <c r="CQ1082" s="79">
        <f>IF(ISNUMBER($V1082),$V1082,IF(ISNUMBER($U1082),$U1082,""))</f>
        <v/>
      </c>
      <c r="CR1082" s="77">
        <f>IF(ISNUMBER($CQ1082),YEAR($CQ1082),"")</f>
        <v/>
      </c>
      <c r="CS1082" s="78">
        <f>IF(ISNUMBER($M1082),MAX(0,$M1082),IF(TRIM($M1082&amp;"")="matured",0,""))</f>
        <v/>
      </c>
      <c r="CT1082" s="78">
        <f>IF(AND(ISNUMBER($CS1082),N($CS1082)&lt;=mMatWindow),1,0)</f>
        <v/>
      </c>
      <c r="CU1082" s="80">
        <f>IF(ISNUMBER($J1082),$J1082/100,"")</f>
        <v/>
      </c>
      <c r="CV1082" s="81">
        <f>IF(ISNUMBER($AQ1082),$AQ1082,"")</f>
        <v/>
      </c>
      <c r="CW1082" s="81">
        <f>IF(ISNUMBER($AR1082),$AR1082,"")</f>
        <v/>
      </c>
      <c r="CX1082" s="82">
        <f>IF(ISNUMBER($AS1082),$AS1082/100,"")</f>
        <v/>
      </c>
      <c r="CY1082" s="82">
        <f>IF(ISNUMBER($AT1082),$AT1082/100,"")</f>
        <v/>
      </c>
      <c r="CZ1082" s="82">
        <f>IF(ISNUMBER($AU1082),$AU1082/100,"")</f>
        <v/>
      </c>
      <c r="DA1082" s="82">
        <f>IF(ISNUMBER($AV1082),$AV1082/100,"")</f>
        <v/>
      </c>
      <c r="DB1082" s="82">
        <f>IF(ISNUMBER($AW1082),$AW1082/100,"")</f>
        <v/>
      </c>
      <c r="DC1082" s="82">
        <f>IF(ISNUMBER($AX1082),$AX1082/100,"")</f>
        <v/>
      </c>
      <c r="DD1082" s="77">
        <f>IFERROR(VALUE(LEFT(TRIM($AO1082&amp;""),4)),"")</f>
        <v/>
      </c>
      <c r="DE1082" s="78">
        <f>IF(AND($BY1082=1,$BX1082=1,OR(fDeal="All Deals",$BU1082=fDeal),OR(fEntity="All Entities",$BV1082=fEntity),OR(fPType="All Property Types",$BZ1082=fPType),OR(fDefeased="Include",$CJ1082=0)),1,0)</f>
        <v/>
      </c>
      <c r="DF1082" s="83">
        <f>$DE1082*N($I1082)</f>
        <v/>
      </c>
      <c r="DG1082" s="78">
        <f>IF($DE1082=1,IF(COUNTIFS($F$8:$F1082,$F1082,$DE$8:$DE1082,1)=1,1,0),0)</f>
        <v/>
      </c>
      <c r="DH1082" s="83">
        <f>IF($DG1082=1,SUMIFS($DF$8:$DF$1600,$F$8:$F$1600,$F1082),0)</f>
        <v/>
      </c>
      <c r="DI1082" s="78">
        <f>IF($DG1082=1,COUNTIFS($F$8:$F$1600,$F1082,$DE$8:$DE$1600,1),0)</f>
        <v/>
      </c>
      <c r="DJ1082" s="84">
        <f>IF($DG1082=1,$DH1082+(100000-ROW())/mTieBreak,0)</f>
        <v/>
      </c>
    </row>
    <row r="1083">
      <c r="B1083" s="68" t="n">
        <v>3</v>
      </c>
      <c r="C1083" s="69" t="inlineStr">
        <is>
          <t>JPD17C7</t>
        </is>
      </c>
      <c r="D1083" s="69" t="inlineStr">
        <is>
          <t>3.000</t>
        </is>
      </c>
      <c r="E1083" s="69" t="inlineStr">
        <is>
          <t>Station Place III</t>
        </is>
      </c>
      <c r="F1083" s="69" t="inlineStr">
        <is>
          <t>SPLIT_LOAN_01098</t>
        </is>
      </c>
      <c r="G1083" s="70" t="n">
        <v>1098</v>
      </c>
      <c r="H1083" s="71" t="n">
        <v>64000000</v>
      </c>
      <c r="I1083" s="71" t="n">
        <v>64000000</v>
      </c>
      <c r="J1083" s="72" t="n">
        <v>3.6</v>
      </c>
      <c r="K1083" s="69" t="inlineStr">
        <is>
          <t>Fixed rate</t>
        </is>
      </c>
      <c r="L1083" s="68" t="n">
        <v>118</v>
      </c>
      <c r="M1083" s="68" t="n">
        <v>11</v>
      </c>
      <c r="N1083" s="68" t="n">
        <v>121</v>
      </c>
      <c r="O1083" s="68" t="n">
        <v>118</v>
      </c>
      <c r="P1083" s="68" t="n">
        <v>11</v>
      </c>
      <c r="Q1083" s="68" t="n">
        <v>107</v>
      </c>
      <c r="R1083" s="69" t="inlineStr">
        <is>
          <t>IO</t>
        </is>
      </c>
      <c r="S1083" s="69" t="inlineStr">
        <is>
          <t>Yes</t>
        </is>
      </c>
      <c r="T1083" s="73" t="n">
        <v>43009</v>
      </c>
      <c r="U1083" s="73" t="n">
        <v>46600</v>
      </c>
      <c r="V1083" s="73" t="n"/>
      <c r="W1083" s="69" t="n"/>
      <c r="X1083" s="69" t="inlineStr">
        <is>
          <t>Current</t>
        </is>
      </c>
      <c r="Y1083" s="68" t="n"/>
      <c r="Z1083" s="69" t="inlineStr">
        <is>
          <t>Full Defeasance</t>
        </is>
      </c>
      <c r="AA1083" s="69" t="inlineStr">
        <is>
          <t>Yes</t>
        </is>
      </c>
      <c r="AB1083" s="69" t="inlineStr">
        <is>
          <t>Never special serv</t>
        </is>
      </c>
      <c r="AC1083" s="73" t="n"/>
      <c r="AD1083" s="69" t="n"/>
      <c r="AE1083" s="69" t="n"/>
      <c r="AF1083" s="69" t="inlineStr">
        <is>
          <t>DC</t>
        </is>
      </c>
      <c r="AG1083" s="69" t="inlineStr">
        <is>
          <t>Washington</t>
        </is>
      </c>
      <c r="AH1083" s="69" t="inlineStr">
        <is>
          <t>Washington-Arlington-Alexandria, DC-VA-MD-WV</t>
        </is>
      </c>
      <c r="AI1083" s="69" t="inlineStr">
        <is>
          <t>South / Atlantic</t>
        </is>
      </c>
      <c r="AJ1083" s="69" t="inlineStr">
        <is>
          <t>OF</t>
        </is>
      </c>
      <c r="AK1083" s="69" t="inlineStr">
        <is>
          <t>CBD</t>
        </is>
      </c>
      <c r="AL1083" s="68" t="n">
        <v>1</v>
      </c>
      <c r="AM1083" s="68" t="n"/>
      <c r="AN1083" s="68" t="n">
        <v>517653</v>
      </c>
      <c r="AO1083" s="69" t="inlineStr">
        <is>
          <t>2009</t>
        </is>
      </c>
      <c r="AP1083" s="70" t="n">
        <v>2009</v>
      </c>
      <c r="AQ1083" s="74" t="n">
        <v>3</v>
      </c>
      <c r="AR1083" s="74" t="n">
        <v>2.45</v>
      </c>
      <c r="AS1083" s="74" t="n">
        <v>47.6</v>
      </c>
      <c r="AT1083" s="74" t="n">
        <v>47.62</v>
      </c>
      <c r="AU1083" s="74" t="n">
        <v>47.6</v>
      </c>
      <c r="AV1083" s="74" t="n">
        <v>10.950853158</v>
      </c>
      <c r="AW1083" s="74" t="n">
        <v>12.342151747</v>
      </c>
      <c r="AX1083" s="75" t="n">
        <v>100</v>
      </c>
      <c r="AY1083" s="71" t="n">
        <v>399000000</v>
      </c>
      <c r="AZ1083" s="71" t="n">
        <v>399000000</v>
      </c>
      <c r="BA1083" s="71" t="n">
        <v>20806621</v>
      </c>
      <c r="BB1083" s="71" t="n">
        <v>17018124.98</v>
      </c>
      <c r="BC1083" s="69" t="inlineStr">
        <is>
          <t>Refinance</t>
        </is>
      </c>
      <c r="BD1083" s="69" t="inlineStr">
        <is>
          <t>N</t>
        </is>
      </c>
      <c r="BE1083" s="71" t="n">
        <v>126000000</v>
      </c>
      <c r="BF1083" s="71" t="n"/>
      <c r="BG1083" s="71" t="n"/>
      <c r="BH1083" s="71" t="n">
        <v>0</v>
      </c>
      <c r="BI1083" s="71" t="n">
        <v>0</v>
      </c>
      <c r="BJ1083" s="69" t="inlineStr">
        <is>
          <t>N</t>
        </is>
      </c>
      <c r="BK1083" s="69" t="inlineStr">
        <is>
          <t>United States Government</t>
        </is>
      </c>
      <c r="BL1083" s="75" t="n">
        <v>40.48</v>
      </c>
      <c r="BM1083" s="73" t="n">
        <v>45199</v>
      </c>
      <c r="BN1083" s="69" t="inlineStr">
        <is>
          <t>Seven Hundred 2nd Street Holdings Mezz LLC</t>
        </is>
      </c>
      <c r="BO1083" s="69" t="inlineStr">
        <is>
          <t>JPMorgan Chase</t>
        </is>
      </c>
      <c r="BP1083" s="69" t="inlineStr">
        <is>
          <t>Midland Loan Services</t>
        </is>
      </c>
      <c r="BQ1083" s="69" t="inlineStr">
        <is>
          <t>K-Star Asset Management LLC</t>
        </is>
      </c>
      <c r="BR1083" s="69" t="n"/>
      <c r="BS1083" s="73" t="n">
        <v>46276</v>
      </c>
      <c r="BU1083" s="76">
        <f>IF($C1083="","",IFERROR(INDEX(dmName,MATCH($C1083,dmID,0)),"Unmapped"))</f>
        <v/>
      </c>
      <c r="BV1083" s="76">
        <f>IF($C1083="","",IFERROR(INDEX(dmEntity,MATCH($C1083,dmID,0)),"Unmapped"))</f>
        <v/>
      </c>
      <c r="BW1083" s="77">
        <f>IF($C1083="","",IFERROR(INDEX(dmVintage,MATCH($C1083,dmID,0)),""))</f>
        <v/>
      </c>
      <c r="BX1083" s="78">
        <f>IFERROR(INDEX(dmInclude,MATCH($C1083,dmID,0)),0)</f>
        <v/>
      </c>
      <c r="BY1083" s="78">
        <f>IF(N($I1083)&gt;0,1,0)</f>
        <v/>
      </c>
      <c r="BZ1083" s="76">
        <f>IF($AJ1083="","Other / Leased Fee",IFERROR(INDEX(mapPTGroup,MATCH(LEFT(TRIM($AJ1083),2),mapPTCode,0)),"Other / Leased Fee"))</f>
        <v/>
      </c>
      <c r="CA1083" s="76">
        <f>IF(TRIM($AF1083&amp;"")="","NR",LEFT(TRIM($AF1083),2))</f>
        <v/>
      </c>
      <c r="CB1083" s="76">
        <f>IFERROR(LOOKUP(2,1/(LEFT(TRIM($AI1083&amp;""),LEN(mapRegion))=mapRegion),mapRegion),"Not Reported")</f>
        <v/>
      </c>
      <c r="CC1083" s="76">
        <f>IF($BY1083=0,"",IF(TRIM($W1083&amp;"")="REO","REO",IF(TRIM($W1083&amp;"")="FC","Foreclosure",IF(TRIM($W1083&amp;"")="90+","90+ Days Delinquent",IF(TRIM($W1083&amp;"")="60","60 Days Delinquent",IF(TRIM($W1083&amp;"")="30","30 Days Delinquent",IF($X1083="Non-Performing Matured Balloon","Non-Performing Matured Balloon",IF(OR($X1083="Late Payment But Less Than 30 Days Delinquent",LEFT($X1083&amp;"",20)="Payment Not Received"),"Late / In Grace (&lt;30 Days)",IF($X1083="Performing Matured Balloon","Performing Matured Balloon","Current")))))))))</f>
        <v/>
      </c>
      <c r="CD1083" s="78">
        <f>IF(OR($CC1083="REO",$CC1083="Foreclosure",$CC1083="90+ Days Delinquent",$CC1083="60 Days Delinquent",$CC1083="30 Days Delinquent",$CC1083="Non-Performing Matured Balloon"),1,0)</f>
        <v/>
      </c>
      <c r="CE1083" s="76">
        <f>IF($AB1083="Currently special serv","Currently Specially Serviced",IF($AB1083="Returned to master serv","Previously Specially Serviced","Never Specially Serviced"))</f>
        <v/>
      </c>
      <c r="CF1083" s="78">
        <f>IF($CE1083="Currently Specially Serviced",1,0)</f>
        <v/>
      </c>
      <c r="CG1083" s="76">
        <f>IF($AA1083="Yes","Currently on Watchlist",IF($AA1083="Previously","Previously on Watchlist","Never on Watchlist"))</f>
        <v/>
      </c>
      <c r="CH1083" s="78">
        <f>IF($CG1083="Currently on Watchlist",1,0)</f>
        <v/>
      </c>
      <c r="CI1083" s="76">
        <f>IF($Z1083="Full Defeasance","Fully Defeased",IF($Z1083="Portion Of Loan Previously Defeased","Partially Defeased",IF($Z1083="Defeasance Not Allowable","Not Defeased (Not Permitted)","Not Defeased")))</f>
        <v/>
      </c>
      <c r="CJ1083" s="78">
        <f>IF($CI1083="Fully Defeased",1,0)</f>
        <v/>
      </c>
      <c r="CK1083" s="76">
        <f>IF($R1083="IO","Full IO",IF(LEFT($R1083&amp;"",7)="IO then","Partial IO","Amortizing"))</f>
        <v/>
      </c>
      <c r="CL1083" s="78">
        <f>IF($CK1083="Full IO",1,0)</f>
        <v/>
      </c>
      <c r="CM1083" s="78">
        <f>IF($CK1083="Partial IO",1,0)</f>
        <v/>
      </c>
      <c r="CN1083" s="76">
        <f>IF(LEFT($F1083&amp;"",10)="SPLIT_LOAN","Pari Passu Split","Standalone")</f>
        <v/>
      </c>
      <c r="CO1083" s="78">
        <f>IF($CN1083="Pari Passu Split",1,0)</f>
        <v/>
      </c>
      <c r="CP1083" s="77">
        <f>IF(ISNUMBER($T1083),YEAR($T1083),"")</f>
        <v/>
      </c>
      <c r="CQ1083" s="79">
        <f>IF(ISNUMBER($V1083),$V1083,IF(ISNUMBER($U1083),$U1083,""))</f>
        <v/>
      </c>
      <c r="CR1083" s="77">
        <f>IF(ISNUMBER($CQ1083),YEAR($CQ1083),"")</f>
        <v/>
      </c>
      <c r="CS1083" s="78">
        <f>IF(ISNUMBER($M1083),MAX(0,$M1083),IF(TRIM($M1083&amp;"")="matured",0,""))</f>
        <v/>
      </c>
      <c r="CT1083" s="78">
        <f>IF(AND(ISNUMBER($CS1083),N($CS1083)&lt;=mMatWindow),1,0)</f>
        <v/>
      </c>
      <c r="CU1083" s="80">
        <f>IF(ISNUMBER($J1083),$J1083/100,"")</f>
        <v/>
      </c>
      <c r="CV1083" s="81">
        <f>IF(ISNUMBER($AQ1083),$AQ1083,"")</f>
        <v/>
      </c>
      <c r="CW1083" s="81">
        <f>IF(ISNUMBER($AR1083),$AR1083,"")</f>
        <v/>
      </c>
      <c r="CX1083" s="82">
        <f>IF(ISNUMBER($AS1083),$AS1083/100,"")</f>
        <v/>
      </c>
      <c r="CY1083" s="82">
        <f>IF(ISNUMBER($AT1083),$AT1083/100,"")</f>
        <v/>
      </c>
      <c r="CZ1083" s="82">
        <f>IF(ISNUMBER($AU1083),$AU1083/100,"")</f>
        <v/>
      </c>
      <c r="DA1083" s="82">
        <f>IF(ISNUMBER($AV1083),$AV1083/100,"")</f>
        <v/>
      </c>
      <c r="DB1083" s="82">
        <f>IF(ISNUMBER($AW1083),$AW1083/100,"")</f>
        <v/>
      </c>
      <c r="DC1083" s="82">
        <f>IF(ISNUMBER($AX1083),$AX1083/100,"")</f>
        <v/>
      </c>
      <c r="DD1083" s="77">
        <f>IFERROR(VALUE(LEFT(TRIM($AO1083&amp;""),4)),"")</f>
        <v/>
      </c>
      <c r="DE1083" s="78">
        <f>IF(AND($BY1083=1,$BX1083=1,OR(fDeal="All Deals",$BU1083=fDeal),OR(fEntity="All Entities",$BV1083=fEntity),OR(fPType="All Property Types",$BZ1083=fPType),OR(fDefeased="Include",$CJ1083=0)),1,0)</f>
        <v/>
      </c>
      <c r="DF1083" s="83">
        <f>$DE1083*N($I1083)</f>
        <v/>
      </c>
      <c r="DG1083" s="78">
        <f>IF($DE1083=1,IF(COUNTIFS($F$8:$F1083,$F1083,$DE$8:$DE1083,1)=1,1,0),0)</f>
        <v/>
      </c>
      <c r="DH1083" s="83">
        <f>IF($DG1083=1,SUMIFS($DF$8:$DF$1600,$F$8:$F$1600,$F1083),0)</f>
        <v/>
      </c>
      <c r="DI1083" s="78">
        <f>IF($DG1083=1,COUNTIFS($F$8:$F$1600,$F1083,$DE$8:$DE$1600,1),0)</f>
        <v/>
      </c>
      <c r="DJ1083" s="84">
        <f>IF($DG1083=1,$DH1083+(100000-ROW())/mTieBreak,0)</f>
        <v/>
      </c>
    </row>
    <row r="1084">
      <c r="B1084" s="68" t="n">
        <v>4</v>
      </c>
      <c r="C1084" s="69" t="inlineStr">
        <is>
          <t>JPD17C7</t>
        </is>
      </c>
      <c r="D1084" s="69" t="inlineStr">
        <is>
          <t>4.000</t>
        </is>
      </c>
      <c r="E1084" s="69" t="inlineStr">
        <is>
          <t>Treeview Industrial Portfolio</t>
        </is>
      </c>
      <c r="F1084" s="69" t="inlineStr">
        <is>
          <t>SPLIT_LOAN_01039</t>
        </is>
      </c>
      <c r="G1084" s="70" t="n">
        <v>1039</v>
      </c>
      <c r="H1084" s="71" t="n">
        <v>60000000</v>
      </c>
      <c r="I1084" s="71" t="n">
        <v>60000000</v>
      </c>
      <c r="J1084" s="72" t="n">
        <v>4.244</v>
      </c>
      <c r="K1084" s="69" t="inlineStr">
        <is>
          <t>Fixed rate</t>
        </is>
      </c>
      <c r="L1084" s="68" t="n">
        <v>120</v>
      </c>
      <c r="M1084" s="68" t="n">
        <v>11</v>
      </c>
      <c r="N1084" s="68" t="n">
        <v>120</v>
      </c>
      <c r="O1084" s="68" t="n">
        <v>120</v>
      </c>
      <c r="P1084" s="68" t="n">
        <v>11</v>
      </c>
      <c r="Q1084" s="68" t="n">
        <v>109</v>
      </c>
      <c r="R1084" s="69" t="inlineStr">
        <is>
          <t>IO</t>
        </is>
      </c>
      <c r="S1084" s="69" t="inlineStr">
        <is>
          <t>Yes</t>
        </is>
      </c>
      <c r="T1084" s="73" t="n">
        <v>42948</v>
      </c>
      <c r="U1084" s="73" t="n">
        <v>46600</v>
      </c>
      <c r="V1084" s="73" t="n"/>
      <c r="W1084" s="69" t="n"/>
      <c r="X1084" s="69" t="inlineStr">
        <is>
          <t>Current</t>
        </is>
      </c>
      <c r="Y1084" s="68" t="n"/>
      <c r="Z1084" s="69" t="inlineStr">
        <is>
          <t>Portion Of Loan Previously Defeased</t>
        </is>
      </c>
      <c r="AA1084" s="69" t="n"/>
      <c r="AB1084" s="69" t="inlineStr">
        <is>
          <t>Never special serv</t>
        </is>
      </c>
      <c r="AC1084" s="73" t="n"/>
      <c r="AD1084" s="69" t="n"/>
      <c r="AE1084" s="69" t="n"/>
      <c r="AF1084" s="69" t="inlineStr">
        <is>
          <t>KY-42.743720983% GA-27.234122750% UT-20.310191700% CA-9.711964567%</t>
        </is>
      </c>
      <c r="AG1084" s="69" t="n"/>
      <c r="AH1084" s="69" t="inlineStr">
        <is>
          <t>Cincinnati, OH-KY-IN-42.743720983% Atlanta-Sandy Springs-Roswell, GA-27.234122750% Salt Lake City-Murray, UT-20.310191700% San Francisco-Oakland-Fremont, CA-9.711964567%</t>
        </is>
      </c>
      <c r="AI1084" s="69" t="inlineStr">
        <is>
          <t>Midwest / Central East-42.743720983% South / Atlantic-27.234122750% West / Mountain-20.310191700% West / Pacific North-9.711964567%</t>
        </is>
      </c>
      <c r="AJ1084" s="69" t="inlineStr">
        <is>
          <t>IN</t>
        </is>
      </c>
      <c r="AK1084" s="69" t="inlineStr">
        <is>
          <t>Warehouse/Distribution</t>
        </is>
      </c>
      <c r="AL1084" s="68" t="n">
        <v>14</v>
      </c>
      <c r="AM1084" s="68" t="n"/>
      <c r="AN1084" s="68" t="n">
        <v>3168642</v>
      </c>
      <c r="AO1084" s="69" t="n"/>
      <c r="AP1084" s="70" t="n">
        <v>2000</v>
      </c>
      <c r="AQ1084" s="74" t="n">
        <v>1.83</v>
      </c>
      <c r="AR1084" s="74" t="n">
        <v>2.15</v>
      </c>
      <c r="AS1084" s="74" t="n">
        <v>64.5</v>
      </c>
      <c r="AT1084" s="74" t="n">
        <v>47.37</v>
      </c>
      <c r="AU1084" s="74" t="n">
        <v>64.5</v>
      </c>
      <c r="AV1084" s="74" t="n">
        <v>7.854152</v>
      </c>
      <c r="AW1084" s="74" t="n">
        <v>7.537127944</v>
      </c>
      <c r="AX1084" s="75" t="n">
        <v>98</v>
      </c>
      <c r="AY1084" s="71" t="n">
        <v>193670000</v>
      </c>
      <c r="AZ1084" s="71" t="n">
        <v>263870000</v>
      </c>
      <c r="BA1084" s="71" t="n">
        <v>9817690</v>
      </c>
      <c r="BB1084" s="71" t="n">
        <v>9421409.93</v>
      </c>
      <c r="BC1084" s="69" t="inlineStr">
        <is>
          <t>Refinance</t>
        </is>
      </c>
      <c r="BD1084" s="69" t="inlineStr">
        <is>
          <t>N</t>
        </is>
      </c>
      <c r="BE1084" s="71" t="n">
        <v>65000000</v>
      </c>
      <c r="BF1084" s="71" t="n"/>
      <c r="BG1084" s="71" t="n"/>
      <c r="BH1084" s="71" t="n">
        <v>0</v>
      </c>
      <c r="BI1084" s="71" t="n">
        <v>0</v>
      </c>
      <c r="BJ1084" s="69" t="inlineStr">
        <is>
          <t>N</t>
        </is>
      </c>
      <c r="BK1084" s="69" t="inlineStr">
        <is>
          <t>Stord Fulfillment LLC</t>
        </is>
      </c>
      <c r="BL1084" s="75" t="n">
        <v>26.32</v>
      </c>
      <c r="BM1084" s="73" t="n">
        <v>47907</v>
      </c>
      <c r="BN1084" s="69" t="inlineStr">
        <is>
          <t>Treeview Income Properties Holdco LLC</t>
        </is>
      </c>
      <c r="BO1084" s="69" t="inlineStr">
        <is>
          <t>JPMorgan Chase</t>
        </is>
      </c>
      <c r="BP1084" s="69" t="inlineStr">
        <is>
          <t>Midland Loan Services</t>
        </is>
      </c>
      <c r="BQ1084" s="69" t="inlineStr">
        <is>
          <t>CWCapital</t>
        </is>
      </c>
      <c r="BR1084" s="69" t="inlineStr">
        <is>
          <t>Partial Liquidation (Curtailment)</t>
        </is>
      </c>
      <c r="BS1084" s="73" t="n">
        <v>46276</v>
      </c>
      <c r="BU1084" s="76">
        <f>IF($C1084="","",IFERROR(INDEX(dmName,MATCH($C1084,dmID,0)),"Unmapped"))</f>
        <v/>
      </c>
      <c r="BV1084" s="76">
        <f>IF($C1084="","",IFERROR(INDEX(dmEntity,MATCH($C1084,dmID,0)),"Unmapped"))</f>
        <v/>
      </c>
      <c r="BW1084" s="77">
        <f>IF($C1084="","",IFERROR(INDEX(dmVintage,MATCH($C1084,dmID,0)),""))</f>
        <v/>
      </c>
      <c r="BX1084" s="78">
        <f>IFERROR(INDEX(dmInclude,MATCH($C1084,dmID,0)),0)</f>
        <v/>
      </c>
      <c r="BY1084" s="78">
        <f>IF(N($I1084)&gt;0,1,0)</f>
        <v/>
      </c>
      <c r="BZ1084" s="76">
        <f>IF($AJ1084="","Other / Leased Fee",IFERROR(INDEX(mapPTGroup,MATCH(LEFT(TRIM($AJ1084),2),mapPTCode,0)),"Other / Leased Fee"))</f>
        <v/>
      </c>
      <c r="CA1084" s="76">
        <f>IF(TRIM($AF1084&amp;"")="","NR",LEFT(TRIM($AF1084),2))</f>
        <v/>
      </c>
      <c r="CB1084" s="76">
        <f>IFERROR(LOOKUP(2,1/(LEFT(TRIM($AI1084&amp;""),LEN(mapRegion))=mapRegion),mapRegion),"Not Reported")</f>
        <v/>
      </c>
      <c r="CC1084" s="76">
        <f>IF($BY1084=0,"",IF(TRIM($W1084&amp;"")="REO","REO",IF(TRIM($W1084&amp;"")="FC","Foreclosure",IF(TRIM($W1084&amp;"")="90+","90+ Days Delinquent",IF(TRIM($W1084&amp;"")="60","60 Days Delinquent",IF(TRIM($W1084&amp;"")="30","30 Days Delinquent",IF($X1084="Non-Performing Matured Balloon","Non-Performing Matured Balloon",IF(OR($X1084="Late Payment But Less Than 30 Days Delinquent",LEFT($X1084&amp;"",20)="Payment Not Received"),"Late / In Grace (&lt;30 Days)",IF($X1084="Performing Matured Balloon","Performing Matured Balloon","Current")))))))))</f>
        <v/>
      </c>
      <c r="CD1084" s="78">
        <f>IF(OR($CC1084="REO",$CC1084="Foreclosure",$CC1084="90+ Days Delinquent",$CC1084="60 Days Delinquent",$CC1084="30 Days Delinquent",$CC1084="Non-Performing Matured Balloon"),1,0)</f>
        <v/>
      </c>
      <c r="CE1084" s="76">
        <f>IF($AB1084="Currently special serv","Currently Specially Serviced",IF($AB1084="Returned to master serv","Previously Specially Serviced","Never Specially Serviced"))</f>
        <v/>
      </c>
      <c r="CF1084" s="78">
        <f>IF($CE1084="Currently Specially Serviced",1,0)</f>
        <v/>
      </c>
      <c r="CG1084" s="76">
        <f>IF($AA1084="Yes","Currently on Watchlist",IF($AA1084="Previously","Previously on Watchlist","Never on Watchlist"))</f>
        <v/>
      </c>
      <c r="CH1084" s="78">
        <f>IF($CG1084="Currently on Watchlist",1,0)</f>
        <v/>
      </c>
      <c r="CI1084" s="76">
        <f>IF($Z1084="Full Defeasance","Fully Defeased",IF($Z1084="Portion Of Loan Previously Defeased","Partially Defeased",IF($Z1084="Defeasance Not Allowable","Not Defeased (Not Permitted)","Not Defeased")))</f>
        <v/>
      </c>
      <c r="CJ1084" s="78">
        <f>IF($CI1084="Fully Defeased",1,0)</f>
        <v/>
      </c>
      <c r="CK1084" s="76">
        <f>IF($R1084="IO","Full IO",IF(LEFT($R1084&amp;"",7)="IO then","Partial IO","Amortizing"))</f>
        <v/>
      </c>
      <c r="CL1084" s="78">
        <f>IF($CK1084="Full IO",1,0)</f>
        <v/>
      </c>
      <c r="CM1084" s="78">
        <f>IF($CK1084="Partial IO",1,0)</f>
        <v/>
      </c>
      <c r="CN1084" s="76">
        <f>IF(LEFT($F1084&amp;"",10)="SPLIT_LOAN","Pari Passu Split","Standalone")</f>
        <v/>
      </c>
      <c r="CO1084" s="78">
        <f>IF($CN1084="Pari Passu Split",1,0)</f>
        <v/>
      </c>
      <c r="CP1084" s="77">
        <f>IF(ISNUMBER($T1084),YEAR($T1084),"")</f>
        <v/>
      </c>
      <c r="CQ1084" s="79">
        <f>IF(ISNUMBER($V1084),$V1084,IF(ISNUMBER($U1084),$U1084,""))</f>
        <v/>
      </c>
      <c r="CR1084" s="77">
        <f>IF(ISNUMBER($CQ1084),YEAR($CQ1084),"")</f>
        <v/>
      </c>
      <c r="CS1084" s="78">
        <f>IF(ISNUMBER($M1084),MAX(0,$M1084),IF(TRIM($M1084&amp;"")="matured",0,""))</f>
        <v/>
      </c>
      <c r="CT1084" s="78">
        <f>IF(AND(ISNUMBER($CS1084),N($CS1084)&lt;=mMatWindow),1,0)</f>
        <v/>
      </c>
      <c r="CU1084" s="80">
        <f>IF(ISNUMBER($J1084),$J1084/100,"")</f>
        <v/>
      </c>
      <c r="CV1084" s="81">
        <f>IF(ISNUMBER($AQ1084),$AQ1084,"")</f>
        <v/>
      </c>
      <c r="CW1084" s="81">
        <f>IF(ISNUMBER($AR1084),$AR1084,"")</f>
        <v/>
      </c>
      <c r="CX1084" s="82">
        <f>IF(ISNUMBER($AS1084),$AS1084/100,"")</f>
        <v/>
      </c>
      <c r="CY1084" s="82">
        <f>IF(ISNUMBER($AT1084),$AT1084/100,"")</f>
        <v/>
      </c>
      <c r="CZ1084" s="82">
        <f>IF(ISNUMBER($AU1084),$AU1084/100,"")</f>
        <v/>
      </c>
      <c r="DA1084" s="82">
        <f>IF(ISNUMBER($AV1084),$AV1084/100,"")</f>
        <v/>
      </c>
      <c r="DB1084" s="82">
        <f>IF(ISNUMBER($AW1084),$AW1084/100,"")</f>
        <v/>
      </c>
      <c r="DC1084" s="82">
        <f>IF(ISNUMBER($AX1084),$AX1084/100,"")</f>
        <v/>
      </c>
      <c r="DD1084" s="77">
        <f>IFERROR(VALUE(LEFT(TRIM($AO1084&amp;""),4)),"")</f>
        <v/>
      </c>
      <c r="DE1084" s="78">
        <f>IF(AND($BY1084=1,$BX1084=1,OR(fDeal="All Deals",$BU1084=fDeal),OR(fEntity="All Entities",$BV1084=fEntity),OR(fPType="All Property Types",$BZ1084=fPType),OR(fDefeased="Include",$CJ1084=0)),1,0)</f>
        <v/>
      </c>
      <c r="DF1084" s="83">
        <f>$DE1084*N($I1084)</f>
        <v/>
      </c>
      <c r="DG1084" s="78">
        <f>IF($DE1084=1,IF(COUNTIFS($F$8:$F1084,$F1084,$DE$8:$DE1084,1)=1,1,0),0)</f>
        <v/>
      </c>
      <c r="DH1084" s="83">
        <f>IF($DG1084=1,SUMIFS($DF$8:$DF$1600,$F$8:$F$1600,$F1084),0)</f>
        <v/>
      </c>
      <c r="DI1084" s="78">
        <f>IF($DG1084=1,COUNTIFS($F$8:$F$1600,$F1084,$DE$8:$DE$1600,1),0)</f>
        <v/>
      </c>
      <c r="DJ1084" s="84">
        <f>IF($DG1084=1,$DH1084+(100000-ROW())/mTieBreak,0)</f>
        <v/>
      </c>
    </row>
    <row r="1085">
      <c r="B1085" s="68" t="n">
        <v>5</v>
      </c>
      <c r="C1085" s="69" t="inlineStr">
        <is>
          <t>JPD17C7</t>
        </is>
      </c>
      <c r="D1085" s="69" t="inlineStr">
        <is>
          <t>5.000</t>
        </is>
      </c>
      <c r="E1085" s="69" t="inlineStr">
        <is>
          <t>AHIP Northeast Portfolio I</t>
        </is>
      </c>
      <c r="F1085" s="69" t="inlineStr">
        <is>
          <t>SPLIT_LOAN_01099</t>
        </is>
      </c>
      <c r="G1085" s="70" t="n">
        <v>1099</v>
      </c>
      <c r="H1085" s="71" t="n">
        <v>55000000</v>
      </c>
      <c r="I1085" s="71" t="n">
        <v>51213958.570005</v>
      </c>
      <c r="J1085" s="72" t="n">
        <v>4.53</v>
      </c>
      <c r="K1085" s="69" t="inlineStr">
        <is>
          <t>Fixed rate</t>
        </is>
      </c>
      <c r="L1085" s="68" t="n">
        <v>120</v>
      </c>
      <c r="M1085" s="68" t="n">
        <v>10</v>
      </c>
      <c r="N1085" s="68" t="n">
        <v>420</v>
      </c>
      <c r="O1085" s="68" t="n">
        <v>60</v>
      </c>
      <c r="P1085" s="68" t="n">
        <v>0</v>
      </c>
      <c r="Q1085" s="68" t="n">
        <v>110</v>
      </c>
      <c r="R1085" s="69" t="inlineStr">
        <is>
          <t>IO then Amort</t>
        </is>
      </c>
      <c r="S1085" s="69" t="inlineStr">
        <is>
          <t>No</t>
        </is>
      </c>
      <c r="T1085" s="73" t="n">
        <v>42917</v>
      </c>
      <c r="U1085" s="73" t="n">
        <v>46574</v>
      </c>
      <c r="V1085" s="73" t="n"/>
      <c r="W1085" s="69" t="n"/>
      <c r="X1085" s="69" t="inlineStr">
        <is>
          <t>Current</t>
        </is>
      </c>
      <c r="Y1085" s="68" t="n"/>
      <c r="Z1085" s="69" t="inlineStr">
        <is>
          <t>Full Defeasance</t>
        </is>
      </c>
      <c r="AA1085" s="69" t="inlineStr">
        <is>
          <t>Previously</t>
        </is>
      </c>
      <c r="AB1085" s="69" t="inlineStr">
        <is>
          <t>Never special serv</t>
        </is>
      </c>
      <c r="AC1085" s="73" t="n"/>
      <c r="AD1085" s="69" t="n"/>
      <c r="AE1085" s="69" t="n"/>
      <c r="AF1085" s="69" t="inlineStr">
        <is>
          <t>MD</t>
        </is>
      </c>
      <c r="AG1085" s="69" t="n"/>
      <c r="AH1085" s="69" t="inlineStr">
        <is>
          <t>Baltimore-Columbia-Towson, MD</t>
        </is>
      </c>
      <c r="AI1085" s="69" t="inlineStr">
        <is>
          <t>South / Atlantic</t>
        </is>
      </c>
      <c r="AJ1085" s="69" t="inlineStr">
        <is>
          <t>HT</t>
        </is>
      </c>
      <c r="AK1085" s="69" t="n"/>
      <c r="AL1085" s="68" t="n">
        <v>5</v>
      </c>
      <c r="AM1085" s="68" t="n">
        <v>612</v>
      </c>
      <c r="AN1085" s="68" t="n"/>
      <c r="AO1085" s="69" t="n"/>
      <c r="AP1085" s="70" t="n">
        <v>2016</v>
      </c>
      <c r="AQ1085" s="74" t="n">
        <v>2.06</v>
      </c>
      <c r="AR1085" s="74" t="n">
        <v>1.02</v>
      </c>
      <c r="AS1085" s="74" t="n">
        <v>56.1</v>
      </c>
      <c r="AT1085" s="74" t="n">
        <v>52.27</v>
      </c>
      <c r="AU1085" s="74" t="n">
        <v>51.39</v>
      </c>
      <c r="AV1085" s="74" t="n">
        <v>12.540356609</v>
      </c>
      <c r="AW1085" s="74" t="n">
        <v>6.712917638</v>
      </c>
      <c r="AX1085" s="75" t="n">
        <v>69</v>
      </c>
      <c r="AY1085" s="71" t="n">
        <v>124000000</v>
      </c>
      <c r="AZ1085" s="71" t="n">
        <v>124000000</v>
      </c>
      <c r="BA1085" s="71" t="n">
        <v>8728088.199999999</v>
      </c>
      <c r="BB1085" s="71" t="n">
        <v>4350570.54</v>
      </c>
      <c r="BC1085" s="69" t="inlineStr">
        <is>
          <t>Acquisition</t>
        </is>
      </c>
      <c r="BD1085" s="69" t="inlineStr">
        <is>
          <t>N</t>
        </is>
      </c>
      <c r="BE1085" s="71" t="n">
        <v>13594978.09</v>
      </c>
      <c r="BF1085" s="71" t="n"/>
      <c r="BG1085" s="71" t="n"/>
      <c r="BH1085" s="71" t="n">
        <v>0</v>
      </c>
      <c r="BI1085" s="71" t="n">
        <v>0</v>
      </c>
      <c r="BJ1085" s="69" t="inlineStr">
        <is>
          <t>Y</t>
        </is>
      </c>
      <c r="BK1085" s="69" t="n"/>
      <c r="BL1085" s="75" t="n"/>
      <c r="BM1085" s="73" t="n"/>
      <c r="BN1085" s="69" t="inlineStr">
        <is>
          <t>American Hotel Income Properties REIT Inc.</t>
        </is>
      </c>
      <c r="BO1085" s="69" t="inlineStr">
        <is>
          <t>GACC</t>
        </is>
      </c>
      <c r="BP1085" s="69" t="inlineStr">
        <is>
          <t>Midland Loan Services</t>
        </is>
      </c>
      <c r="BQ1085" s="69" t="inlineStr">
        <is>
          <t>K-Star Asset Management LLC</t>
        </is>
      </c>
      <c r="BR1085" s="69" t="n"/>
      <c r="BS1085" s="73" t="n">
        <v>46276</v>
      </c>
      <c r="BU1085" s="76">
        <f>IF($C1085="","",IFERROR(INDEX(dmName,MATCH($C1085,dmID,0)),"Unmapped"))</f>
        <v/>
      </c>
      <c r="BV1085" s="76">
        <f>IF($C1085="","",IFERROR(INDEX(dmEntity,MATCH($C1085,dmID,0)),"Unmapped"))</f>
        <v/>
      </c>
      <c r="BW1085" s="77">
        <f>IF($C1085="","",IFERROR(INDEX(dmVintage,MATCH($C1085,dmID,0)),""))</f>
        <v/>
      </c>
      <c r="BX1085" s="78">
        <f>IFERROR(INDEX(dmInclude,MATCH($C1085,dmID,0)),0)</f>
        <v/>
      </c>
      <c r="BY1085" s="78">
        <f>IF(N($I1085)&gt;0,1,0)</f>
        <v/>
      </c>
      <c r="BZ1085" s="76">
        <f>IF($AJ1085="","Other / Leased Fee",IFERROR(INDEX(mapPTGroup,MATCH(LEFT(TRIM($AJ1085),2),mapPTCode,0)),"Other / Leased Fee"))</f>
        <v/>
      </c>
      <c r="CA1085" s="76">
        <f>IF(TRIM($AF1085&amp;"")="","NR",LEFT(TRIM($AF1085),2))</f>
        <v/>
      </c>
      <c r="CB1085" s="76">
        <f>IFERROR(LOOKUP(2,1/(LEFT(TRIM($AI1085&amp;""),LEN(mapRegion))=mapRegion),mapRegion),"Not Reported")</f>
        <v/>
      </c>
      <c r="CC1085" s="76">
        <f>IF($BY1085=0,"",IF(TRIM($W1085&amp;"")="REO","REO",IF(TRIM($W1085&amp;"")="FC","Foreclosure",IF(TRIM($W1085&amp;"")="90+","90+ Days Delinquent",IF(TRIM($W1085&amp;"")="60","60 Days Delinquent",IF(TRIM($W1085&amp;"")="30","30 Days Delinquent",IF($X1085="Non-Performing Matured Balloon","Non-Performing Matured Balloon",IF(OR($X1085="Late Payment But Less Than 30 Days Delinquent",LEFT($X1085&amp;"",20)="Payment Not Received"),"Late / In Grace (&lt;30 Days)",IF($X1085="Performing Matured Balloon","Performing Matured Balloon","Current")))))))))</f>
        <v/>
      </c>
      <c r="CD1085" s="78">
        <f>IF(OR($CC1085="REO",$CC1085="Foreclosure",$CC1085="90+ Days Delinquent",$CC1085="60 Days Delinquent",$CC1085="30 Days Delinquent",$CC1085="Non-Performing Matured Balloon"),1,0)</f>
        <v/>
      </c>
      <c r="CE1085" s="76">
        <f>IF($AB1085="Currently special serv","Currently Specially Serviced",IF($AB1085="Returned to master serv","Previously Specially Serviced","Never Specially Serviced"))</f>
        <v/>
      </c>
      <c r="CF1085" s="78">
        <f>IF($CE1085="Currently Specially Serviced",1,0)</f>
        <v/>
      </c>
      <c r="CG1085" s="76">
        <f>IF($AA1085="Yes","Currently on Watchlist",IF($AA1085="Previously","Previously on Watchlist","Never on Watchlist"))</f>
        <v/>
      </c>
      <c r="CH1085" s="78">
        <f>IF($CG1085="Currently on Watchlist",1,0)</f>
        <v/>
      </c>
      <c r="CI1085" s="76">
        <f>IF($Z1085="Full Defeasance","Fully Defeased",IF($Z1085="Portion Of Loan Previously Defeased","Partially Defeased",IF($Z1085="Defeasance Not Allowable","Not Defeased (Not Permitted)","Not Defeased")))</f>
        <v/>
      </c>
      <c r="CJ1085" s="78">
        <f>IF($CI1085="Fully Defeased",1,0)</f>
        <v/>
      </c>
      <c r="CK1085" s="76">
        <f>IF($R1085="IO","Full IO",IF(LEFT($R1085&amp;"",7)="IO then","Partial IO","Amortizing"))</f>
        <v/>
      </c>
      <c r="CL1085" s="78">
        <f>IF($CK1085="Full IO",1,0)</f>
        <v/>
      </c>
      <c r="CM1085" s="78">
        <f>IF($CK1085="Partial IO",1,0)</f>
        <v/>
      </c>
      <c r="CN1085" s="76">
        <f>IF(LEFT($F1085&amp;"",10)="SPLIT_LOAN","Pari Passu Split","Standalone")</f>
        <v/>
      </c>
      <c r="CO1085" s="78">
        <f>IF($CN1085="Pari Passu Split",1,0)</f>
        <v/>
      </c>
      <c r="CP1085" s="77">
        <f>IF(ISNUMBER($T1085),YEAR($T1085),"")</f>
        <v/>
      </c>
      <c r="CQ1085" s="79">
        <f>IF(ISNUMBER($V1085),$V1085,IF(ISNUMBER($U1085),$U1085,""))</f>
        <v/>
      </c>
      <c r="CR1085" s="77">
        <f>IF(ISNUMBER($CQ1085),YEAR($CQ1085),"")</f>
        <v/>
      </c>
      <c r="CS1085" s="78">
        <f>IF(ISNUMBER($M1085),MAX(0,$M1085),IF(TRIM($M1085&amp;"")="matured",0,""))</f>
        <v/>
      </c>
      <c r="CT1085" s="78">
        <f>IF(AND(ISNUMBER($CS1085),N($CS1085)&lt;=mMatWindow),1,0)</f>
        <v/>
      </c>
      <c r="CU1085" s="80">
        <f>IF(ISNUMBER($J1085),$J1085/100,"")</f>
        <v/>
      </c>
      <c r="CV1085" s="81">
        <f>IF(ISNUMBER($AQ1085),$AQ1085,"")</f>
        <v/>
      </c>
      <c r="CW1085" s="81">
        <f>IF(ISNUMBER($AR1085),$AR1085,"")</f>
        <v/>
      </c>
      <c r="CX1085" s="82">
        <f>IF(ISNUMBER($AS1085),$AS1085/100,"")</f>
        <v/>
      </c>
      <c r="CY1085" s="82">
        <f>IF(ISNUMBER($AT1085),$AT1085/100,"")</f>
        <v/>
      </c>
      <c r="CZ1085" s="82">
        <f>IF(ISNUMBER($AU1085),$AU1085/100,"")</f>
        <v/>
      </c>
      <c r="DA1085" s="82">
        <f>IF(ISNUMBER($AV1085),$AV1085/100,"")</f>
        <v/>
      </c>
      <c r="DB1085" s="82">
        <f>IF(ISNUMBER($AW1085),$AW1085/100,"")</f>
        <v/>
      </c>
      <c r="DC1085" s="82">
        <f>IF(ISNUMBER($AX1085),$AX1085/100,"")</f>
        <v/>
      </c>
      <c r="DD1085" s="77">
        <f>IFERROR(VALUE(LEFT(TRIM($AO1085&amp;""),4)),"")</f>
        <v/>
      </c>
      <c r="DE1085" s="78">
        <f>IF(AND($BY1085=1,$BX1085=1,OR(fDeal="All Deals",$BU1085=fDeal),OR(fEntity="All Entities",$BV1085=fEntity),OR(fPType="All Property Types",$BZ1085=fPType),OR(fDefeased="Include",$CJ1085=0)),1,0)</f>
        <v/>
      </c>
      <c r="DF1085" s="83">
        <f>$DE1085*N($I1085)</f>
        <v/>
      </c>
      <c r="DG1085" s="78">
        <f>IF($DE1085=1,IF(COUNTIFS($F$8:$F1085,$F1085,$DE$8:$DE1085,1)=1,1,0),0)</f>
        <v/>
      </c>
      <c r="DH1085" s="83">
        <f>IF($DG1085=1,SUMIFS($DF$8:$DF$1600,$F$8:$F$1600,$F1085),0)</f>
        <v/>
      </c>
      <c r="DI1085" s="78">
        <f>IF($DG1085=1,COUNTIFS($F$8:$F$1600,$F1085,$DE$8:$DE$1600,1),0)</f>
        <v/>
      </c>
      <c r="DJ1085" s="84">
        <f>IF($DG1085=1,$DH1085+(100000-ROW())/mTieBreak,0)</f>
        <v/>
      </c>
    </row>
    <row r="1086">
      <c r="B1086" s="68" t="n">
        <v>6</v>
      </c>
      <c r="C1086" s="69" t="inlineStr">
        <is>
          <t>JPD17C7</t>
        </is>
      </c>
      <c r="D1086" s="69" t="inlineStr">
        <is>
          <t>6.000</t>
        </is>
      </c>
      <c r="E1086" s="69" t="inlineStr">
        <is>
          <t>First Stamford Place</t>
        </is>
      </c>
      <c r="F1086" s="69" t="inlineStr">
        <is>
          <t>SPLIT_LOAN_01040</t>
        </is>
      </c>
      <c r="G1086" s="70" t="n">
        <v>1040</v>
      </c>
      <c r="H1086" s="71" t="n">
        <v>54800000</v>
      </c>
      <c r="I1086" s="71" t="n">
        <v>54800000</v>
      </c>
      <c r="J1086" s="72" t="n">
        <v>4.0878</v>
      </c>
      <c r="K1086" s="69" t="inlineStr">
        <is>
          <t>Fixed rate</t>
        </is>
      </c>
      <c r="L1086" s="68" t="n">
        <v>120</v>
      </c>
      <c r="M1086" s="68" t="n">
        <v>10</v>
      </c>
      <c r="N1086" s="68" t="n">
        <v>120</v>
      </c>
      <c r="O1086" s="68" t="n">
        <v>120</v>
      </c>
      <c r="P1086" s="68" t="n">
        <v>10</v>
      </c>
      <c r="Q1086" s="68" t="n">
        <v>110</v>
      </c>
      <c r="R1086" s="69" t="inlineStr">
        <is>
          <t>IO</t>
        </is>
      </c>
      <c r="S1086" s="69" t="inlineStr">
        <is>
          <t>Yes</t>
        </is>
      </c>
      <c r="T1086" s="73" t="n">
        <v>42917</v>
      </c>
      <c r="U1086" s="73" t="n">
        <v>46569</v>
      </c>
      <c r="V1086" s="73" t="n"/>
      <c r="W1086" s="69" t="inlineStr">
        <is>
          <t>REO</t>
        </is>
      </c>
      <c r="X1086" s="69" t="inlineStr">
        <is>
          <t>Current</t>
        </is>
      </c>
      <c r="Y1086" s="68" t="n"/>
      <c r="Z1086" s="69" t="inlineStr">
        <is>
          <t>No Defeasance Occurred</t>
        </is>
      </c>
      <c r="AA1086" s="69" t="inlineStr">
        <is>
          <t>Previously</t>
        </is>
      </c>
      <c r="AB1086" s="69" t="inlineStr">
        <is>
          <t>Currently special serv</t>
        </is>
      </c>
      <c r="AC1086" s="73" t="n">
        <v>45288</v>
      </c>
      <c r="AD1086" s="69" t="inlineStr">
        <is>
          <t>Imminent Monetary Default (excluding Balloon/Maturity Default &amp; Single Tenant Bankruptcy/Vacate)</t>
        </is>
      </c>
      <c r="AE1086" s="69" t="inlineStr">
        <is>
          <t>REO</t>
        </is>
      </c>
      <c r="AF1086" s="69" t="inlineStr">
        <is>
          <t>CT</t>
        </is>
      </c>
      <c r="AG1086" s="69" t="inlineStr">
        <is>
          <t>Stamford</t>
        </is>
      </c>
      <c r="AH1086" s="69" t="inlineStr">
        <is>
          <t>Bridgeport-Stamford-Danbury, CT</t>
        </is>
      </c>
      <c r="AI1086" s="69" t="inlineStr">
        <is>
          <t>Northeast / New England</t>
        </is>
      </c>
      <c r="AJ1086" s="69" t="inlineStr">
        <is>
          <t>OF</t>
        </is>
      </c>
      <c r="AK1086" s="69" t="inlineStr">
        <is>
          <t>CBD</t>
        </is>
      </c>
      <c r="AL1086" s="68" t="n">
        <v>1</v>
      </c>
      <c r="AM1086" s="68" t="n"/>
      <c r="AN1086" s="68" t="n">
        <v>810471</v>
      </c>
      <c r="AO1086" s="69" t="inlineStr">
        <is>
          <t>1986</t>
        </is>
      </c>
      <c r="AP1086" s="70" t="n">
        <v>2015</v>
      </c>
      <c r="AQ1086" s="74" t="n">
        <v>2.71</v>
      </c>
      <c r="AR1086" s="74" t="n">
        <v>1.62</v>
      </c>
      <c r="AS1086" s="74" t="n">
        <v>57.5</v>
      </c>
      <c r="AT1086" s="74" t="n">
        <v>127.13</v>
      </c>
      <c r="AU1086" s="74" t="n">
        <v>57.5</v>
      </c>
      <c r="AV1086" s="74" t="n">
        <v>11.247903049</v>
      </c>
      <c r="AW1086" s="74" t="n">
        <v>4.951371341</v>
      </c>
      <c r="AX1086" s="75" t="n">
        <v>75</v>
      </c>
      <c r="AY1086" s="71" t="n">
        <v>285000000</v>
      </c>
      <c r="AZ1086" s="71" t="n">
        <v>129000000</v>
      </c>
      <c r="BA1086" s="71" t="n">
        <v>18446561</v>
      </c>
      <c r="BB1086" s="71" t="n">
        <v>2745861.7</v>
      </c>
      <c r="BC1086" s="69" t="inlineStr">
        <is>
          <t>Refinance</t>
        </is>
      </c>
      <c r="BD1086" s="69" t="n"/>
      <c r="BE1086" s="71" t="n">
        <v>109200000</v>
      </c>
      <c r="BF1086" s="71" t="n"/>
      <c r="BG1086" s="71" t="n">
        <v>16000000</v>
      </c>
      <c r="BH1086" s="71" t="n">
        <v>0</v>
      </c>
      <c r="BI1086" s="71" t="n">
        <v>0</v>
      </c>
      <c r="BJ1086" s="69" t="inlineStr">
        <is>
          <t>N</t>
        </is>
      </c>
      <c r="BK1086" s="69" t="inlineStr">
        <is>
          <t>ODYSSEY REINSURANCE COMPANY</t>
        </is>
      </c>
      <c r="BL1086" s="75" t="n">
        <v>10.66</v>
      </c>
      <c r="BM1086" s="73" t="n">
        <v>48852</v>
      </c>
      <c r="BN1086" s="69" t="inlineStr">
        <is>
          <t>Empire State Realty OP, L.P.</t>
        </is>
      </c>
      <c r="BO1086" s="69" t="inlineStr">
        <is>
          <t>JPMorgan Chase</t>
        </is>
      </c>
      <c r="BP1086" s="69" t="inlineStr">
        <is>
          <t>Midland Loan Services</t>
        </is>
      </c>
      <c r="BQ1086" s="69" t="inlineStr">
        <is>
          <t>CWCapital</t>
        </is>
      </c>
      <c r="BR1086" s="69" t="n"/>
      <c r="BS1086" s="73" t="n">
        <v>46276</v>
      </c>
      <c r="BU1086" s="76">
        <f>IF($C1086="","",IFERROR(INDEX(dmName,MATCH($C1086,dmID,0)),"Unmapped"))</f>
        <v/>
      </c>
      <c r="BV1086" s="76">
        <f>IF($C1086="","",IFERROR(INDEX(dmEntity,MATCH($C1086,dmID,0)),"Unmapped"))</f>
        <v/>
      </c>
      <c r="BW1086" s="77">
        <f>IF($C1086="","",IFERROR(INDEX(dmVintage,MATCH($C1086,dmID,0)),""))</f>
        <v/>
      </c>
      <c r="BX1086" s="78">
        <f>IFERROR(INDEX(dmInclude,MATCH($C1086,dmID,0)),0)</f>
        <v/>
      </c>
      <c r="BY1086" s="78">
        <f>IF(N($I1086)&gt;0,1,0)</f>
        <v/>
      </c>
      <c r="BZ1086" s="76">
        <f>IF($AJ1086="","Other / Leased Fee",IFERROR(INDEX(mapPTGroup,MATCH(LEFT(TRIM($AJ1086),2),mapPTCode,0)),"Other / Leased Fee"))</f>
        <v/>
      </c>
      <c r="CA1086" s="76">
        <f>IF(TRIM($AF1086&amp;"")="","NR",LEFT(TRIM($AF1086),2))</f>
        <v/>
      </c>
      <c r="CB1086" s="76">
        <f>IFERROR(LOOKUP(2,1/(LEFT(TRIM($AI1086&amp;""),LEN(mapRegion))=mapRegion),mapRegion),"Not Reported")</f>
        <v/>
      </c>
      <c r="CC1086" s="76">
        <f>IF($BY1086=0,"",IF(TRIM($W1086&amp;"")="REO","REO",IF(TRIM($W1086&amp;"")="FC","Foreclosure",IF(TRIM($W1086&amp;"")="90+","90+ Days Delinquent",IF(TRIM($W1086&amp;"")="60","60 Days Delinquent",IF(TRIM($W1086&amp;"")="30","30 Days Delinquent",IF($X1086="Non-Performing Matured Balloon","Non-Performing Matured Balloon",IF(OR($X1086="Late Payment But Less Than 30 Days Delinquent",LEFT($X1086&amp;"",20)="Payment Not Received"),"Late / In Grace (&lt;30 Days)",IF($X1086="Performing Matured Balloon","Performing Matured Balloon","Current")))))))))</f>
        <v/>
      </c>
      <c r="CD1086" s="78">
        <f>IF(OR($CC1086="REO",$CC1086="Foreclosure",$CC1086="90+ Days Delinquent",$CC1086="60 Days Delinquent",$CC1086="30 Days Delinquent",$CC1086="Non-Performing Matured Balloon"),1,0)</f>
        <v/>
      </c>
      <c r="CE1086" s="76">
        <f>IF($AB1086="Currently special serv","Currently Specially Serviced",IF($AB1086="Returned to master serv","Previously Specially Serviced","Never Specially Serviced"))</f>
        <v/>
      </c>
      <c r="CF1086" s="78">
        <f>IF($CE1086="Currently Specially Serviced",1,0)</f>
        <v/>
      </c>
      <c r="CG1086" s="76">
        <f>IF($AA1086="Yes","Currently on Watchlist",IF($AA1086="Previously","Previously on Watchlist","Never on Watchlist"))</f>
        <v/>
      </c>
      <c r="CH1086" s="78">
        <f>IF($CG1086="Currently on Watchlist",1,0)</f>
        <v/>
      </c>
      <c r="CI1086" s="76">
        <f>IF($Z1086="Full Defeasance","Fully Defeased",IF($Z1086="Portion Of Loan Previously Defeased","Partially Defeased",IF($Z1086="Defeasance Not Allowable","Not Defeased (Not Permitted)","Not Defeased")))</f>
        <v/>
      </c>
      <c r="CJ1086" s="78">
        <f>IF($CI1086="Fully Defeased",1,0)</f>
        <v/>
      </c>
      <c r="CK1086" s="76">
        <f>IF($R1086="IO","Full IO",IF(LEFT($R1086&amp;"",7)="IO then","Partial IO","Amortizing"))</f>
        <v/>
      </c>
      <c r="CL1086" s="78">
        <f>IF($CK1086="Full IO",1,0)</f>
        <v/>
      </c>
      <c r="CM1086" s="78">
        <f>IF($CK1086="Partial IO",1,0)</f>
        <v/>
      </c>
      <c r="CN1086" s="76">
        <f>IF(LEFT($F1086&amp;"",10)="SPLIT_LOAN","Pari Passu Split","Standalone")</f>
        <v/>
      </c>
      <c r="CO1086" s="78">
        <f>IF($CN1086="Pari Passu Split",1,0)</f>
        <v/>
      </c>
      <c r="CP1086" s="77">
        <f>IF(ISNUMBER($T1086),YEAR($T1086),"")</f>
        <v/>
      </c>
      <c r="CQ1086" s="79">
        <f>IF(ISNUMBER($V1086),$V1086,IF(ISNUMBER($U1086),$U1086,""))</f>
        <v/>
      </c>
      <c r="CR1086" s="77">
        <f>IF(ISNUMBER($CQ1086),YEAR($CQ1086),"")</f>
        <v/>
      </c>
      <c r="CS1086" s="78">
        <f>IF(ISNUMBER($M1086),MAX(0,$M1086),IF(TRIM($M1086&amp;"")="matured",0,""))</f>
        <v/>
      </c>
      <c r="CT1086" s="78">
        <f>IF(AND(ISNUMBER($CS1086),N($CS1086)&lt;=mMatWindow),1,0)</f>
        <v/>
      </c>
      <c r="CU1086" s="80">
        <f>IF(ISNUMBER($J1086),$J1086/100,"")</f>
        <v/>
      </c>
      <c r="CV1086" s="81">
        <f>IF(ISNUMBER($AQ1086),$AQ1086,"")</f>
        <v/>
      </c>
      <c r="CW1086" s="81">
        <f>IF(ISNUMBER($AR1086),$AR1086,"")</f>
        <v/>
      </c>
      <c r="CX1086" s="82">
        <f>IF(ISNUMBER($AS1086),$AS1086/100,"")</f>
        <v/>
      </c>
      <c r="CY1086" s="82">
        <f>IF(ISNUMBER($AT1086),$AT1086/100,"")</f>
        <v/>
      </c>
      <c r="CZ1086" s="82">
        <f>IF(ISNUMBER($AU1086),$AU1086/100,"")</f>
        <v/>
      </c>
      <c r="DA1086" s="82">
        <f>IF(ISNUMBER($AV1086),$AV1086/100,"")</f>
        <v/>
      </c>
      <c r="DB1086" s="82">
        <f>IF(ISNUMBER($AW1086),$AW1086/100,"")</f>
        <v/>
      </c>
      <c r="DC1086" s="82">
        <f>IF(ISNUMBER($AX1086),$AX1086/100,"")</f>
        <v/>
      </c>
      <c r="DD1086" s="77">
        <f>IFERROR(VALUE(LEFT(TRIM($AO1086&amp;""),4)),"")</f>
        <v/>
      </c>
      <c r="DE1086" s="78">
        <f>IF(AND($BY1086=1,$BX1086=1,OR(fDeal="All Deals",$BU1086=fDeal),OR(fEntity="All Entities",$BV1086=fEntity),OR(fPType="All Property Types",$BZ1086=fPType),OR(fDefeased="Include",$CJ1086=0)),1,0)</f>
        <v/>
      </c>
      <c r="DF1086" s="83">
        <f>$DE1086*N($I1086)</f>
        <v/>
      </c>
      <c r="DG1086" s="78">
        <f>IF($DE1086=1,IF(COUNTIFS($F$8:$F1086,$F1086,$DE$8:$DE1086,1)=1,1,0),0)</f>
        <v/>
      </c>
      <c r="DH1086" s="83">
        <f>IF($DG1086=1,SUMIFS($DF$8:$DF$1600,$F$8:$F$1600,$F1086),0)</f>
        <v/>
      </c>
      <c r="DI1086" s="78">
        <f>IF($DG1086=1,COUNTIFS($F$8:$F$1600,$F1086,$DE$8:$DE$1600,1),0)</f>
        <v/>
      </c>
      <c r="DJ1086" s="84">
        <f>IF($DG1086=1,$DH1086+(100000-ROW())/mTieBreak,0)</f>
        <v/>
      </c>
    </row>
    <row r="1087">
      <c r="B1087" s="68" t="n">
        <v>7</v>
      </c>
      <c r="C1087" s="69" t="inlineStr">
        <is>
          <t>JPD17C7</t>
        </is>
      </c>
      <c r="D1087" s="69" t="inlineStr">
        <is>
          <t>7.000</t>
        </is>
      </c>
      <c r="E1087" s="69" t="inlineStr">
        <is>
          <t>521-523 East 72nd Street</t>
        </is>
      </c>
      <c r="F1087" s="69" t="inlineStr">
        <is>
          <t>SPLIT_LOAN_01100</t>
        </is>
      </c>
      <c r="G1087" s="70" t="n">
        <v>1100</v>
      </c>
      <c r="H1087" s="71" t="n">
        <v>50000000</v>
      </c>
      <c r="I1087" s="71" t="n">
        <v>50000000</v>
      </c>
      <c r="J1087" s="72" t="n">
        <v>3.95</v>
      </c>
      <c r="K1087" s="69" t="inlineStr">
        <is>
          <t>Fixed rate</t>
        </is>
      </c>
      <c r="L1087" s="68" t="n">
        <v>120</v>
      </c>
      <c r="M1087" s="68" t="n">
        <v>11</v>
      </c>
      <c r="N1087" s="68" t="n">
        <v>120</v>
      </c>
      <c r="O1087" s="68" t="n">
        <v>120</v>
      </c>
      <c r="P1087" s="68" t="n">
        <v>11</v>
      </c>
      <c r="Q1087" s="68" t="n">
        <v>109</v>
      </c>
      <c r="R1087" s="69" t="inlineStr">
        <is>
          <t>IO</t>
        </is>
      </c>
      <c r="S1087" s="69" t="inlineStr">
        <is>
          <t>Yes</t>
        </is>
      </c>
      <c r="T1087" s="73" t="n">
        <v>42948</v>
      </c>
      <c r="U1087" s="73" t="n">
        <v>46600</v>
      </c>
      <c r="V1087" s="73" t="n"/>
      <c r="W1087" s="69" t="n"/>
      <c r="X1087" s="69" t="inlineStr">
        <is>
          <t>Current</t>
        </is>
      </c>
      <c r="Y1087" s="68" t="n"/>
      <c r="Z1087" s="69" t="inlineStr">
        <is>
          <t>No Defeasance Occurred</t>
        </is>
      </c>
      <c r="AA1087" s="69" t="inlineStr">
        <is>
          <t>Previously</t>
        </is>
      </c>
      <c r="AB1087" s="69" t="inlineStr">
        <is>
          <t>Never special serv</t>
        </is>
      </c>
      <c r="AC1087" s="73" t="n"/>
      <c r="AD1087" s="69" t="n"/>
      <c r="AE1087" s="69" t="n"/>
      <c r="AF1087" s="69" t="inlineStr">
        <is>
          <t>NY</t>
        </is>
      </c>
      <c r="AG1087" s="69" t="inlineStr">
        <is>
          <t>New York</t>
        </is>
      </c>
      <c r="AH1087" s="69" t="inlineStr">
        <is>
          <t>New York-Newark-Jersey City, NY-NJ</t>
        </is>
      </c>
      <c r="AI1087" s="69" t="inlineStr">
        <is>
          <t>Northeast / Mid-Atlantic</t>
        </is>
      </c>
      <c r="AJ1087" s="69" t="inlineStr">
        <is>
          <t>MX</t>
        </is>
      </c>
      <c r="AK1087" s="69" t="inlineStr">
        <is>
          <t>Office/Multifamily</t>
        </is>
      </c>
      <c r="AL1087" s="68" t="n">
        <v>1</v>
      </c>
      <c r="AM1087" s="68" t="n"/>
      <c r="AN1087" s="68" t="n">
        <v>99316</v>
      </c>
      <c r="AO1087" s="69" t="inlineStr">
        <is>
          <t>1920</t>
        </is>
      </c>
      <c r="AP1087" s="70" t="n">
        <v>1991</v>
      </c>
      <c r="AQ1087" s="74" t="n">
        <v>1.93</v>
      </c>
      <c r="AR1087" s="74" t="n">
        <v>2.14</v>
      </c>
      <c r="AS1087" s="74" t="n">
        <v>59</v>
      </c>
      <c r="AT1087" s="74" t="n">
        <v>58.99</v>
      </c>
      <c r="AU1087" s="74" t="n">
        <v>59</v>
      </c>
      <c r="AV1087" s="74" t="n">
        <v>7.737078824</v>
      </c>
      <c r="AW1087" s="74" t="n">
        <v>8.460047682000001</v>
      </c>
      <c r="AX1087" s="75" t="n">
        <v>99</v>
      </c>
      <c r="AY1087" s="71" t="n">
        <v>144100000</v>
      </c>
      <c r="AZ1087" s="71" t="n">
        <v>144100000</v>
      </c>
      <c r="BA1087" s="71" t="n">
        <v>6576517</v>
      </c>
      <c r="BB1087" s="71" t="n">
        <v>7282454.41</v>
      </c>
      <c r="BC1087" s="69" t="inlineStr">
        <is>
          <t>Refinance</t>
        </is>
      </c>
      <c r="BD1087" s="69" t="inlineStr">
        <is>
          <t>N</t>
        </is>
      </c>
      <c r="BE1087" s="71" t="n">
        <v>35000000</v>
      </c>
      <c r="BF1087" s="71" t="n"/>
      <c r="BG1087" s="71" t="n"/>
      <c r="BH1087" s="71" t="n">
        <v>0</v>
      </c>
      <c r="BI1087" s="71" t="n">
        <v>0</v>
      </c>
      <c r="BJ1087" s="69" t="inlineStr">
        <is>
          <t>N</t>
        </is>
      </c>
      <c r="BK1087" s="69" t="inlineStr">
        <is>
          <t>HSS Properties Corporation</t>
        </is>
      </c>
      <c r="BL1087" s="75" t="n">
        <v>86.70999999999999</v>
      </c>
      <c r="BM1087" s="73" t="n">
        <v>47999</v>
      </c>
      <c r="BN1087" s="69" t="inlineStr">
        <is>
          <t>Sheldon H. Solow</t>
        </is>
      </c>
      <c r="BO1087" s="69" t="inlineStr">
        <is>
          <t>JPMorgan Chase</t>
        </is>
      </c>
      <c r="BP1087" s="69" t="inlineStr">
        <is>
          <t>Midland Loan Services</t>
        </is>
      </c>
      <c r="BQ1087" s="69" t="inlineStr">
        <is>
          <t>K-Star Asset Management LLC</t>
        </is>
      </c>
      <c r="BR1087" s="69" t="n"/>
      <c r="BS1087" s="73" t="n">
        <v>46276</v>
      </c>
      <c r="BU1087" s="76">
        <f>IF($C1087="","",IFERROR(INDEX(dmName,MATCH($C1087,dmID,0)),"Unmapped"))</f>
        <v/>
      </c>
      <c r="BV1087" s="76">
        <f>IF($C1087="","",IFERROR(INDEX(dmEntity,MATCH($C1087,dmID,0)),"Unmapped"))</f>
        <v/>
      </c>
      <c r="BW1087" s="77">
        <f>IF($C1087="","",IFERROR(INDEX(dmVintage,MATCH($C1087,dmID,0)),""))</f>
        <v/>
      </c>
      <c r="BX1087" s="78">
        <f>IFERROR(INDEX(dmInclude,MATCH($C1087,dmID,0)),0)</f>
        <v/>
      </c>
      <c r="BY1087" s="78">
        <f>IF(N($I1087)&gt;0,1,0)</f>
        <v/>
      </c>
      <c r="BZ1087" s="76">
        <f>IF($AJ1087="","Other / Leased Fee",IFERROR(INDEX(mapPTGroup,MATCH(LEFT(TRIM($AJ1087),2),mapPTCode,0)),"Other / Leased Fee"))</f>
        <v/>
      </c>
      <c r="CA1087" s="76">
        <f>IF(TRIM($AF1087&amp;"")="","NR",LEFT(TRIM($AF1087),2))</f>
        <v/>
      </c>
      <c r="CB1087" s="76">
        <f>IFERROR(LOOKUP(2,1/(LEFT(TRIM($AI1087&amp;""),LEN(mapRegion))=mapRegion),mapRegion),"Not Reported")</f>
        <v/>
      </c>
      <c r="CC1087" s="76">
        <f>IF($BY1087=0,"",IF(TRIM($W1087&amp;"")="REO","REO",IF(TRIM($W1087&amp;"")="FC","Foreclosure",IF(TRIM($W1087&amp;"")="90+","90+ Days Delinquent",IF(TRIM($W1087&amp;"")="60","60 Days Delinquent",IF(TRIM($W1087&amp;"")="30","30 Days Delinquent",IF($X1087="Non-Performing Matured Balloon","Non-Performing Matured Balloon",IF(OR($X1087="Late Payment But Less Than 30 Days Delinquent",LEFT($X1087&amp;"",20)="Payment Not Received"),"Late / In Grace (&lt;30 Days)",IF($X1087="Performing Matured Balloon","Performing Matured Balloon","Current")))))))))</f>
        <v/>
      </c>
      <c r="CD1087" s="78">
        <f>IF(OR($CC1087="REO",$CC1087="Foreclosure",$CC1087="90+ Days Delinquent",$CC1087="60 Days Delinquent",$CC1087="30 Days Delinquent",$CC1087="Non-Performing Matured Balloon"),1,0)</f>
        <v/>
      </c>
      <c r="CE1087" s="76">
        <f>IF($AB1087="Currently special serv","Currently Specially Serviced",IF($AB1087="Returned to master serv","Previously Specially Serviced","Never Specially Serviced"))</f>
        <v/>
      </c>
      <c r="CF1087" s="78">
        <f>IF($CE1087="Currently Specially Serviced",1,0)</f>
        <v/>
      </c>
      <c r="CG1087" s="76">
        <f>IF($AA1087="Yes","Currently on Watchlist",IF($AA1087="Previously","Previously on Watchlist","Never on Watchlist"))</f>
        <v/>
      </c>
      <c r="CH1087" s="78">
        <f>IF($CG1087="Currently on Watchlist",1,0)</f>
        <v/>
      </c>
      <c r="CI1087" s="76">
        <f>IF($Z1087="Full Defeasance","Fully Defeased",IF($Z1087="Portion Of Loan Previously Defeased","Partially Defeased",IF($Z1087="Defeasance Not Allowable","Not Defeased (Not Permitted)","Not Defeased")))</f>
        <v/>
      </c>
      <c r="CJ1087" s="78">
        <f>IF($CI1087="Fully Defeased",1,0)</f>
        <v/>
      </c>
      <c r="CK1087" s="76">
        <f>IF($R1087="IO","Full IO",IF(LEFT($R1087&amp;"",7)="IO then","Partial IO","Amortizing"))</f>
        <v/>
      </c>
      <c r="CL1087" s="78">
        <f>IF($CK1087="Full IO",1,0)</f>
        <v/>
      </c>
      <c r="CM1087" s="78">
        <f>IF($CK1087="Partial IO",1,0)</f>
        <v/>
      </c>
      <c r="CN1087" s="76">
        <f>IF(LEFT($F1087&amp;"",10)="SPLIT_LOAN","Pari Passu Split","Standalone")</f>
        <v/>
      </c>
      <c r="CO1087" s="78">
        <f>IF($CN1087="Pari Passu Split",1,0)</f>
        <v/>
      </c>
      <c r="CP1087" s="77">
        <f>IF(ISNUMBER($T1087),YEAR($T1087),"")</f>
        <v/>
      </c>
      <c r="CQ1087" s="79">
        <f>IF(ISNUMBER($V1087),$V1087,IF(ISNUMBER($U1087),$U1087,""))</f>
        <v/>
      </c>
      <c r="CR1087" s="77">
        <f>IF(ISNUMBER($CQ1087),YEAR($CQ1087),"")</f>
        <v/>
      </c>
      <c r="CS1087" s="78">
        <f>IF(ISNUMBER($M1087),MAX(0,$M1087),IF(TRIM($M1087&amp;"")="matured",0,""))</f>
        <v/>
      </c>
      <c r="CT1087" s="78">
        <f>IF(AND(ISNUMBER($CS1087),N($CS1087)&lt;=mMatWindow),1,0)</f>
        <v/>
      </c>
      <c r="CU1087" s="80">
        <f>IF(ISNUMBER($J1087),$J1087/100,"")</f>
        <v/>
      </c>
      <c r="CV1087" s="81">
        <f>IF(ISNUMBER($AQ1087),$AQ1087,"")</f>
        <v/>
      </c>
      <c r="CW1087" s="81">
        <f>IF(ISNUMBER($AR1087),$AR1087,"")</f>
        <v/>
      </c>
      <c r="CX1087" s="82">
        <f>IF(ISNUMBER($AS1087),$AS1087/100,"")</f>
        <v/>
      </c>
      <c r="CY1087" s="82">
        <f>IF(ISNUMBER($AT1087),$AT1087/100,"")</f>
        <v/>
      </c>
      <c r="CZ1087" s="82">
        <f>IF(ISNUMBER($AU1087),$AU1087/100,"")</f>
        <v/>
      </c>
      <c r="DA1087" s="82">
        <f>IF(ISNUMBER($AV1087),$AV1087/100,"")</f>
        <v/>
      </c>
      <c r="DB1087" s="82">
        <f>IF(ISNUMBER($AW1087),$AW1087/100,"")</f>
        <v/>
      </c>
      <c r="DC1087" s="82">
        <f>IF(ISNUMBER($AX1087),$AX1087/100,"")</f>
        <v/>
      </c>
      <c r="DD1087" s="77">
        <f>IFERROR(VALUE(LEFT(TRIM($AO1087&amp;""),4)),"")</f>
        <v/>
      </c>
      <c r="DE1087" s="78">
        <f>IF(AND($BY1087=1,$BX1087=1,OR(fDeal="All Deals",$BU1087=fDeal),OR(fEntity="All Entities",$BV1087=fEntity),OR(fPType="All Property Types",$BZ1087=fPType),OR(fDefeased="Include",$CJ1087=0)),1,0)</f>
        <v/>
      </c>
      <c r="DF1087" s="83">
        <f>$DE1087*N($I1087)</f>
        <v/>
      </c>
      <c r="DG1087" s="78">
        <f>IF($DE1087=1,IF(COUNTIFS($F$8:$F1087,$F1087,$DE$8:$DE1087,1)=1,1,0),0)</f>
        <v/>
      </c>
      <c r="DH1087" s="83">
        <f>IF($DG1087=1,SUMIFS($DF$8:$DF$1600,$F$8:$F$1600,$F1087),0)</f>
        <v/>
      </c>
      <c r="DI1087" s="78">
        <f>IF($DG1087=1,COUNTIFS($F$8:$F$1600,$F1087,$DE$8:$DE$1600,1),0)</f>
        <v/>
      </c>
      <c r="DJ1087" s="84">
        <f>IF($DG1087=1,$DH1087+(100000-ROW())/mTieBreak,0)</f>
        <v/>
      </c>
    </row>
    <row r="1088">
      <c r="B1088" s="68" t="n">
        <v>8</v>
      </c>
      <c r="C1088" s="69" t="inlineStr">
        <is>
          <t>JPD17C7</t>
        </is>
      </c>
      <c r="D1088" s="69" t="inlineStr">
        <is>
          <t>8.TR</t>
        </is>
      </c>
      <c r="E1088" s="69" t="inlineStr">
        <is>
          <t>Gateway Net Lease Portfolio</t>
        </is>
      </c>
      <c r="F1088" s="69" t="inlineStr">
        <is>
          <t>SPLIT_LOAN_01004</t>
        </is>
      </c>
      <c r="G1088" s="70" t="n">
        <v>1004</v>
      </c>
      <c r="H1088" s="71" t="n">
        <v>50000000</v>
      </c>
      <c r="I1088" s="71" t="n">
        <v>0</v>
      </c>
      <c r="J1088" s="72" t="n">
        <v>3.56283</v>
      </c>
      <c r="K1088" s="69" t="inlineStr">
        <is>
          <t>Fixed rate</t>
        </is>
      </c>
      <c r="L1088" s="68" t="n">
        <v>84</v>
      </c>
      <c r="M1088" s="68" t="n"/>
      <c r="N1088" s="68" t="n">
        <v>84</v>
      </c>
      <c r="O1088" s="68" t="n">
        <v>84</v>
      </c>
      <c r="P1088" s="68" t="n"/>
      <c r="Q1088" s="68" t="n"/>
      <c r="R1088" s="69" t="inlineStr">
        <is>
          <t>IO</t>
        </is>
      </c>
      <c r="S1088" s="69" t="inlineStr">
        <is>
          <t>Yes</t>
        </is>
      </c>
      <c r="T1088" s="73" t="n">
        <v>42917</v>
      </c>
      <c r="U1088" s="73" t="n">
        <v>45448</v>
      </c>
      <c r="V1088" s="73" t="n"/>
      <c r="W1088" s="69" t="n"/>
      <c r="X1088" s="69" t="inlineStr">
        <is>
          <t>Current</t>
        </is>
      </c>
      <c r="Y1088" s="68" t="n"/>
      <c r="Z1088" s="69" t="inlineStr">
        <is>
          <t>No Defeasance Occurred</t>
        </is>
      </c>
      <c r="AA1088" s="69" t="inlineStr">
        <is>
          <t>Previously</t>
        </is>
      </c>
      <c r="AB1088" s="69" t="inlineStr">
        <is>
          <t>Never special serv</t>
        </is>
      </c>
      <c r="AC1088" s="73" t="n"/>
      <c r="AD1088" s="69" t="n"/>
      <c r="AE1088" s="69" t="n"/>
      <c r="AF1088" s="69" t="inlineStr">
        <is>
          <t>TX-18.862332709% IN-13.933078405% MI-10.703632883% CT-8.022944564% MD-7.386233264% WI-5.986615662% AZ-4.967495222% FL-4.915869981% MN-4.783938801% VA-4.774378581% MO-4.055449342% AL-2.938814522% OH-2.040152962% PA-1.550669220% SC-1.137667300% NV-0.942638620% NC-0.891013380% IA-0.841300201% LA-0.694072660% OK-0.571701721%</t>
        </is>
      </c>
      <c r="AG1088" s="69" t="n"/>
      <c r="AH1088" s="69" t="inlineStr">
        <is>
          <t>San Antonio-New Braunfels, TX-10.965583185% Detroit-Warren-Dearborn, MI-9.760994264% Fort Wayne, IN-8.328871902% Bridgeport-Stamford-Danbury, CT-8.022944564% Baltimore-Columbia-Towson, MD-7.386233264% Lafayette-West Lafayette, IN-5.604206503% Milwaukee-Waukesha, WI-5.068833641% Phoenix-Mesa-Chandler, AZ-4.967495222% Minneapolis-St. Paul-Bloomington, MN-WI-4.783938801% Houston-Pasadena-The Woodlands, TX-3.986615681% Dallas-Fort Worth-Arlington, TX-3.910133843% Staunton-Stuarts Draft, VA-3.043977061% Orlando-Kissimmee-Sanford, FL-2.369024860% Birmingham, AL-2.353728482% St. Louis, MO-IL-2.114722761% Cape Coral-Fort Myers, FL-1.896749520% Richmond, VA-1.730401520% Columbus, OH-1.470363281% Kansas City, MO-KS-1.049713201% Grand Rapids-Wyoming-Kentwood, MI-0.942638620% Las Vegas-Henderson-North Las Vegas, NV-0.942638620% Wausau, WI-0.917782021% Charlotte-Concord-Gastonia, NC-SC-0.891013380% Springfield, MO-0.891013380% Des Moines-West Des Moines, IA-0.841300201% New Orleans-Metairie, LA-0.694072660% Miami-Fort Lauderdale-West Palm Beach, FL-0.650095600% Russellville, AL-0.585086040% Columbia, SC-0.579349901% Oklahoma City, OK-0.571701721% Toledo, OH-0.569789681% Greenville-Anderson-Greer, SC-0.558317400%</t>
        </is>
      </c>
      <c r="AI1088" s="69" t="inlineStr">
        <is>
          <t>Midwest / Central East-32.663479912% South / Central West-20.128107090% South / Atlantic-19.105162507% Midwest / Central West-9.680688344% Northeast / New England-8.022944564% West / Mountain-5.910133841% South / Central East-2.938814522% Northeast / Mid-Atlantic-1.550669220%</t>
        </is>
      </c>
      <c r="AJ1088" s="69" t="inlineStr">
        <is>
          <t>MX</t>
        </is>
      </c>
      <c r="AK1088" s="69" t="n"/>
      <c r="AL1088" s="68" t="n">
        <v>1</v>
      </c>
      <c r="AM1088" s="68" t="n"/>
      <c r="AN1088" s="68" t="n">
        <v>5296943</v>
      </c>
      <c r="AO1088" s="69" t="n"/>
      <c r="AP1088" s="70" t="n">
        <v>2017</v>
      </c>
      <c r="AQ1088" s="74" t="n">
        <v>3.54</v>
      </c>
      <c r="AR1088" s="74" t="n">
        <v>3.8</v>
      </c>
      <c r="AS1088" s="74" t="n">
        <v>45</v>
      </c>
      <c r="AT1088" s="74" t="n"/>
      <c r="AU1088" s="74" t="n">
        <v>45</v>
      </c>
      <c r="AV1088" s="74" t="n">
        <v>12.770867422</v>
      </c>
      <c r="AW1088" s="74" t="n"/>
      <c r="AX1088" s="75" t="n">
        <v>100</v>
      </c>
      <c r="AY1088" s="71" t="n">
        <v>785215000</v>
      </c>
      <c r="AZ1088" s="71" t="n">
        <v>785215000</v>
      </c>
      <c r="BA1088" s="71" t="n">
        <v>45081162</v>
      </c>
      <c r="BB1088" s="71" t="n">
        <v>11214133.5</v>
      </c>
      <c r="BC1088" s="69" t="inlineStr">
        <is>
          <t>Acquisition</t>
        </is>
      </c>
      <c r="BD1088" s="69" t="inlineStr">
        <is>
          <t>Y</t>
        </is>
      </c>
      <c r="BE1088" s="71" t="n">
        <v>0</v>
      </c>
      <c r="BF1088" s="71" t="n">
        <v>0</v>
      </c>
      <c r="BG1088" s="71" t="n"/>
      <c r="BH1088" s="71" t="n">
        <v>0</v>
      </c>
      <c r="BI1088" s="71" t="n">
        <v>0</v>
      </c>
      <c r="BJ1088" s="69" t="inlineStr">
        <is>
          <t>Y</t>
        </is>
      </c>
      <c r="BK1088" s="69" t="inlineStr">
        <is>
          <t>FedEx</t>
        </is>
      </c>
      <c r="BL1088" s="75" t="n">
        <v>15.38</v>
      </c>
      <c r="BM1088" s="73" t="n">
        <v>46203</v>
      </c>
      <c r="BN1088" s="69" t="inlineStr">
        <is>
          <t>ETCL Venture LP</t>
        </is>
      </c>
      <c r="BO1088" s="69" t="inlineStr">
        <is>
          <t>JPMorgan Chase</t>
        </is>
      </c>
      <c r="BP1088" s="69" t="inlineStr">
        <is>
          <t>Midland Loan Services</t>
        </is>
      </c>
      <c r="BQ1088" s="69" t="inlineStr">
        <is>
          <t>Midland Loan Services</t>
        </is>
      </c>
      <c r="BR1088" s="69" t="inlineStr">
        <is>
          <t>Repurchase / Substitution</t>
        </is>
      </c>
      <c r="BS1088" s="73" t="n">
        <v>45546</v>
      </c>
      <c r="BU1088" s="76">
        <f>IF($C1088="","",IFERROR(INDEX(dmName,MATCH($C1088,dmID,0)),"Unmapped"))</f>
        <v/>
      </c>
      <c r="BV1088" s="76">
        <f>IF($C1088="","",IFERROR(INDEX(dmEntity,MATCH($C1088,dmID,0)),"Unmapped"))</f>
        <v/>
      </c>
      <c r="BW1088" s="77">
        <f>IF($C1088="","",IFERROR(INDEX(dmVintage,MATCH($C1088,dmID,0)),""))</f>
        <v/>
      </c>
      <c r="BX1088" s="78">
        <f>IFERROR(INDEX(dmInclude,MATCH($C1088,dmID,0)),0)</f>
        <v/>
      </c>
      <c r="BY1088" s="78">
        <f>IF(N($I1088)&gt;0,1,0)</f>
        <v/>
      </c>
      <c r="BZ1088" s="76">
        <f>IF($AJ1088="","Other / Leased Fee",IFERROR(INDEX(mapPTGroup,MATCH(LEFT(TRIM($AJ1088),2),mapPTCode,0)),"Other / Leased Fee"))</f>
        <v/>
      </c>
      <c r="CA1088" s="76">
        <f>IF(TRIM($AF1088&amp;"")="","NR",LEFT(TRIM($AF1088),2))</f>
        <v/>
      </c>
      <c r="CB1088" s="76">
        <f>IFERROR(LOOKUP(2,1/(LEFT(TRIM($AI1088&amp;""),LEN(mapRegion))=mapRegion),mapRegion),"Not Reported")</f>
        <v/>
      </c>
      <c r="CC1088" s="76">
        <f>IF($BY1088=0,"",IF(TRIM($W1088&amp;"")="REO","REO",IF(TRIM($W1088&amp;"")="FC","Foreclosure",IF(TRIM($W1088&amp;"")="90+","90+ Days Delinquent",IF(TRIM($W1088&amp;"")="60","60 Days Delinquent",IF(TRIM($W1088&amp;"")="30","30 Days Delinquent",IF($X1088="Non-Performing Matured Balloon","Non-Performing Matured Balloon",IF(OR($X1088="Late Payment But Less Than 30 Days Delinquent",LEFT($X1088&amp;"",20)="Payment Not Received"),"Late / In Grace (&lt;30 Days)",IF($X1088="Performing Matured Balloon","Performing Matured Balloon","Current")))))))))</f>
        <v/>
      </c>
      <c r="CD1088" s="78">
        <f>IF(OR($CC1088="REO",$CC1088="Foreclosure",$CC1088="90+ Days Delinquent",$CC1088="60 Days Delinquent",$CC1088="30 Days Delinquent",$CC1088="Non-Performing Matured Balloon"),1,0)</f>
        <v/>
      </c>
      <c r="CE1088" s="76">
        <f>IF($AB1088="Currently special serv","Currently Specially Serviced",IF($AB1088="Returned to master serv","Previously Specially Serviced","Never Specially Serviced"))</f>
        <v/>
      </c>
      <c r="CF1088" s="78">
        <f>IF($CE1088="Currently Specially Serviced",1,0)</f>
        <v/>
      </c>
      <c r="CG1088" s="76">
        <f>IF($AA1088="Yes","Currently on Watchlist",IF($AA1088="Previously","Previously on Watchlist","Never on Watchlist"))</f>
        <v/>
      </c>
      <c r="CH1088" s="78">
        <f>IF($CG1088="Currently on Watchlist",1,0)</f>
        <v/>
      </c>
      <c r="CI1088" s="76">
        <f>IF($Z1088="Full Defeasance","Fully Defeased",IF($Z1088="Portion Of Loan Previously Defeased","Partially Defeased",IF($Z1088="Defeasance Not Allowable","Not Defeased (Not Permitted)","Not Defeased")))</f>
        <v/>
      </c>
      <c r="CJ1088" s="78">
        <f>IF($CI1088="Fully Defeased",1,0)</f>
        <v/>
      </c>
      <c r="CK1088" s="76">
        <f>IF($R1088="IO","Full IO",IF(LEFT($R1088&amp;"",7)="IO then","Partial IO","Amortizing"))</f>
        <v/>
      </c>
      <c r="CL1088" s="78">
        <f>IF($CK1088="Full IO",1,0)</f>
        <v/>
      </c>
      <c r="CM1088" s="78">
        <f>IF($CK1088="Partial IO",1,0)</f>
        <v/>
      </c>
      <c r="CN1088" s="76">
        <f>IF(LEFT($F1088&amp;"",10)="SPLIT_LOAN","Pari Passu Split","Standalone")</f>
        <v/>
      </c>
      <c r="CO1088" s="78">
        <f>IF($CN1088="Pari Passu Split",1,0)</f>
        <v/>
      </c>
      <c r="CP1088" s="77">
        <f>IF(ISNUMBER($T1088),YEAR($T1088),"")</f>
        <v/>
      </c>
      <c r="CQ1088" s="79">
        <f>IF(ISNUMBER($V1088),$V1088,IF(ISNUMBER($U1088),$U1088,""))</f>
        <v/>
      </c>
      <c r="CR1088" s="77">
        <f>IF(ISNUMBER($CQ1088),YEAR($CQ1088),"")</f>
        <v/>
      </c>
      <c r="CS1088" s="78">
        <f>IF(ISNUMBER($M1088),MAX(0,$M1088),IF(TRIM($M1088&amp;"")="matured",0,""))</f>
        <v/>
      </c>
      <c r="CT1088" s="78">
        <f>IF(AND(ISNUMBER($CS1088),N($CS1088)&lt;=mMatWindow),1,0)</f>
        <v/>
      </c>
      <c r="CU1088" s="80">
        <f>IF(ISNUMBER($J1088),$J1088/100,"")</f>
        <v/>
      </c>
      <c r="CV1088" s="81">
        <f>IF(ISNUMBER($AQ1088),$AQ1088,"")</f>
        <v/>
      </c>
      <c r="CW1088" s="81">
        <f>IF(ISNUMBER($AR1088),$AR1088,"")</f>
        <v/>
      </c>
      <c r="CX1088" s="82">
        <f>IF(ISNUMBER($AS1088),$AS1088/100,"")</f>
        <v/>
      </c>
      <c r="CY1088" s="82">
        <f>IF(ISNUMBER($AT1088),$AT1088/100,"")</f>
        <v/>
      </c>
      <c r="CZ1088" s="82">
        <f>IF(ISNUMBER($AU1088),$AU1088/100,"")</f>
        <v/>
      </c>
      <c r="DA1088" s="82">
        <f>IF(ISNUMBER($AV1088),$AV1088/100,"")</f>
        <v/>
      </c>
      <c r="DB1088" s="82">
        <f>IF(ISNUMBER($AW1088),$AW1088/100,"")</f>
        <v/>
      </c>
      <c r="DC1088" s="82">
        <f>IF(ISNUMBER($AX1088),$AX1088/100,"")</f>
        <v/>
      </c>
      <c r="DD1088" s="77">
        <f>IFERROR(VALUE(LEFT(TRIM($AO1088&amp;""),4)),"")</f>
        <v/>
      </c>
      <c r="DE1088" s="78">
        <f>IF(AND($BY1088=1,$BX1088=1,OR(fDeal="All Deals",$BU1088=fDeal),OR(fEntity="All Entities",$BV1088=fEntity),OR(fPType="All Property Types",$BZ1088=fPType),OR(fDefeased="Include",$CJ1088=0)),1,0)</f>
        <v/>
      </c>
      <c r="DF1088" s="83">
        <f>$DE1088*N($I1088)</f>
        <v/>
      </c>
      <c r="DG1088" s="78">
        <f>IF($DE1088=1,IF(COUNTIFS($F$8:$F1088,$F1088,$DE$8:$DE1088,1)=1,1,0),0)</f>
        <v/>
      </c>
      <c r="DH1088" s="83">
        <f>IF($DG1088=1,SUMIFS($DF$8:$DF$1600,$F$8:$F$1600,$F1088),0)</f>
        <v/>
      </c>
      <c r="DI1088" s="78">
        <f>IF($DG1088=1,COUNTIFS($F$8:$F$1600,$F1088,$DE$8:$DE$1600,1),0)</f>
        <v/>
      </c>
      <c r="DJ1088" s="84">
        <f>IF($DG1088=1,$DH1088+(100000-ROW())/mTieBreak,0)</f>
        <v/>
      </c>
    </row>
    <row r="1089">
      <c r="B1089" s="68" t="n">
        <v>9</v>
      </c>
      <c r="C1089" s="69" t="inlineStr">
        <is>
          <t>JPD17C7</t>
        </is>
      </c>
      <c r="D1089" s="69" t="inlineStr">
        <is>
          <t>9.000</t>
        </is>
      </c>
      <c r="E1089" s="69" t="inlineStr">
        <is>
          <t>Starwood Capital Group Hotel Portfolio</t>
        </is>
      </c>
      <c r="F1089" s="69" t="inlineStr">
        <is>
          <t>SPLIT_LOAN_01005</t>
        </is>
      </c>
      <c r="G1089" s="70" t="n">
        <v>1005</v>
      </c>
      <c r="H1089" s="71" t="n">
        <v>46817500</v>
      </c>
      <c r="I1089" s="71" t="n">
        <v>28592371.89997904</v>
      </c>
      <c r="J1089" s="72" t="n">
        <v>4.486</v>
      </c>
      <c r="K1089" s="69" t="inlineStr">
        <is>
          <t>Fixed rate</t>
        </is>
      </c>
      <c r="L1089" s="68" t="n">
        <v>120</v>
      </c>
      <c r="M1089" s="68" t="n">
        <v>9</v>
      </c>
      <c r="N1089" s="68" t="n">
        <v>120</v>
      </c>
      <c r="O1089" s="68" t="n">
        <v>120</v>
      </c>
      <c r="P1089" s="68" t="n">
        <v>9</v>
      </c>
      <c r="Q1089" s="68" t="n">
        <v>111</v>
      </c>
      <c r="R1089" s="69" t="inlineStr">
        <is>
          <t>IO</t>
        </is>
      </c>
      <c r="S1089" s="69" t="inlineStr">
        <is>
          <t>Yes</t>
        </is>
      </c>
      <c r="T1089" s="73" t="n">
        <v>42887</v>
      </c>
      <c r="U1089" s="73" t="n">
        <v>46539</v>
      </c>
      <c r="V1089" s="73" t="n"/>
      <c r="W1089" s="69" t="inlineStr">
        <is>
          <t>FC</t>
        </is>
      </c>
      <c r="X1089" s="69" t="inlineStr">
        <is>
          <t>Current</t>
        </is>
      </c>
      <c r="Y1089" s="68" t="n"/>
      <c r="Z1089" s="69" t="inlineStr">
        <is>
          <t>Defeasance Not Allowable</t>
        </is>
      </c>
      <c r="AA1089" s="69" t="inlineStr">
        <is>
          <t>Previously</t>
        </is>
      </c>
      <c r="AB1089" s="69" t="inlineStr">
        <is>
          <t>Currently special serv</t>
        </is>
      </c>
      <c r="AC1089" s="73" t="n">
        <v>45707</v>
      </c>
      <c r="AD1089" s="69" t="inlineStr">
        <is>
          <t>Imminent Monetary Default (excluding Balloon/Maturity Default &amp; Single Tenant Bankruptcy/Vacate)</t>
        </is>
      </c>
      <c r="AE1089" s="69" t="inlineStr">
        <is>
          <t>Full Payoff</t>
        </is>
      </c>
      <c r="AF1089" s="69" t="inlineStr">
        <is>
          <t>CA-34.163587015% TX-19.337693728% WA-6.112540361% MI-5.907506094% IN-5.253963565% OH-4.946414683% VA-3.946883300% PA-3.729034986% OR-2.588539711% MN-2.416670164% KY-2.114400907% NJ-2.075956423% AZ-2.011883739% NC-1.755593354% IL-1.345527233% WY-1.204567993% CT-1.089236743%</t>
        </is>
      </c>
      <c r="AG1089" s="69" t="n"/>
      <c r="AH1089" s="69" t="inlineStr">
        <is>
          <t>San Jose-Sunnyvale-Santa Clara, CA-17.248384479% San Francisco-Oakland-Fremont, CA-8.060351521% Seattle-Tacoma-Bellevue, WA-6.112540361% Sacramento-Roseville-Folsom, CA-5.189890987% Dallas-Fort Worth-Arlington, TX-4.503669287% Virginia Beach-Chesapeake-Norfolk, VA-NC-3.946883300% Toledo, OH-3.767477197% Waco, TX-3.716221044% Chico, CA-3.664960029% Grand Rapids-Wyoming-Kentwood, MI-3.318966383% Tyler, TX-2.998603418% Ann Arbor, MI-2.588539711% Portland-Vancouver-Hillsboro, OR-WA-2.588539711% Louisville/Jefferson County, KY-IN-2.114400907% New York-Newark-Jersey City, NY-NJ-2.075956423% Minneapolis-St. Paul-Bloomington, MN-WI-2.050328328% Phoenix-Mesa-Chandler, AZ-2.011883739% Kokomo, IN-1.896552593% South Bend-Mishawaka, IN-MI-1.896552593% Wichita Falls, TX-1.806851885% Paris, TX-1.794037943% Morehead City, NC-1.755593354% Lufkin, TX-1.627448161% Harrisburg-Carlisle, PA-1.614634079% Indianapolis-Carmel-Greenwood, IN-1.460858379% Chicago-Naperville-Elgin, IL-IN-1.345527233% Cheyenne, WY-1.204567993% Akron, OH-1.178937486% Sunbury, PA-1.102050825% Norwich-New London-Willimantic, CT-1.089236743% Longview, TX-1.076422696% Selinsgrove, PA-1.012350082% Houston-Pasadena-The Woodlands, TX-0.930234404% Huntsville, TX-0.884204889% Mankato, MN-0.366341836%</t>
        </is>
      </c>
      <c r="AI1089" s="69" t="inlineStr">
        <is>
          <t>West / Pacific North-42.864667087% South / Central West-19.337693728% Midwest / Central East-17.453411576% Northeast / Mid-Atlantic-5.804991409% South / Atlantic-5.702476654% West / Mountain-3.216451732% Midwest / Central West-2.416670164% South / Central East-2.114400907% Northeast / New England-1.089236743%</t>
        </is>
      </c>
      <c r="AJ1089" s="69" t="inlineStr">
        <is>
          <t>HT</t>
        </is>
      </c>
      <c r="AK1089" s="69" t="n"/>
      <c r="AL1089" s="68" t="n">
        <v>65</v>
      </c>
      <c r="AM1089" s="68" t="n">
        <v>6366</v>
      </c>
      <c r="AN1089" s="68" t="n"/>
      <c r="AO1089" s="69" t="n"/>
      <c r="AP1089" s="70" t="n">
        <v>2017</v>
      </c>
      <c r="AQ1089" s="74" t="n">
        <v>2.72</v>
      </c>
      <c r="AR1089" s="74" t="n">
        <v>1.11</v>
      </c>
      <c r="AS1089" s="74" t="n">
        <v>60.4</v>
      </c>
      <c r="AT1089" s="74" t="n">
        <v>39.19</v>
      </c>
      <c r="AU1089" s="74" t="n">
        <v>60.4</v>
      </c>
      <c r="AV1089" s="74" t="n">
        <v>12.356331006</v>
      </c>
      <c r="AW1089" s="74" t="n">
        <v>8.297445135</v>
      </c>
      <c r="AX1089" s="75" t="n">
        <v>64</v>
      </c>
      <c r="AY1089" s="71" t="n">
        <v>956000000</v>
      </c>
      <c r="AZ1089" s="71" t="n">
        <v>899701139</v>
      </c>
      <c r="BA1089" s="71" t="n">
        <v>71329392</v>
      </c>
      <c r="BB1089" s="71" t="n">
        <v>29252658.6</v>
      </c>
      <c r="BC1089" s="69" t="inlineStr">
        <is>
          <t>Refinance</t>
        </is>
      </c>
      <c r="BD1089" s="69" t="inlineStr">
        <is>
          <t>Y</t>
        </is>
      </c>
      <c r="BE1089" s="71" t="n">
        <v>323957818.24</v>
      </c>
      <c r="BF1089" s="71" t="n"/>
      <c r="BG1089" s="71" t="n"/>
      <c r="BH1089" s="71" t="n">
        <v>0</v>
      </c>
      <c r="BI1089" s="71" t="n">
        <v>0</v>
      </c>
      <c r="BJ1089" s="69" t="inlineStr">
        <is>
          <t>Y</t>
        </is>
      </c>
      <c r="BK1089" s="69" t="n"/>
      <c r="BL1089" s="75" t="n"/>
      <c r="BM1089" s="73" t="n"/>
      <c r="BN1089" s="69" t="inlineStr">
        <is>
          <t>SCG Hotel Investors Holdings, L.P.</t>
        </is>
      </c>
      <c r="BO1089" s="69" t="inlineStr">
        <is>
          <t>JPMorgan Chase</t>
        </is>
      </c>
      <c r="BP1089" s="69" t="inlineStr">
        <is>
          <t>Midland Loan Services</t>
        </is>
      </c>
      <c r="BQ1089" s="69" t="inlineStr">
        <is>
          <t>K-Star Asset Management LLC</t>
        </is>
      </c>
      <c r="BR1089" s="69" t="inlineStr">
        <is>
          <t>Partial Liquidation (Curtailment)</t>
        </is>
      </c>
      <c r="BS1089" s="73" t="n">
        <v>46276</v>
      </c>
      <c r="BU1089" s="76">
        <f>IF($C1089="","",IFERROR(INDEX(dmName,MATCH($C1089,dmID,0)),"Unmapped"))</f>
        <v/>
      </c>
      <c r="BV1089" s="76">
        <f>IF($C1089="","",IFERROR(INDEX(dmEntity,MATCH($C1089,dmID,0)),"Unmapped"))</f>
        <v/>
      </c>
      <c r="BW1089" s="77">
        <f>IF($C1089="","",IFERROR(INDEX(dmVintage,MATCH($C1089,dmID,0)),""))</f>
        <v/>
      </c>
      <c r="BX1089" s="78">
        <f>IFERROR(INDEX(dmInclude,MATCH($C1089,dmID,0)),0)</f>
        <v/>
      </c>
      <c r="BY1089" s="78">
        <f>IF(N($I1089)&gt;0,1,0)</f>
        <v/>
      </c>
      <c r="BZ1089" s="76">
        <f>IF($AJ1089="","Other / Leased Fee",IFERROR(INDEX(mapPTGroup,MATCH(LEFT(TRIM($AJ1089),2),mapPTCode,0)),"Other / Leased Fee"))</f>
        <v/>
      </c>
      <c r="CA1089" s="76">
        <f>IF(TRIM($AF1089&amp;"")="","NR",LEFT(TRIM($AF1089),2))</f>
        <v/>
      </c>
      <c r="CB1089" s="76">
        <f>IFERROR(LOOKUP(2,1/(LEFT(TRIM($AI1089&amp;""),LEN(mapRegion))=mapRegion),mapRegion),"Not Reported")</f>
        <v/>
      </c>
      <c r="CC1089" s="76">
        <f>IF($BY1089=0,"",IF(TRIM($W1089&amp;"")="REO","REO",IF(TRIM($W1089&amp;"")="FC","Foreclosure",IF(TRIM($W1089&amp;"")="90+","90+ Days Delinquent",IF(TRIM($W1089&amp;"")="60","60 Days Delinquent",IF(TRIM($W1089&amp;"")="30","30 Days Delinquent",IF($X1089="Non-Performing Matured Balloon","Non-Performing Matured Balloon",IF(OR($X1089="Late Payment But Less Than 30 Days Delinquent",LEFT($X1089&amp;"",20)="Payment Not Received"),"Late / In Grace (&lt;30 Days)",IF($X1089="Performing Matured Balloon","Performing Matured Balloon","Current")))))))))</f>
        <v/>
      </c>
      <c r="CD1089" s="78">
        <f>IF(OR($CC1089="REO",$CC1089="Foreclosure",$CC1089="90+ Days Delinquent",$CC1089="60 Days Delinquent",$CC1089="30 Days Delinquent",$CC1089="Non-Performing Matured Balloon"),1,0)</f>
        <v/>
      </c>
      <c r="CE1089" s="76">
        <f>IF($AB1089="Currently special serv","Currently Specially Serviced",IF($AB1089="Returned to master serv","Previously Specially Serviced","Never Specially Serviced"))</f>
        <v/>
      </c>
      <c r="CF1089" s="78">
        <f>IF($CE1089="Currently Specially Serviced",1,0)</f>
        <v/>
      </c>
      <c r="CG1089" s="76">
        <f>IF($AA1089="Yes","Currently on Watchlist",IF($AA1089="Previously","Previously on Watchlist","Never on Watchlist"))</f>
        <v/>
      </c>
      <c r="CH1089" s="78">
        <f>IF($CG1089="Currently on Watchlist",1,0)</f>
        <v/>
      </c>
      <c r="CI1089" s="76">
        <f>IF($Z1089="Full Defeasance","Fully Defeased",IF($Z1089="Portion Of Loan Previously Defeased","Partially Defeased",IF($Z1089="Defeasance Not Allowable","Not Defeased (Not Permitted)","Not Defeased")))</f>
        <v/>
      </c>
      <c r="CJ1089" s="78">
        <f>IF($CI1089="Fully Defeased",1,0)</f>
        <v/>
      </c>
      <c r="CK1089" s="76">
        <f>IF($R1089="IO","Full IO",IF(LEFT($R1089&amp;"",7)="IO then","Partial IO","Amortizing"))</f>
        <v/>
      </c>
      <c r="CL1089" s="78">
        <f>IF($CK1089="Full IO",1,0)</f>
        <v/>
      </c>
      <c r="CM1089" s="78">
        <f>IF($CK1089="Partial IO",1,0)</f>
        <v/>
      </c>
      <c r="CN1089" s="76">
        <f>IF(LEFT($F1089&amp;"",10)="SPLIT_LOAN","Pari Passu Split","Standalone")</f>
        <v/>
      </c>
      <c r="CO1089" s="78">
        <f>IF($CN1089="Pari Passu Split",1,0)</f>
        <v/>
      </c>
      <c r="CP1089" s="77">
        <f>IF(ISNUMBER($T1089),YEAR($T1089),"")</f>
        <v/>
      </c>
      <c r="CQ1089" s="79">
        <f>IF(ISNUMBER($V1089),$V1089,IF(ISNUMBER($U1089),$U1089,""))</f>
        <v/>
      </c>
      <c r="CR1089" s="77">
        <f>IF(ISNUMBER($CQ1089),YEAR($CQ1089),"")</f>
        <v/>
      </c>
      <c r="CS1089" s="78">
        <f>IF(ISNUMBER($M1089),MAX(0,$M1089),IF(TRIM($M1089&amp;"")="matured",0,""))</f>
        <v/>
      </c>
      <c r="CT1089" s="78">
        <f>IF(AND(ISNUMBER($CS1089),N($CS1089)&lt;=mMatWindow),1,0)</f>
        <v/>
      </c>
      <c r="CU1089" s="80">
        <f>IF(ISNUMBER($J1089),$J1089/100,"")</f>
        <v/>
      </c>
      <c r="CV1089" s="81">
        <f>IF(ISNUMBER($AQ1089),$AQ1089,"")</f>
        <v/>
      </c>
      <c r="CW1089" s="81">
        <f>IF(ISNUMBER($AR1089),$AR1089,"")</f>
        <v/>
      </c>
      <c r="CX1089" s="82">
        <f>IF(ISNUMBER($AS1089),$AS1089/100,"")</f>
        <v/>
      </c>
      <c r="CY1089" s="82">
        <f>IF(ISNUMBER($AT1089),$AT1089/100,"")</f>
        <v/>
      </c>
      <c r="CZ1089" s="82">
        <f>IF(ISNUMBER($AU1089),$AU1089/100,"")</f>
        <v/>
      </c>
      <c r="DA1089" s="82">
        <f>IF(ISNUMBER($AV1089),$AV1089/100,"")</f>
        <v/>
      </c>
      <c r="DB1089" s="82">
        <f>IF(ISNUMBER($AW1089),$AW1089/100,"")</f>
        <v/>
      </c>
      <c r="DC1089" s="82">
        <f>IF(ISNUMBER($AX1089),$AX1089/100,"")</f>
        <v/>
      </c>
      <c r="DD1089" s="77">
        <f>IFERROR(VALUE(LEFT(TRIM($AO1089&amp;""),4)),"")</f>
        <v/>
      </c>
      <c r="DE1089" s="78">
        <f>IF(AND($BY1089=1,$BX1089=1,OR(fDeal="All Deals",$BU1089=fDeal),OR(fEntity="All Entities",$BV1089=fEntity),OR(fPType="All Property Types",$BZ1089=fPType),OR(fDefeased="Include",$CJ1089=0)),1,0)</f>
        <v/>
      </c>
      <c r="DF1089" s="83">
        <f>$DE1089*N($I1089)</f>
        <v/>
      </c>
      <c r="DG1089" s="78">
        <f>IF($DE1089=1,IF(COUNTIFS($F$8:$F1089,$F1089,$DE$8:$DE1089,1)=1,1,0),0)</f>
        <v/>
      </c>
      <c r="DH1089" s="83">
        <f>IF($DG1089=1,SUMIFS($DF$8:$DF$1600,$F$8:$F$1600,$F1089),0)</f>
        <v/>
      </c>
      <c r="DI1089" s="78">
        <f>IF($DG1089=1,COUNTIFS($F$8:$F$1600,$F1089,$DE$8:$DE$1600,1),0)</f>
        <v/>
      </c>
      <c r="DJ1089" s="84">
        <f>IF($DG1089=1,$DH1089+(100000-ROW())/mTieBreak,0)</f>
        <v/>
      </c>
    </row>
    <row r="1090">
      <c r="B1090" s="68" t="n">
        <v>10</v>
      </c>
      <c r="C1090" s="69" t="inlineStr">
        <is>
          <t>JPD17C7</t>
        </is>
      </c>
      <c r="D1090" s="69" t="inlineStr">
        <is>
          <t>10.TR</t>
        </is>
      </c>
      <c r="E1090" s="69" t="inlineStr">
        <is>
          <t>General Motors Building</t>
        </is>
      </c>
      <c r="F1090" s="69" t="inlineStr">
        <is>
          <t>SPLIT_LOAN_01024</t>
        </is>
      </c>
      <c r="G1090" s="70" t="n">
        <v>1024</v>
      </c>
      <c r="H1090" s="71" t="n">
        <v>45200000</v>
      </c>
      <c r="I1090" s="71" t="n">
        <v>45200000</v>
      </c>
      <c r="J1090" s="72" t="n">
        <v>3.43</v>
      </c>
      <c r="K1090" s="69" t="inlineStr">
        <is>
          <t>Fixed rate</t>
        </is>
      </c>
      <c r="L1090" s="68" t="n">
        <v>120</v>
      </c>
      <c r="M1090" s="68" t="n">
        <v>9</v>
      </c>
      <c r="N1090" s="68" t="n">
        <v>120</v>
      </c>
      <c r="O1090" s="68" t="n">
        <v>120</v>
      </c>
      <c r="P1090" s="68" t="n">
        <v>9</v>
      </c>
      <c r="Q1090" s="68" t="n">
        <v>111</v>
      </c>
      <c r="R1090" s="69" t="inlineStr">
        <is>
          <t>IO</t>
        </is>
      </c>
      <c r="S1090" s="69" t="inlineStr">
        <is>
          <t>Yes</t>
        </is>
      </c>
      <c r="T1090" s="73" t="n">
        <v>42887</v>
      </c>
      <c r="U1090" s="73" t="n">
        <v>46547</v>
      </c>
      <c r="V1090" s="73" t="n"/>
      <c r="W1090" s="69" t="n"/>
      <c r="X1090" s="69" t="inlineStr">
        <is>
          <t>Current</t>
        </is>
      </c>
      <c r="Y1090" s="68" t="n"/>
      <c r="Z1090" s="69" t="inlineStr">
        <is>
          <t>No Defeasance Occurred</t>
        </is>
      </c>
      <c r="AA1090" s="69" t="inlineStr">
        <is>
          <t>Yes</t>
        </is>
      </c>
      <c r="AB1090" s="69" t="inlineStr">
        <is>
          <t>Never special serv</t>
        </is>
      </c>
      <c r="AC1090" s="73" t="n"/>
      <c r="AD1090" s="69" t="n"/>
      <c r="AE1090" s="69" t="n"/>
      <c r="AF1090" s="69" t="inlineStr">
        <is>
          <t>NY</t>
        </is>
      </c>
      <c r="AG1090" s="69" t="inlineStr">
        <is>
          <t>New York</t>
        </is>
      </c>
      <c r="AH1090" s="69" t="inlineStr">
        <is>
          <t>New York-Newark-Jersey City, NY-NJ</t>
        </is>
      </c>
      <c r="AI1090" s="69" t="inlineStr">
        <is>
          <t>Northeast / Mid-Atlantic</t>
        </is>
      </c>
      <c r="AJ1090" s="69" t="inlineStr">
        <is>
          <t>MX</t>
        </is>
      </c>
      <c r="AK1090" s="69" t="inlineStr">
        <is>
          <t>Office/Retail</t>
        </is>
      </c>
      <c r="AL1090" s="68" t="n">
        <v>1</v>
      </c>
      <c r="AM1090" s="68" t="n"/>
      <c r="AN1090" s="68" t="n">
        <v>1989983</v>
      </c>
      <c r="AO1090" s="69" t="inlineStr">
        <is>
          <t>1968</t>
        </is>
      </c>
      <c r="AP1090" s="70" t="n">
        <v>2017</v>
      </c>
      <c r="AQ1090" s="74" t="n">
        <v>4.33</v>
      </c>
      <c r="AR1090" s="74" t="n">
        <v>3.93</v>
      </c>
      <c r="AS1090" s="74" t="n">
        <v>30.6</v>
      </c>
      <c r="AT1090" s="74" t="n">
        <v>30.62</v>
      </c>
      <c r="AU1090" s="74" t="n">
        <v>30.6</v>
      </c>
      <c r="AV1090" s="74" t="n">
        <v>15.07107442</v>
      </c>
      <c r="AW1090" s="74" t="n">
        <v>12.954028639</v>
      </c>
      <c r="AX1090" s="75" t="n">
        <v>99</v>
      </c>
      <c r="AY1090" s="71" t="n">
        <v>4800000000</v>
      </c>
      <c r="AZ1090" s="71" t="n">
        <v>4800000000</v>
      </c>
      <c r="BA1090" s="71" t="n">
        <v>221544793.97</v>
      </c>
      <c r="BB1090" s="71" t="n">
        <v>199837104.9</v>
      </c>
      <c r="BC1090" s="69" t="inlineStr">
        <is>
          <t>Refinance</t>
        </is>
      </c>
      <c r="BD1090" s="69" t="inlineStr">
        <is>
          <t>N</t>
        </is>
      </c>
      <c r="BE1090" s="71" t="n">
        <v>1424800000</v>
      </c>
      <c r="BF1090" s="71" t="n">
        <v>830000000</v>
      </c>
      <c r="BG1090" s="71" t="n"/>
      <c r="BH1090" s="71" t="n">
        <v>0</v>
      </c>
      <c r="BI1090" s="71" t="n">
        <v>0</v>
      </c>
      <c r="BJ1090" s="69" t="inlineStr">
        <is>
          <t>N</t>
        </is>
      </c>
      <c r="BK1090" s="69" t="inlineStr">
        <is>
          <t>Weil, Gotshal &amp; Manges, LLP</t>
        </is>
      </c>
      <c r="BL1090" s="75" t="n">
        <v>20.58</v>
      </c>
      <c r="BM1090" s="73" t="n">
        <v>49187</v>
      </c>
      <c r="BN1090" s="69" t="inlineStr">
        <is>
          <t>Boston Properties Limited Partnership, 767 LLC, Sungate Fifth Avenue LLC</t>
        </is>
      </c>
      <c r="BO1090" s="69" t="inlineStr">
        <is>
          <t>GACC</t>
        </is>
      </c>
      <c r="BP1090" s="69" t="inlineStr">
        <is>
          <t>Midland Loan Services</t>
        </is>
      </c>
      <c r="BQ1090" s="69" t="inlineStr">
        <is>
          <t>Aegon USA Realty</t>
        </is>
      </c>
      <c r="BR1090" s="69" t="n"/>
      <c r="BS1090" s="73" t="n">
        <v>46276</v>
      </c>
      <c r="BU1090" s="76">
        <f>IF($C1090="","",IFERROR(INDEX(dmName,MATCH($C1090,dmID,0)),"Unmapped"))</f>
        <v/>
      </c>
      <c r="BV1090" s="76">
        <f>IF($C1090="","",IFERROR(INDEX(dmEntity,MATCH($C1090,dmID,0)),"Unmapped"))</f>
        <v/>
      </c>
      <c r="BW1090" s="77">
        <f>IF($C1090="","",IFERROR(INDEX(dmVintage,MATCH($C1090,dmID,0)),""))</f>
        <v/>
      </c>
      <c r="BX1090" s="78">
        <f>IFERROR(INDEX(dmInclude,MATCH($C1090,dmID,0)),0)</f>
        <v/>
      </c>
      <c r="BY1090" s="78">
        <f>IF(N($I1090)&gt;0,1,0)</f>
        <v/>
      </c>
      <c r="BZ1090" s="76">
        <f>IF($AJ1090="","Other / Leased Fee",IFERROR(INDEX(mapPTGroup,MATCH(LEFT(TRIM($AJ1090),2),mapPTCode,0)),"Other / Leased Fee"))</f>
        <v/>
      </c>
      <c r="CA1090" s="76">
        <f>IF(TRIM($AF1090&amp;"")="","NR",LEFT(TRIM($AF1090),2))</f>
        <v/>
      </c>
      <c r="CB1090" s="76">
        <f>IFERROR(LOOKUP(2,1/(LEFT(TRIM($AI1090&amp;""),LEN(mapRegion))=mapRegion),mapRegion),"Not Reported")</f>
        <v/>
      </c>
      <c r="CC1090" s="76">
        <f>IF($BY1090=0,"",IF(TRIM($W1090&amp;"")="REO","REO",IF(TRIM($W1090&amp;"")="FC","Foreclosure",IF(TRIM($W1090&amp;"")="90+","90+ Days Delinquent",IF(TRIM($W1090&amp;"")="60","60 Days Delinquent",IF(TRIM($W1090&amp;"")="30","30 Days Delinquent",IF($X1090="Non-Performing Matured Balloon","Non-Performing Matured Balloon",IF(OR($X1090="Late Payment But Less Than 30 Days Delinquent",LEFT($X1090&amp;"",20)="Payment Not Received"),"Late / In Grace (&lt;30 Days)",IF($X1090="Performing Matured Balloon","Performing Matured Balloon","Current")))))))))</f>
        <v/>
      </c>
      <c r="CD1090" s="78">
        <f>IF(OR($CC1090="REO",$CC1090="Foreclosure",$CC1090="90+ Days Delinquent",$CC1090="60 Days Delinquent",$CC1090="30 Days Delinquent",$CC1090="Non-Performing Matured Balloon"),1,0)</f>
        <v/>
      </c>
      <c r="CE1090" s="76">
        <f>IF($AB1090="Currently special serv","Currently Specially Serviced",IF($AB1090="Returned to master serv","Previously Specially Serviced","Never Specially Serviced"))</f>
        <v/>
      </c>
      <c r="CF1090" s="78">
        <f>IF($CE1090="Currently Specially Serviced",1,0)</f>
        <v/>
      </c>
      <c r="CG1090" s="76">
        <f>IF($AA1090="Yes","Currently on Watchlist",IF($AA1090="Previously","Previously on Watchlist","Never on Watchlist"))</f>
        <v/>
      </c>
      <c r="CH1090" s="78">
        <f>IF($CG1090="Currently on Watchlist",1,0)</f>
        <v/>
      </c>
      <c r="CI1090" s="76">
        <f>IF($Z1090="Full Defeasance","Fully Defeased",IF($Z1090="Portion Of Loan Previously Defeased","Partially Defeased",IF($Z1090="Defeasance Not Allowable","Not Defeased (Not Permitted)","Not Defeased")))</f>
        <v/>
      </c>
      <c r="CJ1090" s="78">
        <f>IF($CI1090="Fully Defeased",1,0)</f>
        <v/>
      </c>
      <c r="CK1090" s="76">
        <f>IF($R1090="IO","Full IO",IF(LEFT($R1090&amp;"",7)="IO then","Partial IO","Amortizing"))</f>
        <v/>
      </c>
      <c r="CL1090" s="78">
        <f>IF($CK1090="Full IO",1,0)</f>
        <v/>
      </c>
      <c r="CM1090" s="78">
        <f>IF($CK1090="Partial IO",1,0)</f>
        <v/>
      </c>
      <c r="CN1090" s="76">
        <f>IF(LEFT($F1090&amp;"",10)="SPLIT_LOAN","Pari Passu Split","Standalone")</f>
        <v/>
      </c>
      <c r="CO1090" s="78">
        <f>IF($CN1090="Pari Passu Split",1,0)</f>
        <v/>
      </c>
      <c r="CP1090" s="77">
        <f>IF(ISNUMBER($T1090),YEAR($T1090),"")</f>
        <v/>
      </c>
      <c r="CQ1090" s="79">
        <f>IF(ISNUMBER($V1090),$V1090,IF(ISNUMBER($U1090),$U1090,""))</f>
        <v/>
      </c>
      <c r="CR1090" s="77">
        <f>IF(ISNUMBER($CQ1090),YEAR($CQ1090),"")</f>
        <v/>
      </c>
      <c r="CS1090" s="78">
        <f>IF(ISNUMBER($M1090),MAX(0,$M1090),IF(TRIM($M1090&amp;"")="matured",0,""))</f>
        <v/>
      </c>
      <c r="CT1090" s="78">
        <f>IF(AND(ISNUMBER($CS1090),N($CS1090)&lt;=mMatWindow),1,0)</f>
        <v/>
      </c>
      <c r="CU1090" s="80">
        <f>IF(ISNUMBER($J1090),$J1090/100,"")</f>
        <v/>
      </c>
      <c r="CV1090" s="81">
        <f>IF(ISNUMBER($AQ1090),$AQ1090,"")</f>
        <v/>
      </c>
      <c r="CW1090" s="81">
        <f>IF(ISNUMBER($AR1090),$AR1090,"")</f>
        <v/>
      </c>
      <c r="CX1090" s="82">
        <f>IF(ISNUMBER($AS1090),$AS1090/100,"")</f>
        <v/>
      </c>
      <c r="CY1090" s="82">
        <f>IF(ISNUMBER($AT1090),$AT1090/100,"")</f>
        <v/>
      </c>
      <c r="CZ1090" s="82">
        <f>IF(ISNUMBER($AU1090),$AU1090/100,"")</f>
        <v/>
      </c>
      <c r="DA1090" s="82">
        <f>IF(ISNUMBER($AV1090),$AV1090/100,"")</f>
        <v/>
      </c>
      <c r="DB1090" s="82">
        <f>IF(ISNUMBER($AW1090),$AW1090/100,"")</f>
        <v/>
      </c>
      <c r="DC1090" s="82">
        <f>IF(ISNUMBER($AX1090),$AX1090/100,"")</f>
        <v/>
      </c>
      <c r="DD1090" s="77">
        <f>IFERROR(VALUE(LEFT(TRIM($AO1090&amp;""),4)),"")</f>
        <v/>
      </c>
      <c r="DE1090" s="78">
        <f>IF(AND($BY1090=1,$BX1090=1,OR(fDeal="All Deals",$BU1090=fDeal),OR(fEntity="All Entities",$BV1090=fEntity),OR(fPType="All Property Types",$BZ1090=fPType),OR(fDefeased="Include",$CJ1090=0)),1,0)</f>
        <v/>
      </c>
      <c r="DF1090" s="83">
        <f>$DE1090*N($I1090)</f>
        <v/>
      </c>
      <c r="DG1090" s="78">
        <f>IF($DE1090=1,IF(COUNTIFS($F$8:$F1090,$F1090,$DE$8:$DE1090,1)=1,1,0),0)</f>
        <v/>
      </c>
      <c r="DH1090" s="83">
        <f>IF($DG1090=1,SUMIFS($DF$8:$DF$1600,$F$8:$F$1600,$F1090),0)</f>
        <v/>
      </c>
      <c r="DI1090" s="78">
        <f>IF($DG1090=1,COUNTIFS($F$8:$F$1600,$F1090,$DE$8:$DE$1600,1),0)</f>
        <v/>
      </c>
      <c r="DJ1090" s="84">
        <f>IF($DG1090=1,$DH1090+(100000-ROW())/mTieBreak,0)</f>
        <v/>
      </c>
    </row>
    <row r="1091">
      <c r="B1091" s="68" t="n">
        <v>11</v>
      </c>
      <c r="C1091" s="69" t="inlineStr">
        <is>
          <t>JPD17C7</t>
        </is>
      </c>
      <c r="D1091" s="69" t="inlineStr">
        <is>
          <t>11.000</t>
        </is>
      </c>
      <c r="E1091" s="69" t="inlineStr">
        <is>
          <t>IRG Portfolio</t>
        </is>
      </c>
      <c r="F1091" s="69" t="inlineStr">
        <is>
          <t>SPLIT_LOAN_01101</t>
        </is>
      </c>
      <c r="G1091" s="70" t="n">
        <v>1101</v>
      </c>
      <c r="H1091" s="71" t="n">
        <v>45000000</v>
      </c>
      <c r="I1091" s="71" t="n">
        <v>37530273.469995</v>
      </c>
      <c r="J1091" s="72" t="n">
        <v>4.66</v>
      </c>
      <c r="K1091" s="69" t="inlineStr">
        <is>
          <t>Fixed rate</t>
        </is>
      </c>
      <c r="L1091" s="68" t="n">
        <v>120</v>
      </c>
      <c r="M1091" s="68" t="n">
        <v>11</v>
      </c>
      <c r="N1091" s="68" t="n">
        <v>360</v>
      </c>
      <c r="O1091" s="68" t="n"/>
      <c r="P1091" s="68" t="n"/>
      <c r="Q1091" s="68" t="n">
        <v>109</v>
      </c>
      <c r="R1091" s="69" t="n"/>
      <c r="S1091" s="69" t="inlineStr">
        <is>
          <t>No</t>
        </is>
      </c>
      <c r="T1091" s="73" t="n">
        <v>42948</v>
      </c>
      <c r="U1091" s="73" t="n">
        <v>46605</v>
      </c>
      <c r="V1091" s="73" t="n"/>
      <c r="W1091" s="69" t="n"/>
      <c r="X1091" s="69" t="inlineStr">
        <is>
          <t>Current</t>
        </is>
      </c>
      <c r="Y1091" s="68" t="n"/>
      <c r="Z1091" s="69" t="inlineStr">
        <is>
          <t>No Defeasance Occurred</t>
        </is>
      </c>
      <c r="AA1091" s="69" t="inlineStr">
        <is>
          <t>Previously</t>
        </is>
      </c>
      <c r="AB1091" s="69" t="inlineStr">
        <is>
          <t>Never special serv</t>
        </is>
      </c>
      <c r="AC1091" s="73" t="n"/>
      <c r="AD1091" s="69" t="n"/>
      <c r="AE1091" s="69" t="n"/>
      <c r="AF1091" s="69" t="inlineStr">
        <is>
          <t>OH</t>
        </is>
      </c>
      <c r="AG1091" s="69" t="n"/>
      <c r="AH1091" s="69" t="inlineStr">
        <is>
          <t>Cleveland, OH-44.411472870% Akron, OH-44.114737968% Youngstown-Warren, OH-11.473789162%</t>
        </is>
      </c>
      <c r="AI1091" s="69" t="inlineStr">
        <is>
          <t>Midwest / Central East</t>
        </is>
      </c>
      <c r="AJ1091" s="69" t="inlineStr">
        <is>
          <t>IN</t>
        </is>
      </c>
      <c r="AK1091" s="69" t="n"/>
      <c r="AL1091" s="68" t="n">
        <v>5</v>
      </c>
      <c r="AM1091" s="68" t="n"/>
      <c r="AN1091" s="68" t="n">
        <v>3882864</v>
      </c>
      <c r="AO1091" s="69" t="n"/>
      <c r="AP1091" s="70" t="n">
        <v>2010</v>
      </c>
      <c r="AQ1091" s="74" t="n">
        <v>1.46</v>
      </c>
      <c r="AR1091" s="74" t="n">
        <v>4.45</v>
      </c>
      <c r="AS1091" s="74" t="n">
        <v>68.90000000000001</v>
      </c>
      <c r="AT1091" s="74" t="n">
        <v>57.59</v>
      </c>
      <c r="AU1091" s="74" t="n">
        <v>56.1</v>
      </c>
      <c r="AV1091" s="74" t="n">
        <v>9.062025766</v>
      </c>
      <c r="AW1091" s="74" t="n">
        <v>20.519588543</v>
      </c>
      <c r="AX1091" s="75" t="n">
        <v>79</v>
      </c>
      <c r="AY1091" s="71" t="n">
        <v>105000000</v>
      </c>
      <c r="AZ1091" s="71" t="n">
        <v>105000000</v>
      </c>
      <c r="BA1091" s="71" t="n">
        <v>6569968.68</v>
      </c>
      <c r="BB1091" s="71" t="n">
        <v>12407259.62</v>
      </c>
      <c r="BC1091" s="69" t="inlineStr">
        <is>
          <t>Refinance</t>
        </is>
      </c>
      <c r="BD1091" s="69" t="inlineStr">
        <is>
          <t>N</t>
        </is>
      </c>
      <c r="BE1091" s="71" t="n">
        <v>22935167.12</v>
      </c>
      <c r="BF1091" s="71" t="n"/>
      <c r="BG1091" s="71" t="n"/>
      <c r="BH1091" s="71" t="n">
        <v>0</v>
      </c>
      <c r="BI1091" s="71" t="n">
        <v>0</v>
      </c>
      <c r="BJ1091" s="69" t="inlineStr">
        <is>
          <t>N</t>
        </is>
      </c>
      <c r="BK1091" s="69" t="inlineStr">
        <is>
          <t>TREMCO INCORPORATED</t>
        </is>
      </c>
      <c r="BL1091" s="75" t="n">
        <v>12.86</v>
      </c>
      <c r="BM1091" s="73" t="n">
        <v>48529</v>
      </c>
      <c r="BN1091" s="69" t="inlineStr">
        <is>
          <t>Stuart Lichter, Christopher Semarjian</t>
        </is>
      </c>
      <c r="BO1091" s="69" t="inlineStr">
        <is>
          <t>GACC</t>
        </is>
      </c>
      <c r="BP1091" s="69" t="inlineStr">
        <is>
          <t>Midland Loan Services</t>
        </is>
      </c>
      <c r="BQ1091" s="69" t="inlineStr">
        <is>
          <t>K-Star Asset Management LLC</t>
        </is>
      </c>
      <c r="BR1091" s="69" t="n"/>
      <c r="BS1091" s="73" t="n">
        <v>46276</v>
      </c>
      <c r="BU1091" s="76">
        <f>IF($C1091="","",IFERROR(INDEX(dmName,MATCH($C1091,dmID,0)),"Unmapped"))</f>
        <v/>
      </c>
      <c r="BV1091" s="76">
        <f>IF($C1091="","",IFERROR(INDEX(dmEntity,MATCH($C1091,dmID,0)),"Unmapped"))</f>
        <v/>
      </c>
      <c r="BW1091" s="77">
        <f>IF($C1091="","",IFERROR(INDEX(dmVintage,MATCH($C1091,dmID,0)),""))</f>
        <v/>
      </c>
      <c r="BX1091" s="78">
        <f>IFERROR(INDEX(dmInclude,MATCH($C1091,dmID,0)),0)</f>
        <v/>
      </c>
      <c r="BY1091" s="78">
        <f>IF(N($I1091)&gt;0,1,0)</f>
        <v/>
      </c>
      <c r="BZ1091" s="76">
        <f>IF($AJ1091="","Other / Leased Fee",IFERROR(INDEX(mapPTGroup,MATCH(LEFT(TRIM($AJ1091),2),mapPTCode,0)),"Other / Leased Fee"))</f>
        <v/>
      </c>
      <c r="CA1091" s="76">
        <f>IF(TRIM($AF1091&amp;"")="","NR",LEFT(TRIM($AF1091),2))</f>
        <v/>
      </c>
      <c r="CB1091" s="76">
        <f>IFERROR(LOOKUP(2,1/(LEFT(TRIM($AI1091&amp;""),LEN(mapRegion))=mapRegion),mapRegion),"Not Reported")</f>
        <v/>
      </c>
      <c r="CC1091" s="76">
        <f>IF($BY1091=0,"",IF(TRIM($W1091&amp;"")="REO","REO",IF(TRIM($W1091&amp;"")="FC","Foreclosure",IF(TRIM($W1091&amp;"")="90+","90+ Days Delinquent",IF(TRIM($W1091&amp;"")="60","60 Days Delinquent",IF(TRIM($W1091&amp;"")="30","30 Days Delinquent",IF($X1091="Non-Performing Matured Balloon","Non-Performing Matured Balloon",IF(OR($X1091="Late Payment But Less Than 30 Days Delinquent",LEFT($X1091&amp;"",20)="Payment Not Received"),"Late / In Grace (&lt;30 Days)",IF($X1091="Performing Matured Balloon","Performing Matured Balloon","Current")))))))))</f>
        <v/>
      </c>
      <c r="CD1091" s="78">
        <f>IF(OR($CC1091="REO",$CC1091="Foreclosure",$CC1091="90+ Days Delinquent",$CC1091="60 Days Delinquent",$CC1091="30 Days Delinquent",$CC1091="Non-Performing Matured Balloon"),1,0)</f>
        <v/>
      </c>
      <c r="CE1091" s="76">
        <f>IF($AB1091="Currently special serv","Currently Specially Serviced",IF($AB1091="Returned to master serv","Previously Specially Serviced","Never Specially Serviced"))</f>
        <v/>
      </c>
      <c r="CF1091" s="78">
        <f>IF($CE1091="Currently Specially Serviced",1,0)</f>
        <v/>
      </c>
      <c r="CG1091" s="76">
        <f>IF($AA1091="Yes","Currently on Watchlist",IF($AA1091="Previously","Previously on Watchlist","Never on Watchlist"))</f>
        <v/>
      </c>
      <c r="CH1091" s="78">
        <f>IF($CG1091="Currently on Watchlist",1,0)</f>
        <v/>
      </c>
      <c r="CI1091" s="76">
        <f>IF($Z1091="Full Defeasance","Fully Defeased",IF($Z1091="Portion Of Loan Previously Defeased","Partially Defeased",IF($Z1091="Defeasance Not Allowable","Not Defeased (Not Permitted)","Not Defeased")))</f>
        <v/>
      </c>
      <c r="CJ1091" s="78">
        <f>IF($CI1091="Fully Defeased",1,0)</f>
        <v/>
      </c>
      <c r="CK1091" s="76">
        <f>IF($R1091="IO","Full IO",IF(LEFT($R1091&amp;"",7)="IO then","Partial IO","Amortizing"))</f>
        <v/>
      </c>
      <c r="CL1091" s="78">
        <f>IF($CK1091="Full IO",1,0)</f>
        <v/>
      </c>
      <c r="CM1091" s="78">
        <f>IF($CK1091="Partial IO",1,0)</f>
        <v/>
      </c>
      <c r="CN1091" s="76">
        <f>IF(LEFT($F1091&amp;"",10)="SPLIT_LOAN","Pari Passu Split","Standalone")</f>
        <v/>
      </c>
      <c r="CO1091" s="78">
        <f>IF($CN1091="Pari Passu Split",1,0)</f>
        <v/>
      </c>
      <c r="CP1091" s="77">
        <f>IF(ISNUMBER($T1091),YEAR($T1091),"")</f>
        <v/>
      </c>
      <c r="CQ1091" s="79">
        <f>IF(ISNUMBER($V1091),$V1091,IF(ISNUMBER($U1091),$U1091,""))</f>
        <v/>
      </c>
      <c r="CR1091" s="77">
        <f>IF(ISNUMBER($CQ1091),YEAR($CQ1091),"")</f>
        <v/>
      </c>
      <c r="CS1091" s="78">
        <f>IF(ISNUMBER($M1091),MAX(0,$M1091),IF(TRIM($M1091&amp;"")="matured",0,""))</f>
        <v/>
      </c>
      <c r="CT1091" s="78">
        <f>IF(AND(ISNUMBER($CS1091),N($CS1091)&lt;=mMatWindow),1,0)</f>
        <v/>
      </c>
      <c r="CU1091" s="80">
        <f>IF(ISNUMBER($J1091),$J1091/100,"")</f>
        <v/>
      </c>
      <c r="CV1091" s="81">
        <f>IF(ISNUMBER($AQ1091),$AQ1091,"")</f>
        <v/>
      </c>
      <c r="CW1091" s="81">
        <f>IF(ISNUMBER($AR1091),$AR1091,"")</f>
        <v/>
      </c>
      <c r="CX1091" s="82">
        <f>IF(ISNUMBER($AS1091),$AS1091/100,"")</f>
        <v/>
      </c>
      <c r="CY1091" s="82">
        <f>IF(ISNUMBER($AT1091),$AT1091/100,"")</f>
        <v/>
      </c>
      <c r="CZ1091" s="82">
        <f>IF(ISNUMBER($AU1091),$AU1091/100,"")</f>
        <v/>
      </c>
      <c r="DA1091" s="82">
        <f>IF(ISNUMBER($AV1091),$AV1091/100,"")</f>
        <v/>
      </c>
      <c r="DB1091" s="82">
        <f>IF(ISNUMBER($AW1091),$AW1091/100,"")</f>
        <v/>
      </c>
      <c r="DC1091" s="82">
        <f>IF(ISNUMBER($AX1091),$AX1091/100,"")</f>
        <v/>
      </c>
      <c r="DD1091" s="77">
        <f>IFERROR(VALUE(LEFT(TRIM($AO1091&amp;""),4)),"")</f>
        <v/>
      </c>
      <c r="DE1091" s="78">
        <f>IF(AND($BY1091=1,$BX1091=1,OR(fDeal="All Deals",$BU1091=fDeal),OR(fEntity="All Entities",$BV1091=fEntity),OR(fPType="All Property Types",$BZ1091=fPType),OR(fDefeased="Include",$CJ1091=0)),1,0)</f>
        <v/>
      </c>
      <c r="DF1091" s="83">
        <f>$DE1091*N($I1091)</f>
        <v/>
      </c>
      <c r="DG1091" s="78">
        <f>IF($DE1091=1,IF(COUNTIFS($F$8:$F1091,$F1091,$DE$8:$DE1091,1)=1,1,0),0)</f>
        <v/>
      </c>
      <c r="DH1091" s="83">
        <f>IF($DG1091=1,SUMIFS($DF$8:$DF$1600,$F$8:$F$1600,$F1091),0)</f>
        <v/>
      </c>
      <c r="DI1091" s="78">
        <f>IF($DG1091=1,COUNTIFS($F$8:$F$1600,$F1091,$DE$8:$DE$1600,1),0)</f>
        <v/>
      </c>
      <c r="DJ1091" s="84">
        <f>IF($DG1091=1,$DH1091+(100000-ROW())/mTieBreak,0)</f>
        <v/>
      </c>
    </row>
    <row r="1092">
      <c r="B1092" s="68" t="n">
        <v>12</v>
      </c>
      <c r="C1092" s="69" t="inlineStr">
        <is>
          <t>JPD17C7</t>
        </is>
      </c>
      <c r="D1092" s="69" t="inlineStr">
        <is>
          <t>12.000</t>
        </is>
      </c>
      <c r="E1092" s="69" t="inlineStr">
        <is>
          <t>Villas at San Gabriel</t>
        </is>
      </c>
      <c r="F1092" s="69" t="inlineStr">
        <is>
          <t>LNJPD17C7-12.000</t>
        </is>
      </c>
      <c r="G1092" s="70" t="n"/>
      <c r="H1092" s="71" t="n">
        <v>43000000</v>
      </c>
      <c r="I1092" s="71" t="n">
        <v>40403826.69999201</v>
      </c>
      <c r="J1092" s="72" t="n">
        <v>4.886</v>
      </c>
      <c r="K1092" s="69" t="inlineStr">
        <is>
          <t>Fixed rate</t>
        </is>
      </c>
      <c r="L1092" s="68" t="n">
        <v>120</v>
      </c>
      <c r="M1092" s="68" t="n">
        <v>13</v>
      </c>
      <c r="N1092" s="68" t="n">
        <v>420</v>
      </c>
      <c r="O1092" s="68" t="n">
        <v>60</v>
      </c>
      <c r="P1092" s="68" t="n">
        <v>0</v>
      </c>
      <c r="Q1092" s="68" t="n">
        <v>107</v>
      </c>
      <c r="R1092" s="69" t="inlineStr">
        <is>
          <t>IO then Amort</t>
        </is>
      </c>
      <c r="S1092" s="69" t="inlineStr">
        <is>
          <t>No</t>
        </is>
      </c>
      <c r="T1092" s="73" t="n">
        <v>43009</v>
      </c>
      <c r="U1092" s="73" t="n">
        <v>46661</v>
      </c>
      <c r="V1092" s="73" t="n"/>
      <c r="W1092" s="69" t="n"/>
      <c r="X1092" s="69" t="inlineStr">
        <is>
          <t>Current</t>
        </is>
      </c>
      <c r="Y1092" s="68" t="n"/>
      <c r="Z1092" s="69" t="inlineStr">
        <is>
          <t>Defeasance Not Allowable</t>
        </is>
      </c>
      <c r="AA1092" s="69" t="inlineStr">
        <is>
          <t>Yes</t>
        </is>
      </c>
      <c r="AB1092" s="69" t="inlineStr">
        <is>
          <t>Never special serv</t>
        </is>
      </c>
      <c r="AC1092" s="73" t="n"/>
      <c r="AD1092" s="69" t="n"/>
      <c r="AE1092" s="69" t="n"/>
      <c r="AF1092" s="69" t="inlineStr">
        <is>
          <t>TX</t>
        </is>
      </c>
      <c r="AG1092" s="69" t="inlineStr">
        <is>
          <t>Austin</t>
        </is>
      </c>
      <c r="AH1092" s="69" t="inlineStr">
        <is>
          <t>Austin-Round Rock-San Marcos, TX</t>
        </is>
      </c>
      <c r="AI1092" s="69" t="inlineStr">
        <is>
          <t>South / Central West</t>
        </is>
      </c>
      <c r="AJ1092" s="69" t="inlineStr">
        <is>
          <t>MF</t>
        </is>
      </c>
      <c r="AK1092" s="69" t="inlineStr">
        <is>
          <t>Student</t>
        </is>
      </c>
      <c r="AL1092" s="68" t="n">
        <v>1</v>
      </c>
      <c r="AM1092" s="68" t="n">
        <v>396</v>
      </c>
      <c r="AN1092" s="68" t="n"/>
      <c r="AO1092" s="69" t="inlineStr">
        <is>
          <t>2017</t>
        </is>
      </c>
      <c r="AP1092" s="70" t="n">
        <v>2017</v>
      </c>
      <c r="AQ1092" s="74" t="n">
        <v>1.31</v>
      </c>
      <c r="AR1092" s="74" t="n">
        <v>2.52</v>
      </c>
      <c r="AS1092" s="74" t="n">
        <v>66.5</v>
      </c>
      <c r="AT1092" s="74" t="n">
        <v>62.45</v>
      </c>
      <c r="AU1092" s="74" t="n">
        <v>61.2</v>
      </c>
      <c r="AV1092" s="74" t="n">
        <v>8.340676744</v>
      </c>
      <c r="AW1092" s="74" t="n">
        <v>6.159510431</v>
      </c>
      <c r="AX1092" s="75" t="n">
        <v>41</v>
      </c>
      <c r="AY1092" s="71" t="n">
        <v>64700000</v>
      </c>
      <c r="AZ1092" s="71" t="n">
        <v>64700000</v>
      </c>
      <c r="BA1092" s="71" t="n">
        <v>3586491</v>
      </c>
      <c r="BB1092" s="71" t="n">
        <v>1724139.67</v>
      </c>
      <c r="BC1092" s="69" t="inlineStr">
        <is>
          <t>Refinance</t>
        </is>
      </c>
      <c r="BD1092" s="69" t="inlineStr">
        <is>
          <t>N</t>
        </is>
      </c>
      <c r="BE1092" s="71" t="n"/>
      <c r="BF1092" s="71" t="n"/>
      <c r="BG1092" s="71" t="n"/>
      <c r="BH1092" s="71" t="n">
        <v>0</v>
      </c>
      <c r="BI1092" s="71" t="n">
        <v>0</v>
      </c>
      <c r="BJ1092" s="69" t="inlineStr">
        <is>
          <t>N</t>
        </is>
      </c>
      <c r="BK1092" s="69" t="n"/>
      <c r="BL1092" s="75" t="n"/>
      <c r="BM1092" s="73" t="n"/>
      <c r="BN1092" s="69" t="inlineStr">
        <is>
          <t>Brad J. Zucker</t>
        </is>
      </c>
      <c r="BO1092" s="69" t="inlineStr">
        <is>
          <t>JPMorgan Chase</t>
        </is>
      </c>
      <c r="BP1092" s="69" t="inlineStr">
        <is>
          <t>Midland Loan Services</t>
        </is>
      </c>
      <c r="BQ1092" s="69" t="inlineStr">
        <is>
          <t>K-Star Asset Management LLC</t>
        </is>
      </c>
      <c r="BR1092" s="69" t="n"/>
      <c r="BS1092" s="73" t="n">
        <v>46276</v>
      </c>
      <c r="BU1092" s="76">
        <f>IF($C1092="","",IFERROR(INDEX(dmName,MATCH($C1092,dmID,0)),"Unmapped"))</f>
        <v/>
      </c>
      <c r="BV1092" s="76">
        <f>IF($C1092="","",IFERROR(INDEX(dmEntity,MATCH($C1092,dmID,0)),"Unmapped"))</f>
        <v/>
      </c>
      <c r="BW1092" s="77">
        <f>IF($C1092="","",IFERROR(INDEX(dmVintage,MATCH($C1092,dmID,0)),""))</f>
        <v/>
      </c>
      <c r="BX1092" s="78">
        <f>IFERROR(INDEX(dmInclude,MATCH($C1092,dmID,0)),0)</f>
        <v/>
      </c>
      <c r="BY1092" s="78">
        <f>IF(N($I1092)&gt;0,1,0)</f>
        <v/>
      </c>
      <c r="BZ1092" s="76">
        <f>IF($AJ1092="","Other / Leased Fee",IFERROR(INDEX(mapPTGroup,MATCH(LEFT(TRIM($AJ1092),2),mapPTCode,0)),"Other / Leased Fee"))</f>
        <v/>
      </c>
      <c r="CA1092" s="76">
        <f>IF(TRIM($AF1092&amp;"")="","NR",LEFT(TRIM($AF1092),2))</f>
        <v/>
      </c>
      <c r="CB1092" s="76">
        <f>IFERROR(LOOKUP(2,1/(LEFT(TRIM($AI1092&amp;""),LEN(mapRegion))=mapRegion),mapRegion),"Not Reported")</f>
        <v/>
      </c>
      <c r="CC1092" s="76">
        <f>IF($BY1092=0,"",IF(TRIM($W1092&amp;"")="REO","REO",IF(TRIM($W1092&amp;"")="FC","Foreclosure",IF(TRIM($W1092&amp;"")="90+","90+ Days Delinquent",IF(TRIM($W1092&amp;"")="60","60 Days Delinquent",IF(TRIM($W1092&amp;"")="30","30 Days Delinquent",IF($X1092="Non-Performing Matured Balloon","Non-Performing Matured Balloon",IF(OR($X1092="Late Payment But Less Than 30 Days Delinquent",LEFT($X1092&amp;"",20)="Payment Not Received"),"Late / In Grace (&lt;30 Days)",IF($X1092="Performing Matured Balloon","Performing Matured Balloon","Current")))))))))</f>
        <v/>
      </c>
      <c r="CD1092" s="78">
        <f>IF(OR($CC1092="REO",$CC1092="Foreclosure",$CC1092="90+ Days Delinquent",$CC1092="60 Days Delinquent",$CC1092="30 Days Delinquent",$CC1092="Non-Performing Matured Balloon"),1,0)</f>
        <v/>
      </c>
      <c r="CE1092" s="76">
        <f>IF($AB1092="Currently special serv","Currently Specially Serviced",IF($AB1092="Returned to master serv","Previously Specially Serviced","Never Specially Serviced"))</f>
        <v/>
      </c>
      <c r="CF1092" s="78">
        <f>IF($CE1092="Currently Specially Serviced",1,0)</f>
        <v/>
      </c>
      <c r="CG1092" s="76">
        <f>IF($AA1092="Yes","Currently on Watchlist",IF($AA1092="Previously","Previously on Watchlist","Never on Watchlist"))</f>
        <v/>
      </c>
      <c r="CH1092" s="78">
        <f>IF($CG1092="Currently on Watchlist",1,0)</f>
        <v/>
      </c>
      <c r="CI1092" s="76">
        <f>IF($Z1092="Full Defeasance","Fully Defeased",IF($Z1092="Portion Of Loan Previously Defeased","Partially Defeased",IF($Z1092="Defeasance Not Allowable","Not Defeased (Not Permitted)","Not Defeased")))</f>
        <v/>
      </c>
      <c r="CJ1092" s="78">
        <f>IF($CI1092="Fully Defeased",1,0)</f>
        <v/>
      </c>
      <c r="CK1092" s="76">
        <f>IF($R1092="IO","Full IO",IF(LEFT($R1092&amp;"",7)="IO then","Partial IO","Amortizing"))</f>
        <v/>
      </c>
      <c r="CL1092" s="78">
        <f>IF($CK1092="Full IO",1,0)</f>
        <v/>
      </c>
      <c r="CM1092" s="78">
        <f>IF($CK1092="Partial IO",1,0)</f>
        <v/>
      </c>
      <c r="CN1092" s="76">
        <f>IF(LEFT($F1092&amp;"",10)="SPLIT_LOAN","Pari Passu Split","Standalone")</f>
        <v/>
      </c>
      <c r="CO1092" s="78">
        <f>IF($CN1092="Pari Passu Split",1,0)</f>
        <v/>
      </c>
      <c r="CP1092" s="77">
        <f>IF(ISNUMBER($T1092),YEAR($T1092),"")</f>
        <v/>
      </c>
      <c r="CQ1092" s="79">
        <f>IF(ISNUMBER($V1092),$V1092,IF(ISNUMBER($U1092),$U1092,""))</f>
        <v/>
      </c>
      <c r="CR1092" s="77">
        <f>IF(ISNUMBER($CQ1092),YEAR($CQ1092),"")</f>
        <v/>
      </c>
      <c r="CS1092" s="78">
        <f>IF(ISNUMBER($M1092),MAX(0,$M1092),IF(TRIM($M1092&amp;"")="matured",0,""))</f>
        <v/>
      </c>
      <c r="CT1092" s="78">
        <f>IF(AND(ISNUMBER($CS1092),N($CS1092)&lt;=mMatWindow),1,0)</f>
        <v/>
      </c>
      <c r="CU1092" s="80">
        <f>IF(ISNUMBER($J1092),$J1092/100,"")</f>
        <v/>
      </c>
      <c r="CV1092" s="81">
        <f>IF(ISNUMBER($AQ1092),$AQ1092,"")</f>
        <v/>
      </c>
      <c r="CW1092" s="81">
        <f>IF(ISNUMBER($AR1092),$AR1092,"")</f>
        <v/>
      </c>
      <c r="CX1092" s="82">
        <f>IF(ISNUMBER($AS1092),$AS1092/100,"")</f>
        <v/>
      </c>
      <c r="CY1092" s="82">
        <f>IF(ISNUMBER($AT1092),$AT1092/100,"")</f>
        <v/>
      </c>
      <c r="CZ1092" s="82">
        <f>IF(ISNUMBER($AU1092),$AU1092/100,"")</f>
        <v/>
      </c>
      <c r="DA1092" s="82">
        <f>IF(ISNUMBER($AV1092),$AV1092/100,"")</f>
        <v/>
      </c>
      <c r="DB1092" s="82">
        <f>IF(ISNUMBER($AW1092),$AW1092/100,"")</f>
        <v/>
      </c>
      <c r="DC1092" s="82">
        <f>IF(ISNUMBER($AX1092),$AX1092/100,"")</f>
        <v/>
      </c>
      <c r="DD1092" s="77">
        <f>IFERROR(VALUE(LEFT(TRIM($AO1092&amp;""),4)),"")</f>
        <v/>
      </c>
      <c r="DE1092" s="78">
        <f>IF(AND($BY1092=1,$BX1092=1,OR(fDeal="All Deals",$BU1092=fDeal),OR(fEntity="All Entities",$BV1092=fEntity),OR(fPType="All Property Types",$BZ1092=fPType),OR(fDefeased="Include",$CJ1092=0)),1,0)</f>
        <v/>
      </c>
      <c r="DF1092" s="83">
        <f>$DE1092*N($I1092)</f>
        <v/>
      </c>
      <c r="DG1092" s="78">
        <f>IF($DE1092=1,IF(COUNTIFS($F$8:$F1092,$F1092,$DE$8:$DE1092,1)=1,1,0),0)</f>
        <v/>
      </c>
      <c r="DH1092" s="83">
        <f>IF($DG1092=1,SUMIFS($DF$8:$DF$1600,$F$8:$F$1600,$F1092),0)</f>
        <v/>
      </c>
      <c r="DI1092" s="78">
        <f>IF($DG1092=1,COUNTIFS($F$8:$F$1600,$F1092,$DE$8:$DE$1600,1),0)</f>
        <v/>
      </c>
      <c r="DJ1092" s="84">
        <f>IF($DG1092=1,$DH1092+(100000-ROW())/mTieBreak,0)</f>
        <v/>
      </c>
    </row>
    <row r="1093">
      <c r="B1093" s="68" t="n">
        <v>13</v>
      </c>
      <c r="C1093" s="69" t="inlineStr">
        <is>
          <t>JPD17C7</t>
        </is>
      </c>
      <c r="D1093" s="69" t="inlineStr">
        <is>
          <t>13.000</t>
        </is>
      </c>
      <c r="E1093" s="69" t="inlineStr">
        <is>
          <t>150 Blackstone River Road</t>
        </is>
      </c>
      <c r="F1093" s="69" t="inlineStr">
        <is>
          <t>LNJPD17C7-13.000</t>
        </is>
      </c>
      <c r="G1093" s="70" t="n"/>
      <c r="H1093" s="71" t="n">
        <v>35000000</v>
      </c>
      <c r="I1093" s="71" t="n">
        <v>35000000</v>
      </c>
      <c r="J1093" s="72" t="n">
        <v>4.9</v>
      </c>
      <c r="K1093" s="69" t="inlineStr">
        <is>
          <t>Fixed rate</t>
        </is>
      </c>
      <c r="L1093" s="68" t="n">
        <v>120</v>
      </c>
      <c r="M1093" s="68" t="n">
        <v>12</v>
      </c>
      <c r="N1093" s="68" t="n">
        <v>120</v>
      </c>
      <c r="O1093" s="68" t="n">
        <v>120</v>
      </c>
      <c r="P1093" s="68" t="n">
        <v>12</v>
      </c>
      <c r="Q1093" s="68" t="n">
        <v>108</v>
      </c>
      <c r="R1093" s="69" t="inlineStr">
        <is>
          <t>IO</t>
        </is>
      </c>
      <c r="S1093" s="69" t="inlineStr">
        <is>
          <t>Yes</t>
        </is>
      </c>
      <c r="T1093" s="73" t="n">
        <v>42979</v>
      </c>
      <c r="U1093" s="73" t="n">
        <v>46636</v>
      </c>
      <c r="V1093" s="73" t="n"/>
      <c r="W1093" s="69" t="n"/>
      <c r="X1093" s="69" t="inlineStr">
        <is>
          <t>Current</t>
        </is>
      </c>
      <c r="Y1093" s="68" t="n"/>
      <c r="Z1093" s="69" t="inlineStr">
        <is>
          <t>No Defeasance Occurred</t>
        </is>
      </c>
      <c r="AA1093" s="69" t="inlineStr">
        <is>
          <t>Previously</t>
        </is>
      </c>
      <c r="AB1093" s="69" t="inlineStr">
        <is>
          <t>Never special serv</t>
        </is>
      </c>
      <c r="AC1093" s="73" t="n"/>
      <c r="AD1093" s="69" t="n"/>
      <c r="AE1093" s="69" t="n"/>
      <c r="AF1093" s="69" t="inlineStr">
        <is>
          <t>MA</t>
        </is>
      </c>
      <c r="AG1093" s="69" t="inlineStr">
        <is>
          <t>Worcester</t>
        </is>
      </c>
      <c r="AH1093" s="69" t="inlineStr">
        <is>
          <t>Worcester, MA</t>
        </is>
      </c>
      <c r="AI1093" s="69" t="inlineStr">
        <is>
          <t>Northeast / New England</t>
        </is>
      </c>
      <c r="AJ1093" s="69" t="inlineStr">
        <is>
          <t>IN</t>
        </is>
      </c>
      <c r="AK1093" s="69" t="inlineStr">
        <is>
          <t>Warehouse/Distribution</t>
        </is>
      </c>
      <c r="AL1093" s="68" t="n">
        <v>1</v>
      </c>
      <c r="AM1093" s="68" t="n"/>
      <c r="AN1093" s="68" t="n">
        <v>619669</v>
      </c>
      <c r="AO1093" s="69" t="inlineStr">
        <is>
          <t>2017</t>
        </is>
      </c>
      <c r="AP1093" s="70" t="n">
        <v>2017</v>
      </c>
      <c r="AQ1093" s="74" t="n">
        <v>1.85</v>
      </c>
      <c r="AR1093" s="74" t="n">
        <v>2.64</v>
      </c>
      <c r="AS1093" s="74" t="n">
        <v>58.3</v>
      </c>
      <c r="AT1093" s="74" t="n">
        <v>58.33</v>
      </c>
      <c r="AU1093" s="74" t="n">
        <v>58.3</v>
      </c>
      <c r="AV1093" s="74" t="n">
        <v>9.193154286</v>
      </c>
      <c r="AW1093" s="74" t="n">
        <v>13.742120943</v>
      </c>
      <c r="AX1093" s="75" t="n">
        <v>100</v>
      </c>
      <c r="AY1093" s="71" t="n">
        <v>60000000</v>
      </c>
      <c r="AZ1093" s="71" t="n">
        <v>60000000</v>
      </c>
      <c r="BA1093" s="71" t="n">
        <v>3217604</v>
      </c>
      <c r="BB1093" s="71" t="n">
        <v>1146422.29</v>
      </c>
      <c r="BC1093" s="69" t="inlineStr">
        <is>
          <t>Refinance</t>
        </is>
      </c>
      <c r="BD1093" s="69" t="inlineStr">
        <is>
          <t>N</t>
        </is>
      </c>
      <c r="BE1093" s="71" t="n"/>
      <c r="BF1093" s="71" t="n"/>
      <c r="BG1093" s="71" t="n">
        <v>7000000</v>
      </c>
      <c r="BH1093" s="71" t="n">
        <v>0</v>
      </c>
      <c r="BI1093" s="71" t="n">
        <v>0</v>
      </c>
      <c r="BJ1093" s="69" t="inlineStr">
        <is>
          <t>N</t>
        </is>
      </c>
      <c r="BK1093" s="69" t="inlineStr">
        <is>
          <t>Imperial Distributors Inc.</t>
        </is>
      </c>
      <c r="BL1093" s="75" t="n">
        <v>52.46</v>
      </c>
      <c r="BM1093" s="73" t="n">
        <v>48610</v>
      </c>
      <c r="BN1093" s="69" t="inlineStr">
        <is>
          <t>Tracy Harpin, Charles S. Giroux, Tracy P. Goodman</t>
        </is>
      </c>
      <c r="BO1093" s="69" t="inlineStr">
        <is>
          <t>JPMorgan Chase</t>
        </is>
      </c>
      <c r="BP1093" s="69" t="inlineStr">
        <is>
          <t>Midland Loan Services</t>
        </is>
      </c>
      <c r="BQ1093" s="69" t="inlineStr">
        <is>
          <t>K-Star Asset Management LLC</t>
        </is>
      </c>
      <c r="BR1093" s="69" t="n"/>
      <c r="BS1093" s="73" t="n">
        <v>46276</v>
      </c>
      <c r="BU1093" s="76">
        <f>IF($C1093="","",IFERROR(INDEX(dmName,MATCH($C1093,dmID,0)),"Unmapped"))</f>
        <v/>
      </c>
      <c r="BV1093" s="76">
        <f>IF($C1093="","",IFERROR(INDEX(dmEntity,MATCH($C1093,dmID,0)),"Unmapped"))</f>
        <v/>
      </c>
      <c r="BW1093" s="77">
        <f>IF($C1093="","",IFERROR(INDEX(dmVintage,MATCH($C1093,dmID,0)),""))</f>
        <v/>
      </c>
      <c r="BX1093" s="78">
        <f>IFERROR(INDEX(dmInclude,MATCH($C1093,dmID,0)),0)</f>
        <v/>
      </c>
      <c r="BY1093" s="78">
        <f>IF(N($I1093)&gt;0,1,0)</f>
        <v/>
      </c>
      <c r="BZ1093" s="76">
        <f>IF($AJ1093="","Other / Leased Fee",IFERROR(INDEX(mapPTGroup,MATCH(LEFT(TRIM($AJ1093),2),mapPTCode,0)),"Other / Leased Fee"))</f>
        <v/>
      </c>
      <c r="CA1093" s="76">
        <f>IF(TRIM($AF1093&amp;"")="","NR",LEFT(TRIM($AF1093),2))</f>
        <v/>
      </c>
      <c r="CB1093" s="76">
        <f>IFERROR(LOOKUP(2,1/(LEFT(TRIM($AI1093&amp;""),LEN(mapRegion))=mapRegion),mapRegion),"Not Reported")</f>
        <v/>
      </c>
      <c r="CC1093" s="76">
        <f>IF($BY1093=0,"",IF(TRIM($W1093&amp;"")="REO","REO",IF(TRIM($W1093&amp;"")="FC","Foreclosure",IF(TRIM($W1093&amp;"")="90+","90+ Days Delinquent",IF(TRIM($W1093&amp;"")="60","60 Days Delinquent",IF(TRIM($W1093&amp;"")="30","30 Days Delinquent",IF($X1093="Non-Performing Matured Balloon","Non-Performing Matured Balloon",IF(OR($X1093="Late Payment But Less Than 30 Days Delinquent",LEFT($X1093&amp;"",20)="Payment Not Received"),"Late / In Grace (&lt;30 Days)",IF($X1093="Performing Matured Balloon","Performing Matured Balloon","Current")))))))))</f>
        <v/>
      </c>
      <c r="CD1093" s="78">
        <f>IF(OR($CC1093="REO",$CC1093="Foreclosure",$CC1093="90+ Days Delinquent",$CC1093="60 Days Delinquent",$CC1093="30 Days Delinquent",$CC1093="Non-Performing Matured Balloon"),1,0)</f>
        <v/>
      </c>
      <c r="CE1093" s="76">
        <f>IF($AB1093="Currently special serv","Currently Specially Serviced",IF($AB1093="Returned to master serv","Previously Specially Serviced","Never Specially Serviced"))</f>
        <v/>
      </c>
      <c r="CF1093" s="78">
        <f>IF($CE1093="Currently Specially Serviced",1,0)</f>
        <v/>
      </c>
      <c r="CG1093" s="76">
        <f>IF($AA1093="Yes","Currently on Watchlist",IF($AA1093="Previously","Previously on Watchlist","Never on Watchlist"))</f>
        <v/>
      </c>
      <c r="CH1093" s="78">
        <f>IF($CG1093="Currently on Watchlist",1,0)</f>
        <v/>
      </c>
      <c r="CI1093" s="76">
        <f>IF($Z1093="Full Defeasance","Fully Defeased",IF($Z1093="Portion Of Loan Previously Defeased","Partially Defeased",IF($Z1093="Defeasance Not Allowable","Not Defeased (Not Permitted)","Not Defeased")))</f>
        <v/>
      </c>
      <c r="CJ1093" s="78">
        <f>IF($CI1093="Fully Defeased",1,0)</f>
        <v/>
      </c>
      <c r="CK1093" s="76">
        <f>IF($R1093="IO","Full IO",IF(LEFT($R1093&amp;"",7)="IO then","Partial IO","Amortizing"))</f>
        <v/>
      </c>
      <c r="CL1093" s="78">
        <f>IF($CK1093="Full IO",1,0)</f>
        <v/>
      </c>
      <c r="CM1093" s="78">
        <f>IF($CK1093="Partial IO",1,0)</f>
        <v/>
      </c>
      <c r="CN1093" s="76">
        <f>IF(LEFT($F1093&amp;"",10)="SPLIT_LOAN","Pari Passu Split","Standalone")</f>
        <v/>
      </c>
      <c r="CO1093" s="78">
        <f>IF($CN1093="Pari Passu Split",1,0)</f>
        <v/>
      </c>
      <c r="CP1093" s="77">
        <f>IF(ISNUMBER($T1093),YEAR($T1093),"")</f>
        <v/>
      </c>
      <c r="CQ1093" s="79">
        <f>IF(ISNUMBER($V1093),$V1093,IF(ISNUMBER($U1093),$U1093,""))</f>
        <v/>
      </c>
      <c r="CR1093" s="77">
        <f>IF(ISNUMBER($CQ1093),YEAR($CQ1093),"")</f>
        <v/>
      </c>
      <c r="CS1093" s="78">
        <f>IF(ISNUMBER($M1093),MAX(0,$M1093),IF(TRIM($M1093&amp;"")="matured",0,""))</f>
        <v/>
      </c>
      <c r="CT1093" s="78">
        <f>IF(AND(ISNUMBER($CS1093),N($CS1093)&lt;=mMatWindow),1,0)</f>
        <v/>
      </c>
      <c r="CU1093" s="80">
        <f>IF(ISNUMBER($J1093),$J1093/100,"")</f>
        <v/>
      </c>
      <c r="CV1093" s="81">
        <f>IF(ISNUMBER($AQ1093),$AQ1093,"")</f>
        <v/>
      </c>
      <c r="CW1093" s="81">
        <f>IF(ISNUMBER($AR1093),$AR1093,"")</f>
        <v/>
      </c>
      <c r="CX1093" s="82">
        <f>IF(ISNUMBER($AS1093),$AS1093/100,"")</f>
        <v/>
      </c>
      <c r="CY1093" s="82">
        <f>IF(ISNUMBER($AT1093),$AT1093/100,"")</f>
        <v/>
      </c>
      <c r="CZ1093" s="82">
        <f>IF(ISNUMBER($AU1093),$AU1093/100,"")</f>
        <v/>
      </c>
      <c r="DA1093" s="82">
        <f>IF(ISNUMBER($AV1093),$AV1093/100,"")</f>
        <v/>
      </c>
      <c r="DB1093" s="82">
        <f>IF(ISNUMBER($AW1093),$AW1093/100,"")</f>
        <v/>
      </c>
      <c r="DC1093" s="82">
        <f>IF(ISNUMBER($AX1093),$AX1093/100,"")</f>
        <v/>
      </c>
      <c r="DD1093" s="77">
        <f>IFERROR(VALUE(LEFT(TRIM($AO1093&amp;""),4)),"")</f>
        <v/>
      </c>
      <c r="DE1093" s="78">
        <f>IF(AND($BY1093=1,$BX1093=1,OR(fDeal="All Deals",$BU1093=fDeal),OR(fEntity="All Entities",$BV1093=fEntity),OR(fPType="All Property Types",$BZ1093=fPType),OR(fDefeased="Include",$CJ1093=0)),1,0)</f>
        <v/>
      </c>
      <c r="DF1093" s="83">
        <f>$DE1093*N($I1093)</f>
        <v/>
      </c>
      <c r="DG1093" s="78">
        <f>IF($DE1093=1,IF(COUNTIFS($F$8:$F1093,$F1093,$DE$8:$DE1093,1)=1,1,0),0)</f>
        <v/>
      </c>
      <c r="DH1093" s="83">
        <f>IF($DG1093=1,SUMIFS($DF$8:$DF$1600,$F$8:$F$1600,$F1093),0)</f>
        <v/>
      </c>
      <c r="DI1093" s="78">
        <f>IF($DG1093=1,COUNTIFS($F$8:$F$1600,$F1093,$DE$8:$DE$1600,1),0)</f>
        <v/>
      </c>
      <c r="DJ1093" s="84">
        <f>IF($DG1093=1,$DH1093+(100000-ROW())/mTieBreak,0)</f>
        <v/>
      </c>
    </row>
    <row r="1094">
      <c r="B1094" s="68" t="n">
        <v>14</v>
      </c>
      <c r="C1094" s="69" t="inlineStr">
        <is>
          <t>JPD17C7</t>
        </is>
      </c>
      <c r="D1094" s="69" t="inlineStr">
        <is>
          <t>14.000</t>
        </is>
      </c>
      <c r="E1094" s="69" t="inlineStr">
        <is>
          <t>Sheraton DFW</t>
        </is>
      </c>
      <c r="F1094" s="69" t="inlineStr">
        <is>
          <t>LNJPD17C7-14.000</t>
        </is>
      </c>
      <c r="G1094" s="70" t="n"/>
      <c r="H1094" s="71" t="n">
        <v>34000000</v>
      </c>
      <c r="I1094" s="71" t="n">
        <v>28280263.48999201</v>
      </c>
      <c r="J1094" s="72" t="n">
        <v>4.572</v>
      </c>
      <c r="K1094" s="69" t="inlineStr">
        <is>
          <t>Fixed rate</t>
        </is>
      </c>
      <c r="L1094" s="68" t="n">
        <v>120</v>
      </c>
      <c r="M1094" s="68" t="n">
        <v>11</v>
      </c>
      <c r="N1094" s="68" t="n">
        <v>360</v>
      </c>
      <c r="O1094" s="68" t="n"/>
      <c r="P1094" s="68" t="n"/>
      <c r="Q1094" s="68" t="n">
        <v>109</v>
      </c>
      <c r="R1094" s="69" t="n"/>
      <c r="S1094" s="69" t="inlineStr">
        <is>
          <t>No</t>
        </is>
      </c>
      <c r="T1094" s="73" t="n">
        <v>42948</v>
      </c>
      <c r="U1094" s="73" t="n">
        <v>46605</v>
      </c>
      <c r="V1094" s="73" t="n"/>
      <c r="W1094" s="69" t="n"/>
      <c r="X1094" s="69" t="inlineStr">
        <is>
          <t>Current</t>
        </is>
      </c>
      <c r="Y1094" s="68" t="n"/>
      <c r="Z1094" s="69" t="inlineStr">
        <is>
          <t>No Defeasance Occurred</t>
        </is>
      </c>
      <c r="AA1094" s="69" t="inlineStr">
        <is>
          <t>Yes</t>
        </is>
      </c>
      <c r="AB1094" s="69" t="inlineStr">
        <is>
          <t>Returned to master serv</t>
        </is>
      </c>
      <c r="AC1094" s="73" t="n"/>
      <c r="AD1094" s="69" t="inlineStr">
        <is>
          <t>Other</t>
        </is>
      </c>
      <c r="AE1094" s="69" t="inlineStr">
        <is>
          <t>Resolved</t>
        </is>
      </c>
      <c r="AF1094" s="69" t="inlineStr">
        <is>
          <t>TX</t>
        </is>
      </c>
      <c r="AG1094" s="69" t="inlineStr">
        <is>
          <t>Irving</t>
        </is>
      </c>
      <c r="AH1094" s="69" t="inlineStr">
        <is>
          <t>Dallas-Fort Worth-Arlington, TX</t>
        </is>
      </c>
      <c r="AI1094" s="69" t="inlineStr">
        <is>
          <t>South / Central West</t>
        </is>
      </c>
      <c r="AJ1094" s="69" t="inlineStr">
        <is>
          <t>HT</t>
        </is>
      </c>
      <c r="AK1094" s="69" t="inlineStr">
        <is>
          <t>Full Service</t>
        </is>
      </c>
      <c r="AL1094" s="68" t="n">
        <v>1</v>
      </c>
      <c r="AM1094" s="68" t="n">
        <v>302</v>
      </c>
      <c r="AN1094" s="68" t="n"/>
      <c r="AO1094" s="69" t="inlineStr">
        <is>
          <t>1982</t>
        </is>
      </c>
      <c r="AP1094" s="70" t="n">
        <v>2014</v>
      </c>
      <c r="AQ1094" s="74" t="n">
        <v>2.19</v>
      </c>
      <c r="AR1094" s="74" t="n">
        <v>1.67</v>
      </c>
      <c r="AS1094" s="74" t="n">
        <v>73.7</v>
      </c>
      <c r="AT1094" s="74" t="n">
        <v>61.48</v>
      </c>
      <c r="AU1094" s="74" t="n">
        <v>59.9</v>
      </c>
      <c r="AV1094" s="74" t="n">
        <v>13.443902765</v>
      </c>
      <c r="AW1094" s="74" t="n">
        <v>5.434738579</v>
      </c>
      <c r="AX1094" s="75" t="n">
        <v>76</v>
      </c>
      <c r="AY1094" s="71" t="n">
        <v>46000000</v>
      </c>
      <c r="AZ1094" s="71" t="n">
        <v>46000000</v>
      </c>
      <c r="BA1094" s="71" t="n">
        <v>4570926.94</v>
      </c>
      <c r="BB1094" s="71" t="n">
        <v>868091.21</v>
      </c>
      <c r="BC1094" s="69" t="inlineStr">
        <is>
          <t>Acquisition</t>
        </is>
      </c>
      <c r="BD1094" s="69" t="inlineStr">
        <is>
          <t>N</t>
        </is>
      </c>
      <c r="BE1094" s="71" t="n"/>
      <c r="BF1094" s="71" t="n"/>
      <c r="BG1094" s="71" t="n">
        <v>4500000</v>
      </c>
      <c r="BH1094" s="71" t="n">
        <v>0</v>
      </c>
      <c r="BI1094" s="71" t="n">
        <v>0</v>
      </c>
      <c r="BJ1094" s="69" t="inlineStr">
        <is>
          <t>Y</t>
        </is>
      </c>
      <c r="BK1094" s="69" t="n"/>
      <c r="BL1094" s="75" t="n"/>
      <c r="BM1094" s="73" t="n"/>
      <c r="BN1094" s="69" t="inlineStr">
        <is>
          <t>Robert E. Buccini, Christopher F. Buccini, David B. Pollin</t>
        </is>
      </c>
      <c r="BO1094" s="69" t="inlineStr">
        <is>
          <t>GACC</t>
        </is>
      </c>
      <c r="BP1094" s="69" t="inlineStr">
        <is>
          <t>Midland Loan Services</t>
        </is>
      </c>
      <c r="BQ1094" s="69" t="inlineStr">
        <is>
          <t>K-Star Asset Management LLC</t>
        </is>
      </c>
      <c r="BR1094" s="69" t="n"/>
      <c r="BS1094" s="73" t="n">
        <v>46276</v>
      </c>
      <c r="BU1094" s="76">
        <f>IF($C1094="","",IFERROR(INDEX(dmName,MATCH($C1094,dmID,0)),"Unmapped"))</f>
        <v/>
      </c>
      <c r="BV1094" s="76">
        <f>IF($C1094="","",IFERROR(INDEX(dmEntity,MATCH($C1094,dmID,0)),"Unmapped"))</f>
        <v/>
      </c>
      <c r="BW1094" s="77">
        <f>IF($C1094="","",IFERROR(INDEX(dmVintage,MATCH($C1094,dmID,0)),""))</f>
        <v/>
      </c>
      <c r="BX1094" s="78">
        <f>IFERROR(INDEX(dmInclude,MATCH($C1094,dmID,0)),0)</f>
        <v/>
      </c>
      <c r="BY1094" s="78">
        <f>IF(N($I1094)&gt;0,1,0)</f>
        <v/>
      </c>
      <c r="BZ1094" s="76">
        <f>IF($AJ1094="","Other / Leased Fee",IFERROR(INDEX(mapPTGroup,MATCH(LEFT(TRIM($AJ1094),2),mapPTCode,0)),"Other / Leased Fee"))</f>
        <v/>
      </c>
      <c r="CA1094" s="76">
        <f>IF(TRIM($AF1094&amp;"")="","NR",LEFT(TRIM($AF1094),2))</f>
        <v/>
      </c>
      <c r="CB1094" s="76">
        <f>IFERROR(LOOKUP(2,1/(LEFT(TRIM($AI1094&amp;""),LEN(mapRegion))=mapRegion),mapRegion),"Not Reported")</f>
        <v/>
      </c>
      <c r="CC1094" s="76">
        <f>IF($BY1094=0,"",IF(TRIM($W1094&amp;"")="REO","REO",IF(TRIM($W1094&amp;"")="FC","Foreclosure",IF(TRIM($W1094&amp;"")="90+","90+ Days Delinquent",IF(TRIM($W1094&amp;"")="60","60 Days Delinquent",IF(TRIM($W1094&amp;"")="30","30 Days Delinquent",IF($X1094="Non-Performing Matured Balloon","Non-Performing Matured Balloon",IF(OR($X1094="Late Payment But Less Than 30 Days Delinquent",LEFT($X1094&amp;"",20)="Payment Not Received"),"Late / In Grace (&lt;30 Days)",IF($X1094="Performing Matured Balloon","Performing Matured Balloon","Current")))))))))</f>
        <v/>
      </c>
      <c r="CD1094" s="78">
        <f>IF(OR($CC1094="REO",$CC1094="Foreclosure",$CC1094="90+ Days Delinquent",$CC1094="60 Days Delinquent",$CC1094="30 Days Delinquent",$CC1094="Non-Performing Matured Balloon"),1,0)</f>
        <v/>
      </c>
      <c r="CE1094" s="76">
        <f>IF($AB1094="Currently special serv","Currently Specially Serviced",IF($AB1094="Returned to master serv","Previously Specially Serviced","Never Specially Serviced"))</f>
        <v/>
      </c>
      <c r="CF1094" s="78">
        <f>IF($CE1094="Currently Specially Serviced",1,0)</f>
        <v/>
      </c>
      <c r="CG1094" s="76">
        <f>IF($AA1094="Yes","Currently on Watchlist",IF($AA1094="Previously","Previously on Watchlist","Never on Watchlist"))</f>
        <v/>
      </c>
      <c r="CH1094" s="78">
        <f>IF($CG1094="Currently on Watchlist",1,0)</f>
        <v/>
      </c>
      <c r="CI1094" s="76">
        <f>IF($Z1094="Full Defeasance","Fully Defeased",IF($Z1094="Portion Of Loan Previously Defeased","Partially Defeased",IF($Z1094="Defeasance Not Allowable","Not Defeased (Not Permitted)","Not Defeased")))</f>
        <v/>
      </c>
      <c r="CJ1094" s="78">
        <f>IF($CI1094="Fully Defeased",1,0)</f>
        <v/>
      </c>
      <c r="CK1094" s="76">
        <f>IF($R1094="IO","Full IO",IF(LEFT($R1094&amp;"",7)="IO then","Partial IO","Amortizing"))</f>
        <v/>
      </c>
      <c r="CL1094" s="78">
        <f>IF($CK1094="Full IO",1,0)</f>
        <v/>
      </c>
      <c r="CM1094" s="78">
        <f>IF($CK1094="Partial IO",1,0)</f>
        <v/>
      </c>
      <c r="CN1094" s="76">
        <f>IF(LEFT($F1094&amp;"",10)="SPLIT_LOAN","Pari Passu Split","Standalone")</f>
        <v/>
      </c>
      <c r="CO1094" s="78">
        <f>IF($CN1094="Pari Passu Split",1,0)</f>
        <v/>
      </c>
      <c r="CP1094" s="77">
        <f>IF(ISNUMBER($T1094),YEAR($T1094),"")</f>
        <v/>
      </c>
      <c r="CQ1094" s="79">
        <f>IF(ISNUMBER($V1094),$V1094,IF(ISNUMBER($U1094),$U1094,""))</f>
        <v/>
      </c>
      <c r="CR1094" s="77">
        <f>IF(ISNUMBER($CQ1094),YEAR($CQ1094),"")</f>
        <v/>
      </c>
      <c r="CS1094" s="78">
        <f>IF(ISNUMBER($M1094),MAX(0,$M1094),IF(TRIM($M1094&amp;"")="matured",0,""))</f>
        <v/>
      </c>
      <c r="CT1094" s="78">
        <f>IF(AND(ISNUMBER($CS1094),N($CS1094)&lt;=mMatWindow),1,0)</f>
        <v/>
      </c>
      <c r="CU1094" s="80">
        <f>IF(ISNUMBER($J1094),$J1094/100,"")</f>
        <v/>
      </c>
      <c r="CV1094" s="81">
        <f>IF(ISNUMBER($AQ1094),$AQ1094,"")</f>
        <v/>
      </c>
      <c r="CW1094" s="81">
        <f>IF(ISNUMBER($AR1094),$AR1094,"")</f>
        <v/>
      </c>
      <c r="CX1094" s="82">
        <f>IF(ISNUMBER($AS1094),$AS1094/100,"")</f>
        <v/>
      </c>
      <c r="CY1094" s="82">
        <f>IF(ISNUMBER($AT1094),$AT1094/100,"")</f>
        <v/>
      </c>
      <c r="CZ1094" s="82">
        <f>IF(ISNUMBER($AU1094),$AU1094/100,"")</f>
        <v/>
      </c>
      <c r="DA1094" s="82">
        <f>IF(ISNUMBER($AV1094),$AV1094/100,"")</f>
        <v/>
      </c>
      <c r="DB1094" s="82">
        <f>IF(ISNUMBER($AW1094),$AW1094/100,"")</f>
        <v/>
      </c>
      <c r="DC1094" s="82">
        <f>IF(ISNUMBER($AX1094),$AX1094/100,"")</f>
        <v/>
      </c>
      <c r="DD1094" s="77">
        <f>IFERROR(VALUE(LEFT(TRIM($AO1094&amp;""),4)),"")</f>
        <v/>
      </c>
      <c r="DE1094" s="78">
        <f>IF(AND($BY1094=1,$BX1094=1,OR(fDeal="All Deals",$BU1094=fDeal),OR(fEntity="All Entities",$BV1094=fEntity),OR(fPType="All Property Types",$BZ1094=fPType),OR(fDefeased="Include",$CJ1094=0)),1,0)</f>
        <v/>
      </c>
      <c r="DF1094" s="83">
        <f>$DE1094*N($I1094)</f>
        <v/>
      </c>
      <c r="DG1094" s="78">
        <f>IF($DE1094=1,IF(COUNTIFS($F$8:$F1094,$F1094,$DE$8:$DE1094,1)=1,1,0),0)</f>
        <v/>
      </c>
      <c r="DH1094" s="83">
        <f>IF($DG1094=1,SUMIFS($DF$8:$DF$1600,$F$8:$F$1600,$F1094),0)</f>
        <v/>
      </c>
      <c r="DI1094" s="78">
        <f>IF($DG1094=1,COUNTIFS($F$8:$F$1600,$F1094,$DE$8:$DE$1600,1),0)</f>
        <v/>
      </c>
      <c r="DJ1094" s="84">
        <f>IF($DG1094=1,$DH1094+(100000-ROW())/mTieBreak,0)</f>
        <v/>
      </c>
    </row>
    <row r="1095">
      <c r="B1095" s="68" t="n">
        <v>15</v>
      </c>
      <c r="C1095" s="69" t="inlineStr">
        <is>
          <t>JPD17C7</t>
        </is>
      </c>
      <c r="D1095" s="69" t="inlineStr">
        <is>
          <t>15.TR</t>
        </is>
      </c>
      <c r="E1095" s="69" t="inlineStr">
        <is>
          <t>245 Park Avenue</t>
        </is>
      </c>
      <c r="F1095" s="69" t="inlineStr">
        <is>
          <t>SPLIT_LOAN_00983</t>
        </is>
      </c>
      <c r="G1095" s="70" t="n">
        <v>983</v>
      </c>
      <c r="H1095" s="71" t="n">
        <v>32000000</v>
      </c>
      <c r="I1095" s="71" t="n">
        <v>32000000</v>
      </c>
      <c r="J1095" s="72" t="n">
        <v>3.6694</v>
      </c>
      <c r="K1095" s="69" t="inlineStr">
        <is>
          <t>Fixed rate</t>
        </is>
      </c>
      <c r="L1095" s="68" t="n">
        <v>120</v>
      </c>
      <c r="M1095" s="68" t="n">
        <v>9</v>
      </c>
      <c r="N1095" s="68" t="n">
        <v>120</v>
      </c>
      <c r="O1095" s="68" t="n">
        <v>120</v>
      </c>
      <c r="P1095" s="68" t="n">
        <v>9</v>
      </c>
      <c r="Q1095" s="68" t="n">
        <v>111</v>
      </c>
      <c r="R1095" s="69" t="inlineStr">
        <is>
          <t>IO</t>
        </is>
      </c>
      <c r="S1095" s="69" t="inlineStr">
        <is>
          <t>Yes</t>
        </is>
      </c>
      <c r="T1095" s="73" t="n">
        <v>42887</v>
      </c>
      <c r="U1095" s="73" t="n">
        <v>46539</v>
      </c>
      <c r="V1095" s="73" t="n"/>
      <c r="W1095" s="69" t="n"/>
      <c r="X1095" s="69" t="inlineStr">
        <is>
          <t>Current</t>
        </is>
      </c>
      <c r="Y1095" s="68" t="n"/>
      <c r="Z1095" s="69" t="inlineStr">
        <is>
          <t>No Defeasance Occurred</t>
        </is>
      </c>
      <c r="AA1095" s="69" t="inlineStr">
        <is>
          <t>Previously</t>
        </is>
      </c>
      <c r="AB1095" s="69" t="inlineStr">
        <is>
          <t>Returned to master serv</t>
        </is>
      </c>
      <c r="AC1095" s="73" t="n"/>
      <c r="AD1095" s="69" t="inlineStr">
        <is>
          <t>Other</t>
        </is>
      </c>
      <c r="AE1095" s="69" t="inlineStr">
        <is>
          <t>Resolved</t>
        </is>
      </c>
      <c r="AF1095" s="69" t="inlineStr">
        <is>
          <t>NY</t>
        </is>
      </c>
      <c r="AG1095" s="69" t="inlineStr">
        <is>
          <t>New York</t>
        </is>
      </c>
      <c r="AH1095" s="69" t="inlineStr">
        <is>
          <t>New York-Newark-Jersey City, NY-NJ</t>
        </is>
      </c>
      <c r="AI1095" s="69" t="inlineStr">
        <is>
          <t>Northeast / Mid-Atlantic</t>
        </is>
      </c>
      <c r="AJ1095" s="69" t="inlineStr">
        <is>
          <t>OF</t>
        </is>
      </c>
      <c r="AK1095" s="69" t="inlineStr">
        <is>
          <t>CBD</t>
        </is>
      </c>
      <c r="AL1095" s="68" t="n">
        <v>1</v>
      </c>
      <c r="AM1095" s="68" t="n"/>
      <c r="AN1095" s="68" t="n">
        <v>1723993</v>
      </c>
      <c r="AO1095" s="69" t="inlineStr">
        <is>
          <t>1965</t>
        </is>
      </c>
      <c r="AP1095" s="70" t="n">
        <v>2006</v>
      </c>
      <c r="AQ1095" s="74" t="n">
        <v>2.73</v>
      </c>
      <c r="AR1095" s="74" t="n">
        <v>2.14</v>
      </c>
      <c r="AS1095" s="74" t="n">
        <v>48.9</v>
      </c>
      <c r="AT1095" s="74" t="n">
        <v>48.87</v>
      </c>
      <c r="AU1095" s="74" t="n">
        <v>48.9</v>
      </c>
      <c r="AV1095" s="74" t="n">
        <v>10.14489838</v>
      </c>
      <c r="AW1095" s="74" t="n">
        <v>6.597072723</v>
      </c>
      <c r="AX1095" s="75" t="n">
        <v>97</v>
      </c>
      <c r="AY1095" s="71" t="n">
        <v>2210000000</v>
      </c>
      <c r="AZ1095" s="71" t="n">
        <v>2210000000</v>
      </c>
      <c r="BA1095" s="71" t="n">
        <v>109564902.5</v>
      </c>
      <c r="BB1095" s="71" t="n">
        <v>77461778.90000001</v>
      </c>
      <c r="BC1095" s="69" t="inlineStr">
        <is>
          <t>Acquisition</t>
        </is>
      </c>
      <c r="BD1095" s="69" t="inlineStr">
        <is>
          <t>N</t>
        </is>
      </c>
      <c r="BE1095" s="71" t="n">
        <v>1048000000</v>
      </c>
      <c r="BF1095" s="71" t="n">
        <v>120000000</v>
      </c>
      <c r="BG1095" s="71" t="n">
        <v>568000000</v>
      </c>
      <c r="BH1095" s="71" t="n">
        <v>0</v>
      </c>
      <c r="BI1095" s="71" t="n">
        <v>0</v>
      </c>
      <c r="BJ1095" s="69" t="inlineStr">
        <is>
          <t>N</t>
        </is>
      </c>
      <c r="BK1095" s="69" t="inlineStr">
        <is>
          <t>Societe Generale</t>
        </is>
      </c>
      <c r="BL1095" s="75" t="n">
        <v>30.86</v>
      </c>
      <c r="BM1095" s="73" t="n">
        <v>48518</v>
      </c>
      <c r="BN1095" s="69" t="inlineStr">
        <is>
          <t>181 West Madison Holding LLC</t>
        </is>
      </c>
      <c r="BO1095" s="69" t="inlineStr">
        <is>
          <t>JPMorgan Chase</t>
        </is>
      </c>
      <c r="BP1095" s="69" t="inlineStr">
        <is>
          <t>Midland Loan Services</t>
        </is>
      </c>
      <c r="BQ1095" s="69" t="inlineStr">
        <is>
          <t>Aegon USA Realty</t>
        </is>
      </c>
      <c r="BR1095" s="69" t="n"/>
      <c r="BS1095" s="73" t="n">
        <v>46276</v>
      </c>
      <c r="BU1095" s="76">
        <f>IF($C1095="","",IFERROR(INDEX(dmName,MATCH($C1095,dmID,0)),"Unmapped"))</f>
        <v/>
      </c>
      <c r="BV1095" s="76">
        <f>IF($C1095="","",IFERROR(INDEX(dmEntity,MATCH($C1095,dmID,0)),"Unmapped"))</f>
        <v/>
      </c>
      <c r="BW1095" s="77">
        <f>IF($C1095="","",IFERROR(INDEX(dmVintage,MATCH($C1095,dmID,0)),""))</f>
        <v/>
      </c>
      <c r="BX1095" s="78">
        <f>IFERROR(INDEX(dmInclude,MATCH($C1095,dmID,0)),0)</f>
        <v/>
      </c>
      <c r="BY1095" s="78">
        <f>IF(N($I1095)&gt;0,1,0)</f>
        <v/>
      </c>
      <c r="BZ1095" s="76">
        <f>IF($AJ1095="","Other / Leased Fee",IFERROR(INDEX(mapPTGroup,MATCH(LEFT(TRIM($AJ1095),2),mapPTCode,0)),"Other / Leased Fee"))</f>
        <v/>
      </c>
      <c r="CA1095" s="76">
        <f>IF(TRIM($AF1095&amp;"")="","NR",LEFT(TRIM($AF1095),2))</f>
        <v/>
      </c>
      <c r="CB1095" s="76">
        <f>IFERROR(LOOKUP(2,1/(LEFT(TRIM($AI1095&amp;""),LEN(mapRegion))=mapRegion),mapRegion),"Not Reported")</f>
        <v/>
      </c>
      <c r="CC1095" s="76">
        <f>IF($BY1095=0,"",IF(TRIM($W1095&amp;"")="REO","REO",IF(TRIM($W1095&amp;"")="FC","Foreclosure",IF(TRIM($W1095&amp;"")="90+","90+ Days Delinquent",IF(TRIM($W1095&amp;"")="60","60 Days Delinquent",IF(TRIM($W1095&amp;"")="30","30 Days Delinquent",IF($X1095="Non-Performing Matured Balloon","Non-Performing Matured Balloon",IF(OR($X1095="Late Payment But Less Than 30 Days Delinquent",LEFT($X1095&amp;"",20)="Payment Not Received"),"Late / In Grace (&lt;30 Days)",IF($X1095="Performing Matured Balloon","Performing Matured Balloon","Current")))))))))</f>
        <v/>
      </c>
      <c r="CD1095" s="78">
        <f>IF(OR($CC1095="REO",$CC1095="Foreclosure",$CC1095="90+ Days Delinquent",$CC1095="60 Days Delinquent",$CC1095="30 Days Delinquent",$CC1095="Non-Performing Matured Balloon"),1,0)</f>
        <v/>
      </c>
      <c r="CE1095" s="76">
        <f>IF($AB1095="Currently special serv","Currently Specially Serviced",IF($AB1095="Returned to master serv","Previously Specially Serviced","Never Specially Serviced"))</f>
        <v/>
      </c>
      <c r="CF1095" s="78">
        <f>IF($CE1095="Currently Specially Serviced",1,0)</f>
        <v/>
      </c>
      <c r="CG1095" s="76">
        <f>IF($AA1095="Yes","Currently on Watchlist",IF($AA1095="Previously","Previously on Watchlist","Never on Watchlist"))</f>
        <v/>
      </c>
      <c r="CH1095" s="78">
        <f>IF($CG1095="Currently on Watchlist",1,0)</f>
        <v/>
      </c>
      <c r="CI1095" s="76">
        <f>IF($Z1095="Full Defeasance","Fully Defeased",IF($Z1095="Portion Of Loan Previously Defeased","Partially Defeased",IF($Z1095="Defeasance Not Allowable","Not Defeased (Not Permitted)","Not Defeased")))</f>
        <v/>
      </c>
      <c r="CJ1095" s="78">
        <f>IF($CI1095="Fully Defeased",1,0)</f>
        <v/>
      </c>
      <c r="CK1095" s="76">
        <f>IF($R1095="IO","Full IO",IF(LEFT($R1095&amp;"",7)="IO then","Partial IO","Amortizing"))</f>
        <v/>
      </c>
      <c r="CL1095" s="78">
        <f>IF($CK1095="Full IO",1,0)</f>
        <v/>
      </c>
      <c r="CM1095" s="78">
        <f>IF($CK1095="Partial IO",1,0)</f>
        <v/>
      </c>
      <c r="CN1095" s="76">
        <f>IF(LEFT($F1095&amp;"",10)="SPLIT_LOAN","Pari Passu Split","Standalone")</f>
        <v/>
      </c>
      <c r="CO1095" s="78">
        <f>IF($CN1095="Pari Passu Split",1,0)</f>
        <v/>
      </c>
      <c r="CP1095" s="77">
        <f>IF(ISNUMBER($T1095),YEAR($T1095),"")</f>
        <v/>
      </c>
      <c r="CQ1095" s="79">
        <f>IF(ISNUMBER($V1095),$V1095,IF(ISNUMBER($U1095),$U1095,""))</f>
        <v/>
      </c>
      <c r="CR1095" s="77">
        <f>IF(ISNUMBER($CQ1095),YEAR($CQ1095),"")</f>
        <v/>
      </c>
      <c r="CS1095" s="78">
        <f>IF(ISNUMBER($M1095),MAX(0,$M1095),IF(TRIM($M1095&amp;"")="matured",0,""))</f>
        <v/>
      </c>
      <c r="CT1095" s="78">
        <f>IF(AND(ISNUMBER($CS1095),N($CS1095)&lt;=mMatWindow),1,0)</f>
        <v/>
      </c>
      <c r="CU1095" s="80">
        <f>IF(ISNUMBER($J1095),$J1095/100,"")</f>
        <v/>
      </c>
      <c r="CV1095" s="81">
        <f>IF(ISNUMBER($AQ1095),$AQ1095,"")</f>
        <v/>
      </c>
      <c r="CW1095" s="81">
        <f>IF(ISNUMBER($AR1095),$AR1095,"")</f>
        <v/>
      </c>
      <c r="CX1095" s="82">
        <f>IF(ISNUMBER($AS1095),$AS1095/100,"")</f>
        <v/>
      </c>
      <c r="CY1095" s="82">
        <f>IF(ISNUMBER($AT1095),$AT1095/100,"")</f>
        <v/>
      </c>
      <c r="CZ1095" s="82">
        <f>IF(ISNUMBER($AU1095),$AU1095/100,"")</f>
        <v/>
      </c>
      <c r="DA1095" s="82">
        <f>IF(ISNUMBER($AV1095),$AV1095/100,"")</f>
        <v/>
      </c>
      <c r="DB1095" s="82">
        <f>IF(ISNUMBER($AW1095),$AW1095/100,"")</f>
        <v/>
      </c>
      <c r="DC1095" s="82">
        <f>IF(ISNUMBER($AX1095),$AX1095/100,"")</f>
        <v/>
      </c>
      <c r="DD1095" s="77">
        <f>IFERROR(VALUE(LEFT(TRIM($AO1095&amp;""),4)),"")</f>
        <v/>
      </c>
      <c r="DE1095" s="78">
        <f>IF(AND($BY1095=1,$BX1095=1,OR(fDeal="All Deals",$BU1095=fDeal),OR(fEntity="All Entities",$BV1095=fEntity),OR(fPType="All Property Types",$BZ1095=fPType),OR(fDefeased="Include",$CJ1095=0)),1,0)</f>
        <v/>
      </c>
      <c r="DF1095" s="83">
        <f>$DE1095*N($I1095)</f>
        <v/>
      </c>
      <c r="DG1095" s="78">
        <f>IF($DE1095=1,IF(COUNTIFS($F$8:$F1095,$F1095,$DE$8:$DE1095,1)=1,1,0),0)</f>
        <v/>
      </c>
      <c r="DH1095" s="83">
        <f>IF($DG1095=1,SUMIFS($DF$8:$DF$1600,$F$8:$F$1600,$F1095),0)</f>
        <v/>
      </c>
      <c r="DI1095" s="78">
        <f>IF($DG1095=1,COUNTIFS($F$8:$F$1600,$F1095,$DE$8:$DE$1600,1),0)</f>
        <v/>
      </c>
      <c r="DJ1095" s="84">
        <f>IF($DG1095=1,$DH1095+(100000-ROW())/mTieBreak,0)</f>
        <v/>
      </c>
    </row>
    <row r="1096">
      <c r="B1096" s="68" t="n">
        <v>16</v>
      </c>
      <c r="C1096" s="69" t="inlineStr">
        <is>
          <t>JPD17C7</t>
        </is>
      </c>
      <c r="D1096" s="69" t="inlineStr">
        <is>
          <t>16.000</t>
        </is>
      </c>
      <c r="E1096" s="69" t="inlineStr">
        <is>
          <t>Walgreens Witkoff Portfolio</t>
        </is>
      </c>
      <c r="F1096" s="69" t="inlineStr">
        <is>
          <t>SPLIT_LOAN_01102</t>
        </is>
      </c>
      <c r="G1096" s="70" t="n">
        <v>1102</v>
      </c>
      <c r="H1096" s="71" t="n">
        <v>32000000</v>
      </c>
      <c r="I1096" s="71" t="n">
        <v>30595598.72</v>
      </c>
      <c r="J1096" s="72" t="n">
        <v>5.04</v>
      </c>
      <c r="K1096" s="69" t="inlineStr">
        <is>
          <t>Fixed rate</t>
        </is>
      </c>
      <c r="L1096" s="68" t="n">
        <v>120</v>
      </c>
      <c r="M1096" s="68" t="n">
        <v>12</v>
      </c>
      <c r="N1096" s="68" t="n">
        <v>432</v>
      </c>
      <c r="O1096" s="68" t="n">
        <v>72</v>
      </c>
      <c r="P1096" s="68" t="n">
        <v>0</v>
      </c>
      <c r="Q1096" s="68" t="n">
        <v>108</v>
      </c>
      <c r="R1096" s="69" t="inlineStr">
        <is>
          <t>IO then Amort</t>
        </is>
      </c>
      <c r="S1096" s="69" t="inlineStr">
        <is>
          <t>No</t>
        </is>
      </c>
      <c r="T1096" s="73" t="n">
        <v>42979</v>
      </c>
      <c r="U1096" s="73" t="n">
        <v>48099</v>
      </c>
      <c r="V1096" s="73" t="n">
        <v>46638</v>
      </c>
      <c r="W1096" s="69" t="n"/>
      <c r="X1096" s="69" t="inlineStr">
        <is>
          <t>Current</t>
        </is>
      </c>
      <c r="Y1096" s="68" t="n"/>
      <c r="Z1096" s="69" t="inlineStr">
        <is>
          <t>No Defeasance Occurred</t>
        </is>
      </c>
      <c r="AA1096" s="69" t="inlineStr">
        <is>
          <t>Yes</t>
        </is>
      </c>
      <c r="AB1096" s="69" t="inlineStr">
        <is>
          <t>Never special serv</t>
        </is>
      </c>
      <c r="AC1096" s="73" t="n"/>
      <c r="AD1096" s="69" t="n"/>
      <c r="AE1096" s="69" t="n"/>
      <c r="AF1096" s="69" t="inlineStr">
        <is>
          <t>MA-47.073171870% NY-14.796746883% ME-13.658534380% NH-12.276424999% NJ-12.195121868%</t>
        </is>
      </c>
      <c r="AG1096" s="69" t="n"/>
      <c r="AH1096" s="69" t="inlineStr">
        <is>
          <t>Worcester, MA-18.455284375% Providence-Warwick, RI-MA-15.203253130% New York-Newark-Jersey City, NY-NJ-14.796746883% Portland-South Portland, ME-13.658534380% Barnstable Town, MA-13.414634365% Boston-Cambridge-Newton, MA-NH-12.276424999% Philadelphia-Camden-Wilmington, PA-NJ-DE-MD-12.195121868%</t>
        </is>
      </c>
      <c r="AI1096" s="69" t="inlineStr">
        <is>
          <t>Northeast / New England-73.008131249% Northeast / Mid-Atlantic-26.991868751%</t>
        </is>
      </c>
      <c r="AJ1096" s="69" t="inlineStr">
        <is>
          <t>RT</t>
        </is>
      </c>
      <c r="AK1096" s="69" t="n"/>
      <c r="AL1096" s="68" t="n">
        <v>7</v>
      </c>
      <c r="AM1096" s="68" t="n"/>
      <c r="AN1096" s="68" t="n">
        <v>93694</v>
      </c>
      <c r="AO1096" s="69" t="inlineStr">
        <is>
          <t>2007</t>
        </is>
      </c>
      <c r="AP1096" s="70" t="n">
        <v>2007</v>
      </c>
      <c r="AQ1096" s="74" t="n">
        <v>1.1</v>
      </c>
      <c r="AR1096" s="74" t="n">
        <v>0.9</v>
      </c>
      <c r="AS1096" s="74" t="n">
        <v>78.29000000000001</v>
      </c>
      <c r="AT1096" s="74" t="n">
        <v>74.86</v>
      </c>
      <c r="AU1096" s="74" t="n">
        <v>73.59</v>
      </c>
      <c r="AV1096" s="74" t="n">
        <v>7.094928993</v>
      </c>
      <c r="AW1096" s="74" t="n">
        <v>6.062917847</v>
      </c>
      <c r="AX1096" s="75" t="n">
        <v>100</v>
      </c>
      <c r="AY1096" s="71" t="n">
        <v>61500000</v>
      </c>
      <c r="AZ1096" s="71" t="n">
        <v>61500000</v>
      </c>
      <c r="BA1096" s="71" t="n">
        <v>3416208.31</v>
      </c>
      <c r="BB1096" s="71" t="n">
        <v>2791174.27</v>
      </c>
      <c r="BC1096" s="69" t="inlineStr">
        <is>
          <t>Refinance</t>
        </is>
      </c>
      <c r="BD1096" s="69" t="inlineStr">
        <is>
          <t>N</t>
        </is>
      </c>
      <c r="BE1096" s="71" t="n">
        <v>15441216.23</v>
      </c>
      <c r="BF1096" s="71" t="n"/>
      <c r="BG1096" s="71" t="n"/>
      <c r="BH1096" s="71" t="n">
        <v>0</v>
      </c>
      <c r="BI1096" s="71" t="n">
        <v>0</v>
      </c>
      <c r="BJ1096" s="69" t="inlineStr">
        <is>
          <t>N</t>
        </is>
      </c>
      <c r="BK1096" s="69" t="inlineStr">
        <is>
          <t>Walgreens</t>
        </is>
      </c>
      <c r="BL1096" s="75" t="n">
        <v>96.37</v>
      </c>
      <c r="BM1096" s="73" t="n">
        <v>57284</v>
      </c>
      <c r="BN1096" s="69" t="inlineStr">
        <is>
          <t>Steven C. Witkoff</t>
        </is>
      </c>
      <c r="BO1096" s="69" t="inlineStr">
        <is>
          <t>GACC</t>
        </is>
      </c>
      <c r="BP1096" s="69" t="inlineStr">
        <is>
          <t>Midland Loan Services</t>
        </is>
      </c>
      <c r="BQ1096" s="69" t="inlineStr">
        <is>
          <t>K-Star Asset Management LLC</t>
        </is>
      </c>
      <c r="BR1096" s="69" t="n"/>
      <c r="BS1096" s="73" t="n">
        <v>46276</v>
      </c>
      <c r="BU1096" s="76">
        <f>IF($C1096="","",IFERROR(INDEX(dmName,MATCH($C1096,dmID,0)),"Unmapped"))</f>
        <v/>
      </c>
      <c r="BV1096" s="76">
        <f>IF($C1096="","",IFERROR(INDEX(dmEntity,MATCH($C1096,dmID,0)),"Unmapped"))</f>
        <v/>
      </c>
      <c r="BW1096" s="77">
        <f>IF($C1096="","",IFERROR(INDEX(dmVintage,MATCH($C1096,dmID,0)),""))</f>
        <v/>
      </c>
      <c r="BX1096" s="78">
        <f>IFERROR(INDEX(dmInclude,MATCH($C1096,dmID,0)),0)</f>
        <v/>
      </c>
      <c r="BY1096" s="78">
        <f>IF(N($I1096)&gt;0,1,0)</f>
        <v/>
      </c>
      <c r="BZ1096" s="76">
        <f>IF($AJ1096="","Other / Leased Fee",IFERROR(INDEX(mapPTGroup,MATCH(LEFT(TRIM($AJ1096),2),mapPTCode,0)),"Other / Leased Fee"))</f>
        <v/>
      </c>
      <c r="CA1096" s="76">
        <f>IF(TRIM($AF1096&amp;"")="","NR",LEFT(TRIM($AF1096),2))</f>
        <v/>
      </c>
      <c r="CB1096" s="76">
        <f>IFERROR(LOOKUP(2,1/(LEFT(TRIM($AI1096&amp;""),LEN(mapRegion))=mapRegion),mapRegion),"Not Reported")</f>
        <v/>
      </c>
      <c r="CC1096" s="76">
        <f>IF($BY1096=0,"",IF(TRIM($W1096&amp;"")="REO","REO",IF(TRIM($W1096&amp;"")="FC","Foreclosure",IF(TRIM($W1096&amp;"")="90+","90+ Days Delinquent",IF(TRIM($W1096&amp;"")="60","60 Days Delinquent",IF(TRIM($W1096&amp;"")="30","30 Days Delinquent",IF($X1096="Non-Performing Matured Balloon","Non-Performing Matured Balloon",IF(OR($X1096="Late Payment But Less Than 30 Days Delinquent",LEFT($X1096&amp;"",20)="Payment Not Received"),"Late / In Grace (&lt;30 Days)",IF($X1096="Performing Matured Balloon","Performing Matured Balloon","Current")))))))))</f>
        <v/>
      </c>
      <c r="CD1096" s="78">
        <f>IF(OR($CC1096="REO",$CC1096="Foreclosure",$CC1096="90+ Days Delinquent",$CC1096="60 Days Delinquent",$CC1096="30 Days Delinquent",$CC1096="Non-Performing Matured Balloon"),1,0)</f>
        <v/>
      </c>
      <c r="CE1096" s="76">
        <f>IF($AB1096="Currently special serv","Currently Specially Serviced",IF($AB1096="Returned to master serv","Previously Specially Serviced","Never Specially Serviced"))</f>
        <v/>
      </c>
      <c r="CF1096" s="78">
        <f>IF($CE1096="Currently Specially Serviced",1,0)</f>
        <v/>
      </c>
      <c r="CG1096" s="76">
        <f>IF($AA1096="Yes","Currently on Watchlist",IF($AA1096="Previously","Previously on Watchlist","Never on Watchlist"))</f>
        <v/>
      </c>
      <c r="CH1096" s="78">
        <f>IF($CG1096="Currently on Watchlist",1,0)</f>
        <v/>
      </c>
      <c r="CI1096" s="76">
        <f>IF($Z1096="Full Defeasance","Fully Defeased",IF($Z1096="Portion Of Loan Previously Defeased","Partially Defeased",IF($Z1096="Defeasance Not Allowable","Not Defeased (Not Permitted)","Not Defeased")))</f>
        <v/>
      </c>
      <c r="CJ1096" s="78">
        <f>IF($CI1096="Fully Defeased",1,0)</f>
        <v/>
      </c>
      <c r="CK1096" s="76">
        <f>IF($R1096="IO","Full IO",IF(LEFT($R1096&amp;"",7)="IO then","Partial IO","Amortizing"))</f>
        <v/>
      </c>
      <c r="CL1096" s="78">
        <f>IF($CK1096="Full IO",1,0)</f>
        <v/>
      </c>
      <c r="CM1096" s="78">
        <f>IF($CK1096="Partial IO",1,0)</f>
        <v/>
      </c>
      <c r="CN1096" s="76">
        <f>IF(LEFT($F1096&amp;"",10)="SPLIT_LOAN","Pari Passu Split","Standalone")</f>
        <v/>
      </c>
      <c r="CO1096" s="78">
        <f>IF($CN1096="Pari Passu Split",1,0)</f>
        <v/>
      </c>
      <c r="CP1096" s="77">
        <f>IF(ISNUMBER($T1096),YEAR($T1096),"")</f>
        <v/>
      </c>
      <c r="CQ1096" s="79">
        <f>IF(ISNUMBER($V1096),$V1096,IF(ISNUMBER($U1096),$U1096,""))</f>
        <v/>
      </c>
      <c r="CR1096" s="77">
        <f>IF(ISNUMBER($CQ1096),YEAR($CQ1096),"")</f>
        <v/>
      </c>
      <c r="CS1096" s="78">
        <f>IF(ISNUMBER($M1096),MAX(0,$M1096),IF(TRIM($M1096&amp;"")="matured",0,""))</f>
        <v/>
      </c>
      <c r="CT1096" s="78">
        <f>IF(AND(ISNUMBER($CS1096),N($CS1096)&lt;=mMatWindow),1,0)</f>
        <v/>
      </c>
      <c r="CU1096" s="80">
        <f>IF(ISNUMBER($J1096),$J1096/100,"")</f>
        <v/>
      </c>
      <c r="CV1096" s="81">
        <f>IF(ISNUMBER($AQ1096),$AQ1096,"")</f>
        <v/>
      </c>
      <c r="CW1096" s="81">
        <f>IF(ISNUMBER($AR1096),$AR1096,"")</f>
        <v/>
      </c>
      <c r="CX1096" s="82">
        <f>IF(ISNUMBER($AS1096),$AS1096/100,"")</f>
        <v/>
      </c>
      <c r="CY1096" s="82">
        <f>IF(ISNUMBER($AT1096),$AT1096/100,"")</f>
        <v/>
      </c>
      <c r="CZ1096" s="82">
        <f>IF(ISNUMBER($AU1096),$AU1096/100,"")</f>
        <v/>
      </c>
      <c r="DA1096" s="82">
        <f>IF(ISNUMBER($AV1096),$AV1096/100,"")</f>
        <v/>
      </c>
      <c r="DB1096" s="82">
        <f>IF(ISNUMBER($AW1096),$AW1096/100,"")</f>
        <v/>
      </c>
      <c r="DC1096" s="82">
        <f>IF(ISNUMBER($AX1096),$AX1096/100,"")</f>
        <v/>
      </c>
      <c r="DD1096" s="77">
        <f>IFERROR(VALUE(LEFT(TRIM($AO1096&amp;""),4)),"")</f>
        <v/>
      </c>
      <c r="DE1096" s="78">
        <f>IF(AND($BY1096=1,$BX1096=1,OR(fDeal="All Deals",$BU1096=fDeal),OR(fEntity="All Entities",$BV1096=fEntity),OR(fPType="All Property Types",$BZ1096=fPType),OR(fDefeased="Include",$CJ1096=0)),1,0)</f>
        <v/>
      </c>
      <c r="DF1096" s="83">
        <f>$DE1096*N($I1096)</f>
        <v/>
      </c>
      <c r="DG1096" s="78">
        <f>IF($DE1096=1,IF(COUNTIFS($F$8:$F1096,$F1096,$DE$8:$DE1096,1)=1,1,0),0)</f>
        <v/>
      </c>
      <c r="DH1096" s="83">
        <f>IF($DG1096=1,SUMIFS($DF$8:$DF$1600,$F$8:$F$1600,$F1096),0)</f>
        <v/>
      </c>
      <c r="DI1096" s="78">
        <f>IF($DG1096=1,COUNTIFS($F$8:$F$1600,$F1096,$DE$8:$DE$1600,1),0)</f>
        <v/>
      </c>
      <c r="DJ1096" s="84">
        <f>IF($DG1096=1,$DH1096+(100000-ROW())/mTieBreak,0)</f>
        <v/>
      </c>
    </row>
    <row r="1097">
      <c r="B1097" s="68" t="n">
        <v>17</v>
      </c>
      <c r="C1097" s="69" t="inlineStr">
        <is>
          <t>JPD17C7</t>
        </is>
      </c>
      <c r="D1097" s="69" t="inlineStr">
        <is>
          <t>17.000</t>
        </is>
      </c>
      <c r="E1097" s="69" t="inlineStr">
        <is>
          <t>Preston Plaza</t>
        </is>
      </c>
      <c r="F1097" s="69" t="inlineStr">
        <is>
          <t>LNJPD17C7-17.000</t>
        </is>
      </c>
      <c r="G1097" s="70" t="n"/>
      <c r="H1097" s="71" t="n">
        <v>27700000</v>
      </c>
      <c r="I1097" s="71" t="n">
        <v>0</v>
      </c>
      <c r="J1097" s="72" t="n">
        <v>4.143</v>
      </c>
      <c r="K1097" s="69" t="inlineStr">
        <is>
          <t>Fixed rate</t>
        </is>
      </c>
      <c r="L1097" s="68" t="n">
        <v>120</v>
      </c>
      <c r="M1097" s="68" t="n"/>
      <c r="N1097" s="68" t="n">
        <v>396</v>
      </c>
      <c r="O1097" s="68" t="n">
        <v>36</v>
      </c>
      <c r="P1097" s="68" t="n"/>
      <c r="Q1097" s="68" t="n"/>
      <c r="R1097" s="69" t="inlineStr">
        <is>
          <t>IO then Amort</t>
        </is>
      </c>
      <c r="S1097" s="69" t="inlineStr">
        <is>
          <t>No</t>
        </is>
      </c>
      <c r="T1097" s="73" t="n">
        <v>42948</v>
      </c>
      <c r="U1097" s="73" t="n">
        <v>46605</v>
      </c>
      <c r="V1097" s="73" t="n"/>
      <c r="W1097" s="69" t="n"/>
      <c r="X1097" s="69" t="inlineStr">
        <is>
          <t>Current</t>
        </is>
      </c>
      <c r="Y1097" s="68" t="n"/>
      <c r="Z1097" s="69" t="inlineStr">
        <is>
          <t>No Defeasance Occurred</t>
        </is>
      </c>
      <c r="AA1097" s="69" t="inlineStr">
        <is>
          <t>Previously</t>
        </is>
      </c>
      <c r="AB1097" s="69" t="inlineStr">
        <is>
          <t>Currently special serv</t>
        </is>
      </c>
      <c r="AC1097" s="73" t="n">
        <v>45180</v>
      </c>
      <c r="AD1097" s="69" t="inlineStr">
        <is>
          <t>Imminent Monetary Default (excluding Balloon/Maturity Default &amp; Single Tenant Bankruptcy/Vacate)</t>
        </is>
      </c>
      <c r="AE1097" s="69" t="inlineStr">
        <is>
          <t>REO</t>
        </is>
      </c>
      <c r="AF1097" s="69" t="inlineStr">
        <is>
          <t>TX</t>
        </is>
      </c>
      <c r="AG1097" s="69" t="inlineStr">
        <is>
          <t>Dallas</t>
        </is>
      </c>
      <c r="AH1097" s="69" t="inlineStr">
        <is>
          <t>Dallas-Fort Worth-Arlington, TX</t>
        </is>
      </c>
      <c r="AI1097" s="69" t="inlineStr">
        <is>
          <t>South / Central West</t>
        </is>
      </c>
      <c r="AJ1097" s="69" t="inlineStr">
        <is>
          <t>OF</t>
        </is>
      </c>
      <c r="AK1097" s="69" t="inlineStr">
        <is>
          <t>Suburban</t>
        </is>
      </c>
      <c r="AL1097" s="68" t="n">
        <v>1</v>
      </c>
      <c r="AM1097" s="68" t="n"/>
      <c r="AN1097" s="68" t="n">
        <v>259009</v>
      </c>
      <c r="AO1097" s="69" t="inlineStr">
        <is>
          <t>1986</t>
        </is>
      </c>
      <c r="AP1097" s="70" t="n">
        <v>2015</v>
      </c>
      <c r="AQ1097" s="74" t="n">
        <v>1.66</v>
      </c>
      <c r="AR1097" s="74" t="n">
        <v>0.1</v>
      </c>
      <c r="AS1097" s="74" t="n">
        <v>66.3</v>
      </c>
      <c r="AT1097" s="74" t="n"/>
      <c r="AU1097" s="74" t="n">
        <v>57.52</v>
      </c>
      <c r="AV1097" s="74" t="n">
        <v>9.661476534</v>
      </c>
      <c r="AW1097" s="74" t="n"/>
      <c r="AX1097" s="75" t="n">
        <v>65</v>
      </c>
      <c r="AY1097" s="71" t="n">
        <v>41800000</v>
      </c>
      <c r="AZ1097" s="71" t="n">
        <v>21000000</v>
      </c>
      <c r="BA1097" s="71" t="n">
        <v>2676229</v>
      </c>
      <c r="BB1097" s="71" t="n">
        <v>171195.89</v>
      </c>
      <c r="BC1097" s="69" t="inlineStr">
        <is>
          <t>Acquisition</t>
        </is>
      </c>
      <c r="BD1097" s="69" t="inlineStr">
        <is>
          <t>N</t>
        </is>
      </c>
      <c r="BE1097" s="71" t="n"/>
      <c r="BF1097" s="71" t="n"/>
      <c r="BG1097" s="71" t="n"/>
      <c r="BH1097" s="71" t="n">
        <v>0</v>
      </c>
      <c r="BI1097" s="71" t="n">
        <v>0</v>
      </c>
      <c r="BJ1097" s="69" t="inlineStr">
        <is>
          <t>N</t>
        </is>
      </c>
      <c r="BK1097" s="69" t="inlineStr">
        <is>
          <t>Slater Matsil LLP</t>
        </is>
      </c>
      <c r="BL1097" s="75" t="n">
        <v>10.29</v>
      </c>
      <c r="BM1097" s="73" t="n">
        <v>45412</v>
      </c>
      <c r="BN1097" s="69" t="inlineStr">
        <is>
          <t>Gulf United Investments Corporation</t>
        </is>
      </c>
      <c r="BO1097" s="69" t="inlineStr">
        <is>
          <t>GACC</t>
        </is>
      </c>
      <c r="BP1097" s="69" t="inlineStr">
        <is>
          <t>Midland Loan Services</t>
        </is>
      </c>
      <c r="BQ1097" s="69" t="inlineStr">
        <is>
          <t>K-Star Asset Management LLC</t>
        </is>
      </c>
      <c r="BR1097" s="69" t="inlineStr">
        <is>
          <t>DPO</t>
        </is>
      </c>
      <c r="BS1097" s="73" t="n">
        <v>46276</v>
      </c>
      <c r="BU1097" s="76">
        <f>IF($C1097="","",IFERROR(INDEX(dmName,MATCH($C1097,dmID,0)),"Unmapped"))</f>
        <v/>
      </c>
      <c r="BV1097" s="76">
        <f>IF($C1097="","",IFERROR(INDEX(dmEntity,MATCH($C1097,dmID,0)),"Unmapped"))</f>
        <v/>
      </c>
      <c r="BW1097" s="77">
        <f>IF($C1097="","",IFERROR(INDEX(dmVintage,MATCH($C1097,dmID,0)),""))</f>
        <v/>
      </c>
      <c r="BX1097" s="78">
        <f>IFERROR(INDEX(dmInclude,MATCH($C1097,dmID,0)),0)</f>
        <v/>
      </c>
      <c r="BY1097" s="78">
        <f>IF(N($I1097)&gt;0,1,0)</f>
        <v/>
      </c>
      <c r="BZ1097" s="76">
        <f>IF($AJ1097="","Other / Leased Fee",IFERROR(INDEX(mapPTGroup,MATCH(LEFT(TRIM($AJ1097),2),mapPTCode,0)),"Other / Leased Fee"))</f>
        <v/>
      </c>
      <c r="CA1097" s="76">
        <f>IF(TRIM($AF1097&amp;"")="","NR",LEFT(TRIM($AF1097),2))</f>
        <v/>
      </c>
      <c r="CB1097" s="76">
        <f>IFERROR(LOOKUP(2,1/(LEFT(TRIM($AI1097&amp;""),LEN(mapRegion))=mapRegion),mapRegion),"Not Reported")</f>
        <v/>
      </c>
      <c r="CC1097" s="76">
        <f>IF($BY1097=0,"",IF(TRIM($W1097&amp;"")="REO","REO",IF(TRIM($W1097&amp;"")="FC","Foreclosure",IF(TRIM($W1097&amp;"")="90+","90+ Days Delinquent",IF(TRIM($W1097&amp;"")="60","60 Days Delinquent",IF(TRIM($W1097&amp;"")="30","30 Days Delinquent",IF($X1097="Non-Performing Matured Balloon","Non-Performing Matured Balloon",IF(OR($X1097="Late Payment But Less Than 30 Days Delinquent",LEFT($X1097&amp;"",20)="Payment Not Received"),"Late / In Grace (&lt;30 Days)",IF($X1097="Performing Matured Balloon","Performing Matured Balloon","Current")))))))))</f>
        <v/>
      </c>
      <c r="CD1097" s="78">
        <f>IF(OR($CC1097="REO",$CC1097="Foreclosure",$CC1097="90+ Days Delinquent",$CC1097="60 Days Delinquent",$CC1097="30 Days Delinquent",$CC1097="Non-Performing Matured Balloon"),1,0)</f>
        <v/>
      </c>
      <c r="CE1097" s="76">
        <f>IF($AB1097="Currently special serv","Currently Specially Serviced",IF($AB1097="Returned to master serv","Previously Specially Serviced","Never Specially Serviced"))</f>
        <v/>
      </c>
      <c r="CF1097" s="78">
        <f>IF($CE1097="Currently Specially Serviced",1,0)</f>
        <v/>
      </c>
      <c r="CG1097" s="76">
        <f>IF($AA1097="Yes","Currently on Watchlist",IF($AA1097="Previously","Previously on Watchlist","Never on Watchlist"))</f>
        <v/>
      </c>
      <c r="CH1097" s="78">
        <f>IF($CG1097="Currently on Watchlist",1,0)</f>
        <v/>
      </c>
      <c r="CI1097" s="76">
        <f>IF($Z1097="Full Defeasance","Fully Defeased",IF($Z1097="Portion Of Loan Previously Defeased","Partially Defeased",IF($Z1097="Defeasance Not Allowable","Not Defeased (Not Permitted)","Not Defeased")))</f>
        <v/>
      </c>
      <c r="CJ1097" s="78">
        <f>IF($CI1097="Fully Defeased",1,0)</f>
        <v/>
      </c>
      <c r="CK1097" s="76">
        <f>IF($R1097="IO","Full IO",IF(LEFT($R1097&amp;"",7)="IO then","Partial IO","Amortizing"))</f>
        <v/>
      </c>
      <c r="CL1097" s="78">
        <f>IF($CK1097="Full IO",1,0)</f>
        <v/>
      </c>
      <c r="CM1097" s="78">
        <f>IF($CK1097="Partial IO",1,0)</f>
        <v/>
      </c>
      <c r="CN1097" s="76">
        <f>IF(LEFT($F1097&amp;"",10)="SPLIT_LOAN","Pari Passu Split","Standalone")</f>
        <v/>
      </c>
      <c r="CO1097" s="78">
        <f>IF($CN1097="Pari Passu Split",1,0)</f>
        <v/>
      </c>
      <c r="CP1097" s="77">
        <f>IF(ISNUMBER($T1097),YEAR($T1097),"")</f>
        <v/>
      </c>
      <c r="CQ1097" s="79">
        <f>IF(ISNUMBER($V1097),$V1097,IF(ISNUMBER($U1097),$U1097,""))</f>
        <v/>
      </c>
      <c r="CR1097" s="77">
        <f>IF(ISNUMBER($CQ1097),YEAR($CQ1097),"")</f>
        <v/>
      </c>
      <c r="CS1097" s="78">
        <f>IF(ISNUMBER($M1097),MAX(0,$M1097),IF(TRIM($M1097&amp;"")="matured",0,""))</f>
        <v/>
      </c>
      <c r="CT1097" s="78">
        <f>IF(AND(ISNUMBER($CS1097),N($CS1097)&lt;=mMatWindow),1,0)</f>
        <v/>
      </c>
      <c r="CU1097" s="80">
        <f>IF(ISNUMBER($J1097),$J1097/100,"")</f>
        <v/>
      </c>
      <c r="CV1097" s="81">
        <f>IF(ISNUMBER($AQ1097),$AQ1097,"")</f>
        <v/>
      </c>
      <c r="CW1097" s="81">
        <f>IF(ISNUMBER($AR1097),$AR1097,"")</f>
        <v/>
      </c>
      <c r="CX1097" s="82">
        <f>IF(ISNUMBER($AS1097),$AS1097/100,"")</f>
        <v/>
      </c>
      <c r="CY1097" s="82">
        <f>IF(ISNUMBER($AT1097),$AT1097/100,"")</f>
        <v/>
      </c>
      <c r="CZ1097" s="82">
        <f>IF(ISNUMBER($AU1097),$AU1097/100,"")</f>
        <v/>
      </c>
      <c r="DA1097" s="82">
        <f>IF(ISNUMBER($AV1097),$AV1097/100,"")</f>
        <v/>
      </c>
      <c r="DB1097" s="82">
        <f>IF(ISNUMBER($AW1097),$AW1097/100,"")</f>
        <v/>
      </c>
      <c r="DC1097" s="82">
        <f>IF(ISNUMBER($AX1097),$AX1097/100,"")</f>
        <v/>
      </c>
      <c r="DD1097" s="77">
        <f>IFERROR(VALUE(LEFT(TRIM($AO1097&amp;""),4)),"")</f>
        <v/>
      </c>
      <c r="DE1097" s="78">
        <f>IF(AND($BY1097=1,$BX1097=1,OR(fDeal="All Deals",$BU1097=fDeal),OR(fEntity="All Entities",$BV1097=fEntity),OR(fPType="All Property Types",$BZ1097=fPType),OR(fDefeased="Include",$CJ1097=0)),1,0)</f>
        <v/>
      </c>
      <c r="DF1097" s="83">
        <f>$DE1097*N($I1097)</f>
        <v/>
      </c>
      <c r="DG1097" s="78">
        <f>IF($DE1097=1,IF(COUNTIFS($F$8:$F1097,$F1097,$DE$8:$DE1097,1)=1,1,0),0)</f>
        <v/>
      </c>
      <c r="DH1097" s="83">
        <f>IF($DG1097=1,SUMIFS($DF$8:$DF$1600,$F$8:$F$1600,$F1097),0)</f>
        <v/>
      </c>
      <c r="DI1097" s="78">
        <f>IF($DG1097=1,COUNTIFS($F$8:$F$1600,$F1097,$DE$8:$DE$1600,1),0)</f>
        <v/>
      </c>
      <c r="DJ1097" s="84">
        <f>IF($DG1097=1,$DH1097+(100000-ROW())/mTieBreak,0)</f>
        <v/>
      </c>
    </row>
    <row r="1098">
      <c r="B1098" s="68" t="n">
        <v>18</v>
      </c>
      <c r="C1098" s="69" t="inlineStr">
        <is>
          <t>JPD17C7</t>
        </is>
      </c>
      <c r="D1098" s="69" t="inlineStr">
        <is>
          <t>18.000</t>
        </is>
      </c>
      <c r="E1098" s="69" t="inlineStr">
        <is>
          <t>Capital Centers II &amp; III</t>
        </is>
      </c>
      <c r="F1098" s="69" t="inlineStr">
        <is>
          <t>SPLIT_LOAN_01103</t>
        </is>
      </c>
      <c r="G1098" s="70" t="n">
        <v>1103</v>
      </c>
      <c r="H1098" s="71" t="n">
        <v>27000000</v>
      </c>
      <c r="I1098" s="71" t="n">
        <v>22243665.69999</v>
      </c>
      <c r="J1098" s="72" t="n">
        <v>4.264</v>
      </c>
      <c r="K1098" s="69" t="inlineStr">
        <is>
          <t>Fixed rate</t>
        </is>
      </c>
      <c r="L1098" s="68" t="n">
        <v>120</v>
      </c>
      <c r="M1098" s="68" t="n">
        <v>11</v>
      </c>
      <c r="N1098" s="68" t="n">
        <v>360</v>
      </c>
      <c r="O1098" s="68" t="n"/>
      <c r="P1098" s="68" t="n"/>
      <c r="Q1098" s="68" t="n">
        <v>109</v>
      </c>
      <c r="R1098" s="69" t="n"/>
      <c r="S1098" s="69" t="inlineStr">
        <is>
          <t>No</t>
        </is>
      </c>
      <c r="T1098" s="73" t="n">
        <v>42948</v>
      </c>
      <c r="U1098" s="73" t="n">
        <v>46605</v>
      </c>
      <c r="V1098" s="73" t="n"/>
      <c r="W1098" s="69" t="n"/>
      <c r="X1098" s="69" t="inlineStr">
        <is>
          <t>Current</t>
        </is>
      </c>
      <c r="Y1098" s="68" t="n"/>
      <c r="Z1098" s="69" t="inlineStr">
        <is>
          <t>No Defeasance Occurred</t>
        </is>
      </c>
      <c r="AA1098" s="69" t="inlineStr">
        <is>
          <t>Yes</t>
        </is>
      </c>
      <c r="AB1098" s="69" t="inlineStr">
        <is>
          <t>Never special serv</t>
        </is>
      </c>
      <c r="AC1098" s="73" t="n"/>
      <c r="AD1098" s="69" t="n"/>
      <c r="AE1098" s="69" t="n"/>
      <c r="AF1098" s="69" t="inlineStr">
        <is>
          <t>CA</t>
        </is>
      </c>
      <c r="AG1098" s="69" t="inlineStr">
        <is>
          <t>Rancho Cordova</t>
        </is>
      </c>
      <c r="AH1098" s="69" t="inlineStr">
        <is>
          <t>Sacramento-Roseville-Folsom, CA</t>
        </is>
      </c>
      <c r="AI1098" s="69" t="inlineStr">
        <is>
          <t>West / Pacific North</t>
        </is>
      </c>
      <c r="AJ1098" s="69" t="inlineStr">
        <is>
          <t>OF</t>
        </is>
      </c>
      <c r="AK1098" s="69" t="inlineStr">
        <is>
          <t>Suburban</t>
        </is>
      </c>
      <c r="AL1098" s="68" t="n">
        <v>2</v>
      </c>
      <c r="AM1098" s="68" t="n"/>
      <c r="AN1098" s="68" t="n">
        <v>530365</v>
      </c>
      <c r="AO1098" s="69" t="inlineStr">
        <is>
          <t>1984, 1985</t>
        </is>
      </c>
      <c r="AP1098" s="70" t="n">
        <v>1985</v>
      </c>
      <c r="AQ1098" s="74" t="n">
        <v>1.74</v>
      </c>
      <c r="AR1098" s="74" t="n">
        <v>0.85</v>
      </c>
      <c r="AS1098" s="74" t="n">
        <v>68.8</v>
      </c>
      <c r="AT1098" s="74" t="n">
        <v>56.84</v>
      </c>
      <c r="AU1098" s="74" t="n">
        <v>55.32</v>
      </c>
      <c r="AV1098" s="74" t="n">
        <v>10.307968433</v>
      </c>
      <c r="AW1098" s="74" t="n">
        <v>6.58932668</v>
      </c>
      <c r="AX1098" s="75" t="n">
        <v>89.59999999999999</v>
      </c>
      <c r="AY1098" s="71" t="n">
        <v>70300000</v>
      </c>
      <c r="AZ1098" s="71" t="n">
        <v>70300000</v>
      </c>
      <c r="BA1098" s="71" t="n">
        <v>4999364.69</v>
      </c>
      <c r="BB1098" s="71" t="n">
        <v>2427101.6</v>
      </c>
      <c r="BC1098" s="69" t="inlineStr">
        <is>
          <t>Refinance</t>
        </is>
      </c>
      <c r="BD1098" s="69" t="inlineStr">
        <is>
          <t>N</t>
        </is>
      </c>
      <c r="BE1098" s="71" t="n">
        <v>17712548.61</v>
      </c>
      <c r="BF1098" s="71" t="n"/>
      <c r="BG1098" s="71" t="n"/>
      <c r="BH1098" s="71" t="n">
        <v>0</v>
      </c>
      <c r="BI1098" s="71" t="n">
        <v>0</v>
      </c>
      <c r="BJ1098" s="69" t="inlineStr">
        <is>
          <t>N</t>
        </is>
      </c>
      <c r="BK1098" s="69" t="inlineStr">
        <is>
          <t>Prime Therapeutics</t>
        </is>
      </c>
      <c r="BL1098" s="75" t="n">
        <v>10.44</v>
      </c>
      <c r="BM1098" s="73" t="n">
        <v>46173</v>
      </c>
      <c r="BN1098" s="69" t="inlineStr">
        <is>
          <t>Gracie Investing, LLC</t>
        </is>
      </c>
      <c r="BO1098" s="69" t="inlineStr">
        <is>
          <t>GACC</t>
        </is>
      </c>
      <c r="BP1098" s="69" t="inlineStr">
        <is>
          <t>Midland Loan Services</t>
        </is>
      </c>
      <c r="BQ1098" s="69" t="inlineStr">
        <is>
          <t>K-Star Asset Management LLC</t>
        </is>
      </c>
      <c r="BR1098" s="69" t="n"/>
      <c r="BS1098" s="73" t="n">
        <v>46276</v>
      </c>
      <c r="BU1098" s="76">
        <f>IF($C1098="","",IFERROR(INDEX(dmName,MATCH($C1098,dmID,0)),"Unmapped"))</f>
        <v/>
      </c>
      <c r="BV1098" s="76">
        <f>IF($C1098="","",IFERROR(INDEX(dmEntity,MATCH($C1098,dmID,0)),"Unmapped"))</f>
        <v/>
      </c>
      <c r="BW1098" s="77">
        <f>IF($C1098="","",IFERROR(INDEX(dmVintage,MATCH($C1098,dmID,0)),""))</f>
        <v/>
      </c>
      <c r="BX1098" s="78">
        <f>IFERROR(INDEX(dmInclude,MATCH($C1098,dmID,0)),0)</f>
        <v/>
      </c>
      <c r="BY1098" s="78">
        <f>IF(N($I1098)&gt;0,1,0)</f>
        <v/>
      </c>
      <c r="BZ1098" s="76">
        <f>IF($AJ1098="","Other / Leased Fee",IFERROR(INDEX(mapPTGroup,MATCH(LEFT(TRIM($AJ1098),2),mapPTCode,0)),"Other / Leased Fee"))</f>
        <v/>
      </c>
      <c r="CA1098" s="76">
        <f>IF(TRIM($AF1098&amp;"")="","NR",LEFT(TRIM($AF1098),2))</f>
        <v/>
      </c>
      <c r="CB1098" s="76">
        <f>IFERROR(LOOKUP(2,1/(LEFT(TRIM($AI1098&amp;""),LEN(mapRegion))=mapRegion),mapRegion),"Not Reported")</f>
        <v/>
      </c>
      <c r="CC1098" s="76">
        <f>IF($BY1098=0,"",IF(TRIM($W1098&amp;"")="REO","REO",IF(TRIM($W1098&amp;"")="FC","Foreclosure",IF(TRIM($W1098&amp;"")="90+","90+ Days Delinquent",IF(TRIM($W1098&amp;"")="60","60 Days Delinquent",IF(TRIM($W1098&amp;"")="30","30 Days Delinquent",IF($X1098="Non-Performing Matured Balloon","Non-Performing Matured Balloon",IF(OR($X1098="Late Payment But Less Than 30 Days Delinquent",LEFT($X1098&amp;"",20)="Payment Not Received"),"Late / In Grace (&lt;30 Days)",IF($X1098="Performing Matured Balloon","Performing Matured Balloon","Current")))))))))</f>
        <v/>
      </c>
      <c r="CD1098" s="78">
        <f>IF(OR($CC1098="REO",$CC1098="Foreclosure",$CC1098="90+ Days Delinquent",$CC1098="60 Days Delinquent",$CC1098="30 Days Delinquent",$CC1098="Non-Performing Matured Balloon"),1,0)</f>
        <v/>
      </c>
      <c r="CE1098" s="76">
        <f>IF($AB1098="Currently special serv","Currently Specially Serviced",IF($AB1098="Returned to master serv","Previously Specially Serviced","Never Specially Serviced"))</f>
        <v/>
      </c>
      <c r="CF1098" s="78">
        <f>IF($CE1098="Currently Specially Serviced",1,0)</f>
        <v/>
      </c>
      <c r="CG1098" s="76">
        <f>IF($AA1098="Yes","Currently on Watchlist",IF($AA1098="Previously","Previously on Watchlist","Never on Watchlist"))</f>
        <v/>
      </c>
      <c r="CH1098" s="78">
        <f>IF($CG1098="Currently on Watchlist",1,0)</f>
        <v/>
      </c>
      <c r="CI1098" s="76">
        <f>IF($Z1098="Full Defeasance","Fully Defeased",IF($Z1098="Portion Of Loan Previously Defeased","Partially Defeased",IF($Z1098="Defeasance Not Allowable","Not Defeased (Not Permitted)","Not Defeased")))</f>
        <v/>
      </c>
      <c r="CJ1098" s="78">
        <f>IF($CI1098="Fully Defeased",1,0)</f>
        <v/>
      </c>
      <c r="CK1098" s="76">
        <f>IF($R1098="IO","Full IO",IF(LEFT($R1098&amp;"",7)="IO then","Partial IO","Amortizing"))</f>
        <v/>
      </c>
      <c r="CL1098" s="78">
        <f>IF($CK1098="Full IO",1,0)</f>
        <v/>
      </c>
      <c r="CM1098" s="78">
        <f>IF($CK1098="Partial IO",1,0)</f>
        <v/>
      </c>
      <c r="CN1098" s="76">
        <f>IF(LEFT($F1098&amp;"",10)="SPLIT_LOAN","Pari Passu Split","Standalone")</f>
        <v/>
      </c>
      <c r="CO1098" s="78">
        <f>IF($CN1098="Pari Passu Split",1,0)</f>
        <v/>
      </c>
      <c r="CP1098" s="77">
        <f>IF(ISNUMBER($T1098),YEAR($T1098),"")</f>
        <v/>
      </c>
      <c r="CQ1098" s="79">
        <f>IF(ISNUMBER($V1098),$V1098,IF(ISNUMBER($U1098),$U1098,""))</f>
        <v/>
      </c>
      <c r="CR1098" s="77">
        <f>IF(ISNUMBER($CQ1098),YEAR($CQ1098),"")</f>
        <v/>
      </c>
      <c r="CS1098" s="78">
        <f>IF(ISNUMBER($M1098),MAX(0,$M1098),IF(TRIM($M1098&amp;"")="matured",0,""))</f>
        <v/>
      </c>
      <c r="CT1098" s="78">
        <f>IF(AND(ISNUMBER($CS1098),N($CS1098)&lt;=mMatWindow),1,0)</f>
        <v/>
      </c>
      <c r="CU1098" s="80">
        <f>IF(ISNUMBER($J1098),$J1098/100,"")</f>
        <v/>
      </c>
      <c r="CV1098" s="81">
        <f>IF(ISNUMBER($AQ1098),$AQ1098,"")</f>
        <v/>
      </c>
      <c r="CW1098" s="81">
        <f>IF(ISNUMBER($AR1098),$AR1098,"")</f>
        <v/>
      </c>
      <c r="CX1098" s="82">
        <f>IF(ISNUMBER($AS1098),$AS1098/100,"")</f>
        <v/>
      </c>
      <c r="CY1098" s="82">
        <f>IF(ISNUMBER($AT1098),$AT1098/100,"")</f>
        <v/>
      </c>
      <c r="CZ1098" s="82">
        <f>IF(ISNUMBER($AU1098),$AU1098/100,"")</f>
        <v/>
      </c>
      <c r="DA1098" s="82">
        <f>IF(ISNUMBER($AV1098),$AV1098/100,"")</f>
        <v/>
      </c>
      <c r="DB1098" s="82">
        <f>IF(ISNUMBER($AW1098),$AW1098/100,"")</f>
        <v/>
      </c>
      <c r="DC1098" s="82">
        <f>IF(ISNUMBER($AX1098),$AX1098/100,"")</f>
        <v/>
      </c>
      <c r="DD1098" s="77">
        <f>IFERROR(VALUE(LEFT(TRIM($AO1098&amp;""),4)),"")</f>
        <v/>
      </c>
      <c r="DE1098" s="78">
        <f>IF(AND($BY1098=1,$BX1098=1,OR(fDeal="All Deals",$BU1098=fDeal),OR(fEntity="All Entities",$BV1098=fEntity),OR(fPType="All Property Types",$BZ1098=fPType),OR(fDefeased="Include",$CJ1098=0)),1,0)</f>
        <v/>
      </c>
      <c r="DF1098" s="83">
        <f>$DE1098*N($I1098)</f>
        <v/>
      </c>
      <c r="DG1098" s="78">
        <f>IF($DE1098=1,IF(COUNTIFS($F$8:$F1098,$F1098,$DE$8:$DE1098,1)=1,1,0),0)</f>
        <v/>
      </c>
      <c r="DH1098" s="83">
        <f>IF($DG1098=1,SUMIFS($DF$8:$DF$1600,$F$8:$F$1600,$F1098),0)</f>
        <v/>
      </c>
      <c r="DI1098" s="78">
        <f>IF($DG1098=1,COUNTIFS($F$8:$F$1600,$F1098,$DE$8:$DE$1600,1),0)</f>
        <v/>
      </c>
      <c r="DJ1098" s="84">
        <f>IF($DG1098=1,$DH1098+(100000-ROW())/mTieBreak,0)</f>
        <v/>
      </c>
    </row>
    <row r="1099">
      <c r="B1099" s="68" t="n">
        <v>19</v>
      </c>
      <c r="C1099" s="69" t="inlineStr">
        <is>
          <t>JPD17C7</t>
        </is>
      </c>
      <c r="D1099" s="69" t="inlineStr">
        <is>
          <t>19.000</t>
        </is>
      </c>
      <c r="E1099" s="69" t="inlineStr">
        <is>
          <t>Lightstone Portfolio</t>
        </is>
      </c>
      <c r="F1099" s="69" t="inlineStr">
        <is>
          <t>SPLIT_LOAN_01104</t>
        </is>
      </c>
      <c r="G1099" s="70" t="n">
        <v>1104</v>
      </c>
      <c r="H1099" s="71" t="n">
        <v>25000000</v>
      </c>
      <c r="I1099" s="71" t="n">
        <v>22442692.21</v>
      </c>
      <c r="J1099" s="72" t="n">
        <v>4.71</v>
      </c>
      <c r="K1099" s="69" t="inlineStr">
        <is>
          <t>Fixed rate</t>
        </is>
      </c>
      <c r="L1099" s="68" t="n">
        <v>120</v>
      </c>
      <c r="M1099" s="68" t="n">
        <v>11</v>
      </c>
      <c r="N1099" s="68" t="n">
        <v>396</v>
      </c>
      <c r="O1099" s="68" t="n">
        <v>36</v>
      </c>
      <c r="P1099" s="68" t="n">
        <v>0</v>
      </c>
      <c r="Q1099" s="68" t="n">
        <v>109</v>
      </c>
      <c r="R1099" s="69" t="inlineStr">
        <is>
          <t>IO then Amort</t>
        </is>
      </c>
      <c r="S1099" s="69" t="inlineStr">
        <is>
          <t>No</t>
        </is>
      </c>
      <c r="T1099" s="73" t="n">
        <v>42948</v>
      </c>
      <c r="U1099" s="73" t="n">
        <v>46605</v>
      </c>
      <c r="V1099" s="73" t="n"/>
      <c r="W1099" s="69" t="n"/>
      <c r="X1099" s="69" t="inlineStr">
        <is>
          <t>Current</t>
        </is>
      </c>
      <c r="Y1099" s="68" t="n"/>
      <c r="Z1099" s="69" t="inlineStr">
        <is>
          <t>Defeasance Not Allowable</t>
        </is>
      </c>
      <c r="AA1099" s="69" t="inlineStr">
        <is>
          <t>Yes</t>
        </is>
      </c>
      <c r="AB1099" s="69" t="inlineStr">
        <is>
          <t>Returned to master serv</t>
        </is>
      </c>
      <c r="AC1099" s="73" t="n"/>
      <c r="AD1099" s="69" t="inlineStr">
        <is>
          <t>Payment Default (all payments excluding Balloon/Maturity Payment)</t>
        </is>
      </c>
      <c r="AE1099" s="69" t="inlineStr">
        <is>
          <t>Resolved</t>
        </is>
      </c>
      <c r="AF1099" s="69" t="inlineStr">
        <is>
          <t>LA-44.550766200% AR-39.335386430% FL-16.113847370%</t>
        </is>
      </c>
      <c r="AG1099" s="69" t="n"/>
      <c r="AH1099" s="69" t="inlineStr">
        <is>
          <t>Baton Rouge, LA-30.806150760% Fayetteville-Springdale-Rogers, AR-27.013846915% Cape Coral-Fort Myers, FL-16.113847370% New Orleans-Metairie, LA-13.744615440% Jonesboro, AR-12.321539514%</t>
        </is>
      </c>
      <c r="AI1099" s="69" t="inlineStr">
        <is>
          <t>South / Central West-83.886152630% South / Atlantic-16.113847370%</t>
        </is>
      </c>
      <c r="AJ1099" s="69" t="inlineStr">
        <is>
          <t>HT</t>
        </is>
      </c>
      <c r="AK1099" s="69" t="n"/>
      <c r="AL1099" s="68" t="n">
        <v>7</v>
      </c>
      <c r="AM1099" s="68" t="n">
        <v>778</v>
      </c>
      <c r="AN1099" s="68" t="n"/>
      <c r="AO1099" s="69" t="n"/>
      <c r="AP1099" s="70" t="n">
        <v>2017</v>
      </c>
      <c r="AQ1099" s="74" t="n">
        <v>2.13</v>
      </c>
      <c r="AR1099" s="74" t="n">
        <v>0.65</v>
      </c>
      <c r="AS1099" s="74" t="n">
        <v>61.6</v>
      </c>
      <c r="AT1099" s="74" t="n">
        <v>73.03</v>
      </c>
      <c r="AU1099" s="74" t="n">
        <v>54.2</v>
      </c>
      <c r="AV1099" s="74" t="n">
        <v>13.250069231</v>
      </c>
      <c r="AW1099" s="74" t="n">
        <v>4.505560078</v>
      </c>
      <c r="AX1099" s="75" t="n">
        <v>63</v>
      </c>
      <c r="AY1099" s="71" t="n">
        <v>105500000</v>
      </c>
      <c r="AZ1099" s="71" t="n">
        <v>79900000</v>
      </c>
      <c r="BA1099" s="71" t="n">
        <v>8612545</v>
      </c>
      <c r="BB1099" s="71" t="n">
        <v>2629039.35</v>
      </c>
      <c r="BC1099" s="69" t="inlineStr">
        <is>
          <t>Acquisition</t>
        </is>
      </c>
      <c r="BD1099" s="69" t="inlineStr">
        <is>
          <t>N</t>
        </is>
      </c>
      <c r="BE1099" s="71" t="n">
        <v>35908307.54</v>
      </c>
      <c r="BF1099" s="71" t="n"/>
      <c r="BG1099" s="71" t="n"/>
      <c r="BH1099" s="71" t="n">
        <v>0</v>
      </c>
      <c r="BI1099" s="71" t="n">
        <v>0</v>
      </c>
      <c r="BJ1099" s="69" t="inlineStr">
        <is>
          <t>Y</t>
        </is>
      </c>
      <c r="BK1099" s="69" t="n"/>
      <c r="BL1099" s="75" t="n"/>
      <c r="BM1099" s="73" t="n"/>
      <c r="BN1099" s="69" t="inlineStr">
        <is>
          <t>Phoenix American Hospitality, LLC, American Hospitality Properties Fund I, LLC, American Hospitality Properties Fund III, LLC, W.L. Nelson</t>
        </is>
      </c>
      <c r="BO1099" s="69" t="inlineStr">
        <is>
          <t>GACC</t>
        </is>
      </c>
      <c r="BP1099" s="69" t="inlineStr">
        <is>
          <t>Midland Loan Services</t>
        </is>
      </c>
      <c r="BQ1099" s="69" t="inlineStr">
        <is>
          <t>Argentic Services Company LP</t>
        </is>
      </c>
      <c r="BR1099" s="69" t="n"/>
      <c r="BS1099" s="73" t="n">
        <v>46276</v>
      </c>
      <c r="BU1099" s="76">
        <f>IF($C1099="","",IFERROR(INDEX(dmName,MATCH($C1099,dmID,0)),"Unmapped"))</f>
        <v/>
      </c>
      <c r="BV1099" s="76">
        <f>IF($C1099="","",IFERROR(INDEX(dmEntity,MATCH($C1099,dmID,0)),"Unmapped"))</f>
        <v/>
      </c>
      <c r="BW1099" s="77">
        <f>IF($C1099="","",IFERROR(INDEX(dmVintage,MATCH($C1099,dmID,0)),""))</f>
        <v/>
      </c>
      <c r="BX1099" s="78">
        <f>IFERROR(INDEX(dmInclude,MATCH($C1099,dmID,0)),0)</f>
        <v/>
      </c>
      <c r="BY1099" s="78">
        <f>IF(N($I1099)&gt;0,1,0)</f>
        <v/>
      </c>
      <c r="BZ1099" s="76">
        <f>IF($AJ1099="","Other / Leased Fee",IFERROR(INDEX(mapPTGroup,MATCH(LEFT(TRIM($AJ1099),2),mapPTCode,0)),"Other / Leased Fee"))</f>
        <v/>
      </c>
      <c r="CA1099" s="76">
        <f>IF(TRIM($AF1099&amp;"")="","NR",LEFT(TRIM($AF1099),2))</f>
        <v/>
      </c>
      <c r="CB1099" s="76">
        <f>IFERROR(LOOKUP(2,1/(LEFT(TRIM($AI1099&amp;""),LEN(mapRegion))=mapRegion),mapRegion),"Not Reported")</f>
        <v/>
      </c>
      <c r="CC1099" s="76">
        <f>IF($BY1099=0,"",IF(TRIM($W1099&amp;"")="REO","REO",IF(TRIM($W1099&amp;"")="FC","Foreclosure",IF(TRIM($W1099&amp;"")="90+","90+ Days Delinquent",IF(TRIM($W1099&amp;"")="60","60 Days Delinquent",IF(TRIM($W1099&amp;"")="30","30 Days Delinquent",IF($X1099="Non-Performing Matured Balloon","Non-Performing Matured Balloon",IF(OR($X1099="Late Payment But Less Than 30 Days Delinquent",LEFT($X1099&amp;"",20)="Payment Not Received"),"Late / In Grace (&lt;30 Days)",IF($X1099="Performing Matured Balloon","Performing Matured Balloon","Current")))))))))</f>
        <v/>
      </c>
      <c r="CD1099" s="78">
        <f>IF(OR($CC1099="REO",$CC1099="Foreclosure",$CC1099="90+ Days Delinquent",$CC1099="60 Days Delinquent",$CC1099="30 Days Delinquent",$CC1099="Non-Performing Matured Balloon"),1,0)</f>
        <v/>
      </c>
      <c r="CE1099" s="76">
        <f>IF($AB1099="Currently special serv","Currently Specially Serviced",IF($AB1099="Returned to master serv","Previously Specially Serviced","Never Specially Serviced"))</f>
        <v/>
      </c>
      <c r="CF1099" s="78">
        <f>IF($CE1099="Currently Specially Serviced",1,0)</f>
        <v/>
      </c>
      <c r="CG1099" s="76">
        <f>IF($AA1099="Yes","Currently on Watchlist",IF($AA1099="Previously","Previously on Watchlist","Never on Watchlist"))</f>
        <v/>
      </c>
      <c r="CH1099" s="78">
        <f>IF($CG1099="Currently on Watchlist",1,0)</f>
        <v/>
      </c>
      <c r="CI1099" s="76">
        <f>IF($Z1099="Full Defeasance","Fully Defeased",IF($Z1099="Portion Of Loan Previously Defeased","Partially Defeased",IF($Z1099="Defeasance Not Allowable","Not Defeased (Not Permitted)","Not Defeased")))</f>
        <v/>
      </c>
      <c r="CJ1099" s="78">
        <f>IF($CI1099="Fully Defeased",1,0)</f>
        <v/>
      </c>
      <c r="CK1099" s="76">
        <f>IF($R1099="IO","Full IO",IF(LEFT($R1099&amp;"",7)="IO then","Partial IO","Amortizing"))</f>
        <v/>
      </c>
      <c r="CL1099" s="78">
        <f>IF($CK1099="Full IO",1,0)</f>
        <v/>
      </c>
      <c r="CM1099" s="78">
        <f>IF($CK1099="Partial IO",1,0)</f>
        <v/>
      </c>
      <c r="CN1099" s="76">
        <f>IF(LEFT($F1099&amp;"",10)="SPLIT_LOAN","Pari Passu Split","Standalone")</f>
        <v/>
      </c>
      <c r="CO1099" s="78">
        <f>IF($CN1099="Pari Passu Split",1,0)</f>
        <v/>
      </c>
      <c r="CP1099" s="77">
        <f>IF(ISNUMBER($T1099),YEAR($T1099),"")</f>
        <v/>
      </c>
      <c r="CQ1099" s="79">
        <f>IF(ISNUMBER($V1099),$V1099,IF(ISNUMBER($U1099),$U1099,""))</f>
        <v/>
      </c>
      <c r="CR1099" s="77">
        <f>IF(ISNUMBER($CQ1099),YEAR($CQ1099),"")</f>
        <v/>
      </c>
      <c r="CS1099" s="78">
        <f>IF(ISNUMBER($M1099),MAX(0,$M1099),IF(TRIM($M1099&amp;"")="matured",0,""))</f>
        <v/>
      </c>
      <c r="CT1099" s="78">
        <f>IF(AND(ISNUMBER($CS1099),N($CS1099)&lt;=mMatWindow),1,0)</f>
        <v/>
      </c>
      <c r="CU1099" s="80">
        <f>IF(ISNUMBER($J1099),$J1099/100,"")</f>
        <v/>
      </c>
      <c r="CV1099" s="81">
        <f>IF(ISNUMBER($AQ1099),$AQ1099,"")</f>
        <v/>
      </c>
      <c r="CW1099" s="81">
        <f>IF(ISNUMBER($AR1099),$AR1099,"")</f>
        <v/>
      </c>
      <c r="CX1099" s="82">
        <f>IF(ISNUMBER($AS1099),$AS1099/100,"")</f>
        <v/>
      </c>
      <c r="CY1099" s="82">
        <f>IF(ISNUMBER($AT1099),$AT1099/100,"")</f>
        <v/>
      </c>
      <c r="CZ1099" s="82">
        <f>IF(ISNUMBER($AU1099),$AU1099/100,"")</f>
        <v/>
      </c>
      <c r="DA1099" s="82">
        <f>IF(ISNUMBER($AV1099),$AV1099/100,"")</f>
        <v/>
      </c>
      <c r="DB1099" s="82">
        <f>IF(ISNUMBER($AW1099),$AW1099/100,"")</f>
        <v/>
      </c>
      <c r="DC1099" s="82">
        <f>IF(ISNUMBER($AX1099),$AX1099/100,"")</f>
        <v/>
      </c>
      <c r="DD1099" s="77">
        <f>IFERROR(VALUE(LEFT(TRIM($AO1099&amp;""),4)),"")</f>
        <v/>
      </c>
      <c r="DE1099" s="78">
        <f>IF(AND($BY1099=1,$BX1099=1,OR(fDeal="All Deals",$BU1099=fDeal),OR(fEntity="All Entities",$BV1099=fEntity),OR(fPType="All Property Types",$BZ1099=fPType),OR(fDefeased="Include",$CJ1099=0)),1,0)</f>
        <v/>
      </c>
      <c r="DF1099" s="83">
        <f>$DE1099*N($I1099)</f>
        <v/>
      </c>
      <c r="DG1099" s="78">
        <f>IF($DE1099=1,IF(COUNTIFS($F$8:$F1099,$F1099,$DE$8:$DE1099,1)=1,1,0),0)</f>
        <v/>
      </c>
      <c r="DH1099" s="83">
        <f>IF($DG1099=1,SUMIFS($DF$8:$DF$1600,$F$8:$F$1600,$F1099),0)</f>
        <v/>
      </c>
      <c r="DI1099" s="78">
        <f>IF($DG1099=1,COUNTIFS($F$8:$F$1600,$F1099,$DE$8:$DE$1600,1),0)</f>
        <v/>
      </c>
      <c r="DJ1099" s="84">
        <f>IF($DG1099=1,$DH1099+(100000-ROW())/mTieBreak,0)</f>
        <v/>
      </c>
    </row>
    <row r="1100">
      <c r="B1100" s="68" t="n">
        <v>20</v>
      </c>
      <c r="C1100" s="69" t="inlineStr">
        <is>
          <t>JPD17C7</t>
        </is>
      </c>
      <c r="D1100" s="69" t="inlineStr">
        <is>
          <t>20.000</t>
        </is>
      </c>
      <c r="E1100" s="69" t="inlineStr">
        <is>
          <t>18301 Von Karman</t>
        </is>
      </c>
      <c r="F1100" s="69" t="inlineStr">
        <is>
          <t>LNJPD17C7-20.000</t>
        </is>
      </c>
      <c r="G1100" s="70" t="n"/>
      <c r="H1100" s="71" t="n">
        <v>25000000</v>
      </c>
      <c r="I1100" s="71" t="n">
        <v>25000000</v>
      </c>
      <c r="J1100" s="72" t="n">
        <v>3.616</v>
      </c>
      <c r="K1100" s="69" t="inlineStr">
        <is>
          <t>Fixed rate</t>
        </is>
      </c>
      <c r="L1100" s="68" t="n">
        <v>120</v>
      </c>
      <c r="M1100" s="68" t="n">
        <v>11</v>
      </c>
      <c r="N1100" s="68" t="n">
        <v>120</v>
      </c>
      <c r="O1100" s="68" t="n">
        <v>120</v>
      </c>
      <c r="P1100" s="68" t="n">
        <v>11</v>
      </c>
      <c r="Q1100" s="68" t="n">
        <v>109</v>
      </c>
      <c r="R1100" s="69" t="inlineStr">
        <is>
          <t>IO</t>
        </is>
      </c>
      <c r="S1100" s="69" t="inlineStr">
        <is>
          <t>Yes</t>
        </is>
      </c>
      <c r="T1100" s="73" t="n">
        <v>42948</v>
      </c>
      <c r="U1100" s="73" t="n">
        <v>46600</v>
      </c>
      <c r="V1100" s="73" t="n"/>
      <c r="W1100" s="69" t="n"/>
      <c r="X1100" s="69" t="inlineStr">
        <is>
          <t>Current</t>
        </is>
      </c>
      <c r="Y1100" s="68" t="n"/>
      <c r="Z1100" s="69" t="inlineStr">
        <is>
          <t>No Defeasance Occurred</t>
        </is>
      </c>
      <c r="AA1100" s="69" t="inlineStr">
        <is>
          <t>Yes</t>
        </is>
      </c>
      <c r="AB1100" s="69" t="inlineStr">
        <is>
          <t>Never special serv</t>
        </is>
      </c>
      <c r="AC1100" s="73" t="n"/>
      <c r="AD1100" s="69" t="n"/>
      <c r="AE1100" s="69" t="n"/>
      <c r="AF1100" s="69" t="inlineStr">
        <is>
          <t>CA</t>
        </is>
      </c>
      <c r="AG1100" s="69" t="inlineStr">
        <is>
          <t>Irvine</t>
        </is>
      </c>
      <c r="AH1100" s="69" t="inlineStr">
        <is>
          <t>Los Angeles-Long Beach-Anaheim, CA</t>
        </is>
      </c>
      <c r="AI1100" s="69" t="inlineStr">
        <is>
          <t>West / Pacific South</t>
        </is>
      </c>
      <c r="AJ1100" s="69" t="inlineStr">
        <is>
          <t>OF</t>
        </is>
      </c>
      <c r="AK1100" s="69" t="inlineStr">
        <is>
          <t>CBD</t>
        </is>
      </c>
      <c r="AL1100" s="68" t="n">
        <v>1</v>
      </c>
      <c r="AM1100" s="68" t="n"/>
      <c r="AN1100" s="68" t="n">
        <v>228121</v>
      </c>
      <c r="AO1100" s="69" t="inlineStr">
        <is>
          <t>1989</t>
        </is>
      </c>
      <c r="AP1100" s="70" t="n">
        <v>2012</v>
      </c>
      <c r="AQ1100" s="74" t="n">
        <v>3.38</v>
      </c>
      <c r="AR1100" s="74" t="n">
        <v>1.17</v>
      </c>
      <c r="AS1100" s="74" t="n">
        <v>29</v>
      </c>
      <c r="AT1100" s="74" t="n">
        <v>28.97</v>
      </c>
      <c r="AU1100" s="74" t="n">
        <v>28.97</v>
      </c>
      <c r="AV1100" s="74" t="n">
        <v>12.38724784</v>
      </c>
      <c r="AW1100" s="74" t="n">
        <v>2.36663564</v>
      </c>
      <c r="AX1100" s="75" t="n">
        <v>79</v>
      </c>
      <c r="AY1100" s="71" t="n">
        <v>86300000</v>
      </c>
      <c r="AZ1100" s="71" t="n">
        <v>86300000</v>
      </c>
      <c r="BA1100" s="71" t="n">
        <v>3096811.96</v>
      </c>
      <c r="BB1100" s="71" t="n">
        <v>1073510.66</v>
      </c>
      <c r="BC1100" s="69" t="inlineStr">
        <is>
          <t>Recapitalization</t>
        </is>
      </c>
      <c r="BD1100" s="69" t="inlineStr">
        <is>
          <t>N</t>
        </is>
      </c>
      <c r="BE1100" s="71" t="n"/>
      <c r="BF1100" s="71" t="n"/>
      <c r="BG1100" s="71" t="n"/>
      <c r="BH1100" s="71" t="n">
        <v>0</v>
      </c>
      <c r="BI1100" s="71" t="n">
        <v>0</v>
      </c>
      <c r="BJ1100" s="69" t="inlineStr">
        <is>
          <t>N</t>
        </is>
      </c>
      <c r="BK1100" s="69" t="inlineStr">
        <is>
          <t>CREDE  EMPLOYMENT GROUP INC</t>
        </is>
      </c>
      <c r="BL1100" s="75" t="n">
        <v>9.48</v>
      </c>
      <c r="BM1100" s="73" t="n">
        <v>48669</v>
      </c>
      <c r="BN1100" s="69" t="inlineStr">
        <is>
          <t>RSFC Holdings, LLC, HSFC Holdings, LLC</t>
        </is>
      </c>
      <c r="BO1100" s="69" t="inlineStr">
        <is>
          <t>GACC</t>
        </is>
      </c>
      <c r="BP1100" s="69" t="inlineStr">
        <is>
          <t>Midland Loan Services</t>
        </is>
      </c>
      <c r="BQ1100" s="69" t="inlineStr">
        <is>
          <t>K-Star Asset Management LLC</t>
        </is>
      </c>
      <c r="BR1100" s="69" t="n"/>
      <c r="BS1100" s="73" t="n">
        <v>46276</v>
      </c>
      <c r="BU1100" s="76">
        <f>IF($C1100="","",IFERROR(INDEX(dmName,MATCH($C1100,dmID,0)),"Unmapped"))</f>
        <v/>
      </c>
      <c r="BV1100" s="76">
        <f>IF($C1100="","",IFERROR(INDEX(dmEntity,MATCH($C1100,dmID,0)),"Unmapped"))</f>
        <v/>
      </c>
      <c r="BW1100" s="77">
        <f>IF($C1100="","",IFERROR(INDEX(dmVintage,MATCH($C1100,dmID,0)),""))</f>
        <v/>
      </c>
      <c r="BX1100" s="78">
        <f>IFERROR(INDEX(dmInclude,MATCH($C1100,dmID,0)),0)</f>
        <v/>
      </c>
      <c r="BY1100" s="78">
        <f>IF(N($I1100)&gt;0,1,0)</f>
        <v/>
      </c>
      <c r="BZ1100" s="76">
        <f>IF($AJ1100="","Other / Leased Fee",IFERROR(INDEX(mapPTGroup,MATCH(LEFT(TRIM($AJ1100),2),mapPTCode,0)),"Other / Leased Fee"))</f>
        <v/>
      </c>
      <c r="CA1100" s="76">
        <f>IF(TRIM($AF1100&amp;"")="","NR",LEFT(TRIM($AF1100),2))</f>
        <v/>
      </c>
      <c r="CB1100" s="76">
        <f>IFERROR(LOOKUP(2,1/(LEFT(TRIM($AI1100&amp;""),LEN(mapRegion))=mapRegion),mapRegion),"Not Reported")</f>
        <v/>
      </c>
      <c r="CC1100" s="76">
        <f>IF($BY1100=0,"",IF(TRIM($W1100&amp;"")="REO","REO",IF(TRIM($W1100&amp;"")="FC","Foreclosure",IF(TRIM($W1100&amp;"")="90+","90+ Days Delinquent",IF(TRIM($W1100&amp;"")="60","60 Days Delinquent",IF(TRIM($W1100&amp;"")="30","30 Days Delinquent",IF($X1100="Non-Performing Matured Balloon","Non-Performing Matured Balloon",IF(OR($X1100="Late Payment But Less Than 30 Days Delinquent",LEFT($X1100&amp;"",20)="Payment Not Received"),"Late / In Grace (&lt;30 Days)",IF($X1100="Performing Matured Balloon","Performing Matured Balloon","Current")))))))))</f>
        <v/>
      </c>
      <c r="CD1100" s="78">
        <f>IF(OR($CC1100="REO",$CC1100="Foreclosure",$CC1100="90+ Days Delinquent",$CC1100="60 Days Delinquent",$CC1100="30 Days Delinquent",$CC1100="Non-Performing Matured Balloon"),1,0)</f>
        <v/>
      </c>
      <c r="CE1100" s="76">
        <f>IF($AB1100="Currently special serv","Currently Specially Serviced",IF($AB1100="Returned to master serv","Previously Specially Serviced","Never Specially Serviced"))</f>
        <v/>
      </c>
      <c r="CF1100" s="78">
        <f>IF($CE1100="Currently Specially Serviced",1,0)</f>
        <v/>
      </c>
      <c r="CG1100" s="76">
        <f>IF($AA1100="Yes","Currently on Watchlist",IF($AA1100="Previously","Previously on Watchlist","Never on Watchlist"))</f>
        <v/>
      </c>
      <c r="CH1100" s="78">
        <f>IF($CG1100="Currently on Watchlist",1,0)</f>
        <v/>
      </c>
      <c r="CI1100" s="76">
        <f>IF($Z1100="Full Defeasance","Fully Defeased",IF($Z1100="Portion Of Loan Previously Defeased","Partially Defeased",IF($Z1100="Defeasance Not Allowable","Not Defeased (Not Permitted)","Not Defeased")))</f>
        <v/>
      </c>
      <c r="CJ1100" s="78">
        <f>IF($CI1100="Fully Defeased",1,0)</f>
        <v/>
      </c>
      <c r="CK1100" s="76">
        <f>IF($R1100="IO","Full IO",IF(LEFT($R1100&amp;"",7)="IO then","Partial IO","Amortizing"))</f>
        <v/>
      </c>
      <c r="CL1100" s="78">
        <f>IF($CK1100="Full IO",1,0)</f>
        <v/>
      </c>
      <c r="CM1100" s="78">
        <f>IF($CK1100="Partial IO",1,0)</f>
        <v/>
      </c>
      <c r="CN1100" s="76">
        <f>IF(LEFT($F1100&amp;"",10)="SPLIT_LOAN","Pari Passu Split","Standalone")</f>
        <v/>
      </c>
      <c r="CO1100" s="78">
        <f>IF($CN1100="Pari Passu Split",1,0)</f>
        <v/>
      </c>
      <c r="CP1100" s="77">
        <f>IF(ISNUMBER($T1100),YEAR($T1100),"")</f>
        <v/>
      </c>
      <c r="CQ1100" s="79">
        <f>IF(ISNUMBER($V1100),$V1100,IF(ISNUMBER($U1100),$U1100,""))</f>
        <v/>
      </c>
      <c r="CR1100" s="77">
        <f>IF(ISNUMBER($CQ1100),YEAR($CQ1100),"")</f>
        <v/>
      </c>
      <c r="CS1100" s="78">
        <f>IF(ISNUMBER($M1100),MAX(0,$M1100),IF(TRIM($M1100&amp;"")="matured",0,""))</f>
        <v/>
      </c>
      <c r="CT1100" s="78">
        <f>IF(AND(ISNUMBER($CS1100),N($CS1100)&lt;=mMatWindow),1,0)</f>
        <v/>
      </c>
      <c r="CU1100" s="80">
        <f>IF(ISNUMBER($J1100),$J1100/100,"")</f>
        <v/>
      </c>
      <c r="CV1100" s="81">
        <f>IF(ISNUMBER($AQ1100),$AQ1100,"")</f>
        <v/>
      </c>
      <c r="CW1100" s="81">
        <f>IF(ISNUMBER($AR1100),$AR1100,"")</f>
        <v/>
      </c>
      <c r="CX1100" s="82">
        <f>IF(ISNUMBER($AS1100),$AS1100/100,"")</f>
        <v/>
      </c>
      <c r="CY1100" s="82">
        <f>IF(ISNUMBER($AT1100),$AT1100/100,"")</f>
        <v/>
      </c>
      <c r="CZ1100" s="82">
        <f>IF(ISNUMBER($AU1100),$AU1100/100,"")</f>
        <v/>
      </c>
      <c r="DA1100" s="82">
        <f>IF(ISNUMBER($AV1100),$AV1100/100,"")</f>
        <v/>
      </c>
      <c r="DB1100" s="82">
        <f>IF(ISNUMBER($AW1100),$AW1100/100,"")</f>
        <v/>
      </c>
      <c r="DC1100" s="82">
        <f>IF(ISNUMBER($AX1100),$AX1100/100,"")</f>
        <v/>
      </c>
      <c r="DD1100" s="77">
        <f>IFERROR(VALUE(LEFT(TRIM($AO1100&amp;""),4)),"")</f>
        <v/>
      </c>
      <c r="DE1100" s="78">
        <f>IF(AND($BY1100=1,$BX1100=1,OR(fDeal="All Deals",$BU1100=fDeal),OR(fEntity="All Entities",$BV1100=fEntity),OR(fPType="All Property Types",$BZ1100=fPType),OR(fDefeased="Include",$CJ1100=0)),1,0)</f>
        <v/>
      </c>
      <c r="DF1100" s="83">
        <f>$DE1100*N($I1100)</f>
        <v/>
      </c>
      <c r="DG1100" s="78">
        <f>IF($DE1100=1,IF(COUNTIFS($F$8:$F1100,$F1100,$DE$8:$DE1100,1)=1,1,0),0)</f>
        <v/>
      </c>
      <c r="DH1100" s="83">
        <f>IF($DG1100=1,SUMIFS($DF$8:$DF$1600,$F$8:$F$1600,$F1100),0)</f>
        <v/>
      </c>
      <c r="DI1100" s="78">
        <f>IF($DG1100=1,COUNTIFS($F$8:$F$1600,$F1100,$DE$8:$DE$1600,1),0)</f>
        <v/>
      </c>
      <c r="DJ1100" s="84">
        <f>IF($DG1100=1,$DH1100+(100000-ROW())/mTieBreak,0)</f>
        <v/>
      </c>
    </row>
    <row r="1101">
      <c r="B1101" s="68" t="n">
        <v>21</v>
      </c>
      <c r="C1101" s="69" t="inlineStr">
        <is>
          <t>JPD17C7</t>
        </is>
      </c>
      <c r="D1101" s="69" t="inlineStr">
        <is>
          <t>21.000</t>
        </is>
      </c>
      <c r="E1101" s="69" t="inlineStr">
        <is>
          <t>Fullerton Plaza</t>
        </is>
      </c>
      <c r="F1101" s="69" t="inlineStr">
        <is>
          <t>LNJPD17C7-21.000</t>
        </is>
      </c>
      <c r="G1101" s="70" t="n"/>
      <c r="H1101" s="71" t="n">
        <v>21000000</v>
      </c>
      <c r="I1101" s="71" t="n">
        <v>0</v>
      </c>
      <c r="J1101" s="72" t="n">
        <v>4.45</v>
      </c>
      <c r="K1101" s="69" t="inlineStr">
        <is>
          <t>Fixed rate</t>
        </is>
      </c>
      <c r="L1101" s="68" t="n">
        <v>60</v>
      </c>
      <c r="M1101" s="68" t="n"/>
      <c r="N1101" s="68" t="n">
        <v>60</v>
      </c>
      <c r="O1101" s="68" t="n">
        <v>60</v>
      </c>
      <c r="P1101" s="68" t="n"/>
      <c r="Q1101" s="68" t="n"/>
      <c r="R1101" s="69" t="inlineStr">
        <is>
          <t>IO</t>
        </is>
      </c>
      <c r="S1101" s="69" t="inlineStr">
        <is>
          <t>Yes</t>
        </is>
      </c>
      <c r="T1101" s="73" t="n">
        <v>43009</v>
      </c>
      <c r="U1101" s="73" t="n">
        <v>44835</v>
      </c>
      <c r="V1101" s="73" t="n"/>
      <c r="W1101" s="69" t="n"/>
      <c r="X1101" s="69" t="inlineStr">
        <is>
          <t>Current</t>
        </is>
      </c>
      <c r="Y1101" s="68" t="n"/>
      <c r="Z1101" s="69" t="inlineStr">
        <is>
          <t>Defeasance Not Allowable</t>
        </is>
      </c>
      <c r="AA1101" s="69" t="inlineStr">
        <is>
          <t>Previously</t>
        </is>
      </c>
      <c r="AB1101" s="69" t="inlineStr">
        <is>
          <t>Never special serv</t>
        </is>
      </c>
      <c r="AC1101" s="73" t="n"/>
      <c r="AD1101" s="69" t="n"/>
      <c r="AE1101" s="69" t="n"/>
      <c r="AF1101" s="69" t="inlineStr">
        <is>
          <t>IL</t>
        </is>
      </c>
      <c r="AG1101" s="69" t="inlineStr">
        <is>
          <t>Chicago</t>
        </is>
      </c>
      <c r="AH1101" s="69" t="inlineStr">
        <is>
          <t>Chicago-Naperville-Elgin, IL-IN</t>
        </is>
      </c>
      <c r="AI1101" s="69" t="inlineStr">
        <is>
          <t>Midwest / Central East</t>
        </is>
      </c>
      <c r="AJ1101" s="69" t="inlineStr">
        <is>
          <t>RT</t>
        </is>
      </c>
      <c r="AK1101" s="69" t="inlineStr">
        <is>
          <t>Anchored</t>
        </is>
      </c>
      <c r="AL1101" s="68" t="n">
        <v>1</v>
      </c>
      <c r="AM1101" s="68" t="n"/>
      <c r="AN1101" s="68" t="n">
        <v>125729</v>
      </c>
      <c r="AO1101" s="69" t="inlineStr">
        <is>
          <t>1997</t>
        </is>
      </c>
      <c r="AP1101" s="70" t="n">
        <v>1997</v>
      </c>
      <c r="AQ1101" s="74" t="n">
        <v>2.11</v>
      </c>
      <c r="AR1101" s="74" t="n">
        <v>1.8</v>
      </c>
      <c r="AS1101" s="74" t="n">
        <v>54.4</v>
      </c>
      <c r="AT1101" s="74" t="n"/>
      <c r="AU1101" s="74" t="n">
        <v>54.4</v>
      </c>
      <c r="AV1101" s="74" t="n">
        <v>9.524238094999999</v>
      </c>
      <c r="AW1101" s="74" t="n"/>
      <c r="AX1101" s="75" t="n">
        <v>97</v>
      </c>
      <c r="AY1101" s="71" t="n">
        <v>38600000</v>
      </c>
      <c r="AZ1101" s="71" t="n">
        <v>38600000</v>
      </c>
      <c r="BA1101" s="71" t="n">
        <v>2000090</v>
      </c>
      <c r="BB1101" s="71" t="n">
        <v>1697970.6</v>
      </c>
      <c r="BC1101" s="69" t="inlineStr">
        <is>
          <t>Refinance</t>
        </is>
      </c>
      <c r="BD1101" s="69" t="inlineStr">
        <is>
          <t>N</t>
        </is>
      </c>
      <c r="BE1101" s="71" t="n"/>
      <c r="BF1101" s="71" t="n"/>
      <c r="BG1101" s="71" t="n"/>
      <c r="BH1101" s="71" t="n">
        <v>0</v>
      </c>
      <c r="BI1101" s="71" t="n">
        <v>0</v>
      </c>
      <c r="BJ1101" s="69" t="inlineStr">
        <is>
          <t>N</t>
        </is>
      </c>
      <c r="BK1101" s="69" t="inlineStr">
        <is>
          <t>BOBS DICSCOUNT FURNITURE LLC</t>
        </is>
      </c>
      <c r="BL1101" s="75" t="n">
        <v>29.04</v>
      </c>
      <c r="BM1101" s="73" t="n">
        <v>45016</v>
      </c>
      <c r="BN1101" s="69" t="inlineStr">
        <is>
          <t>Somerset Eagle Corp.</t>
        </is>
      </c>
      <c r="BO1101" s="69" t="inlineStr">
        <is>
          <t>JPMorgan Chase</t>
        </is>
      </c>
      <c r="BP1101" s="69" t="inlineStr">
        <is>
          <t>Midland Loan Services</t>
        </is>
      </c>
      <c r="BQ1101" s="69" t="inlineStr">
        <is>
          <t>Midland Loan Services</t>
        </is>
      </c>
      <c r="BR1101" s="69" t="inlineStr">
        <is>
          <t>Full Payoff At Maturity</t>
        </is>
      </c>
      <c r="BS1101" s="73" t="n">
        <v>44845</v>
      </c>
      <c r="BU1101" s="76">
        <f>IF($C1101="","",IFERROR(INDEX(dmName,MATCH($C1101,dmID,0)),"Unmapped"))</f>
        <v/>
      </c>
      <c r="BV1101" s="76">
        <f>IF($C1101="","",IFERROR(INDEX(dmEntity,MATCH($C1101,dmID,0)),"Unmapped"))</f>
        <v/>
      </c>
      <c r="BW1101" s="77">
        <f>IF($C1101="","",IFERROR(INDEX(dmVintage,MATCH($C1101,dmID,0)),""))</f>
        <v/>
      </c>
      <c r="BX1101" s="78">
        <f>IFERROR(INDEX(dmInclude,MATCH($C1101,dmID,0)),0)</f>
        <v/>
      </c>
      <c r="BY1101" s="78">
        <f>IF(N($I1101)&gt;0,1,0)</f>
        <v/>
      </c>
      <c r="BZ1101" s="76">
        <f>IF($AJ1101="","Other / Leased Fee",IFERROR(INDEX(mapPTGroup,MATCH(LEFT(TRIM($AJ1101),2),mapPTCode,0)),"Other / Leased Fee"))</f>
        <v/>
      </c>
      <c r="CA1101" s="76">
        <f>IF(TRIM($AF1101&amp;"")="","NR",LEFT(TRIM($AF1101),2))</f>
        <v/>
      </c>
      <c r="CB1101" s="76">
        <f>IFERROR(LOOKUP(2,1/(LEFT(TRIM($AI1101&amp;""),LEN(mapRegion))=mapRegion),mapRegion),"Not Reported")</f>
        <v/>
      </c>
      <c r="CC1101" s="76">
        <f>IF($BY1101=0,"",IF(TRIM($W1101&amp;"")="REO","REO",IF(TRIM($W1101&amp;"")="FC","Foreclosure",IF(TRIM($W1101&amp;"")="90+","90+ Days Delinquent",IF(TRIM($W1101&amp;"")="60","60 Days Delinquent",IF(TRIM($W1101&amp;"")="30","30 Days Delinquent",IF($X1101="Non-Performing Matured Balloon","Non-Performing Matured Balloon",IF(OR($X1101="Late Payment But Less Than 30 Days Delinquent",LEFT($X1101&amp;"",20)="Payment Not Received"),"Late / In Grace (&lt;30 Days)",IF($X1101="Performing Matured Balloon","Performing Matured Balloon","Current")))))))))</f>
        <v/>
      </c>
      <c r="CD1101" s="78">
        <f>IF(OR($CC1101="REO",$CC1101="Foreclosure",$CC1101="90+ Days Delinquent",$CC1101="60 Days Delinquent",$CC1101="30 Days Delinquent",$CC1101="Non-Performing Matured Balloon"),1,0)</f>
        <v/>
      </c>
      <c r="CE1101" s="76">
        <f>IF($AB1101="Currently special serv","Currently Specially Serviced",IF($AB1101="Returned to master serv","Previously Specially Serviced","Never Specially Serviced"))</f>
        <v/>
      </c>
      <c r="CF1101" s="78">
        <f>IF($CE1101="Currently Specially Serviced",1,0)</f>
        <v/>
      </c>
      <c r="CG1101" s="76">
        <f>IF($AA1101="Yes","Currently on Watchlist",IF($AA1101="Previously","Previously on Watchlist","Never on Watchlist"))</f>
        <v/>
      </c>
      <c r="CH1101" s="78">
        <f>IF($CG1101="Currently on Watchlist",1,0)</f>
        <v/>
      </c>
      <c r="CI1101" s="76">
        <f>IF($Z1101="Full Defeasance","Fully Defeased",IF($Z1101="Portion Of Loan Previously Defeased","Partially Defeased",IF($Z1101="Defeasance Not Allowable","Not Defeased (Not Permitted)","Not Defeased")))</f>
        <v/>
      </c>
      <c r="CJ1101" s="78">
        <f>IF($CI1101="Fully Defeased",1,0)</f>
        <v/>
      </c>
      <c r="CK1101" s="76">
        <f>IF($R1101="IO","Full IO",IF(LEFT($R1101&amp;"",7)="IO then","Partial IO","Amortizing"))</f>
        <v/>
      </c>
      <c r="CL1101" s="78">
        <f>IF($CK1101="Full IO",1,0)</f>
        <v/>
      </c>
      <c r="CM1101" s="78">
        <f>IF($CK1101="Partial IO",1,0)</f>
        <v/>
      </c>
      <c r="CN1101" s="76">
        <f>IF(LEFT($F1101&amp;"",10)="SPLIT_LOAN","Pari Passu Split","Standalone")</f>
        <v/>
      </c>
      <c r="CO1101" s="78">
        <f>IF($CN1101="Pari Passu Split",1,0)</f>
        <v/>
      </c>
      <c r="CP1101" s="77">
        <f>IF(ISNUMBER($T1101),YEAR($T1101),"")</f>
        <v/>
      </c>
      <c r="CQ1101" s="79">
        <f>IF(ISNUMBER($V1101),$V1101,IF(ISNUMBER($U1101),$U1101,""))</f>
        <v/>
      </c>
      <c r="CR1101" s="77">
        <f>IF(ISNUMBER($CQ1101),YEAR($CQ1101),"")</f>
        <v/>
      </c>
      <c r="CS1101" s="78">
        <f>IF(ISNUMBER($M1101),MAX(0,$M1101),IF(TRIM($M1101&amp;"")="matured",0,""))</f>
        <v/>
      </c>
      <c r="CT1101" s="78">
        <f>IF(AND(ISNUMBER($CS1101),N($CS1101)&lt;=mMatWindow),1,0)</f>
        <v/>
      </c>
      <c r="CU1101" s="80">
        <f>IF(ISNUMBER($J1101),$J1101/100,"")</f>
        <v/>
      </c>
      <c r="CV1101" s="81">
        <f>IF(ISNUMBER($AQ1101),$AQ1101,"")</f>
        <v/>
      </c>
      <c r="CW1101" s="81">
        <f>IF(ISNUMBER($AR1101),$AR1101,"")</f>
        <v/>
      </c>
      <c r="CX1101" s="82">
        <f>IF(ISNUMBER($AS1101),$AS1101/100,"")</f>
        <v/>
      </c>
      <c r="CY1101" s="82">
        <f>IF(ISNUMBER($AT1101),$AT1101/100,"")</f>
        <v/>
      </c>
      <c r="CZ1101" s="82">
        <f>IF(ISNUMBER($AU1101),$AU1101/100,"")</f>
        <v/>
      </c>
      <c r="DA1101" s="82">
        <f>IF(ISNUMBER($AV1101),$AV1101/100,"")</f>
        <v/>
      </c>
      <c r="DB1101" s="82">
        <f>IF(ISNUMBER($AW1101),$AW1101/100,"")</f>
        <v/>
      </c>
      <c r="DC1101" s="82">
        <f>IF(ISNUMBER($AX1101),$AX1101/100,"")</f>
        <v/>
      </c>
      <c r="DD1101" s="77">
        <f>IFERROR(VALUE(LEFT(TRIM($AO1101&amp;""),4)),"")</f>
        <v/>
      </c>
      <c r="DE1101" s="78">
        <f>IF(AND($BY1101=1,$BX1101=1,OR(fDeal="All Deals",$BU1101=fDeal),OR(fEntity="All Entities",$BV1101=fEntity),OR(fPType="All Property Types",$BZ1101=fPType),OR(fDefeased="Include",$CJ1101=0)),1,0)</f>
        <v/>
      </c>
      <c r="DF1101" s="83">
        <f>$DE1101*N($I1101)</f>
        <v/>
      </c>
      <c r="DG1101" s="78">
        <f>IF($DE1101=1,IF(COUNTIFS($F$8:$F1101,$F1101,$DE$8:$DE1101,1)=1,1,0),0)</f>
        <v/>
      </c>
      <c r="DH1101" s="83">
        <f>IF($DG1101=1,SUMIFS($DF$8:$DF$1600,$F$8:$F$1600,$F1101),0)</f>
        <v/>
      </c>
      <c r="DI1101" s="78">
        <f>IF($DG1101=1,COUNTIFS($F$8:$F$1600,$F1101,$DE$8:$DE$1600,1),0)</f>
        <v/>
      </c>
      <c r="DJ1101" s="84">
        <f>IF($DG1101=1,$DH1101+(100000-ROW())/mTieBreak,0)</f>
        <v/>
      </c>
    </row>
    <row r="1102">
      <c r="B1102" s="68" t="n">
        <v>22</v>
      </c>
      <c r="C1102" s="69" t="inlineStr">
        <is>
          <t>JPD17C7</t>
        </is>
      </c>
      <c r="D1102" s="69" t="inlineStr">
        <is>
          <t>22.000</t>
        </is>
      </c>
      <c r="E1102" s="69" t="inlineStr">
        <is>
          <t>Torre Plaza</t>
        </is>
      </c>
      <c r="F1102" s="69" t="inlineStr">
        <is>
          <t>SPLIT_LOAN_01041</t>
        </is>
      </c>
      <c r="G1102" s="70" t="n">
        <v>1041</v>
      </c>
      <c r="H1102" s="71" t="n">
        <v>20000000</v>
      </c>
      <c r="I1102" s="71" t="n">
        <v>20000000</v>
      </c>
      <c r="J1102" s="72" t="n">
        <v>3.861</v>
      </c>
      <c r="K1102" s="69" t="inlineStr">
        <is>
          <t>Fixed rate</t>
        </is>
      </c>
      <c r="L1102" s="68" t="n">
        <v>120</v>
      </c>
      <c r="M1102" s="68" t="n">
        <v>9</v>
      </c>
      <c r="N1102" s="68" t="n">
        <v>120</v>
      </c>
      <c r="O1102" s="68" t="n">
        <v>120</v>
      </c>
      <c r="P1102" s="68" t="n">
        <v>9</v>
      </c>
      <c r="Q1102" s="68" t="n">
        <v>111</v>
      </c>
      <c r="R1102" s="69" t="inlineStr">
        <is>
          <t>IO</t>
        </is>
      </c>
      <c r="S1102" s="69" t="inlineStr">
        <is>
          <t>Yes</t>
        </is>
      </c>
      <c r="T1102" s="73" t="n">
        <v>42887</v>
      </c>
      <c r="U1102" s="73" t="n">
        <v>46539</v>
      </c>
      <c r="V1102" s="73" t="n"/>
      <c r="W1102" s="69" t="n"/>
      <c r="X1102" s="69" t="inlineStr">
        <is>
          <t>Current</t>
        </is>
      </c>
      <c r="Y1102" s="68" t="n"/>
      <c r="Z1102" s="69" t="inlineStr">
        <is>
          <t>No Defeasance Occurred</t>
        </is>
      </c>
      <c r="AA1102" s="69" t="inlineStr">
        <is>
          <t>Previously</t>
        </is>
      </c>
      <c r="AB1102" s="69" t="inlineStr">
        <is>
          <t>Never special serv</t>
        </is>
      </c>
      <c r="AC1102" s="73" t="n"/>
      <c r="AD1102" s="69" t="n"/>
      <c r="AE1102" s="69" t="n"/>
      <c r="AF1102" s="69" t="inlineStr">
        <is>
          <t>CA</t>
        </is>
      </c>
      <c r="AG1102" s="69" t="inlineStr">
        <is>
          <t>Cupertino</t>
        </is>
      </c>
      <c r="AH1102" s="69" t="inlineStr">
        <is>
          <t>San Jose-Sunnyvale-Santa Clara, CA</t>
        </is>
      </c>
      <c r="AI1102" s="69" t="inlineStr">
        <is>
          <t>West / Pacific North</t>
        </is>
      </c>
      <c r="AJ1102" s="69" t="inlineStr">
        <is>
          <t>OF</t>
        </is>
      </c>
      <c r="AK1102" s="69" t="inlineStr">
        <is>
          <t>Suburban</t>
        </is>
      </c>
      <c r="AL1102" s="68" t="n">
        <v>1</v>
      </c>
      <c r="AM1102" s="68" t="n"/>
      <c r="AN1102" s="68" t="n">
        <v>88580</v>
      </c>
      <c r="AO1102" s="69" t="inlineStr">
        <is>
          <t>1983</t>
        </is>
      </c>
      <c r="AP1102" s="70" t="n">
        <v>2011</v>
      </c>
      <c r="AQ1102" s="74" t="n">
        <v>2.2</v>
      </c>
      <c r="AR1102" s="74" t="n">
        <v>2.12</v>
      </c>
      <c r="AS1102" s="74" t="n">
        <v>66.5</v>
      </c>
      <c r="AT1102" s="74" t="n">
        <v>66.47</v>
      </c>
      <c r="AU1102" s="74" t="n">
        <v>66.5</v>
      </c>
      <c r="AV1102" s="74" t="n">
        <v>8.617713332999999</v>
      </c>
      <c r="AW1102" s="74" t="n">
        <v>4.479642956</v>
      </c>
      <c r="AX1102" s="75" t="n">
        <v>100</v>
      </c>
      <c r="AY1102" s="71" t="n">
        <v>67700000</v>
      </c>
      <c r="AZ1102" s="71" t="n">
        <v>67700000</v>
      </c>
      <c r="BA1102" s="71" t="n">
        <v>3877971</v>
      </c>
      <c r="BB1102" s="71" t="n">
        <v>1859175.57</v>
      </c>
      <c r="BC1102" s="69" t="inlineStr">
        <is>
          <t>Acquisition</t>
        </is>
      </c>
      <c r="BD1102" s="69" t="inlineStr">
        <is>
          <t>N</t>
        </is>
      </c>
      <c r="BE1102" s="71" t="n">
        <v>25000000</v>
      </c>
      <c r="BF1102" s="71" t="n"/>
      <c r="BG1102" s="71" t="n"/>
      <c r="BH1102" s="71" t="n">
        <v>0</v>
      </c>
      <c r="BI1102" s="71" t="n">
        <v>0</v>
      </c>
      <c r="BJ1102" s="69" t="inlineStr">
        <is>
          <t>N</t>
        </is>
      </c>
      <c r="BK1102" s="69" t="inlineStr">
        <is>
          <t>Amazon.com</t>
        </is>
      </c>
      <c r="BL1102" s="75" t="n">
        <v>100</v>
      </c>
      <c r="BM1102" s="73" t="n">
        <v>48457</v>
      </c>
      <c r="BN1102" s="69" t="inlineStr">
        <is>
          <t>HGGP Capital VIII, LLC, HGGP Capital IX, LLC, HGGP Capital XI, LLC</t>
        </is>
      </c>
      <c r="BO1102" s="69" t="inlineStr">
        <is>
          <t>JPMorgan Chase</t>
        </is>
      </c>
      <c r="BP1102" s="69" t="inlineStr">
        <is>
          <t>Midland Loan Services</t>
        </is>
      </c>
      <c r="BQ1102" s="69" t="inlineStr">
        <is>
          <t>CWCapital</t>
        </is>
      </c>
      <c r="BR1102" s="69" t="n"/>
      <c r="BS1102" s="73" t="n">
        <v>46276</v>
      </c>
      <c r="BU1102" s="76">
        <f>IF($C1102="","",IFERROR(INDEX(dmName,MATCH($C1102,dmID,0)),"Unmapped"))</f>
        <v/>
      </c>
      <c r="BV1102" s="76">
        <f>IF($C1102="","",IFERROR(INDEX(dmEntity,MATCH($C1102,dmID,0)),"Unmapped"))</f>
        <v/>
      </c>
      <c r="BW1102" s="77">
        <f>IF($C1102="","",IFERROR(INDEX(dmVintage,MATCH($C1102,dmID,0)),""))</f>
        <v/>
      </c>
      <c r="BX1102" s="78">
        <f>IFERROR(INDEX(dmInclude,MATCH($C1102,dmID,0)),0)</f>
        <v/>
      </c>
      <c r="BY1102" s="78">
        <f>IF(N($I1102)&gt;0,1,0)</f>
        <v/>
      </c>
      <c r="BZ1102" s="76">
        <f>IF($AJ1102="","Other / Leased Fee",IFERROR(INDEX(mapPTGroup,MATCH(LEFT(TRIM($AJ1102),2),mapPTCode,0)),"Other / Leased Fee"))</f>
        <v/>
      </c>
      <c r="CA1102" s="76">
        <f>IF(TRIM($AF1102&amp;"")="","NR",LEFT(TRIM($AF1102),2))</f>
        <v/>
      </c>
      <c r="CB1102" s="76">
        <f>IFERROR(LOOKUP(2,1/(LEFT(TRIM($AI1102&amp;""),LEN(mapRegion))=mapRegion),mapRegion),"Not Reported")</f>
        <v/>
      </c>
      <c r="CC1102" s="76">
        <f>IF($BY1102=0,"",IF(TRIM($W1102&amp;"")="REO","REO",IF(TRIM($W1102&amp;"")="FC","Foreclosure",IF(TRIM($W1102&amp;"")="90+","90+ Days Delinquent",IF(TRIM($W1102&amp;"")="60","60 Days Delinquent",IF(TRIM($W1102&amp;"")="30","30 Days Delinquent",IF($X1102="Non-Performing Matured Balloon","Non-Performing Matured Balloon",IF(OR($X1102="Late Payment But Less Than 30 Days Delinquent",LEFT($X1102&amp;"",20)="Payment Not Received"),"Late / In Grace (&lt;30 Days)",IF($X1102="Performing Matured Balloon","Performing Matured Balloon","Current")))))))))</f>
        <v/>
      </c>
      <c r="CD1102" s="78">
        <f>IF(OR($CC1102="REO",$CC1102="Foreclosure",$CC1102="90+ Days Delinquent",$CC1102="60 Days Delinquent",$CC1102="30 Days Delinquent",$CC1102="Non-Performing Matured Balloon"),1,0)</f>
        <v/>
      </c>
      <c r="CE1102" s="76">
        <f>IF($AB1102="Currently special serv","Currently Specially Serviced",IF($AB1102="Returned to master serv","Previously Specially Serviced","Never Specially Serviced"))</f>
        <v/>
      </c>
      <c r="CF1102" s="78">
        <f>IF($CE1102="Currently Specially Serviced",1,0)</f>
        <v/>
      </c>
      <c r="CG1102" s="76">
        <f>IF($AA1102="Yes","Currently on Watchlist",IF($AA1102="Previously","Previously on Watchlist","Never on Watchlist"))</f>
        <v/>
      </c>
      <c r="CH1102" s="78">
        <f>IF($CG1102="Currently on Watchlist",1,0)</f>
        <v/>
      </c>
      <c r="CI1102" s="76">
        <f>IF($Z1102="Full Defeasance","Fully Defeased",IF($Z1102="Portion Of Loan Previously Defeased","Partially Defeased",IF($Z1102="Defeasance Not Allowable","Not Defeased (Not Permitted)","Not Defeased")))</f>
        <v/>
      </c>
      <c r="CJ1102" s="78">
        <f>IF($CI1102="Fully Defeased",1,0)</f>
        <v/>
      </c>
      <c r="CK1102" s="76">
        <f>IF($R1102="IO","Full IO",IF(LEFT($R1102&amp;"",7)="IO then","Partial IO","Amortizing"))</f>
        <v/>
      </c>
      <c r="CL1102" s="78">
        <f>IF($CK1102="Full IO",1,0)</f>
        <v/>
      </c>
      <c r="CM1102" s="78">
        <f>IF($CK1102="Partial IO",1,0)</f>
        <v/>
      </c>
      <c r="CN1102" s="76">
        <f>IF(LEFT($F1102&amp;"",10)="SPLIT_LOAN","Pari Passu Split","Standalone")</f>
        <v/>
      </c>
      <c r="CO1102" s="78">
        <f>IF($CN1102="Pari Passu Split",1,0)</f>
        <v/>
      </c>
      <c r="CP1102" s="77">
        <f>IF(ISNUMBER($T1102),YEAR($T1102),"")</f>
        <v/>
      </c>
      <c r="CQ1102" s="79">
        <f>IF(ISNUMBER($V1102),$V1102,IF(ISNUMBER($U1102),$U1102,""))</f>
        <v/>
      </c>
      <c r="CR1102" s="77">
        <f>IF(ISNUMBER($CQ1102),YEAR($CQ1102),"")</f>
        <v/>
      </c>
      <c r="CS1102" s="78">
        <f>IF(ISNUMBER($M1102),MAX(0,$M1102),IF(TRIM($M1102&amp;"")="matured",0,""))</f>
        <v/>
      </c>
      <c r="CT1102" s="78">
        <f>IF(AND(ISNUMBER($CS1102),N($CS1102)&lt;=mMatWindow),1,0)</f>
        <v/>
      </c>
      <c r="CU1102" s="80">
        <f>IF(ISNUMBER($J1102),$J1102/100,"")</f>
        <v/>
      </c>
      <c r="CV1102" s="81">
        <f>IF(ISNUMBER($AQ1102),$AQ1102,"")</f>
        <v/>
      </c>
      <c r="CW1102" s="81">
        <f>IF(ISNUMBER($AR1102),$AR1102,"")</f>
        <v/>
      </c>
      <c r="CX1102" s="82">
        <f>IF(ISNUMBER($AS1102),$AS1102/100,"")</f>
        <v/>
      </c>
      <c r="CY1102" s="82">
        <f>IF(ISNUMBER($AT1102),$AT1102/100,"")</f>
        <v/>
      </c>
      <c r="CZ1102" s="82">
        <f>IF(ISNUMBER($AU1102),$AU1102/100,"")</f>
        <v/>
      </c>
      <c r="DA1102" s="82">
        <f>IF(ISNUMBER($AV1102),$AV1102/100,"")</f>
        <v/>
      </c>
      <c r="DB1102" s="82">
        <f>IF(ISNUMBER($AW1102),$AW1102/100,"")</f>
        <v/>
      </c>
      <c r="DC1102" s="82">
        <f>IF(ISNUMBER($AX1102),$AX1102/100,"")</f>
        <v/>
      </c>
      <c r="DD1102" s="77">
        <f>IFERROR(VALUE(LEFT(TRIM($AO1102&amp;""),4)),"")</f>
        <v/>
      </c>
      <c r="DE1102" s="78">
        <f>IF(AND($BY1102=1,$BX1102=1,OR(fDeal="All Deals",$BU1102=fDeal),OR(fEntity="All Entities",$BV1102=fEntity),OR(fPType="All Property Types",$BZ1102=fPType),OR(fDefeased="Include",$CJ1102=0)),1,0)</f>
        <v/>
      </c>
      <c r="DF1102" s="83">
        <f>$DE1102*N($I1102)</f>
        <v/>
      </c>
      <c r="DG1102" s="78">
        <f>IF($DE1102=1,IF(COUNTIFS($F$8:$F1102,$F1102,$DE$8:$DE1102,1)=1,1,0),0)</f>
        <v/>
      </c>
      <c r="DH1102" s="83">
        <f>IF($DG1102=1,SUMIFS($DF$8:$DF$1600,$F$8:$F$1600,$F1102),0)</f>
        <v/>
      </c>
      <c r="DI1102" s="78">
        <f>IF($DG1102=1,COUNTIFS($F$8:$F$1600,$F1102,$DE$8:$DE$1600,1),0)</f>
        <v/>
      </c>
      <c r="DJ1102" s="84">
        <f>IF($DG1102=1,$DH1102+(100000-ROW())/mTieBreak,0)</f>
        <v/>
      </c>
    </row>
    <row r="1103">
      <c r="B1103" s="68" t="n">
        <v>23</v>
      </c>
      <c r="C1103" s="69" t="inlineStr">
        <is>
          <t>JPD17C7</t>
        </is>
      </c>
      <c r="D1103" s="69" t="inlineStr">
        <is>
          <t>23.000</t>
        </is>
      </c>
      <c r="E1103" s="69" t="inlineStr">
        <is>
          <t>Covance Business Center</t>
        </is>
      </c>
      <c r="F1103" s="69" t="inlineStr">
        <is>
          <t>SPLIT_LOAN_01105</t>
        </is>
      </c>
      <c r="G1103" s="70" t="n">
        <v>1105</v>
      </c>
      <c r="H1103" s="71" t="n">
        <v>15185000</v>
      </c>
      <c r="I1103" s="71" t="n">
        <v>12198948.98000007</v>
      </c>
      <c r="J1103" s="72" t="n">
        <v>4.45</v>
      </c>
      <c r="K1103" s="69" t="inlineStr">
        <is>
          <t>Fixed rate</t>
        </is>
      </c>
      <c r="L1103" s="68" t="n">
        <v>120</v>
      </c>
      <c r="M1103" s="68" t="n">
        <v>13</v>
      </c>
      <c r="N1103" s="68" t="n">
        <v>330</v>
      </c>
      <c r="O1103" s="68" t="n"/>
      <c r="P1103" s="68" t="n"/>
      <c r="Q1103" s="68" t="n">
        <v>107</v>
      </c>
      <c r="R1103" s="69" t="n"/>
      <c r="S1103" s="69" t="inlineStr">
        <is>
          <t>No</t>
        </is>
      </c>
      <c r="T1103" s="73" t="n">
        <v>43009</v>
      </c>
      <c r="U1103" s="73" t="n">
        <v>46666</v>
      </c>
      <c r="V1103" s="73" t="n"/>
      <c r="W1103" s="69" t="n"/>
      <c r="X1103" s="69" t="inlineStr">
        <is>
          <t>Current</t>
        </is>
      </c>
      <c r="Y1103" s="68" t="n"/>
      <c r="Z1103" s="69" t="inlineStr">
        <is>
          <t>No Defeasance Occurred</t>
        </is>
      </c>
      <c r="AA1103" s="69" t="inlineStr">
        <is>
          <t>Yes</t>
        </is>
      </c>
      <c r="AB1103" s="69" t="inlineStr">
        <is>
          <t>Never special serv</t>
        </is>
      </c>
      <c r="AC1103" s="73" t="n"/>
      <c r="AD1103" s="69" t="n"/>
      <c r="AE1103" s="69" t="n"/>
      <c r="AF1103" s="69" t="inlineStr">
        <is>
          <t>IN</t>
        </is>
      </c>
      <c r="AG1103" s="69" t="inlineStr">
        <is>
          <t>Indianapolis</t>
        </is>
      </c>
      <c r="AH1103" s="69" t="inlineStr">
        <is>
          <t>Indianapolis-Carmel-Greenwood, IN</t>
        </is>
      </c>
      <c r="AI1103" s="69" t="inlineStr">
        <is>
          <t>Midwest / Central East</t>
        </is>
      </c>
      <c r="AJ1103" s="69" t="inlineStr">
        <is>
          <t>MX</t>
        </is>
      </c>
      <c r="AK1103" s="69" t="inlineStr">
        <is>
          <t>Office/Industrial</t>
        </is>
      </c>
      <c r="AL1103" s="68" t="n">
        <v>1</v>
      </c>
      <c r="AM1103" s="68" t="n"/>
      <c r="AN1103" s="68" t="n">
        <v>333600</v>
      </c>
      <c r="AO1103" s="69" t="inlineStr">
        <is>
          <t>1990, 1997, 2000, 2005</t>
        </is>
      </c>
      <c r="AP1103" s="70" t="n">
        <v>2005</v>
      </c>
      <c r="AQ1103" s="74" t="n">
        <v>1.56</v>
      </c>
      <c r="AR1103" s="74" t="n">
        <v>1.7</v>
      </c>
      <c r="AS1103" s="74" t="n">
        <v>73</v>
      </c>
      <c r="AT1103" s="74" t="n">
        <v>58.64</v>
      </c>
      <c r="AU1103" s="74" t="n">
        <v>56.47</v>
      </c>
      <c r="AV1103" s="74" t="n">
        <v>9.842997220999999</v>
      </c>
      <c r="AW1103" s="74" t="n">
        <v>13.143600779</v>
      </c>
      <c r="AX1103" s="75" t="n">
        <v>100</v>
      </c>
      <c r="AY1103" s="71" t="n">
        <v>34500000</v>
      </c>
      <c r="AZ1103" s="71" t="n">
        <v>34500000</v>
      </c>
      <c r="BA1103" s="71" t="n">
        <v>2478958.85</v>
      </c>
      <c r="BB1103" s="71" t="n">
        <v>2704473.02</v>
      </c>
      <c r="BC1103" s="69" t="inlineStr">
        <is>
          <t>Refinance</t>
        </is>
      </c>
      <c r="BD1103" s="69" t="inlineStr">
        <is>
          <t>N</t>
        </is>
      </c>
      <c r="BE1103" s="71" t="n">
        <v>8033552.18</v>
      </c>
      <c r="BF1103" s="71" t="n"/>
      <c r="BG1103" s="71" t="n"/>
      <c r="BH1103" s="71" t="n">
        <v>0</v>
      </c>
      <c r="BI1103" s="71" t="n">
        <v>0</v>
      </c>
      <c r="BJ1103" s="69" t="inlineStr">
        <is>
          <t>N</t>
        </is>
      </c>
      <c r="BK1103" s="69" t="inlineStr">
        <is>
          <t>Covance t0073996</t>
        </is>
      </c>
      <c r="BL1103" s="75" t="n">
        <v>101.32</v>
      </c>
      <c r="BM1103" s="73" t="n">
        <v>47848</v>
      </c>
      <c r="BN1103" s="69" t="inlineStr">
        <is>
          <t>NRFC NNN Holdings LLC</t>
        </is>
      </c>
      <c r="BO1103" s="69" t="inlineStr">
        <is>
          <t>GACC</t>
        </is>
      </c>
      <c r="BP1103" s="69" t="inlineStr">
        <is>
          <t>Midland Loan Services</t>
        </is>
      </c>
      <c r="BQ1103" s="69" t="inlineStr">
        <is>
          <t>K-Star Asset Management LLC</t>
        </is>
      </c>
      <c r="BR1103" s="69" t="n"/>
      <c r="BS1103" s="73" t="n">
        <v>46276</v>
      </c>
      <c r="BU1103" s="76">
        <f>IF($C1103="","",IFERROR(INDEX(dmName,MATCH($C1103,dmID,0)),"Unmapped"))</f>
        <v/>
      </c>
      <c r="BV1103" s="76">
        <f>IF($C1103="","",IFERROR(INDEX(dmEntity,MATCH($C1103,dmID,0)),"Unmapped"))</f>
        <v/>
      </c>
      <c r="BW1103" s="77">
        <f>IF($C1103="","",IFERROR(INDEX(dmVintage,MATCH($C1103,dmID,0)),""))</f>
        <v/>
      </c>
      <c r="BX1103" s="78">
        <f>IFERROR(INDEX(dmInclude,MATCH($C1103,dmID,0)),0)</f>
        <v/>
      </c>
      <c r="BY1103" s="78">
        <f>IF(N($I1103)&gt;0,1,0)</f>
        <v/>
      </c>
      <c r="BZ1103" s="76">
        <f>IF($AJ1103="","Other / Leased Fee",IFERROR(INDEX(mapPTGroup,MATCH(LEFT(TRIM($AJ1103),2),mapPTCode,0)),"Other / Leased Fee"))</f>
        <v/>
      </c>
      <c r="CA1103" s="76">
        <f>IF(TRIM($AF1103&amp;"")="","NR",LEFT(TRIM($AF1103),2))</f>
        <v/>
      </c>
      <c r="CB1103" s="76">
        <f>IFERROR(LOOKUP(2,1/(LEFT(TRIM($AI1103&amp;""),LEN(mapRegion))=mapRegion),mapRegion),"Not Reported")</f>
        <v/>
      </c>
      <c r="CC1103" s="76">
        <f>IF($BY1103=0,"",IF(TRIM($W1103&amp;"")="REO","REO",IF(TRIM($W1103&amp;"")="FC","Foreclosure",IF(TRIM($W1103&amp;"")="90+","90+ Days Delinquent",IF(TRIM($W1103&amp;"")="60","60 Days Delinquent",IF(TRIM($W1103&amp;"")="30","30 Days Delinquent",IF($X1103="Non-Performing Matured Balloon","Non-Performing Matured Balloon",IF(OR($X1103="Late Payment But Less Than 30 Days Delinquent",LEFT($X1103&amp;"",20)="Payment Not Received"),"Late / In Grace (&lt;30 Days)",IF($X1103="Performing Matured Balloon","Performing Matured Balloon","Current")))))))))</f>
        <v/>
      </c>
      <c r="CD1103" s="78">
        <f>IF(OR($CC1103="REO",$CC1103="Foreclosure",$CC1103="90+ Days Delinquent",$CC1103="60 Days Delinquent",$CC1103="30 Days Delinquent",$CC1103="Non-Performing Matured Balloon"),1,0)</f>
        <v/>
      </c>
      <c r="CE1103" s="76">
        <f>IF($AB1103="Currently special serv","Currently Specially Serviced",IF($AB1103="Returned to master serv","Previously Specially Serviced","Never Specially Serviced"))</f>
        <v/>
      </c>
      <c r="CF1103" s="78">
        <f>IF($CE1103="Currently Specially Serviced",1,0)</f>
        <v/>
      </c>
      <c r="CG1103" s="76">
        <f>IF($AA1103="Yes","Currently on Watchlist",IF($AA1103="Previously","Previously on Watchlist","Never on Watchlist"))</f>
        <v/>
      </c>
      <c r="CH1103" s="78">
        <f>IF($CG1103="Currently on Watchlist",1,0)</f>
        <v/>
      </c>
      <c r="CI1103" s="76">
        <f>IF($Z1103="Full Defeasance","Fully Defeased",IF($Z1103="Portion Of Loan Previously Defeased","Partially Defeased",IF($Z1103="Defeasance Not Allowable","Not Defeased (Not Permitted)","Not Defeased")))</f>
        <v/>
      </c>
      <c r="CJ1103" s="78">
        <f>IF($CI1103="Fully Defeased",1,0)</f>
        <v/>
      </c>
      <c r="CK1103" s="76">
        <f>IF($R1103="IO","Full IO",IF(LEFT($R1103&amp;"",7)="IO then","Partial IO","Amortizing"))</f>
        <v/>
      </c>
      <c r="CL1103" s="78">
        <f>IF($CK1103="Full IO",1,0)</f>
        <v/>
      </c>
      <c r="CM1103" s="78">
        <f>IF($CK1103="Partial IO",1,0)</f>
        <v/>
      </c>
      <c r="CN1103" s="76">
        <f>IF(LEFT($F1103&amp;"",10)="SPLIT_LOAN","Pari Passu Split","Standalone")</f>
        <v/>
      </c>
      <c r="CO1103" s="78">
        <f>IF($CN1103="Pari Passu Split",1,0)</f>
        <v/>
      </c>
      <c r="CP1103" s="77">
        <f>IF(ISNUMBER($T1103),YEAR($T1103),"")</f>
        <v/>
      </c>
      <c r="CQ1103" s="79">
        <f>IF(ISNUMBER($V1103),$V1103,IF(ISNUMBER($U1103),$U1103,""))</f>
        <v/>
      </c>
      <c r="CR1103" s="77">
        <f>IF(ISNUMBER($CQ1103),YEAR($CQ1103),"")</f>
        <v/>
      </c>
      <c r="CS1103" s="78">
        <f>IF(ISNUMBER($M1103),MAX(0,$M1103),IF(TRIM($M1103&amp;"")="matured",0,""))</f>
        <v/>
      </c>
      <c r="CT1103" s="78">
        <f>IF(AND(ISNUMBER($CS1103),N($CS1103)&lt;=mMatWindow),1,0)</f>
        <v/>
      </c>
      <c r="CU1103" s="80">
        <f>IF(ISNUMBER($J1103),$J1103/100,"")</f>
        <v/>
      </c>
      <c r="CV1103" s="81">
        <f>IF(ISNUMBER($AQ1103),$AQ1103,"")</f>
        <v/>
      </c>
      <c r="CW1103" s="81">
        <f>IF(ISNUMBER($AR1103),$AR1103,"")</f>
        <v/>
      </c>
      <c r="CX1103" s="82">
        <f>IF(ISNUMBER($AS1103),$AS1103/100,"")</f>
        <v/>
      </c>
      <c r="CY1103" s="82">
        <f>IF(ISNUMBER($AT1103),$AT1103/100,"")</f>
        <v/>
      </c>
      <c r="CZ1103" s="82">
        <f>IF(ISNUMBER($AU1103),$AU1103/100,"")</f>
        <v/>
      </c>
      <c r="DA1103" s="82">
        <f>IF(ISNUMBER($AV1103),$AV1103/100,"")</f>
        <v/>
      </c>
      <c r="DB1103" s="82">
        <f>IF(ISNUMBER($AW1103),$AW1103/100,"")</f>
        <v/>
      </c>
      <c r="DC1103" s="82">
        <f>IF(ISNUMBER($AX1103),$AX1103/100,"")</f>
        <v/>
      </c>
      <c r="DD1103" s="77">
        <f>IFERROR(VALUE(LEFT(TRIM($AO1103&amp;""),4)),"")</f>
        <v/>
      </c>
      <c r="DE1103" s="78">
        <f>IF(AND($BY1103=1,$BX1103=1,OR(fDeal="All Deals",$BU1103=fDeal),OR(fEntity="All Entities",$BV1103=fEntity),OR(fPType="All Property Types",$BZ1103=fPType),OR(fDefeased="Include",$CJ1103=0)),1,0)</f>
        <v/>
      </c>
      <c r="DF1103" s="83">
        <f>$DE1103*N($I1103)</f>
        <v/>
      </c>
      <c r="DG1103" s="78">
        <f>IF($DE1103=1,IF(COUNTIFS($F$8:$F1103,$F1103,$DE$8:$DE1103,1)=1,1,0),0)</f>
        <v/>
      </c>
      <c r="DH1103" s="83">
        <f>IF($DG1103=1,SUMIFS($DF$8:$DF$1600,$F$8:$F$1600,$F1103),0)</f>
        <v/>
      </c>
      <c r="DI1103" s="78">
        <f>IF($DG1103=1,COUNTIFS($F$8:$F$1600,$F1103,$DE$8:$DE$1600,1),0)</f>
        <v/>
      </c>
      <c r="DJ1103" s="84">
        <f>IF($DG1103=1,$DH1103+(100000-ROW())/mTieBreak,0)</f>
        <v/>
      </c>
    </row>
    <row r="1104">
      <c r="B1104" s="68" t="n">
        <v>24</v>
      </c>
      <c r="C1104" s="69" t="inlineStr">
        <is>
          <t>JPD17C7</t>
        </is>
      </c>
      <c r="D1104" s="69" t="inlineStr">
        <is>
          <t>24.000</t>
        </is>
      </c>
      <c r="E1104" s="69" t="inlineStr">
        <is>
          <t>Best Western Plus Truckee</t>
        </is>
      </c>
      <c r="F1104" s="69" t="inlineStr">
        <is>
          <t>LNJPD17C7-24.000</t>
        </is>
      </c>
      <c r="G1104" s="70" t="n"/>
      <c r="H1104" s="71" t="n">
        <v>15000000</v>
      </c>
      <c r="I1104" s="71" t="n">
        <v>12391966.519995</v>
      </c>
      <c r="J1104" s="72" t="n">
        <v>4.5</v>
      </c>
      <c r="K1104" s="69" t="inlineStr">
        <is>
          <t>Fixed rate</t>
        </is>
      </c>
      <c r="L1104" s="68" t="n">
        <v>120</v>
      </c>
      <c r="M1104" s="68" t="n">
        <v>9</v>
      </c>
      <c r="N1104" s="68" t="n">
        <v>360</v>
      </c>
      <c r="O1104" s="68" t="n"/>
      <c r="P1104" s="68" t="n"/>
      <c r="Q1104" s="68" t="n">
        <v>111</v>
      </c>
      <c r="R1104" s="69" t="n"/>
      <c r="S1104" s="69" t="inlineStr">
        <is>
          <t>No</t>
        </is>
      </c>
      <c r="T1104" s="73" t="n">
        <v>42887</v>
      </c>
      <c r="U1104" s="73" t="n">
        <v>46544</v>
      </c>
      <c r="V1104" s="73" t="n"/>
      <c r="W1104" s="69" t="n"/>
      <c r="X1104" s="69" t="inlineStr">
        <is>
          <t>Late Payment But Less Than 30 Days Delinquent</t>
        </is>
      </c>
      <c r="Y1104" s="68" t="n"/>
      <c r="Z1104" s="69" t="inlineStr">
        <is>
          <t>No Defeasance Occurred</t>
        </is>
      </c>
      <c r="AA1104" s="69" t="inlineStr">
        <is>
          <t>Previously</t>
        </is>
      </c>
      <c r="AB1104" s="69" t="inlineStr">
        <is>
          <t>Never special serv</t>
        </is>
      </c>
      <c r="AC1104" s="73" t="n"/>
      <c r="AD1104" s="69" t="n"/>
      <c r="AE1104" s="69" t="n"/>
      <c r="AF1104" s="69" t="inlineStr">
        <is>
          <t>CA</t>
        </is>
      </c>
      <c r="AG1104" s="69" t="inlineStr">
        <is>
          <t>Truckee</t>
        </is>
      </c>
      <c r="AH1104" s="69" t="inlineStr">
        <is>
          <t>Truckee-Grass Valley, CA</t>
        </is>
      </c>
      <c r="AI1104" s="69" t="inlineStr">
        <is>
          <t>West / Pacific North</t>
        </is>
      </c>
      <c r="AJ1104" s="69" t="inlineStr">
        <is>
          <t>HT</t>
        </is>
      </c>
      <c r="AK1104" s="69" t="inlineStr">
        <is>
          <t>Limited Service</t>
        </is>
      </c>
      <c r="AL1104" s="68" t="n">
        <v>1</v>
      </c>
      <c r="AM1104" s="68" t="n">
        <v>100</v>
      </c>
      <c r="AN1104" s="68" t="n"/>
      <c r="AO1104" s="69" t="inlineStr">
        <is>
          <t>1984</t>
        </is>
      </c>
      <c r="AP1104" s="70" t="n">
        <v>2016</v>
      </c>
      <c r="AQ1104" s="74" t="n">
        <v>1.89</v>
      </c>
      <c r="AR1104" s="74" t="n">
        <v>1.82</v>
      </c>
      <c r="AS1104" s="74" t="n">
        <v>64.59999999999999</v>
      </c>
      <c r="AT1104" s="74" t="n">
        <v>53.64</v>
      </c>
      <c r="AU1104" s="74" t="n">
        <v>52.5</v>
      </c>
      <c r="AV1104" s="74" t="n">
        <v>11.520616</v>
      </c>
      <c r="AW1104" s="74" t="n">
        <v>14.755903327</v>
      </c>
      <c r="AX1104" s="75" t="n">
        <v>70</v>
      </c>
      <c r="AY1104" s="71" t="n">
        <v>23100000</v>
      </c>
      <c r="AZ1104" s="71" t="n">
        <v>23100000</v>
      </c>
      <c r="BA1104" s="71" t="n">
        <v>1728092.4</v>
      </c>
      <c r="BB1104" s="71" t="n">
        <v>1662203.66</v>
      </c>
      <c r="BC1104" s="69" t="inlineStr">
        <is>
          <t>Refinance</t>
        </is>
      </c>
      <c r="BD1104" s="69" t="inlineStr">
        <is>
          <t>N</t>
        </is>
      </c>
      <c r="BE1104" s="71" t="n"/>
      <c r="BF1104" s="71" t="n"/>
      <c r="BG1104" s="71" t="n"/>
      <c r="BH1104" s="71" t="n">
        <v>0</v>
      </c>
      <c r="BI1104" s="71" t="n">
        <v>75949.33</v>
      </c>
      <c r="BJ1104" s="69" t="inlineStr">
        <is>
          <t>N</t>
        </is>
      </c>
      <c r="BK1104" s="69" t="n"/>
      <c r="BL1104" s="75" t="n"/>
      <c r="BM1104" s="73" t="n"/>
      <c r="BN1104" s="69" t="inlineStr">
        <is>
          <t>Juan Llaca</t>
        </is>
      </c>
      <c r="BO1104" s="69" t="inlineStr">
        <is>
          <t>GACC</t>
        </is>
      </c>
      <c r="BP1104" s="69" t="inlineStr">
        <is>
          <t>Midland Loan Services</t>
        </is>
      </c>
      <c r="BQ1104" s="69" t="inlineStr">
        <is>
          <t>K-Star Asset Management LLC</t>
        </is>
      </c>
      <c r="BR1104" s="69" t="n"/>
      <c r="BS1104" s="73" t="n">
        <v>46276</v>
      </c>
      <c r="BU1104" s="76">
        <f>IF($C1104="","",IFERROR(INDEX(dmName,MATCH($C1104,dmID,0)),"Unmapped"))</f>
        <v/>
      </c>
      <c r="BV1104" s="76">
        <f>IF($C1104="","",IFERROR(INDEX(dmEntity,MATCH($C1104,dmID,0)),"Unmapped"))</f>
        <v/>
      </c>
      <c r="BW1104" s="77">
        <f>IF($C1104="","",IFERROR(INDEX(dmVintage,MATCH($C1104,dmID,0)),""))</f>
        <v/>
      </c>
      <c r="BX1104" s="78">
        <f>IFERROR(INDEX(dmInclude,MATCH($C1104,dmID,0)),0)</f>
        <v/>
      </c>
      <c r="BY1104" s="78">
        <f>IF(N($I1104)&gt;0,1,0)</f>
        <v/>
      </c>
      <c r="BZ1104" s="76">
        <f>IF($AJ1104="","Other / Leased Fee",IFERROR(INDEX(mapPTGroup,MATCH(LEFT(TRIM($AJ1104),2),mapPTCode,0)),"Other / Leased Fee"))</f>
        <v/>
      </c>
      <c r="CA1104" s="76">
        <f>IF(TRIM($AF1104&amp;"")="","NR",LEFT(TRIM($AF1104),2))</f>
        <v/>
      </c>
      <c r="CB1104" s="76">
        <f>IFERROR(LOOKUP(2,1/(LEFT(TRIM($AI1104&amp;""),LEN(mapRegion))=mapRegion),mapRegion),"Not Reported")</f>
        <v/>
      </c>
      <c r="CC1104" s="76">
        <f>IF($BY1104=0,"",IF(TRIM($W1104&amp;"")="REO","REO",IF(TRIM($W1104&amp;"")="FC","Foreclosure",IF(TRIM($W1104&amp;"")="90+","90+ Days Delinquent",IF(TRIM($W1104&amp;"")="60","60 Days Delinquent",IF(TRIM($W1104&amp;"")="30","30 Days Delinquent",IF($X1104="Non-Performing Matured Balloon","Non-Performing Matured Balloon",IF(OR($X1104="Late Payment But Less Than 30 Days Delinquent",LEFT($X1104&amp;"",20)="Payment Not Received"),"Late / In Grace (&lt;30 Days)",IF($X1104="Performing Matured Balloon","Performing Matured Balloon","Current")))))))))</f>
        <v/>
      </c>
      <c r="CD1104" s="78">
        <f>IF(OR($CC1104="REO",$CC1104="Foreclosure",$CC1104="90+ Days Delinquent",$CC1104="60 Days Delinquent",$CC1104="30 Days Delinquent",$CC1104="Non-Performing Matured Balloon"),1,0)</f>
        <v/>
      </c>
      <c r="CE1104" s="76">
        <f>IF($AB1104="Currently special serv","Currently Specially Serviced",IF($AB1104="Returned to master serv","Previously Specially Serviced","Never Specially Serviced"))</f>
        <v/>
      </c>
      <c r="CF1104" s="78">
        <f>IF($CE1104="Currently Specially Serviced",1,0)</f>
        <v/>
      </c>
      <c r="CG1104" s="76">
        <f>IF($AA1104="Yes","Currently on Watchlist",IF($AA1104="Previously","Previously on Watchlist","Never on Watchlist"))</f>
        <v/>
      </c>
      <c r="CH1104" s="78">
        <f>IF($CG1104="Currently on Watchlist",1,0)</f>
        <v/>
      </c>
      <c r="CI1104" s="76">
        <f>IF($Z1104="Full Defeasance","Fully Defeased",IF($Z1104="Portion Of Loan Previously Defeased","Partially Defeased",IF($Z1104="Defeasance Not Allowable","Not Defeased (Not Permitted)","Not Defeased")))</f>
        <v/>
      </c>
      <c r="CJ1104" s="78">
        <f>IF($CI1104="Fully Defeased",1,0)</f>
        <v/>
      </c>
      <c r="CK1104" s="76">
        <f>IF($R1104="IO","Full IO",IF(LEFT($R1104&amp;"",7)="IO then","Partial IO","Amortizing"))</f>
        <v/>
      </c>
      <c r="CL1104" s="78">
        <f>IF($CK1104="Full IO",1,0)</f>
        <v/>
      </c>
      <c r="CM1104" s="78">
        <f>IF($CK1104="Partial IO",1,0)</f>
        <v/>
      </c>
      <c r="CN1104" s="76">
        <f>IF(LEFT($F1104&amp;"",10)="SPLIT_LOAN","Pari Passu Split","Standalone")</f>
        <v/>
      </c>
      <c r="CO1104" s="78">
        <f>IF($CN1104="Pari Passu Split",1,0)</f>
        <v/>
      </c>
      <c r="CP1104" s="77">
        <f>IF(ISNUMBER($T1104),YEAR($T1104),"")</f>
        <v/>
      </c>
      <c r="CQ1104" s="79">
        <f>IF(ISNUMBER($V1104),$V1104,IF(ISNUMBER($U1104),$U1104,""))</f>
        <v/>
      </c>
      <c r="CR1104" s="77">
        <f>IF(ISNUMBER($CQ1104),YEAR($CQ1104),"")</f>
        <v/>
      </c>
      <c r="CS1104" s="78">
        <f>IF(ISNUMBER($M1104),MAX(0,$M1104),IF(TRIM($M1104&amp;"")="matured",0,""))</f>
        <v/>
      </c>
      <c r="CT1104" s="78">
        <f>IF(AND(ISNUMBER($CS1104),N($CS1104)&lt;=mMatWindow),1,0)</f>
        <v/>
      </c>
      <c r="CU1104" s="80">
        <f>IF(ISNUMBER($J1104),$J1104/100,"")</f>
        <v/>
      </c>
      <c r="CV1104" s="81">
        <f>IF(ISNUMBER($AQ1104),$AQ1104,"")</f>
        <v/>
      </c>
      <c r="CW1104" s="81">
        <f>IF(ISNUMBER($AR1104),$AR1104,"")</f>
        <v/>
      </c>
      <c r="CX1104" s="82">
        <f>IF(ISNUMBER($AS1104),$AS1104/100,"")</f>
        <v/>
      </c>
      <c r="CY1104" s="82">
        <f>IF(ISNUMBER($AT1104),$AT1104/100,"")</f>
        <v/>
      </c>
      <c r="CZ1104" s="82">
        <f>IF(ISNUMBER($AU1104),$AU1104/100,"")</f>
        <v/>
      </c>
      <c r="DA1104" s="82">
        <f>IF(ISNUMBER($AV1104),$AV1104/100,"")</f>
        <v/>
      </c>
      <c r="DB1104" s="82">
        <f>IF(ISNUMBER($AW1104),$AW1104/100,"")</f>
        <v/>
      </c>
      <c r="DC1104" s="82">
        <f>IF(ISNUMBER($AX1104),$AX1104/100,"")</f>
        <v/>
      </c>
      <c r="DD1104" s="77">
        <f>IFERROR(VALUE(LEFT(TRIM($AO1104&amp;""),4)),"")</f>
        <v/>
      </c>
      <c r="DE1104" s="78">
        <f>IF(AND($BY1104=1,$BX1104=1,OR(fDeal="All Deals",$BU1104=fDeal),OR(fEntity="All Entities",$BV1104=fEntity),OR(fPType="All Property Types",$BZ1104=fPType),OR(fDefeased="Include",$CJ1104=0)),1,0)</f>
        <v/>
      </c>
      <c r="DF1104" s="83">
        <f>$DE1104*N($I1104)</f>
        <v/>
      </c>
      <c r="DG1104" s="78">
        <f>IF($DE1104=1,IF(COUNTIFS($F$8:$F1104,$F1104,$DE$8:$DE1104,1)=1,1,0),0)</f>
        <v/>
      </c>
      <c r="DH1104" s="83">
        <f>IF($DG1104=1,SUMIFS($DF$8:$DF$1600,$F$8:$F$1600,$F1104),0)</f>
        <v/>
      </c>
      <c r="DI1104" s="78">
        <f>IF($DG1104=1,COUNTIFS($F$8:$F$1600,$F1104,$DE$8:$DE$1600,1),0)</f>
        <v/>
      </c>
      <c r="DJ1104" s="84">
        <f>IF($DG1104=1,$DH1104+(100000-ROW())/mTieBreak,0)</f>
        <v/>
      </c>
    </row>
    <row r="1105">
      <c r="B1105" s="68" t="n">
        <v>25</v>
      </c>
      <c r="C1105" s="69" t="inlineStr">
        <is>
          <t>JPD17C7</t>
        </is>
      </c>
      <c r="D1105" s="69" t="inlineStr">
        <is>
          <t>25.000</t>
        </is>
      </c>
      <c r="E1105" s="69" t="inlineStr">
        <is>
          <t>18401 Von Karman</t>
        </is>
      </c>
      <c r="F1105" s="69" t="inlineStr">
        <is>
          <t>LNJPD17C7-25.000</t>
        </is>
      </c>
      <c r="G1105" s="70" t="n"/>
      <c r="H1105" s="71" t="n">
        <v>13500000</v>
      </c>
      <c r="I1105" s="71" t="n">
        <v>13500000</v>
      </c>
      <c r="J1105" s="72" t="n">
        <v>3.616</v>
      </c>
      <c r="K1105" s="69" t="inlineStr">
        <is>
          <t>Fixed rate</t>
        </is>
      </c>
      <c r="L1105" s="68" t="n">
        <v>120</v>
      </c>
      <c r="M1105" s="68" t="n">
        <v>11</v>
      </c>
      <c r="N1105" s="68" t="n">
        <v>120</v>
      </c>
      <c r="O1105" s="68" t="n">
        <v>120</v>
      </c>
      <c r="P1105" s="68" t="n">
        <v>11</v>
      </c>
      <c r="Q1105" s="68" t="n">
        <v>109</v>
      </c>
      <c r="R1105" s="69" t="inlineStr">
        <is>
          <t>IO</t>
        </is>
      </c>
      <c r="S1105" s="69" t="inlineStr">
        <is>
          <t>Yes</t>
        </is>
      </c>
      <c r="T1105" s="73" t="n">
        <v>42948</v>
      </c>
      <c r="U1105" s="73" t="n">
        <v>46600</v>
      </c>
      <c r="V1105" s="73" t="n"/>
      <c r="W1105" s="69" t="n"/>
      <c r="X1105" s="69" t="inlineStr">
        <is>
          <t>Current</t>
        </is>
      </c>
      <c r="Y1105" s="68" t="n"/>
      <c r="Z1105" s="69" t="inlineStr">
        <is>
          <t>No Defeasance Occurred</t>
        </is>
      </c>
      <c r="AA1105" s="69" t="n"/>
      <c r="AB1105" s="69" t="inlineStr">
        <is>
          <t>Never special serv</t>
        </is>
      </c>
      <c r="AC1105" s="73" t="n"/>
      <c r="AD1105" s="69" t="n"/>
      <c r="AE1105" s="69" t="n"/>
      <c r="AF1105" s="69" t="inlineStr">
        <is>
          <t>CA</t>
        </is>
      </c>
      <c r="AG1105" s="69" t="inlineStr">
        <is>
          <t>Irvine</t>
        </is>
      </c>
      <c r="AH1105" s="69" t="inlineStr">
        <is>
          <t>Los Angeles-Long Beach-Anaheim, CA</t>
        </is>
      </c>
      <c r="AI1105" s="69" t="inlineStr">
        <is>
          <t>West / Pacific South</t>
        </is>
      </c>
      <c r="AJ1105" s="69" t="inlineStr">
        <is>
          <t>OF</t>
        </is>
      </c>
      <c r="AK1105" s="69" t="inlineStr">
        <is>
          <t>Suburban</t>
        </is>
      </c>
      <c r="AL1105" s="68" t="n">
        <v>1</v>
      </c>
      <c r="AM1105" s="68" t="n"/>
      <c r="AN1105" s="68" t="n">
        <v>114724</v>
      </c>
      <c r="AO1105" s="69" t="inlineStr">
        <is>
          <t>1983</t>
        </is>
      </c>
      <c r="AP1105" s="70" t="n">
        <v>2015</v>
      </c>
      <c r="AQ1105" s="74" t="n">
        <v>3.58</v>
      </c>
      <c r="AR1105" s="74" t="n">
        <v>4.2</v>
      </c>
      <c r="AS1105" s="74" t="n">
        <v>33.1</v>
      </c>
      <c r="AT1105" s="74" t="n">
        <v>33.09</v>
      </c>
      <c r="AU1105" s="74" t="n">
        <v>33.09</v>
      </c>
      <c r="AV1105" s="74" t="n">
        <v>13.140020444</v>
      </c>
      <c r="AW1105" s="74" t="n">
        <v>12.422378296</v>
      </c>
      <c r="AX1105" s="75" t="n">
        <v>83</v>
      </c>
      <c r="AY1105" s="71" t="n">
        <v>40800000</v>
      </c>
      <c r="AZ1105" s="71" t="n">
        <v>40800000</v>
      </c>
      <c r="BA1105" s="71" t="n">
        <v>1773902.76</v>
      </c>
      <c r="BB1105" s="71" t="n">
        <v>2076806.88</v>
      </c>
      <c r="BC1105" s="69" t="inlineStr">
        <is>
          <t>Recapitalization</t>
        </is>
      </c>
      <c r="BD1105" s="69" t="inlineStr">
        <is>
          <t>N</t>
        </is>
      </c>
      <c r="BE1105" s="71" t="n"/>
      <c r="BF1105" s="71" t="n"/>
      <c r="BG1105" s="71" t="n"/>
      <c r="BH1105" s="71" t="n">
        <v>0</v>
      </c>
      <c r="BI1105" s="71" t="n">
        <v>0</v>
      </c>
      <c r="BJ1105" s="69" t="inlineStr">
        <is>
          <t>N</t>
        </is>
      </c>
      <c r="BK1105" s="69" t="inlineStr">
        <is>
          <t>BEHAVIORAL HEALTH HOLDINGS II</t>
        </is>
      </c>
      <c r="BL1105" s="75" t="n">
        <v>27.75</v>
      </c>
      <c r="BM1105" s="73" t="n">
        <v>47817</v>
      </c>
      <c r="BN1105" s="69" t="inlineStr">
        <is>
          <t>RSFC Holdings, LLC, HSFC Holdings, LLC</t>
        </is>
      </c>
      <c r="BO1105" s="69" t="inlineStr">
        <is>
          <t>GACC</t>
        </is>
      </c>
      <c r="BP1105" s="69" t="inlineStr">
        <is>
          <t>Midland Loan Services</t>
        </is>
      </c>
      <c r="BQ1105" s="69" t="inlineStr">
        <is>
          <t>K-Star Asset Management LLC</t>
        </is>
      </c>
      <c r="BR1105" s="69" t="n"/>
      <c r="BS1105" s="73" t="n">
        <v>46276</v>
      </c>
      <c r="BU1105" s="76">
        <f>IF($C1105="","",IFERROR(INDEX(dmName,MATCH($C1105,dmID,0)),"Unmapped"))</f>
        <v/>
      </c>
      <c r="BV1105" s="76">
        <f>IF($C1105="","",IFERROR(INDEX(dmEntity,MATCH($C1105,dmID,0)),"Unmapped"))</f>
        <v/>
      </c>
      <c r="BW1105" s="77">
        <f>IF($C1105="","",IFERROR(INDEX(dmVintage,MATCH($C1105,dmID,0)),""))</f>
        <v/>
      </c>
      <c r="BX1105" s="78">
        <f>IFERROR(INDEX(dmInclude,MATCH($C1105,dmID,0)),0)</f>
        <v/>
      </c>
      <c r="BY1105" s="78">
        <f>IF(N($I1105)&gt;0,1,0)</f>
        <v/>
      </c>
      <c r="BZ1105" s="76">
        <f>IF($AJ1105="","Other / Leased Fee",IFERROR(INDEX(mapPTGroup,MATCH(LEFT(TRIM($AJ1105),2),mapPTCode,0)),"Other / Leased Fee"))</f>
        <v/>
      </c>
      <c r="CA1105" s="76">
        <f>IF(TRIM($AF1105&amp;"")="","NR",LEFT(TRIM($AF1105),2))</f>
        <v/>
      </c>
      <c r="CB1105" s="76">
        <f>IFERROR(LOOKUP(2,1/(LEFT(TRIM($AI1105&amp;""),LEN(mapRegion))=mapRegion),mapRegion),"Not Reported")</f>
        <v/>
      </c>
      <c r="CC1105" s="76">
        <f>IF($BY1105=0,"",IF(TRIM($W1105&amp;"")="REO","REO",IF(TRIM($W1105&amp;"")="FC","Foreclosure",IF(TRIM($W1105&amp;"")="90+","90+ Days Delinquent",IF(TRIM($W1105&amp;"")="60","60 Days Delinquent",IF(TRIM($W1105&amp;"")="30","30 Days Delinquent",IF($X1105="Non-Performing Matured Balloon","Non-Performing Matured Balloon",IF(OR($X1105="Late Payment But Less Than 30 Days Delinquent",LEFT($X1105&amp;"",20)="Payment Not Received"),"Late / In Grace (&lt;30 Days)",IF($X1105="Performing Matured Balloon","Performing Matured Balloon","Current")))))))))</f>
        <v/>
      </c>
      <c r="CD1105" s="78">
        <f>IF(OR($CC1105="REO",$CC1105="Foreclosure",$CC1105="90+ Days Delinquent",$CC1105="60 Days Delinquent",$CC1105="30 Days Delinquent",$CC1105="Non-Performing Matured Balloon"),1,0)</f>
        <v/>
      </c>
      <c r="CE1105" s="76">
        <f>IF($AB1105="Currently special serv","Currently Specially Serviced",IF($AB1105="Returned to master serv","Previously Specially Serviced","Never Specially Serviced"))</f>
        <v/>
      </c>
      <c r="CF1105" s="78">
        <f>IF($CE1105="Currently Specially Serviced",1,0)</f>
        <v/>
      </c>
      <c r="CG1105" s="76">
        <f>IF($AA1105="Yes","Currently on Watchlist",IF($AA1105="Previously","Previously on Watchlist","Never on Watchlist"))</f>
        <v/>
      </c>
      <c r="CH1105" s="78">
        <f>IF($CG1105="Currently on Watchlist",1,0)</f>
        <v/>
      </c>
      <c r="CI1105" s="76">
        <f>IF($Z1105="Full Defeasance","Fully Defeased",IF($Z1105="Portion Of Loan Previously Defeased","Partially Defeased",IF($Z1105="Defeasance Not Allowable","Not Defeased (Not Permitted)","Not Defeased")))</f>
        <v/>
      </c>
      <c r="CJ1105" s="78">
        <f>IF($CI1105="Fully Defeased",1,0)</f>
        <v/>
      </c>
      <c r="CK1105" s="76">
        <f>IF($R1105="IO","Full IO",IF(LEFT($R1105&amp;"",7)="IO then","Partial IO","Amortizing"))</f>
        <v/>
      </c>
      <c r="CL1105" s="78">
        <f>IF($CK1105="Full IO",1,0)</f>
        <v/>
      </c>
      <c r="CM1105" s="78">
        <f>IF($CK1105="Partial IO",1,0)</f>
        <v/>
      </c>
      <c r="CN1105" s="76">
        <f>IF(LEFT($F1105&amp;"",10)="SPLIT_LOAN","Pari Passu Split","Standalone")</f>
        <v/>
      </c>
      <c r="CO1105" s="78">
        <f>IF($CN1105="Pari Passu Split",1,0)</f>
        <v/>
      </c>
      <c r="CP1105" s="77">
        <f>IF(ISNUMBER($T1105),YEAR($T1105),"")</f>
        <v/>
      </c>
      <c r="CQ1105" s="79">
        <f>IF(ISNUMBER($V1105),$V1105,IF(ISNUMBER($U1105),$U1105,""))</f>
        <v/>
      </c>
      <c r="CR1105" s="77">
        <f>IF(ISNUMBER($CQ1105),YEAR($CQ1105),"")</f>
        <v/>
      </c>
      <c r="CS1105" s="78">
        <f>IF(ISNUMBER($M1105),MAX(0,$M1105),IF(TRIM($M1105&amp;"")="matured",0,""))</f>
        <v/>
      </c>
      <c r="CT1105" s="78">
        <f>IF(AND(ISNUMBER($CS1105),N($CS1105)&lt;=mMatWindow),1,0)</f>
        <v/>
      </c>
      <c r="CU1105" s="80">
        <f>IF(ISNUMBER($J1105),$J1105/100,"")</f>
        <v/>
      </c>
      <c r="CV1105" s="81">
        <f>IF(ISNUMBER($AQ1105),$AQ1105,"")</f>
        <v/>
      </c>
      <c r="CW1105" s="81">
        <f>IF(ISNUMBER($AR1105),$AR1105,"")</f>
        <v/>
      </c>
      <c r="CX1105" s="82">
        <f>IF(ISNUMBER($AS1105),$AS1105/100,"")</f>
        <v/>
      </c>
      <c r="CY1105" s="82">
        <f>IF(ISNUMBER($AT1105),$AT1105/100,"")</f>
        <v/>
      </c>
      <c r="CZ1105" s="82">
        <f>IF(ISNUMBER($AU1105),$AU1105/100,"")</f>
        <v/>
      </c>
      <c r="DA1105" s="82">
        <f>IF(ISNUMBER($AV1105),$AV1105/100,"")</f>
        <v/>
      </c>
      <c r="DB1105" s="82">
        <f>IF(ISNUMBER($AW1105),$AW1105/100,"")</f>
        <v/>
      </c>
      <c r="DC1105" s="82">
        <f>IF(ISNUMBER($AX1105),$AX1105/100,"")</f>
        <v/>
      </c>
      <c r="DD1105" s="77">
        <f>IFERROR(VALUE(LEFT(TRIM($AO1105&amp;""),4)),"")</f>
        <v/>
      </c>
      <c r="DE1105" s="78">
        <f>IF(AND($BY1105=1,$BX1105=1,OR(fDeal="All Deals",$BU1105=fDeal),OR(fEntity="All Entities",$BV1105=fEntity),OR(fPType="All Property Types",$BZ1105=fPType),OR(fDefeased="Include",$CJ1105=0)),1,0)</f>
        <v/>
      </c>
      <c r="DF1105" s="83">
        <f>$DE1105*N($I1105)</f>
        <v/>
      </c>
      <c r="DG1105" s="78">
        <f>IF($DE1105=1,IF(COUNTIFS($F$8:$F1105,$F1105,$DE$8:$DE1105,1)=1,1,0),0)</f>
        <v/>
      </c>
      <c r="DH1105" s="83">
        <f>IF($DG1105=1,SUMIFS($DF$8:$DF$1600,$F$8:$F$1600,$F1105),0)</f>
        <v/>
      </c>
      <c r="DI1105" s="78">
        <f>IF($DG1105=1,COUNTIFS($F$8:$F$1600,$F1105,$DE$8:$DE$1600,1),0)</f>
        <v/>
      </c>
      <c r="DJ1105" s="84">
        <f>IF($DG1105=1,$DH1105+(100000-ROW())/mTieBreak,0)</f>
        <v/>
      </c>
    </row>
    <row r="1106">
      <c r="B1106" s="68" t="n">
        <v>26</v>
      </c>
      <c r="C1106" s="69" t="inlineStr">
        <is>
          <t>JPD17C7</t>
        </is>
      </c>
      <c r="D1106" s="69" t="inlineStr">
        <is>
          <t>26.000</t>
        </is>
      </c>
      <c r="E1106" s="69" t="inlineStr">
        <is>
          <t>Staybridge Suites St. Petersburg</t>
        </is>
      </c>
      <c r="F1106" s="69" t="inlineStr">
        <is>
          <t>LNJPD17C7-26.000</t>
        </is>
      </c>
      <c r="G1106" s="70" t="n"/>
      <c r="H1106" s="71" t="n">
        <v>13325000</v>
      </c>
      <c r="I1106" s="71" t="n">
        <v>0</v>
      </c>
      <c r="J1106" s="72" t="n">
        <v>4.34</v>
      </c>
      <c r="K1106" s="69" t="inlineStr">
        <is>
          <t>Fixed rate</t>
        </is>
      </c>
      <c r="L1106" s="68" t="n">
        <v>84</v>
      </c>
      <c r="M1106" s="68" t="n"/>
      <c r="N1106" s="68" t="n">
        <v>396</v>
      </c>
      <c r="O1106" s="68" t="n">
        <v>36</v>
      </c>
      <c r="P1106" s="68" t="n"/>
      <c r="Q1106" s="68" t="n"/>
      <c r="R1106" s="69" t="inlineStr">
        <is>
          <t>IO then Amort</t>
        </is>
      </c>
      <c r="S1106" s="69" t="inlineStr">
        <is>
          <t>No</t>
        </is>
      </c>
      <c r="T1106" s="73" t="n">
        <v>42917</v>
      </c>
      <c r="U1106" s="73" t="n">
        <v>45474</v>
      </c>
      <c r="V1106" s="73" t="n"/>
      <c r="W1106" s="69" t="n"/>
      <c r="X1106" s="69" t="inlineStr">
        <is>
          <t>Current</t>
        </is>
      </c>
      <c r="Y1106" s="68" t="n"/>
      <c r="Z1106" s="69" t="inlineStr">
        <is>
          <t>Defeasance Not Allowable</t>
        </is>
      </c>
      <c r="AA1106" s="69" t="inlineStr">
        <is>
          <t>Previously</t>
        </is>
      </c>
      <c r="AB1106" s="69" t="inlineStr">
        <is>
          <t>Never special serv</t>
        </is>
      </c>
      <c r="AC1106" s="73" t="n"/>
      <c r="AD1106" s="69" t="n"/>
      <c r="AE1106" s="69" t="n"/>
      <c r="AF1106" s="69" t="inlineStr">
        <is>
          <t>FL</t>
        </is>
      </c>
      <c r="AG1106" s="69" t="inlineStr">
        <is>
          <t>St. Petersburg</t>
        </is>
      </c>
      <c r="AH1106" s="69" t="inlineStr">
        <is>
          <t>Tampa-St. Petersburg-Clearwater, FL</t>
        </is>
      </c>
      <c r="AI1106" s="69" t="inlineStr">
        <is>
          <t>South / Atlantic</t>
        </is>
      </c>
      <c r="AJ1106" s="69" t="inlineStr">
        <is>
          <t>HT</t>
        </is>
      </c>
      <c r="AK1106" s="69" t="inlineStr">
        <is>
          <t>Extended Stay</t>
        </is>
      </c>
      <c r="AL1106" s="68" t="n">
        <v>1</v>
      </c>
      <c r="AM1106" s="68" t="n">
        <v>119</v>
      </c>
      <c r="AN1106" s="68" t="n"/>
      <c r="AO1106" s="69" t="inlineStr">
        <is>
          <t>2014</t>
        </is>
      </c>
      <c r="AP1106" s="70" t="n">
        <v>2014</v>
      </c>
      <c r="AQ1106" s="74" t="n">
        <v>2.31</v>
      </c>
      <c r="AR1106" s="74" t="n">
        <v>2.09</v>
      </c>
      <c r="AS1106" s="74" t="n">
        <v>65</v>
      </c>
      <c r="AT1106" s="74" t="n"/>
      <c r="AU1106" s="74" t="n">
        <v>60.6</v>
      </c>
      <c r="AV1106" s="74" t="n">
        <v>13.791992495</v>
      </c>
      <c r="AW1106" s="74" t="n"/>
      <c r="AX1106" s="75" t="n">
        <v>75</v>
      </c>
      <c r="AY1106" s="71" t="n">
        <v>20500000</v>
      </c>
      <c r="AZ1106" s="71" t="n">
        <v>20500000</v>
      </c>
      <c r="BA1106" s="71" t="n">
        <v>1837783</v>
      </c>
      <c r="BB1106" s="71" t="n">
        <v>1661191.24</v>
      </c>
      <c r="BC1106" s="69" t="inlineStr">
        <is>
          <t>Acquisition</t>
        </is>
      </c>
      <c r="BD1106" s="69" t="inlineStr">
        <is>
          <t>N</t>
        </is>
      </c>
      <c r="BE1106" s="71" t="n"/>
      <c r="BF1106" s="71" t="n"/>
      <c r="BG1106" s="71" t="n"/>
      <c r="BH1106" s="71" t="n">
        <v>0</v>
      </c>
      <c r="BI1106" s="71" t="n">
        <v>0</v>
      </c>
      <c r="BJ1106" s="69" t="inlineStr">
        <is>
          <t>N</t>
        </is>
      </c>
      <c r="BK1106" s="69" t="n"/>
      <c r="BL1106" s="75" t="n"/>
      <c r="BM1106" s="73" t="n"/>
      <c r="BN1106" s="69" t="inlineStr">
        <is>
          <t>TH Investment Holdings II, LLC</t>
        </is>
      </c>
      <c r="BO1106" s="69" t="inlineStr">
        <is>
          <t>JPMorgan Chase</t>
        </is>
      </c>
      <c r="BP1106" s="69" t="inlineStr">
        <is>
          <t>Midland Loan Services</t>
        </is>
      </c>
      <c r="BQ1106" s="69" t="inlineStr">
        <is>
          <t>K-Star Asset Management LLC</t>
        </is>
      </c>
      <c r="BR1106" s="69" t="inlineStr">
        <is>
          <t>Payoff Prior To Maturity</t>
        </is>
      </c>
      <c r="BS1106" s="73" t="n">
        <v>45425</v>
      </c>
      <c r="BU1106" s="76">
        <f>IF($C1106="","",IFERROR(INDEX(dmName,MATCH($C1106,dmID,0)),"Unmapped"))</f>
        <v/>
      </c>
      <c r="BV1106" s="76">
        <f>IF($C1106="","",IFERROR(INDEX(dmEntity,MATCH($C1106,dmID,0)),"Unmapped"))</f>
        <v/>
      </c>
      <c r="BW1106" s="77">
        <f>IF($C1106="","",IFERROR(INDEX(dmVintage,MATCH($C1106,dmID,0)),""))</f>
        <v/>
      </c>
      <c r="BX1106" s="78">
        <f>IFERROR(INDEX(dmInclude,MATCH($C1106,dmID,0)),0)</f>
        <v/>
      </c>
      <c r="BY1106" s="78">
        <f>IF(N($I1106)&gt;0,1,0)</f>
        <v/>
      </c>
      <c r="BZ1106" s="76">
        <f>IF($AJ1106="","Other / Leased Fee",IFERROR(INDEX(mapPTGroup,MATCH(LEFT(TRIM($AJ1106),2),mapPTCode,0)),"Other / Leased Fee"))</f>
        <v/>
      </c>
      <c r="CA1106" s="76">
        <f>IF(TRIM($AF1106&amp;"")="","NR",LEFT(TRIM($AF1106),2))</f>
        <v/>
      </c>
      <c r="CB1106" s="76">
        <f>IFERROR(LOOKUP(2,1/(LEFT(TRIM($AI1106&amp;""),LEN(mapRegion))=mapRegion),mapRegion),"Not Reported")</f>
        <v/>
      </c>
      <c r="CC1106" s="76">
        <f>IF($BY1106=0,"",IF(TRIM($W1106&amp;"")="REO","REO",IF(TRIM($W1106&amp;"")="FC","Foreclosure",IF(TRIM($W1106&amp;"")="90+","90+ Days Delinquent",IF(TRIM($W1106&amp;"")="60","60 Days Delinquent",IF(TRIM($W1106&amp;"")="30","30 Days Delinquent",IF($X1106="Non-Performing Matured Balloon","Non-Performing Matured Balloon",IF(OR($X1106="Late Payment But Less Than 30 Days Delinquent",LEFT($X1106&amp;"",20)="Payment Not Received"),"Late / In Grace (&lt;30 Days)",IF($X1106="Performing Matured Balloon","Performing Matured Balloon","Current")))))))))</f>
        <v/>
      </c>
      <c r="CD1106" s="78">
        <f>IF(OR($CC1106="REO",$CC1106="Foreclosure",$CC1106="90+ Days Delinquent",$CC1106="60 Days Delinquent",$CC1106="30 Days Delinquent",$CC1106="Non-Performing Matured Balloon"),1,0)</f>
        <v/>
      </c>
      <c r="CE1106" s="76">
        <f>IF($AB1106="Currently special serv","Currently Specially Serviced",IF($AB1106="Returned to master serv","Previously Specially Serviced","Never Specially Serviced"))</f>
        <v/>
      </c>
      <c r="CF1106" s="78">
        <f>IF($CE1106="Currently Specially Serviced",1,0)</f>
        <v/>
      </c>
      <c r="CG1106" s="76">
        <f>IF($AA1106="Yes","Currently on Watchlist",IF($AA1106="Previously","Previously on Watchlist","Never on Watchlist"))</f>
        <v/>
      </c>
      <c r="CH1106" s="78">
        <f>IF($CG1106="Currently on Watchlist",1,0)</f>
        <v/>
      </c>
      <c r="CI1106" s="76">
        <f>IF($Z1106="Full Defeasance","Fully Defeased",IF($Z1106="Portion Of Loan Previously Defeased","Partially Defeased",IF($Z1106="Defeasance Not Allowable","Not Defeased (Not Permitted)","Not Defeased")))</f>
        <v/>
      </c>
      <c r="CJ1106" s="78">
        <f>IF($CI1106="Fully Defeased",1,0)</f>
        <v/>
      </c>
      <c r="CK1106" s="76">
        <f>IF($R1106="IO","Full IO",IF(LEFT($R1106&amp;"",7)="IO then","Partial IO","Amortizing"))</f>
        <v/>
      </c>
      <c r="CL1106" s="78">
        <f>IF($CK1106="Full IO",1,0)</f>
        <v/>
      </c>
      <c r="CM1106" s="78">
        <f>IF($CK1106="Partial IO",1,0)</f>
        <v/>
      </c>
      <c r="CN1106" s="76">
        <f>IF(LEFT($F1106&amp;"",10)="SPLIT_LOAN","Pari Passu Split","Standalone")</f>
        <v/>
      </c>
      <c r="CO1106" s="78">
        <f>IF($CN1106="Pari Passu Split",1,0)</f>
        <v/>
      </c>
      <c r="CP1106" s="77">
        <f>IF(ISNUMBER($T1106),YEAR($T1106),"")</f>
        <v/>
      </c>
      <c r="CQ1106" s="79">
        <f>IF(ISNUMBER($V1106),$V1106,IF(ISNUMBER($U1106),$U1106,""))</f>
        <v/>
      </c>
      <c r="CR1106" s="77">
        <f>IF(ISNUMBER($CQ1106),YEAR($CQ1106),"")</f>
        <v/>
      </c>
      <c r="CS1106" s="78">
        <f>IF(ISNUMBER($M1106),MAX(0,$M1106),IF(TRIM($M1106&amp;"")="matured",0,""))</f>
        <v/>
      </c>
      <c r="CT1106" s="78">
        <f>IF(AND(ISNUMBER($CS1106),N($CS1106)&lt;=mMatWindow),1,0)</f>
        <v/>
      </c>
      <c r="CU1106" s="80">
        <f>IF(ISNUMBER($J1106),$J1106/100,"")</f>
        <v/>
      </c>
      <c r="CV1106" s="81">
        <f>IF(ISNUMBER($AQ1106),$AQ1106,"")</f>
        <v/>
      </c>
      <c r="CW1106" s="81">
        <f>IF(ISNUMBER($AR1106),$AR1106,"")</f>
        <v/>
      </c>
      <c r="CX1106" s="82">
        <f>IF(ISNUMBER($AS1106),$AS1106/100,"")</f>
        <v/>
      </c>
      <c r="CY1106" s="82">
        <f>IF(ISNUMBER($AT1106),$AT1106/100,"")</f>
        <v/>
      </c>
      <c r="CZ1106" s="82">
        <f>IF(ISNUMBER($AU1106),$AU1106/100,"")</f>
        <v/>
      </c>
      <c r="DA1106" s="82">
        <f>IF(ISNUMBER($AV1106),$AV1106/100,"")</f>
        <v/>
      </c>
      <c r="DB1106" s="82">
        <f>IF(ISNUMBER($AW1106),$AW1106/100,"")</f>
        <v/>
      </c>
      <c r="DC1106" s="82">
        <f>IF(ISNUMBER($AX1106),$AX1106/100,"")</f>
        <v/>
      </c>
      <c r="DD1106" s="77">
        <f>IFERROR(VALUE(LEFT(TRIM($AO1106&amp;""),4)),"")</f>
        <v/>
      </c>
      <c r="DE1106" s="78">
        <f>IF(AND($BY1106=1,$BX1106=1,OR(fDeal="All Deals",$BU1106=fDeal),OR(fEntity="All Entities",$BV1106=fEntity),OR(fPType="All Property Types",$BZ1106=fPType),OR(fDefeased="Include",$CJ1106=0)),1,0)</f>
        <v/>
      </c>
      <c r="DF1106" s="83">
        <f>$DE1106*N($I1106)</f>
        <v/>
      </c>
      <c r="DG1106" s="78">
        <f>IF($DE1106=1,IF(COUNTIFS($F$8:$F1106,$F1106,$DE$8:$DE1106,1)=1,1,0),0)</f>
        <v/>
      </c>
      <c r="DH1106" s="83">
        <f>IF($DG1106=1,SUMIFS($DF$8:$DF$1600,$F$8:$F$1600,$F1106),0)</f>
        <v/>
      </c>
      <c r="DI1106" s="78">
        <f>IF($DG1106=1,COUNTIFS($F$8:$F$1600,$F1106,$DE$8:$DE$1600,1),0)</f>
        <v/>
      </c>
      <c r="DJ1106" s="84">
        <f>IF($DG1106=1,$DH1106+(100000-ROW())/mTieBreak,0)</f>
        <v/>
      </c>
    </row>
    <row r="1107">
      <c r="B1107" s="68" t="n">
        <v>27</v>
      </c>
      <c r="C1107" s="69" t="inlineStr">
        <is>
          <t>JPD17C7</t>
        </is>
      </c>
      <c r="D1107" s="69" t="inlineStr">
        <is>
          <t>27.000</t>
        </is>
      </c>
      <c r="E1107" s="69" t="inlineStr">
        <is>
          <t>Mural Lofts</t>
        </is>
      </c>
      <c r="F1107" s="69" t="inlineStr">
        <is>
          <t>LNJPD17C7-27.000</t>
        </is>
      </c>
      <c r="G1107" s="70" t="n"/>
      <c r="H1107" s="71" t="n">
        <v>12500000</v>
      </c>
      <c r="I1107" s="71" t="n">
        <v>0</v>
      </c>
      <c r="J1107" s="72" t="n">
        <v>5.0428</v>
      </c>
      <c r="K1107" s="69" t="inlineStr">
        <is>
          <t>Fixed rate</t>
        </is>
      </c>
      <c r="L1107" s="68" t="n">
        <v>60</v>
      </c>
      <c r="M1107" s="68" t="n"/>
      <c r="N1107" s="68" t="n">
        <v>60</v>
      </c>
      <c r="O1107" s="68" t="n">
        <v>60</v>
      </c>
      <c r="P1107" s="68" t="n"/>
      <c r="Q1107" s="68" t="n"/>
      <c r="R1107" s="69" t="inlineStr">
        <is>
          <t>IO</t>
        </is>
      </c>
      <c r="S1107" s="69" t="inlineStr">
        <is>
          <t>Yes</t>
        </is>
      </c>
      <c r="T1107" s="73" t="n">
        <v>42948</v>
      </c>
      <c r="U1107" s="73" t="n">
        <v>44774</v>
      </c>
      <c r="V1107" s="73" t="n"/>
      <c r="W1107" s="69" t="n"/>
      <c r="X1107" s="69" t="inlineStr">
        <is>
          <t>Current</t>
        </is>
      </c>
      <c r="Y1107" s="68" t="n"/>
      <c r="Z1107" s="69" t="inlineStr">
        <is>
          <t>Defeasance Not Allowable</t>
        </is>
      </c>
      <c r="AA1107" s="69" t="inlineStr">
        <is>
          <t>Previously</t>
        </is>
      </c>
      <c r="AB1107" s="69" t="inlineStr">
        <is>
          <t>Currently special serv</t>
        </is>
      </c>
      <c r="AC1107" s="73" t="n">
        <v>44168</v>
      </c>
      <c r="AD1107" s="69" t="inlineStr">
        <is>
          <t>Imminent Monetary Default (excluding Balloon/Maturity Default &amp; Single Tenant Bankruptcy/Vacate)</t>
        </is>
      </c>
      <c r="AE1107" s="69" t="inlineStr">
        <is>
          <t>Note Sale</t>
        </is>
      </c>
      <c r="AF1107" s="69" t="inlineStr">
        <is>
          <t>PA</t>
        </is>
      </c>
      <c r="AG1107" s="69" t="inlineStr">
        <is>
          <t>Philadelphia</t>
        </is>
      </c>
      <c r="AH1107" s="69" t="inlineStr">
        <is>
          <t>Philadelphia-Camden-Wilmington, PA-NJ-DE-MD</t>
        </is>
      </c>
      <c r="AI1107" s="69" t="inlineStr">
        <is>
          <t>Northeast / Mid-Atlantic</t>
        </is>
      </c>
      <c r="AJ1107" s="69" t="inlineStr">
        <is>
          <t>MF</t>
        </is>
      </c>
      <c r="AK1107" s="69" t="inlineStr">
        <is>
          <t>Mid Rise</t>
        </is>
      </c>
      <c r="AL1107" s="68" t="n">
        <v>1</v>
      </c>
      <c r="AM1107" s="68" t="n">
        <v>59</v>
      </c>
      <c r="AN1107" s="68" t="n"/>
      <c r="AO1107" s="69" t="inlineStr">
        <is>
          <t>1900</t>
        </is>
      </c>
      <c r="AP1107" s="70" t="n">
        <v>2015</v>
      </c>
      <c r="AQ1107" s="74" t="n">
        <v>1.73</v>
      </c>
      <c r="AR1107" s="74" t="n">
        <v>1.42</v>
      </c>
      <c r="AS1107" s="74" t="n">
        <v>58.7</v>
      </c>
      <c r="AT1107" s="74" t="n"/>
      <c r="AU1107" s="74" t="n">
        <v>58.7</v>
      </c>
      <c r="AV1107" s="74" t="n">
        <v>8.825264000000001</v>
      </c>
      <c r="AW1107" s="74" t="n"/>
      <c r="AX1107" s="75" t="n">
        <v>80</v>
      </c>
      <c r="AY1107" s="71" t="n">
        <v>21300000</v>
      </c>
      <c r="AZ1107" s="71" t="n">
        <v>21300000</v>
      </c>
      <c r="BA1107" s="71" t="n">
        <v>1103158</v>
      </c>
      <c r="BB1107" s="71" t="n">
        <v>905673.49</v>
      </c>
      <c r="BC1107" s="69" t="inlineStr">
        <is>
          <t>Refinance</t>
        </is>
      </c>
      <c r="BD1107" s="69" t="inlineStr">
        <is>
          <t>N</t>
        </is>
      </c>
      <c r="BE1107" s="71" t="n"/>
      <c r="BF1107" s="71" t="n">
        <v>0</v>
      </c>
      <c r="BG1107" s="71" t="n"/>
      <c r="BH1107" s="71" t="n">
        <v>0</v>
      </c>
      <c r="BI1107" s="71" t="n">
        <v>0</v>
      </c>
      <c r="BJ1107" s="69" t="inlineStr">
        <is>
          <t>N</t>
        </is>
      </c>
      <c r="BK1107" s="69" t="n"/>
      <c r="BL1107" s="75" t="n"/>
      <c r="BM1107" s="73" t="n"/>
      <c r="BN1107" s="69" t="inlineStr">
        <is>
          <t>Eric Blumenfeld</t>
        </is>
      </c>
      <c r="BO1107" s="69" t="inlineStr">
        <is>
          <t>JPMorgan Chase</t>
        </is>
      </c>
      <c r="BP1107" s="69" t="inlineStr">
        <is>
          <t>Midland Loan Services</t>
        </is>
      </c>
      <c r="BQ1107" s="69" t="inlineStr">
        <is>
          <t>Midland Loan Services</t>
        </is>
      </c>
      <c r="BR1107" s="69" t="inlineStr">
        <is>
          <t>Payoff Prior To Maturity</t>
        </is>
      </c>
      <c r="BS1107" s="73" t="n">
        <v>45758</v>
      </c>
      <c r="BU1107" s="76">
        <f>IF($C1107="","",IFERROR(INDEX(dmName,MATCH($C1107,dmID,0)),"Unmapped"))</f>
        <v/>
      </c>
      <c r="BV1107" s="76">
        <f>IF($C1107="","",IFERROR(INDEX(dmEntity,MATCH($C1107,dmID,0)),"Unmapped"))</f>
        <v/>
      </c>
      <c r="BW1107" s="77">
        <f>IF($C1107="","",IFERROR(INDEX(dmVintage,MATCH($C1107,dmID,0)),""))</f>
        <v/>
      </c>
      <c r="BX1107" s="78">
        <f>IFERROR(INDEX(dmInclude,MATCH($C1107,dmID,0)),0)</f>
        <v/>
      </c>
      <c r="BY1107" s="78">
        <f>IF(N($I1107)&gt;0,1,0)</f>
        <v/>
      </c>
      <c r="BZ1107" s="76">
        <f>IF($AJ1107="","Other / Leased Fee",IFERROR(INDEX(mapPTGroup,MATCH(LEFT(TRIM($AJ1107),2),mapPTCode,0)),"Other / Leased Fee"))</f>
        <v/>
      </c>
      <c r="CA1107" s="76">
        <f>IF(TRIM($AF1107&amp;"")="","NR",LEFT(TRIM($AF1107),2))</f>
        <v/>
      </c>
      <c r="CB1107" s="76">
        <f>IFERROR(LOOKUP(2,1/(LEFT(TRIM($AI1107&amp;""),LEN(mapRegion))=mapRegion),mapRegion),"Not Reported")</f>
        <v/>
      </c>
      <c r="CC1107" s="76">
        <f>IF($BY1107=0,"",IF(TRIM($W1107&amp;"")="REO","REO",IF(TRIM($W1107&amp;"")="FC","Foreclosure",IF(TRIM($W1107&amp;"")="90+","90+ Days Delinquent",IF(TRIM($W1107&amp;"")="60","60 Days Delinquent",IF(TRIM($W1107&amp;"")="30","30 Days Delinquent",IF($X1107="Non-Performing Matured Balloon","Non-Performing Matured Balloon",IF(OR($X1107="Late Payment But Less Than 30 Days Delinquent",LEFT($X1107&amp;"",20)="Payment Not Received"),"Late / In Grace (&lt;30 Days)",IF($X1107="Performing Matured Balloon","Performing Matured Balloon","Current")))))))))</f>
        <v/>
      </c>
      <c r="CD1107" s="78">
        <f>IF(OR($CC1107="REO",$CC1107="Foreclosure",$CC1107="90+ Days Delinquent",$CC1107="60 Days Delinquent",$CC1107="30 Days Delinquent",$CC1107="Non-Performing Matured Balloon"),1,0)</f>
        <v/>
      </c>
      <c r="CE1107" s="76">
        <f>IF($AB1107="Currently special serv","Currently Specially Serviced",IF($AB1107="Returned to master serv","Previously Specially Serviced","Never Specially Serviced"))</f>
        <v/>
      </c>
      <c r="CF1107" s="78">
        <f>IF($CE1107="Currently Specially Serviced",1,0)</f>
        <v/>
      </c>
      <c r="CG1107" s="76">
        <f>IF($AA1107="Yes","Currently on Watchlist",IF($AA1107="Previously","Previously on Watchlist","Never on Watchlist"))</f>
        <v/>
      </c>
      <c r="CH1107" s="78">
        <f>IF($CG1107="Currently on Watchlist",1,0)</f>
        <v/>
      </c>
      <c r="CI1107" s="76">
        <f>IF($Z1107="Full Defeasance","Fully Defeased",IF($Z1107="Portion Of Loan Previously Defeased","Partially Defeased",IF($Z1107="Defeasance Not Allowable","Not Defeased (Not Permitted)","Not Defeased")))</f>
        <v/>
      </c>
      <c r="CJ1107" s="78">
        <f>IF($CI1107="Fully Defeased",1,0)</f>
        <v/>
      </c>
      <c r="CK1107" s="76">
        <f>IF($R1107="IO","Full IO",IF(LEFT($R1107&amp;"",7)="IO then","Partial IO","Amortizing"))</f>
        <v/>
      </c>
      <c r="CL1107" s="78">
        <f>IF($CK1107="Full IO",1,0)</f>
        <v/>
      </c>
      <c r="CM1107" s="78">
        <f>IF($CK1107="Partial IO",1,0)</f>
        <v/>
      </c>
      <c r="CN1107" s="76">
        <f>IF(LEFT($F1107&amp;"",10)="SPLIT_LOAN","Pari Passu Split","Standalone")</f>
        <v/>
      </c>
      <c r="CO1107" s="78">
        <f>IF($CN1107="Pari Passu Split",1,0)</f>
        <v/>
      </c>
      <c r="CP1107" s="77">
        <f>IF(ISNUMBER($T1107),YEAR($T1107),"")</f>
        <v/>
      </c>
      <c r="CQ1107" s="79">
        <f>IF(ISNUMBER($V1107),$V1107,IF(ISNUMBER($U1107),$U1107,""))</f>
        <v/>
      </c>
      <c r="CR1107" s="77">
        <f>IF(ISNUMBER($CQ1107),YEAR($CQ1107),"")</f>
        <v/>
      </c>
      <c r="CS1107" s="78">
        <f>IF(ISNUMBER($M1107),MAX(0,$M1107),IF(TRIM($M1107&amp;"")="matured",0,""))</f>
        <v/>
      </c>
      <c r="CT1107" s="78">
        <f>IF(AND(ISNUMBER($CS1107),N($CS1107)&lt;=mMatWindow),1,0)</f>
        <v/>
      </c>
      <c r="CU1107" s="80">
        <f>IF(ISNUMBER($J1107),$J1107/100,"")</f>
        <v/>
      </c>
      <c r="CV1107" s="81">
        <f>IF(ISNUMBER($AQ1107),$AQ1107,"")</f>
        <v/>
      </c>
      <c r="CW1107" s="81">
        <f>IF(ISNUMBER($AR1107),$AR1107,"")</f>
        <v/>
      </c>
      <c r="CX1107" s="82">
        <f>IF(ISNUMBER($AS1107),$AS1107/100,"")</f>
        <v/>
      </c>
      <c r="CY1107" s="82">
        <f>IF(ISNUMBER($AT1107),$AT1107/100,"")</f>
        <v/>
      </c>
      <c r="CZ1107" s="82">
        <f>IF(ISNUMBER($AU1107),$AU1107/100,"")</f>
        <v/>
      </c>
      <c r="DA1107" s="82">
        <f>IF(ISNUMBER($AV1107),$AV1107/100,"")</f>
        <v/>
      </c>
      <c r="DB1107" s="82">
        <f>IF(ISNUMBER($AW1107),$AW1107/100,"")</f>
        <v/>
      </c>
      <c r="DC1107" s="82">
        <f>IF(ISNUMBER($AX1107),$AX1107/100,"")</f>
        <v/>
      </c>
      <c r="DD1107" s="77">
        <f>IFERROR(VALUE(LEFT(TRIM($AO1107&amp;""),4)),"")</f>
        <v/>
      </c>
      <c r="DE1107" s="78">
        <f>IF(AND($BY1107=1,$BX1107=1,OR(fDeal="All Deals",$BU1107=fDeal),OR(fEntity="All Entities",$BV1107=fEntity),OR(fPType="All Property Types",$BZ1107=fPType),OR(fDefeased="Include",$CJ1107=0)),1,0)</f>
        <v/>
      </c>
      <c r="DF1107" s="83">
        <f>$DE1107*N($I1107)</f>
        <v/>
      </c>
      <c r="DG1107" s="78">
        <f>IF($DE1107=1,IF(COUNTIFS($F$8:$F1107,$F1107,$DE$8:$DE1107,1)=1,1,0),0)</f>
        <v/>
      </c>
      <c r="DH1107" s="83">
        <f>IF($DG1107=1,SUMIFS($DF$8:$DF$1600,$F$8:$F$1600,$F1107),0)</f>
        <v/>
      </c>
      <c r="DI1107" s="78">
        <f>IF($DG1107=1,COUNTIFS($F$8:$F$1600,$F1107,$DE$8:$DE$1600,1),0)</f>
        <v/>
      </c>
      <c r="DJ1107" s="84">
        <f>IF($DG1107=1,$DH1107+(100000-ROW())/mTieBreak,0)</f>
        <v/>
      </c>
    </row>
    <row r="1108">
      <c r="B1108" s="68" t="n">
        <v>28</v>
      </c>
      <c r="C1108" s="69" t="inlineStr">
        <is>
          <t>JPD17C7</t>
        </is>
      </c>
      <c r="D1108" s="69" t="inlineStr">
        <is>
          <t>28.000</t>
        </is>
      </c>
      <c r="E1108" s="69" t="inlineStr">
        <is>
          <t>EIP Logistics Portfolio</t>
        </is>
      </c>
      <c r="F1108" s="69" t="inlineStr">
        <is>
          <t>SPLIT_LOAN_00980</t>
        </is>
      </c>
      <c r="G1108" s="70" t="n">
        <v>980</v>
      </c>
      <c r="H1108" s="71" t="n">
        <v>12000000</v>
      </c>
      <c r="I1108" s="71" t="n">
        <v>10264541.840004</v>
      </c>
      <c r="J1108" s="72" t="n">
        <v>5.306</v>
      </c>
      <c r="K1108" s="69" t="inlineStr">
        <is>
          <t>Fixed rate</t>
        </is>
      </c>
      <c r="L1108" s="68" t="n">
        <v>120</v>
      </c>
      <c r="M1108" s="68" t="n">
        <v>7</v>
      </c>
      <c r="N1108" s="68" t="n">
        <v>348</v>
      </c>
      <c r="O1108" s="68" t="n">
        <v>24</v>
      </c>
      <c r="P1108" s="68" t="n">
        <v>0</v>
      </c>
      <c r="Q1108" s="68" t="n">
        <v>113</v>
      </c>
      <c r="R1108" s="69" t="inlineStr">
        <is>
          <t>IO then Amort</t>
        </is>
      </c>
      <c r="S1108" s="69" t="inlineStr">
        <is>
          <t>No</t>
        </is>
      </c>
      <c r="T1108" s="73" t="n">
        <v>42826</v>
      </c>
      <c r="U1108" s="73" t="n">
        <v>46483</v>
      </c>
      <c r="V1108" s="73" t="n"/>
      <c r="W1108" s="69" t="n"/>
      <c r="X1108" s="69" t="inlineStr">
        <is>
          <t>Current</t>
        </is>
      </c>
      <c r="Y1108" s="68" t="n"/>
      <c r="Z1108" s="69" t="inlineStr">
        <is>
          <t>Full Defeasance</t>
        </is>
      </c>
      <c r="AA1108" s="69" t="n"/>
      <c r="AB1108" s="69" t="inlineStr">
        <is>
          <t>Never special serv</t>
        </is>
      </c>
      <c r="AC1108" s="73" t="n"/>
      <c r="AD1108" s="69" t="n"/>
      <c r="AE1108" s="69" t="n"/>
      <c r="AF1108" s="69" t="inlineStr">
        <is>
          <t>RI</t>
        </is>
      </c>
      <c r="AG1108" s="69" t="n"/>
      <c r="AH1108" s="69" t="inlineStr">
        <is>
          <t>Providence-Warwick, RI-MA</t>
        </is>
      </c>
      <c r="AI1108" s="69" t="inlineStr">
        <is>
          <t>Northeast / New England</t>
        </is>
      </c>
      <c r="AJ1108" s="69" t="inlineStr">
        <is>
          <t>IN</t>
        </is>
      </c>
      <c r="AK1108" s="69" t="inlineStr">
        <is>
          <t>Warehouse/Distribution</t>
        </is>
      </c>
      <c r="AL1108" s="68" t="n">
        <v>2</v>
      </c>
      <c r="AM1108" s="68" t="n"/>
      <c r="AN1108" s="68" t="n">
        <v>1084470</v>
      </c>
      <c r="AO1108" s="69" t="n"/>
      <c r="AP1108" s="70" t="n">
        <v>2008</v>
      </c>
      <c r="AQ1108" s="74" t="n">
        <v>1.37</v>
      </c>
      <c r="AR1108" s="74" t="n">
        <v>1.86</v>
      </c>
      <c r="AS1108" s="74" t="n">
        <v>70.8</v>
      </c>
      <c r="AT1108" s="74" t="n">
        <v>53.14</v>
      </c>
      <c r="AU1108" s="74" t="n">
        <v>59.57</v>
      </c>
      <c r="AV1108" s="74" t="n">
        <v>9.589809755999999</v>
      </c>
      <c r="AW1108" s="74" t="n">
        <v>15.39747057</v>
      </c>
      <c r="AX1108" s="75" t="n">
        <v>99</v>
      </c>
      <c r="AY1108" s="71" t="n">
        <v>57900000</v>
      </c>
      <c r="AZ1108" s="71" t="n">
        <v>66000000</v>
      </c>
      <c r="BA1108" s="71" t="n">
        <v>3931822</v>
      </c>
      <c r="BB1108" s="71" t="n">
        <v>3983602.74</v>
      </c>
      <c r="BC1108" s="69" t="inlineStr">
        <is>
          <t>Acquisition/Refinance</t>
        </is>
      </c>
      <c r="BD1108" s="69" t="inlineStr">
        <is>
          <t>N</t>
        </is>
      </c>
      <c r="BE1108" s="71" t="n">
        <v>24805976.11</v>
      </c>
      <c r="BF1108" s="71" t="n"/>
      <c r="BG1108" s="71" t="n"/>
      <c r="BH1108" s="71" t="n">
        <v>0</v>
      </c>
      <c r="BI1108" s="71" t="n">
        <v>0</v>
      </c>
      <c r="BJ1108" s="69" t="inlineStr">
        <is>
          <t>N</t>
        </is>
      </c>
      <c r="BK1108" s="69" t="inlineStr">
        <is>
          <t>Mercury Paper Inc.</t>
        </is>
      </c>
      <c r="BL1108" s="75" t="n">
        <v>46.18</v>
      </c>
      <c r="BM1108" s="73" t="n">
        <v>49217</v>
      </c>
      <c r="BN1108" s="69" t="inlineStr">
        <is>
          <t>Bruce Levine, Donald A. Levine, Lewis Heafitz</t>
        </is>
      </c>
      <c r="BO1108" s="69" t="inlineStr">
        <is>
          <t>GACC</t>
        </is>
      </c>
      <c r="BP1108" s="69" t="inlineStr">
        <is>
          <t>Midland Loan Services</t>
        </is>
      </c>
      <c r="BQ1108" s="69" t="inlineStr">
        <is>
          <t>Rialto Capital</t>
        </is>
      </c>
      <c r="BR1108" s="69" t="n"/>
      <c r="BS1108" s="73" t="n">
        <v>46276</v>
      </c>
      <c r="BU1108" s="76">
        <f>IF($C1108="","",IFERROR(INDEX(dmName,MATCH($C1108,dmID,0)),"Unmapped"))</f>
        <v/>
      </c>
      <c r="BV1108" s="76">
        <f>IF($C1108="","",IFERROR(INDEX(dmEntity,MATCH($C1108,dmID,0)),"Unmapped"))</f>
        <v/>
      </c>
      <c r="BW1108" s="77">
        <f>IF($C1108="","",IFERROR(INDEX(dmVintage,MATCH($C1108,dmID,0)),""))</f>
        <v/>
      </c>
      <c r="BX1108" s="78">
        <f>IFERROR(INDEX(dmInclude,MATCH($C1108,dmID,0)),0)</f>
        <v/>
      </c>
      <c r="BY1108" s="78">
        <f>IF(N($I1108)&gt;0,1,0)</f>
        <v/>
      </c>
      <c r="BZ1108" s="76">
        <f>IF($AJ1108="","Other / Leased Fee",IFERROR(INDEX(mapPTGroup,MATCH(LEFT(TRIM($AJ1108),2),mapPTCode,0)),"Other / Leased Fee"))</f>
        <v/>
      </c>
      <c r="CA1108" s="76">
        <f>IF(TRIM($AF1108&amp;"")="","NR",LEFT(TRIM($AF1108),2))</f>
        <v/>
      </c>
      <c r="CB1108" s="76">
        <f>IFERROR(LOOKUP(2,1/(LEFT(TRIM($AI1108&amp;""),LEN(mapRegion))=mapRegion),mapRegion),"Not Reported")</f>
        <v/>
      </c>
      <c r="CC1108" s="76">
        <f>IF($BY1108=0,"",IF(TRIM($W1108&amp;"")="REO","REO",IF(TRIM($W1108&amp;"")="FC","Foreclosure",IF(TRIM($W1108&amp;"")="90+","90+ Days Delinquent",IF(TRIM($W1108&amp;"")="60","60 Days Delinquent",IF(TRIM($W1108&amp;"")="30","30 Days Delinquent",IF($X1108="Non-Performing Matured Balloon","Non-Performing Matured Balloon",IF(OR($X1108="Late Payment But Less Than 30 Days Delinquent",LEFT($X1108&amp;"",20)="Payment Not Received"),"Late / In Grace (&lt;30 Days)",IF($X1108="Performing Matured Balloon","Performing Matured Balloon","Current")))))))))</f>
        <v/>
      </c>
      <c r="CD1108" s="78">
        <f>IF(OR($CC1108="REO",$CC1108="Foreclosure",$CC1108="90+ Days Delinquent",$CC1108="60 Days Delinquent",$CC1108="30 Days Delinquent",$CC1108="Non-Performing Matured Balloon"),1,0)</f>
        <v/>
      </c>
      <c r="CE1108" s="76">
        <f>IF($AB1108="Currently special serv","Currently Specially Serviced",IF($AB1108="Returned to master serv","Previously Specially Serviced","Never Specially Serviced"))</f>
        <v/>
      </c>
      <c r="CF1108" s="78">
        <f>IF($CE1108="Currently Specially Serviced",1,0)</f>
        <v/>
      </c>
      <c r="CG1108" s="76">
        <f>IF($AA1108="Yes","Currently on Watchlist",IF($AA1108="Previously","Previously on Watchlist","Never on Watchlist"))</f>
        <v/>
      </c>
      <c r="CH1108" s="78">
        <f>IF($CG1108="Currently on Watchlist",1,0)</f>
        <v/>
      </c>
      <c r="CI1108" s="76">
        <f>IF($Z1108="Full Defeasance","Fully Defeased",IF($Z1108="Portion Of Loan Previously Defeased","Partially Defeased",IF($Z1108="Defeasance Not Allowable","Not Defeased (Not Permitted)","Not Defeased")))</f>
        <v/>
      </c>
      <c r="CJ1108" s="78">
        <f>IF($CI1108="Fully Defeased",1,0)</f>
        <v/>
      </c>
      <c r="CK1108" s="76">
        <f>IF($R1108="IO","Full IO",IF(LEFT($R1108&amp;"",7)="IO then","Partial IO","Amortizing"))</f>
        <v/>
      </c>
      <c r="CL1108" s="78">
        <f>IF($CK1108="Full IO",1,0)</f>
        <v/>
      </c>
      <c r="CM1108" s="78">
        <f>IF($CK1108="Partial IO",1,0)</f>
        <v/>
      </c>
      <c r="CN1108" s="76">
        <f>IF(LEFT($F1108&amp;"",10)="SPLIT_LOAN","Pari Passu Split","Standalone")</f>
        <v/>
      </c>
      <c r="CO1108" s="78">
        <f>IF($CN1108="Pari Passu Split",1,0)</f>
        <v/>
      </c>
      <c r="CP1108" s="77">
        <f>IF(ISNUMBER($T1108),YEAR($T1108),"")</f>
        <v/>
      </c>
      <c r="CQ1108" s="79">
        <f>IF(ISNUMBER($V1108),$V1108,IF(ISNUMBER($U1108),$U1108,""))</f>
        <v/>
      </c>
      <c r="CR1108" s="77">
        <f>IF(ISNUMBER($CQ1108),YEAR($CQ1108),"")</f>
        <v/>
      </c>
      <c r="CS1108" s="78">
        <f>IF(ISNUMBER($M1108),MAX(0,$M1108),IF(TRIM($M1108&amp;"")="matured",0,""))</f>
        <v/>
      </c>
      <c r="CT1108" s="78">
        <f>IF(AND(ISNUMBER($CS1108),N($CS1108)&lt;=mMatWindow),1,0)</f>
        <v/>
      </c>
      <c r="CU1108" s="80">
        <f>IF(ISNUMBER($J1108),$J1108/100,"")</f>
        <v/>
      </c>
      <c r="CV1108" s="81">
        <f>IF(ISNUMBER($AQ1108),$AQ1108,"")</f>
        <v/>
      </c>
      <c r="CW1108" s="81">
        <f>IF(ISNUMBER($AR1108),$AR1108,"")</f>
        <v/>
      </c>
      <c r="CX1108" s="82">
        <f>IF(ISNUMBER($AS1108),$AS1108/100,"")</f>
        <v/>
      </c>
      <c r="CY1108" s="82">
        <f>IF(ISNUMBER($AT1108),$AT1108/100,"")</f>
        <v/>
      </c>
      <c r="CZ1108" s="82">
        <f>IF(ISNUMBER($AU1108),$AU1108/100,"")</f>
        <v/>
      </c>
      <c r="DA1108" s="82">
        <f>IF(ISNUMBER($AV1108),$AV1108/100,"")</f>
        <v/>
      </c>
      <c r="DB1108" s="82">
        <f>IF(ISNUMBER($AW1108),$AW1108/100,"")</f>
        <v/>
      </c>
      <c r="DC1108" s="82">
        <f>IF(ISNUMBER($AX1108),$AX1108/100,"")</f>
        <v/>
      </c>
      <c r="DD1108" s="77">
        <f>IFERROR(VALUE(LEFT(TRIM($AO1108&amp;""),4)),"")</f>
        <v/>
      </c>
      <c r="DE1108" s="78">
        <f>IF(AND($BY1108=1,$BX1108=1,OR(fDeal="All Deals",$BU1108=fDeal),OR(fEntity="All Entities",$BV1108=fEntity),OR(fPType="All Property Types",$BZ1108=fPType),OR(fDefeased="Include",$CJ1108=0)),1,0)</f>
        <v/>
      </c>
      <c r="DF1108" s="83">
        <f>$DE1108*N($I1108)</f>
        <v/>
      </c>
      <c r="DG1108" s="78">
        <f>IF($DE1108=1,IF(COUNTIFS($F$8:$F1108,$F1108,$DE$8:$DE1108,1)=1,1,0),0)</f>
        <v/>
      </c>
      <c r="DH1108" s="83">
        <f>IF($DG1108=1,SUMIFS($DF$8:$DF$1600,$F$8:$F$1600,$F1108),0)</f>
        <v/>
      </c>
      <c r="DI1108" s="78">
        <f>IF($DG1108=1,COUNTIFS($F$8:$F$1600,$F1108,$DE$8:$DE$1600,1),0)</f>
        <v/>
      </c>
      <c r="DJ1108" s="84">
        <f>IF($DG1108=1,$DH1108+(100000-ROW())/mTieBreak,0)</f>
        <v/>
      </c>
    </row>
    <row r="1109">
      <c r="B1109" s="68" t="n">
        <v>29</v>
      </c>
      <c r="C1109" s="69" t="inlineStr">
        <is>
          <t>JPD17C7</t>
        </is>
      </c>
      <c r="D1109" s="69" t="inlineStr">
        <is>
          <t>29.000</t>
        </is>
      </c>
      <c r="E1109" s="69" t="inlineStr">
        <is>
          <t>Haggen Food &amp; Pharmacy</t>
        </is>
      </c>
      <c r="F1109" s="69" t="inlineStr">
        <is>
          <t>LNJPD17C7-29.000</t>
        </is>
      </c>
      <c r="G1109" s="70" t="n"/>
      <c r="H1109" s="71" t="n">
        <v>10450000</v>
      </c>
      <c r="I1109" s="71" t="n">
        <v>10450000</v>
      </c>
      <c r="J1109" s="72" t="n">
        <v>4.52</v>
      </c>
      <c r="K1109" s="69" t="inlineStr">
        <is>
          <t>Fixed rate</t>
        </is>
      </c>
      <c r="L1109" s="68" t="n">
        <v>120</v>
      </c>
      <c r="M1109" s="68" t="n">
        <v>12</v>
      </c>
      <c r="N1109" s="68" t="n">
        <v>120</v>
      </c>
      <c r="O1109" s="68" t="n">
        <v>120</v>
      </c>
      <c r="P1109" s="68" t="n">
        <v>12</v>
      </c>
      <c r="Q1109" s="68" t="n">
        <v>108</v>
      </c>
      <c r="R1109" s="69" t="inlineStr">
        <is>
          <t>IO</t>
        </is>
      </c>
      <c r="S1109" s="69" t="inlineStr">
        <is>
          <t>Yes</t>
        </is>
      </c>
      <c r="T1109" s="73" t="n">
        <v>42979</v>
      </c>
      <c r="U1109" s="73" t="n">
        <v>46636</v>
      </c>
      <c r="V1109" s="73" t="n"/>
      <c r="W1109" s="69" t="n"/>
      <c r="X1109" s="69" t="inlineStr">
        <is>
          <t>Current</t>
        </is>
      </c>
      <c r="Y1109" s="68" t="n"/>
      <c r="Z1109" s="69" t="inlineStr">
        <is>
          <t>No Defeasance Occurred</t>
        </is>
      </c>
      <c r="AA1109" s="69" t="inlineStr">
        <is>
          <t>Previously</t>
        </is>
      </c>
      <c r="AB1109" s="69" t="inlineStr">
        <is>
          <t>Never special serv</t>
        </is>
      </c>
      <c r="AC1109" s="73" t="n"/>
      <c r="AD1109" s="69" t="n"/>
      <c r="AE1109" s="69" t="n"/>
      <c r="AF1109" s="69" t="inlineStr">
        <is>
          <t>WA</t>
        </is>
      </c>
      <c r="AG1109" s="69" t="inlineStr">
        <is>
          <t>Olympia</t>
        </is>
      </c>
      <c r="AH1109" s="69" t="inlineStr">
        <is>
          <t>Olympia-Lacey-Tumwater, WA</t>
        </is>
      </c>
      <c r="AI1109" s="69" t="inlineStr">
        <is>
          <t>West / Pacific North</t>
        </is>
      </c>
      <c r="AJ1109" s="69" t="inlineStr">
        <is>
          <t>RT</t>
        </is>
      </c>
      <c r="AK1109" s="69" t="inlineStr">
        <is>
          <t>Free Standing</t>
        </is>
      </c>
      <c r="AL1109" s="68" t="n">
        <v>1</v>
      </c>
      <c r="AM1109" s="68" t="n"/>
      <c r="AN1109" s="68" t="n">
        <v>74607</v>
      </c>
      <c r="AO1109" s="69" t="inlineStr">
        <is>
          <t>1987</t>
        </is>
      </c>
      <c r="AP1109" s="70" t="n">
        <v>2012</v>
      </c>
      <c r="AQ1109" s="74" t="n">
        <v>1.74</v>
      </c>
      <c r="AR1109" s="74" t="n">
        <v>2.08</v>
      </c>
      <c r="AS1109" s="74" t="n">
        <v>63.3</v>
      </c>
      <c r="AT1109" s="74" t="n">
        <v>63.33</v>
      </c>
      <c r="AU1109" s="74" t="n">
        <v>63.33</v>
      </c>
      <c r="AV1109" s="74" t="n">
        <v>7.964956938</v>
      </c>
      <c r="AW1109" s="74" t="n">
        <v>9.198104880000001</v>
      </c>
      <c r="AX1109" s="75" t="n">
        <v>100</v>
      </c>
      <c r="AY1109" s="71" t="n">
        <v>16500000</v>
      </c>
      <c r="AZ1109" s="71" t="n">
        <v>16500000</v>
      </c>
      <c r="BA1109" s="71" t="n">
        <v>832338</v>
      </c>
      <c r="BB1109" s="71" t="n">
        <v>996304.96</v>
      </c>
      <c r="BC1109" s="69" t="inlineStr">
        <is>
          <t>Refinance</t>
        </is>
      </c>
      <c r="BD1109" s="69" t="inlineStr">
        <is>
          <t>N</t>
        </is>
      </c>
      <c r="BE1109" s="71" t="n"/>
      <c r="BF1109" s="71" t="n"/>
      <c r="BG1109" s="71" t="n"/>
      <c r="BH1109" s="71" t="n">
        <v>0</v>
      </c>
      <c r="BI1109" s="71" t="n">
        <v>0</v>
      </c>
      <c r="BJ1109" s="69" t="inlineStr">
        <is>
          <t>N</t>
        </is>
      </c>
      <c r="BK1109" s="69" t="inlineStr">
        <is>
          <t>Safeway Inc./Haggen Inc.dba Haggen Northwest Fresh</t>
        </is>
      </c>
      <c r="BL1109" s="75" t="n">
        <v>100</v>
      </c>
      <c r="BM1109" s="73" t="n">
        <v>47483</v>
      </c>
      <c r="BN1109" s="69" t="inlineStr">
        <is>
          <t>Myles P. Friel</t>
        </is>
      </c>
      <c r="BO1109" s="69" t="inlineStr">
        <is>
          <t>GACC</t>
        </is>
      </c>
      <c r="BP1109" s="69" t="inlineStr">
        <is>
          <t>Midland Loan Services</t>
        </is>
      </c>
      <c r="BQ1109" s="69" t="inlineStr">
        <is>
          <t>K-Star Asset Management LLC</t>
        </is>
      </c>
      <c r="BR1109" s="69" t="n"/>
      <c r="BS1109" s="73" t="n">
        <v>46276</v>
      </c>
      <c r="BU1109" s="76">
        <f>IF($C1109="","",IFERROR(INDEX(dmName,MATCH($C1109,dmID,0)),"Unmapped"))</f>
        <v/>
      </c>
      <c r="BV1109" s="76">
        <f>IF($C1109="","",IFERROR(INDEX(dmEntity,MATCH($C1109,dmID,0)),"Unmapped"))</f>
        <v/>
      </c>
      <c r="BW1109" s="77">
        <f>IF($C1109="","",IFERROR(INDEX(dmVintage,MATCH($C1109,dmID,0)),""))</f>
        <v/>
      </c>
      <c r="BX1109" s="78">
        <f>IFERROR(INDEX(dmInclude,MATCH($C1109,dmID,0)),0)</f>
        <v/>
      </c>
      <c r="BY1109" s="78">
        <f>IF(N($I1109)&gt;0,1,0)</f>
        <v/>
      </c>
      <c r="BZ1109" s="76">
        <f>IF($AJ1109="","Other / Leased Fee",IFERROR(INDEX(mapPTGroup,MATCH(LEFT(TRIM($AJ1109),2),mapPTCode,0)),"Other / Leased Fee"))</f>
        <v/>
      </c>
      <c r="CA1109" s="76">
        <f>IF(TRIM($AF1109&amp;"")="","NR",LEFT(TRIM($AF1109),2))</f>
        <v/>
      </c>
      <c r="CB1109" s="76">
        <f>IFERROR(LOOKUP(2,1/(LEFT(TRIM($AI1109&amp;""),LEN(mapRegion))=mapRegion),mapRegion),"Not Reported")</f>
        <v/>
      </c>
      <c r="CC1109" s="76">
        <f>IF($BY1109=0,"",IF(TRIM($W1109&amp;"")="REO","REO",IF(TRIM($W1109&amp;"")="FC","Foreclosure",IF(TRIM($W1109&amp;"")="90+","90+ Days Delinquent",IF(TRIM($W1109&amp;"")="60","60 Days Delinquent",IF(TRIM($W1109&amp;"")="30","30 Days Delinquent",IF($X1109="Non-Performing Matured Balloon","Non-Performing Matured Balloon",IF(OR($X1109="Late Payment But Less Than 30 Days Delinquent",LEFT($X1109&amp;"",20)="Payment Not Received"),"Late / In Grace (&lt;30 Days)",IF($X1109="Performing Matured Balloon","Performing Matured Balloon","Current")))))))))</f>
        <v/>
      </c>
      <c r="CD1109" s="78">
        <f>IF(OR($CC1109="REO",$CC1109="Foreclosure",$CC1109="90+ Days Delinquent",$CC1109="60 Days Delinquent",$CC1109="30 Days Delinquent",$CC1109="Non-Performing Matured Balloon"),1,0)</f>
        <v/>
      </c>
      <c r="CE1109" s="76">
        <f>IF($AB1109="Currently special serv","Currently Specially Serviced",IF($AB1109="Returned to master serv","Previously Specially Serviced","Never Specially Serviced"))</f>
        <v/>
      </c>
      <c r="CF1109" s="78">
        <f>IF($CE1109="Currently Specially Serviced",1,0)</f>
        <v/>
      </c>
      <c r="CG1109" s="76">
        <f>IF($AA1109="Yes","Currently on Watchlist",IF($AA1109="Previously","Previously on Watchlist","Never on Watchlist"))</f>
        <v/>
      </c>
      <c r="CH1109" s="78">
        <f>IF($CG1109="Currently on Watchlist",1,0)</f>
        <v/>
      </c>
      <c r="CI1109" s="76">
        <f>IF($Z1109="Full Defeasance","Fully Defeased",IF($Z1109="Portion Of Loan Previously Defeased","Partially Defeased",IF($Z1109="Defeasance Not Allowable","Not Defeased (Not Permitted)","Not Defeased")))</f>
        <v/>
      </c>
      <c r="CJ1109" s="78">
        <f>IF($CI1109="Fully Defeased",1,0)</f>
        <v/>
      </c>
      <c r="CK1109" s="76">
        <f>IF($R1109="IO","Full IO",IF(LEFT($R1109&amp;"",7)="IO then","Partial IO","Amortizing"))</f>
        <v/>
      </c>
      <c r="CL1109" s="78">
        <f>IF($CK1109="Full IO",1,0)</f>
        <v/>
      </c>
      <c r="CM1109" s="78">
        <f>IF($CK1109="Partial IO",1,0)</f>
        <v/>
      </c>
      <c r="CN1109" s="76">
        <f>IF(LEFT($F1109&amp;"",10)="SPLIT_LOAN","Pari Passu Split","Standalone")</f>
        <v/>
      </c>
      <c r="CO1109" s="78">
        <f>IF($CN1109="Pari Passu Split",1,0)</f>
        <v/>
      </c>
      <c r="CP1109" s="77">
        <f>IF(ISNUMBER($T1109),YEAR($T1109),"")</f>
        <v/>
      </c>
      <c r="CQ1109" s="79">
        <f>IF(ISNUMBER($V1109),$V1109,IF(ISNUMBER($U1109),$U1109,""))</f>
        <v/>
      </c>
      <c r="CR1109" s="77">
        <f>IF(ISNUMBER($CQ1109),YEAR($CQ1109),"")</f>
        <v/>
      </c>
      <c r="CS1109" s="78">
        <f>IF(ISNUMBER($M1109),MAX(0,$M1109),IF(TRIM($M1109&amp;"")="matured",0,""))</f>
        <v/>
      </c>
      <c r="CT1109" s="78">
        <f>IF(AND(ISNUMBER($CS1109),N($CS1109)&lt;=mMatWindow),1,0)</f>
        <v/>
      </c>
      <c r="CU1109" s="80">
        <f>IF(ISNUMBER($J1109),$J1109/100,"")</f>
        <v/>
      </c>
      <c r="CV1109" s="81">
        <f>IF(ISNUMBER($AQ1109),$AQ1109,"")</f>
        <v/>
      </c>
      <c r="CW1109" s="81">
        <f>IF(ISNUMBER($AR1109),$AR1109,"")</f>
        <v/>
      </c>
      <c r="CX1109" s="82">
        <f>IF(ISNUMBER($AS1109),$AS1109/100,"")</f>
        <v/>
      </c>
      <c r="CY1109" s="82">
        <f>IF(ISNUMBER($AT1109),$AT1109/100,"")</f>
        <v/>
      </c>
      <c r="CZ1109" s="82">
        <f>IF(ISNUMBER($AU1109),$AU1109/100,"")</f>
        <v/>
      </c>
      <c r="DA1109" s="82">
        <f>IF(ISNUMBER($AV1109),$AV1109/100,"")</f>
        <v/>
      </c>
      <c r="DB1109" s="82">
        <f>IF(ISNUMBER($AW1109),$AW1109/100,"")</f>
        <v/>
      </c>
      <c r="DC1109" s="82">
        <f>IF(ISNUMBER($AX1109),$AX1109/100,"")</f>
        <v/>
      </c>
      <c r="DD1109" s="77">
        <f>IFERROR(VALUE(LEFT(TRIM($AO1109&amp;""),4)),"")</f>
        <v/>
      </c>
      <c r="DE1109" s="78">
        <f>IF(AND($BY1109=1,$BX1109=1,OR(fDeal="All Deals",$BU1109=fDeal),OR(fEntity="All Entities",$BV1109=fEntity),OR(fPType="All Property Types",$BZ1109=fPType),OR(fDefeased="Include",$CJ1109=0)),1,0)</f>
        <v/>
      </c>
      <c r="DF1109" s="83">
        <f>$DE1109*N($I1109)</f>
        <v/>
      </c>
      <c r="DG1109" s="78">
        <f>IF($DE1109=1,IF(COUNTIFS($F$8:$F1109,$F1109,$DE$8:$DE1109,1)=1,1,0),0)</f>
        <v/>
      </c>
      <c r="DH1109" s="83">
        <f>IF($DG1109=1,SUMIFS($DF$8:$DF$1600,$F$8:$F$1600,$F1109),0)</f>
        <v/>
      </c>
      <c r="DI1109" s="78">
        <f>IF($DG1109=1,COUNTIFS($F$8:$F$1600,$F1109,$DE$8:$DE$1600,1),0)</f>
        <v/>
      </c>
      <c r="DJ1109" s="84">
        <f>IF($DG1109=1,$DH1109+(100000-ROW())/mTieBreak,0)</f>
        <v/>
      </c>
    </row>
    <row r="1110">
      <c r="B1110" s="68" t="n">
        <v>30</v>
      </c>
      <c r="C1110" s="69" t="inlineStr">
        <is>
          <t>JPD17C7</t>
        </is>
      </c>
      <c r="D1110" s="69" t="inlineStr">
        <is>
          <t>30.000</t>
        </is>
      </c>
      <c r="E1110" s="69" t="inlineStr">
        <is>
          <t>Home2 Suites Amarillo</t>
        </is>
      </c>
      <c r="F1110" s="69" t="inlineStr">
        <is>
          <t>LNJPD17C7-30.000</t>
        </is>
      </c>
      <c r="G1110" s="70" t="n"/>
      <c r="H1110" s="71" t="n">
        <v>10080000</v>
      </c>
      <c r="I1110" s="71" t="n">
        <v>7966372.729996799</v>
      </c>
      <c r="J1110" s="72" t="n">
        <v>5.352</v>
      </c>
      <c r="K1110" s="69" t="inlineStr">
        <is>
          <t>Fixed rate</t>
        </is>
      </c>
      <c r="L1110" s="68" t="n">
        <v>120</v>
      </c>
      <c r="M1110" s="68" t="n">
        <v>13</v>
      </c>
      <c r="N1110" s="68" t="n">
        <v>300</v>
      </c>
      <c r="O1110" s="68" t="n"/>
      <c r="P1110" s="68" t="n"/>
      <c r="Q1110" s="68" t="n">
        <v>107</v>
      </c>
      <c r="R1110" s="69" t="n"/>
      <c r="S1110" s="69" t="inlineStr">
        <is>
          <t>No</t>
        </is>
      </c>
      <c r="T1110" s="73" t="n">
        <v>43009</v>
      </c>
      <c r="U1110" s="73" t="n">
        <v>46661</v>
      </c>
      <c r="V1110" s="73" t="n"/>
      <c r="W1110" s="69" t="n"/>
      <c r="X1110" s="69" t="inlineStr">
        <is>
          <t>Current</t>
        </is>
      </c>
      <c r="Y1110" s="68" t="n"/>
      <c r="Z1110" s="69" t="inlineStr">
        <is>
          <t>No Defeasance Occurred</t>
        </is>
      </c>
      <c r="AA1110" s="69" t="inlineStr">
        <is>
          <t>Previously</t>
        </is>
      </c>
      <c r="AB1110" s="69" t="inlineStr">
        <is>
          <t>Never special serv</t>
        </is>
      </c>
      <c r="AC1110" s="73" t="n"/>
      <c r="AD1110" s="69" t="n"/>
      <c r="AE1110" s="69" t="n"/>
      <c r="AF1110" s="69" t="inlineStr">
        <is>
          <t>TX</t>
        </is>
      </c>
      <c r="AG1110" s="69" t="inlineStr">
        <is>
          <t>Amarillo</t>
        </is>
      </c>
      <c r="AH1110" s="69" t="inlineStr">
        <is>
          <t>Amarillo, TX</t>
        </is>
      </c>
      <c r="AI1110" s="69" t="inlineStr">
        <is>
          <t>South / Central West</t>
        </is>
      </c>
      <c r="AJ1110" s="69" t="inlineStr">
        <is>
          <t>HT</t>
        </is>
      </c>
      <c r="AK1110" s="69" t="inlineStr">
        <is>
          <t>Extended Stay</t>
        </is>
      </c>
      <c r="AL1110" s="68" t="n">
        <v>1</v>
      </c>
      <c r="AM1110" s="68" t="n">
        <v>92</v>
      </c>
      <c r="AN1110" s="68" t="n"/>
      <c r="AO1110" s="69" t="inlineStr">
        <is>
          <t>2015</t>
        </is>
      </c>
      <c r="AP1110" s="70" t="n">
        <v>2015</v>
      </c>
      <c r="AQ1110" s="74" t="n">
        <v>1.88</v>
      </c>
      <c r="AR1110" s="74" t="n">
        <v>1.91</v>
      </c>
      <c r="AS1110" s="74" t="n">
        <v>65</v>
      </c>
      <c r="AT1110" s="74" t="n">
        <v>51.4</v>
      </c>
      <c r="AU1110" s="74" t="n">
        <v>49.2</v>
      </c>
      <c r="AV1110" s="74" t="n">
        <v>13.667559524</v>
      </c>
      <c r="AW1110" s="74" t="n">
        <v>14.747731494</v>
      </c>
      <c r="AX1110" s="75" t="n">
        <v>92</v>
      </c>
      <c r="AY1110" s="71" t="n">
        <v>15500000</v>
      </c>
      <c r="AZ1110" s="71" t="n">
        <v>15500000</v>
      </c>
      <c r="BA1110" s="71" t="n">
        <v>1377690</v>
      </c>
      <c r="BB1110" s="71" t="n">
        <v>1395795.29</v>
      </c>
      <c r="BC1110" s="69" t="inlineStr">
        <is>
          <t>Refinance</t>
        </is>
      </c>
      <c r="BD1110" s="69" t="inlineStr">
        <is>
          <t>N</t>
        </is>
      </c>
      <c r="BE1110" s="71" t="n"/>
      <c r="BF1110" s="71" t="n"/>
      <c r="BG1110" s="71" t="n"/>
      <c r="BH1110" s="71" t="n">
        <v>0</v>
      </c>
      <c r="BI1110" s="71" t="n">
        <v>0</v>
      </c>
      <c r="BJ1110" s="69" t="inlineStr">
        <is>
          <t>Y</t>
        </is>
      </c>
      <c r="BK1110" s="69" t="n"/>
      <c r="BL1110" s="75" t="n"/>
      <c r="BM1110" s="73" t="n"/>
      <c r="BN1110" s="69" t="inlineStr">
        <is>
          <t>Mansukhbhai Patel, Bradresh Desai</t>
        </is>
      </c>
      <c r="BO1110" s="69" t="inlineStr">
        <is>
          <t>JPMorgan Chase</t>
        </is>
      </c>
      <c r="BP1110" s="69" t="inlineStr">
        <is>
          <t>Midland Loan Services</t>
        </is>
      </c>
      <c r="BQ1110" s="69" t="inlineStr">
        <is>
          <t>K-Star Asset Management LLC</t>
        </is>
      </c>
      <c r="BR1110" s="69" t="n"/>
      <c r="BS1110" s="73" t="n">
        <v>46276</v>
      </c>
      <c r="BU1110" s="76">
        <f>IF($C1110="","",IFERROR(INDEX(dmName,MATCH($C1110,dmID,0)),"Unmapped"))</f>
        <v/>
      </c>
      <c r="BV1110" s="76">
        <f>IF($C1110="","",IFERROR(INDEX(dmEntity,MATCH($C1110,dmID,0)),"Unmapped"))</f>
        <v/>
      </c>
      <c r="BW1110" s="77">
        <f>IF($C1110="","",IFERROR(INDEX(dmVintage,MATCH($C1110,dmID,0)),""))</f>
        <v/>
      </c>
      <c r="BX1110" s="78">
        <f>IFERROR(INDEX(dmInclude,MATCH($C1110,dmID,0)),0)</f>
        <v/>
      </c>
      <c r="BY1110" s="78">
        <f>IF(N($I1110)&gt;0,1,0)</f>
        <v/>
      </c>
      <c r="BZ1110" s="76">
        <f>IF($AJ1110="","Other / Leased Fee",IFERROR(INDEX(mapPTGroup,MATCH(LEFT(TRIM($AJ1110),2),mapPTCode,0)),"Other / Leased Fee"))</f>
        <v/>
      </c>
      <c r="CA1110" s="76">
        <f>IF(TRIM($AF1110&amp;"")="","NR",LEFT(TRIM($AF1110),2))</f>
        <v/>
      </c>
      <c r="CB1110" s="76">
        <f>IFERROR(LOOKUP(2,1/(LEFT(TRIM($AI1110&amp;""),LEN(mapRegion))=mapRegion),mapRegion),"Not Reported")</f>
        <v/>
      </c>
      <c r="CC1110" s="76">
        <f>IF($BY1110=0,"",IF(TRIM($W1110&amp;"")="REO","REO",IF(TRIM($W1110&amp;"")="FC","Foreclosure",IF(TRIM($W1110&amp;"")="90+","90+ Days Delinquent",IF(TRIM($W1110&amp;"")="60","60 Days Delinquent",IF(TRIM($W1110&amp;"")="30","30 Days Delinquent",IF($X1110="Non-Performing Matured Balloon","Non-Performing Matured Balloon",IF(OR($X1110="Late Payment But Less Than 30 Days Delinquent",LEFT($X1110&amp;"",20)="Payment Not Received"),"Late / In Grace (&lt;30 Days)",IF($X1110="Performing Matured Balloon","Performing Matured Balloon","Current")))))))))</f>
        <v/>
      </c>
      <c r="CD1110" s="78">
        <f>IF(OR($CC1110="REO",$CC1110="Foreclosure",$CC1110="90+ Days Delinquent",$CC1110="60 Days Delinquent",$CC1110="30 Days Delinquent",$CC1110="Non-Performing Matured Balloon"),1,0)</f>
        <v/>
      </c>
      <c r="CE1110" s="76">
        <f>IF($AB1110="Currently special serv","Currently Specially Serviced",IF($AB1110="Returned to master serv","Previously Specially Serviced","Never Specially Serviced"))</f>
        <v/>
      </c>
      <c r="CF1110" s="78">
        <f>IF($CE1110="Currently Specially Serviced",1,0)</f>
        <v/>
      </c>
      <c r="CG1110" s="76">
        <f>IF($AA1110="Yes","Currently on Watchlist",IF($AA1110="Previously","Previously on Watchlist","Never on Watchlist"))</f>
        <v/>
      </c>
      <c r="CH1110" s="78">
        <f>IF($CG1110="Currently on Watchlist",1,0)</f>
        <v/>
      </c>
      <c r="CI1110" s="76">
        <f>IF($Z1110="Full Defeasance","Fully Defeased",IF($Z1110="Portion Of Loan Previously Defeased","Partially Defeased",IF($Z1110="Defeasance Not Allowable","Not Defeased (Not Permitted)","Not Defeased")))</f>
        <v/>
      </c>
      <c r="CJ1110" s="78">
        <f>IF($CI1110="Fully Defeased",1,0)</f>
        <v/>
      </c>
      <c r="CK1110" s="76">
        <f>IF($R1110="IO","Full IO",IF(LEFT($R1110&amp;"",7)="IO then","Partial IO","Amortizing"))</f>
        <v/>
      </c>
      <c r="CL1110" s="78">
        <f>IF($CK1110="Full IO",1,0)</f>
        <v/>
      </c>
      <c r="CM1110" s="78">
        <f>IF($CK1110="Partial IO",1,0)</f>
        <v/>
      </c>
      <c r="CN1110" s="76">
        <f>IF(LEFT($F1110&amp;"",10)="SPLIT_LOAN","Pari Passu Split","Standalone")</f>
        <v/>
      </c>
      <c r="CO1110" s="78">
        <f>IF($CN1110="Pari Passu Split",1,0)</f>
        <v/>
      </c>
      <c r="CP1110" s="77">
        <f>IF(ISNUMBER($T1110),YEAR($T1110),"")</f>
        <v/>
      </c>
      <c r="CQ1110" s="79">
        <f>IF(ISNUMBER($V1110),$V1110,IF(ISNUMBER($U1110),$U1110,""))</f>
        <v/>
      </c>
      <c r="CR1110" s="77">
        <f>IF(ISNUMBER($CQ1110),YEAR($CQ1110),"")</f>
        <v/>
      </c>
      <c r="CS1110" s="78">
        <f>IF(ISNUMBER($M1110),MAX(0,$M1110),IF(TRIM($M1110&amp;"")="matured",0,""))</f>
        <v/>
      </c>
      <c r="CT1110" s="78">
        <f>IF(AND(ISNUMBER($CS1110),N($CS1110)&lt;=mMatWindow),1,0)</f>
        <v/>
      </c>
      <c r="CU1110" s="80">
        <f>IF(ISNUMBER($J1110),$J1110/100,"")</f>
        <v/>
      </c>
      <c r="CV1110" s="81">
        <f>IF(ISNUMBER($AQ1110),$AQ1110,"")</f>
        <v/>
      </c>
      <c r="CW1110" s="81">
        <f>IF(ISNUMBER($AR1110),$AR1110,"")</f>
        <v/>
      </c>
      <c r="CX1110" s="82">
        <f>IF(ISNUMBER($AS1110),$AS1110/100,"")</f>
        <v/>
      </c>
      <c r="CY1110" s="82">
        <f>IF(ISNUMBER($AT1110),$AT1110/100,"")</f>
        <v/>
      </c>
      <c r="CZ1110" s="82">
        <f>IF(ISNUMBER($AU1110),$AU1110/100,"")</f>
        <v/>
      </c>
      <c r="DA1110" s="82">
        <f>IF(ISNUMBER($AV1110),$AV1110/100,"")</f>
        <v/>
      </c>
      <c r="DB1110" s="82">
        <f>IF(ISNUMBER($AW1110),$AW1110/100,"")</f>
        <v/>
      </c>
      <c r="DC1110" s="82">
        <f>IF(ISNUMBER($AX1110),$AX1110/100,"")</f>
        <v/>
      </c>
      <c r="DD1110" s="77">
        <f>IFERROR(VALUE(LEFT(TRIM($AO1110&amp;""),4)),"")</f>
        <v/>
      </c>
      <c r="DE1110" s="78">
        <f>IF(AND($BY1110=1,$BX1110=1,OR(fDeal="All Deals",$BU1110=fDeal),OR(fEntity="All Entities",$BV1110=fEntity),OR(fPType="All Property Types",$BZ1110=fPType),OR(fDefeased="Include",$CJ1110=0)),1,0)</f>
        <v/>
      </c>
      <c r="DF1110" s="83">
        <f>$DE1110*N($I1110)</f>
        <v/>
      </c>
      <c r="DG1110" s="78">
        <f>IF($DE1110=1,IF(COUNTIFS($F$8:$F1110,$F1110,$DE$8:$DE1110,1)=1,1,0),0)</f>
        <v/>
      </c>
      <c r="DH1110" s="83">
        <f>IF($DG1110=1,SUMIFS($DF$8:$DF$1600,$F$8:$F$1600,$F1110),0)</f>
        <v/>
      </c>
      <c r="DI1110" s="78">
        <f>IF($DG1110=1,COUNTIFS($F$8:$F$1600,$F1110,$DE$8:$DE$1600,1),0)</f>
        <v/>
      </c>
      <c r="DJ1110" s="84">
        <f>IF($DG1110=1,$DH1110+(100000-ROW())/mTieBreak,0)</f>
        <v/>
      </c>
    </row>
    <row r="1111">
      <c r="B1111" s="68" t="n">
        <v>31</v>
      </c>
      <c r="C1111" s="69" t="inlineStr">
        <is>
          <t>JPD17C7</t>
        </is>
      </c>
      <c r="D1111" s="69" t="inlineStr">
        <is>
          <t>31.000</t>
        </is>
      </c>
      <c r="E1111" s="69" t="inlineStr">
        <is>
          <t>Hampton Inn &amp; Suites Rome</t>
        </is>
      </c>
      <c r="F1111" s="69" t="inlineStr">
        <is>
          <t>LNJPD17C7-31.000</t>
        </is>
      </c>
      <c r="G1111" s="70" t="n"/>
      <c r="H1111" s="71" t="n">
        <v>9500000</v>
      </c>
      <c r="I1111" s="71" t="n">
        <v>0</v>
      </c>
      <c r="J1111" s="72" t="n">
        <v>4.5</v>
      </c>
      <c r="K1111" s="69" t="inlineStr">
        <is>
          <t>Fixed rate</t>
        </is>
      </c>
      <c r="L1111" s="68" t="n">
        <v>120</v>
      </c>
      <c r="M1111" s="68" t="n"/>
      <c r="N1111" s="68" t="n">
        <v>360</v>
      </c>
      <c r="O1111" s="68" t="n"/>
      <c r="P1111" s="68" t="n"/>
      <c r="Q1111" s="68" t="n"/>
      <c r="R1111" s="69" t="n"/>
      <c r="S1111" s="69" t="inlineStr">
        <is>
          <t>No</t>
        </is>
      </c>
      <c r="T1111" s="73" t="n">
        <v>42979</v>
      </c>
      <c r="U1111" s="73" t="n">
        <v>46631</v>
      </c>
      <c r="V1111" s="73" t="n"/>
      <c r="W1111" s="69" t="n"/>
      <c r="X1111" s="69" t="inlineStr">
        <is>
          <t>Current</t>
        </is>
      </c>
      <c r="Y1111" s="68" t="n"/>
      <c r="Z1111" s="69" t="inlineStr">
        <is>
          <t>Defeasance Not Allowable</t>
        </is>
      </c>
      <c r="AA1111" s="69" t="inlineStr">
        <is>
          <t>Previously</t>
        </is>
      </c>
      <c r="AB1111" s="69" t="inlineStr">
        <is>
          <t>Never special serv</t>
        </is>
      </c>
      <c r="AC1111" s="73" t="n"/>
      <c r="AD1111" s="69" t="n"/>
      <c r="AE1111" s="69" t="n"/>
      <c r="AF1111" s="69" t="inlineStr">
        <is>
          <t>GA</t>
        </is>
      </c>
      <c r="AG1111" s="69" t="inlineStr">
        <is>
          <t>Rome</t>
        </is>
      </c>
      <c r="AH1111" s="69" t="inlineStr">
        <is>
          <t>Rome, GA</t>
        </is>
      </c>
      <c r="AI1111" s="69" t="inlineStr">
        <is>
          <t>South / Atlantic</t>
        </is>
      </c>
      <c r="AJ1111" s="69" t="inlineStr">
        <is>
          <t>HT</t>
        </is>
      </c>
      <c r="AK1111" s="69" t="inlineStr">
        <is>
          <t>Limited Service</t>
        </is>
      </c>
      <c r="AL1111" s="68" t="n">
        <v>1</v>
      </c>
      <c r="AM1111" s="68" t="n">
        <v>90</v>
      </c>
      <c r="AN1111" s="68" t="n"/>
      <c r="AO1111" s="69" t="inlineStr">
        <is>
          <t>2016</t>
        </is>
      </c>
      <c r="AP1111" s="70" t="n">
        <v>2016</v>
      </c>
      <c r="AQ1111" s="74" t="n">
        <v>2.19</v>
      </c>
      <c r="AR1111" s="74" t="n">
        <v>2.58</v>
      </c>
      <c r="AS1111" s="74" t="n">
        <v>65</v>
      </c>
      <c r="AT1111" s="74" t="n"/>
      <c r="AU1111" s="74" t="n">
        <v>52.6</v>
      </c>
      <c r="AV1111" s="74" t="n">
        <v>13.310231579</v>
      </c>
      <c r="AW1111" s="74" t="n"/>
      <c r="AX1111" s="75" t="n">
        <v>69</v>
      </c>
      <c r="AY1111" s="71" t="n">
        <v>14600000</v>
      </c>
      <c r="AZ1111" s="71" t="n">
        <v>14600000</v>
      </c>
      <c r="BA1111" s="71" t="n">
        <v>1264472</v>
      </c>
      <c r="BB1111" s="71" t="n">
        <v>1488177.4</v>
      </c>
      <c r="BC1111" s="69" t="inlineStr">
        <is>
          <t>Refinance</t>
        </is>
      </c>
      <c r="BD1111" s="69" t="inlineStr">
        <is>
          <t>N</t>
        </is>
      </c>
      <c r="BE1111" s="71" t="n"/>
      <c r="BF1111" s="71" t="n"/>
      <c r="BG1111" s="71" t="n"/>
      <c r="BH1111" s="71" t="n">
        <v>0</v>
      </c>
      <c r="BI1111" s="71" t="n">
        <v>0</v>
      </c>
      <c r="BJ1111" s="69" t="inlineStr">
        <is>
          <t>Y</t>
        </is>
      </c>
      <c r="BK1111" s="69" t="n"/>
      <c r="BL1111" s="75" t="n"/>
      <c r="BM1111" s="73" t="n"/>
      <c r="BN1111" s="69" t="inlineStr">
        <is>
          <t>Narendra V. Patel, Babubhai G. Patel</t>
        </is>
      </c>
      <c r="BO1111" s="69" t="inlineStr">
        <is>
          <t>JPMorgan Chase</t>
        </is>
      </c>
      <c r="BP1111" s="69" t="inlineStr">
        <is>
          <t>Midland Loan Services</t>
        </is>
      </c>
      <c r="BQ1111" s="69" t="inlineStr">
        <is>
          <t>K-Star Asset Management LLC</t>
        </is>
      </c>
      <c r="BR1111" s="69" t="inlineStr">
        <is>
          <t>Payoff With Penalty</t>
        </is>
      </c>
      <c r="BS1111" s="73" t="n">
        <v>46216</v>
      </c>
      <c r="BU1111" s="76">
        <f>IF($C1111="","",IFERROR(INDEX(dmName,MATCH($C1111,dmID,0)),"Unmapped"))</f>
        <v/>
      </c>
      <c r="BV1111" s="76">
        <f>IF($C1111="","",IFERROR(INDEX(dmEntity,MATCH($C1111,dmID,0)),"Unmapped"))</f>
        <v/>
      </c>
      <c r="BW1111" s="77">
        <f>IF($C1111="","",IFERROR(INDEX(dmVintage,MATCH($C1111,dmID,0)),""))</f>
        <v/>
      </c>
      <c r="BX1111" s="78">
        <f>IFERROR(INDEX(dmInclude,MATCH($C1111,dmID,0)),0)</f>
        <v/>
      </c>
      <c r="BY1111" s="78">
        <f>IF(N($I1111)&gt;0,1,0)</f>
        <v/>
      </c>
      <c r="BZ1111" s="76">
        <f>IF($AJ1111="","Other / Leased Fee",IFERROR(INDEX(mapPTGroup,MATCH(LEFT(TRIM($AJ1111),2),mapPTCode,0)),"Other / Leased Fee"))</f>
        <v/>
      </c>
      <c r="CA1111" s="76">
        <f>IF(TRIM($AF1111&amp;"")="","NR",LEFT(TRIM($AF1111),2))</f>
        <v/>
      </c>
      <c r="CB1111" s="76">
        <f>IFERROR(LOOKUP(2,1/(LEFT(TRIM($AI1111&amp;""),LEN(mapRegion))=mapRegion),mapRegion),"Not Reported")</f>
        <v/>
      </c>
      <c r="CC1111" s="76">
        <f>IF($BY1111=0,"",IF(TRIM($W1111&amp;"")="REO","REO",IF(TRIM($W1111&amp;"")="FC","Foreclosure",IF(TRIM($W1111&amp;"")="90+","90+ Days Delinquent",IF(TRIM($W1111&amp;"")="60","60 Days Delinquent",IF(TRIM($W1111&amp;"")="30","30 Days Delinquent",IF($X1111="Non-Performing Matured Balloon","Non-Performing Matured Balloon",IF(OR($X1111="Late Payment But Less Than 30 Days Delinquent",LEFT($X1111&amp;"",20)="Payment Not Received"),"Late / In Grace (&lt;30 Days)",IF($X1111="Performing Matured Balloon","Performing Matured Balloon","Current")))))))))</f>
        <v/>
      </c>
      <c r="CD1111" s="78">
        <f>IF(OR($CC1111="REO",$CC1111="Foreclosure",$CC1111="90+ Days Delinquent",$CC1111="60 Days Delinquent",$CC1111="30 Days Delinquent",$CC1111="Non-Performing Matured Balloon"),1,0)</f>
        <v/>
      </c>
      <c r="CE1111" s="76">
        <f>IF($AB1111="Currently special serv","Currently Specially Serviced",IF($AB1111="Returned to master serv","Previously Specially Serviced","Never Specially Serviced"))</f>
        <v/>
      </c>
      <c r="CF1111" s="78">
        <f>IF($CE1111="Currently Specially Serviced",1,0)</f>
        <v/>
      </c>
      <c r="CG1111" s="76">
        <f>IF($AA1111="Yes","Currently on Watchlist",IF($AA1111="Previously","Previously on Watchlist","Never on Watchlist"))</f>
        <v/>
      </c>
      <c r="CH1111" s="78">
        <f>IF($CG1111="Currently on Watchlist",1,0)</f>
        <v/>
      </c>
      <c r="CI1111" s="76">
        <f>IF($Z1111="Full Defeasance","Fully Defeased",IF($Z1111="Portion Of Loan Previously Defeased","Partially Defeased",IF($Z1111="Defeasance Not Allowable","Not Defeased (Not Permitted)","Not Defeased")))</f>
        <v/>
      </c>
      <c r="CJ1111" s="78">
        <f>IF($CI1111="Fully Defeased",1,0)</f>
        <v/>
      </c>
      <c r="CK1111" s="76">
        <f>IF($R1111="IO","Full IO",IF(LEFT($R1111&amp;"",7)="IO then","Partial IO","Amortizing"))</f>
        <v/>
      </c>
      <c r="CL1111" s="78">
        <f>IF($CK1111="Full IO",1,0)</f>
        <v/>
      </c>
      <c r="CM1111" s="78">
        <f>IF($CK1111="Partial IO",1,0)</f>
        <v/>
      </c>
      <c r="CN1111" s="76">
        <f>IF(LEFT($F1111&amp;"",10)="SPLIT_LOAN","Pari Passu Split","Standalone")</f>
        <v/>
      </c>
      <c r="CO1111" s="78">
        <f>IF($CN1111="Pari Passu Split",1,0)</f>
        <v/>
      </c>
      <c r="CP1111" s="77">
        <f>IF(ISNUMBER($T1111),YEAR($T1111),"")</f>
        <v/>
      </c>
      <c r="CQ1111" s="79">
        <f>IF(ISNUMBER($V1111),$V1111,IF(ISNUMBER($U1111),$U1111,""))</f>
        <v/>
      </c>
      <c r="CR1111" s="77">
        <f>IF(ISNUMBER($CQ1111),YEAR($CQ1111),"")</f>
        <v/>
      </c>
      <c r="CS1111" s="78">
        <f>IF(ISNUMBER($M1111),MAX(0,$M1111),IF(TRIM($M1111&amp;"")="matured",0,""))</f>
        <v/>
      </c>
      <c r="CT1111" s="78">
        <f>IF(AND(ISNUMBER($CS1111),N($CS1111)&lt;=mMatWindow),1,0)</f>
        <v/>
      </c>
      <c r="CU1111" s="80">
        <f>IF(ISNUMBER($J1111),$J1111/100,"")</f>
        <v/>
      </c>
      <c r="CV1111" s="81">
        <f>IF(ISNUMBER($AQ1111),$AQ1111,"")</f>
        <v/>
      </c>
      <c r="CW1111" s="81">
        <f>IF(ISNUMBER($AR1111),$AR1111,"")</f>
        <v/>
      </c>
      <c r="CX1111" s="82">
        <f>IF(ISNUMBER($AS1111),$AS1111/100,"")</f>
        <v/>
      </c>
      <c r="CY1111" s="82">
        <f>IF(ISNUMBER($AT1111),$AT1111/100,"")</f>
        <v/>
      </c>
      <c r="CZ1111" s="82">
        <f>IF(ISNUMBER($AU1111),$AU1111/100,"")</f>
        <v/>
      </c>
      <c r="DA1111" s="82">
        <f>IF(ISNUMBER($AV1111),$AV1111/100,"")</f>
        <v/>
      </c>
      <c r="DB1111" s="82">
        <f>IF(ISNUMBER($AW1111),$AW1111/100,"")</f>
        <v/>
      </c>
      <c r="DC1111" s="82">
        <f>IF(ISNUMBER($AX1111),$AX1111/100,"")</f>
        <v/>
      </c>
      <c r="DD1111" s="77">
        <f>IFERROR(VALUE(LEFT(TRIM($AO1111&amp;""),4)),"")</f>
        <v/>
      </c>
      <c r="DE1111" s="78">
        <f>IF(AND($BY1111=1,$BX1111=1,OR(fDeal="All Deals",$BU1111=fDeal),OR(fEntity="All Entities",$BV1111=fEntity),OR(fPType="All Property Types",$BZ1111=fPType),OR(fDefeased="Include",$CJ1111=0)),1,0)</f>
        <v/>
      </c>
      <c r="DF1111" s="83">
        <f>$DE1111*N($I1111)</f>
        <v/>
      </c>
      <c r="DG1111" s="78">
        <f>IF($DE1111=1,IF(COUNTIFS($F$8:$F1111,$F1111,$DE$8:$DE1111,1)=1,1,0),0)</f>
        <v/>
      </c>
      <c r="DH1111" s="83">
        <f>IF($DG1111=1,SUMIFS($DF$8:$DF$1600,$F$8:$F$1600,$F1111),0)</f>
        <v/>
      </c>
      <c r="DI1111" s="78">
        <f>IF($DG1111=1,COUNTIFS($F$8:$F$1600,$F1111,$DE$8:$DE$1600,1),0)</f>
        <v/>
      </c>
      <c r="DJ1111" s="84">
        <f>IF($DG1111=1,$DH1111+(100000-ROW())/mTieBreak,0)</f>
        <v/>
      </c>
    </row>
    <row r="1112">
      <c r="B1112" s="68" t="n">
        <v>32</v>
      </c>
      <c r="C1112" s="69" t="inlineStr">
        <is>
          <t>JPD17C7</t>
        </is>
      </c>
      <c r="D1112" s="69" t="inlineStr">
        <is>
          <t>32.000</t>
        </is>
      </c>
      <c r="E1112" s="69" t="inlineStr">
        <is>
          <t>Preston Trail Atrium</t>
        </is>
      </c>
      <c r="F1112" s="69" t="inlineStr">
        <is>
          <t>LNJPD17C7-32.000</t>
        </is>
      </c>
      <c r="G1112" s="70" t="n"/>
      <c r="H1112" s="71" t="n">
        <v>9250000</v>
      </c>
      <c r="I1112" s="71" t="n">
        <v>0</v>
      </c>
      <c r="J1112" s="72" t="n">
        <v>4.726</v>
      </c>
      <c r="K1112" s="69" t="inlineStr">
        <is>
          <t>Fixed rate</t>
        </is>
      </c>
      <c r="L1112" s="68" t="n">
        <v>60</v>
      </c>
      <c r="M1112" s="68" t="n"/>
      <c r="N1112" s="68" t="n">
        <v>360</v>
      </c>
      <c r="O1112" s="68" t="n"/>
      <c r="P1112" s="68" t="n"/>
      <c r="Q1112" s="68" t="n"/>
      <c r="R1112" s="69" t="n"/>
      <c r="S1112" s="69" t="inlineStr">
        <is>
          <t>No</t>
        </is>
      </c>
      <c r="T1112" s="73" t="n">
        <v>42948</v>
      </c>
      <c r="U1112" s="73" t="n">
        <v>44774</v>
      </c>
      <c r="V1112" s="73" t="n"/>
      <c r="W1112" s="69" t="n"/>
      <c r="X1112" s="69" t="inlineStr">
        <is>
          <t>Current</t>
        </is>
      </c>
      <c r="Y1112" s="68" t="n"/>
      <c r="Z1112" s="69" t="inlineStr">
        <is>
          <t>Defeasance Not Allowable</t>
        </is>
      </c>
      <c r="AA1112" s="69" t="inlineStr">
        <is>
          <t>Previously</t>
        </is>
      </c>
      <c r="AB1112" s="69" t="inlineStr">
        <is>
          <t>Never special serv</t>
        </is>
      </c>
      <c r="AC1112" s="73" t="n"/>
      <c r="AD1112" s="69" t="n"/>
      <c r="AE1112" s="69" t="n"/>
      <c r="AF1112" s="69" t="inlineStr">
        <is>
          <t>TX</t>
        </is>
      </c>
      <c r="AG1112" s="69" t="inlineStr">
        <is>
          <t>Dallas</t>
        </is>
      </c>
      <c r="AH1112" s="69" t="inlineStr">
        <is>
          <t>Dallas-Fort Worth-Arlington, TX</t>
        </is>
      </c>
      <c r="AI1112" s="69" t="inlineStr">
        <is>
          <t>South / Central West</t>
        </is>
      </c>
      <c r="AJ1112" s="69" t="inlineStr">
        <is>
          <t>OF</t>
        </is>
      </c>
      <c r="AK1112" s="69" t="inlineStr">
        <is>
          <t>Suburban</t>
        </is>
      </c>
      <c r="AL1112" s="68" t="n">
        <v>1</v>
      </c>
      <c r="AM1112" s="68" t="n"/>
      <c r="AN1112" s="68" t="n">
        <v>124586</v>
      </c>
      <c r="AO1112" s="69" t="inlineStr">
        <is>
          <t>1983</t>
        </is>
      </c>
      <c r="AP1112" s="70" t="n">
        <v>2017</v>
      </c>
      <c r="AQ1112" s="74" t="n">
        <v>1.58</v>
      </c>
      <c r="AR1112" s="74" t="n">
        <v>0.98</v>
      </c>
      <c r="AS1112" s="74" t="n">
        <v>61.9</v>
      </c>
      <c r="AT1112" s="74" t="n"/>
      <c r="AU1112" s="74" t="n">
        <v>57</v>
      </c>
      <c r="AV1112" s="74" t="n">
        <v>9.843589188999999</v>
      </c>
      <c r="AW1112" s="74" t="n"/>
      <c r="AX1112" s="75" t="n">
        <v>65</v>
      </c>
      <c r="AY1112" s="71" t="n">
        <v>14900000</v>
      </c>
      <c r="AZ1112" s="71" t="n">
        <v>14900000</v>
      </c>
      <c r="BA1112" s="71" t="n">
        <v>910532</v>
      </c>
      <c r="BB1112" s="71" t="n">
        <v>568389.72</v>
      </c>
      <c r="BC1112" s="69" t="inlineStr">
        <is>
          <t>Refinance</t>
        </is>
      </c>
      <c r="BD1112" s="69" t="inlineStr">
        <is>
          <t>N</t>
        </is>
      </c>
      <c r="BE1112" s="71" t="n"/>
      <c r="BF1112" s="71" t="n"/>
      <c r="BG1112" s="71" t="n"/>
      <c r="BH1112" s="71" t="n">
        <v>0</v>
      </c>
      <c r="BI1112" s="71" t="n">
        <v>0</v>
      </c>
      <c r="BJ1112" s="69" t="inlineStr">
        <is>
          <t>N</t>
        </is>
      </c>
      <c r="BK1112" s="69" t="inlineStr">
        <is>
          <t>Executive Workspace - Preston</t>
        </is>
      </c>
      <c r="BL1112" s="75" t="n">
        <v>14.75</v>
      </c>
      <c r="BM1112" s="73" t="n">
        <v>47634</v>
      </c>
      <c r="BN1112" s="69" t="inlineStr">
        <is>
          <t>Byron C. Cook</t>
        </is>
      </c>
      <c r="BO1112" s="69" t="inlineStr">
        <is>
          <t>JPMorgan Chase</t>
        </is>
      </c>
      <c r="BP1112" s="69" t="inlineStr">
        <is>
          <t>Midland Loan Services</t>
        </is>
      </c>
      <c r="BQ1112" s="69" t="inlineStr">
        <is>
          <t>Midland Loan Services</t>
        </is>
      </c>
      <c r="BR1112" s="69" t="inlineStr">
        <is>
          <t>Payoff Prior To Maturity</t>
        </is>
      </c>
      <c r="BS1112" s="73" t="n">
        <v>44147</v>
      </c>
      <c r="BU1112" s="76">
        <f>IF($C1112="","",IFERROR(INDEX(dmName,MATCH($C1112,dmID,0)),"Unmapped"))</f>
        <v/>
      </c>
      <c r="BV1112" s="76">
        <f>IF($C1112="","",IFERROR(INDEX(dmEntity,MATCH($C1112,dmID,0)),"Unmapped"))</f>
        <v/>
      </c>
      <c r="BW1112" s="77">
        <f>IF($C1112="","",IFERROR(INDEX(dmVintage,MATCH($C1112,dmID,0)),""))</f>
        <v/>
      </c>
      <c r="BX1112" s="78">
        <f>IFERROR(INDEX(dmInclude,MATCH($C1112,dmID,0)),0)</f>
        <v/>
      </c>
      <c r="BY1112" s="78">
        <f>IF(N($I1112)&gt;0,1,0)</f>
        <v/>
      </c>
      <c r="BZ1112" s="76">
        <f>IF($AJ1112="","Other / Leased Fee",IFERROR(INDEX(mapPTGroup,MATCH(LEFT(TRIM($AJ1112),2),mapPTCode,0)),"Other / Leased Fee"))</f>
        <v/>
      </c>
      <c r="CA1112" s="76">
        <f>IF(TRIM($AF1112&amp;"")="","NR",LEFT(TRIM($AF1112),2))</f>
        <v/>
      </c>
      <c r="CB1112" s="76">
        <f>IFERROR(LOOKUP(2,1/(LEFT(TRIM($AI1112&amp;""),LEN(mapRegion))=mapRegion),mapRegion),"Not Reported")</f>
        <v/>
      </c>
      <c r="CC1112" s="76">
        <f>IF($BY1112=0,"",IF(TRIM($W1112&amp;"")="REO","REO",IF(TRIM($W1112&amp;"")="FC","Foreclosure",IF(TRIM($W1112&amp;"")="90+","90+ Days Delinquent",IF(TRIM($W1112&amp;"")="60","60 Days Delinquent",IF(TRIM($W1112&amp;"")="30","30 Days Delinquent",IF($X1112="Non-Performing Matured Balloon","Non-Performing Matured Balloon",IF(OR($X1112="Late Payment But Less Than 30 Days Delinquent",LEFT($X1112&amp;"",20)="Payment Not Received"),"Late / In Grace (&lt;30 Days)",IF($X1112="Performing Matured Balloon","Performing Matured Balloon","Current")))))))))</f>
        <v/>
      </c>
      <c r="CD1112" s="78">
        <f>IF(OR($CC1112="REO",$CC1112="Foreclosure",$CC1112="90+ Days Delinquent",$CC1112="60 Days Delinquent",$CC1112="30 Days Delinquent",$CC1112="Non-Performing Matured Balloon"),1,0)</f>
        <v/>
      </c>
      <c r="CE1112" s="76">
        <f>IF($AB1112="Currently special serv","Currently Specially Serviced",IF($AB1112="Returned to master serv","Previously Specially Serviced","Never Specially Serviced"))</f>
        <v/>
      </c>
      <c r="CF1112" s="78">
        <f>IF($CE1112="Currently Specially Serviced",1,0)</f>
        <v/>
      </c>
      <c r="CG1112" s="76">
        <f>IF($AA1112="Yes","Currently on Watchlist",IF($AA1112="Previously","Previously on Watchlist","Never on Watchlist"))</f>
        <v/>
      </c>
      <c r="CH1112" s="78">
        <f>IF($CG1112="Currently on Watchlist",1,0)</f>
        <v/>
      </c>
      <c r="CI1112" s="76">
        <f>IF($Z1112="Full Defeasance","Fully Defeased",IF($Z1112="Portion Of Loan Previously Defeased","Partially Defeased",IF($Z1112="Defeasance Not Allowable","Not Defeased (Not Permitted)","Not Defeased")))</f>
        <v/>
      </c>
      <c r="CJ1112" s="78">
        <f>IF($CI1112="Fully Defeased",1,0)</f>
        <v/>
      </c>
      <c r="CK1112" s="76">
        <f>IF($R1112="IO","Full IO",IF(LEFT($R1112&amp;"",7)="IO then","Partial IO","Amortizing"))</f>
        <v/>
      </c>
      <c r="CL1112" s="78">
        <f>IF($CK1112="Full IO",1,0)</f>
        <v/>
      </c>
      <c r="CM1112" s="78">
        <f>IF($CK1112="Partial IO",1,0)</f>
        <v/>
      </c>
      <c r="CN1112" s="76">
        <f>IF(LEFT($F1112&amp;"",10)="SPLIT_LOAN","Pari Passu Split","Standalone")</f>
        <v/>
      </c>
      <c r="CO1112" s="78">
        <f>IF($CN1112="Pari Passu Split",1,0)</f>
        <v/>
      </c>
      <c r="CP1112" s="77">
        <f>IF(ISNUMBER($T1112),YEAR($T1112),"")</f>
        <v/>
      </c>
      <c r="CQ1112" s="79">
        <f>IF(ISNUMBER($V1112),$V1112,IF(ISNUMBER($U1112),$U1112,""))</f>
        <v/>
      </c>
      <c r="CR1112" s="77">
        <f>IF(ISNUMBER($CQ1112),YEAR($CQ1112),"")</f>
        <v/>
      </c>
      <c r="CS1112" s="78">
        <f>IF(ISNUMBER($M1112),MAX(0,$M1112),IF(TRIM($M1112&amp;"")="matured",0,""))</f>
        <v/>
      </c>
      <c r="CT1112" s="78">
        <f>IF(AND(ISNUMBER($CS1112),N($CS1112)&lt;=mMatWindow),1,0)</f>
        <v/>
      </c>
      <c r="CU1112" s="80">
        <f>IF(ISNUMBER($J1112),$J1112/100,"")</f>
        <v/>
      </c>
      <c r="CV1112" s="81">
        <f>IF(ISNUMBER($AQ1112),$AQ1112,"")</f>
        <v/>
      </c>
      <c r="CW1112" s="81">
        <f>IF(ISNUMBER($AR1112),$AR1112,"")</f>
        <v/>
      </c>
      <c r="CX1112" s="82">
        <f>IF(ISNUMBER($AS1112),$AS1112/100,"")</f>
        <v/>
      </c>
      <c r="CY1112" s="82">
        <f>IF(ISNUMBER($AT1112),$AT1112/100,"")</f>
        <v/>
      </c>
      <c r="CZ1112" s="82">
        <f>IF(ISNUMBER($AU1112),$AU1112/100,"")</f>
        <v/>
      </c>
      <c r="DA1112" s="82">
        <f>IF(ISNUMBER($AV1112),$AV1112/100,"")</f>
        <v/>
      </c>
      <c r="DB1112" s="82">
        <f>IF(ISNUMBER($AW1112),$AW1112/100,"")</f>
        <v/>
      </c>
      <c r="DC1112" s="82">
        <f>IF(ISNUMBER($AX1112),$AX1112/100,"")</f>
        <v/>
      </c>
      <c r="DD1112" s="77">
        <f>IFERROR(VALUE(LEFT(TRIM($AO1112&amp;""),4)),"")</f>
        <v/>
      </c>
      <c r="DE1112" s="78">
        <f>IF(AND($BY1112=1,$BX1112=1,OR(fDeal="All Deals",$BU1112=fDeal),OR(fEntity="All Entities",$BV1112=fEntity),OR(fPType="All Property Types",$BZ1112=fPType),OR(fDefeased="Include",$CJ1112=0)),1,0)</f>
        <v/>
      </c>
      <c r="DF1112" s="83">
        <f>$DE1112*N($I1112)</f>
        <v/>
      </c>
      <c r="DG1112" s="78">
        <f>IF($DE1112=1,IF(COUNTIFS($F$8:$F1112,$F1112,$DE$8:$DE1112,1)=1,1,0),0)</f>
        <v/>
      </c>
      <c r="DH1112" s="83">
        <f>IF($DG1112=1,SUMIFS($DF$8:$DF$1600,$F$8:$F$1600,$F1112),0)</f>
        <v/>
      </c>
      <c r="DI1112" s="78">
        <f>IF($DG1112=1,COUNTIFS($F$8:$F$1600,$F1112,$DE$8:$DE$1600,1),0)</f>
        <v/>
      </c>
      <c r="DJ1112" s="84">
        <f>IF($DG1112=1,$DH1112+(100000-ROW())/mTieBreak,0)</f>
        <v/>
      </c>
    </row>
    <row r="1113">
      <c r="B1113" s="68" t="n">
        <v>33</v>
      </c>
      <c r="C1113" s="69" t="inlineStr">
        <is>
          <t>JPD17C7</t>
        </is>
      </c>
      <c r="D1113" s="69" t="inlineStr">
        <is>
          <t>33.000</t>
        </is>
      </c>
      <c r="E1113" s="69" t="inlineStr">
        <is>
          <t>CVS New Orleans</t>
        </is>
      </c>
      <c r="F1113" s="69" t="inlineStr">
        <is>
          <t>LNJPD17C7-33.000</t>
        </is>
      </c>
      <c r="G1113" s="70" t="n"/>
      <c r="H1113" s="71" t="n">
        <v>7750000</v>
      </c>
      <c r="I1113" s="71" t="n">
        <v>7233361.310001499</v>
      </c>
      <c r="J1113" s="72" t="n">
        <v>4.708</v>
      </c>
      <c r="K1113" s="69" t="inlineStr">
        <is>
          <t>Fixed rate</t>
        </is>
      </c>
      <c r="L1113" s="68" t="n">
        <v>120</v>
      </c>
      <c r="M1113" s="68" t="n">
        <v>10</v>
      </c>
      <c r="N1113" s="68" t="n">
        <v>420</v>
      </c>
      <c r="O1113" s="68" t="n">
        <v>60</v>
      </c>
      <c r="P1113" s="68" t="n">
        <v>0</v>
      </c>
      <c r="Q1113" s="68" t="n">
        <v>110</v>
      </c>
      <c r="R1113" s="69" t="inlineStr">
        <is>
          <t>IO then Amort</t>
        </is>
      </c>
      <c r="S1113" s="69" t="inlineStr">
        <is>
          <t>No</t>
        </is>
      </c>
      <c r="T1113" s="73" t="n">
        <v>42917</v>
      </c>
      <c r="U1113" s="73" t="n">
        <v>46574</v>
      </c>
      <c r="V1113" s="73" t="n"/>
      <c r="W1113" s="69" t="n"/>
      <c r="X1113" s="69" t="inlineStr">
        <is>
          <t>Current</t>
        </is>
      </c>
      <c r="Y1113" s="68" t="n"/>
      <c r="Z1113" s="69" t="inlineStr">
        <is>
          <t>Defeasance Not Allowable</t>
        </is>
      </c>
      <c r="AA1113" s="69" t="inlineStr">
        <is>
          <t>Previously</t>
        </is>
      </c>
      <c r="AB1113" s="69" t="inlineStr">
        <is>
          <t>Never special serv</t>
        </is>
      </c>
      <c r="AC1113" s="73" t="n"/>
      <c r="AD1113" s="69" t="n"/>
      <c r="AE1113" s="69" t="n"/>
      <c r="AF1113" s="69" t="inlineStr">
        <is>
          <t>LA</t>
        </is>
      </c>
      <c r="AG1113" s="69" t="inlineStr">
        <is>
          <t>New Orleans</t>
        </is>
      </c>
      <c r="AH1113" s="69" t="inlineStr">
        <is>
          <t>New Orleans-Metairie, LA</t>
        </is>
      </c>
      <c r="AI1113" s="69" t="inlineStr">
        <is>
          <t>South / Central West</t>
        </is>
      </c>
      <c r="AJ1113" s="69" t="inlineStr">
        <is>
          <t>RT</t>
        </is>
      </c>
      <c r="AK1113" s="69" t="inlineStr">
        <is>
          <t>Free Standing</t>
        </is>
      </c>
      <c r="AL1113" s="68" t="n">
        <v>1</v>
      </c>
      <c r="AM1113" s="68" t="n"/>
      <c r="AN1113" s="68" t="n">
        <v>13600</v>
      </c>
      <c r="AO1113" s="69" t="inlineStr">
        <is>
          <t>2016</t>
        </is>
      </c>
      <c r="AP1113" s="70" t="n">
        <v>2016</v>
      </c>
      <c r="AQ1113" s="74" t="n">
        <v>1.24</v>
      </c>
      <c r="AR1113" s="74" t="n">
        <v>1.06</v>
      </c>
      <c r="AS1113" s="74" t="n">
        <v>68</v>
      </c>
      <c r="AT1113" s="74" t="n">
        <v>63.45</v>
      </c>
      <c r="AU1113" s="74" t="n">
        <v>62.42</v>
      </c>
      <c r="AV1113" s="74" t="n">
        <v>7.709870968</v>
      </c>
      <c r="AW1113" s="74" t="n">
        <v>7.927018373</v>
      </c>
      <c r="AX1113" s="75" t="n">
        <v>100</v>
      </c>
      <c r="AY1113" s="71" t="n">
        <v>11400000</v>
      </c>
      <c r="AZ1113" s="71" t="n">
        <v>11400000</v>
      </c>
      <c r="BA1113" s="71" t="n">
        <v>597515</v>
      </c>
      <c r="BB1113" s="71" t="n">
        <v>512975.44</v>
      </c>
      <c r="BC1113" s="69" t="inlineStr">
        <is>
          <t>Acquisition</t>
        </is>
      </c>
      <c r="BD1113" s="69" t="inlineStr">
        <is>
          <t>N</t>
        </is>
      </c>
      <c r="BE1113" s="71" t="n"/>
      <c r="BF1113" s="71" t="n"/>
      <c r="BG1113" s="71" t="n"/>
      <c r="BH1113" s="71" t="n">
        <v>0</v>
      </c>
      <c r="BI1113" s="71" t="n">
        <v>0</v>
      </c>
      <c r="BJ1113" s="69" t="inlineStr">
        <is>
          <t>N</t>
        </is>
      </c>
      <c r="BK1113" s="69" t="inlineStr">
        <is>
          <t>CVS New Orleans</t>
        </is>
      </c>
      <c r="BL1113" s="75" t="n">
        <v>100</v>
      </c>
      <c r="BM1113" s="73" t="n">
        <v>51897</v>
      </c>
      <c r="BN1113" s="69" t="inlineStr">
        <is>
          <t>Persis Corporation</t>
        </is>
      </c>
      <c r="BO1113" s="69" t="inlineStr">
        <is>
          <t>GACC</t>
        </is>
      </c>
      <c r="BP1113" s="69" t="inlineStr">
        <is>
          <t>Midland Loan Services</t>
        </is>
      </c>
      <c r="BQ1113" s="69" t="inlineStr">
        <is>
          <t>K-Star Asset Management LLC</t>
        </is>
      </c>
      <c r="BR1113" s="69" t="n"/>
      <c r="BS1113" s="73" t="n">
        <v>46276</v>
      </c>
      <c r="BU1113" s="76">
        <f>IF($C1113="","",IFERROR(INDEX(dmName,MATCH($C1113,dmID,0)),"Unmapped"))</f>
        <v/>
      </c>
      <c r="BV1113" s="76">
        <f>IF($C1113="","",IFERROR(INDEX(dmEntity,MATCH($C1113,dmID,0)),"Unmapped"))</f>
        <v/>
      </c>
      <c r="BW1113" s="77">
        <f>IF($C1113="","",IFERROR(INDEX(dmVintage,MATCH($C1113,dmID,0)),""))</f>
        <v/>
      </c>
      <c r="BX1113" s="78">
        <f>IFERROR(INDEX(dmInclude,MATCH($C1113,dmID,0)),0)</f>
        <v/>
      </c>
      <c r="BY1113" s="78">
        <f>IF(N($I1113)&gt;0,1,0)</f>
        <v/>
      </c>
      <c r="BZ1113" s="76">
        <f>IF($AJ1113="","Other / Leased Fee",IFERROR(INDEX(mapPTGroup,MATCH(LEFT(TRIM($AJ1113),2),mapPTCode,0)),"Other / Leased Fee"))</f>
        <v/>
      </c>
      <c r="CA1113" s="76">
        <f>IF(TRIM($AF1113&amp;"")="","NR",LEFT(TRIM($AF1113),2))</f>
        <v/>
      </c>
      <c r="CB1113" s="76">
        <f>IFERROR(LOOKUP(2,1/(LEFT(TRIM($AI1113&amp;""),LEN(mapRegion))=mapRegion),mapRegion),"Not Reported")</f>
        <v/>
      </c>
      <c r="CC1113" s="76">
        <f>IF($BY1113=0,"",IF(TRIM($W1113&amp;"")="REO","REO",IF(TRIM($W1113&amp;"")="FC","Foreclosure",IF(TRIM($W1113&amp;"")="90+","90+ Days Delinquent",IF(TRIM($W1113&amp;"")="60","60 Days Delinquent",IF(TRIM($W1113&amp;"")="30","30 Days Delinquent",IF($X1113="Non-Performing Matured Balloon","Non-Performing Matured Balloon",IF(OR($X1113="Late Payment But Less Than 30 Days Delinquent",LEFT($X1113&amp;"",20)="Payment Not Received"),"Late / In Grace (&lt;30 Days)",IF($X1113="Performing Matured Balloon","Performing Matured Balloon","Current")))))))))</f>
        <v/>
      </c>
      <c r="CD1113" s="78">
        <f>IF(OR($CC1113="REO",$CC1113="Foreclosure",$CC1113="90+ Days Delinquent",$CC1113="60 Days Delinquent",$CC1113="30 Days Delinquent",$CC1113="Non-Performing Matured Balloon"),1,0)</f>
        <v/>
      </c>
      <c r="CE1113" s="76">
        <f>IF($AB1113="Currently special serv","Currently Specially Serviced",IF($AB1113="Returned to master serv","Previously Specially Serviced","Never Specially Serviced"))</f>
        <v/>
      </c>
      <c r="CF1113" s="78">
        <f>IF($CE1113="Currently Specially Serviced",1,0)</f>
        <v/>
      </c>
      <c r="CG1113" s="76">
        <f>IF($AA1113="Yes","Currently on Watchlist",IF($AA1113="Previously","Previously on Watchlist","Never on Watchlist"))</f>
        <v/>
      </c>
      <c r="CH1113" s="78">
        <f>IF($CG1113="Currently on Watchlist",1,0)</f>
        <v/>
      </c>
      <c r="CI1113" s="76">
        <f>IF($Z1113="Full Defeasance","Fully Defeased",IF($Z1113="Portion Of Loan Previously Defeased","Partially Defeased",IF($Z1113="Defeasance Not Allowable","Not Defeased (Not Permitted)","Not Defeased")))</f>
        <v/>
      </c>
      <c r="CJ1113" s="78">
        <f>IF($CI1113="Fully Defeased",1,0)</f>
        <v/>
      </c>
      <c r="CK1113" s="76">
        <f>IF($R1113="IO","Full IO",IF(LEFT($R1113&amp;"",7)="IO then","Partial IO","Amortizing"))</f>
        <v/>
      </c>
      <c r="CL1113" s="78">
        <f>IF($CK1113="Full IO",1,0)</f>
        <v/>
      </c>
      <c r="CM1113" s="78">
        <f>IF($CK1113="Partial IO",1,0)</f>
        <v/>
      </c>
      <c r="CN1113" s="76">
        <f>IF(LEFT($F1113&amp;"",10)="SPLIT_LOAN","Pari Passu Split","Standalone")</f>
        <v/>
      </c>
      <c r="CO1113" s="78">
        <f>IF($CN1113="Pari Passu Split",1,0)</f>
        <v/>
      </c>
      <c r="CP1113" s="77">
        <f>IF(ISNUMBER($T1113),YEAR($T1113),"")</f>
        <v/>
      </c>
      <c r="CQ1113" s="79">
        <f>IF(ISNUMBER($V1113),$V1113,IF(ISNUMBER($U1113),$U1113,""))</f>
        <v/>
      </c>
      <c r="CR1113" s="77">
        <f>IF(ISNUMBER($CQ1113),YEAR($CQ1113),"")</f>
        <v/>
      </c>
      <c r="CS1113" s="78">
        <f>IF(ISNUMBER($M1113),MAX(0,$M1113),IF(TRIM($M1113&amp;"")="matured",0,""))</f>
        <v/>
      </c>
      <c r="CT1113" s="78">
        <f>IF(AND(ISNUMBER($CS1113),N($CS1113)&lt;=mMatWindow),1,0)</f>
        <v/>
      </c>
      <c r="CU1113" s="80">
        <f>IF(ISNUMBER($J1113),$J1113/100,"")</f>
        <v/>
      </c>
      <c r="CV1113" s="81">
        <f>IF(ISNUMBER($AQ1113),$AQ1113,"")</f>
        <v/>
      </c>
      <c r="CW1113" s="81">
        <f>IF(ISNUMBER($AR1113),$AR1113,"")</f>
        <v/>
      </c>
      <c r="CX1113" s="82">
        <f>IF(ISNUMBER($AS1113),$AS1113/100,"")</f>
        <v/>
      </c>
      <c r="CY1113" s="82">
        <f>IF(ISNUMBER($AT1113),$AT1113/100,"")</f>
        <v/>
      </c>
      <c r="CZ1113" s="82">
        <f>IF(ISNUMBER($AU1113),$AU1113/100,"")</f>
        <v/>
      </c>
      <c r="DA1113" s="82">
        <f>IF(ISNUMBER($AV1113),$AV1113/100,"")</f>
        <v/>
      </c>
      <c r="DB1113" s="82">
        <f>IF(ISNUMBER($AW1113),$AW1113/100,"")</f>
        <v/>
      </c>
      <c r="DC1113" s="82">
        <f>IF(ISNUMBER($AX1113),$AX1113/100,"")</f>
        <v/>
      </c>
      <c r="DD1113" s="77">
        <f>IFERROR(VALUE(LEFT(TRIM($AO1113&amp;""),4)),"")</f>
        <v/>
      </c>
      <c r="DE1113" s="78">
        <f>IF(AND($BY1113=1,$BX1113=1,OR(fDeal="All Deals",$BU1113=fDeal),OR(fEntity="All Entities",$BV1113=fEntity),OR(fPType="All Property Types",$BZ1113=fPType),OR(fDefeased="Include",$CJ1113=0)),1,0)</f>
        <v/>
      </c>
      <c r="DF1113" s="83">
        <f>$DE1113*N($I1113)</f>
        <v/>
      </c>
      <c r="DG1113" s="78">
        <f>IF($DE1113=1,IF(COUNTIFS($F$8:$F1113,$F1113,$DE$8:$DE1113,1)=1,1,0),0)</f>
        <v/>
      </c>
      <c r="DH1113" s="83">
        <f>IF($DG1113=1,SUMIFS($DF$8:$DF$1600,$F$8:$F$1600,$F1113),0)</f>
        <v/>
      </c>
      <c r="DI1113" s="78">
        <f>IF($DG1113=1,COUNTIFS($F$8:$F$1600,$F1113,$DE$8:$DE$1600,1),0)</f>
        <v/>
      </c>
      <c r="DJ1113" s="84">
        <f>IF($DG1113=1,$DH1113+(100000-ROW())/mTieBreak,0)</f>
        <v/>
      </c>
    </row>
    <row r="1114">
      <c r="B1114" s="68" t="n">
        <v>34</v>
      </c>
      <c r="C1114" s="69" t="inlineStr">
        <is>
          <t>JPD17C7</t>
        </is>
      </c>
      <c r="D1114" s="69" t="inlineStr">
        <is>
          <t>34.000</t>
        </is>
      </c>
      <c r="E1114" s="69" t="inlineStr">
        <is>
          <t>Bay Bridge Industrial Center</t>
        </is>
      </c>
      <c r="F1114" s="69" t="inlineStr">
        <is>
          <t>LNJPD17C7-34.000</t>
        </is>
      </c>
      <c r="G1114" s="70" t="n"/>
      <c r="H1114" s="71" t="n">
        <v>7500000</v>
      </c>
      <c r="I1114" s="71" t="n">
        <v>7500000</v>
      </c>
      <c r="J1114" s="72" t="n">
        <v>3.597</v>
      </c>
      <c r="K1114" s="69" t="inlineStr">
        <is>
          <t>Fixed rate</t>
        </is>
      </c>
      <c r="L1114" s="68" t="n">
        <v>120</v>
      </c>
      <c r="M1114" s="68" t="n">
        <v>11</v>
      </c>
      <c r="N1114" s="68" t="n">
        <v>120</v>
      </c>
      <c r="O1114" s="68" t="n">
        <v>120</v>
      </c>
      <c r="P1114" s="68" t="n">
        <v>11</v>
      </c>
      <c r="Q1114" s="68" t="n">
        <v>109</v>
      </c>
      <c r="R1114" s="69" t="inlineStr">
        <is>
          <t>IO</t>
        </is>
      </c>
      <c r="S1114" s="69" t="inlineStr">
        <is>
          <t>Yes</t>
        </is>
      </c>
      <c r="T1114" s="73" t="n">
        <v>42948</v>
      </c>
      <c r="U1114" s="73" t="n">
        <v>46605</v>
      </c>
      <c r="V1114" s="73" t="n"/>
      <c r="W1114" s="69" t="n"/>
      <c r="X1114" s="69" t="inlineStr">
        <is>
          <t>Current</t>
        </is>
      </c>
      <c r="Y1114" s="68" t="n"/>
      <c r="Z1114" s="69" t="inlineStr">
        <is>
          <t>Full Defeasance</t>
        </is>
      </c>
      <c r="AA1114" s="69" t="n"/>
      <c r="AB1114" s="69" t="inlineStr">
        <is>
          <t>Never special serv</t>
        </is>
      </c>
      <c r="AC1114" s="73" t="n"/>
      <c r="AD1114" s="69" t="n"/>
      <c r="AE1114" s="69" t="n"/>
      <c r="AF1114" s="69" t="inlineStr">
        <is>
          <t>CA</t>
        </is>
      </c>
      <c r="AG1114" s="69" t="inlineStr">
        <is>
          <t>Oakland</t>
        </is>
      </c>
      <c r="AH1114" s="69" t="inlineStr">
        <is>
          <t>San Francisco-Oakland-Fremont, CA</t>
        </is>
      </c>
      <c r="AI1114" s="69" t="inlineStr">
        <is>
          <t>West / Pacific North</t>
        </is>
      </c>
      <c r="AJ1114" s="69" t="inlineStr">
        <is>
          <t>IN</t>
        </is>
      </c>
      <c r="AK1114" s="69" t="inlineStr">
        <is>
          <t>Warehouse</t>
        </is>
      </c>
      <c r="AL1114" s="68" t="n">
        <v>1</v>
      </c>
      <c r="AM1114" s="68" t="n"/>
      <c r="AN1114" s="68" t="n">
        <v>199291</v>
      </c>
      <c r="AO1114" s="69" t="inlineStr">
        <is>
          <t>1956</t>
        </is>
      </c>
      <c r="AP1114" s="70" t="n">
        <v>2001</v>
      </c>
      <c r="AQ1114" s="74" t="n">
        <v>4.47</v>
      </c>
      <c r="AR1114" s="74" t="n">
        <v>4.28</v>
      </c>
      <c r="AS1114" s="74" t="n">
        <v>36.3</v>
      </c>
      <c r="AT1114" s="74" t="n">
        <v>36.3</v>
      </c>
      <c r="AU1114" s="74" t="n">
        <v>36.3</v>
      </c>
      <c r="AV1114" s="74" t="n">
        <v>16.2891512</v>
      </c>
      <c r="AW1114" s="74" t="n">
        <v>19.265793333</v>
      </c>
      <c r="AX1114" s="75" t="n">
        <v>99</v>
      </c>
      <c r="AY1114" s="71" t="n">
        <v>20660000</v>
      </c>
      <c r="AZ1114" s="71" t="n">
        <v>20660000</v>
      </c>
      <c r="BA1114" s="71" t="n">
        <v>1221686.34</v>
      </c>
      <c r="BB1114" s="71" t="n">
        <v>1170799.06</v>
      </c>
      <c r="BC1114" s="69" t="inlineStr">
        <is>
          <t>Refinance</t>
        </is>
      </c>
      <c r="BD1114" s="69" t="inlineStr">
        <is>
          <t>N</t>
        </is>
      </c>
      <c r="BE1114" s="71" t="n"/>
      <c r="BF1114" s="71" t="n"/>
      <c r="BG1114" s="71" t="n"/>
      <c r="BH1114" s="71" t="n">
        <v>0</v>
      </c>
      <c r="BI1114" s="71" t="n">
        <v>0</v>
      </c>
      <c r="BJ1114" s="69" t="inlineStr">
        <is>
          <t>N</t>
        </is>
      </c>
      <c r="BK1114" s="69" t="inlineStr">
        <is>
          <t>Cuyana Inc.</t>
        </is>
      </c>
      <c r="BL1114" s="75" t="n">
        <v>16.81</v>
      </c>
      <c r="BM1114" s="73" t="n">
        <v>44530</v>
      </c>
      <c r="BN1114" s="69" t="inlineStr">
        <is>
          <t>Peter Sullivan Associates, Inc.</t>
        </is>
      </c>
      <c r="BO1114" s="69" t="inlineStr">
        <is>
          <t>GACC</t>
        </is>
      </c>
      <c r="BP1114" s="69" t="inlineStr">
        <is>
          <t>Midland Loan Services</t>
        </is>
      </c>
      <c r="BQ1114" s="69" t="inlineStr">
        <is>
          <t>K-Star Asset Management LLC</t>
        </is>
      </c>
      <c r="BR1114" s="69" t="n"/>
      <c r="BS1114" s="73" t="n">
        <v>46276</v>
      </c>
      <c r="BU1114" s="76">
        <f>IF($C1114="","",IFERROR(INDEX(dmName,MATCH($C1114,dmID,0)),"Unmapped"))</f>
        <v/>
      </c>
      <c r="BV1114" s="76">
        <f>IF($C1114="","",IFERROR(INDEX(dmEntity,MATCH($C1114,dmID,0)),"Unmapped"))</f>
        <v/>
      </c>
      <c r="BW1114" s="77">
        <f>IF($C1114="","",IFERROR(INDEX(dmVintage,MATCH($C1114,dmID,0)),""))</f>
        <v/>
      </c>
      <c r="BX1114" s="78">
        <f>IFERROR(INDEX(dmInclude,MATCH($C1114,dmID,0)),0)</f>
        <v/>
      </c>
      <c r="BY1114" s="78">
        <f>IF(N($I1114)&gt;0,1,0)</f>
        <v/>
      </c>
      <c r="BZ1114" s="76">
        <f>IF($AJ1114="","Other / Leased Fee",IFERROR(INDEX(mapPTGroup,MATCH(LEFT(TRIM($AJ1114),2),mapPTCode,0)),"Other / Leased Fee"))</f>
        <v/>
      </c>
      <c r="CA1114" s="76">
        <f>IF(TRIM($AF1114&amp;"")="","NR",LEFT(TRIM($AF1114),2))</f>
        <v/>
      </c>
      <c r="CB1114" s="76">
        <f>IFERROR(LOOKUP(2,1/(LEFT(TRIM($AI1114&amp;""),LEN(mapRegion))=mapRegion),mapRegion),"Not Reported")</f>
        <v/>
      </c>
      <c r="CC1114" s="76">
        <f>IF($BY1114=0,"",IF(TRIM($W1114&amp;"")="REO","REO",IF(TRIM($W1114&amp;"")="FC","Foreclosure",IF(TRIM($W1114&amp;"")="90+","90+ Days Delinquent",IF(TRIM($W1114&amp;"")="60","60 Days Delinquent",IF(TRIM($W1114&amp;"")="30","30 Days Delinquent",IF($X1114="Non-Performing Matured Balloon","Non-Performing Matured Balloon",IF(OR($X1114="Late Payment But Less Than 30 Days Delinquent",LEFT($X1114&amp;"",20)="Payment Not Received"),"Late / In Grace (&lt;30 Days)",IF($X1114="Performing Matured Balloon","Performing Matured Balloon","Current")))))))))</f>
        <v/>
      </c>
      <c r="CD1114" s="78">
        <f>IF(OR($CC1114="REO",$CC1114="Foreclosure",$CC1114="90+ Days Delinquent",$CC1114="60 Days Delinquent",$CC1114="30 Days Delinquent",$CC1114="Non-Performing Matured Balloon"),1,0)</f>
        <v/>
      </c>
      <c r="CE1114" s="76">
        <f>IF($AB1114="Currently special serv","Currently Specially Serviced",IF($AB1114="Returned to master serv","Previously Specially Serviced","Never Specially Serviced"))</f>
        <v/>
      </c>
      <c r="CF1114" s="78">
        <f>IF($CE1114="Currently Specially Serviced",1,0)</f>
        <v/>
      </c>
      <c r="CG1114" s="76">
        <f>IF($AA1114="Yes","Currently on Watchlist",IF($AA1114="Previously","Previously on Watchlist","Never on Watchlist"))</f>
        <v/>
      </c>
      <c r="CH1114" s="78">
        <f>IF($CG1114="Currently on Watchlist",1,0)</f>
        <v/>
      </c>
      <c r="CI1114" s="76">
        <f>IF($Z1114="Full Defeasance","Fully Defeased",IF($Z1114="Portion Of Loan Previously Defeased","Partially Defeased",IF($Z1114="Defeasance Not Allowable","Not Defeased (Not Permitted)","Not Defeased")))</f>
        <v/>
      </c>
      <c r="CJ1114" s="78">
        <f>IF($CI1114="Fully Defeased",1,0)</f>
        <v/>
      </c>
      <c r="CK1114" s="76">
        <f>IF($R1114="IO","Full IO",IF(LEFT($R1114&amp;"",7)="IO then","Partial IO","Amortizing"))</f>
        <v/>
      </c>
      <c r="CL1114" s="78">
        <f>IF($CK1114="Full IO",1,0)</f>
        <v/>
      </c>
      <c r="CM1114" s="78">
        <f>IF($CK1114="Partial IO",1,0)</f>
        <v/>
      </c>
      <c r="CN1114" s="76">
        <f>IF(LEFT($F1114&amp;"",10)="SPLIT_LOAN","Pari Passu Split","Standalone")</f>
        <v/>
      </c>
      <c r="CO1114" s="78">
        <f>IF($CN1114="Pari Passu Split",1,0)</f>
        <v/>
      </c>
      <c r="CP1114" s="77">
        <f>IF(ISNUMBER($T1114),YEAR($T1114),"")</f>
        <v/>
      </c>
      <c r="CQ1114" s="79">
        <f>IF(ISNUMBER($V1114),$V1114,IF(ISNUMBER($U1114),$U1114,""))</f>
        <v/>
      </c>
      <c r="CR1114" s="77">
        <f>IF(ISNUMBER($CQ1114),YEAR($CQ1114),"")</f>
        <v/>
      </c>
      <c r="CS1114" s="78">
        <f>IF(ISNUMBER($M1114),MAX(0,$M1114),IF(TRIM($M1114&amp;"")="matured",0,""))</f>
        <v/>
      </c>
      <c r="CT1114" s="78">
        <f>IF(AND(ISNUMBER($CS1114),N($CS1114)&lt;=mMatWindow),1,0)</f>
        <v/>
      </c>
      <c r="CU1114" s="80">
        <f>IF(ISNUMBER($J1114),$J1114/100,"")</f>
        <v/>
      </c>
      <c r="CV1114" s="81">
        <f>IF(ISNUMBER($AQ1114),$AQ1114,"")</f>
        <v/>
      </c>
      <c r="CW1114" s="81">
        <f>IF(ISNUMBER($AR1114),$AR1114,"")</f>
        <v/>
      </c>
      <c r="CX1114" s="82">
        <f>IF(ISNUMBER($AS1114),$AS1114/100,"")</f>
        <v/>
      </c>
      <c r="CY1114" s="82">
        <f>IF(ISNUMBER($AT1114),$AT1114/100,"")</f>
        <v/>
      </c>
      <c r="CZ1114" s="82">
        <f>IF(ISNUMBER($AU1114),$AU1114/100,"")</f>
        <v/>
      </c>
      <c r="DA1114" s="82">
        <f>IF(ISNUMBER($AV1114),$AV1114/100,"")</f>
        <v/>
      </c>
      <c r="DB1114" s="82">
        <f>IF(ISNUMBER($AW1114),$AW1114/100,"")</f>
        <v/>
      </c>
      <c r="DC1114" s="82">
        <f>IF(ISNUMBER($AX1114),$AX1114/100,"")</f>
        <v/>
      </c>
      <c r="DD1114" s="77">
        <f>IFERROR(VALUE(LEFT(TRIM($AO1114&amp;""),4)),"")</f>
        <v/>
      </c>
      <c r="DE1114" s="78">
        <f>IF(AND($BY1114=1,$BX1114=1,OR(fDeal="All Deals",$BU1114=fDeal),OR(fEntity="All Entities",$BV1114=fEntity),OR(fPType="All Property Types",$BZ1114=fPType),OR(fDefeased="Include",$CJ1114=0)),1,0)</f>
        <v/>
      </c>
      <c r="DF1114" s="83">
        <f>$DE1114*N($I1114)</f>
        <v/>
      </c>
      <c r="DG1114" s="78">
        <f>IF($DE1114=1,IF(COUNTIFS($F$8:$F1114,$F1114,$DE$8:$DE1114,1)=1,1,0),0)</f>
        <v/>
      </c>
      <c r="DH1114" s="83">
        <f>IF($DG1114=1,SUMIFS($DF$8:$DF$1600,$F$8:$F$1600,$F1114),0)</f>
        <v/>
      </c>
      <c r="DI1114" s="78">
        <f>IF($DG1114=1,COUNTIFS($F$8:$F$1600,$F1114,$DE$8:$DE$1600,1),0)</f>
        <v/>
      </c>
      <c r="DJ1114" s="84">
        <f>IF($DG1114=1,$DH1114+(100000-ROW())/mTieBreak,0)</f>
        <v/>
      </c>
    </row>
    <row r="1115">
      <c r="B1115" s="68" t="n">
        <v>35</v>
      </c>
      <c r="C1115" s="69" t="inlineStr">
        <is>
          <t>JPD17C7</t>
        </is>
      </c>
      <c r="D1115" s="69" t="inlineStr">
        <is>
          <t>35.000</t>
        </is>
      </c>
      <c r="E1115" s="69" t="inlineStr">
        <is>
          <t>Bank of America Building</t>
        </is>
      </c>
      <c r="F1115" s="69" t="inlineStr">
        <is>
          <t>LNJPD17C7-35.000</t>
        </is>
      </c>
      <c r="G1115" s="70" t="n"/>
      <c r="H1115" s="71" t="n">
        <v>7020000</v>
      </c>
      <c r="I1115" s="71" t="n">
        <v>0</v>
      </c>
      <c r="J1115" s="72" t="n">
        <v>5.15</v>
      </c>
      <c r="K1115" s="69" t="inlineStr">
        <is>
          <t>Fixed rate</t>
        </is>
      </c>
      <c r="L1115" s="68" t="n">
        <v>60</v>
      </c>
      <c r="M1115" s="68" t="n"/>
      <c r="N1115" s="68" t="n">
        <v>360</v>
      </c>
      <c r="O1115" s="68" t="n"/>
      <c r="P1115" s="68" t="n"/>
      <c r="Q1115" s="68" t="n"/>
      <c r="R1115" s="69" t="n"/>
      <c r="S1115" s="69" t="inlineStr">
        <is>
          <t>No</t>
        </is>
      </c>
      <c r="T1115" s="73" t="n">
        <v>43009</v>
      </c>
      <c r="U1115" s="73" t="n">
        <v>44835</v>
      </c>
      <c r="V1115" s="73" t="n"/>
      <c r="W1115" s="69" t="n"/>
      <c r="X1115" s="69" t="inlineStr">
        <is>
          <t>Current</t>
        </is>
      </c>
      <c r="Y1115" s="68" t="n"/>
      <c r="Z1115" s="69" t="inlineStr">
        <is>
          <t>Defeasance Not Allowable</t>
        </is>
      </c>
      <c r="AA1115" s="69" t="inlineStr">
        <is>
          <t>Previously</t>
        </is>
      </c>
      <c r="AB1115" s="69" t="inlineStr">
        <is>
          <t>Never special serv</t>
        </is>
      </c>
      <c r="AC1115" s="73" t="n"/>
      <c r="AD1115" s="69" t="n"/>
      <c r="AE1115" s="69" t="n"/>
      <c r="AF1115" s="69" t="inlineStr">
        <is>
          <t>NY</t>
        </is>
      </c>
      <c r="AG1115" s="69" t="inlineStr">
        <is>
          <t>Poughkeepsie</t>
        </is>
      </c>
      <c r="AH1115" s="69" t="inlineStr">
        <is>
          <t>Kiryas Joel-Poughkeepsie-Newburgh, NY</t>
        </is>
      </c>
      <c r="AI1115" s="69" t="inlineStr">
        <is>
          <t>Northeast / Mid-Atlantic</t>
        </is>
      </c>
      <c r="AJ1115" s="69" t="inlineStr">
        <is>
          <t>MX</t>
        </is>
      </c>
      <c r="AK1115" s="69" t="inlineStr">
        <is>
          <t>Office/Retail</t>
        </is>
      </c>
      <c r="AL1115" s="68" t="n">
        <v>1</v>
      </c>
      <c r="AM1115" s="68" t="n"/>
      <c r="AN1115" s="68" t="n">
        <v>35083</v>
      </c>
      <c r="AO1115" s="69" t="inlineStr">
        <is>
          <t>1986, 2013</t>
        </is>
      </c>
      <c r="AP1115" s="70" t="n">
        <v>2013</v>
      </c>
      <c r="AQ1115" s="74" t="n">
        <v>1.43</v>
      </c>
      <c r="AR1115" s="74" t="n">
        <v>0.96</v>
      </c>
      <c r="AS1115" s="74" t="n">
        <v>65.59999999999999</v>
      </c>
      <c r="AT1115" s="74" t="n"/>
      <c r="AU1115" s="74" t="n">
        <v>60.6</v>
      </c>
      <c r="AV1115" s="74" t="n">
        <v>9.34548433</v>
      </c>
      <c r="AW1115" s="74" t="n"/>
      <c r="AX1115" s="75" t="n">
        <v>64</v>
      </c>
      <c r="AY1115" s="71" t="n">
        <v>10700000</v>
      </c>
      <c r="AZ1115" s="71" t="n">
        <v>10700000</v>
      </c>
      <c r="BA1115" s="71" t="n">
        <v>656053</v>
      </c>
      <c r="BB1115" s="71" t="n">
        <v>110534.51</v>
      </c>
      <c r="BC1115" s="69" t="inlineStr">
        <is>
          <t>Refinance</t>
        </is>
      </c>
      <c r="BD1115" s="69" t="inlineStr">
        <is>
          <t>N</t>
        </is>
      </c>
      <c r="BE1115" s="71" t="n"/>
      <c r="BF1115" s="71" t="n"/>
      <c r="BG1115" s="71" t="n"/>
      <c r="BH1115" s="71" t="n">
        <v>0</v>
      </c>
      <c r="BI1115" s="71" t="n">
        <v>0</v>
      </c>
      <c r="BJ1115" s="69" t="inlineStr">
        <is>
          <t>N</t>
        </is>
      </c>
      <c r="BK1115" s="69" t="inlineStr">
        <is>
          <t>Bank Of America</t>
        </is>
      </c>
      <c r="BL1115" s="75" t="n">
        <v>14.31</v>
      </c>
      <c r="BM1115" s="73" t="n">
        <v>46265</v>
      </c>
      <c r="BN1115" s="69" t="inlineStr">
        <is>
          <t>Angelo Balbo</t>
        </is>
      </c>
      <c r="BO1115" s="69" t="inlineStr">
        <is>
          <t>JPMorgan Chase</t>
        </is>
      </c>
      <c r="BP1115" s="69" t="inlineStr">
        <is>
          <t>Midland Loan Services</t>
        </is>
      </c>
      <c r="BQ1115" s="69" t="inlineStr">
        <is>
          <t>Midland Loan Services</t>
        </is>
      </c>
      <c r="BR1115" s="69" t="inlineStr">
        <is>
          <t>Payoff Prior To Maturity</t>
        </is>
      </c>
      <c r="BS1115" s="73" t="n">
        <v>44816</v>
      </c>
      <c r="BU1115" s="76">
        <f>IF($C1115="","",IFERROR(INDEX(dmName,MATCH($C1115,dmID,0)),"Unmapped"))</f>
        <v/>
      </c>
      <c r="BV1115" s="76">
        <f>IF($C1115="","",IFERROR(INDEX(dmEntity,MATCH($C1115,dmID,0)),"Unmapped"))</f>
        <v/>
      </c>
      <c r="BW1115" s="77">
        <f>IF($C1115="","",IFERROR(INDEX(dmVintage,MATCH($C1115,dmID,0)),""))</f>
        <v/>
      </c>
      <c r="BX1115" s="78">
        <f>IFERROR(INDEX(dmInclude,MATCH($C1115,dmID,0)),0)</f>
        <v/>
      </c>
      <c r="BY1115" s="78">
        <f>IF(N($I1115)&gt;0,1,0)</f>
        <v/>
      </c>
      <c r="BZ1115" s="76">
        <f>IF($AJ1115="","Other / Leased Fee",IFERROR(INDEX(mapPTGroup,MATCH(LEFT(TRIM($AJ1115),2),mapPTCode,0)),"Other / Leased Fee"))</f>
        <v/>
      </c>
      <c r="CA1115" s="76">
        <f>IF(TRIM($AF1115&amp;"")="","NR",LEFT(TRIM($AF1115),2))</f>
        <v/>
      </c>
      <c r="CB1115" s="76">
        <f>IFERROR(LOOKUP(2,1/(LEFT(TRIM($AI1115&amp;""),LEN(mapRegion))=mapRegion),mapRegion),"Not Reported")</f>
        <v/>
      </c>
      <c r="CC1115" s="76">
        <f>IF($BY1115=0,"",IF(TRIM($W1115&amp;"")="REO","REO",IF(TRIM($W1115&amp;"")="FC","Foreclosure",IF(TRIM($W1115&amp;"")="90+","90+ Days Delinquent",IF(TRIM($W1115&amp;"")="60","60 Days Delinquent",IF(TRIM($W1115&amp;"")="30","30 Days Delinquent",IF($X1115="Non-Performing Matured Balloon","Non-Performing Matured Balloon",IF(OR($X1115="Late Payment But Less Than 30 Days Delinquent",LEFT($X1115&amp;"",20)="Payment Not Received"),"Late / In Grace (&lt;30 Days)",IF($X1115="Performing Matured Balloon","Performing Matured Balloon","Current")))))))))</f>
        <v/>
      </c>
      <c r="CD1115" s="78">
        <f>IF(OR($CC1115="REO",$CC1115="Foreclosure",$CC1115="90+ Days Delinquent",$CC1115="60 Days Delinquent",$CC1115="30 Days Delinquent",$CC1115="Non-Performing Matured Balloon"),1,0)</f>
        <v/>
      </c>
      <c r="CE1115" s="76">
        <f>IF($AB1115="Currently special serv","Currently Specially Serviced",IF($AB1115="Returned to master serv","Previously Specially Serviced","Never Specially Serviced"))</f>
        <v/>
      </c>
      <c r="CF1115" s="78">
        <f>IF($CE1115="Currently Specially Serviced",1,0)</f>
        <v/>
      </c>
      <c r="CG1115" s="76">
        <f>IF($AA1115="Yes","Currently on Watchlist",IF($AA1115="Previously","Previously on Watchlist","Never on Watchlist"))</f>
        <v/>
      </c>
      <c r="CH1115" s="78">
        <f>IF($CG1115="Currently on Watchlist",1,0)</f>
        <v/>
      </c>
      <c r="CI1115" s="76">
        <f>IF($Z1115="Full Defeasance","Fully Defeased",IF($Z1115="Portion Of Loan Previously Defeased","Partially Defeased",IF($Z1115="Defeasance Not Allowable","Not Defeased (Not Permitted)","Not Defeased")))</f>
        <v/>
      </c>
      <c r="CJ1115" s="78">
        <f>IF($CI1115="Fully Defeased",1,0)</f>
        <v/>
      </c>
      <c r="CK1115" s="76">
        <f>IF($R1115="IO","Full IO",IF(LEFT($R1115&amp;"",7)="IO then","Partial IO","Amortizing"))</f>
        <v/>
      </c>
      <c r="CL1115" s="78">
        <f>IF($CK1115="Full IO",1,0)</f>
        <v/>
      </c>
      <c r="CM1115" s="78">
        <f>IF($CK1115="Partial IO",1,0)</f>
        <v/>
      </c>
      <c r="CN1115" s="76">
        <f>IF(LEFT($F1115&amp;"",10)="SPLIT_LOAN","Pari Passu Split","Standalone")</f>
        <v/>
      </c>
      <c r="CO1115" s="78">
        <f>IF($CN1115="Pari Passu Split",1,0)</f>
        <v/>
      </c>
      <c r="CP1115" s="77">
        <f>IF(ISNUMBER($T1115),YEAR($T1115),"")</f>
        <v/>
      </c>
      <c r="CQ1115" s="79">
        <f>IF(ISNUMBER($V1115),$V1115,IF(ISNUMBER($U1115),$U1115,""))</f>
        <v/>
      </c>
      <c r="CR1115" s="77">
        <f>IF(ISNUMBER($CQ1115),YEAR($CQ1115),"")</f>
        <v/>
      </c>
      <c r="CS1115" s="78">
        <f>IF(ISNUMBER($M1115),MAX(0,$M1115),IF(TRIM($M1115&amp;"")="matured",0,""))</f>
        <v/>
      </c>
      <c r="CT1115" s="78">
        <f>IF(AND(ISNUMBER($CS1115),N($CS1115)&lt;=mMatWindow),1,0)</f>
        <v/>
      </c>
      <c r="CU1115" s="80">
        <f>IF(ISNUMBER($J1115),$J1115/100,"")</f>
        <v/>
      </c>
      <c r="CV1115" s="81">
        <f>IF(ISNUMBER($AQ1115),$AQ1115,"")</f>
        <v/>
      </c>
      <c r="CW1115" s="81">
        <f>IF(ISNUMBER($AR1115),$AR1115,"")</f>
        <v/>
      </c>
      <c r="CX1115" s="82">
        <f>IF(ISNUMBER($AS1115),$AS1115/100,"")</f>
        <v/>
      </c>
      <c r="CY1115" s="82">
        <f>IF(ISNUMBER($AT1115),$AT1115/100,"")</f>
        <v/>
      </c>
      <c r="CZ1115" s="82">
        <f>IF(ISNUMBER($AU1115),$AU1115/100,"")</f>
        <v/>
      </c>
      <c r="DA1115" s="82">
        <f>IF(ISNUMBER($AV1115),$AV1115/100,"")</f>
        <v/>
      </c>
      <c r="DB1115" s="82">
        <f>IF(ISNUMBER($AW1115),$AW1115/100,"")</f>
        <v/>
      </c>
      <c r="DC1115" s="82">
        <f>IF(ISNUMBER($AX1115),$AX1115/100,"")</f>
        <v/>
      </c>
      <c r="DD1115" s="77">
        <f>IFERROR(VALUE(LEFT(TRIM($AO1115&amp;""),4)),"")</f>
        <v/>
      </c>
      <c r="DE1115" s="78">
        <f>IF(AND($BY1115=1,$BX1115=1,OR(fDeal="All Deals",$BU1115=fDeal),OR(fEntity="All Entities",$BV1115=fEntity),OR(fPType="All Property Types",$BZ1115=fPType),OR(fDefeased="Include",$CJ1115=0)),1,0)</f>
        <v/>
      </c>
      <c r="DF1115" s="83">
        <f>$DE1115*N($I1115)</f>
        <v/>
      </c>
      <c r="DG1115" s="78">
        <f>IF($DE1115=1,IF(COUNTIFS($F$8:$F1115,$F1115,$DE$8:$DE1115,1)=1,1,0),0)</f>
        <v/>
      </c>
      <c r="DH1115" s="83">
        <f>IF($DG1115=1,SUMIFS($DF$8:$DF$1600,$F$8:$F$1600,$F1115),0)</f>
        <v/>
      </c>
      <c r="DI1115" s="78">
        <f>IF($DG1115=1,COUNTIFS($F$8:$F$1600,$F1115,$DE$8:$DE$1600,1),0)</f>
        <v/>
      </c>
      <c r="DJ1115" s="84">
        <f>IF($DG1115=1,$DH1115+(100000-ROW())/mTieBreak,0)</f>
        <v/>
      </c>
    </row>
    <row r="1116">
      <c r="B1116" s="68" t="n">
        <v>36</v>
      </c>
      <c r="C1116" s="69" t="inlineStr">
        <is>
          <t>JPD17C7</t>
        </is>
      </c>
      <c r="D1116" s="69" t="inlineStr">
        <is>
          <t>36.000</t>
        </is>
      </c>
      <c r="E1116" s="69" t="inlineStr">
        <is>
          <t>Wells Fargo Financial Center</t>
        </is>
      </c>
      <c r="F1116" s="69" t="inlineStr">
        <is>
          <t>LNJPD17C7-36.000</t>
        </is>
      </c>
      <c r="G1116" s="70" t="n"/>
      <c r="H1116" s="71" t="n">
        <v>6887500</v>
      </c>
      <c r="I1116" s="71" t="n">
        <v>5724970.760001125</v>
      </c>
      <c r="J1116" s="72" t="n">
        <v>4.55</v>
      </c>
      <c r="K1116" s="69" t="inlineStr">
        <is>
          <t>Fixed rate</t>
        </is>
      </c>
      <c r="L1116" s="68" t="n">
        <v>120</v>
      </c>
      <c r="M1116" s="68" t="n">
        <v>11</v>
      </c>
      <c r="N1116" s="68" t="n">
        <v>360</v>
      </c>
      <c r="O1116" s="68" t="n"/>
      <c r="P1116" s="68" t="n"/>
      <c r="Q1116" s="68" t="n">
        <v>109</v>
      </c>
      <c r="R1116" s="69" t="n"/>
      <c r="S1116" s="69" t="inlineStr">
        <is>
          <t>No</t>
        </is>
      </c>
      <c r="T1116" s="73" t="n">
        <v>42948</v>
      </c>
      <c r="U1116" s="73" t="n">
        <v>46605</v>
      </c>
      <c r="V1116" s="73" t="n"/>
      <c r="W1116" s="69" t="n"/>
      <c r="X1116" s="69" t="inlineStr">
        <is>
          <t>Current</t>
        </is>
      </c>
      <c r="Y1116" s="68" t="n"/>
      <c r="Z1116" s="69" t="inlineStr">
        <is>
          <t>No Defeasance Occurred</t>
        </is>
      </c>
      <c r="AA1116" s="69" t="inlineStr">
        <is>
          <t>Previously</t>
        </is>
      </c>
      <c r="AB1116" s="69" t="inlineStr">
        <is>
          <t>Never special serv</t>
        </is>
      </c>
      <c r="AC1116" s="73" t="n"/>
      <c r="AD1116" s="69" t="n"/>
      <c r="AE1116" s="69" t="n"/>
      <c r="AF1116" s="69" t="inlineStr">
        <is>
          <t>FL</t>
        </is>
      </c>
      <c r="AG1116" s="69" t="inlineStr">
        <is>
          <t>Winter Park</t>
        </is>
      </c>
      <c r="AH1116" s="69" t="inlineStr">
        <is>
          <t>Orlando-Kissimmee-Sanford, FL</t>
        </is>
      </c>
      <c r="AI1116" s="69" t="inlineStr">
        <is>
          <t>South / Atlantic</t>
        </is>
      </c>
      <c r="AJ1116" s="69" t="inlineStr">
        <is>
          <t>MX</t>
        </is>
      </c>
      <c r="AK1116" s="69" t="inlineStr">
        <is>
          <t>Office/Retail</t>
        </is>
      </c>
      <c r="AL1116" s="68" t="n">
        <v>1</v>
      </c>
      <c r="AM1116" s="68" t="n"/>
      <c r="AN1116" s="68" t="n">
        <v>40549</v>
      </c>
      <c r="AO1116" s="69" t="inlineStr">
        <is>
          <t>1953-1964</t>
        </is>
      </c>
      <c r="AP1116" s="70" t="n">
        <v>2017</v>
      </c>
      <c r="AQ1116" s="74" t="n">
        <v>1.51</v>
      </c>
      <c r="AR1116" s="74" t="n">
        <v>1.96</v>
      </c>
      <c r="AS1116" s="74" t="n">
        <v>72.3</v>
      </c>
      <c r="AT1116" s="74" t="n">
        <v>60.26</v>
      </c>
      <c r="AU1116" s="74" t="n">
        <v>58.71</v>
      </c>
      <c r="AV1116" s="74" t="n">
        <v>9.256176116000001</v>
      </c>
      <c r="AW1116" s="74" t="n">
        <v>10.85663903</v>
      </c>
      <c r="AX1116" s="75" t="n">
        <v>92</v>
      </c>
      <c r="AY1116" s="71" t="n">
        <v>9500000</v>
      </c>
      <c r="AZ1116" s="71" t="n">
        <v>9500000</v>
      </c>
      <c r="BA1116" s="71" t="n">
        <v>637519.13</v>
      </c>
      <c r="BB1116" s="71" t="n">
        <v>827335.22</v>
      </c>
      <c r="BC1116" s="69" t="inlineStr">
        <is>
          <t>Acquisition</t>
        </is>
      </c>
      <c r="BD1116" s="69" t="inlineStr">
        <is>
          <t>N</t>
        </is>
      </c>
      <c r="BE1116" s="71" t="n"/>
      <c r="BF1116" s="71" t="n"/>
      <c r="BG1116" s="71" t="n"/>
      <c r="BH1116" s="71" t="n">
        <v>0</v>
      </c>
      <c r="BI1116" s="71" t="n">
        <v>0</v>
      </c>
      <c r="BJ1116" s="69" t="inlineStr">
        <is>
          <t>N</t>
        </is>
      </c>
      <c r="BK1116" s="69" t="inlineStr">
        <is>
          <t>Charles Rutenberg Realty Orlando LLC</t>
        </is>
      </c>
      <c r="BL1116" s="75" t="n">
        <v>18.5</v>
      </c>
      <c r="BM1116" s="73" t="n">
        <v>49490</v>
      </c>
      <c r="BN1116" s="69" t="inlineStr">
        <is>
          <t>Israel Lewin, Spencer Enslein</t>
        </is>
      </c>
      <c r="BO1116" s="69" t="inlineStr">
        <is>
          <t>GACC</t>
        </is>
      </c>
      <c r="BP1116" s="69" t="inlineStr">
        <is>
          <t>Midland Loan Services</t>
        </is>
      </c>
      <c r="BQ1116" s="69" t="inlineStr">
        <is>
          <t>K-Star Asset Management LLC</t>
        </is>
      </c>
      <c r="BR1116" s="69" t="n"/>
      <c r="BS1116" s="73" t="n">
        <v>46276</v>
      </c>
      <c r="BU1116" s="76">
        <f>IF($C1116="","",IFERROR(INDEX(dmName,MATCH($C1116,dmID,0)),"Unmapped"))</f>
        <v/>
      </c>
      <c r="BV1116" s="76">
        <f>IF($C1116="","",IFERROR(INDEX(dmEntity,MATCH($C1116,dmID,0)),"Unmapped"))</f>
        <v/>
      </c>
      <c r="BW1116" s="77">
        <f>IF($C1116="","",IFERROR(INDEX(dmVintage,MATCH($C1116,dmID,0)),""))</f>
        <v/>
      </c>
      <c r="BX1116" s="78">
        <f>IFERROR(INDEX(dmInclude,MATCH($C1116,dmID,0)),0)</f>
        <v/>
      </c>
      <c r="BY1116" s="78">
        <f>IF(N($I1116)&gt;0,1,0)</f>
        <v/>
      </c>
      <c r="BZ1116" s="76">
        <f>IF($AJ1116="","Other / Leased Fee",IFERROR(INDEX(mapPTGroup,MATCH(LEFT(TRIM($AJ1116),2),mapPTCode,0)),"Other / Leased Fee"))</f>
        <v/>
      </c>
      <c r="CA1116" s="76">
        <f>IF(TRIM($AF1116&amp;"")="","NR",LEFT(TRIM($AF1116),2))</f>
        <v/>
      </c>
      <c r="CB1116" s="76">
        <f>IFERROR(LOOKUP(2,1/(LEFT(TRIM($AI1116&amp;""),LEN(mapRegion))=mapRegion),mapRegion),"Not Reported")</f>
        <v/>
      </c>
      <c r="CC1116" s="76">
        <f>IF($BY1116=0,"",IF(TRIM($W1116&amp;"")="REO","REO",IF(TRIM($W1116&amp;"")="FC","Foreclosure",IF(TRIM($W1116&amp;"")="90+","90+ Days Delinquent",IF(TRIM($W1116&amp;"")="60","60 Days Delinquent",IF(TRIM($W1116&amp;"")="30","30 Days Delinquent",IF($X1116="Non-Performing Matured Balloon","Non-Performing Matured Balloon",IF(OR($X1116="Late Payment But Less Than 30 Days Delinquent",LEFT($X1116&amp;"",20)="Payment Not Received"),"Late / In Grace (&lt;30 Days)",IF($X1116="Performing Matured Balloon","Performing Matured Balloon","Current")))))))))</f>
        <v/>
      </c>
      <c r="CD1116" s="78">
        <f>IF(OR($CC1116="REO",$CC1116="Foreclosure",$CC1116="90+ Days Delinquent",$CC1116="60 Days Delinquent",$CC1116="30 Days Delinquent",$CC1116="Non-Performing Matured Balloon"),1,0)</f>
        <v/>
      </c>
      <c r="CE1116" s="76">
        <f>IF($AB1116="Currently special serv","Currently Specially Serviced",IF($AB1116="Returned to master serv","Previously Specially Serviced","Never Specially Serviced"))</f>
        <v/>
      </c>
      <c r="CF1116" s="78">
        <f>IF($CE1116="Currently Specially Serviced",1,0)</f>
        <v/>
      </c>
      <c r="CG1116" s="76">
        <f>IF($AA1116="Yes","Currently on Watchlist",IF($AA1116="Previously","Previously on Watchlist","Never on Watchlist"))</f>
        <v/>
      </c>
      <c r="CH1116" s="78">
        <f>IF($CG1116="Currently on Watchlist",1,0)</f>
        <v/>
      </c>
      <c r="CI1116" s="76">
        <f>IF($Z1116="Full Defeasance","Fully Defeased",IF($Z1116="Portion Of Loan Previously Defeased","Partially Defeased",IF($Z1116="Defeasance Not Allowable","Not Defeased (Not Permitted)","Not Defeased")))</f>
        <v/>
      </c>
      <c r="CJ1116" s="78">
        <f>IF($CI1116="Fully Defeased",1,0)</f>
        <v/>
      </c>
      <c r="CK1116" s="76">
        <f>IF($R1116="IO","Full IO",IF(LEFT($R1116&amp;"",7)="IO then","Partial IO","Amortizing"))</f>
        <v/>
      </c>
      <c r="CL1116" s="78">
        <f>IF($CK1116="Full IO",1,0)</f>
        <v/>
      </c>
      <c r="CM1116" s="78">
        <f>IF($CK1116="Partial IO",1,0)</f>
        <v/>
      </c>
      <c r="CN1116" s="76">
        <f>IF(LEFT($F1116&amp;"",10)="SPLIT_LOAN","Pari Passu Split","Standalone")</f>
        <v/>
      </c>
      <c r="CO1116" s="78">
        <f>IF($CN1116="Pari Passu Split",1,0)</f>
        <v/>
      </c>
      <c r="CP1116" s="77">
        <f>IF(ISNUMBER($T1116),YEAR($T1116),"")</f>
        <v/>
      </c>
      <c r="CQ1116" s="79">
        <f>IF(ISNUMBER($V1116),$V1116,IF(ISNUMBER($U1116),$U1116,""))</f>
        <v/>
      </c>
      <c r="CR1116" s="77">
        <f>IF(ISNUMBER($CQ1116),YEAR($CQ1116),"")</f>
        <v/>
      </c>
      <c r="CS1116" s="78">
        <f>IF(ISNUMBER($M1116),MAX(0,$M1116),IF(TRIM($M1116&amp;"")="matured",0,""))</f>
        <v/>
      </c>
      <c r="CT1116" s="78">
        <f>IF(AND(ISNUMBER($CS1116),N($CS1116)&lt;=mMatWindow),1,0)</f>
        <v/>
      </c>
      <c r="CU1116" s="80">
        <f>IF(ISNUMBER($J1116),$J1116/100,"")</f>
        <v/>
      </c>
      <c r="CV1116" s="81">
        <f>IF(ISNUMBER($AQ1116),$AQ1116,"")</f>
        <v/>
      </c>
      <c r="CW1116" s="81">
        <f>IF(ISNUMBER($AR1116),$AR1116,"")</f>
        <v/>
      </c>
      <c r="CX1116" s="82">
        <f>IF(ISNUMBER($AS1116),$AS1116/100,"")</f>
        <v/>
      </c>
      <c r="CY1116" s="82">
        <f>IF(ISNUMBER($AT1116),$AT1116/100,"")</f>
        <v/>
      </c>
      <c r="CZ1116" s="82">
        <f>IF(ISNUMBER($AU1116),$AU1116/100,"")</f>
        <v/>
      </c>
      <c r="DA1116" s="82">
        <f>IF(ISNUMBER($AV1116),$AV1116/100,"")</f>
        <v/>
      </c>
      <c r="DB1116" s="82">
        <f>IF(ISNUMBER($AW1116),$AW1116/100,"")</f>
        <v/>
      </c>
      <c r="DC1116" s="82">
        <f>IF(ISNUMBER($AX1116),$AX1116/100,"")</f>
        <v/>
      </c>
      <c r="DD1116" s="77">
        <f>IFERROR(VALUE(LEFT(TRIM($AO1116&amp;""),4)),"")</f>
        <v/>
      </c>
      <c r="DE1116" s="78">
        <f>IF(AND($BY1116=1,$BX1116=1,OR(fDeal="All Deals",$BU1116=fDeal),OR(fEntity="All Entities",$BV1116=fEntity),OR(fPType="All Property Types",$BZ1116=fPType),OR(fDefeased="Include",$CJ1116=0)),1,0)</f>
        <v/>
      </c>
      <c r="DF1116" s="83">
        <f>$DE1116*N($I1116)</f>
        <v/>
      </c>
      <c r="DG1116" s="78">
        <f>IF($DE1116=1,IF(COUNTIFS($F$8:$F1116,$F1116,$DE$8:$DE1116,1)=1,1,0),0)</f>
        <v/>
      </c>
      <c r="DH1116" s="83">
        <f>IF($DG1116=1,SUMIFS($DF$8:$DF$1600,$F$8:$F$1600,$F1116),0)</f>
        <v/>
      </c>
      <c r="DI1116" s="78">
        <f>IF($DG1116=1,COUNTIFS($F$8:$F$1600,$F1116,$DE$8:$DE$1600,1),0)</f>
        <v/>
      </c>
      <c r="DJ1116" s="84">
        <f>IF($DG1116=1,$DH1116+(100000-ROW())/mTieBreak,0)</f>
        <v/>
      </c>
    </row>
    <row r="1117">
      <c r="B1117" s="68" t="n">
        <v>37</v>
      </c>
      <c r="C1117" s="69" t="inlineStr">
        <is>
          <t>JPD17C7</t>
        </is>
      </c>
      <c r="D1117" s="69" t="inlineStr">
        <is>
          <t>37.000</t>
        </is>
      </c>
      <c r="E1117" s="69" t="inlineStr">
        <is>
          <t>1250 Mockingbird</t>
        </is>
      </c>
      <c r="F1117" s="69" t="inlineStr">
        <is>
          <t>LNJPD17C7-37.000</t>
        </is>
      </c>
      <c r="G1117" s="70" t="n"/>
      <c r="H1117" s="71" t="n">
        <v>6000000</v>
      </c>
      <c r="I1117" s="71" t="n">
        <v>4990380.469998001</v>
      </c>
      <c r="J1117" s="72" t="n">
        <v>4.5</v>
      </c>
      <c r="K1117" s="69" t="inlineStr">
        <is>
          <t>Fixed rate</t>
        </is>
      </c>
      <c r="L1117" s="68" t="n">
        <v>120</v>
      </c>
      <c r="M1117" s="68" t="n">
        <v>12</v>
      </c>
      <c r="N1117" s="68" t="n">
        <v>360</v>
      </c>
      <c r="O1117" s="68" t="n"/>
      <c r="P1117" s="68" t="n"/>
      <c r="Q1117" s="68" t="n">
        <v>108</v>
      </c>
      <c r="R1117" s="69" t="n"/>
      <c r="S1117" s="69" t="inlineStr">
        <is>
          <t>No</t>
        </is>
      </c>
      <c r="T1117" s="73" t="n">
        <v>42979</v>
      </c>
      <c r="U1117" s="73" t="n">
        <v>46636</v>
      </c>
      <c r="V1117" s="73" t="n"/>
      <c r="W1117" s="69" t="n"/>
      <c r="X1117" s="69" t="inlineStr">
        <is>
          <t>Current</t>
        </is>
      </c>
      <c r="Y1117" s="68" t="n"/>
      <c r="Z1117" s="69" t="inlineStr">
        <is>
          <t>Full Defeasance</t>
        </is>
      </c>
      <c r="AA1117" s="69" t="n"/>
      <c r="AB1117" s="69" t="inlineStr">
        <is>
          <t>Never special serv</t>
        </is>
      </c>
      <c r="AC1117" s="73" t="n"/>
      <c r="AD1117" s="69" t="n"/>
      <c r="AE1117" s="69" t="n"/>
      <c r="AF1117" s="69" t="inlineStr">
        <is>
          <t>TX</t>
        </is>
      </c>
      <c r="AG1117" s="69" t="inlineStr">
        <is>
          <t>Dallas</t>
        </is>
      </c>
      <c r="AH1117" s="69" t="inlineStr">
        <is>
          <t>Dallas-Fort Worth-Arlington, TX</t>
        </is>
      </c>
      <c r="AI1117" s="69" t="inlineStr">
        <is>
          <t>South / Central West</t>
        </is>
      </c>
      <c r="AJ1117" s="69" t="inlineStr">
        <is>
          <t>OF</t>
        </is>
      </c>
      <c r="AK1117" s="69" t="inlineStr">
        <is>
          <t>Suburban</t>
        </is>
      </c>
      <c r="AL1117" s="68" t="n">
        <v>1</v>
      </c>
      <c r="AM1117" s="68" t="n"/>
      <c r="AN1117" s="68" t="n">
        <v>117314</v>
      </c>
      <c r="AO1117" s="69" t="inlineStr">
        <is>
          <t>1978</t>
        </is>
      </c>
      <c r="AP1117" s="70" t="n">
        <v>2015</v>
      </c>
      <c r="AQ1117" s="74" t="n">
        <v>1.76</v>
      </c>
      <c r="AR1117" s="74" t="n">
        <v>2.42</v>
      </c>
      <c r="AS1117" s="74" t="n">
        <v>61.8</v>
      </c>
      <c r="AT1117" s="74" t="n">
        <v>51.45</v>
      </c>
      <c r="AU1117" s="74" t="n">
        <v>50</v>
      </c>
      <c r="AV1117" s="74" t="n">
        <v>10.688406667</v>
      </c>
      <c r="AW1117" s="74" t="n">
        <v>16.839617441</v>
      </c>
      <c r="AX1117" s="75" t="n">
        <v>91</v>
      </c>
      <c r="AY1117" s="71" t="n">
        <v>9700000</v>
      </c>
      <c r="AZ1117" s="71" t="n">
        <v>9700000</v>
      </c>
      <c r="BA1117" s="71" t="n">
        <v>641304.4</v>
      </c>
      <c r="BB1117" s="71" t="n">
        <v>881205.75</v>
      </c>
      <c r="BC1117" s="69" t="inlineStr">
        <is>
          <t>Refinance</t>
        </is>
      </c>
      <c r="BD1117" s="69" t="inlineStr">
        <is>
          <t>N</t>
        </is>
      </c>
      <c r="BE1117" s="71" t="n"/>
      <c r="BF1117" s="71" t="n"/>
      <c r="BG1117" s="71" t="n"/>
      <c r="BH1117" s="71" t="n">
        <v>0</v>
      </c>
      <c r="BI1117" s="71" t="n">
        <v>0</v>
      </c>
      <c r="BJ1117" s="69" t="inlineStr">
        <is>
          <t>N</t>
        </is>
      </c>
      <c r="BK1117" s="69" t="inlineStr">
        <is>
          <t>WELLMED MEDICAL MANAGEMENT</t>
        </is>
      </c>
      <c r="BL1117" s="75" t="n">
        <v>24.92</v>
      </c>
      <c r="BM1117" s="73" t="n">
        <v>45322</v>
      </c>
      <c r="BN1117" s="69" t="inlineStr">
        <is>
          <t>Ben A. Dalby, Ben A. Dalby and Karen I. Dalby, as trustees of the Dalby Family Trust, dated February 17, 1988, as Amended</t>
        </is>
      </c>
      <c r="BO1117" s="69" t="inlineStr">
        <is>
          <t>GACC</t>
        </is>
      </c>
      <c r="BP1117" s="69" t="inlineStr">
        <is>
          <t>Midland Loan Services</t>
        </is>
      </c>
      <c r="BQ1117" s="69" t="inlineStr">
        <is>
          <t>K-Star Asset Management LLC</t>
        </is>
      </c>
      <c r="BR1117" s="69" t="n"/>
      <c r="BS1117" s="73" t="n">
        <v>46276</v>
      </c>
      <c r="BU1117" s="76">
        <f>IF($C1117="","",IFERROR(INDEX(dmName,MATCH($C1117,dmID,0)),"Unmapped"))</f>
        <v/>
      </c>
      <c r="BV1117" s="76">
        <f>IF($C1117="","",IFERROR(INDEX(dmEntity,MATCH($C1117,dmID,0)),"Unmapped"))</f>
        <v/>
      </c>
      <c r="BW1117" s="77">
        <f>IF($C1117="","",IFERROR(INDEX(dmVintage,MATCH($C1117,dmID,0)),""))</f>
        <v/>
      </c>
      <c r="BX1117" s="78">
        <f>IFERROR(INDEX(dmInclude,MATCH($C1117,dmID,0)),0)</f>
        <v/>
      </c>
      <c r="BY1117" s="78">
        <f>IF(N($I1117)&gt;0,1,0)</f>
        <v/>
      </c>
      <c r="BZ1117" s="76">
        <f>IF($AJ1117="","Other / Leased Fee",IFERROR(INDEX(mapPTGroup,MATCH(LEFT(TRIM($AJ1117),2),mapPTCode,0)),"Other / Leased Fee"))</f>
        <v/>
      </c>
      <c r="CA1117" s="76">
        <f>IF(TRIM($AF1117&amp;"")="","NR",LEFT(TRIM($AF1117),2))</f>
        <v/>
      </c>
      <c r="CB1117" s="76">
        <f>IFERROR(LOOKUP(2,1/(LEFT(TRIM($AI1117&amp;""),LEN(mapRegion))=mapRegion),mapRegion),"Not Reported")</f>
        <v/>
      </c>
      <c r="CC1117" s="76">
        <f>IF($BY1117=0,"",IF(TRIM($W1117&amp;"")="REO","REO",IF(TRIM($W1117&amp;"")="FC","Foreclosure",IF(TRIM($W1117&amp;"")="90+","90+ Days Delinquent",IF(TRIM($W1117&amp;"")="60","60 Days Delinquent",IF(TRIM($W1117&amp;"")="30","30 Days Delinquent",IF($X1117="Non-Performing Matured Balloon","Non-Performing Matured Balloon",IF(OR($X1117="Late Payment But Less Than 30 Days Delinquent",LEFT($X1117&amp;"",20)="Payment Not Received"),"Late / In Grace (&lt;30 Days)",IF($X1117="Performing Matured Balloon","Performing Matured Balloon","Current")))))))))</f>
        <v/>
      </c>
      <c r="CD1117" s="78">
        <f>IF(OR($CC1117="REO",$CC1117="Foreclosure",$CC1117="90+ Days Delinquent",$CC1117="60 Days Delinquent",$CC1117="30 Days Delinquent",$CC1117="Non-Performing Matured Balloon"),1,0)</f>
        <v/>
      </c>
      <c r="CE1117" s="76">
        <f>IF($AB1117="Currently special serv","Currently Specially Serviced",IF($AB1117="Returned to master serv","Previously Specially Serviced","Never Specially Serviced"))</f>
        <v/>
      </c>
      <c r="CF1117" s="78">
        <f>IF($CE1117="Currently Specially Serviced",1,0)</f>
        <v/>
      </c>
      <c r="CG1117" s="76">
        <f>IF($AA1117="Yes","Currently on Watchlist",IF($AA1117="Previously","Previously on Watchlist","Never on Watchlist"))</f>
        <v/>
      </c>
      <c r="CH1117" s="78">
        <f>IF($CG1117="Currently on Watchlist",1,0)</f>
        <v/>
      </c>
      <c r="CI1117" s="76">
        <f>IF($Z1117="Full Defeasance","Fully Defeased",IF($Z1117="Portion Of Loan Previously Defeased","Partially Defeased",IF($Z1117="Defeasance Not Allowable","Not Defeased (Not Permitted)","Not Defeased")))</f>
        <v/>
      </c>
      <c r="CJ1117" s="78">
        <f>IF($CI1117="Fully Defeased",1,0)</f>
        <v/>
      </c>
      <c r="CK1117" s="76">
        <f>IF($R1117="IO","Full IO",IF(LEFT($R1117&amp;"",7)="IO then","Partial IO","Amortizing"))</f>
        <v/>
      </c>
      <c r="CL1117" s="78">
        <f>IF($CK1117="Full IO",1,0)</f>
        <v/>
      </c>
      <c r="CM1117" s="78">
        <f>IF($CK1117="Partial IO",1,0)</f>
        <v/>
      </c>
      <c r="CN1117" s="76">
        <f>IF(LEFT($F1117&amp;"",10)="SPLIT_LOAN","Pari Passu Split","Standalone")</f>
        <v/>
      </c>
      <c r="CO1117" s="78">
        <f>IF($CN1117="Pari Passu Split",1,0)</f>
        <v/>
      </c>
      <c r="CP1117" s="77">
        <f>IF(ISNUMBER($T1117),YEAR($T1117),"")</f>
        <v/>
      </c>
      <c r="CQ1117" s="79">
        <f>IF(ISNUMBER($V1117),$V1117,IF(ISNUMBER($U1117),$U1117,""))</f>
        <v/>
      </c>
      <c r="CR1117" s="77">
        <f>IF(ISNUMBER($CQ1117),YEAR($CQ1117),"")</f>
        <v/>
      </c>
      <c r="CS1117" s="78">
        <f>IF(ISNUMBER($M1117),MAX(0,$M1117),IF(TRIM($M1117&amp;"")="matured",0,""))</f>
        <v/>
      </c>
      <c r="CT1117" s="78">
        <f>IF(AND(ISNUMBER($CS1117),N($CS1117)&lt;=mMatWindow),1,0)</f>
        <v/>
      </c>
      <c r="CU1117" s="80">
        <f>IF(ISNUMBER($J1117),$J1117/100,"")</f>
        <v/>
      </c>
      <c r="CV1117" s="81">
        <f>IF(ISNUMBER($AQ1117),$AQ1117,"")</f>
        <v/>
      </c>
      <c r="CW1117" s="81">
        <f>IF(ISNUMBER($AR1117),$AR1117,"")</f>
        <v/>
      </c>
      <c r="CX1117" s="82">
        <f>IF(ISNUMBER($AS1117),$AS1117/100,"")</f>
        <v/>
      </c>
      <c r="CY1117" s="82">
        <f>IF(ISNUMBER($AT1117),$AT1117/100,"")</f>
        <v/>
      </c>
      <c r="CZ1117" s="82">
        <f>IF(ISNUMBER($AU1117),$AU1117/100,"")</f>
        <v/>
      </c>
      <c r="DA1117" s="82">
        <f>IF(ISNUMBER($AV1117),$AV1117/100,"")</f>
        <v/>
      </c>
      <c r="DB1117" s="82">
        <f>IF(ISNUMBER($AW1117),$AW1117/100,"")</f>
        <v/>
      </c>
      <c r="DC1117" s="82">
        <f>IF(ISNUMBER($AX1117),$AX1117/100,"")</f>
        <v/>
      </c>
      <c r="DD1117" s="77">
        <f>IFERROR(VALUE(LEFT(TRIM($AO1117&amp;""),4)),"")</f>
        <v/>
      </c>
      <c r="DE1117" s="78">
        <f>IF(AND($BY1117=1,$BX1117=1,OR(fDeal="All Deals",$BU1117=fDeal),OR(fEntity="All Entities",$BV1117=fEntity),OR(fPType="All Property Types",$BZ1117=fPType),OR(fDefeased="Include",$CJ1117=0)),1,0)</f>
        <v/>
      </c>
      <c r="DF1117" s="83">
        <f>$DE1117*N($I1117)</f>
        <v/>
      </c>
      <c r="DG1117" s="78">
        <f>IF($DE1117=1,IF(COUNTIFS($F$8:$F1117,$F1117,$DE$8:$DE1117,1)=1,1,0),0)</f>
        <v/>
      </c>
      <c r="DH1117" s="83">
        <f>IF($DG1117=1,SUMIFS($DF$8:$DF$1600,$F$8:$F$1600,$F1117),0)</f>
        <v/>
      </c>
      <c r="DI1117" s="78">
        <f>IF($DG1117=1,COUNTIFS($F$8:$F$1600,$F1117,$DE$8:$DE$1600,1),0)</f>
        <v/>
      </c>
      <c r="DJ1117" s="84">
        <f>IF($DG1117=1,$DH1117+(100000-ROW())/mTieBreak,0)</f>
        <v/>
      </c>
    </row>
    <row r="1118">
      <c r="B1118" s="68" t="n">
        <v>38</v>
      </c>
      <c r="C1118" s="69" t="inlineStr">
        <is>
          <t>JPD17C7</t>
        </is>
      </c>
      <c r="D1118" s="69" t="inlineStr">
        <is>
          <t>38.000</t>
        </is>
      </c>
      <c r="E1118" s="69" t="inlineStr">
        <is>
          <t>The Grove at 43rd Apartments</t>
        </is>
      </c>
      <c r="F1118" s="69" t="inlineStr">
        <is>
          <t>LNJPD17C7-38.000</t>
        </is>
      </c>
      <c r="G1118" s="70" t="n"/>
      <c r="H1118" s="71" t="n">
        <v>6000000</v>
      </c>
      <c r="I1118" s="71" t="n">
        <v>0</v>
      </c>
      <c r="J1118" s="72" t="n">
        <v>5.25</v>
      </c>
      <c r="K1118" s="69" t="inlineStr">
        <is>
          <t>Fixed rate</t>
        </is>
      </c>
      <c r="L1118" s="68" t="n">
        <v>60</v>
      </c>
      <c r="M1118" s="68" t="n"/>
      <c r="N1118" s="68" t="n">
        <v>360</v>
      </c>
      <c r="O1118" s="68" t="n"/>
      <c r="P1118" s="68" t="n"/>
      <c r="Q1118" s="68" t="n"/>
      <c r="R1118" s="69" t="n"/>
      <c r="S1118" s="69" t="inlineStr">
        <is>
          <t>No</t>
        </is>
      </c>
      <c r="T1118" s="73" t="n">
        <v>42948</v>
      </c>
      <c r="U1118" s="73" t="n">
        <v>44774</v>
      </c>
      <c r="V1118" s="73" t="n"/>
      <c r="W1118" s="69" t="n"/>
      <c r="X1118" s="69" t="inlineStr">
        <is>
          <t>Current</t>
        </is>
      </c>
      <c r="Y1118" s="68" t="n"/>
      <c r="Z1118" s="69" t="inlineStr">
        <is>
          <t>Defeasance Not Allowable</t>
        </is>
      </c>
      <c r="AA1118" s="69" t="inlineStr">
        <is>
          <t>Previously</t>
        </is>
      </c>
      <c r="AB1118" s="69" t="inlineStr">
        <is>
          <t>Never special serv</t>
        </is>
      </c>
      <c r="AC1118" s="73" t="n"/>
      <c r="AD1118" s="69" t="n"/>
      <c r="AE1118" s="69" t="n"/>
      <c r="AF1118" s="69" t="inlineStr">
        <is>
          <t>TX</t>
        </is>
      </c>
      <c r="AG1118" s="69" t="inlineStr">
        <is>
          <t>Houston</t>
        </is>
      </c>
      <c r="AH1118" s="69" t="inlineStr">
        <is>
          <t>Houston-Pasadena-The Woodlands, TX</t>
        </is>
      </c>
      <c r="AI1118" s="69" t="inlineStr">
        <is>
          <t>South / Central West</t>
        </is>
      </c>
      <c r="AJ1118" s="69" t="inlineStr">
        <is>
          <t>MF</t>
        </is>
      </c>
      <c r="AK1118" s="69" t="inlineStr">
        <is>
          <t>Garden</t>
        </is>
      </c>
      <c r="AL1118" s="68" t="n">
        <v>1</v>
      </c>
      <c r="AM1118" s="68" t="n">
        <v>80</v>
      </c>
      <c r="AN1118" s="68" t="n"/>
      <c r="AO1118" s="69" t="inlineStr">
        <is>
          <t>1972</t>
        </is>
      </c>
      <c r="AP1118" s="70" t="n">
        <v>2015</v>
      </c>
      <c r="AQ1118" s="74" t="n">
        <v>1.33</v>
      </c>
      <c r="AR1118" s="74" t="n">
        <v>1.31</v>
      </c>
      <c r="AS1118" s="74" t="n">
        <v>69.59999999999999</v>
      </c>
      <c r="AT1118" s="74" t="n"/>
      <c r="AU1118" s="74" t="n">
        <v>64.59999999999999</v>
      </c>
      <c r="AV1118" s="74" t="n">
        <v>8.80415</v>
      </c>
      <c r="AW1118" s="74" t="n"/>
      <c r="AX1118" s="75" t="n">
        <v>94</v>
      </c>
      <c r="AY1118" s="71" t="n">
        <v>8600000</v>
      </c>
      <c r="AZ1118" s="71" t="n">
        <v>8600000</v>
      </c>
      <c r="BA1118" s="71" t="n">
        <v>528249</v>
      </c>
      <c r="BB1118" s="71" t="n">
        <v>521676.8</v>
      </c>
      <c r="BC1118" s="69" t="inlineStr">
        <is>
          <t>Refinance</t>
        </is>
      </c>
      <c r="BD1118" s="69" t="inlineStr">
        <is>
          <t>N</t>
        </is>
      </c>
      <c r="BE1118" s="71" t="n"/>
      <c r="BF1118" s="71" t="n"/>
      <c r="BG1118" s="71" t="n"/>
      <c r="BH1118" s="71" t="n">
        <v>0</v>
      </c>
      <c r="BI1118" s="71" t="n">
        <v>0</v>
      </c>
      <c r="BJ1118" s="69" t="inlineStr">
        <is>
          <t>N</t>
        </is>
      </c>
      <c r="BK1118" s="69" t="n"/>
      <c r="BL1118" s="75" t="n"/>
      <c r="BM1118" s="73" t="n"/>
      <c r="BN1118" s="69" t="inlineStr">
        <is>
          <t>Scott Leichtenberg</t>
        </is>
      </c>
      <c r="BO1118" s="69" t="inlineStr">
        <is>
          <t>JPMorgan Chase</t>
        </is>
      </c>
      <c r="BP1118" s="69" t="inlineStr">
        <is>
          <t>Midland Loan Services</t>
        </is>
      </c>
      <c r="BQ1118" s="69" t="inlineStr">
        <is>
          <t>Midland Loan Services</t>
        </is>
      </c>
      <c r="BR1118" s="69" t="inlineStr">
        <is>
          <t>Payoff With Yield Maintenance</t>
        </is>
      </c>
      <c r="BS1118" s="73" t="n">
        <v>44298</v>
      </c>
      <c r="BU1118" s="76">
        <f>IF($C1118="","",IFERROR(INDEX(dmName,MATCH($C1118,dmID,0)),"Unmapped"))</f>
        <v/>
      </c>
      <c r="BV1118" s="76">
        <f>IF($C1118="","",IFERROR(INDEX(dmEntity,MATCH($C1118,dmID,0)),"Unmapped"))</f>
        <v/>
      </c>
      <c r="BW1118" s="77">
        <f>IF($C1118="","",IFERROR(INDEX(dmVintage,MATCH($C1118,dmID,0)),""))</f>
        <v/>
      </c>
      <c r="BX1118" s="78">
        <f>IFERROR(INDEX(dmInclude,MATCH($C1118,dmID,0)),0)</f>
        <v/>
      </c>
      <c r="BY1118" s="78">
        <f>IF(N($I1118)&gt;0,1,0)</f>
        <v/>
      </c>
      <c r="BZ1118" s="76">
        <f>IF($AJ1118="","Other / Leased Fee",IFERROR(INDEX(mapPTGroup,MATCH(LEFT(TRIM($AJ1118),2),mapPTCode,0)),"Other / Leased Fee"))</f>
        <v/>
      </c>
      <c r="CA1118" s="76">
        <f>IF(TRIM($AF1118&amp;"")="","NR",LEFT(TRIM($AF1118),2))</f>
        <v/>
      </c>
      <c r="CB1118" s="76">
        <f>IFERROR(LOOKUP(2,1/(LEFT(TRIM($AI1118&amp;""),LEN(mapRegion))=mapRegion),mapRegion),"Not Reported")</f>
        <v/>
      </c>
      <c r="CC1118" s="76">
        <f>IF($BY1118=0,"",IF(TRIM($W1118&amp;"")="REO","REO",IF(TRIM($W1118&amp;"")="FC","Foreclosure",IF(TRIM($W1118&amp;"")="90+","90+ Days Delinquent",IF(TRIM($W1118&amp;"")="60","60 Days Delinquent",IF(TRIM($W1118&amp;"")="30","30 Days Delinquent",IF($X1118="Non-Performing Matured Balloon","Non-Performing Matured Balloon",IF(OR($X1118="Late Payment But Less Than 30 Days Delinquent",LEFT($X1118&amp;"",20)="Payment Not Received"),"Late / In Grace (&lt;30 Days)",IF($X1118="Performing Matured Balloon","Performing Matured Balloon","Current")))))))))</f>
        <v/>
      </c>
      <c r="CD1118" s="78">
        <f>IF(OR($CC1118="REO",$CC1118="Foreclosure",$CC1118="90+ Days Delinquent",$CC1118="60 Days Delinquent",$CC1118="30 Days Delinquent",$CC1118="Non-Performing Matured Balloon"),1,0)</f>
        <v/>
      </c>
      <c r="CE1118" s="76">
        <f>IF($AB1118="Currently special serv","Currently Specially Serviced",IF($AB1118="Returned to master serv","Previously Specially Serviced","Never Specially Serviced"))</f>
        <v/>
      </c>
      <c r="CF1118" s="78">
        <f>IF($CE1118="Currently Specially Serviced",1,0)</f>
        <v/>
      </c>
      <c r="CG1118" s="76">
        <f>IF($AA1118="Yes","Currently on Watchlist",IF($AA1118="Previously","Previously on Watchlist","Never on Watchlist"))</f>
        <v/>
      </c>
      <c r="CH1118" s="78">
        <f>IF($CG1118="Currently on Watchlist",1,0)</f>
        <v/>
      </c>
      <c r="CI1118" s="76">
        <f>IF($Z1118="Full Defeasance","Fully Defeased",IF($Z1118="Portion Of Loan Previously Defeased","Partially Defeased",IF($Z1118="Defeasance Not Allowable","Not Defeased (Not Permitted)","Not Defeased")))</f>
        <v/>
      </c>
      <c r="CJ1118" s="78">
        <f>IF($CI1118="Fully Defeased",1,0)</f>
        <v/>
      </c>
      <c r="CK1118" s="76">
        <f>IF($R1118="IO","Full IO",IF(LEFT($R1118&amp;"",7)="IO then","Partial IO","Amortizing"))</f>
        <v/>
      </c>
      <c r="CL1118" s="78">
        <f>IF($CK1118="Full IO",1,0)</f>
        <v/>
      </c>
      <c r="CM1118" s="78">
        <f>IF($CK1118="Partial IO",1,0)</f>
        <v/>
      </c>
      <c r="CN1118" s="76">
        <f>IF(LEFT($F1118&amp;"",10)="SPLIT_LOAN","Pari Passu Split","Standalone")</f>
        <v/>
      </c>
      <c r="CO1118" s="78">
        <f>IF($CN1118="Pari Passu Split",1,0)</f>
        <v/>
      </c>
      <c r="CP1118" s="77">
        <f>IF(ISNUMBER($T1118),YEAR($T1118),"")</f>
        <v/>
      </c>
      <c r="CQ1118" s="79">
        <f>IF(ISNUMBER($V1118),$V1118,IF(ISNUMBER($U1118),$U1118,""))</f>
        <v/>
      </c>
      <c r="CR1118" s="77">
        <f>IF(ISNUMBER($CQ1118),YEAR($CQ1118),"")</f>
        <v/>
      </c>
      <c r="CS1118" s="78">
        <f>IF(ISNUMBER($M1118),MAX(0,$M1118),IF(TRIM($M1118&amp;"")="matured",0,""))</f>
        <v/>
      </c>
      <c r="CT1118" s="78">
        <f>IF(AND(ISNUMBER($CS1118),N($CS1118)&lt;=mMatWindow),1,0)</f>
        <v/>
      </c>
      <c r="CU1118" s="80">
        <f>IF(ISNUMBER($J1118),$J1118/100,"")</f>
        <v/>
      </c>
      <c r="CV1118" s="81">
        <f>IF(ISNUMBER($AQ1118),$AQ1118,"")</f>
        <v/>
      </c>
      <c r="CW1118" s="81">
        <f>IF(ISNUMBER($AR1118),$AR1118,"")</f>
        <v/>
      </c>
      <c r="CX1118" s="82">
        <f>IF(ISNUMBER($AS1118),$AS1118/100,"")</f>
        <v/>
      </c>
      <c r="CY1118" s="82">
        <f>IF(ISNUMBER($AT1118),$AT1118/100,"")</f>
        <v/>
      </c>
      <c r="CZ1118" s="82">
        <f>IF(ISNUMBER($AU1118),$AU1118/100,"")</f>
        <v/>
      </c>
      <c r="DA1118" s="82">
        <f>IF(ISNUMBER($AV1118),$AV1118/100,"")</f>
        <v/>
      </c>
      <c r="DB1118" s="82">
        <f>IF(ISNUMBER($AW1118),$AW1118/100,"")</f>
        <v/>
      </c>
      <c r="DC1118" s="82">
        <f>IF(ISNUMBER($AX1118),$AX1118/100,"")</f>
        <v/>
      </c>
      <c r="DD1118" s="77">
        <f>IFERROR(VALUE(LEFT(TRIM($AO1118&amp;""),4)),"")</f>
        <v/>
      </c>
      <c r="DE1118" s="78">
        <f>IF(AND($BY1118=1,$BX1118=1,OR(fDeal="All Deals",$BU1118=fDeal),OR(fEntity="All Entities",$BV1118=fEntity),OR(fPType="All Property Types",$BZ1118=fPType),OR(fDefeased="Include",$CJ1118=0)),1,0)</f>
        <v/>
      </c>
      <c r="DF1118" s="83">
        <f>$DE1118*N($I1118)</f>
        <v/>
      </c>
      <c r="DG1118" s="78">
        <f>IF($DE1118=1,IF(COUNTIFS($F$8:$F1118,$F1118,$DE$8:$DE1118,1)=1,1,0),0)</f>
        <v/>
      </c>
      <c r="DH1118" s="83">
        <f>IF($DG1118=1,SUMIFS($DF$8:$DF$1600,$F$8:$F$1600,$F1118),0)</f>
        <v/>
      </c>
      <c r="DI1118" s="78">
        <f>IF($DG1118=1,COUNTIFS($F$8:$F$1600,$F1118,$DE$8:$DE$1600,1),0)</f>
        <v/>
      </c>
      <c r="DJ1118" s="84">
        <f>IF($DG1118=1,$DH1118+(100000-ROW())/mTieBreak,0)</f>
        <v/>
      </c>
    </row>
    <row r="1119">
      <c r="B1119" s="68" t="n">
        <v>39</v>
      </c>
      <c r="C1119" s="69" t="inlineStr">
        <is>
          <t>JPD17C7</t>
        </is>
      </c>
      <c r="D1119" s="69" t="inlineStr">
        <is>
          <t>39.000</t>
        </is>
      </c>
      <c r="E1119" s="69" t="inlineStr">
        <is>
          <t>Brittmoore Industrial Park</t>
        </is>
      </c>
      <c r="F1119" s="69" t="inlineStr">
        <is>
          <t>LNJPD17C7-39.000</t>
        </is>
      </c>
      <c r="G1119" s="70" t="n"/>
      <c r="H1119" s="71" t="n">
        <v>4800000</v>
      </c>
      <c r="I1119" s="71" t="n">
        <v>0</v>
      </c>
      <c r="J1119" s="72" t="n">
        <v>4.49</v>
      </c>
      <c r="K1119" s="69" t="inlineStr">
        <is>
          <t>Fixed rate</t>
        </is>
      </c>
      <c r="L1119" s="68" t="n">
        <v>120</v>
      </c>
      <c r="M1119" s="68" t="n"/>
      <c r="N1119" s="68" t="n">
        <v>360</v>
      </c>
      <c r="O1119" s="68" t="n"/>
      <c r="P1119" s="68" t="n"/>
      <c r="Q1119" s="68" t="n"/>
      <c r="R1119" s="69" t="n"/>
      <c r="S1119" s="69" t="inlineStr">
        <is>
          <t>No</t>
        </is>
      </c>
      <c r="T1119" s="73" t="n">
        <v>42979</v>
      </c>
      <c r="U1119" s="73" t="n">
        <v>46636</v>
      </c>
      <c r="V1119" s="73" t="n"/>
      <c r="W1119" s="69" t="n"/>
      <c r="X1119" s="69" t="inlineStr">
        <is>
          <t>Current</t>
        </is>
      </c>
      <c r="Y1119" s="68" t="n"/>
      <c r="Z1119" s="69" t="inlineStr">
        <is>
          <t>Defeasance Not Allowable</t>
        </is>
      </c>
      <c r="AA1119" s="69" t="inlineStr">
        <is>
          <t>Previously</t>
        </is>
      </c>
      <c r="AB1119" s="69" t="inlineStr">
        <is>
          <t>Never special serv</t>
        </is>
      </c>
      <c r="AC1119" s="73" t="n"/>
      <c r="AD1119" s="69" t="n"/>
      <c r="AE1119" s="69" t="n"/>
      <c r="AF1119" s="69" t="inlineStr">
        <is>
          <t>TX</t>
        </is>
      </c>
      <c r="AG1119" s="69" t="inlineStr">
        <is>
          <t>Houston</t>
        </is>
      </c>
      <c r="AH1119" s="69" t="inlineStr">
        <is>
          <t>Houston-Pasadena-The Woodlands, TX</t>
        </is>
      </c>
      <c r="AI1119" s="69" t="inlineStr">
        <is>
          <t>South / Central West</t>
        </is>
      </c>
      <c r="AJ1119" s="69" t="inlineStr">
        <is>
          <t>IN</t>
        </is>
      </c>
      <c r="AK1119" s="69" t="inlineStr">
        <is>
          <t>Flex</t>
        </is>
      </c>
      <c r="AL1119" s="68" t="n">
        <v>1</v>
      </c>
      <c r="AM1119" s="68" t="n"/>
      <c r="AN1119" s="68" t="n">
        <v>72000</v>
      </c>
      <c r="AO1119" s="69" t="inlineStr">
        <is>
          <t>1999</t>
        </is>
      </c>
      <c r="AP1119" s="70" t="n">
        <v>2003</v>
      </c>
      <c r="AQ1119" s="74" t="n">
        <v>1.79</v>
      </c>
      <c r="AR1119" s="74" t="n">
        <v>1.89</v>
      </c>
      <c r="AS1119" s="74" t="n">
        <v>72.59999999999999</v>
      </c>
      <c r="AT1119" s="74" t="n"/>
      <c r="AU1119" s="74" t="n">
        <v>58.77</v>
      </c>
      <c r="AV1119" s="74" t="n">
        <v>10.866713333</v>
      </c>
      <c r="AW1119" s="74" t="n"/>
      <c r="AX1119" s="75" t="n">
        <v>94</v>
      </c>
      <c r="AY1119" s="71" t="n">
        <v>6600000</v>
      </c>
      <c r="AZ1119" s="71" t="n">
        <v>6600000</v>
      </c>
      <c r="BA1119" s="71" t="n">
        <v>521602.24</v>
      </c>
      <c r="BB1119" s="71" t="n">
        <v>552241.05</v>
      </c>
      <c r="BC1119" s="69" t="inlineStr">
        <is>
          <t>Refinance</t>
        </is>
      </c>
      <c r="BD1119" s="69" t="inlineStr">
        <is>
          <t>N</t>
        </is>
      </c>
      <c r="BE1119" s="71" t="n"/>
      <c r="BF1119" s="71" t="n"/>
      <c r="BG1119" s="71" t="n"/>
      <c r="BH1119" s="71" t="n">
        <v>0</v>
      </c>
      <c r="BI1119" s="71" t="n">
        <v>0</v>
      </c>
      <c r="BJ1119" s="69" t="inlineStr">
        <is>
          <t>N</t>
        </is>
      </c>
      <c r="BK1119" s="69" t="inlineStr">
        <is>
          <t>The Shop Houston</t>
        </is>
      </c>
      <c r="BL1119" s="75" t="n">
        <v>13.33</v>
      </c>
      <c r="BM1119" s="73" t="n">
        <v>46629</v>
      </c>
      <c r="BN1119" s="69" t="inlineStr">
        <is>
          <t>John Able</t>
        </is>
      </c>
      <c r="BO1119" s="69" t="inlineStr">
        <is>
          <t>GACC</t>
        </is>
      </c>
      <c r="BP1119" s="69" t="inlineStr">
        <is>
          <t>Midland Loan Services</t>
        </is>
      </c>
      <c r="BQ1119" s="69" t="inlineStr">
        <is>
          <t>K-Star Asset Management LLC</t>
        </is>
      </c>
      <c r="BR1119" s="69" t="inlineStr">
        <is>
          <t>Payoff Prior To Maturity</t>
        </is>
      </c>
      <c r="BS1119" s="73" t="n">
        <v>45819</v>
      </c>
      <c r="BU1119" s="76">
        <f>IF($C1119="","",IFERROR(INDEX(dmName,MATCH($C1119,dmID,0)),"Unmapped"))</f>
        <v/>
      </c>
      <c r="BV1119" s="76">
        <f>IF($C1119="","",IFERROR(INDEX(dmEntity,MATCH($C1119,dmID,0)),"Unmapped"))</f>
        <v/>
      </c>
      <c r="BW1119" s="77">
        <f>IF($C1119="","",IFERROR(INDEX(dmVintage,MATCH($C1119,dmID,0)),""))</f>
        <v/>
      </c>
      <c r="BX1119" s="78">
        <f>IFERROR(INDEX(dmInclude,MATCH($C1119,dmID,0)),0)</f>
        <v/>
      </c>
      <c r="BY1119" s="78">
        <f>IF(N($I1119)&gt;0,1,0)</f>
        <v/>
      </c>
      <c r="BZ1119" s="76">
        <f>IF($AJ1119="","Other / Leased Fee",IFERROR(INDEX(mapPTGroup,MATCH(LEFT(TRIM($AJ1119),2),mapPTCode,0)),"Other / Leased Fee"))</f>
        <v/>
      </c>
      <c r="CA1119" s="76">
        <f>IF(TRIM($AF1119&amp;"")="","NR",LEFT(TRIM($AF1119),2))</f>
        <v/>
      </c>
      <c r="CB1119" s="76">
        <f>IFERROR(LOOKUP(2,1/(LEFT(TRIM($AI1119&amp;""),LEN(mapRegion))=mapRegion),mapRegion),"Not Reported")</f>
        <v/>
      </c>
      <c r="CC1119" s="76">
        <f>IF($BY1119=0,"",IF(TRIM($W1119&amp;"")="REO","REO",IF(TRIM($W1119&amp;"")="FC","Foreclosure",IF(TRIM($W1119&amp;"")="90+","90+ Days Delinquent",IF(TRIM($W1119&amp;"")="60","60 Days Delinquent",IF(TRIM($W1119&amp;"")="30","30 Days Delinquent",IF($X1119="Non-Performing Matured Balloon","Non-Performing Matured Balloon",IF(OR($X1119="Late Payment But Less Than 30 Days Delinquent",LEFT($X1119&amp;"",20)="Payment Not Received"),"Late / In Grace (&lt;30 Days)",IF($X1119="Performing Matured Balloon","Performing Matured Balloon","Current")))))))))</f>
        <v/>
      </c>
      <c r="CD1119" s="78">
        <f>IF(OR($CC1119="REO",$CC1119="Foreclosure",$CC1119="90+ Days Delinquent",$CC1119="60 Days Delinquent",$CC1119="30 Days Delinquent",$CC1119="Non-Performing Matured Balloon"),1,0)</f>
        <v/>
      </c>
      <c r="CE1119" s="76">
        <f>IF($AB1119="Currently special serv","Currently Specially Serviced",IF($AB1119="Returned to master serv","Previously Specially Serviced","Never Specially Serviced"))</f>
        <v/>
      </c>
      <c r="CF1119" s="78">
        <f>IF($CE1119="Currently Specially Serviced",1,0)</f>
        <v/>
      </c>
      <c r="CG1119" s="76">
        <f>IF($AA1119="Yes","Currently on Watchlist",IF($AA1119="Previously","Previously on Watchlist","Never on Watchlist"))</f>
        <v/>
      </c>
      <c r="CH1119" s="78">
        <f>IF($CG1119="Currently on Watchlist",1,0)</f>
        <v/>
      </c>
      <c r="CI1119" s="76">
        <f>IF($Z1119="Full Defeasance","Fully Defeased",IF($Z1119="Portion Of Loan Previously Defeased","Partially Defeased",IF($Z1119="Defeasance Not Allowable","Not Defeased (Not Permitted)","Not Defeased")))</f>
        <v/>
      </c>
      <c r="CJ1119" s="78">
        <f>IF($CI1119="Fully Defeased",1,0)</f>
        <v/>
      </c>
      <c r="CK1119" s="76">
        <f>IF($R1119="IO","Full IO",IF(LEFT($R1119&amp;"",7)="IO then","Partial IO","Amortizing"))</f>
        <v/>
      </c>
      <c r="CL1119" s="78">
        <f>IF($CK1119="Full IO",1,0)</f>
        <v/>
      </c>
      <c r="CM1119" s="78">
        <f>IF($CK1119="Partial IO",1,0)</f>
        <v/>
      </c>
      <c r="CN1119" s="76">
        <f>IF(LEFT($F1119&amp;"",10)="SPLIT_LOAN","Pari Passu Split","Standalone")</f>
        <v/>
      </c>
      <c r="CO1119" s="78">
        <f>IF($CN1119="Pari Passu Split",1,0)</f>
        <v/>
      </c>
      <c r="CP1119" s="77">
        <f>IF(ISNUMBER($T1119),YEAR($T1119),"")</f>
        <v/>
      </c>
      <c r="CQ1119" s="79">
        <f>IF(ISNUMBER($V1119),$V1119,IF(ISNUMBER($U1119),$U1119,""))</f>
        <v/>
      </c>
      <c r="CR1119" s="77">
        <f>IF(ISNUMBER($CQ1119),YEAR($CQ1119),"")</f>
        <v/>
      </c>
      <c r="CS1119" s="78">
        <f>IF(ISNUMBER($M1119),MAX(0,$M1119),IF(TRIM($M1119&amp;"")="matured",0,""))</f>
        <v/>
      </c>
      <c r="CT1119" s="78">
        <f>IF(AND(ISNUMBER($CS1119),N($CS1119)&lt;=mMatWindow),1,0)</f>
        <v/>
      </c>
      <c r="CU1119" s="80">
        <f>IF(ISNUMBER($J1119),$J1119/100,"")</f>
        <v/>
      </c>
      <c r="CV1119" s="81">
        <f>IF(ISNUMBER($AQ1119),$AQ1119,"")</f>
        <v/>
      </c>
      <c r="CW1119" s="81">
        <f>IF(ISNUMBER($AR1119),$AR1119,"")</f>
        <v/>
      </c>
      <c r="CX1119" s="82">
        <f>IF(ISNUMBER($AS1119),$AS1119/100,"")</f>
        <v/>
      </c>
      <c r="CY1119" s="82">
        <f>IF(ISNUMBER($AT1119),$AT1119/100,"")</f>
        <v/>
      </c>
      <c r="CZ1119" s="82">
        <f>IF(ISNUMBER($AU1119),$AU1119/100,"")</f>
        <v/>
      </c>
      <c r="DA1119" s="82">
        <f>IF(ISNUMBER($AV1119),$AV1119/100,"")</f>
        <v/>
      </c>
      <c r="DB1119" s="82">
        <f>IF(ISNUMBER($AW1119),$AW1119/100,"")</f>
        <v/>
      </c>
      <c r="DC1119" s="82">
        <f>IF(ISNUMBER($AX1119),$AX1119/100,"")</f>
        <v/>
      </c>
      <c r="DD1119" s="77">
        <f>IFERROR(VALUE(LEFT(TRIM($AO1119&amp;""),4)),"")</f>
        <v/>
      </c>
      <c r="DE1119" s="78">
        <f>IF(AND($BY1119=1,$BX1119=1,OR(fDeal="All Deals",$BU1119=fDeal),OR(fEntity="All Entities",$BV1119=fEntity),OR(fPType="All Property Types",$BZ1119=fPType),OR(fDefeased="Include",$CJ1119=0)),1,0)</f>
        <v/>
      </c>
      <c r="DF1119" s="83">
        <f>$DE1119*N($I1119)</f>
        <v/>
      </c>
      <c r="DG1119" s="78">
        <f>IF($DE1119=1,IF(COUNTIFS($F$8:$F1119,$F1119,$DE$8:$DE1119,1)=1,1,0),0)</f>
        <v/>
      </c>
      <c r="DH1119" s="83">
        <f>IF($DG1119=1,SUMIFS($DF$8:$DF$1600,$F$8:$F$1600,$F1119),0)</f>
        <v/>
      </c>
      <c r="DI1119" s="78">
        <f>IF($DG1119=1,COUNTIFS($F$8:$F$1600,$F1119,$DE$8:$DE$1600,1),0)</f>
        <v/>
      </c>
      <c r="DJ1119" s="84">
        <f>IF($DG1119=1,$DH1119+(100000-ROW())/mTieBreak,0)</f>
        <v/>
      </c>
    </row>
    <row r="1120">
      <c r="B1120" s="68" t="n">
        <v>40</v>
      </c>
      <c r="C1120" s="69" t="inlineStr">
        <is>
          <t>JPD17C7</t>
        </is>
      </c>
      <c r="D1120" s="69" t="inlineStr">
        <is>
          <t>40.000</t>
        </is>
      </c>
      <c r="E1120" s="69" t="inlineStr">
        <is>
          <t>11th &amp; Kissling</t>
        </is>
      </c>
      <c r="F1120" s="69" t="inlineStr">
        <is>
          <t>LNJPD17C7-40.000</t>
        </is>
      </c>
      <c r="G1120" s="70" t="n"/>
      <c r="H1120" s="71" t="n">
        <v>4750000</v>
      </c>
      <c r="I1120" s="71" t="n">
        <v>3972838.25999875</v>
      </c>
      <c r="J1120" s="72" t="n">
        <v>4.9</v>
      </c>
      <c r="K1120" s="69" t="inlineStr">
        <is>
          <t>Fixed rate</t>
        </is>
      </c>
      <c r="L1120" s="68" t="n">
        <v>120</v>
      </c>
      <c r="M1120" s="68" t="n">
        <v>9</v>
      </c>
      <c r="N1120" s="68" t="n">
        <v>360</v>
      </c>
      <c r="O1120" s="68" t="n"/>
      <c r="P1120" s="68" t="n"/>
      <c r="Q1120" s="68" t="n">
        <v>111</v>
      </c>
      <c r="R1120" s="69" t="n"/>
      <c r="S1120" s="69" t="inlineStr">
        <is>
          <t>No</t>
        </is>
      </c>
      <c r="T1120" s="73" t="n">
        <v>42887</v>
      </c>
      <c r="U1120" s="73" t="n">
        <v>46544</v>
      </c>
      <c r="V1120" s="73" t="n"/>
      <c r="W1120" s="69" t="n"/>
      <c r="X1120" s="69" t="inlineStr">
        <is>
          <t>Current</t>
        </is>
      </c>
      <c r="Y1120" s="68" t="n"/>
      <c r="Z1120" s="69" t="inlineStr">
        <is>
          <t>No Defeasance Occurred</t>
        </is>
      </c>
      <c r="AA1120" s="69" t="inlineStr">
        <is>
          <t>Previously</t>
        </is>
      </c>
      <c r="AB1120" s="69" t="inlineStr">
        <is>
          <t>Never special serv</t>
        </is>
      </c>
      <c r="AC1120" s="73" t="n"/>
      <c r="AD1120" s="69" t="n"/>
      <c r="AE1120" s="69" t="n"/>
      <c r="AF1120" s="69" t="inlineStr">
        <is>
          <t>CA</t>
        </is>
      </c>
      <c r="AG1120" s="69" t="inlineStr">
        <is>
          <t>San Francisco</t>
        </is>
      </c>
      <c r="AH1120" s="69" t="inlineStr">
        <is>
          <t>San Francisco-Oakland-Fremont, CA</t>
        </is>
      </c>
      <c r="AI1120" s="69" t="inlineStr">
        <is>
          <t>West / Pacific North</t>
        </is>
      </c>
      <c r="AJ1120" s="69" t="inlineStr">
        <is>
          <t>MF</t>
        </is>
      </c>
      <c r="AK1120" s="69" t="inlineStr">
        <is>
          <t>Garden</t>
        </is>
      </c>
      <c r="AL1120" s="68" t="n">
        <v>1</v>
      </c>
      <c r="AM1120" s="68" t="n">
        <v>24</v>
      </c>
      <c r="AN1120" s="68" t="n"/>
      <c r="AO1120" s="69" t="inlineStr">
        <is>
          <t>1907</t>
        </is>
      </c>
      <c r="AP1120" s="70" t="n">
        <v>2016</v>
      </c>
      <c r="AQ1120" s="74" t="n">
        <v>1.4</v>
      </c>
      <c r="AR1120" s="74" t="n">
        <v>1.51</v>
      </c>
      <c r="AS1120" s="74" t="n">
        <v>46.8</v>
      </c>
      <c r="AT1120" s="74" t="n">
        <v>39.34</v>
      </c>
      <c r="AU1120" s="74" t="n">
        <v>38.54</v>
      </c>
      <c r="AV1120" s="74" t="n">
        <v>8.898126316000001</v>
      </c>
      <c r="AW1120" s="74" t="n">
        <v>12.172937793</v>
      </c>
      <c r="AX1120" s="75" t="n">
        <v>100</v>
      </c>
      <c r="AY1120" s="71" t="n">
        <v>10100000</v>
      </c>
      <c r="AZ1120" s="71" t="n">
        <v>10100000</v>
      </c>
      <c r="BA1120" s="71" t="n">
        <v>422661</v>
      </c>
      <c r="BB1120" s="71" t="n">
        <v>458153.95</v>
      </c>
      <c r="BC1120" s="69" t="inlineStr">
        <is>
          <t>Refinance</t>
        </is>
      </c>
      <c r="BD1120" s="69" t="inlineStr">
        <is>
          <t>N</t>
        </is>
      </c>
      <c r="BE1120" s="71" t="n"/>
      <c r="BF1120" s="71" t="n"/>
      <c r="BG1120" s="71" t="n"/>
      <c r="BH1120" s="71" t="n">
        <v>0</v>
      </c>
      <c r="BI1120" s="71" t="n">
        <v>0</v>
      </c>
      <c r="BJ1120" s="69" t="inlineStr">
        <is>
          <t>N</t>
        </is>
      </c>
      <c r="BK1120" s="69" t="n"/>
      <c r="BL1120" s="75" t="n"/>
      <c r="BM1120" s="73" t="n"/>
      <c r="BN1120" s="69" t="inlineStr">
        <is>
          <t>Ray K. Shahani</t>
        </is>
      </c>
      <c r="BO1120" s="69" t="inlineStr">
        <is>
          <t>GACC</t>
        </is>
      </c>
      <c r="BP1120" s="69" t="inlineStr">
        <is>
          <t>Midland Loan Services</t>
        </is>
      </c>
      <c r="BQ1120" s="69" t="inlineStr">
        <is>
          <t>K-Star Asset Management LLC</t>
        </is>
      </c>
      <c r="BR1120" s="69" t="n"/>
      <c r="BS1120" s="73" t="n">
        <v>46276</v>
      </c>
      <c r="BU1120" s="76">
        <f>IF($C1120="","",IFERROR(INDEX(dmName,MATCH($C1120,dmID,0)),"Unmapped"))</f>
        <v/>
      </c>
      <c r="BV1120" s="76">
        <f>IF($C1120="","",IFERROR(INDEX(dmEntity,MATCH($C1120,dmID,0)),"Unmapped"))</f>
        <v/>
      </c>
      <c r="BW1120" s="77">
        <f>IF($C1120="","",IFERROR(INDEX(dmVintage,MATCH($C1120,dmID,0)),""))</f>
        <v/>
      </c>
      <c r="BX1120" s="78">
        <f>IFERROR(INDEX(dmInclude,MATCH($C1120,dmID,0)),0)</f>
        <v/>
      </c>
      <c r="BY1120" s="78">
        <f>IF(N($I1120)&gt;0,1,0)</f>
        <v/>
      </c>
      <c r="BZ1120" s="76">
        <f>IF($AJ1120="","Other / Leased Fee",IFERROR(INDEX(mapPTGroup,MATCH(LEFT(TRIM($AJ1120),2),mapPTCode,0)),"Other / Leased Fee"))</f>
        <v/>
      </c>
      <c r="CA1120" s="76">
        <f>IF(TRIM($AF1120&amp;"")="","NR",LEFT(TRIM($AF1120),2))</f>
        <v/>
      </c>
      <c r="CB1120" s="76">
        <f>IFERROR(LOOKUP(2,1/(LEFT(TRIM($AI1120&amp;""),LEN(mapRegion))=mapRegion),mapRegion),"Not Reported")</f>
        <v/>
      </c>
      <c r="CC1120" s="76">
        <f>IF($BY1120=0,"",IF(TRIM($W1120&amp;"")="REO","REO",IF(TRIM($W1120&amp;"")="FC","Foreclosure",IF(TRIM($W1120&amp;"")="90+","90+ Days Delinquent",IF(TRIM($W1120&amp;"")="60","60 Days Delinquent",IF(TRIM($W1120&amp;"")="30","30 Days Delinquent",IF($X1120="Non-Performing Matured Balloon","Non-Performing Matured Balloon",IF(OR($X1120="Late Payment But Less Than 30 Days Delinquent",LEFT($X1120&amp;"",20)="Payment Not Received"),"Late / In Grace (&lt;30 Days)",IF($X1120="Performing Matured Balloon","Performing Matured Balloon","Current")))))))))</f>
        <v/>
      </c>
      <c r="CD1120" s="78">
        <f>IF(OR($CC1120="REO",$CC1120="Foreclosure",$CC1120="90+ Days Delinquent",$CC1120="60 Days Delinquent",$CC1120="30 Days Delinquent",$CC1120="Non-Performing Matured Balloon"),1,0)</f>
        <v/>
      </c>
      <c r="CE1120" s="76">
        <f>IF($AB1120="Currently special serv","Currently Specially Serviced",IF($AB1120="Returned to master serv","Previously Specially Serviced","Never Specially Serviced"))</f>
        <v/>
      </c>
      <c r="CF1120" s="78">
        <f>IF($CE1120="Currently Specially Serviced",1,0)</f>
        <v/>
      </c>
      <c r="CG1120" s="76">
        <f>IF($AA1120="Yes","Currently on Watchlist",IF($AA1120="Previously","Previously on Watchlist","Never on Watchlist"))</f>
        <v/>
      </c>
      <c r="CH1120" s="78">
        <f>IF($CG1120="Currently on Watchlist",1,0)</f>
        <v/>
      </c>
      <c r="CI1120" s="76">
        <f>IF($Z1120="Full Defeasance","Fully Defeased",IF($Z1120="Portion Of Loan Previously Defeased","Partially Defeased",IF($Z1120="Defeasance Not Allowable","Not Defeased (Not Permitted)","Not Defeased")))</f>
        <v/>
      </c>
      <c r="CJ1120" s="78">
        <f>IF($CI1120="Fully Defeased",1,0)</f>
        <v/>
      </c>
      <c r="CK1120" s="76">
        <f>IF($R1120="IO","Full IO",IF(LEFT($R1120&amp;"",7)="IO then","Partial IO","Amortizing"))</f>
        <v/>
      </c>
      <c r="CL1120" s="78">
        <f>IF($CK1120="Full IO",1,0)</f>
        <v/>
      </c>
      <c r="CM1120" s="78">
        <f>IF($CK1120="Partial IO",1,0)</f>
        <v/>
      </c>
      <c r="CN1120" s="76">
        <f>IF(LEFT($F1120&amp;"",10)="SPLIT_LOAN","Pari Passu Split","Standalone")</f>
        <v/>
      </c>
      <c r="CO1120" s="78">
        <f>IF($CN1120="Pari Passu Split",1,0)</f>
        <v/>
      </c>
      <c r="CP1120" s="77">
        <f>IF(ISNUMBER($T1120),YEAR($T1120),"")</f>
        <v/>
      </c>
      <c r="CQ1120" s="79">
        <f>IF(ISNUMBER($V1120),$V1120,IF(ISNUMBER($U1120),$U1120,""))</f>
        <v/>
      </c>
      <c r="CR1120" s="77">
        <f>IF(ISNUMBER($CQ1120),YEAR($CQ1120),"")</f>
        <v/>
      </c>
      <c r="CS1120" s="78">
        <f>IF(ISNUMBER($M1120),MAX(0,$M1120),IF(TRIM($M1120&amp;"")="matured",0,""))</f>
        <v/>
      </c>
      <c r="CT1120" s="78">
        <f>IF(AND(ISNUMBER($CS1120),N($CS1120)&lt;=mMatWindow),1,0)</f>
        <v/>
      </c>
      <c r="CU1120" s="80">
        <f>IF(ISNUMBER($J1120),$J1120/100,"")</f>
        <v/>
      </c>
      <c r="CV1120" s="81">
        <f>IF(ISNUMBER($AQ1120),$AQ1120,"")</f>
        <v/>
      </c>
      <c r="CW1120" s="81">
        <f>IF(ISNUMBER($AR1120),$AR1120,"")</f>
        <v/>
      </c>
      <c r="CX1120" s="82">
        <f>IF(ISNUMBER($AS1120),$AS1120/100,"")</f>
        <v/>
      </c>
      <c r="CY1120" s="82">
        <f>IF(ISNUMBER($AT1120),$AT1120/100,"")</f>
        <v/>
      </c>
      <c r="CZ1120" s="82">
        <f>IF(ISNUMBER($AU1120),$AU1120/100,"")</f>
        <v/>
      </c>
      <c r="DA1120" s="82">
        <f>IF(ISNUMBER($AV1120),$AV1120/100,"")</f>
        <v/>
      </c>
      <c r="DB1120" s="82">
        <f>IF(ISNUMBER($AW1120),$AW1120/100,"")</f>
        <v/>
      </c>
      <c r="DC1120" s="82">
        <f>IF(ISNUMBER($AX1120),$AX1120/100,"")</f>
        <v/>
      </c>
      <c r="DD1120" s="77">
        <f>IFERROR(VALUE(LEFT(TRIM($AO1120&amp;""),4)),"")</f>
        <v/>
      </c>
      <c r="DE1120" s="78">
        <f>IF(AND($BY1120=1,$BX1120=1,OR(fDeal="All Deals",$BU1120=fDeal),OR(fEntity="All Entities",$BV1120=fEntity),OR(fPType="All Property Types",$BZ1120=fPType),OR(fDefeased="Include",$CJ1120=0)),1,0)</f>
        <v/>
      </c>
      <c r="DF1120" s="83">
        <f>$DE1120*N($I1120)</f>
        <v/>
      </c>
      <c r="DG1120" s="78">
        <f>IF($DE1120=1,IF(COUNTIFS($F$8:$F1120,$F1120,$DE$8:$DE1120,1)=1,1,0),0)</f>
        <v/>
      </c>
      <c r="DH1120" s="83">
        <f>IF($DG1120=1,SUMIFS($DF$8:$DF$1600,$F$8:$F$1600,$F1120),0)</f>
        <v/>
      </c>
      <c r="DI1120" s="78">
        <f>IF($DG1120=1,COUNTIFS($F$8:$F$1600,$F1120,$DE$8:$DE$1600,1),0)</f>
        <v/>
      </c>
      <c r="DJ1120" s="84">
        <f>IF($DG1120=1,$DH1120+(100000-ROW())/mTieBreak,0)</f>
        <v/>
      </c>
    </row>
    <row r="1121">
      <c r="B1121" s="68" t="n">
        <v>41</v>
      </c>
      <c r="C1121" s="69" t="inlineStr">
        <is>
          <t>JPD17C7</t>
        </is>
      </c>
      <c r="D1121" s="69" t="inlineStr">
        <is>
          <t>41.000</t>
        </is>
      </c>
      <c r="E1121" s="69" t="inlineStr">
        <is>
          <t>PPHC Manufacturing Facility</t>
        </is>
      </c>
      <c r="F1121" s="69" t="inlineStr">
        <is>
          <t>LNJPD17C7-41.000</t>
        </is>
      </c>
      <c r="G1121" s="70" t="n"/>
      <c r="H1121" s="71" t="n">
        <v>2900000</v>
      </c>
      <c r="I1121" s="71" t="n">
        <v>0</v>
      </c>
      <c r="J1121" s="72" t="n">
        <v>4.55</v>
      </c>
      <c r="K1121" s="69" t="inlineStr">
        <is>
          <t>Fixed rate</t>
        </is>
      </c>
      <c r="L1121" s="68" t="n">
        <v>120</v>
      </c>
      <c r="M1121" s="68" t="n"/>
      <c r="N1121" s="68" t="n">
        <v>396</v>
      </c>
      <c r="O1121" s="68" t="n">
        <v>36</v>
      </c>
      <c r="P1121" s="68" t="n"/>
      <c r="Q1121" s="68" t="n"/>
      <c r="R1121" s="69" t="inlineStr">
        <is>
          <t>IO then Amort</t>
        </is>
      </c>
      <c r="S1121" s="69" t="inlineStr">
        <is>
          <t>No</t>
        </is>
      </c>
      <c r="T1121" s="73" t="n">
        <v>42979</v>
      </c>
      <c r="U1121" s="73" t="n">
        <v>49558</v>
      </c>
      <c r="V1121" s="73" t="n">
        <v>49558</v>
      </c>
      <c r="W1121" s="69" t="n"/>
      <c r="X1121" s="69" t="inlineStr">
        <is>
          <t>Current</t>
        </is>
      </c>
      <c r="Y1121" s="68" t="n"/>
      <c r="Z1121" s="69" t="inlineStr">
        <is>
          <t>Defeasance Not Allowable</t>
        </is>
      </c>
      <c r="AA1121" s="69" t="n"/>
      <c r="AB1121" s="69" t="inlineStr">
        <is>
          <t>Never special serv</t>
        </is>
      </c>
      <c r="AC1121" s="73" t="n"/>
      <c r="AD1121" s="69" t="n"/>
      <c r="AE1121" s="69" t="n"/>
      <c r="AF1121" s="69" t="inlineStr">
        <is>
          <t>AL</t>
        </is>
      </c>
      <c r="AG1121" s="69" t="inlineStr">
        <is>
          <t>Sylacauga</t>
        </is>
      </c>
      <c r="AH1121" s="69" t="inlineStr">
        <is>
          <t>Talladega-Sylacauga, AL</t>
        </is>
      </c>
      <c r="AI1121" s="69" t="inlineStr">
        <is>
          <t>South / Central East</t>
        </is>
      </c>
      <c r="AJ1121" s="69" t="inlineStr">
        <is>
          <t>IN</t>
        </is>
      </c>
      <c r="AK1121" s="69" t="inlineStr">
        <is>
          <t>Warehouse</t>
        </is>
      </c>
      <c r="AL1121" s="68" t="n">
        <v>1</v>
      </c>
      <c r="AM1121" s="68" t="n"/>
      <c r="AN1121" s="68" t="n">
        <v>114000</v>
      </c>
      <c r="AO1121" s="69" t="inlineStr">
        <is>
          <t>2005</t>
        </is>
      </c>
      <c r="AP1121" s="70" t="n">
        <v>2009</v>
      </c>
      <c r="AQ1121" s="74" t="n">
        <v>2.17</v>
      </c>
      <c r="AR1121" s="74" t="n">
        <v>1.88</v>
      </c>
      <c r="AS1121" s="74" t="n">
        <v>63.7</v>
      </c>
      <c r="AT1121" s="74" t="n"/>
      <c r="AU1121" s="74" t="n">
        <v>55.85</v>
      </c>
      <c r="AV1121" s="74" t="n">
        <v>13.268241379</v>
      </c>
      <c r="AW1121" s="74" t="n"/>
      <c r="AX1121" s="75" t="n">
        <v>100</v>
      </c>
      <c r="AY1121" s="71" t="n">
        <v>4550000</v>
      </c>
      <c r="AZ1121" s="71" t="n">
        <v>10100000</v>
      </c>
      <c r="BA1121" s="71" t="n">
        <v>384779</v>
      </c>
      <c r="BB1121" s="71" t="n">
        <v>333297.99</v>
      </c>
      <c r="BC1121" s="69" t="inlineStr">
        <is>
          <t>Recapitalization</t>
        </is>
      </c>
      <c r="BD1121" s="69" t="inlineStr">
        <is>
          <t>N</t>
        </is>
      </c>
      <c r="BE1121" s="71" t="n"/>
      <c r="BF1121" s="71" t="n"/>
      <c r="BG1121" s="71" t="n"/>
      <c r="BH1121" s="71" t="n">
        <v>0</v>
      </c>
      <c r="BI1121" s="71" t="n">
        <v>0</v>
      </c>
      <c r="BJ1121" s="69" t="inlineStr">
        <is>
          <t>N</t>
        </is>
      </c>
      <c r="BK1121" s="69" t="inlineStr">
        <is>
          <t>Fleetwood Metal Industries LLC</t>
        </is>
      </c>
      <c r="BL1121" s="75" t="n">
        <v>100</v>
      </c>
      <c r="BM1121" s="73" t="n">
        <v>50099</v>
      </c>
      <c r="BN1121" s="69" t="inlineStr">
        <is>
          <t>AG Net Lease III Corp., AG Net Lease III (SO) Corp.</t>
        </is>
      </c>
      <c r="BO1121" s="69" t="inlineStr">
        <is>
          <t>GACC</t>
        </is>
      </c>
      <c r="BP1121" s="69" t="inlineStr">
        <is>
          <t>Midland Loan Services</t>
        </is>
      </c>
      <c r="BQ1121" s="69" t="inlineStr">
        <is>
          <t>K-Star Asset Management LLC</t>
        </is>
      </c>
      <c r="BR1121" s="69" t="inlineStr">
        <is>
          <t>Payoff With Penalty</t>
        </is>
      </c>
      <c r="BS1121" s="73" t="n">
        <v>45454</v>
      </c>
      <c r="BU1121" s="76">
        <f>IF($C1121="","",IFERROR(INDEX(dmName,MATCH($C1121,dmID,0)),"Unmapped"))</f>
        <v/>
      </c>
      <c r="BV1121" s="76">
        <f>IF($C1121="","",IFERROR(INDEX(dmEntity,MATCH($C1121,dmID,0)),"Unmapped"))</f>
        <v/>
      </c>
      <c r="BW1121" s="77">
        <f>IF($C1121="","",IFERROR(INDEX(dmVintage,MATCH($C1121,dmID,0)),""))</f>
        <v/>
      </c>
      <c r="BX1121" s="78">
        <f>IFERROR(INDEX(dmInclude,MATCH($C1121,dmID,0)),0)</f>
        <v/>
      </c>
      <c r="BY1121" s="78">
        <f>IF(N($I1121)&gt;0,1,0)</f>
        <v/>
      </c>
      <c r="BZ1121" s="76">
        <f>IF($AJ1121="","Other / Leased Fee",IFERROR(INDEX(mapPTGroup,MATCH(LEFT(TRIM($AJ1121),2),mapPTCode,0)),"Other / Leased Fee"))</f>
        <v/>
      </c>
      <c r="CA1121" s="76">
        <f>IF(TRIM($AF1121&amp;"")="","NR",LEFT(TRIM($AF1121),2))</f>
        <v/>
      </c>
      <c r="CB1121" s="76">
        <f>IFERROR(LOOKUP(2,1/(LEFT(TRIM($AI1121&amp;""),LEN(mapRegion))=mapRegion),mapRegion),"Not Reported")</f>
        <v/>
      </c>
      <c r="CC1121" s="76">
        <f>IF($BY1121=0,"",IF(TRIM($W1121&amp;"")="REO","REO",IF(TRIM($W1121&amp;"")="FC","Foreclosure",IF(TRIM($W1121&amp;"")="90+","90+ Days Delinquent",IF(TRIM($W1121&amp;"")="60","60 Days Delinquent",IF(TRIM($W1121&amp;"")="30","30 Days Delinquent",IF($X1121="Non-Performing Matured Balloon","Non-Performing Matured Balloon",IF(OR($X1121="Late Payment But Less Than 30 Days Delinquent",LEFT($X1121&amp;"",20)="Payment Not Received"),"Late / In Grace (&lt;30 Days)",IF($X1121="Performing Matured Balloon","Performing Matured Balloon","Current")))))))))</f>
        <v/>
      </c>
      <c r="CD1121" s="78">
        <f>IF(OR($CC1121="REO",$CC1121="Foreclosure",$CC1121="90+ Days Delinquent",$CC1121="60 Days Delinquent",$CC1121="30 Days Delinquent",$CC1121="Non-Performing Matured Balloon"),1,0)</f>
        <v/>
      </c>
      <c r="CE1121" s="76">
        <f>IF($AB1121="Currently special serv","Currently Specially Serviced",IF($AB1121="Returned to master serv","Previously Specially Serviced","Never Specially Serviced"))</f>
        <v/>
      </c>
      <c r="CF1121" s="78">
        <f>IF($CE1121="Currently Specially Serviced",1,0)</f>
        <v/>
      </c>
      <c r="CG1121" s="76">
        <f>IF($AA1121="Yes","Currently on Watchlist",IF($AA1121="Previously","Previously on Watchlist","Never on Watchlist"))</f>
        <v/>
      </c>
      <c r="CH1121" s="78">
        <f>IF($CG1121="Currently on Watchlist",1,0)</f>
        <v/>
      </c>
      <c r="CI1121" s="76">
        <f>IF($Z1121="Full Defeasance","Fully Defeased",IF($Z1121="Portion Of Loan Previously Defeased","Partially Defeased",IF($Z1121="Defeasance Not Allowable","Not Defeased (Not Permitted)","Not Defeased")))</f>
        <v/>
      </c>
      <c r="CJ1121" s="78">
        <f>IF($CI1121="Fully Defeased",1,0)</f>
        <v/>
      </c>
      <c r="CK1121" s="76">
        <f>IF($R1121="IO","Full IO",IF(LEFT($R1121&amp;"",7)="IO then","Partial IO","Amortizing"))</f>
        <v/>
      </c>
      <c r="CL1121" s="78">
        <f>IF($CK1121="Full IO",1,0)</f>
        <v/>
      </c>
      <c r="CM1121" s="78">
        <f>IF($CK1121="Partial IO",1,0)</f>
        <v/>
      </c>
      <c r="CN1121" s="76">
        <f>IF(LEFT($F1121&amp;"",10)="SPLIT_LOAN","Pari Passu Split","Standalone")</f>
        <v/>
      </c>
      <c r="CO1121" s="78">
        <f>IF($CN1121="Pari Passu Split",1,0)</f>
        <v/>
      </c>
      <c r="CP1121" s="77">
        <f>IF(ISNUMBER($T1121),YEAR($T1121),"")</f>
        <v/>
      </c>
      <c r="CQ1121" s="79">
        <f>IF(ISNUMBER($V1121),$V1121,IF(ISNUMBER($U1121),$U1121,""))</f>
        <v/>
      </c>
      <c r="CR1121" s="77">
        <f>IF(ISNUMBER($CQ1121),YEAR($CQ1121),"")</f>
        <v/>
      </c>
      <c r="CS1121" s="78">
        <f>IF(ISNUMBER($M1121),MAX(0,$M1121),IF(TRIM($M1121&amp;"")="matured",0,""))</f>
        <v/>
      </c>
      <c r="CT1121" s="78">
        <f>IF(AND(ISNUMBER($CS1121),N($CS1121)&lt;=mMatWindow),1,0)</f>
        <v/>
      </c>
      <c r="CU1121" s="80">
        <f>IF(ISNUMBER($J1121),$J1121/100,"")</f>
        <v/>
      </c>
      <c r="CV1121" s="81">
        <f>IF(ISNUMBER($AQ1121),$AQ1121,"")</f>
        <v/>
      </c>
      <c r="CW1121" s="81">
        <f>IF(ISNUMBER($AR1121),$AR1121,"")</f>
        <v/>
      </c>
      <c r="CX1121" s="82">
        <f>IF(ISNUMBER($AS1121),$AS1121/100,"")</f>
        <v/>
      </c>
      <c r="CY1121" s="82">
        <f>IF(ISNUMBER($AT1121),$AT1121/100,"")</f>
        <v/>
      </c>
      <c r="CZ1121" s="82">
        <f>IF(ISNUMBER($AU1121),$AU1121/100,"")</f>
        <v/>
      </c>
      <c r="DA1121" s="82">
        <f>IF(ISNUMBER($AV1121),$AV1121/100,"")</f>
        <v/>
      </c>
      <c r="DB1121" s="82">
        <f>IF(ISNUMBER($AW1121),$AW1121/100,"")</f>
        <v/>
      </c>
      <c r="DC1121" s="82">
        <f>IF(ISNUMBER($AX1121),$AX1121/100,"")</f>
        <v/>
      </c>
      <c r="DD1121" s="77">
        <f>IFERROR(VALUE(LEFT(TRIM($AO1121&amp;""),4)),"")</f>
        <v/>
      </c>
      <c r="DE1121" s="78">
        <f>IF(AND($BY1121=1,$BX1121=1,OR(fDeal="All Deals",$BU1121=fDeal),OR(fEntity="All Entities",$BV1121=fEntity),OR(fPType="All Property Types",$BZ1121=fPType),OR(fDefeased="Include",$CJ1121=0)),1,0)</f>
        <v/>
      </c>
      <c r="DF1121" s="83">
        <f>$DE1121*N($I1121)</f>
        <v/>
      </c>
      <c r="DG1121" s="78">
        <f>IF($DE1121=1,IF(COUNTIFS($F$8:$F1121,$F1121,$DE$8:$DE1121,1)=1,1,0),0)</f>
        <v/>
      </c>
      <c r="DH1121" s="83">
        <f>IF($DG1121=1,SUMIFS($DF$8:$DF$1600,$F$8:$F$1600,$F1121),0)</f>
        <v/>
      </c>
      <c r="DI1121" s="78">
        <f>IF($DG1121=1,COUNTIFS($F$8:$F$1600,$F1121,$DE$8:$DE$1600,1),0)</f>
        <v/>
      </c>
      <c r="DJ1121" s="84">
        <f>IF($DG1121=1,$DH1121+(100000-ROW())/mTieBreak,0)</f>
        <v/>
      </c>
    </row>
    <row r="1122">
      <c r="B1122" s="68" t="n">
        <v>1</v>
      </c>
      <c r="C1122" s="69" t="inlineStr">
        <is>
          <t>LCC17L26</t>
        </is>
      </c>
      <c r="D1122" s="69" t="inlineStr">
        <is>
          <t>1.000</t>
        </is>
      </c>
      <c r="E1122" s="69" t="inlineStr">
        <is>
          <t>Marriott LAX</t>
        </is>
      </c>
      <c r="F1122" s="69" t="inlineStr">
        <is>
          <t>SPLIT_LOAN_01023</t>
        </is>
      </c>
      <c r="G1122" s="70" t="n">
        <v>1023</v>
      </c>
      <c r="H1122" s="71" t="n">
        <v>62000000</v>
      </c>
      <c r="I1122" s="71" t="n">
        <v>51862215.520014</v>
      </c>
      <c r="J1122" s="72" t="n">
        <v>5.114</v>
      </c>
      <c r="K1122" s="69" t="inlineStr">
        <is>
          <t>Fixed rate</t>
        </is>
      </c>
      <c r="L1122" s="68" t="n">
        <v>120</v>
      </c>
      <c r="M1122" s="68" t="n">
        <v>6</v>
      </c>
      <c r="N1122" s="68" t="n">
        <v>360</v>
      </c>
      <c r="O1122" s="68" t="n"/>
      <c r="P1122" s="68" t="n"/>
      <c r="Q1122" s="68" t="n">
        <v>114</v>
      </c>
      <c r="R1122" s="69" t="n"/>
      <c r="S1122" s="69" t="inlineStr">
        <is>
          <t>No</t>
        </is>
      </c>
      <c r="T1122" s="73" t="n">
        <v>42795</v>
      </c>
      <c r="U1122" s="73" t="n">
        <v>46452</v>
      </c>
      <c r="V1122" s="73" t="n"/>
      <c r="W1122" s="69" t="n"/>
      <c r="X1122" s="69" t="inlineStr">
        <is>
          <t>Current</t>
        </is>
      </c>
      <c r="Y1122" s="68" t="n"/>
      <c r="Z1122" s="69" t="inlineStr">
        <is>
          <t>No Defeasance Occurred</t>
        </is>
      </c>
      <c r="AA1122" s="69" t="inlineStr">
        <is>
          <t>Yes</t>
        </is>
      </c>
      <c r="AB1122" s="69" t="inlineStr">
        <is>
          <t>Returned to master serv</t>
        </is>
      </c>
      <c r="AC1122" s="73" t="n"/>
      <c r="AD1122" s="69" t="inlineStr">
        <is>
          <t>Payment Default (all payments excluding Balloon/Maturity Payment)</t>
        </is>
      </c>
      <c r="AE1122" s="69" t="inlineStr">
        <is>
          <t>Resolved</t>
        </is>
      </c>
      <c r="AF1122" s="69" t="inlineStr">
        <is>
          <t>CA</t>
        </is>
      </c>
      <c r="AG1122" s="69" t="inlineStr">
        <is>
          <t>Los Angeles</t>
        </is>
      </c>
      <c r="AH1122" s="69" t="inlineStr">
        <is>
          <t>Los Angeles-Long Beach-Anaheim, CA</t>
        </is>
      </c>
      <c r="AI1122" s="69" t="inlineStr">
        <is>
          <t>West / Pacific South</t>
        </is>
      </c>
      <c r="AJ1122" s="69" t="inlineStr">
        <is>
          <t>HT</t>
        </is>
      </c>
      <c r="AK1122" s="69" t="inlineStr">
        <is>
          <t>Full Service</t>
        </is>
      </c>
      <c r="AL1122" s="68" t="n">
        <v>1</v>
      </c>
      <c r="AM1122" s="68" t="n">
        <v>1004</v>
      </c>
      <c r="AN1122" s="68" t="n"/>
      <c r="AO1122" s="69" t="inlineStr">
        <is>
          <t>1972-1973</t>
        </is>
      </c>
      <c r="AP1122" s="70" t="n">
        <v>2017</v>
      </c>
      <c r="AQ1122" s="74" t="n">
        <v>1.72</v>
      </c>
      <c r="AR1122" s="74" t="n">
        <v>1.25</v>
      </c>
      <c r="AS1122" s="74" t="n">
        <v>48.5</v>
      </c>
      <c r="AT1122" s="74" t="n">
        <v>67.44</v>
      </c>
      <c r="AU1122" s="74" t="n">
        <v>40.2</v>
      </c>
      <c r="AV1122" s="74" t="n">
        <v>11.250218191</v>
      </c>
      <c r="AW1122" s="74" t="n">
        <v>5.683810975</v>
      </c>
      <c r="AX1122" s="75" t="n">
        <v>81</v>
      </c>
      <c r="AY1122" s="71" t="n">
        <v>300800000</v>
      </c>
      <c r="AZ1122" s="71" t="n">
        <v>182000000</v>
      </c>
      <c r="BA1122" s="71" t="n">
        <v>16475944.54</v>
      </c>
      <c r="BB1122" s="71" t="n">
        <v>2990862.18</v>
      </c>
      <c r="BC1122" s="69" t="inlineStr">
        <is>
          <t>Refinance</t>
        </is>
      </c>
      <c r="BD1122" s="69" t="inlineStr">
        <is>
          <t>N</t>
        </is>
      </c>
      <c r="BE1122" s="71" t="n">
        <v>70872355.19</v>
      </c>
      <c r="BF1122" s="71" t="n"/>
      <c r="BG1122" s="71" t="n"/>
      <c r="BH1122" s="71" t="n">
        <v>0</v>
      </c>
      <c r="BI1122" s="71" t="n">
        <v>0</v>
      </c>
      <c r="BJ1122" s="69" t="inlineStr">
        <is>
          <t>Y</t>
        </is>
      </c>
      <c r="BK1122" s="69" t="n"/>
      <c r="BL1122" s="75" t="n"/>
      <c r="BM1122" s="73" t="n"/>
      <c r="BN1122" s="69" t="inlineStr">
        <is>
          <t>XLD Group N.A. Real Estate Development, Inc.</t>
        </is>
      </c>
      <c r="BO1122" s="69" t="inlineStr">
        <is>
          <t>Ladder Capital Finance</t>
        </is>
      </c>
      <c r="BP1122" s="69" t="inlineStr">
        <is>
          <t>TriMont Real Estate Advisors</t>
        </is>
      </c>
      <c r="BQ1122" s="69" t="inlineStr">
        <is>
          <t>Midland Loan Services</t>
        </is>
      </c>
      <c r="BR1122" s="69" t="n"/>
      <c r="BS1122" s="73" t="n">
        <v>46273</v>
      </c>
      <c r="BU1122" s="76">
        <f>IF($C1122="","",IFERROR(INDEX(dmName,MATCH($C1122,dmID,0)),"Unmapped"))</f>
        <v/>
      </c>
      <c r="BV1122" s="76">
        <f>IF($C1122="","",IFERROR(INDEX(dmEntity,MATCH($C1122,dmID,0)),"Unmapped"))</f>
        <v/>
      </c>
      <c r="BW1122" s="77">
        <f>IF($C1122="","",IFERROR(INDEX(dmVintage,MATCH($C1122,dmID,0)),""))</f>
        <v/>
      </c>
      <c r="BX1122" s="78">
        <f>IFERROR(INDEX(dmInclude,MATCH($C1122,dmID,0)),0)</f>
        <v/>
      </c>
      <c r="BY1122" s="78">
        <f>IF(N($I1122)&gt;0,1,0)</f>
        <v/>
      </c>
      <c r="BZ1122" s="76">
        <f>IF($AJ1122="","Other / Leased Fee",IFERROR(INDEX(mapPTGroup,MATCH(LEFT(TRIM($AJ1122),2),mapPTCode,0)),"Other / Leased Fee"))</f>
        <v/>
      </c>
      <c r="CA1122" s="76">
        <f>IF(TRIM($AF1122&amp;"")="","NR",LEFT(TRIM($AF1122),2))</f>
        <v/>
      </c>
      <c r="CB1122" s="76">
        <f>IFERROR(LOOKUP(2,1/(LEFT(TRIM($AI1122&amp;""),LEN(mapRegion))=mapRegion),mapRegion),"Not Reported")</f>
        <v/>
      </c>
      <c r="CC1122" s="76">
        <f>IF($BY1122=0,"",IF(TRIM($W1122&amp;"")="REO","REO",IF(TRIM($W1122&amp;"")="FC","Foreclosure",IF(TRIM($W1122&amp;"")="90+","90+ Days Delinquent",IF(TRIM($W1122&amp;"")="60","60 Days Delinquent",IF(TRIM($W1122&amp;"")="30","30 Days Delinquent",IF($X1122="Non-Performing Matured Balloon","Non-Performing Matured Balloon",IF(OR($X1122="Late Payment But Less Than 30 Days Delinquent",LEFT($X1122&amp;"",20)="Payment Not Received"),"Late / In Grace (&lt;30 Days)",IF($X1122="Performing Matured Balloon","Performing Matured Balloon","Current")))))))))</f>
        <v/>
      </c>
      <c r="CD1122" s="78">
        <f>IF(OR($CC1122="REO",$CC1122="Foreclosure",$CC1122="90+ Days Delinquent",$CC1122="60 Days Delinquent",$CC1122="30 Days Delinquent",$CC1122="Non-Performing Matured Balloon"),1,0)</f>
        <v/>
      </c>
      <c r="CE1122" s="76">
        <f>IF($AB1122="Currently special serv","Currently Specially Serviced",IF($AB1122="Returned to master serv","Previously Specially Serviced","Never Specially Serviced"))</f>
        <v/>
      </c>
      <c r="CF1122" s="78">
        <f>IF($CE1122="Currently Specially Serviced",1,0)</f>
        <v/>
      </c>
      <c r="CG1122" s="76">
        <f>IF($AA1122="Yes","Currently on Watchlist",IF($AA1122="Previously","Previously on Watchlist","Never on Watchlist"))</f>
        <v/>
      </c>
      <c r="CH1122" s="78">
        <f>IF($CG1122="Currently on Watchlist",1,0)</f>
        <v/>
      </c>
      <c r="CI1122" s="76">
        <f>IF($Z1122="Full Defeasance","Fully Defeased",IF($Z1122="Portion Of Loan Previously Defeased","Partially Defeased",IF($Z1122="Defeasance Not Allowable","Not Defeased (Not Permitted)","Not Defeased")))</f>
        <v/>
      </c>
      <c r="CJ1122" s="78">
        <f>IF($CI1122="Fully Defeased",1,0)</f>
        <v/>
      </c>
      <c r="CK1122" s="76">
        <f>IF($R1122="IO","Full IO",IF(LEFT($R1122&amp;"",7)="IO then","Partial IO","Amortizing"))</f>
        <v/>
      </c>
      <c r="CL1122" s="78">
        <f>IF($CK1122="Full IO",1,0)</f>
        <v/>
      </c>
      <c r="CM1122" s="78">
        <f>IF($CK1122="Partial IO",1,0)</f>
        <v/>
      </c>
      <c r="CN1122" s="76">
        <f>IF(LEFT($F1122&amp;"",10)="SPLIT_LOAN","Pari Passu Split","Standalone")</f>
        <v/>
      </c>
      <c r="CO1122" s="78">
        <f>IF($CN1122="Pari Passu Split",1,0)</f>
        <v/>
      </c>
      <c r="CP1122" s="77">
        <f>IF(ISNUMBER($T1122),YEAR($T1122),"")</f>
        <v/>
      </c>
      <c r="CQ1122" s="79">
        <f>IF(ISNUMBER($V1122),$V1122,IF(ISNUMBER($U1122),$U1122,""))</f>
        <v/>
      </c>
      <c r="CR1122" s="77">
        <f>IF(ISNUMBER($CQ1122),YEAR($CQ1122),"")</f>
        <v/>
      </c>
      <c r="CS1122" s="78">
        <f>IF(ISNUMBER($M1122),MAX(0,$M1122),IF(TRIM($M1122&amp;"")="matured",0,""))</f>
        <v/>
      </c>
      <c r="CT1122" s="78">
        <f>IF(AND(ISNUMBER($CS1122),N($CS1122)&lt;=mMatWindow),1,0)</f>
        <v/>
      </c>
      <c r="CU1122" s="80">
        <f>IF(ISNUMBER($J1122),$J1122/100,"")</f>
        <v/>
      </c>
      <c r="CV1122" s="81">
        <f>IF(ISNUMBER($AQ1122),$AQ1122,"")</f>
        <v/>
      </c>
      <c r="CW1122" s="81">
        <f>IF(ISNUMBER($AR1122),$AR1122,"")</f>
        <v/>
      </c>
      <c r="CX1122" s="82">
        <f>IF(ISNUMBER($AS1122),$AS1122/100,"")</f>
        <v/>
      </c>
      <c r="CY1122" s="82">
        <f>IF(ISNUMBER($AT1122),$AT1122/100,"")</f>
        <v/>
      </c>
      <c r="CZ1122" s="82">
        <f>IF(ISNUMBER($AU1122),$AU1122/100,"")</f>
        <v/>
      </c>
      <c r="DA1122" s="82">
        <f>IF(ISNUMBER($AV1122),$AV1122/100,"")</f>
        <v/>
      </c>
      <c r="DB1122" s="82">
        <f>IF(ISNUMBER($AW1122),$AW1122/100,"")</f>
        <v/>
      </c>
      <c r="DC1122" s="82">
        <f>IF(ISNUMBER($AX1122),$AX1122/100,"")</f>
        <v/>
      </c>
      <c r="DD1122" s="77">
        <f>IFERROR(VALUE(LEFT(TRIM($AO1122&amp;""),4)),"")</f>
        <v/>
      </c>
      <c r="DE1122" s="78">
        <f>IF(AND($BY1122=1,$BX1122=1,OR(fDeal="All Deals",$BU1122=fDeal),OR(fEntity="All Entities",$BV1122=fEntity),OR(fPType="All Property Types",$BZ1122=fPType),OR(fDefeased="Include",$CJ1122=0)),1,0)</f>
        <v/>
      </c>
      <c r="DF1122" s="83">
        <f>$DE1122*N($I1122)</f>
        <v/>
      </c>
      <c r="DG1122" s="78">
        <f>IF($DE1122=1,IF(COUNTIFS($F$8:$F1122,$F1122,$DE$8:$DE1122,1)=1,1,0),0)</f>
        <v/>
      </c>
      <c r="DH1122" s="83">
        <f>IF($DG1122=1,SUMIFS($DF$8:$DF$1600,$F$8:$F$1600,$F1122),0)</f>
        <v/>
      </c>
      <c r="DI1122" s="78">
        <f>IF($DG1122=1,COUNTIFS($F$8:$F$1600,$F1122,$DE$8:$DE$1600,1),0)</f>
        <v/>
      </c>
      <c r="DJ1122" s="84">
        <f>IF($DG1122=1,$DH1122+(100000-ROW())/mTieBreak,0)</f>
        <v/>
      </c>
    </row>
    <row r="1123">
      <c r="B1123" s="68" t="n">
        <v>2</v>
      </c>
      <c r="C1123" s="69" t="inlineStr">
        <is>
          <t>LCC17L26</t>
        </is>
      </c>
      <c r="D1123" s="69" t="inlineStr">
        <is>
          <t>2.000</t>
        </is>
      </c>
      <c r="E1123" s="69" t="inlineStr">
        <is>
          <t>Two Riverfront Plaza</t>
        </is>
      </c>
      <c r="F1123" s="69" t="inlineStr">
        <is>
          <t>LNLCC17L26-2.000</t>
        </is>
      </c>
      <c r="G1123" s="70" t="n"/>
      <c r="H1123" s="71" t="n">
        <v>55000000</v>
      </c>
      <c r="I1123" s="71" t="n">
        <v>0</v>
      </c>
      <c r="J1123" s="72" t="n">
        <v>3.4639</v>
      </c>
      <c r="K1123" s="69" t="inlineStr">
        <is>
          <t>Formula</t>
        </is>
      </c>
      <c r="L1123" s="68" t="n">
        <v>60</v>
      </c>
      <c r="M1123" s="68" t="n"/>
      <c r="N1123" s="68" t="n">
        <v>60</v>
      </c>
      <c r="O1123" s="68" t="n">
        <v>60</v>
      </c>
      <c r="P1123" s="68" t="n"/>
      <c r="Q1123" s="68" t="n"/>
      <c r="R1123" s="69" t="inlineStr">
        <is>
          <t>IO</t>
        </is>
      </c>
      <c r="S1123" s="69" t="inlineStr">
        <is>
          <t>Yes</t>
        </is>
      </c>
      <c r="T1123" s="73" t="n">
        <v>42736</v>
      </c>
      <c r="U1123" s="73" t="n">
        <v>44536</v>
      </c>
      <c r="V1123" s="73" t="n"/>
      <c r="W1123" s="69" t="n"/>
      <c r="X1123" s="69" t="inlineStr">
        <is>
          <t>Current</t>
        </is>
      </c>
      <c r="Y1123" s="68" t="n"/>
      <c r="Z1123" s="69" t="inlineStr">
        <is>
          <t>No Defeasance Occurred</t>
        </is>
      </c>
      <c r="AA1123" s="69" t="inlineStr">
        <is>
          <t>Previously</t>
        </is>
      </c>
      <c r="AB1123" s="69" t="inlineStr">
        <is>
          <t>Never special serv</t>
        </is>
      </c>
      <c r="AC1123" s="73" t="n"/>
      <c r="AD1123" s="69" t="n"/>
      <c r="AE1123" s="69" t="n"/>
      <c r="AF1123" s="69" t="inlineStr">
        <is>
          <t>NJ</t>
        </is>
      </c>
      <c r="AG1123" s="69" t="inlineStr">
        <is>
          <t>Newark</t>
        </is>
      </c>
      <c r="AH1123" s="69" t="inlineStr">
        <is>
          <t>New York-Newark-Jersey City, NY-NJ</t>
        </is>
      </c>
      <c r="AI1123" s="69" t="inlineStr">
        <is>
          <t>Northeast / Mid-Atlantic</t>
        </is>
      </c>
      <c r="AJ1123" s="69" t="inlineStr">
        <is>
          <t>OF</t>
        </is>
      </c>
      <c r="AK1123" s="69" t="inlineStr">
        <is>
          <t>CBD</t>
        </is>
      </c>
      <c r="AL1123" s="68" t="n">
        <v>1</v>
      </c>
      <c r="AM1123" s="68" t="n"/>
      <c r="AN1123" s="68" t="n">
        <v>337543</v>
      </c>
      <c r="AO1123" s="69" t="inlineStr">
        <is>
          <t>2013</t>
        </is>
      </c>
      <c r="AP1123" s="70" t="n">
        <v>2013</v>
      </c>
      <c r="AQ1123" s="74" t="n">
        <v>4.8</v>
      </c>
      <c r="AR1123" s="74" t="n">
        <v>2.22</v>
      </c>
      <c r="AS1123" s="74" t="n">
        <v>31.6</v>
      </c>
      <c r="AT1123" s="74" t="n"/>
      <c r="AU1123" s="74" t="n">
        <v>31.6</v>
      </c>
      <c r="AV1123" s="74" t="n">
        <v>17.212063745</v>
      </c>
      <c r="AW1123" s="74" t="n"/>
      <c r="AX1123" s="75" t="n">
        <v>100</v>
      </c>
      <c r="AY1123" s="71" t="n">
        <v>174000000</v>
      </c>
      <c r="AZ1123" s="71" t="n">
        <v>174000000</v>
      </c>
      <c r="BA1123" s="71" t="n">
        <v>9466635.060000001</v>
      </c>
      <c r="BB1123" s="71" t="n">
        <v>5549253.51</v>
      </c>
      <c r="BC1123" s="69" t="inlineStr">
        <is>
          <t>Acquisition</t>
        </is>
      </c>
      <c r="BD1123" s="69" t="inlineStr">
        <is>
          <t>N</t>
        </is>
      </c>
      <c r="BE1123" s="71" t="n"/>
      <c r="BF1123" s="71" t="n">
        <v>0</v>
      </c>
      <c r="BG1123" s="71" t="n"/>
      <c r="BH1123" s="71" t="n">
        <v>0</v>
      </c>
      <c r="BI1123" s="71" t="n">
        <v>0</v>
      </c>
      <c r="BJ1123" s="69" t="inlineStr">
        <is>
          <t>N</t>
        </is>
      </c>
      <c r="BK1123" s="69" t="inlineStr">
        <is>
          <t>Panasonic Corp of North America</t>
        </is>
      </c>
      <c r="BL1123" s="75" t="n">
        <v>100</v>
      </c>
      <c r="BM1123" s="73" t="n">
        <v>47968</v>
      </c>
      <c r="BN1123" s="69" t="inlineStr">
        <is>
          <t>Kuwait Finance House</t>
        </is>
      </c>
      <c r="BO1123" s="69" t="inlineStr">
        <is>
          <t>Ladder Capital Finance</t>
        </is>
      </c>
      <c r="BP1123" s="69" t="inlineStr">
        <is>
          <t>Wells Fargo</t>
        </is>
      </c>
      <c r="BQ1123" s="69" t="inlineStr">
        <is>
          <t>Midland Loan Services</t>
        </is>
      </c>
      <c r="BR1123" s="69" t="inlineStr">
        <is>
          <t>Full Payoff At Maturity</t>
        </is>
      </c>
      <c r="BS1123" s="73" t="n">
        <v>44536</v>
      </c>
      <c r="BU1123" s="76">
        <f>IF($C1123="","",IFERROR(INDEX(dmName,MATCH($C1123,dmID,0)),"Unmapped"))</f>
        <v/>
      </c>
      <c r="BV1123" s="76">
        <f>IF($C1123="","",IFERROR(INDEX(dmEntity,MATCH($C1123,dmID,0)),"Unmapped"))</f>
        <v/>
      </c>
      <c r="BW1123" s="77">
        <f>IF($C1123="","",IFERROR(INDEX(dmVintage,MATCH($C1123,dmID,0)),""))</f>
        <v/>
      </c>
      <c r="BX1123" s="78">
        <f>IFERROR(INDEX(dmInclude,MATCH($C1123,dmID,0)),0)</f>
        <v/>
      </c>
      <c r="BY1123" s="78">
        <f>IF(N($I1123)&gt;0,1,0)</f>
        <v/>
      </c>
      <c r="BZ1123" s="76">
        <f>IF($AJ1123="","Other / Leased Fee",IFERROR(INDEX(mapPTGroup,MATCH(LEFT(TRIM($AJ1123),2),mapPTCode,0)),"Other / Leased Fee"))</f>
        <v/>
      </c>
      <c r="CA1123" s="76">
        <f>IF(TRIM($AF1123&amp;"")="","NR",LEFT(TRIM($AF1123),2))</f>
        <v/>
      </c>
      <c r="CB1123" s="76">
        <f>IFERROR(LOOKUP(2,1/(LEFT(TRIM($AI1123&amp;""),LEN(mapRegion))=mapRegion),mapRegion),"Not Reported")</f>
        <v/>
      </c>
      <c r="CC1123" s="76">
        <f>IF($BY1123=0,"",IF(TRIM($W1123&amp;"")="REO","REO",IF(TRIM($W1123&amp;"")="FC","Foreclosure",IF(TRIM($W1123&amp;"")="90+","90+ Days Delinquent",IF(TRIM($W1123&amp;"")="60","60 Days Delinquent",IF(TRIM($W1123&amp;"")="30","30 Days Delinquent",IF($X1123="Non-Performing Matured Balloon","Non-Performing Matured Balloon",IF(OR($X1123="Late Payment But Less Than 30 Days Delinquent",LEFT($X1123&amp;"",20)="Payment Not Received"),"Late / In Grace (&lt;30 Days)",IF($X1123="Performing Matured Balloon","Performing Matured Balloon","Current")))))))))</f>
        <v/>
      </c>
      <c r="CD1123" s="78">
        <f>IF(OR($CC1123="REO",$CC1123="Foreclosure",$CC1123="90+ Days Delinquent",$CC1123="60 Days Delinquent",$CC1123="30 Days Delinquent",$CC1123="Non-Performing Matured Balloon"),1,0)</f>
        <v/>
      </c>
      <c r="CE1123" s="76">
        <f>IF($AB1123="Currently special serv","Currently Specially Serviced",IF($AB1123="Returned to master serv","Previously Specially Serviced","Never Specially Serviced"))</f>
        <v/>
      </c>
      <c r="CF1123" s="78">
        <f>IF($CE1123="Currently Specially Serviced",1,0)</f>
        <v/>
      </c>
      <c r="CG1123" s="76">
        <f>IF($AA1123="Yes","Currently on Watchlist",IF($AA1123="Previously","Previously on Watchlist","Never on Watchlist"))</f>
        <v/>
      </c>
      <c r="CH1123" s="78">
        <f>IF($CG1123="Currently on Watchlist",1,0)</f>
        <v/>
      </c>
      <c r="CI1123" s="76">
        <f>IF($Z1123="Full Defeasance","Fully Defeased",IF($Z1123="Portion Of Loan Previously Defeased","Partially Defeased",IF($Z1123="Defeasance Not Allowable","Not Defeased (Not Permitted)","Not Defeased")))</f>
        <v/>
      </c>
      <c r="CJ1123" s="78">
        <f>IF($CI1123="Fully Defeased",1,0)</f>
        <v/>
      </c>
      <c r="CK1123" s="76">
        <f>IF($R1123="IO","Full IO",IF(LEFT($R1123&amp;"",7)="IO then","Partial IO","Amortizing"))</f>
        <v/>
      </c>
      <c r="CL1123" s="78">
        <f>IF($CK1123="Full IO",1,0)</f>
        <v/>
      </c>
      <c r="CM1123" s="78">
        <f>IF($CK1123="Partial IO",1,0)</f>
        <v/>
      </c>
      <c r="CN1123" s="76">
        <f>IF(LEFT($F1123&amp;"",10)="SPLIT_LOAN","Pari Passu Split","Standalone")</f>
        <v/>
      </c>
      <c r="CO1123" s="78">
        <f>IF($CN1123="Pari Passu Split",1,0)</f>
        <v/>
      </c>
      <c r="CP1123" s="77">
        <f>IF(ISNUMBER($T1123),YEAR($T1123),"")</f>
        <v/>
      </c>
      <c r="CQ1123" s="79">
        <f>IF(ISNUMBER($V1123),$V1123,IF(ISNUMBER($U1123),$U1123,""))</f>
        <v/>
      </c>
      <c r="CR1123" s="77">
        <f>IF(ISNUMBER($CQ1123),YEAR($CQ1123),"")</f>
        <v/>
      </c>
      <c r="CS1123" s="78">
        <f>IF(ISNUMBER($M1123),MAX(0,$M1123),IF(TRIM($M1123&amp;"")="matured",0,""))</f>
        <v/>
      </c>
      <c r="CT1123" s="78">
        <f>IF(AND(ISNUMBER($CS1123),N($CS1123)&lt;=mMatWindow),1,0)</f>
        <v/>
      </c>
      <c r="CU1123" s="80">
        <f>IF(ISNUMBER($J1123),$J1123/100,"")</f>
        <v/>
      </c>
      <c r="CV1123" s="81">
        <f>IF(ISNUMBER($AQ1123),$AQ1123,"")</f>
        <v/>
      </c>
      <c r="CW1123" s="81">
        <f>IF(ISNUMBER($AR1123),$AR1123,"")</f>
        <v/>
      </c>
      <c r="CX1123" s="82">
        <f>IF(ISNUMBER($AS1123),$AS1123/100,"")</f>
        <v/>
      </c>
      <c r="CY1123" s="82">
        <f>IF(ISNUMBER($AT1123),$AT1123/100,"")</f>
        <v/>
      </c>
      <c r="CZ1123" s="82">
        <f>IF(ISNUMBER($AU1123),$AU1123/100,"")</f>
        <v/>
      </c>
      <c r="DA1123" s="82">
        <f>IF(ISNUMBER($AV1123),$AV1123/100,"")</f>
        <v/>
      </c>
      <c r="DB1123" s="82">
        <f>IF(ISNUMBER($AW1123),$AW1123/100,"")</f>
        <v/>
      </c>
      <c r="DC1123" s="82">
        <f>IF(ISNUMBER($AX1123),$AX1123/100,"")</f>
        <v/>
      </c>
      <c r="DD1123" s="77">
        <f>IFERROR(VALUE(LEFT(TRIM($AO1123&amp;""),4)),"")</f>
        <v/>
      </c>
      <c r="DE1123" s="78">
        <f>IF(AND($BY1123=1,$BX1123=1,OR(fDeal="All Deals",$BU1123=fDeal),OR(fEntity="All Entities",$BV1123=fEntity),OR(fPType="All Property Types",$BZ1123=fPType),OR(fDefeased="Include",$CJ1123=0)),1,0)</f>
        <v/>
      </c>
      <c r="DF1123" s="83">
        <f>$DE1123*N($I1123)</f>
        <v/>
      </c>
      <c r="DG1123" s="78">
        <f>IF($DE1123=1,IF(COUNTIFS($F$8:$F1123,$F1123,$DE$8:$DE1123,1)=1,1,0),0)</f>
        <v/>
      </c>
      <c r="DH1123" s="83">
        <f>IF($DG1123=1,SUMIFS($DF$8:$DF$1600,$F$8:$F$1600,$F1123),0)</f>
        <v/>
      </c>
      <c r="DI1123" s="78">
        <f>IF($DG1123=1,COUNTIFS($F$8:$F$1600,$F1123,$DE$8:$DE$1600,1),0)</f>
        <v/>
      </c>
      <c r="DJ1123" s="84">
        <f>IF($DG1123=1,$DH1123+(100000-ROW())/mTieBreak,0)</f>
        <v/>
      </c>
    </row>
    <row r="1124">
      <c r="B1124" s="68" t="n">
        <v>3</v>
      </c>
      <c r="C1124" s="69" t="inlineStr">
        <is>
          <t>LCC17L26</t>
        </is>
      </c>
      <c r="D1124" s="69" t="inlineStr">
        <is>
          <t>3.000</t>
        </is>
      </c>
      <c r="E1124" s="69" t="inlineStr">
        <is>
          <t>Bank of America Office Campus Buildings 200 - 500</t>
        </is>
      </c>
      <c r="F1124" s="69" t="inlineStr">
        <is>
          <t>LNLCC17L26-3.000</t>
        </is>
      </c>
      <c r="G1124" s="70" t="n"/>
      <c r="H1124" s="71" t="n">
        <v>52315000</v>
      </c>
      <c r="I1124" s="71" t="n">
        <v>0</v>
      </c>
      <c r="J1124" s="72" t="n">
        <v>5.02</v>
      </c>
      <c r="K1124" s="69" t="inlineStr">
        <is>
          <t>Fixed rate</t>
        </is>
      </c>
      <c r="L1124" s="68" t="n">
        <v>120</v>
      </c>
      <c r="M1124" s="68" t="n"/>
      <c r="N1124" s="68" t="n">
        <v>120</v>
      </c>
      <c r="O1124" s="68" t="n">
        <v>120</v>
      </c>
      <c r="P1124" s="68" t="n"/>
      <c r="Q1124" s="68" t="n"/>
      <c r="R1124" s="69" t="inlineStr">
        <is>
          <t>IO</t>
        </is>
      </c>
      <c r="S1124" s="69" t="inlineStr">
        <is>
          <t>Yes</t>
        </is>
      </c>
      <c r="T1124" s="73" t="n">
        <v>42887</v>
      </c>
      <c r="U1124" s="73" t="n">
        <v>48127</v>
      </c>
      <c r="V1124" s="73" t="n">
        <v>46544</v>
      </c>
      <c r="W1124" s="69" t="n"/>
      <c r="X1124" s="69" t="inlineStr">
        <is>
          <t>Current</t>
        </is>
      </c>
      <c r="Y1124" s="68" t="n"/>
      <c r="Z1124" s="69" t="inlineStr">
        <is>
          <t>No Defeasance Occurred</t>
        </is>
      </c>
      <c r="AA1124" s="69" t="inlineStr">
        <is>
          <t>Previously</t>
        </is>
      </c>
      <c r="AB1124" s="69" t="inlineStr">
        <is>
          <t>Never special serv</t>
        </is>
      </c>
      <c r="AC1124" s="73" t="n"/>
      <c r="AD1124" s="69" t="n"/>
      <c r="AE1124" s="69" t="n"/>
      <c r="AF1124" s="69" t="inlineStr">
        <is>
          <t>FL</t>
        </is>
      </c>
      <c r="AG1124" s="69" t="inlineStr">
        <is>
          <t>Jacksonville</t>
        </is>
      </c>
      <c r="AH1124" s="69" t="inlineStr">
        <is>
          <t>Jacksonville, FL</t>
        </is>
      </c>
      <c r="AI1124" s="69" t="inlineStr">
        <is>
          <t>South / Atlantic</t>
        </is>
      </c>
      <c r="AJ1124" s="69" t="inlineStr">
        <is>
          <t>OF</t>
        </is>
      </c>
      <c r="AK1124" s="69" t="inlineStr">
        <is>
          <t>Suburban</t>
        </is>
      </c>
      <c r="AL1124" s="68" t="n">
        <v>1</v>
      </c>
      <c r="AM1124" s="68" t="n"/>
      <c r="AN1124" s="68" t="n">
        <v>525514</v>
      </c>
      <c r="AO1124" s="69" t="inlineStr">
        <is>
          <t>1989</t>
        </is>
      </c>
      <c r="AP1124" s="70" t="n">
        <v>2017</v>
      </c>
      <c r="AQ1124" s="74" t="n">
        <v>1.85</v>
      </c>
      <c r="AR1124" s="74" t="n">
        <v>1.89</v>
      </c>
      <c r="AS1124" s="74" t="n">
        <v>69.90000000000001</v>
      </c>
      <c r="AT1124" s="74" t="n"/>
      <c r="AU1124" s="74" t="n">
        <v>69.90000000000001</v>
      </c>
      <c r="AV1124" s="74" t="n">
        <v>9.425408544</v>
      </c>
      <c r="AW1124" s="74" t="n"/>
      <c r="AX1124" s="75" t="n">
        <v>100</v>
      </c>
      <c r="AY1124" s="71" t="n">
        <v>74800000</v>
      </c>
      <c r="AZ1124" s="71" t="n">
        <v>74800000</v>
      </c>
      <c r="BA1124" s="71" t="n">
        <v>4930902.48</v>
      </c>
      <c r="BB1124" s="71" t="n">
        <v>5040535.76</v>
      </c>
      <c r="BC1124" s="69" t="inlineStr">
        <is>
          <t>Acquisition</t>
        </is>
      </c>
      <c r="BD1124" s="69" t="inlineStr">
        <is>
          <t>N</t>
        </is>
      </c>
      <c r="BE1124" s="71" t="n"/>
      <c r="BF1124" s="71" t="n"/>
      <c r="BG1124" s="71" t="n"/>
      <c r="BH1124" s="71" t="n">
        <v>0</v>
      </c>
      <c r="BI1124" s="71" t="n">
        <v>0</v>
      </c>
      <c r="BJ1124" s="69" t="inlineStr">
        <is>
          <t>N</t>
        </is>
      </c>
      <c r="BK1124" s="69" t="inlineStr">
        <is>
          <t>Bank Of America</t>
        </is>
      </c>
      <c r="BL1124" s="75" t="n">
        <v>100</v>
      </c>
      <c r="BM1124" s="73" t="n">
        <v>48121</v>
      </c>
      <c r="BN1124" s="69" t="inlineStr">
        <is>
          <t>Ladder Capital Finance Holdings LLLP</t>
        </is>
      </c>
      <c r="BO1124" s="69" t="inlineStr">
        <is>
          <t>Ladder Capital Finance</t>
        </is>
      </c>
      <c r="BP1124" s="69" t="inlineStr">
        <is>
          <t>TriMont Real Estate Advisors</t>
        </is>
      </c>
      <c r="BQ1124" s="69" t="inlineStr">
        <is>
          <t>K-Star Asset Management LLC</t>
        </is>
      </c>
      <c r="BR1124" s="69" t="inlineStr">
        <is>
          <t>Payoff With Yield Maintenance</t>
        </is>
      </c>
      <c r="BS1124" s="73" t="n">
        <v>46240</v>
      </c>
      <c r="BU1124" s="76">
        <f>IF($C1124="","",IFERROR(INDEX(dmName,MATCH($C1124,dmID,0)),"Unmapped"))</f>
        <v/>
      </c>
      <c r="BV1124" s="76">
        <f>IF($C1124="","",IFERROR(INDEX(dmEntity,MATCH($C1124,dmID,0)),"Unmapped"))</f>
        <v/>
      </c>
      <c r="BW1124" s="77">
        <f>IF($C1124="","",IFERROR(INDEX(dmVintage,MATCH($C1124,dmID,0)),""))</f>
        <v/>
      </c>
      <c r="BX1124" s="78">
        <f>IFERROR(INDEX(dmInclude,MATCH($C1124,dmID,0)),0)</f>
        <v/>
      </c>
      <c r="BY1124" s="78">
        <f>IF(N($I1124)&gt;0,1,0)</f>
        <v/>
      </c>
      <c r="BZ1124" s="76">
        <f>IF($AJ1124="","Other / Leased Fee",IFERROR(INDEX(mapPTGroup,MATCH(LEFT(TRIM($AJ1124),2),mapPTCode,0)),"Other / Leased Fee"))</f>
        <v/>
      </c>
      <c r="CA1124" s="76">
        <f>IF(TRIM($AF1124&amp;"")="","NR",LEFT(TRIM($AF1124),2))</f>
        <v/>
      </c>
      <c r="CB1124" s="76">
        <f>IFERROR(LOOKUP(2,1/(LEFT(TRIM($AI1124&amp;""),LEN(mapRegion))=mapRegion),mapRegion),"Not Reported")</f>
        <v/>
      </c>
      <c r="CC1124" s="76">
        <f>IF($BY1124=0,"",IF(TRIM($W1124&amp;"")="REO","REO",IF(TRIM($W1124&amp;"")="FC","Foreclosure",IF(TRIM($W1124&amp;"")="90+","90+ Days Delinquent",IF(TRIM($W1124&amp;"")="60","60 Days Delinquent",IF(TRIM($W1124&amp;"")="30","30 Days Delinquent",IF($X1124="Non-Performing Matured Balloon","Non-Performing Matured Balloon",IF(OR($X1124="Late Payment But Less Than 30 Days Delinquent",LEFT($X1124&amp;"",20)="Payment Not Received"),"Late / In Grace (&lt;30 Days)",IF($X1124="Performing Matured Balloon","Performing Matured Balloon","Current")))))))))</f>
        <v/>
      </c>
      <c r="CD1124" s="78">
        <f>IF(OR($CC1124="REO",$CC1124="Foreclosure",$CC1124="90+ Days Delinquent",$CC1124="60 Days Delinquent",$CC1124="30 Days Delinquent",$CC1124="Non-Performing Matured Balloon"),1,0)</f>
        <v/>
      </c>
      <c r="CE1124" s="76">
        <f>IF($AB1124="Currently special serv","Currently Specially Serviced",IF($AB1124="Returned to master serv","Previously Specially Serviced","Never Specially Serviced"))</f>
        <v/>
      </c>
      <c r="CF1124" s="78">
        <f>IF($CE1124="Currently Specially Serviced",1,0)</f>
        <v/>
      </c>
      <c r="CG1124" s="76">
        <f>IF($AA1124="Yes","Currently on Watchlist",IF($AA1124="Previously","Previously on Watchlist","Never on Watchlist"))</f>
        <v/>
      </c>
      <c r="CH1124" s="78">
        <f>IF($CG1124="Currently on Watchlist",1,0)</f>
        <v/>
      </c>
      <c r="CI1124" s="76">
        <f>IF($Z1124="Full Defeasance","Fully Defeased",IF($Z1124="Portion Of Loan Previously Defeased","Partially Defeased",IF($Z1124="Defeasance Not Allowable","Not Defeased (Not Permitted)","Not Defeased")))</f>
        <v/>
      </c>
      <c r="CJ1124" s="78">
        <f>IF($CI1124="Fully Defeased",1,0)</f>
        <v/>
      </c>
      <c r="CK1124" s="76">
        <f>IF($R1124="IO","Full IO",IF(LEFT($R1124&amp;"",7)="IO then","Partial IO","Amortizing"))</f>
        <v/>
      </c>
      <c r="CL1124" s="78">
        <f>IF($CK1124="Full IO",1,0)</f>
        <v/>
      </c>
      <c r="CM1124" s="78">
        <f>IF($CK1124="Partial IO",1,0)</f>
        <v/>
      </c>
      <c r="CN1124" s="76">
        <f>IF(LEFT($F1124&amp;"",10)="SPLIT_LOAN","Pari Passu Split","Standalone")</f>
        <v/>
      </c>
      <c r="CO1124" s="78">
        <f>IF($CN1124="Pari Passu Split",1,0)</f>
        <v/>
      </c>
      <c r="CP1124" s="77">
        <f>IF(ISNUMBER($T1124),YEAR($T1124),"")</f>
        <v/>
      </c>
      <c r="CQ1124" s="79">
        <f>IF(ISNUMBER($V1124),$V1124,IF(ISNUMBER($U1124),$U1124,""))</f>
        <v/>
      </c>
      <c r="CR1124" s="77">
        <f>IF(ISNUMBER($CQ1124),YEAR($CQ1124),"")</f>
        <v/>
      </c>
      <c r="CS1124" s="78">
        <f>IF(ISNUMBER($M1124),MAX(0,$M1124),IF(TRIM($M1124&amp;"")="matured",0,""))</f>
        <v/>
      </c>
      <c r="CT1124" s="78">
        <f>IF(AND(ISNUMBER($CS1124),N($CS1124)&lt;=mMatWindow),1,0)</f>
        <v/>
      </c>
      <c r="CU1124" s="80">
        <f>IF(ISNUMBER($J1124),$J1124/100,"")</f>
        <v/>
      </c>
      <c r="CV1124" s="81">
        <f>IF(ISNUMBER($AQ1124),$AQ1124,"")</f>
        <v/>
      </c>
      <c r="CW1124" s="81">
        <f>IF(ISNUMBER($AR1124),$AR1124,"")</f>
        <v/>
      </c>
      <c r="CX1124" s="82">
        <f>IF(ISNUMBER($AS1124),$AS1124/100,"")</f>
        <v/>
      </c>
      <c r="CY1124" s="82">
        <f>IF(ISNUMBER($AT1124),$AT1124/100,"")</f>
        <v/>
      </c>
      <c r="CZ1124" s="82">
        <f>IF(ISNUMBER($AU1124),$AU1124/100,"")</f>
        <v/>
      </c>
      <c r="DA1124" s="82">
        <f>IF(ISNUMBER($AV1124),$AV1124/100,"")</f>
        <v/>
      </c>
      <c r="DB1124" s="82">
        <f>IF(ISNUMBER($AW1124),$AW1124/100,"")</f>
        <v/>
      </c>
      <c r="DC1124" s="82">
        <f>IF(ISNUMBER($AX1124),$AX1124/100,"")</f>
        <v/>
      </c>
      <c r="DD1124" s="77">
        <f>IFERROR(VALUE(LEFT(TRIM($AO1124&amp;""),4)),"")</f>
        <v/>
      </c>
      <c r="DE1124" s="78">
        <f>IF(AND($BY1124=1,$BX1124=1,OR(fDeal="All Deals",$BU1124=fDeal),OR(fEntity="All Entities",$BV1124=fEntity),OR(fPType="All Property Types",$BZ1124=fPType),OR(fDefeased="Include",$CJ1124=0)),1,0)</f>
        <v/>
      </c>
      <c r="DF1124" s="83">
        <f>$DE1124*N($I1124)</f>
        <v/>
      </c>
      <c r="DG1124" s="78">
        <f>IF($DE1124=1,IF(COUNTIFS($F$8:$F1124,$F1124,$DE$8:$DE1124,1)=1,1,0),0)</f>
        <v/>
      </c>
      <c r="DH1124" s="83">
        <f>IF($DG1124=1,SUMIFS($DF$8:$DF$1600,$F$8:$F$1600,$F1124),0)</f>
        <v/>
      </c>
      <c r="DI1124" s="78">
        <f>IF($DG1124=1,COUNTIFS($F$8:$F$1600,$F1124,$DE$8:$DE$1600,1),0)</f>
        <v/>
      </c>
      <c r="DJ1124" s="84">
        <f>IF($DG1124=1,$DH1124+(100000-ROW())/mTieBreak,0)</f>
        <v/>
      </c>
    </row>
    <row r="1125">
      <c r="B1125" s="68" t="n">
        <v>4</v>
      </c>
      <c r="C1125" s="69" t="inlineStr">
        <is>
          <t>LCC17L26</t>
        </is>
      </c>
      <c r="D1125" s="69" t="inlineStr">
        <is>
          <t>4.000</t>
        </is>
      </c>
      <c r="E1125" s="69" t="inlineStr">
        <is>
          <t>Peoples Center</t>
        </is>
      </c>
      <c r="F1125" s="69" t="inlineStr">
        <is>
          <t>LNLCC17L26-4.000</t>
        </is>
      </c>
      <c r="G1125" s="70" t="n"/>
      <c r="H1125" s="71" t="n">
        <v>46825000</v>
      </c>
      <c r="I1125" s="71" t="n">
        <v>43641677.80998135</v>
      </c>
      <c r="J1125" s="72" t="n">
        <v>4.96</v>
      </c>
      <c r="K1125" s="69" t="inlineStr">
        <is>
          <t>Fixed rate</t>
        </is>
      </c>
      <c r="L1125" s="68" t="n">
        <v>120</v>
      </c>
      <c r="M1125" s="68" t="n">
        <v>7</v>
      </c>
      <c r="N1125" s="68" t="n">
        <v>420</v>
      </c>
      <c r="O1125" s="68" t="n">
        <v>60</v>
      </c>
      <c r="P1125" s="68" t="n">
        <v>0</v>
      </c>
      <c r="Q1125" s="68" t="n">
        <v>113</v>
      </c>
      <c r="R1125" s="69" t="inlineStr">
        <is>
          <t>IO then Amort</t>
        </is>
      </c>
      <c r="S1125" s="69" t="inlineStr">
        <is>
          <t>No</t>
        </is>
      </c>
      <c r="T1125" s="73" t="n">
        <v>42826</v>
      </c>
      <c r="U1125" s="73" t="n">
        <v>46483</v>
      </c>
      <c r="V1125" s="73" t="n"/>
      <c r="W1125" s="69" t="n"/>
      <c r="X1125" s="69" t="inlineStr">
        <is>
          <t>Current</t>
        </is>
      </c>
      <c r="Y1125" s="68" t="n"/>
      <c r="Z1125" s="69" t="inlineStr">
        <is>
          <t>No Defeasance Occurred</t>
        </is>
      </c>
      <c r="AA1125" s="69" t="inlineStr">
        <is>
          <t>Previously</t>
        </is>
      </c>
      <c r="AB1125" s="69" t="inlineStr">
        <is>
          <t>Never special serv</t>
        </is>
      </c>
      <c r="AC1125" s="73" t="n"/>
      <c r="AD1125" s="69" t="n"/>
      <c r="AE1125" s="69" t="n"/>
      <c r="AF1125" s="69" t="inlineStr">
        <is>
          <t>PA</t>
        </is>
      </c>
      <c r="AG1125" s="69" t="inlineStr">
        <is>
          <t>Pittsburgh</t>
        </is>
      </c>
      <c r="AH1125" s="69" t="inlineStr">
        <is>
          <t>Pittsburgh, PA</t>
        </is>
      </c>
      <c r="AI1125" s="69" t="inlineStr">
        <is>
          <t>Northeast / Mid-Atlantic</t>
        </is>
      </c>
      <c r="AJ1125" s="69" t="inlineStr">
        <is>
          <t>OF</t>
        </is>
      </c>
      <c r="AK1125" s="69" t="inlineStr">
        <is>
          <t>CBD</t>
        </is>
      </c>
      <c r="AL1125" s="68" t="n">
        <v>1</v>
      </c>
      <c r="AM1125" s="68" t="n"/>
      <c r="AN1125" s="68" t="n">
        <v>268230</v>
      </c>
      <c r="AO1125" s="69" t="inlineStr">
        <is>
          <t>2005</t>
        </is>
      </c>
      <c r="AP1125" s="70" t="n">
        <v>2005</v>
      </c>
      <c r="AQ1125" s="74" t="n">
        <v>1.37</v>
      </c>
      <c r="AR1125" s="74" t="n">
        <v>1.12</v>
      </c>
      <c r="AS1125" s="74" t="n">
        <v>73.59999999999999</v>
      </c>
      <c r="AT1125" s="74" t="n">
        <v>70.95999999999999</v>
      </c>
      <c r="AU1125" s="74" t="n">
        <v>67.7</v>
      </c>
      <c r="AV1125" s="74" t="n">
        <v>8.785068254</v>
      </c>
      <c r="AW1125" s="74" t="n">
        <v>8.677381622</v>
      </c>
      <c r="AX1125" s="75" t="n">
        <v>83</v>
      </c>
      <c r="AY1125" s="71" t="n">
        <v>61500000</v>
      </c>
      <c r="AZ1125" s="71" t="n">
        <v>61500000</v>
      </c>
      <c r="BA1125" s="71" t="n">
        <v>4113608.21</v>
      </c>
      <c r="BB1125" s="71" t="n">
        <v>1685489.02</v>
      </c>
      <c r="BC1125" s="69" t="inlineStr">
        <is>
          <t>Acquisition</t>
        </is>
      </c>
      <c r="BD1125" s="69" t="inlineStr">
        <is>
          <t>Y</t>
        </is>
      </c>
      <c r="BE1125" s="71" t="n"/>
      <c r="BF1125" s="71" t="n"/>
      <c r="BG1125" s="71" t="n"/>
      <c r="BH1125" s="71" t="n">
        <v>0</v>
      </c>
      <c r="BI1125" s="71" t="n">
        <v>0</v>
      </c>
      <c r="BJ1125" s="69" t="inlineStr">
        <is>
          <t>N</t>
        </is>
      </c>
      <c r="BK1125" s="69" t="inlineStr">
        <is>
          <t>Peoples Natural Gas Company LLC</t>
        </is>
      </c>
      <c r="BL1125" s="75" t="n">
        <v>62.8</v>
      </c>
      <c r="BM1125" s="73" t="n">
        <v>47149</v>
      </c>
      <c r="BN1125" s="69" t="inlineStr">
        <is>
          <t>Christopher F. Buccini, Robert E. Buccini, David B. Pollin</t>
        </is>
      </c>
      <c r="BO1125" s="69" t="inlineStr">
        <is>
          <t>Ladder Capital Finance</t>
        </is>
      </c>
      <c r="BP1125" s="69" t="inlineStr">
        <is>
          <t>TriMont Real Estate Advisors</t>
        </is>
      </c>
      <c r="BQ1125" s="69" t="inlineStr">
        <is>
          <t>K-Star Asset Management LLC</t>
        </is>
      </c>
      <c r="BR1125" s="69" t="n"/>
      <c r="BS1125" s="73" t="n">
        <v>46273</v>
      </c>
      <c r="BU1125" s="76">
        <f>IF($C1125="","",IFERROR(INDEX(dmName,MATCH($C1125,dmID,0)),"Unmapped"))</f>
        <v/>
      </c>
      <c r="BV1125" s="76">
        <f>IF($C1125="","",IFERROR(INDEX(dmEntity,MATCH($C1125,dmID,0)),"Unmapped"))</f>
        <v/>
      </c>
      <c r="BW1125" s="77">
        <f>IF($C1125="","",IFERROR(INDEX(dmVintage,MATCH($C1125,dmID,0)),""))</f>
        <v/>
      </c>
      <c r="BX1125" s="78">
        <f>IFERROR(INDEX(dmInclude,MATCH($C1125,dmID,0)),0)</f>
        <v/>
      </c>
      <c r="BY1125" s="78">
        <f>IF(N($I1125)&gt;0,1,0)</f>
        <v/>
      </c>
      <c r="BZ1125" s="76">
        <f>IF($AJ1125="","Other / Leased Fee",IFERROR(INDEX(mapPTGroup,MATCH(LEFT(TRIM($AJ1125),2),mapPTCode,0)),"Other / Leased Fee"))</f>
        <v/>
      </c>
      <c r="CA1125" s="76">
        <f>IF(TRIM($AF1125&amp;"")="","NR",LEFT(TRIM($AF1125),2))</f>
        <v/>
      </c>
      <c r="CB1125" s="76">
        <f>IFERROR(LOOKUP(2,1/(LEFT(TRIM($AI1125&amp;""),LEN(mapRegion))=mapRegion),mapRegion),"Not Reported")</f>
        <v/>
      </c>
      <c r="CC1125" s="76">
        <f>IF($BY1125=0,"",IF(TRIM($W1125&amp;"")="REO","REO",IF(TRIM($W1125&amp;"")="FC","Foreclosure",IF(TRIM($W1125&amp;"")="90+","90+ Days Delinquent",IF(TRIM($W1125&amp;"")="60","60 Days Delinquent",IF(TRIM($W1125&amp;"")="30","30 Days Delinquent",IF($X1125="Non-Performing Matured Balloon","Non-Performing Matured Balloon",IF(OR($X1125="Late Payment But Less Than 30 Days Delinquent",LEFT($X1125&amp;"",20)="Payment Not Received"),"Late / In Grace (&lt;30 Days)",IF($X1125="Performing Matured Balloon","Performing Matured Balloon","Current")))))))))</f>
        <v/>
      </c>
      <c r="CD1125" s="78">
        <f>IF(OR($CC1125="REO",$CC1125="Foreclosure",$CC1125="90+ Days Delinquent",$CC1125="60 Days Delinquent",$CC1125="30 Days Delinquent",$CC1125="Non-Performing Matured Balloon"),1,0)</f>
        <v/>
      </c>
      <c r="CE1125" s="76">
        <f>IF($AB1125="Currently special serv","Currently Specially Serviced",IF($AB1125="Returned to master serv","Previously Specially Serviced","Never Specially Serviced"))</f>
        <v/>
      </c>
      <c r="CF1125" s="78">
        <f>IF($CE1125="Currently Specially Serviced",1,0)</f>
        <v/>
      </c>
      <c r="CG1125" s="76">
        <f>IF($AA1125="Yes","Currently on Watchlist",IF($AA1125="Previously","Previously on Watchlist","Never on Watchlist"))</f>
        <v/>
      </c>
      <c r="CH1125" s="78">
        <f>IF($CG1125="Currently on Watchlist",1,0)</f>
        <v/>
      </c>
      <c r="CI1125" s="76">
        <f>IF($Z1125="Full Defeasance","Fully Defeased",IF($Z1125="Portion Of Loan Previously Defeased","Partially Defeased",IF($Z1125="Defeasance Not Allowable","Not Defeased (Not Permitted)","Not Defeased")))</f>
        <v/>
      </c>
      <c r="CJ1125" s="78">
        <f>IF($CI1125="Fully Defeased",1,0)</f>
        <v/>
      </c>
      <c r="CK1125" s="76">
        <f>IF($R1125="IO","Full IO",IF(LEFT($R1125&amp;"",7)="IO then","Partial IO","Amortizing"))</f>
        <v/>
      </c>
      <c r="CL1125" s="78">
        <f>IF($CK1125="Full IO",1,0)</f>
        <v/>
      </c>
      <c r="CM1125" s="78">
        <f>IF($CK1125="Partial IO",1,0)</f>
        <v/>
      </c>
      <c r="CN1125" s="76">
        <f>IF(LEFT($F1125&amp;"",10)="SPLIT_LOAN","Pari Passu Split","Standalone")</f>
        <v/>
      </c>
      <c r="CO1125" s="78">
        <f>IF($CN1125="Pari Passu Split",1,0)</f>
        <v/>
      </c>
      <c r="CP1125" s="77">
        <f>IF(ISNUMBER($T1125),YEAR($T1125),"")</f>
        <v/>
      </c>
      <c r="CQ1125" s="79">
        <f>IF(ISNUMBER($V1125),$V1125,IF(ISNUMBER($U1125),$U1125,""))</f>
        <v/>
      </c>
      <c r="CR1125" s="77">
        <f>IF(ISNUMBER($CQ1125),YEAR($CQ1125),"")</f>
        <v/>
      </c>
      <c r="CS1125" s="78">
        <f>IF(ISNUMBER($M1125),MAX(0,$M1125),IF(TRIM($M1125&amp;"")="matured",0,""))</f>
        <v/>
      </c>
      <c r="CT1125" s="78">
        <f>IF(AND(ISNUMBER($CS1125),N($CS1125)&lt;=mMatWindow),1,0)</f>
        <v/>
      </c>
      <c r="CU1125" s="80">
        <f>IF(ISNUMBER($J1125),$J1125/100,"")</f>
        <v/>
      </c>
      <c r="CV1125" s="81">
        <f>IF(ISNUMBER($AQ1125),$AQ1125,"")</f>
        <v/>
      </c>
      <c r="CW1125" s="81">
        <f>IF(ISNUMBER($AR1125),$AR1125,"")</f>
        <v/>
      </c>
      <c r="CX1125" s="82">
        <f>IF(ISNUMBER($AS1125),$AS1125/100,"")</f>
        <v/>
      </c>
      <c r="CY1125" s="82">
        <f>IF(ISNUMBER($AT1125),$AT1125/100,"")</f>
        <v/>
      </c>
      <c r="CZ1125" s="82">
        <f>IF(ISNUMBER($AU1125),$AU1125/100,"")</f>
        <v/>
      </c>
      <c r="DA1125" s="82">
        <f>IF(ISNUMBER($AV1125),$AV1125/100,"")</f>
        <v/>
      </c>
      <c r="DB1125" s="82">
        <f>IF(ISNUMBER($AW1125),$AW1125/100,"")</f>
        <v/>
      </c>
      <c r="DC1125" s="82">
        <f>IF(ISNUMBER($AX1125),$AX1125/100,"")</f>
        <v/>
      </c>
      <c r="DD1125" s="77">
        <f>IFERROR(VALUE(LEFT(TRIM($AO1125&amp;""),4)),"")</f>
        <v/>
      </c>
      <c r="DE1125" s="78">
        <f>IF(AND($BY1125=1,$BX1125=1,OR(fDeal="All Deals",$BU1125=fDeal),OR(fEntity="All Entities",$BV1125=fEntity),OR(fPType="All Property Types",$BZ1125=fPType),OR(fDefeased="Include",$CJ1125=0)),1,0)</f>
        <v/>
      </c>
      <c r="DF1125" s="83">
        <f>$DE1125*N($I1125)</f>
        <v/>
      </c>
      <c r="DG1125" s="78">
        <f>IF($DE1125=1,IF(COUNTIFS($F$8:$F1125,$F1125,$DE$8:$DE1125,1)=1,1,0),0)</f>
        <v/>
      </c>
      <c r="DH1125" s="83">
        <f>IF($DG1125=1,SUMIFS($DF$8:$DF$1600,$F$8:$F$1600,$F1125),0)</f>
        <v/>
      </c>
      <c r="DI1125" s="78">
        <f>IF($DG1125=1,COUNTIFS($F$8:$F$1600,$F1125,$DE$8:$DE$1600,1),0)</f>
        <v/>
      </c>
      <c r="DJ1125" s="84">
        <f>IF($DG1125=1,$DH1125+(100000-ROW())/mTieBreak,0)</f>
        <v/>
      </c>
    </row>
    <row r="1126">
      <c r="B1126" s="68" t="n">
        <v>5</v>
      </c>
      <c r="C1126" s="69" t="inlineStr">
        <is>
          <t>LCC17L26</t>
        </is>
      </c>
      <c r="D1126" s="69" t="inlineStr">
        <is>
          <t>5.000</t>
        </is>
      </c>
      <c r="E1126" s="69" t="inlineStr">
        <is>
          <t>SOMO Village</t>
        </is>
      </c>
      <c r="F1126" s="69" t="inlineStr">
        <is>
          <t>LNLCC17L26-5.000</t>
        </is>
      </c>
      <c r="G1126" s="70" t="n"/>
      <c r="H1126" s="71" t="n">
        <v>42000000</v>
      </c>
      <c r="I1126" s="71" t="n">
        <v>34860528.210018</v>
      </c>
      <c r="J1126" s="72" t="n">
        <v>4.65</v>
      </c>
      <c r="K1126" s="69" t="inlineStr">
        <is>
          <t>Fixed rate</t>
        </is>
      </c>
      <c r="L1126" s="68" t="n">
        <v>120</v>
      </c>
      <c r="M1126" s="68" t="n">
        <v>9</v>
      </c>
      <c r="N1126" s="68" t="n">
        <v>360</v>
      </c>
      <c r="O1126" s="68" t="n"/>
      <c r="P1126" s="68" t="n"/>
      <c r="Q1126" s="68" t="n">
        <v>111</v>
      </c>
      <c r="R1126" s="69" t="n"/>
      <c r="S1126" s="69" t="inlineStr">
        <is>
          <t>No</t>
        </is>
      </c>
      <c r="T1126" s="73" t="n">
        <v>42887</v>
      </c>
      <c r="U1126" s="73" t="n">
        <v>46544</v>
      </c>
      <c r="V1126" s="73" t="n"/>
      <c r="W1126" s="69" t="n"/>
      <c r="X1126" s="69" t="inlineStr">
        <is>
          <t>Current</t>
        </is>
      </c>
      <c r="Y1126" s="68" t="n"/>
      <c r="Z1126" s="69" t="inlineStr">
        <is>
          <t>Full Defeasance</t>
        </is>
      </c>
      <c r="AA1126" s="69" t="n"/>
      <c r="AB1126" s="69" t="inlineStr">
        <is>
          <t>Never special serv</t>
        </is>
      </c>
      <c r="AC1126" s="73" t="n"/>
      <c r="AD1126" s="69" t="n"/>
      <c r="AE1126" s="69" t="n"/>
      <c r="AF1126" s="69" t="inlineStr">
        <is>
          <t>CA</t>
        </is>
      </c>
      <c r="AG1126" s="69" t="inlineStr">
        <is>
          <t>Rohnert Park</t>
        </is>
      </c>
      <c r="AH1126" s="69" t="inlineStr">
        <is>
          <t>Santa Rosa-Petaluma, CA</t>
        </is>
      </c>
      <c r="AI1126" s="69" t="inlineStr">
        <is>
          <t>West / Pacific North</t>
        </is>
      </c>
      <c r="AJ1126" s="69" t="inlineStr">
        <is>
          <t>MX</t>
        </is>
      </c>
      <c r="AK1126" s="69" t="inlineStr">
        <is>
          <t>Office/Industrial</t>
        </is>
      </c>
      <c r="AL1126" s="68" t="n">
        <v>1</v>
      </c>
      <c r="AM1126" s="68" t="n"/>
      <c r="AN1126" s="68" t="n">
        <v>578360</v>
      </c>
      <c r="AO1126" s="69" t="inlineStr">
        <is>
          <t>1984-2000</t>
        </is>
      </c>
      <c r="AP1126" s="70" t="n">
        <v>2008</v>
      </c>
      <c r="AQ1126" s="74" t="n">
        <v>1.68</v>
      </c>
      <c r="AR1126" s="74" t="n">
        <v>2.56</v>
      </c>
      <c r="AS1126" s="74" t="n">
        <v>57.1</v>
      </c>
      <c r="AT1126" s="74" t="n">
        <v>47.36</v>
      </c>
      <c r="AU1126" s="74" t="n">
        <v>46.4</v>
      </c>
      <c r="AV1126" s="74" t="n">
        <v>10.418723167</v>
      </c>
      <c r="AW1126" s="74" t="n">
        <v>12.55922889</v>
      </c>
      <c r="AX1126" s="75" t="n">
        <v>85</v>
      </c>
      <c r="AY1126" s="71" t="n">
        <v>73600000</v>
      </c>
      <c r="AZ1126" s="71" t="n">
        <v>73600000</v>
      </c>
      <c r="BA1126" s="71" t="n">
        <v>4375863.73</v>
      </c>
      <c r="BB1126" s="71" t="n">
        <v>4992248.4</v>
      </c>
      <c r="BC1126" s="69" t="inlineStr">
        <is>
          <t>Refinance</t>
        </is>
      </c>
      <c r="BD1126" s="69" t="inlineStr">
        <is>
          <t>N</t>
        </is>
      </c>
      <c r="BE1126" s="71" t="n"/>
      <c r="BF1126" s="71" t="n"/>
      <c r="BG1126" s="71" t="n"/>
      <c r="BH1126" s="71" t="n">
        <v>0</v>
      </c>
      <c r="BI1126" s="71" t="n">
        <v>0</v>
      </c>
      <c r="BJ1126" s="69" t="inlineStr">
        <is>
          <t>N</t>
        </is>
      </c>
      <c r="BK1126" s="69" t="inlineStr">
        <is>
          <t>Morton &amp; Bassett</t>
        </is>
      </c>
      <c r="BL1126" s="75" t="n">
        <v>30.93</v>
      </c>
      <c r="BM1126" s="73" t="n">
        <v>48487</v>
      </c>
      <c r="BN1126" s="69" t="inlineStr">
        <is>
          <t>Bradley E. Baker</t>
        </is>
      </c>
      <c r="BO1126" s="69" t="inlineStr">
        <is>
          <t>Ladder Capital Finance</t>
        </is>
      </c>
      <c r="BP1126" s="69" t="inlineStr">
        <is>
          <t>TriMont Real Estate Advisors</t>
        </is>
      </c>
      <c r="BQ1126" s="69" t="inlineStr">
        <is>
          <t>K-Star Asset Management LLC</t>
        </is>
      </c>
      <c r="BR1126" s="69" t="n"/>
      <c r="BS1126" s="73" t="n">
        <v>46273</v>
      </c>
      <c r="BU1126" s="76">
        <f>IF($C1126="","",IFERROR(INDEX(dmName,MATCH($C1126,dmID,0)),"Unmapped"))</f>
        <v/>
      </c>
      <c r="BV1126" s="76">
        <f>IF($C1126="","",IFERROR(INDEX(dmEntity,MATCH($C1126,dmID,0)),"Unmapped"))</f>
        <v/>
      </c>
      <c r="BW1126" s="77">
        <f>IF($C1126="","",IFERROR(INDEX(dmVintage,MATCH($C1126,dmID,0)),""))</f>
        <v/>
      </c>
      <c r="BX1126" s="78">
        <f>IFERROR(INDEX(dmInclude,MATCH($C1126,dmID,0)),0)</f>
        <v/>
      </c>
      <c r="BY1126" s="78">
        <f>IF(N($I1126)&gt;0,1,0)</f>
        <v/>
      </c>
      <c r="BZ1126" s="76">
        <f>IF($AJ1126="","Other / Leased Fee",IFERROR(INDEX(mapPTGroup,MATCH(LEFT(TRIM($AJ1126),2),mapPTCode,0)),"Other / Leased Fee"))</f>
        <v/>
      </c>
      <c r="CA1126" s="76">
        <f>IF(TRIM($AF1126&amp;"")="","NR",LEFT(TRIM($AF1126),2))</f>
        <v/>
      </c>
      <c r="CB1126" s="76">
        <f>IFERROR(LOOKUP(2,1/(LEFT(TRIM($AI1126&amp;""),LEN(mapRegion))=mapRegion),mapRegion),"Not Reported")</f>
        <v/>
      </c>
      <c r="CC1126" s="76">
        <f>IF($BY1126=0,"",IF(TRIM($W1126&amp;"")="REO","REO",IF(TRIM($W1126&amp;"")="FC","Foreclosure",IF(TRIM($W1126&amp;"")="90+","90+ Days Delinquent",IF(TRIM($W1126&amp;"")="60","60 Days Delinquent",IF(TRIM($W1126&amp;"")="30","30 Days Delinquent",IF($X1126="Non-Performing Matured Balloon","Non-Performing Matured Balloon",IF(OR($X1126="Late Payment But Less Than 30 Days Delinquent",LEFT($X1126&amp;"",20)="Payment Not Received"),"Late / In Grace (&lt;30 Days)",IF($X1126="Performing Matured Balloon","Performing Matured Balloon","Current")))))))))</f>
        <v/>
      </c>
      <c r="CD1126" s="78">
        <f>IF(OR($CC1126="REO",$CC1126="Foreclosure",$CC1126="90+ Days Delinquent",$CC1126="60 Days Delinquent",$CC1126="30 Days Delinquent",$CC1126="Non-Performing Matured Balloon"),1,0)</f>
        <v/>
      </c>
      <c r="CE1126" s="76">
        <f>IF($AB1126="Currently special serv","Currently Specially Serviced",IF($AB1126="Returned to master serv","Previously Specially Serviced","Never Specially Serviced"))</f>
        <v/>
      </c>
      <c r="CF1126" s="78">
        <f>IF($CE1126="Currently Specially Serviced",1,0)</f>
        <v/>
      </c>
      <c r="CG1126" s="76">
        <f>IF($AA1126="Yes","Currently on Watchlist",IF($AA1126="Previously","Previously on Watchlist","Never on Watchlist"))</f>
        <v/>
      </c>
      <c r="CH1126" s="78">
        <f>IF($CG1126="Currently on Watchlist",1,0)</f>
        <v/>
      </c>
      <c r="CI1126" s="76">
        <f>IF($Z1126="Full Defeasance","Fully Defeased",IF($Z1126="Portion Of Loan Previously Defeased","Partially Defeased",IF($Z1126="Defeasance Not Allowable","Not Defeased (Not Permitted)","Not Defeased")))</f>
        <v/>
      </c>
      <c r="CJ1126" s="78">
        <f>IF($CI1126="Fully Defeased",1,0)</f>
        <v/>
      </c>
      <c r="CK1126" s="76">
        <f>IF($R1126="IO","Full IO",IF(LEFT($R1126&amp;"",7)="IO then","Partial IO","Amortizing"))</f>
        <v/>
      </c>
      <c r="CL1126" s="78">
        <f>IF($CK1126="Full IO",1,0)</f>
        <v/>
      </c>
      <c r="CM1126" s="78">
        <f>IF($CK1126="Partial IO",1,0)</f>
        <v/>
      </c>
      <c r="CN1126" s="76">
        <f>IF(LEFT($F1126&amp;"",10)="SPLIT_LOAN","Pari Passu Split","Standalone")</f>
        <v/>
      </c>
      <c r="CO1126" s="78">
        <f>IF($CN1126="Pari Passu Split",1,0)</f>
        <v/>
      </c>
      <c r="CP1126" s="77">
        <f>IF(ISNUMBER($T1126),YEAR($T1126),"")</f>
        <v/>
      </c>
      <c r="CQ1126" s="79">
        <f>IF(ISNUMBER($V1126),$V1126,IF(ISNUMBER($U1126),$U1126,""))</f>
        <v/>
      </c>
      <c r="CR1126" s="77">
        <f>IF(ISNUMBER($CQ1126),YEAR($CQ1126),"")</f>
        <v/>
      </c>
      <c r="CS1126" s="78">
        <f>IF(ISNUMBER($M1126),MAX(0,$M1126),IF(TRIM($M1126&amp;"")="matured",0,""))</f>
        <v/>
      </c>
      <c r="CT1126" s="78">
        <f>IF(AND(ISNUMBER($CS1126),N($CS1126)&lt;=mMatWindow),1,0)</f>
        <v/>
      </c>
      <c r="CU1126" s="80">
        <f>IF(ISNUMBER($J1126),$J1126/100,"")</f>
        <v/>
      </c>
      <c r="CV1126" s="81">
        <f>IF(ISNUMBER($AQ1126),$AQ1126,"")</f>
        <v/>
      </c>
      <c r="CW1126" s="81">
        <f>IF(ISNUMBER($AR1126),$AR1126,"")</f>
        <v/>
      </c>
      <c r="CX1126" s="82">
        <f>IF(ISNUMBER($AS1126),$AS1126/100,"")</f>
        <v/>
      </c>
      <c r="CY1126" s="82">
        <f>IF(ISNUMBER($AT1126),$AT1126/100,"")</f>
        <v/>
      </c>
      <c r="CZ1126" s="82">
        <f>IF(ISNUMBER($AU1126),$AU1126/100,"")</f>
        <v/>
      </c>
      <c r="DA1126" s="82">
        <f>IF(ISNUMBER($AV1126),$AV1126/100,"")</f>
        <v/>
      </c>
      <c r="DB1126" s="82">
        <f>IF(ISNUMBER($AW1126),$AW1126/100,"")</f>
        <v/>
      </c>
      <c r="DC1126" s="82">
        <f>IF(ISNUMBER($AX1126),$AX1126/100,"")</f>
        <v/>
      </c>
      <c r="DD1126" s="77">
        <f>IFERROR(VALUE(LEFT(TRIM($AO1126&amp;""),4)),"")</f>
        <v/>
      </c>
      <c r="DE1126" s="78">
        <f>IF(AND($BY1126=1,$BX1126=1,OR(fDeal="All Deals",$BU1126=fDeal),OR(fEntity="All Entities",$BV1126=fEntity),OR(fPType="All Property Types",$BZ1126=fPType),OR(fDefeased="Include",$CJ1126=0)),1,0)</f>
        <v/>
      </c>
      <c r="DF1126" s="83">
        <f>$DE1126*N($I1126)</f>
        <v/>
      </c>
      <c r="DG1126" s="78">
        <f>IF($DE1126=1,IF(COUNTIFS($F$8:$F1126,$F1126,$DE$8:$DE1126,1)=1,1,0),0)</f>
        <v/>
      </c>
      <c r="DH1126" s="83">
        <f>IF($DG1126=1,SUMIFS($DF$8:$DF$1600,$F$8:$F$1600,$F1126),0)</f>
        <v/>
      </c>
      <c r="DI1126" s="78">
        <f>IF($DG1126=1,COUNTIFS($F$8:$F$1600,$F1126,$DE$8:$DE$1600,1),0)</f>
        <v/>
      </c>
      <c r="DJ1126" s="84">
        <f>IF($DG1126=1,$DH1126+(100000-ROW())/mTieBreak,0)</f>
        <v/>
      </c>
    </row>
    <row r="1127">
      <c r="B1127" s="68" t="n">
        <v>6</v>
      </c>
      <c r="C1127" s="69" t="inlineStr">
        <is>
          <t>LCC17L26</t>
        </is>
      </c>
      <c r="D1127" s="69" t="inlineStr">
        <is>
          <t>6.000</t>
        </is>
      </c>
      <c r="E1127" s="69" t="inlineStr">
        <is>
          <t>Regions Center and Bank Tower</t>
        </is>
      </c>
      <c r="F1127" s="69" t="inlineStr">
        <is>
          <t>LNLCC17L26-6.000</t>
        </is>
      </c>
      <c r="G1127" s="70" t="n"/>
      <c r="H1127" s="71" t="n">
        <v>38250000</v>
      </c>
      <c r="I1127" s="71" t="n">
        <v>32558447.33999776</v>
      </c>
      <c r="J1127" s="72" t="n">
        <v>5.5</v>
      </c>
      <c r="K1127" s="69" t="inlineStr">
        <is>
          <t>Fixed rate</t>
        </is>
      </c>
      <c r="L1127" s="68" t="n">
        <v>120</v>
      </c>
      <c r="M1127" s="68" t="n">
        <v>9</v>
      </c>
      <c r="N1127" s="68" t="n">
        <v>360</v>
      </c>
      <c r="O1127" s="68" t="n"/>
      <c r="P1127" s="68" t="n"/>
      <c r="Q1127" s="68" t="n">
        <v>111</v>
      </c>
      <c r="R1127" s="69" t="n"/>
      <c r="S1127" s="69" t="inlineStr">
        <is>
          <t>No</t>
        </is>
      </c>
      <c r="T1127" s="73" t="n">
        <v>42887</v>
      </c>
      <c r="U1127" s="73" t="n">
        <v>46544</v>
      </c>
      <c r="V1127" s="73" t="n"/>
      <c r="W1127" s="69" t="inlineStr">
        <is>
          <t>REO</t>
        </is>
      </c>
      <c r="X1127" s="69" t="inlineStr">
        <is>
          <t>121+ Days Delinquent</t>
        </is>
      </c>
      <c r="Y1127" s="68" t="n">
        <v>17</v>
      </c>
      <c r="Z1127" s="69" t="inlineStr">
        <is>
          <t>No Defeasance Occurred</t>
        </is>
      </c>
      <c r="AA1127" s="69" t="inlineStr">
        <is>
          <t>Previously</t>
        </is>
      </c>
      <c r="AB1127" s="69" t="inlineStr">
        <is>
          <t>Currently special serv</t>
        </is>
      </c>
      <c r="AC1127" s="73" t="n">
        <v>45485</v>
      </c>
      <c r="AD1127" s="69" t="inlineStr">
        <is>
          <t>Imminent Monetary Default (excluding Balloon/Maturity Default &amp; Single Tenant Bankruptcy/Vacate)</t>
        </is>
      </c>
      <c r="AE1127" s="69" t="inlineStr">
        <is>
          <t>REO</t>
        </is>
      </c>
      <c r="AF1127" s="69" t="inlineStr">
        <is>
          <t>LA</t>
        </is>
      </c>
      <c r="AG1127" s="69" t="inlineStr">
        <is>
          <t>Shreveport</t>
        </is>
      </c>
      <c r="AH1127" s="69" t="inlineStr">
        <is>
          <t>Shreveport-Bossier City, LA</t>
        </is>
      </c>
      <c r="AI1127" s="69" t="inlineStr">
        <is>
          <t>South / Central West</t>
        </is>
      </c>
      <c r="AJ1127" s="69" t="inlineStr">
        <is>
          <t>OF</t>
        </is>
      </c>
      <c r="AK1127" s="69" t="inlineStr">
        <is>
          <t>CBD</t>
        </is>
      </c>
      <c r="AL1127" s="68" t="n">
        <v>1</v>
      </c>
      <c r="AM1127" s="68" t="n"/>
      <c r="AN1127" s="68" t="n">
        <v>492394</v>
      </c>
      <c r="AO1127" s="69" t="inlineStr">
        <is>
          <t>1939/1986</t>
        </is>
      </c>
      <c r="AP1127" s="70" t="n">
        <v>1994</v>
      </c>
      <c r="AQ1127" s="74" t="n">
        <v>1.43</v>
      </c>
      <c r="AR1127" s="74" t="n">
        <v>0.51</v>
      </c>
      <c r="AS1127" s="74" t="n">
        <v>75</v>
      </c>
      <c r="AT1127" s="74" t="n">
        <v>198.53</v>
      </c>
      <c r="AU1127" s="74" t="n">
        <v>62.6</v>
      </c>
      <c r="AV1127" s="74" t="n">
        <v>9.735049516</v>
      </c>
      <c r="AW1127" s="74" t="n">
        <v>9.717719972999999</v>
      </c>
      <c r="AX1127" s="75" t="n">
        <v>71</v>
      </c>
      <c r="AY1127" s="71" t="n">
        <v>51000000</v>
      </c>
      <c r="AZ1127" s="71" t="n">
        <v>16400000</v>
      </c>
      <c r="BA1127" s="71" t="n">
        <v>3723656.44</v>
      </c>
      <c r="BB1127" s="71" t="n">
        <v>1327110.67</v>
      </c>
      <c r="BC1127" s="69" t="inlineStr">
        <is>
          <t>Refinance</t>
        </is>
      </c>
      <c r="BD1127" s="69" t="inlineStr">
        <is>
          <t>N</t>
        </is>
      </c>
      <c r="BE1127" s="71" t="n"/>
      <c r="BF1127" s="71" t="n"/>
      <c r="BG1127" s="71" t="n"/>
      <c r="BH1127" s="71" t="n">
        <v>22613170.16</v>
      </c>
      <c r="BI1127" s="71" t="n">
        <v>2678767.15</v>
      </c>
      <c r="BJ1127" s="69" t="inlineStr">
        <is>
          <t>N</t>
        </is>
      </c>
      <c r="BK1127" s="69" t="inlineStr">
        <is>
          <t>Cook  Yancey  King &amp; Galloway</t>
        </is>
      </c>
      <c r="BL1127" s="75" t="n">
        <v>6.73</v>
      </c>
      <c r="BM1127" s="73" t="n">
        <v>48213</v>
      </c>
      <c r="BN1127" s="69" t="inlineStr">
        <is>
          <t>Isaac Hertz, William Zev Hertz, Sarah Hertz Gordon</t>
        </is>
      </c>
      <c r="BO1127" s="69" t="inlineStr">
        <is>
          <t>Ladder Capital Finance</t>
        </is>
      </c>
      <c r="BP1127" s="69" t="inlineStr">
        <is>
          <t>TriMont Real Estate Advisors</t>
        </is>
      </c>
      <c r="BQ1127" s="69" t="inlineStr">
        <is>
          <t>K-Star Asset Management LLC</t>
        </is>
      </c>
      <c r="BR1127" s="69" t="n"/>
      <c r="BS1127" s="73" t="n">
        <v>46273</v>
      </c>
      <c r="BU1127" s="76">
        <f>IF($C1127="","",IFERROR(INDEX(dmName,MATCH($C1127,dmID,0)),"Unmapped"))</f>
        <v/>
      </c>
      <c r="BV1127" s="76">
        <f>IF($C1127="","",IFERROR(INDEX(dmEntity,MATCH($C1127,dmID,0)),"Unmapped"))</f>
        <v/>
      </c>
      <c r="BW1127" s="77">
        <f>IF($C1127="","",IFERROR(INDEX(dmVintage,MATCH($C1127,dmID,0)),""))</f>
        <v/>
      </c>
      <c r="BX1127" s="78">
        <f>IFERROR(INDEX(dmInclude,MATCH($C1127,dmID,0)),0)</f>
        <v/>
      </c>
      <c r="BY1127" s="78">
        <f>IF(N($I1127)&gt;0,1,0)</f>
        <v/>
      </c>
      <c r="BZ1127" s="76">
        <f>IF($AJ1127="","Other / Leased Fee",IFERROR(INDEX(mapPTGroup,MATCH(LEFT(TRIM($AJ1127),2),mapPTCode,0)),"Other / Leased Fee"))</f>
        <v/>
      </c>
      <c r="CA1127" s="76">
        <f>IF(TRIM($AF1127&amp;"")="","NR",LEFT(TRIM($AF1127),2))</f>
        <v/>
      </c>
      <c r="CB1127" s="76">
        <f>IFERROR(LOOKUP(2,1/(LEFT(TRIM($AI1127&amp;""),LEN(mapRegion))=mapRegion),mapRegion),"Not Reported")</f>
        <v/>
      </c>
      <c r="CC1127" s="76">
        <f>IF($BY1127=0,"",IF(TRIM($W1127&amp;"")="REO","REO",IF(TRIM($W1127&amp;"")="FC","Foreclosure",IF(TRIM($W1127&amp;"")="90+","90+ Days Delinquent",IF(TRIM($W1127&amp;"")="60","60 Days Delinquent",IF(TRIM($W1127&amp;"")="30","30 Days Delinquent",IF($X1127="Non-Performing Matured Balloon","Non-Performing Matured Balloon",IF(OR($X1127="Late Payment But Less Than 30 Days Delinquent",LEFT($X1127&amp;"",20)="Payment Not Received"),"Late / In Grace (&lt;30 Days)",IF($X1127="Performing Matured Balloon","Performing Matured Balloon","Current")))))))))</f>
        <v/>
      </c>
      <c r="CD1127" s="78">
        <f>IF(OR($CC1127="REO",$CC1127="Foreclosure",$CC1127="90+ Days Delinquent",$CC1127="60 Days Delinquent",$CC1127="30 Days Delinquent",$CC1127="Non-Performing Matured Balloon"),1,0)</f>
        <v/>
      </c>
      <c r="CE1127" s="76">
        <f>IF($AB1127="Currently special serv","Currently Specially Serviced",IF($AB1127="Returned to master serv","Previously Specially Serviced","Never Specially Serviced"))</f>
        <v/>
      </c>
      <c r="CF1127" s="78">
        <f>IF($CE1127="Currently Specially Serviced",1,0)</f>
        <v/>
      </c>
      <c r="CG1127" s="76">
        <f>IF($AA1127="Yes","Currently on Watchlist",IF($AA1127="Previously","Previously on Watchlist","Never on Watchlist"))</f>
        <v/>
      </c>
      <c r="CH1127" s="78">
        <f>IF($CG1127="Currently on Watchlist",1,0)</f>
        <v/>
      </c>
      <c r="CI1127" s="76">
        <f>IF($Z1127="Full Defeasance","Fully Defeased",IF($Z1127="Portion Of Loan Previously Defeased","Partially Defeased",IF($Z1127="Defeasance Not Allowable","Not Defeased (Not Permitted)","Not Defeased")))</f>
        <v/>
      </c>
      <c r="CJ1127" s="78">
        <f>IF($CI1127="Fully Defeased",1,0)</f>
        <v/>
      </c>
      <c r="CK1127" s="76">
        <f>IF($R1127="IO","Full IO",IF(LEFT($R1127&amp;"",7)="IO then","Partial IO","Amortizing"))</f>
        <v/>
      </c>
      <c r="CL1127" s="78">
        <f>IF($CK1127="Full IO",1,0)</f>
        <v/>
      </c>
      <c r="CM1127" s="78">
        <f>IF($CK1127="Partial IO",1,0)</f>
        <v/>
      </c>
      <c r="CN1127" s="76">
        <f>IF(LEFT($F1127&amp;"",10)="SPLIT_LOAN","Pari Passu Split","Standalone")</f>
        <v/>
      </c>
      <c r="CO1127" s="78">
        <f>IF($CN1127="Pari Passu Split",1,0)</f>
        <v/>
      </c>
      <c r="CP1127" s="77">
        <f>IF(ISNUMBER($T1127),YEAR($T1127),"")</f>
        <v/>
      </c>
      <c r="CQ1127" s="79">
        <f>IF(ISNUMBER($V1127),$V1127,IF(ISNUMBER($U1127),$U1127,""))</f>
        <v/>
      </c>
      <c r="CR1127" s="77">
        <f>IF(ISNUMBER($CQ1127),YEAR($CQ1127),"")</f>
        <v/>
      </c>
      <c r="CS1127" s="78">
        <f>IF(ISNUMBER($M1127),MAX(0,$M1127),IF(TRIM($M1127&amp;"")="matured",0,""))</f>
        <v/>
      </c>
      <c r="CT1127" s="78">
        <f>IF(AND(ISNUMBER($CS1127),N($CS1127)&lt;=mMatWindow),1,0)</f>
        <v/>
      </c>
      <c r="CU1127" s="80">
        <f>IF(ISNUMBER($J1127),$J1127/100,"")</f>
        <v/>
      </c>
      <c r="CV1127" s="81">
        <f>IF(ISNUMBER($AQ1127),$AQ1127,"")</f>
        <v/>
      </c>
      <c r="CW1127" s="81">
        <f>IF(ISNUMBER($AR1127),$AR1127,"")</f>
        <v/>
      </c>
      <c r="CX1127" s="82">
        <f>IF(ISNUMBER($AS1127),$AS1127/100,"")</f>
        <v/>
      </c>
      <c r="CY1127" s="82">
        <f>IF(ISNUMBER($AT1127),$AT1127/100,"")</f>
        <v/>
      </c>
      <c r="CZ1127" s="82">
        <f>IF(ISNUMBER($AU1127),$AU1127/100,"")</f>
        <v/>
      </c>
      <c r="DA1127" s="82">
        <f>IF(ISNUMBER($AV1127),$AV1127/100,"")</f>
        <v/>
      </c>
      <c r="DB1127" s="82">
        <f>IF(ISNUMBER($AW1127),$AW1127/100,"")</f>
        <v/>
      </c>
      <c r="DC1127" s="82">
        <f>IF(ISNUMBER($AX1127),$AX1127/100,"")</f>
        <v/>
      </c>
      <c r="DD1127" s="77">
        <f>IFERROR(VALUE(LEFT(TRIM($AO1127&amp;""),4)),"")</f>
        <v/>
      </c>
      <c r="DE1127" s="78">
        <f>IF(AND($BY1127=1,$BX1127=1,OR(fDeal="All Deals",$BU1127=fDeal),OR(fEntity="All Entities",$BV1127=fEntity),OR(fPType="All Property Types",$BZ1127=fPType),OR(fDefeased="Include",$CJ1127=0)),1,0)</f>
        <v/>
      </c>
      <c r="DF1127" s="83">
        <f>$DE1127*N($I1127)</f>
        <v/>
      </c>
      <c r="DG1127" s="78">
        <f>IF($DE1127=1,IF(COUNTIFS($F$8:$F1127,$F1127,$DE$8:$DE1127,1)=1,1,0),0)</f>
        <v/>
      </c>
      <c r="DH1127" s="83">
        <f>IF($DG1127=1,SUMIFS($DF$8:$DF$1600,$F$8:$F$1600,$F1127),0)</f>
        <v/>
      </c>
      <c r="DI1127" s="78">
        <f>IF($DG1127=1,COUNTIFS($F$8:$F$1600,$F1127,$DE$8:$DE$1600,1),0)</f>
        <v/>
      </c>
      <c r="DJ1127" s="84">
        <f>IF($DG1127=1,$DH1127+(100000-ROW())/mTieBreak,0)</f>
        <v/>
      </c>
    </row>
    <row r="1128">
      <c r="B1128" s="68" t="n">
        <v>7</v>
      </c>
      <c r="C1128" s="69" t="inlineStr">
        <is>
          <t>LCC17L26</t>
        </is>
      </c>
      <c r="D1128" s="69" t="inlineStr">
        <is>
          <t>7.000</t>
        </is>
      </c>
      <c r="E1128" s="69" t="inlineStr">
        <is>
          <t>55-59 Chrystie Street</t>
        </is>
      </c>
      <c r="F1128" s="69" t="inlineStr">
        <is>
          <t>LNLCC17L26-7.000</t>
        </is>
      </c>
      <c r="G1128" s="70" t="n"/>
      <c r="H1128" s="71" t="n">
        <v>25125000</v>
      </c>
      <c r="I1128" s="71" t="n">
        <v>0</v>
      </c>
      <c r="J1128" s="72" t="n">
        <v>5.513</v>
      </c>
      <c r="K1128" s="69" t="inlineStr">
        <is>
          <t>Fixed rate</t>
        </is>
      </c>
      <c r="L1128" s="68" t="n">
        <v>120</v>
      </c>
      <c r="M1128" s="68" t="n"/>
      <c r="N1128" s="68" t="n">
        <v>120</v>
      </c>
      <c r="O1128" s="68" t="n">
        <v>120</v>
      </c>
      <c r="P1128" s="68" t="n"/>
      <c r="Q1128" s="68" t="n"/>
      <c r="R1128" s="69" t="inlineStr">
        <is>
          <t>IO</t>
        </is>
      </c>
      <c r="S1128" s="69" t="inlineStr">
        <is>
          <t>Yes</t>
        </is>
      </c>
      <c r="T1128" s="73" t="n">
        <v>42795</v>
      </c>
      <c r="U1128" s="73" t="n">
        <v>46452</v>
      </c>
      <c r="V1128" s="73" t="n"/>
      <c r="W1128" s="69" t="n"/>
      <c r="X1128" s="69" t="inlineStr">
        <is>
          <t>Current</t>
        </is>
      </c>
      <c r="Y1128" s="68" t="n"/>
      <c r="Z1128" s="69" t="inlineStr">
        <is>
          <t>No Defeasance Occurred</t>
        </is>
      </c>
      <c r="AA1128" s="69" t="inlineStr">
        <is>
          <t>Previously</t>
        </is>
      </c>
      <c r="AB1128" s="69" t="inlineStr">
        <is>
          <t>Currently special serv</t>
        </is>
      </c>
      <c r="AC1128" s="73" t="n">
        <v>43228</v>
      </c>
      <c r="AD1128" s="69" t="inlineStr">
        <is>
          <t>Imminent Monetary Default (excluding Balloon/Maturity Default &amp; Single Tenant Bankruptcy/Vacate)</t>
        </is>
      </c>
      <c r="AE1128" s="69" t="inlineStr">
        <is>
          <t>Bankruptcy</t>
        </is>
      </c>
      <c r="AF1128" s="69" t="inlineStr">
        <is>
          <t>NY</t>
        </is>
      </c>
      <c r="AG1128" s="69" t="inlineStr">
        <is>
          <t>New York</t>
        </is>
      </c>
      <c r="AH1128" s="69" t="inlineStr">
        <is>
          <t>New York-Newark-Jersey City, NY-NJ</t>
        </is>
      </c>
      <c r="AI1128" s="69" t="inlineStr">
        <is>
          <t>Northeast / Mid-Atlantic</t>
        </is>
      </c>
      <c r="AJ1128" s="69" t="inlineStr">
        <is>
          <t>MX</t>
        </is>
      </c>
      <c r="AK1128" s="69" t="inlineStr">
        <is>
          <t>Office/Retail</t>
        </is>
      </c>
      <c r="AL1128" s="68" t="n">
        <v>1</v>
      </c>
      <c r="AM1128" s="68" t="n"/>
      <c r="AN1128" s="68" t="n">
        <v>40026</v>
      </c>
      <c r="AO1128" s="69" t="inlineStr">
        <is>
          <t>1900</t>
        </is>
      </c>
      <c r="AP1128" s="70" t="n">
        <v>2014</v>
      </c>
      <c r="AQ1128" s="74" t="n">
        <v>1.31</v>
      </c>
      <c r="AR1128" s="74" t="n">
        <v>-0.55</v>
      </c>
      <c r="AS1128" s="74" t="n">
        <v>59.1</v>
      </c>
      <c r="AT1128" s="74" t="n"/>
      <c r="AU1128" s="74" t="n">
        <v>59.1</v>
      </c>
      <c r="AV1128" s="74" t="n">
        <v>7.304758527</v>
      </c>
      <c r="AW1128" s="74" t="n"/>
      <c r="AX1128" s="75" t="n">
        <v>7.49</v>
      </c>
      <c r="AY1128" s="71" t="n">
        <v>42500000</v>
      </c>
      <c r="AZ1128" s="71" t="n">
        <v>33100000</v>
      </c>
      <c r="BA1128" s="71" t="n">
        <v>1835320.58</v>
      </c>
      <c r="BB1128" s="71" t="n">
        <v>-767004</v>
      </c>
      <c r="BC1128" s="69" t="inlineStr">
        <is>
          <t>Refinance</t>
        </is>
      </c>
      <c r="BD1128" s="69" t="inlineStr">
        <is>
          <t>N</t>
        </is>
      </c>
      <c r="BE1128" s="71" t="n"/>
      <c r="BF1128" s="71" t="n"/>
      <c r="BG1128" s="71" t="n"/>
      <c r="BH1128" s="71" t="n">
        <v>0</v>
      </c>
      <c r="BI1128" s="71" t="n">
        <v>0</v>
      </c>
      <c r="BJ1128" s="69" t="inlineStr">
        <is>
          <t>N</t>
        </is>
      </c>
      <c r="BK1128" s="69" t="inlineStr">
        <is>
          <t>Studio of Ptah</t>
        </is>
      </c>
      <c r="BL1128" s="75" t="n">
        <v>2.5</v>
      </c>
      <c r="BM1128" s="73" t="n">
        <v>43434</v>
      </c>
      <c r="BN1128" s="69" t="inlineStr">
        <is>
          <t>Gary M. Tse</t>
        </is>
      </c>
      <c r="BO1128" s="69" t="inlineStr">
        <is>
          <t>Ladder Capital Finance</t>
        </is>
      </c>
      <c r="BP1128" s="69" t="inlineStr">
        <is>
          <t>Wells Fargo</t>
        </is>
      </c>
      <c r="BQ1128" s="69" t="inlineStr">
        <is>
          <t>Midland Loan Services</t>
        </is>
      </c>
      <c r="BR1128" s="69" t="inlineStr">
        <is>
          <t>Disposition / Liquidation</t>
        </is>
      </c>
      <c r="BS1128" s="73" t="n">
        <v>46273</v>
      </c>
      <c r="BU1128" s="76">
        <f>IF($C1128="","",IFERROR(INDEX(dmName,MATCH($C1128,dmID,0)),"Unmapped"))</f>
        <v/>
      </c>
      <c r="BV1128" s="76">
        <f>IF($C1128="","",IFERROR(INDEX(dmEntity,MATCH($C1128,dmID,0)),"Unmapped"))</f>
        <v/>
      </c>
      <c r="BW1128" s="77">
        <f>IF($C1128="","",IFERROR(INDEX(dmVintage,MATCH($C1128,dmID,0)),""))</f>
        <v/>
      </c>
      <c r="BX1128" s="78">
        <f>IFERROR(INDEX(dmInclude,MATCH($C1128,dmID,0)),0)</f>
        <v/>
      </c>
      <c r="BY1128" s="78">
        <f>IF(N($I1128)&gt;0,1,0)</f>
        <v/>
      </c>
      <c r="BZ1128" s="76">
        <f>IF($AJ1128="","Other / Leased Fee",IFERROR(INDEX(mapPTGroup,MATCH(LEFT(TRIM($AJ1128),2),mapPTCode,0)),"Other / Leased Fee"))</f>
        <v/>
      </c>
      <c r="CA1128" s="76">
        <f>IF(TRIM($AF1128&amp;"")="","NR",LEFT(TRIM($AF1128),2))</f>
        <v/>
      </c>
      <c r="CB1128" s="76">
        <f>IFERROR(LOOKUP(2,1/(LEFT(TRIM($AI1128&amp;""),LEN(mapRegion))=mapRegion),mapRegion),"Not Reported")</f>
        <v/>
      </c>
      <c r="CC1128" s="76">
        <f>IF($BY1128=0,"",IF(TRIM($W1128&amp;"")="REO","REO",IF(TRIM($W1128&amp;"")="FC","Foreclosure",IF(TRIM($W1128&amp;"")="90+","90+ Days Delinquent",IF(TRIM($W1128&amp;"")="60","60 Days Delinquent",IF(TRIM($W1128&amp;"")="30","30 Days Delinquent",IF($X1128="Non-Performing Matured Balloon","Non-Performing Matured Balloon",IF(OR($X1128="Late Payment But Less Than 30 Days Delinquent",LEFT($X1128&amp;"",20)="Payment Not Received"),"Late / In Grace (&lt;30 Days)",IF($X1128="Performing Matured Balloon","Performing Matured Balloon","Current")))))))))</f>
        <v/>
      </c>
      <c r="CD1128" s="78">
        <f>IF(OR($CC1128="REO",$CC1128="Foreclosure",$CC1128="90+ Days Delinquent",$CC1128="60 Days Delinquent",$CC1128="30 Days Delinquent",$CC1128="Non-Performing Matured Balloon"),1,0)</f>
        <v/>
      </c>
      <c r="CE1128" s="76">
        <f>IF($AB1128="Currently special serv","Currently Specially Serviced",IF($AB1128="Returned to master serv","Previously Specially Serviced","Never Specially Serviced"))</f>
        <v/>
      </c>
      <c r="CF1128" s="78">
        <f>IF($CE1128="Currently Specially Serviced",1,0)</f>
        <v/>
      </c>
      <c r="CG1128" s="76">
        <f>IF($AA1128="Yes","Currently on Watchlist",IF($AA1128="Previously","Previously on Watchlist","Never on Watchlist"))</f>
        <v/>
      </c>
      <c r="CH1128" s="78">
        <f>IF($CG1128="Currently on Watchlist",1,0)</f>
        <v/>
      </c>
      <c r="CI1128" s="76">
        <f>IF($Z1128="Full Defeasance","Fully Defeased",IF($Z1128="Portion Of Loan Previously Defeased","Partially Defeased",IF($Z1128="Defeasance Not Allowable","Not Defeased (Not Permitted)","Not Defeased")))</f>
        <v/>
      </c>
      <c r="CJ1128" s="78">
        <f>IF($CI1128="Fully Defeased",1,0)</f>
        <v/>
      </c>
      <c r="CK1128" s="76">
        <f>IF($R1128="IO","Full IO",IF(LEFT($R1128&amp;"",7)="IO then","Partial IO","Amortizing"))</f>
        <v/>
      </c>
      <c r="CL1128" s="78">
        <f>IF($CK1128="Full IO",1,0)</f>
        <v/>
      </c>
      <c r="CM1128" s="78">
        <f>IF($CK1128="Partial IO",1,0)</f>
        <v/>
      </c>
      <c r="CN1128" s="76">
        <f>IF(LEFT($F1128&amp;"",10)="SPLIT_LOAN","Pari Passu Split","Standalone")</f>
        <v/>
      </c>
      <c r="CO1128" s="78">
        <f>IF($CN1128="Pari Passu Split",1,0)</f>
        <v/>
      </c>
      <c r="CP1128" s="77">
        <f>IF(ISNUMBER($T1128),YEAR($T1128),"")</f>
        <v/>
      </c>
      <c r="CQ1128" s="79">
        <f>IF(ISNUMBER($V1128),$V1128,IF(ISNUMBER($U1128),$U1128,""))</f>
        <v/>
      </c>
      <c r="CR1128" s="77">
        <f>IF(ISNUMBER($CQ1128),YEAR($CQ1128),"")</f>
        <v/>
      </c>
      <c r="CS1128" s="78">
        <f>IF(ISNUMBER($M1128),MAX(0,$M1128),IF(TRIM($M1128&amp;"")="matured",0,""))</f>
        <v/>
      </c>
      <c r="CT1128" s="78">
        <f>IF(AND(ISNUMBER($CS1128),N($CS1128)&lt;=mMatWindow),1,0)</f>
        <v/>
      </c>
      <c r="CU1128" s="80">
        <f>IF(ISNUMBER($J1128),$J1128/100,"")</f>
        <v/>
      </c>
      <c r="CV1128" s="81">
        <f>IF(ISNUMBER($AQ1128),$AQ1128,"")</f>
        <v/>
      </c>
      <c r="CW1128" s="81">
        <f>IF(ISNUMBER($AR1128),$AR1128,"")</f>
        <v/>
      </c>
      <c r="CX1128" s="82">
        <f>IF(ISNUMBER($AS1128),$AS1128/100,"")</f>
        <v/>
      </c>
      <c r="CY1128" s="82">
        <f>IF(ISNUMBER($AT1128),$AT1128/100,"")</f>
        <v/>
      </c>
      <c r="CZ1128" s="82">
        <f>IF(ISNUMBER($AU1128),$AU1128/100,"")</f>
        <v/>
      </c>
      <c r="DA1128" s="82">
        <f>IF(ISNUMBER($AV1128),$AV1128/100,"")</f>
        <v/>
      </c>
      <c r="DB1128" s="82">
        <f>IF(ISNUMBER($AW1128),$AW1128/100,"")</f>
        <v/>
      </c>
      <c r="DC1128" s="82">
        <f>IF(ISNUMBER($AX1128),$AX1128/100,"")</f>
        <v/>
      </c>
      <c r="DD1128" s="77">
        <f>IFERROR(VALUE(LEFT(TRIM($AO1128&amp;""),4)),"")</f>
        <v/>
      </c>
      <c r="DE1128" s="78">
        <f>IF(AND($BY1128=1,$BX1128=1,OR(fDeal="All Deals",$BU1128=fDeal),OR(fEntity="All Entities",$BV1128=fEntity),OR(fPType="All Property Types",$BZ1128=fPType),OR(fDefeased="Include",$CJ1128=0)),1,0)</f>
        <v/>
      </c>
      <c r="DF1128" s="83">
        <f>$DE1128*N($I1128)</f>
        <v/>
      </c>
      <c r="DG1128" s="78">
        <f>IF($DE1128=1,IF(COUNTIFS($F$8:$F1128,$F1128,$DE$8:$DE1128,1)=1,1,0),0)</f>
        <v/>
      </c>
      <c r="DH1128" s="83">
        <f>IF($DG1128=1,SUMIFS($DF$8:$DF$1600,$F$8:$F$1600,$F1128),0)</f>
        <v/>
      </c>
      <c r="DI1128" s="78">
        <f>IF($DG1128=1,COUNTIFS($F$8:$F$1600,$F1128,$DE$8:$DE$1600,1),0)</f>
        <v/>
      </c>
      <c r="DJ1128" s="84">
        <f>IF($DG1128=1,$DH1128+(100000-ROW())/mTieBreak,0)</f>
        <v/>
      </c>
    </row>
    <row r="1129">
      <c r="B1129" s="68" t="n">
        <v>8</v>
      </c>
      <c r="C1129" s="69" t="inlineStr">
        <is>
          <t>LCC17L26</t>
        </is>
      </c>
      <c r="D1129" s="69" t="inlineStr">
        <is>
          <t>8.000</t>
        </is>
      </c>
      <c r="E1129" s="69" t="inlineStr">
        <is>
          <t>Greene &amp; Mercer Street Retail</t>
        </is>
      </c>
      <c r="F1129" s="69" t="inlineStr">
        <is>
          <t>LNLCC17L26-8.000</t>
        </is>
      </c>
      <c r="G1129" s="70" t="n"/>
      <c r="H1129" s="71" t="n">
        <v>22000000</v>
      </c>
      <c r="I1129" s="71" t="n">
        <v>22000000</v>
      </c>
      <c r="J1129" s="72" t="n">
        <v>4.114</v>
      </c>
      <c r="K1129" s="69" t="inlineStr">
        <is>
          <t>Fixed rate</t>
        </is>
      </c>
      <c r="L1129" s="68" t="n">
        <v>120</v>
      </c>
      <c r="M1129" s="68" t="n">
        <v>9</v>
      </c>
      <c r="N1129" s="68" t="n">
        <v>120</v>
      </c>
      <c r="O1129" s="68" t="n">
        <v>120</v>
      </c>
      <c r="P1129" s="68" t="n">
        <v>9</v>
      </c>
      <c r="Q1129" s="68" t="n">
        <v>111</v>
      </c>
      <c r="R1129" s="69" t="inlineStr">
        <is>
          <t>IO</t>
        </is>
      </c>
      <c r="S1129" s="69" t="inlineStr">
        <is>
          <t>Yes</t>
        </is>
      </c>
      <c r="T1129" s="73" t="n">
        <v>42887</v>
      </c>
      <c r="U1129" s="73" t="n">
        <v>46544</v>
      </c>
      <c r="V1129" s="73" t="n"/>
      <c r="W1129" s="69" t="n"/>
      <c r="X1129" s="69" t="inlineStr">
        <is>
          <t>Current</t>
        </is>
      </c>
      <c r="Y1129" s="68" t="n"/>
      <c r="Z1129" s="69" t="inlineStr">
        <is>
          <t>Full Defeasance</t>
        </is>
      </c>
      <c r="AA1129" s="69" t="inlineStr">
        <is>
          <t>Previously</t>
        </is>
      </c>
      <c r="AB1129" s="69" t="inlineStr">
        <is>
          <t>Never special serv</t>
        </is>
      </c>
      <c r="AC1129" s="73" t="n"/>
      <c r="AD1129" s="69" t="n"/>
      <c r="AE1129" s="69" t="n"/>
      <c r="AF1129" s="69" t="inlineStr">
        <is>
          <t>NY</t>
        </is>
      </c>
      <c r="AG1129" s="69" t="inlineStr">
        <is>
          <t>New York</t>
        </is>
      </c>
      <c r="AH1129" s="69" t="inlineStr">
        <is>
          <t>New York-Newark-Jersey City, NY-NJ</t>
        </is>
      </c>
      <c r="AI1129" s="69" t="inlineStr">
        <is>
          <t>Northeast / Mid-Atlantic</t>
        </is>
      </c>
      <c r="AJ1129" s="69" t="inlineStr">
        <is>
          <t>RT</t>
        </is>
      </c>
      <c r="AK1129" s="69" t="inlineStr">
        <is>
          <t>Unanchored</t>
        </is>
      </c>
      <c r="AL1129" s="68" t="n">
        <v>1</v>
      </c>
      <c r="AM1129" s="68" t="n"/>
      <c r="AN1129" s="68" t="n">
        <v>7904</v>
      </c>
      <c r="AO1129" s="69" t="inlineStr">
        <is>
          <t>2007</t>
        </is>
      </c>
      <c r="AP1129" s="70" t="n">
        <v>2007</v>
      </c>
      <c r="AQ1129" s="74" t="n">
        <v>1.65</v>
      </c>
      <c r="AR1129" s="74" t="n">
        <v>1.36</v>
      </c>
      <c r="AS1129" s="74" t="n">
        <v>56.4</v>
      </c>
      <c r="AT1129" s="74" t="n">
        <v>56.41</v>
      </c>
      <c r="AU1129" s="74" t="n">
        <v>56.4</v>
      </c>
      <c r="AV1129" s="74" t="n">
        <v>6.901651818</v>
      </c>
      <c r="AW1129" s="74" t="n">
        <v>6.329478909</v>
      </c>
      <c r="AX1129" s="75" t="n">
        <v>100</v>
      </c>
      <c r="AY1129" s="71" t="n">
        <v>39000000</v>
      </c>
      <c r="AZ1129" s="71" t="n">
        <v>39000000</v>
      </c>
      <c r="BA1129" s="71" t="n">
        <v>1518363.4</v>
      </c>
      <c r="BB1129" s="71" t="n">
        <v>624695.27</v>
      </c>
      <c r="BC1129" s="69" t="inlineStr">
        <is>
          <t>Refinance</t>
        </is>
      </c>
      <c r="BD1129" s="69" t="inlineStr">
        <is>
          <t>N</t>
        </is>
      </c>
      <c r="BE1129" s="71" t="n"/>
      <c r="BF1129" s="71" t="n"/>
      <c r="BG1129" s="71" t="n"/>
      <c r="BH1129" s="71" t="n">
        <v>0</v>
      </c>
      <c r="BI1129" s="71" t="n">
        <v>0</v>
      </c>
      <c r="BJ1129" s="69" t="inlineStr">
        <is>
          <t>N</t>
        </is>
      </c>
      <c r="BK1129" s="69" t="inlineStr">
        <is>
          <t>Givenchy Corporation</t>
        </is>
      </c>
      <c r="BL1129" s="75" t="n">
        <v>37.15</v>
      </c>
      <c r="BM1129" s="73" t="n">
        <v>46446</v>
      </c>
      <c r="BN1129" s="69" t="inlineStr">
        <is>
          <t>Jane Gol; Amir Chaluts</t>
        </is>
      </c>
      <c r="BO1129" s="69" t="inlineStr">
        <is>
          <t>Ladder Capital Finance</t>
        </is>
      </c>
      <c r="BP1129" s="69" t="inlineStr">
        <is>
          <t>TriMont Real Estate Advisors</t>
        </is>
      </c>
      <c r="BQ1129" s="69" t="inlineStr">
        <is>
          <t>K-Star Asset Management LLC</t>
        </is>
      </c>
      <c r="BR1129" s="69" t="n"/>
      <c r="BS1129" s="73" t="n">
        <v>46273</v>
      </c>
      <c r="BU1129" s="76">
        <f>IF($C1129="","",IFERROR(INDEX(dmName,MATCH($C1129,dmID,0)),"Unmapped"))</f>
        <v/>
      </c>
      <c r="BV1129" s="76">
        <f>IF($C1129="","",IFERROR(INDEX(dmEntity,MATCH($C1129,dmID,0)),"Unmapped"))</f>
        <v/>
      </c>
      <c r="BW1129" s="77">
        <f>IF($C1129="","",IFERROR(INDEX(dmVintage,MATCH($C1129,dmID,0)),""))</f>
        <v/>
      </c>
      <c r="BX1129" s="78">
        <f>IFERROR(INDEX(dmInclude,MATCH($C1129,dmID,0)),0)</f>
        <v/>
      </c>
      <c r="BY1129" s="78">
        <f>IF(N($I1129)&gt;0,1,0)</f>
        <v/>
      </c>
      <c r="BZ1129" s="76">
        <f>IF($AJ1129="","Other / Leased Fee",IFERROR(INDEX(mapPTGroup,MATCH(LEFT(TRIM($AJ1129),2),mapPTCode,0)),"Other / Leased Fee"))</f>
        <v/>
      </c>
      <c r="CA1129" s="76">
        <f>IF(TRIM($AF1129&amp;"")="","NR",LEFT(TRIM($AF1129),2))</f>
        <v/>
      </c>
      <c r="CB1129" s="76">
        <f>IFERROR(LOOKUP(2,1/(LEFT(TRIM($AI1129&amp;""),LEN(mapRegion))=mapRegion),mapRegion),"Not Reported")</f>
        <v/>
      </c>
      <c r="CC1129" s="76">
        <f>IF($BY1129=0,"",IF(TRIM($W1129&amp;"")="REO","REO",IF(TRIM($W1129&amp;"")="FC","Foreclosure",IF(TRIM($W1129&amp;"")="90+","90+ Days Delinquent",IF(TRIM($W1129&amp;"")="60","60 Days Delinquent",IF(TRIM($W1129&amp;"")="30","30 Days Delinquent",IF($X1129="Non-Performing Matured Balloon","Non-Performing Matured Balloon",IF(OR($X1129="Late Payment But Less Than 30 Days Delinquent",LEFT($X1129&amp;"",20)="Payment Not Received"),"Late / In Grace (&lt;30 Days)",IF($X1129="Performing Matured Balloon","Performing Matured Balloon","Current")))))))))</f>
        <v/>
      </c>
      <c r="CD1129" s="78">
        <f>IF(OR($CC1129="REO",$CC1129="Foreclosure",$CC1129="90+ Days Delinquent",$CC1129="60 Days Delinquent",$CC1129="30 Days Delinquent",$CC1129="Non-Performing Matured Balloon"),1,0)</f>
        <v/>
      </c>
      <c r="CE1129" s="76">
        <f>IF($AB1129="Currently special serv","Currently Specially Serviced",IF($AB1129="Returned to master serv","Previously Specially Serviced","Never Specially Serviced"))</f>
        <v/>
      </c>
      <c r="CF1129" s="78">
        <f>IF($CE1129="Currently Specially Serviced",1,0)</f>
        <v/>
      </c>
      <c r="CG1129" s="76">
        <f>IF($AA1129="Yes","Currently on Watchlist",IF($AA1129="Previously","Previously on Watchlist","Never on Watchlist"))</f>
        <v/>
      </c>
      <c r="CH1129" s="78">
        <f>IF($CG1129="Currently on Watchlist",1,0)</f>
        <v/>
      </c>
      <c r="CI1129" s="76">
        <f>IF($Z1129="Full Defeasance","Fully Defeased",IF($Z1129="Portion Of Loan Previously Defeased","Partially Defeased",IF($Z1129="Defeasance Not Allowable","Not Defeased (Not Permitted)","Not Defeased")))</f>
        <v/>
      </c>
      <c r="CJ1129" s="78">
        <f>IF($CI1129="Fully Defeased",1,0)</f>
        <v/>
      </c>
      <c r="CK1129" s="76">
        <f>IF($R1129="IO","Full IO",IF(LEFT($R1129&amp;"",7)="IO then","Partial IO","Amortizing"))</f>
        <v/>
      </c>
      <c r="CL1129" s="78">
        <f>IF($CK1129="Full IO",1,0)</f>
        <v/>
      </c>
      <c r="CM1129" s="78">
        <f>IF($CK1129="Partial IO",1,0)</f>
        <v/>
      </c>
      <c r="CN1129" s="76">
        <f>IF(LEFT($F1129&amp;"",10)="SPLIT_LOAN","Pari Passu Split","Standalone")</f>
        <v/>
      </c>
      <c r="CO1129" s="78">
        <f>IF($CN1129="Pari Passu Split",1,0)</f>
        <v/>
      </c>
      <c r="CP1129" s="77">
        <f>IF(ISNUMBER($T1129),YEAR($T1129),"")</f>
        <v/>
      </c>
      <c r="CQ1129" s="79">
        <f>IF(ISNUMBER($V1129),$V1129,IF(ISNUMBER($U1129),$U1129,""))</f>
        <v/>
      </c>
      <c r="CR1129" s="77">
        <f>IF(ISNUMBER($CQ1129),YEAR($CQ1129),"")</f>
        <v/>
      </c>
      <c r="CS1129" s="78">
        <f>IF(ISNUMBER($M1129),MAX(0,$M1129),IF(TRIM($M1129&amp;"")="matured",0,""))</f>
        <v/>
      </c>
      <c r="CT1129" s="78">
        <f>IF(AND(ISNUMBER($CS1129),N($CS1129)&lt;=mMatWindow),1,0)</f>
        <v/>
      </c>
      <c r="CU1129" s="80">
        <f>IF(ISNUMBER($J1129),$J1129/100,"")</f>
        <v/>
      </c>
      <c r="CV1129" s="81">
        <f>IF(ISNUMBER($AQ1129),$AQ1129,"")</f>
        <v/>
      </c>
      <c r="CW1129" s="81">
        <f>IF(ISNUMBER($AR1129),$AR1129,"")</f>
        <v/>
      </c>
      <c r="CX1129" s="82">
        <f>IF(ISNUMBER($AS1129),$AS1129/100,"")</f>
        <v/>
      </c>
      <c r="CY1129" s="82">
        <f>IF(ISNUMBER($AT1129),$AT1129/100,"")</f>
        <v/>
      </c>
      <c r="CZ1129" s="82">
        <f>IF(ISNUMBER($AU1129),$AU1129/100,"")</f>
        <v/>
      </c>
      <c r="DA1129" s="82">
        <f>IF(ISNUMBER($AV1129),$AV1129/100,"")</f>
        <v/>
      </c>
      <c r="DB1129" s="82">
        <f>IF(ISNUMBER($AW1129),$AW1129/100,"")</f>
        <v/>
      </c>
      <c r="DC1129" s="82">
        <f>IF(ISNUMBER($AX1129),$AX1129/100,"")</f>
        <v/>
      </c>
      <c r="DD1129" s="77">
        <f>IFERROR(VALUE(LEFT(TRIM($AO1129&amp;""),4)),"")</f>
        <v/>
      </c>
      <c r="DE1129" s="78">
        <f>IF(AND($BY1129=1,$BX1129=1,OR(fDeal="All Deals",$BU1129=fDeal),OR(fEntity="All Entities",$BV1129=fEntity),OR(fPType="All Property Types",$BZ1129=fPType),OR(fDefeased="Include",$CJ1129=0)),1,0)</f>
        <v/>
      </c>
      <c r="DF1129" s="83">
        <f>$DE1129*N($I1129)</f>
        <v/>
      </c>
      <c r="DG1129" s="78">
        <f>IF($DE1129=1,IF(COUNTIFS($F$8:$F1129,$F1129,$DE$8:$DE1129,1)=1,1,0),0)</f>
        <v/>
      </c>
      <c r="DH1129" s="83">
        <f>IF($DG1129=1,SUMIFS($DF$8:$DF$1600,$F$8:$F$1600,$F1129),0)</f>
        <v/>
      </c>
      <c r="DI1129" s="78">
        <f>IF($DG1129=1,COUNTIFS($F$8:$F$1600,$F1129,$DE$8:$DE$1600,1),0)</f>
        <v/>
      </c>
      <c r="DJ1129" s="84">
        <f>IF($DG1129=1,$DH1129+(100000-ROW())/mTieBreak,0)</f>
        <v/>
      </c>
    </row>
    <row r="1130">
      <c r="B1130" s="68" t="n">
        <v>9</v>
      </c>
      <c r="C1130" s="69" t="inlineStr">
        <is>
          <t>LCC17L26</t>
        </is>
      </c>
      <c r="D1130" s="69" t="inlineStr">
        <is>
          <t>9.000</t>
        </is>
      </c>
      <c r="E1130" s="69" t="inlineStr">
        <is>
          <t>Hilton Garden Inn Corvallis</t>
        </is>
      </c>
      <c r="F1130" s="69" t="inlineStr">
        <is>
          <t>LNLCC17L26-9.000</t>
        </is>
      </c>
      <c r="G1130" s="70" t="n"/>
      <c r="H1130" s="71" t="n">
        <v>18000000</v>
      </c>
      <c r="I1130" s="71" t="n">
        <v>14861245.59</v>
      </c>
      <c r="J1130" s="72" t="n">
        <v>4.55</v>
      </c>
      <c r="K1130" s="69" t="inlineStr">
        <is>
          <t>Fixed rate</t>
        </is>
      </c>
      <c r="L1130" s="68" t="n">
        <v>120</v>
      </c>
      <c r="M1130" s="68" t="n">
        <v>8</v>
      </c>
      <c r="N1130" s="68" t="n">
        <v>360</v>
      </c>
      <c r="O1130" s="68" t="n"/>
      <c r="P1130" s="68" t="n"/>
      <c r="Q1130" s="68" t="n">
        <v>112</v>
      </c>
      <c r="R1130" s="69" t="n"/>
      <c r="S1130" s="69" t="inlineStr">
        <is>
          <t>No</t>
        </is>
      </c>
      <c r="T1130" s="73" t="n">
        <v>42856</v>
      </c>
      <c r="U1130" s="73" t="n">
        <v>46513</v>
      </c>
      <c r="V1130" s="73" t="n"/>
      <c r="W1130" s="69" t="inlineStr">
        <is>
          <t>FC</t>
        </is>
      </c>
      <c r="X1130" s="69" t="inlineStr">
        <is>
          <t>Late Payment But Less Than 30 Days Delinquent</t>
        </is>
      </c>
      <c r="Y1130" s="68" t="n"/>
      <c r="Z1130" s="69" t="inlineStr">
        <is>
          <t>No Defeasance Occurred</t>
        </is>
      </c>
      <c r="AA1130" s="69" t="inlineStr">
        <is>
          <t>Previously</t>
        </is>
      </c>
      <c r="AB1130" s="69" t="inlineStr">
        <is>
          <t>Currently special serv</t>
        </is>
      </c>
      <c r="AC1130" s="73" t="n">
        <v>44025</v>
      </c>
      <c r="AD1130" s="69" t="inlineStr">
        <is>
          <t>Payment Default (all payments excluding Balloon/Maturity Payment)</t>
        </is>
      </c>
      <c r="AE1130" s="69" t="inlineStr">
        <is>
          <t>Foreclosure</t>
        </is>
      </c>
      <c r="AF1130" s="69" t="inlineStr">
        <is>
          <t>OR</t>
        </is>
      </c>
      <c r="AG1130" s="69" t="inlineStr">
        <is>
          <t>Corvallis</t>
        </is>
      </c>
      <c r="AH1130" s="69" t="inlineStr">
        <is>
          <t>Corvallis, OR</t>
        </is>
      </c>
      <c r="AI1130" s="69" t="inlineStr">
        <is>
          <t>West / Pacific North</t>
        </is>
      </c>
      <c r="AJ1130" s="69" t="inlineStr">
        <is>
          <t>HT</t>
        </is>
      </c>
      <c r="AK1130" s="69" t="inlineStr">
        <is>
          <t>Select Service</t>
        </is>
      </c>
      <c r="AL1130" s="68" t="n">
        <v>1</v>
      </c>
      <c r="AM1130" s="68" t="n">
        <v>153</v>
      </c>
      <c r="AN1130" s="68" t="n"/>
      <c r="AO1130" s="69" t="inlineStr">
        <is>
          <t>2003/2006</t>
        </is>
      </c>
      <c r="AP1130" s="70" t="n">
        <v>2016</v>
      </c>
      <c r="AQ1130" s="74" t="n">
        <v>2.64</v>
      </c>
      <c r="AR1130" s="74" t="n">
        <v>0.48</v>
      </c>
      <c r="AS1130" s="74" t="n">
        <v>56.2</v>
      </c>
      <c r="AT1130" s="74" t="n">
        <v>48.25</v>
      </c>
      <c r="AU1130" s="74" t="n">
        <v>45.6</v>
      </c>
      <c r="AV1130" s="74" t="n">
        <v>16.148899056</v>
      </c>
      <c r="AW1130" s="74" t="n">
        <v>0.65952749</v>
      </c>
      <c r="AX1130" s="75" t="n">
        <v>34</v>
      </c>
      <c r="AY1130" s="71" t="n">
        <v>32000000</v>
      </c>
      <c r="AZ1130" s="71" t="n">
        <v>30800000</v>
      </c>
      <c r="BA1130" s="71" t="n">
        <v>2906801.83</v>
      </c>
      <c r="BB1130" s="71" t="n">
        <v>524295.72</v>
      </c>
      <c r="BC1130" s="69" t="inlineStr">
        <is>
          <t>Refinance</t>
        </is>
      </c>
      <c r="BD1130" s="69" t="inlineStr">
        <is>
          <t>Y</t>
        </is>
      </c>
      <c r="BE1130" s="71" t="n"/>
      <c r="BF1130" s="71" t="n"/>
      <c r="BG1130" s="71" t="n"/>
      <c r="BH1130" s="71" t="n">
        <v>0</v>
      </c>
      <c r="BI1130" s="71" t="n">
        <v>91674.75999999999</v>
      </c>
      <c r="BJ1130" s="69" t="inlineStr">
        <is>
          <t>N</t>
        </is>
      </c>
      <c r="BK1130" s="69" t="n"/>
      <c r="BL1130" s="75" t="n"/>
      <c r="BM1130" s="73" t="n"/>
      <c r="BN1130" s="69" t="inlineStr">
        <is>
          <t>William J. Lawson</t>
        </is>
      </c>
      <c r="BO1130" s="69" t="inlineStr">
        <is>
          <t>Ladder Capital Finance</t>
        </is>
      </c>
      <c r="BP1130" s="69" t="inlineStr">
        <is>
          <t>TriMont Real Estate Advisors</t>
        </is>
      </c>
      <c r="BQ1130" s="69" t="inlineStr">
        <is>
          <t>K-Star Asset Management LLC</t>
        </is>
      </c>
      <c r="BR1130" s="69" t="n"/>
      <c r="BS1130" s="73" t="n">
        <v>46273</v>
      </c>
      <c r="BU1130" s="76">
        <f>IF($C1130="","",IFERROR(INDEX(dmName,MATCH($C1130,dmID,0)),"Unmapped"))</f>
        <v/>
      </c>
      <c r="BV1130" s="76">
        <f>IF($C1130="","",IFERROR(INDEX(dmEntity,MATCH($C1130,dmID,0)),"Unmapped"))</f>
        <v/>
      </c>
      <c r="BW1130" s="77">
        <f>IF($C1130="","",IFERROR(INDEX(dmVintage,MATCH($C1130,dmID,0)),""))</f>
        <v/>
      </c>
      <c r="BX1130" s="78">
        <f>IFERROR(INDEX(dmInclude,MATCH($C1130,dmID,0)),0)</f>
        <v/>
      </c>
      <c r="BY1130" s="78">
        <f>IF(N($I1130)&gt;0,1,0)</f>
        <v/>
      </c>
      <c r="BZ1130" s="76">
        <f>IF($AJ1130="","Other / Leased Fee",IFERROR(INDEX(mapPTGroup,MATCH(LEFT(TRIM($AJ1130),2),mapPTCode,0)),"Other / Leased Fee"))</f>
        <v/>
      </c>
      <c r="CA1130" s="76">
        <f>IF(TRIM($AF1130&amp;"")="","NR",LEFT(TRIM($AF1130),2))</f>
        <v/>
      </c>
      <c r="CB1130" s="76">
        <f>IFERROR(LOOKUP(2,1/(LEFT(TRIM($AI1130&amp;""),LEN(mapRegion))=mapRegion),mapRegion),"Not Reported")</f>
        <v/>
      </c>
      <c r="CC1130" s="76">
        <f>IF($BY1130=0,"",IF(TRIM($W1130&amp;"")="REO","REO",IF(TRIM($W1130&amp;"")="FC","Foreclosure",IF(TRIM($W1130&amp;"")="90+","90+ Days Delinquent",IF(TRIM($W1130&amp;"")="60","60 Days Delinquent",IF(TRIM($W1130&amp;"")="30","30 Days Delinquent",IF($X1130="Non-Performing Matured Balloon","Non-Performing Matured Balloon",IF(OR($X1130="Late Payment But Less Than 30 Days Delinquent",LEFT($X1130&amp;"",20)="Payment Not Received"),"Late / In Grace (&lt;30 Days)",IF($X1130="Performing Matured Balloon","Performing Matured Balloon","Current")))))))))</f>
        <v/>
      </c>
      <c r="CD1130" s="78">
        <f>IF(OR($CC1130="REO",$CC1130="Foreclosure",$CC1130="90+ Days Delinquent",$CC1130="60 Days Delinquent",$CC1130="30 Days Delinquent",$CC1130="Non-Performing Matured Balloon"),1,0)</f>
        <v/>
      </c>
      <c r="CE1130" s="76">
        <f>IF($AB1130="Currently special serv","Currently Specially Serviced",IF($AB1130="Returned to master serv","Previously Specially Serviced","Never Specially Serviced"))</f>
        <v/>
      </c>
      <c r="CF1130" s="78">
        <f>IF($CE1130="Currently Specially Serviced",1,0)</f>
        <v/>
      </c>
      <c r="CG1130" s="76">
        <f>IF($AA1130="Yes","Currently on Watchlist",IF($AA1130="Previously","Previously on Watchlist","Never on Watchlist"))</f>
        <v/>
      </c>
      <c r="CH1130" s="78">
        <f>IF($CG1130="Currently on Watchlist",1,0)</f>
        <v/>
      </c>
      <c r="CI1130" s="76">
        <f>IF($Z1130="Full Defeasance","Fully Defeased",IF($Z1130="Portion Of Loan Previously Defeased","Partially Defeased",IF($Z1130="Defeasance Not Allowable","Not Defeased (Not Permitted)","Not Defeased")))</f>
        <v/>
      </c>
      <c r="CJ1130" s="78">
        <f>IF($CI1130="Fully Defeased",1,0)</f>
        <v/>
      </c>
      <c r="CK1130" s="76">
        <f>IF($R1130="IO","Full IO",IF(LEFT($R1130&amp;"",7)="IO then","Partial IO","Amortizing"))</f>
        <v/>
      </c>
      <c r="CL1130" s="78">
        <f>IF($CK1130="Full IO",1,0)</f>
        <v/>
      </c>
      <c r="CM1130" s="78">
        <f>IF($CK1130="Partial IO",1,0)</f>
        <v/>
      </c>
      <c r="CN1130" s="76">
        <f>IF(LEFT($F1130&amp;"",10)="SPLIT_LOAN","Pari Passu Split","Standalone")</f>
        <v/>
      </c>
      <c r="CO1130" s="78">
        <f>IF($CN1130="Pari Passu Split",1,0)</f>
        <v/>
      </c>
      <c r="CP1130" s="77">
        <f>IF(ISNUMBER($T1130),YEAR($T1130),"")</f>
        <v/>
      </c>
      <c r="CQ1130" s="79">
        <f>IF(ISNUMBER($V1130),$V1130,IF(ISNUMBER($U1130),$U1130,""))</f>
        <v/>
      </c>
      <c r="CR1130" s="77">
        <f>IF(ISNUMBER($CQ1130),YEAR($CQ1130),"")</f>
        <v/>
      </c>
      <c r="CS1130" s="78">
        <f>IF(ISNUMBER($M1130),MAX(0,$M1130),IF(TRIM($M1130&amp;"")="matured",0,""))</f>
        <v/>
      </c>
      <c r="CT1130" s="78">
        <f>IF(AND(ISNUMBER($CS1130),N($CS1130)&lt;=mMatWindow),1,0)</f>
        <v/>
      </c>
      <c r="CU1130" s="80">
        <f>IF(ISNUMBER($J1130),$J1130/100,"")</f>
        <v/>
      </c>
      <c r="CV1130" s="81">
        <f>IF(ISNUMBER($AQ1130),$AQ1130,"")</f>
        <v/>
      </c>
      <c r="CW1130" s="81">
        <f>IF(ISNUMBER($AR1130),$AR1130,"")</f>
        <v/>
      </c>
      <c r="CX1130" s="82">
        <f>IF(ISNUMBER($AS1130),$AS1130/100,"")</f>
        <v/>
      </c>
      <c r="CY1130" s="82">
        <f>IF(ISNUMBER($AT1130),$AT1130/100,"")</f>
        <v/>
      </c>
      <c r="CZ1130" s="82">
        <f>IF(ISNUMBER($AU1130),$AU1130/100,"")</f>
        <v/>
      </c>
      <c r="DA1130" s="82">
        <f>IF(ISNUMBER($AV1130),$AV1130/100,"")</f>
        <v/>
      </c>
      <c r="DB1130" s="82">
        <f>IF(ISNUMBER($AW1130),$AW1130/100,"")</f>
        <v/>
      </c>
      <c r="DC1130" s="82">
        <f>IF(ISNUMBER($AX1130),$AX1130/100,"")</f>
        <v/>
      </c>
      <c r="DD1130" s="77">
        <f>IFERROR(VALUE(LEFT(TRIM($AO1130&amp;""),4)),"")</f>
        <v/>
      </c>
      <c r="DE1130" s="78">
        <f>IF(AND($BY1130=1,$BX1130=1,OR(fDeal="All Deals",$BU1130=fDeal),OR(fEntity="All Entities",$BV1130=fEntity),OR(fPType="All Property Types",$BZ1130=fPType),OR(fDefeased="Include",$CJ1130=0)),1,0)</f>
        <v/>
      </c>
      <c r="DF1130" s="83">
        <f>$DE1130*N($I1130)</f>
        <v/>
      </c>
      <c r="DG1130" s="78">
        <f>IF($DE1130=1,IF(COUNTIFS($F$8:$F1130,$F1130,$DE$8:$DE1130,1)=1,1,0),0)</f>
        <v/>
      </c>
      <c r="DH1130" s="83">
        <f>IF($DG1130=1,SUMIFS($DF$8:$DF$1600,$F$8:$F$1600,$F1130),0)</f>
        <v/>
      </c>
      <c r="DI1130" s="78">
        <f>IF($DG1130=1,COUNTIFS($F$8:$F$1600,$F1130,$DE$8:$DE$1600,1),0)</f>
        <v/>
      </c>
      <c r="DJ1130" s="84">
        <f>IF($DG1130=1,$DH1130+(100000-ROW())/mTieBreak,0)</f>
        <v/>
      </c>
    </row>
    <row r="1131">
      <c r="B1131" s="68" t="n">
        <v>10</v>
      </c>
      <c r="C1131" s="69" t="inlineStr">
        <is>
          <t>LCC17L26</t>
        </is>
      </c>
      <c r="D1131" s="69" t="inlineStr">
        <is>
          <t>10.000</t>
        </is>
      </c>
      <c r="E1131" s="69" t="inlineStr">
        <is>
          <t>Hurst and Sons MHC Portfolio</t>
        </is>
      </c>
      <c r="F1131" s="69" t="inlineStr">
        <is>
          <t>LNLCC17L26-10.000</t>
        </is>
      </c>
      <c r="G1131" s="70" t="n"/>
      <c r="H1131" s="71" t="n">
        <v>17700000</v>
      </c>
      <c r="I1131" s="71" t="n">
        <v>14804050.1399943</v>
      </c>
      <c r="J1131" s="72" t="n">
        <v>4.9</v>
      </c>
      <c r="K1131" s="69" t="inlineStr">
        <is>
          <t>Fixed rate</t>
        </is>
      </c>
      <c r="L1131" s="68" t="n">
        <v>120</v>
      </c>
      <c r="M1131" s="68" t="n">
        <v>9</v>
      </c>
      <c r="N1131" s="68" t="n">
        <v>360</v>
      </c>
      <c r="O1131" s="68" t="n"/>
      <c r="P1131" s="68" t="n"/>
      <c r="Q1131" s="68" t="n">
        <v>111</v>
      </c>
      <c r="R1131" s="69" t="n"/>
      <c r="S1131" s="69" t="inlineStr">
        <is>
          <t>No</t>
        </is>
      </c>
      <c r="T1131" s="73" t="n">
        <v>42887</v>
      </c>
      <c r="U1131" s="73" t="n">
        <v>46544</v>
      </c>
      <c r="V1131" s="73" t="n"/>
      <c r="W1131" s="69" t="n"/>
      <c r="X1131" s="69" t="inlineStr">
        <is>
          <t>Current</t>
        </is>
      </c>
      <c r="Y1131" s="68" t="n"/>
      <c r="Z1131" s="69" t="inlineStr">
        <is>
          <t>Full Defeasance</t>
        </is>
      </c>
      <c r="AA1131" s="69" t="inlineStr">
        <is>
          <t>Previously</t>
        </is>
      </c>
      <c r="AB1131" s="69" t="inlineStr">
        <is>
          <t>Never special serv</t>
        </is>
      </c>
      <c r="AC1131" s="73" t="n"/>
      <c r="AD1131" s="69" t="n"/>
      <c r="AE1131" s="69" t="n"/>
      <c r="AF1131" s="69" t="inlineStr">
        <is>
          <t>WA</t>
        </is>
      </c>
      <c r="AG1131" s="69" t="n"/>
      <c r="AH1131" s="69" t="inlineStr">
        <is>
          <t>Seattle-Tacoma-Bellevue, WA-57.771119992% Kennewick-Richland, WA-21.728580014% Yakima, WA-11.476840013% Wenatchee-East Wenatchee, WA-9.023459981%</t>
        </is>
      </c>
      <c r="AI1131" s="69" t="inlineStr">
        <is>
          <t>West / Pacific North</t>
        </is>
      </c>
      <c r="AJ1131" s="69" t="inlineStr">
        <is>
          <t>MH</t>
        </is>
      </c>
      <c r="AK1131" s="69" t="n"/>
      <c r="AL1131" s="68" t="n">
        <v>8</v>
      </c>
      <c r="AM1131" s="68" t="n">
        <v>396</v>
      </c>
      <c r="AN1131" s="68" t="n"/>
      <c r="AO1131" s="69" t="n"/>
      <c r="AP1131" s="70" t="n">
        <v>2014</v>
      </c>
      <c r="AQ1131" s="74" t="n">
        <v>1.43</v>
      </c>
      <c r="AR1131" s="74" t="n">
        <v>3</v>
      </c>
      <c r="AS1131" s="74" t="n">
        <v>59.9</v>
      </c>
      <c r="AT1131" s="74" t="n">
        <v>50.06</v>
      </c>
      <c r="AU1131" s="74" t="n">
        <v>49</v>
      </c>
      <c r="AV1131" s="74" t="n">
        <v>9.127061017000001</v>
      </c>
      <c r="AW1131" s="74" t="n">
        <v>20.581751758</v>
      </c>
      <c r="AX1131" s="75" t="n">
        <v>100</v>
      </c>
      <c r="AY1131" s="71" t="n">
        <v>29570000</v>
      </c>
      <c r="AZ1131" s="71" t="n">
        <v>29570000</v>
      </c>
      <c r="BA1131" s="71" t="n">
        <v>1615489.8</v>
      </c>
      <c r="BB1131" s="71" t="n">
        <v>1689411.11</v>
      </c>
      <c r="BC1131" s="69" t="inlineStr">
        <is>
          <t>Acquisition/Refinance</t>
        </is>
      </c>
      <c r="BD1131" s="69" t="inlineStr">
        <is>
          <t>N</t>
        </is>
      </c>
      <c r="BE1131" s="71" t="n"/>
      <c r="BF1131" s="71" t="n"/>
      <c r="BG1131" s="71" t="n"/>
      <c r="BH1131" s="71" t="n">
        <v>0</v>
      </c>
      <c r="BI1131" s="71" t="n">
        <v>0</v>
      </c>
      <c r="BJ1131" s="69" t="inlineStr">
        <is>
          <t>N</t>
        </is>
      </c>
      <c r="BK1131" s="69" t="n"/>
      <c r="BL1131" s="75" t="n"/>
      <c r="BM1131" s="73" t="n"/>
      <c r="BN1131" s="69" t="inlineStr">
        <is>
          <t>Caleb K. Romack, Ronald E. Hurst, Maureen K. Black, Steven L. Black</t>
        </is>
      </c>
      <c r="BO1131" s="69" t="inlineStr">
        <is>
          <t>Ladder Capital Finance</t>
        </is>
      </c>
      <c r="BP1131" s="69" t="inlineStr">
        <is>
          <t>TriMont Real Estate Advisors</t>
        </is>
      </c>
      <c r="BQ1131" s="69" t="inlineStr">
        <is>
          <t>K-Star Asset Management LLC</t>
        </is>
      </c>
      <c r="BR1131" s="69" t="n"/>
      <c r="BS1131" s="73" t="n">
        <v>46273</v>
      </c>
      <c r="BU1131" s="76">
        <f>IF($C1131="","",IFERROR(INDEX(dmName,MATCH($C1131,dmID,0)),"Unmapped"))</f>
        <v/>
      </c>
      <c r="BV1131" s="76">
        <f>IF($C1131="","",IFERROR(INDEX(dmEntity,MATCH($C1131,dmID,0)),"Unmapped"))</f>
        <v/>
      </c>
      <c r="BW1131" s="77">
        <f>IF($C1131="","",IFERROR(INDEX(dmVintage,MATCH($C1131,dmID,0)),""))</f>
        <v/>
      </c>
      <c r="BX1131" s="78">
        <f>IFERROR(INDEX(dmInclude,MATCH($C1131,dmID,0)),0)</f>
        <v/>
      </c>
      <c r="BY1131" s="78">
        <f>IF(N($I1131)&gt;0,1,0)</f>
        <v/>
      </c>
      <c r="BZ1131" s="76">
        <f>IF($AJ1131="","Other / Leased Fee",IFERROR(INDEX(mapPTGroup,MATCH(LEFT(TRIM($AJ1131),2),mapPTCode,0)),"Other / Leased Fee"))</f>
        <v/>
      </c>
      <c r="CA1131" s="76">
        <f>IF(TRIM($AF1131&amp;"")="","NR",LEFT(TRIM($AF1131),2))</f>
        <v/>
      </c>
      <c r="CB1131" s="76">
        <f>IFERROR(LOOKUP(2,1/(LEFT(TRIM($AI1131&amp;""),LEN(mapRegion))=mapRegion),mapRegion),"Not Reported")</f>
        <v/>
      </c>
      <c r="CC1131" s="76">
        <f>IF($BY1131=0,"",IF(TRIM($W1131&amp;"")="REO","REO",IF(TRIM($W1131&amp;"")="FC","Foreclosure",IF(TRIM($W1131&amp;"")="90+","90+ Days Delinquent",IF(TRIM($W1131&amp;"")="60","60 Days Delinquent",IF(TRIM($W1131&amp;"")="30","30 Days Delinquent",IF($X1131="Non-Performing Matured Balloon","Non-Performing Matured Balloon",IF(OR($X1131="Late Payment But Less Than 30 Days Delinquent",LEFT($X1131&amp;"",20)="Payment Not Received"),"Late / In Grace (&lt;30 Days)",IF($X1131="Performing Matured Balloon","Performing Matured Balloon","Current")))))))))</f>
        <v/>
      </c>
      <c r="CD1131" s="78">
        <f>IF(OR($CC1131="REO",$CC1131="Foreclosure",$CC1131="90+ Days Delinquent",$CC1131="60 Days Delinquent",$CC1131="30 Days Delinquent",$CC1131="Non-Performing Matured Balloon"),1,0)</f>
        <v/>
      </c>
      <c r="CE1131" s="76">
        <f>IF($AB1131="Currently special serv","Currently Specially Serviced",IF($AB1131="Returned to master serv","Previously Specially Serviced","Never Specially Serviced"))</f>
        <v/>
      </c>
      <c r="CF1131" s="78">
        <f>IF($CE1131="Currently Specially Serviced",1,0)</f>
        <v/>
      </c>
      <c r="CG1131" s="76">
        <f>IF($AA1131="Yes","Currently on Watchlist",IF($AA1131="Previously","Previously on Watchlist","Never on Watchlist"))</f>
        <v/>
      </c>
      <c r="CH1131" s="78">
        <f>IF($CG1131="Currently on Watchlist",1,0)</f>
        <v/>
      </c>
      <c r="CI1131" s="76">
        <f>IF($Z1131="Full Defeasance","Fully Defeased",IF($Z1131="Portion Of Loan Previously Defeased","Partially Defeased",IF($Z1131="Defeasance Not Allowable","Not Defeased (Not Permitted)","Not Defeased")))</f>
        <v/>
      </c>
      <c r="CJ1131" s="78">
        <f>IF($CI1131="Fully Defeased",1,0)</f>
        <v/>
      </c>
      <c r="CK1131" s="76">
        <f>IF($R1131="IO","Full IO",IF(LEFT($R1131&amp;"",7)="IO then","Partial IO","Amortizing"))</f>
        <v/>
      </c>
      <c r="CL1131" s="78">
        <f>IF($CK1131="Full IO",1,0)</f>
        <v/>
      </c>
      <c r="CM1131" s="78">
        <f>IF($CK1131="Partial IO",1,0)</f>
        <v/>
      </c>
      <c r="CN1131" s="76">
        <f>IF(LEFT($F1131&amp;"",10)="SPLIT_LOAN","Pari Passu Split","Standalone")</f>
        <v/>
      </c>
      <c r="CO1131" s="78">
        <f>IF($CN1131="Pari Passu Split",1,0)</f>
        <v/>
      </c>
      <c r="CP1131" s="77">
        <f>IF(ISNUMBER($T1131),YEAR($T1131),"")</f>
        <v/>
      </c>
      <c r="CQ1131" s="79">
        <f>IF(ISNUMBER($V1131),$V1131,IF(ISNUMBER($U1131),$U1131,""))</f>
        <v/>
      </c>
      <c r="CR1131" s="77">
        <f>IF(ISNUMBER($CQ1131),YEAR($CQ1131),"")</f>
        <v/>
      </c>
      <c r="CS1131" s="78">
        <f>IF(ISNUMBER($M1131),MAX(0,$M1131),IF(TRIM($M1131&amp;"")="matured",0,""))</f>
        <v/>
      </c>
      <c r="CT1131" s="78">
        <f>IF(AND(ISNUMBER($CS1131),N($CS1131)&lt;=mMatWindow),1,0)</f>
        <v/>
      </c>
      <c r="CU1131" s="80">
        <f>IF(ISNUMBER($J1131),$J1131/100,"")</f>
        <v/>
      </c>
      <c r="CV1131" s="81">
        <f>IF(ISNUMBER($AQ1131),$AQ1131,"")</f>
        <v/>
      </c>
      <c r="CW1131" s="81">
        <f>IF(ISNUMBER($AR1131),$AR1131,"")</f>
        <v/>
      </c>
      <c r="CX1131" s="82">
        <f>IF(ISNUMBER($AS1131),$AS1131/100,"")</f>
        <v/>
      </c>
      <c r="CY1131" s="82">
        <f>IF(ISNUMBER($AT1131),$AT1131/100,"")</f>
        <v/>
      </c>
      <c r="CZ1131" s="82">
        <f>IF(ISNUMBER($AU1131),$AU1131/100,"")</f>
        <v/>
      </c>
      <c r="DA1131" s="82">
        <f>IF(ISNUMBER($AV1131),$AV1131/100,"")</f>
        <v/>
      </c>
      <c r="DB1131" s="82">
        <f>IF(ISNUMBER($AW1131),$AW1131/100,"")</f>
        <v/>
      </c>
      <c r="DC1131" s="82">
        <f>IF(ISNUMBER($AX1131),$AX1131/100,"")</f>
        <v/>
      </c>
      <c r="DD1131" s="77">
        <f>IFERROR(VALUE(LEFT(TRIM($AO1131&amp;""),4)),"")</f>
        <v/>
      </c>
      <c r="DE1131" s="78">
        <f>IF(AND($BY1131=1,$BX1131=1,OR(fDeal="All Deals",$BU1131=fDeal),OR(fEntity="All Entities",$BV1131=fEntity),OR(fPType="All Property Types",$BZ1131=fPType),OR(fDefeased="Include",$CJ1131=0)),1,0)</f>
        <v/>
      </c>
      <c r="DF1131" s="83">
        <f>$DE1131*N($I1131)</f>
        <v/>
      </c>
      <c r="DG1131" s="78">
        <f>IF($DE1131=1,IF(COUNTIFS($F$8:$F1131,$F1131,$DE$8:$DE1131,1)=1,1,0),0)</f>
        <v/>
      </c>
      <c r="DH1131" s="83">
        <f>IF($DG1131=1,SUMIFS($DF$8:$DF$1600,$F$8:$F$1600,$F1131),0)</f>
        <v/>
      </c>
      <c r="DI1131" s="78">
        <f>IF($DG1131=1,COUNTIFS($F$8:$F$1600,$F1131,$DE$8:$DE$1600,1),0)</f>
        <v/>
      </c>
      <c r="DJ1131" s="84">
        <f>IF($DG1131=1,$DH1131+(100000-ROW())/mTieBreak,0)</f>
        <v/>
      </c>
    </row>
    <row r="1132">
      <c r="B1132" s="68" t="n">
        <v>11</v>
      </c>
      <c r="C1132" s="69" t="inlineStr">
        <is>
          <t>LCC17L26</t>
        </is>
      </c>
      <c r="D1132" s="69" t="inlineStr">
        <is>
          <t>11.000</t>
        </is>
      </c>
      <c r="E1132" s="69" t="inlineStr">
        <is>
          <t>Wilmington Hotel Portfolio</t>
        </is>
      </c>
      <c r="F1132" s="69" t="inlineStr">
        <is>
          <t>LNLCC17L26-11.000</t>
        </is>
      </c>
      <c r="G1132" s="70" t="n"/>
      <c r="H1132" s="71" t="n">
        <v>15300000</v>
      </c>
      <c r="I1132" s="71" t="n">
        <v>11983755.2199939</v>
      </c>
      <c r="J1132" s="72" t="n">
        <v>5.661</v>
      </c>
      <c r="K1132" s="69" t="inlineStr">
        <is>
          <t>Fixed rate</t>
        </is>
      </c>
      <c r="L1132" s="68" t="n">
        <v>120</v>
      </c>
      <c r="M1132" s="68" t="n">
        <v>7</v>
      </c>
      <c r="N1132" s="68" t="n">
        <v>300</v>
      </c>
      <c r="O1132" s="68" t="n"/>
      <c r="P1132" s="68" t="n"/>
      <c r="Q1132" s="68" t="n">
        <v>113</v>
      </c>
      <c r="R1132" s="69" t="n"/>
      <c r="S1132" s="69" t="inlineStr">
        <is>
          <t>No</t>
        </is>
      </c>
      <c r="T1132" s="73" t="n">
        <v>42826</v>
      </c>
      <c r="U1132" s="73" t="n">
        <v>46483</v>
      </c>
      <c r="V1132" s="73" t="n"/>
      <c r="W1132" s="69" t="n"/>
      <c r="X1132" s="69" t="inlineStr">
        <is>
          <t>Current</t>
        </is>
      </c>
      <c r="Y1132" s="68" t="n"/>
      <c r="Z1132" s="69" t="inlineStr">
        <is>
          <t>Full Defeasance</t>
        </is>
      </c>
      <c r="AA1132" s="69" t="inlineStr">
        <is>
          <t>Previously</t>
        </is>
      </c>
      <c r="AB1132" s="69" t="inlineStr">
        <is>
          <t>Returned to master serv</t>
        </is>
      </c>
      <c r="AC1132" s="73" t="n"/>
      <c r="AD1132" s="69" t="inlineStr">
        <is>
          <t>Payment Default (all payments excluding Balloon/Maturity Payment)</t>
        </is>
      </c>
      <c r="AE1132" s="69" t="inlineStr">
        <is>
          <t>Resolved</t>
        </is>
      </c>
      <c r="AF1132" s="69" t="inlineStr">
        <is>
          <t>DE</t>
        </is>
      </c>
      <c r="AG1132" s="69" t="inlineStr">
        <is>
          <t>Wilmington</t>
        </is>
      </c>
      <c r="AH1132" s="69" t="inlineStr">
        <is>
          <t>Philadelphia-Camden-Wilmington, PA-NJ-DE-MD</t>
        </is>
      </c>
      <c r="AI1132" s="69" t="inlineStr">
        <is>
          <t>Northeast / Mid-Atlantic</t>
        </is>
      </c>
      <c r="AJ1132" s="69" t="inlineStr">
        <is>
          <t>HT</t>
        </is>
      </c>
      <c r="AK1132" s="69" t="inlineStr">
        <is>
          <t>Limited Service</t>
        </is>
      </c>
      <c r="AL1132" s="68" t="n">
        <v>2</v>
      </c>
      <c r="AM1132" s="68" t="n">
        <v>149</v>
      </c>
      <c r="AN1132" s="68" t="n"/>
      <c r="AO1132" s="69" t="inlineStr">
        <is>
          <t>1999</t>
        </is>
      </c>
      <c r="AP1132" s="70" t="n">
        <v>2015</v>
      </c>
      <c r="AQ1132" s="74" t="n">
        <v>1.68</v>
      </c>
      <c r="AR1132" s="74" t="n">
        <v>1.1</v>
      </c>
      <c r="AS1132" s="74" t="n">
        <v>69.8</v>
      </c>
      <c r="AT1132" s="74" t="n">
        <v>59.62</v>
      </c>
      <c r="AU1132" s="74" t="n">
        <v>53.6</v>
      </c>
      <c r="AV1132" s="74" t="n">
        <v>12.611667582</v>
      </c>
      <c r="AW1132" s="74" t="n">
        <v>10.0283784</v>
      </c>
      <c r="AX1132" s="75" t="n">
        <v>58</v>
      </c>
      <c r="AY1132" s="71" t="n">
        <v>21850000</v>
      </c>
      <c r="AZ1132" s="71" t="n">
        <v>20100000</v>
      </c>
      <c r="BA1132" s="71" t="n">
        <v>1929585.14</v>
      </c>
      <c r="BB1132" s="71" t="n">
        <v>1255307.14</v>
      </c>
      <c r="BC1132" s="69" t="inlineStr">
        <is>
          <t>Acquisition</t>
        </is>
      </c>
      <c r="BD1132" s="69" t="inlineStr">
        <is>
          <t>N</t>
        </is>
      </c>
      <c r="BE1132" s="71" t="n"/>
      <c r="BF1132" s="71" t="n"/>
      <c r="BG1132" s="71" t="n"/>
      <c r="BH1132" s="71" t="n">
        <v>0</v>
      </c>
      <c r="BI1132" s="71" t="n">
        <v>0</v>
      </c>
      <c r="BJ1132" s="69" t="inlineStr">
        <is>
          <t>Y</t>
        </is>
      </c>
      <c r="BK1132" s="69" t="n"/>
      <c r="BL1132" s="75" t="n"/>
      <c r="BM1132" s="73" t="n"/>
      <c r="BN1132" s="69" t="inlineStr">
        <is>
          <t>Garry R. Hesselbacher and Chetan Patel</t>
        </is>
      </c>
      <c r="BO1132" s="69" t="inlineStr">
        <is>
          <t>Ladder Capital Finance</t>
        </is>
      </c>
      <c r="BP1132" s="69" t="inlineStr">
        <is>
          <t>TriMont Real Estate Advisors</t>
        </is>
      </c>
      <c r="BQ1132" s="69" t="inlineStr">
        <is>
          <t>K-Star Asset Management LLC</t>
        </is>
      </c>
      <c r="BR1132" s="69" t="n"/>
      <c r="BS1132" s="73" t="n">
        <v>46273</v>
      </c>
      <c r="BU1132" s="76">
        <f>IF($C1132="","",IFERROR(INDEX(dmName,MATCH($C1132,dmID,0)),"Unmapped"))</f>
        <v/>
      </c>
      <c r="BV1132" s="76">
        <f>IF($C1132="","",IFERROR(INDEX(dmEntity,MATCH($C1132,dmID,0)),"Unmapped"))</f>
        <v/>
      </c>
      <c r="BW1132" s="77">
        <f>IF($C1132="","",IFERROR(INDEX(dmVintage,MATCH($C1132,dmID,0)),""))</f>
        <v/>
      </c>
      <c r="BX1132" s="78">
        <f>IFERROR(INDEX(dmInclude,MATCH($C1132,dmID,0)),0)</f>
        <v/>
      </c>
      <c r="BY1132" s="78">
        <f>IF(N($I1132)&gt;0,1,0)</f>
        <v/>
      </c>
      <c r="BZ1132" s="76">
        <f>IF($AJ1132="","Other / Leased Fee",IFERROR(INDEX(mapPTGroup,MATCH(LEFT(TRIM($AJ1132),2),mapPTCode,0)),"Other / Leased Fee"))</f>
        <v/>
      </c>
      <c r="CA1132" s="76">
        <f>IF(TRIM($AF1132&amp;"")="","NR",LEFT(TRIM($AF1132),2))</f>
        <v/>
      </c>
      <c r="CB1132" s="76">
        <f>IFERROR(LOOKUP(2,1/(LEFT(TRIM($AI1132&amp;""),LEN(mapRegion))=mapRegion),mapRegion),"Not Reported")</f>
        <v/>
      </c>
      <c r="CC1132" s="76">
        <f>IF($BY1132=0,"",IF(TRIM($W1132&amp;"")="REO","REO",IF(TRIM($W1132&amp;"")="FC","Foreclosure",IF(TRIM($W1132&amp;"")="90+","90+ Days Delinquent",IF(TRIM($W1132&amp;"")="60","60 Days Delinquent",IF(TRIM($W1132&amp;"")="30","30 Days Delinquent",IF($X1132="Non-Performing Matured Balloon","Non-Performing Matured Balloon",IF(OR($X1132="Late Payment But Less Than 30 Days Delinquent",LEFT($X1132&amp;"",20)="Payment Not Received"),"Late / In Grace (&lt;30 Days)",IF($X1132="Performing Matured Balloon","Performing Matured Balloon","Current")))))))))</f>
        <v/>
      </c>
      <c r="CD1132" s="78">
        <f>IF(OR($CC1132="REO",$CC1132="Foreclosure",$CC1132="90+ Days Delinquent",$CC1132="60 Days Delinquent",$CC1132="30 Days Delinquent",$CC1132="Non-Performing Matured Balloon"),1,0)</f>
        <v/>
      </c>
      <c r="CE1132" s="76">
        <f>IF($AB1132="Currently special serv","Currently Specially Serviced",IF($AB1132="Returned to master serv","Previously Specially Serviced","Never Specially Serviced"))</f>
        <v/>
      </c>
      <c r="CF1132" s="78">
        <f>IF($CE1132="Currently Specially Serviced",1,0)</f>
        <v/>
      </c>
      <c r="CG1132" s="76">
        <f>IF($AA1132="Yes","Currently on Watchlist",IF($AA1132="Previously","Previously on Watchlist","Never on Watchlist"))</f>
        <v/>
      </c>
      <c r="CH1132" s="78">
        <f>IF($CG1132="Currently on Watchlist",1,0)</f>
        <v/>
      </c>
      <c r="CI1132" s="76">
        <f>IF($Z1132="Full Defeasance","Fully Defeased",IF($Z1132="Portion Of Loan Previously Defeased","Partially Defeased",IF($Z1132="Defeasance Not Allowable","Not Defeased (Not Permitted)","Not Defeased")))</f>
        <v/>
      </c>
      <c r="CJ1132" s="78">
        <f>IF($CI1132="Fully Defeased",1,0)</f>
        <v/>
      </c>
      <c r="CK1132" s="76">
        <f>IF($R1132="IO","Full IO",IF(LEFT($R1132&amp;"",7)="IO then","Partial IO","Amortizing"))</f>
        <v/>
      </c>
      <c r="CL1132" s="78">
        <f>IF($CK1132="Full IO",1,0)</f>
        <v/>
      </c>
      <c r="CM1132" s="78">
        <f>IF($CK1132="Partial IO",1,0)</f>
        <v/>
      </c>
      <c r="CN1132" s="76">
        <f>IF(LEFT($F1132&amp;"",10)="SPLIT_LOAN","Pari Passu Split","Standalone")</f>
        <v/>
      </c>
      <c r="CO1132" s="78">
        <f>IF($CN1132="Pari Passu Split",1,0)</f>
        <v/>
      </c>
      <c r="CP1132" s="77">
        <f>IF(ISNUMBER($T1132),YEAR($T1132),"")</f>
        <v/>
      </c>
      <c r="CQ1132" s="79">
        <f>IF(ISNUMBER($V1132),$V1132,IF(ISNUMBER($U1132),$U1132,""))</f>
        <v/>
      </c>
      <c r="CR1132" s="77">
        <f>IF(ISNUMBER($CQ1132),YEAR($CQ1132),"")</f>
        <v/>
      </c>
      <c r="CS1132" s="78">
        <f>IF(ISNUMBER($M1132),MAX(0,$M1132),IF(TRIM($M1132&amp;"")="matured",0,""))</f>
        <v/>
      </c>
      <c r="CT1132" s="78">
        <f>IF(AND(ISNUMBER($CS1132),N($CS1132)&lt;=mMatWindow),1,0)</f>
        <v/>
      </c>
      <c r="CU1132" s="80">
        <f>IF(ISNUMBER($J1132),$J1132/100,"")</f>
        <v/>
      </c>
      <c r="CV1132" s="81">
        <f>IF(ISNUMBER($AQ1132),$AQ1132,"")</f>
        <v/>
      </c>
      <c r="CW1132" s="81">
        <f>IF(ISNUMBER($AR1132),$AR1132,"")</f>
        <v/>
      </c>
      <c r="CX1132" s="82">
        <f>IF(ISNUMBER($AS1132),$AS1132/100,"")</f>
        <v/>
      </c>
      <c r="CY1132" s="82">
        <f>IF(ISNUMBER($AT1132),$AT1132/100,"")</f>
        <v/>
      </c>
      <c r="CZ1132" s="82">
        <f>IF(ISNUMBER($AU1132),$AU1132/100,"")</f>
        <v/>
      </c>
      <c r="DA1132" s="82">
        <f>IF(ISNUMBER($AV1132),$AV1132/100,"")</f>
        <v/>
      </c>
      <c r="DB1132" s="82">
        <f>IF(ISNUMBER($AW1132),$AW1132/100,"")</f>
        <v/>
      </c>
      <c r="DC1132" s="82">
        <f>IF(ISNUMBER($AX1132),$AX1132/100,"")</f>
        <v/>
      </c>
      <c r="DD1132" s="77">
        <f>IFERROR(VALUE(LEFT(TRIM($AO1132&amp;""),4)),"")</f>
        <v/>
      </c>
      <c r="DE1132" s="78">
        <f>IF(AND($BY1132=1,$BX1132=1,OR(fDeal="All Deals",$BU1132=fDeal),OR(fEntity="All Entities",$BV1132=fEntity),OR(fPType="All Property Types",$BZ1132=fPType),OR(fDefeased="Include",$CJ1132=0)),1,0)</f>
        <v/>
      </c>
      <c r="DF1132" s="83">
        <f>$DE1132*N($I1132)</f>
        <v/>
      </c>
      <c r="DG1132" s="78">
        <f>IF($DE1132=1,IF(COUNTIFS($F$8:$F1132,$F1132,$DE$8:$DE1132,1)=1,1,0),0)</f>
        <v/>
      </c>
      <c r="DH1132" s="83">
        <f>IF($DG1132=1,SUMIFS($DF$8:$DF$1600,$F$8:$F$1600,$F1132),0)</f>
        <v/>
      </c>
      <c r="DI1132" s="78">
        <f>IF($DG1132=1,COUNTIFS($F$8:$F$1600,$F1132,$DE$8:$DE$1600,1),0)</f>
        <v/>
      </c>
      <c r="DJ1132" s="84">
        <f>IF($DG1132=1,$DH1132+(100000-ROW())/mTieBreak,0)</f>
        <v/>
      </c>
    </row>
    <row r="1133">
      <c r="B1133" s="68" t="n">
        <v>12</v>
      </c>
      <c r="C1133" s="69" t="inlineStr">
        <is>
          <t>LCC17L26</t>
        </is>
      </c>
      <c r="D1133" s="69" t="inlineStr">
        <is>
          <t>12.000</t>
        </is>
      </c>
      <c r="E1133" s="69" t="inlineStr">
        <is>
          <t>Amarr Industrial Building</t>
        </is>
      </c>
      <c r="F1133" s="69" t="inlineStr">
        <is>
          <t>LNLCC17L26-12.000</t>
        </is>
      </c>
      <c r="G1133" s="70" t="n"/>
      <c r="H1133" s="71" t="n">
        <v>15200000</v>
      </c>
      <c r="I1133" s="71" t="n">
        <v>12643285.9</v>
      </c>
      <c r="J1133" s="72" t="n">
        <v>4.864</v>
      </c>
      <c r="K1133" s="69" t="inlineStr">
        <is>
          <t>Fixed rate</t>
        </is>
      </c>
      <c r="L1133" s="68" t="n">
        <v>120</v>
      </c>
      <c r="M1133" s="68" t="n">
        <v>7</v>
      </c>
      <c r="N1133" s="68" t="n">
        <v>360</v>
      </c>
      <c r="O1133" s="68" t="n"/>
      <c r="P1133" s="68" t="n"/>
      <c r="Q1133" s="68" t="n">
        <v>113</v>
      </c>
      <c r="R1133" s="69" t="n"/>
      <c r="S1133" s="69" t="inlineStr">
        <is>
          <t>No</t>
        </is>
      </c>
      <c r="T1133" s="73" t="n">
        <v>42826</v>
      </c>
      <c r="U1133" s="73" t="n">
        <v>46483</v>
      </c>
      <c r="V1133" s="73" t="n"/>
      <c r="W1133" s="69" t="n"/>
      <c r="X1133" s="69" t="inlineStr">
        <is>
          <t>Current</t>
        </is>
      </c>
      <c r="Y1133" s="68" t="n"/>
      <c r="Z1133" s="69" t="inlineStr">
        <is>
          <t>Full Defeasance</t>
        </is>
      </c>
      <c r="AA1133" s="69" t="n"/>
      <c r="AB1133" s="69" t="inlineStr">
        <is>
          <t>Never special serv</t>
        </is>
      </c>
      <c r="AC1133" s="73" t="n"/>
      <c r="AD1133" s="69" t="n"/>
      <c r="AE1133" s="69" t="n"/>
      <c r="AF1133" s="69" t="inlineStr">
        <is>
          <t>KS</t>
        </is>
      </c>
      <c r="AG1133" s="69" t="inlineStr">
        <is>
          <t>Lawrence</t>
        </is>
      </c>
      <c r="AH1133" s="69" t="inlineStr">
        <is>
          <t>Lawrence, KS</t>
        </is>
      </c>
      <c r="AI1133" s="69" t="inlineStr">
        <is>
          <t>Midwest / Central West</t>
        </is>
      </c>
      <c r="AJ1133" s="69" t="inlineStr">
        <is>
          <t>IN</t>
        </is>
      </c>
      <c r="AK1133" s="69" t="inlineStr">
        <is>
          <t>Warehouse/Distribution</t>
        </is>
      </c>
      <c r="AL1133" s="68" t="n">
        <v>1</v>
      </c>
      <c r="AM1133" s="68" t="n"/>
      <c r="AN1133" s="68" t="n">
        <v>403960</v>
      </c>
      <c r="AO1133" s="69" t="inlineStr">
        <is>
          <t>1989</t>
        </is>
      </c>
      <c r="AP1133" s="70" t="n">
        <v>2005</v>
      </c>
      <c r="AQ1133" s="74" t="n">
        <v>1.66</v>
      </c>
      <c r="AR1133" s="74" t="n">
        <v>1.86</v>
      </c>
      <c r="AS1133" s="74" t="n">
        <v>61.1</v>
      </c>
      <c r="AT1133" s="74" t="n">
        <v>50.98</v>
      </c>
      <c r="AU1133" s="74" t="n">
        <v>50.2</v>
      </c>
      <c r="AV1133" s="74" t="n">
        <v>10.502095987</v>
      </c>
      <c r="AW1133" s="74" t="n">
        <v>14.169109314</v>
      </c>
      <c r="AX1133" s="75" t="n">
        <v>100</v>
      </c>
      <c r="AY1133" s="71" t="n">
        <v>24800000</v>
      </c>
      <c r="AZ1133" s="71" t="n">
        <v>24800000</v>
      </c>
      <c r="BA1133" s="71" t="n">
        <v>1596318.59</v>
      </c>
      <c r="BB1133" s="71" t="n">
        <v>1791441</v>
      </c>
      <c r="BC1133" s="69" t="inlineStr">
        <is>
          <t>Refinance</t>
        </is>
      </c>
      <c r="BD1133" s="69" t="inlineStr">
        <is>
          <t>N</t>
        </is>
      </c>
      <c r="BE1133" s="71" t="n"/>
      <c r="BF1133" s="71" t="n"/>
      <c r="BG1133" s="71" t="n"/>
      <c r="BH1133" s="71" t="n">
        <v>0</v>
      </c>
      <c r="BI1133" s="71" t="n">
        <v>0</v>
      </c>
      <c r="BJ1133" s="69" t="inlineStr">
        <is>
          <t>N</t>
        </is>
      </c>
      <c r="BK1133" s="69" t="inlineStr">
        <is>
          <t>Amarr Company a North Carolina Corporation</t>
        </is>
      </c>
      <c r="BL1133" s="75" t="n">
        <v>100</v>
      </c>
      <c r="BM1133" s="73" t="n">
        <v>46477</v>
      </c>
      <c r="BN1133" s="69" t="inlineStr">
        <is>
          <t>Sherwin Nathan Jarol</t>
        </is>
      </c>
      <c r="BO1133" s="69" t="inlineStr">
        <is>
          <t>Ladder Capital Finance</t>
        </is>
      </c>
      <c r="BP1133" s="69" t="inlineStr">
        <is>
          <t>TriMont Real Estate Advisors</t>
        </is>
      </c>
      <c r="BQ1133" s="69" t="inlineStr">
        <is>
          <t>K-Star Asset Management LLC</t>
        </is>
      </c>
      <c r="BR1133" s="69" t="n"/>
      <c r="BS1133" s="73" t="n">
        <v>46273</v>
      </c>
      <c r="BU1133" s="76">
        <f>IF($C1133="","",IFERROR(INDEX(dmName,MATCH($C1133,dmID,0)),"Unmapped"))</f>
        <v/>
      </c>
      <c r="BV1133" s="76">
        <f>IF($C1133="","",IFERROR(INDEX(dmEntity,MATCH($C1133,dmID,0)),"Unmapped"))</f>
        <v/>
      </c>
      <c r="BW1133" s="77">
        <f>IF($C1133="","",IFERROR(INDEX(dmVintage,MATCH($C1133,dmID,0)),""))</f>
        <v/>
      </c>
      <c r="BX1133" s="78">
        <f>IFERROR(INDEX(dmInclude,MATCH($C1133,dmID,0)),0)</f>
        <v/>
      </c>
      <c r="BY1133" s="78">
        <f>IF(N($I1133)&gt;0,1,0)</f>
        <v/>
      </c>
      <c r="BZ1133" s="76">
        <f>IF($AJ1133="","Other / Leased Fee",IFERROR(INDEX(mapPTGroup,MATCH(LEFT(TRIM($AJ1133),2),mapPTCode,0)),"Other / Leased Fee"))</f>
        <v/>
      </c>
      <c r="CA1133" s="76">
        <f>IF(TRIM($AF1133&amp;"")="","NR",LEFT(TRIM($AF1133),2))</f>
        <v/>
      </c>
      <c r="CB1133" s="76">
        <f>IFERROR(LOOKUP(2,1/(LEFT(TRIM($AI1133&amp;""),LEN(mapRegion))=mapRegion),mapRegion),"Not Reported")</f>
        <v/>
      </c>
      <c r="CC1133" s="76">
        <f>IF($BY1133=0,"",IF(TRIM($W1133&amp;"")="REO","REO",IF(TRIM($W1133&amp;"")="FC","Foreclosure",IF(TRIM($W1133&amp;"")="90+","90+ Days Delinquent",IF(TRIM($W1133&amp;"")="60","60 Days Delinquent",IF(TRIM($W1133&amp;"")="30","30 Days Delinquent",IF($X1133="Non-Performing Matured Balloon","Non-Performing Matured Balloon",IF(OR($X1133="Late Payment But Less Than 30 Days Delinquent",LEFT($X1133&amp;"",20)="Payment Not Received"),"Late / In Grace (&lt;30 Days)",IF($X1133="Performing Matured Balloon","Performing Matured Balloon","Current")))))))))</f>
        <v/>
      </c>
      <c r="CD1133" s="78">
        <f>IF(OR($CC1133="REO",$CC1133="Foreclosure",$CC1133="90+ Days Delinquent",$CC1133="60 Days Delinquent",$CC1133="30 Days Delinquent",$CC1133="Non-Performing Matured Balloon"),1,0)</f>
        <v/>
      </c>
      <c r="CE1133" s="76">
        <f>IF($AB1133="Currently special serv","Currently Specially Serviced",IF($AB1133="Returned to master serv","Previously Specially Serviced","Never Specially Serviced"))</f>
        <v/>
      </c>
      <c r="CF1133" s="78">
        <f>IF($CE1133="Currently Specially Serviced",1,0)</f>
        <v/>
      </c>
      <c r="CG1133" s="76">
        <f>IF($AA1133="Yes","Currently on Watchlist",IF($AA1133="Previously","Previously on Watchlist","Never on Watchlist"))</f>
        <v/>
      </c>
      <c r="CH1133" s="78">
        <f>IF($CG1133="Currently on Watchlist",1,0)</f>
        <v/>
      </c>
      <c r="CI1133" s="76">
        <f>IF($Z1133="Full Defeasance","Fully Defeased",IF($Z1133="Portion Of Loan Previously Defeased","Partially Defeased",IF($Z1133="Defeasance Not Allowable","Not Defeased (Not Permitted)","Not Defeased")))</f>
        <v/>
      </c>
      <c r="CJ1133" s="78">
        <f>IF($CI1133="Fully Defeased",1,0)</f>
        <v/>
      </c>
      <c r="CK1133" s="76">
        <f>IF($R1133="IO","Full IO",IF(LEFT($R1133&amp;"",7)="IO then","Partial IO","Amortizing"))</f>
        <v/>
      </c>
      <c r="CL1133" s="78">
        <f>IF($CK1133="Full IO",1,0)</f>
        <v/>
      </c>
      <c r="CM1133" s="78">
        <f>IF($CK1133="Partial IO",1,0)</f>
        <v/>
      </c>
      <c r="CN1133" s="76">
        <f>IF(LEFT($F1133&amp;"",10)="SPLIT_LOAN","Pari Passu Split","Standalone")</f>
        <v/>
      </c>
      <c r="CO1133" s="78">
        <f>IF($CN1133="Pari Passu Split",1,0)</f>
        <v/>
      </c>
      <c r="CP1133" s="77">
        <f>IF(ISNUMBER($T1133),YEAR($T1133),"")</f>
        <v/>
      </c>
      <c r="CQ1133" s="79">
        <f>IF(ISNUMBER($V1133),$V1133,IF(ISNUMBER($U1133),$U1133,""))</f>
        <v/>
      </c>
      <c r="CR1133" s="77">
        <f>IF(ISNUMBER($CQ1133),YEAR($CQ1133),"")</f>
        <v/>
      </c>
      <c r="CS1133" s="78">
        <f>IF(ISNUMBER($M1133),MAX(0,$M1133),IF(TRIM($M1133&amp;"")="matured",0,""))</f>
        <v/>
      </c>
      <c r="CT1133" s="78">
        <f>IF(AND(ISNUMBER($CS1133),N($CS1133)&lt;=mMatWindow),1,0)</f>
        <v/>
      </c>
      <c r="CU1133" s="80">
        <f>IF(ISNUMBER($J1133),$J1133/100,"")</f>
        <v/>
      </c>
      <c r="CV1133" s="81">
        <f>IF(ISNUMBER($AQ1133),$AQ1133,"")</f>
        <v/>
      </c>
      <c r="CW1133" s="81">
        <f>IF(ISNUMBER($AR1133),$AR1133,"")</f>
        <v/>
      </c>
      <c r="CX1133" s="82">
        <f>IF(ISNUMBER($AS1133),$AS1133/100,"")</f>
        <v/>
      </c>
      <c r="CY1133" s="82">
        <f>IF(ISNUMBER($AT1133),$AT1133/100,"")</f>
        <v/>
      </c>
      <c r="CZ1133" s="82">
        <f>IF(ISNUMBER($AU1133),$AU1133/100,"")</f>
        <v/>
      </c>
      <c r="DA1133" s="82">
        <f>IF(ISNUMBER($AV1133),$AV1133/100,"")</f>
        <v/>
      </c>
      <c r="DB1133" s="82">
        <f>IF(ISNUMBER($AW1133),$AW1133/100,"")</f>
        <v/>
      </c>
      <c r="DC1133" s="82">
        <f>IF(ISNUMBER($AX1133),$AX1133/100,"")</f>
        <v/>
      </c>
      <c r="DD1133" s="77">
        <f>IFERROR(VALUE(LEFT(TRIM($AO1133&amp;""),4)),"")</f>
        <v/>
      </c>
      <c r="DE1133" s="78">
        <f>IF(AND($BY1133=1,$BX1133=1,OR(fDeal="All Deals",$BU1133=fDeal),OR(fEntity="All Entities",$BV1133=fEntity),OR(fPType="All Property Types",$BZ1133=fPType),OR(fDefeased="Include",$CJ1133=0)),1,0)</f>
        <v/>
      </c>
      <c r="DF1133" s="83">
        <f>$DE1133*N($I1133)</f>
        <v/>
      </c>
      <c r="DG1133" s="78">
        <f>IF($DE1133=1,IF(COUNTIFS($F$8:$F1133,$F1133,$DE$8:$DE1133,1)=1,1,0),0)</f>
        <v/>
      </c>
      <c r="DH1133" s="83">
        <f>IF($DG1133=1,SUMIFS($DF$8:$DF$1600,$F$8:$F$1600,$F1133),0)</f>
        <v/>
      </c>
      <c r="DI1133" s="78">
        <f>IF($DG1133=1,COUNTIFS($F$8:$F$1600,$F1133,$DE$8:$DE$1600,1),0)</f>
        <v/>
      </c>
      <c r="DJ1133" s="84">
        <f>IF($DG1133=1,$DH1133+(100000-ROW())/mTieBreak,0)</f>
        <v/>
      </c>
    </row>
    <row r="1134">
      <c r="B1134" s="68" t="n">
        <v>13</v>
      </c>
      <c r="C1134" s="69" t="inlineStr">
        <is>
          <t>LCC17L26</t>
        </is>
      </c>
      <c r="D1134" s="69" t="inlineStr">
        <is>
          <t>13.000</t>
        </is>
      </c>
      <c r="E1134" s="69" t="inlineStr">
        <is>
          <t>455 Plaza Drive</t>
        </is>
      </c>
      <c r="F1134" s="69" t="inlineStr">
        <is>
          <t>LNLCC17L26-13.000</t>
        </is>
      </c>
      <c r="G1134" s="70" t="n"/>
      <c r="H1134" s="71" t="n">
        <v>14500000</v>
      </c>
      <c r="I1134" s="71" t="n">
        <v>0</v>
      </c>
      <c r="J1134" s="72" t="n">
        <v>4.3</v>
      </c>
      <c r="K1134" s="69" t="inlineStr">
        <is>
          <t>Fixed rate</t>
        </is>
      </c>
      <c r="L1134" s="68" t="n">
        <v>120</v>
      </c>
      <c r="M1134" s="68" t="n"/>
      <c r="N1134" s="68" t="n">
        <v>120</v>
      </c>
      <c r="O1134" s="68" t="n">
        <v>120</v>
      </c>
      <c r="P1134" s="68" t="n"/>
      <c r="Q1134" s="68" t="n"/>
      <c r="R1134" s="69" t="inlineStr">
        <is>
          <t>IO</t>
        </is>
      </c>
      <c r="S1134" s="69" t="inlineStr">
        <is>
          <t>Yes</t>
        </is>
      </c>
      <c r="T1134" s="73" t="n">
        <v>42856</v>
      </c>
      <c r="U1134" s="73" t="n">
        <v>46513</v>
      </c>
      <c r="V1134" s="73" t="n"/>
      <c r="W1134" s="69" t="n"/>
      <c r="X1134" s="69" t="inlineStr">
        <is>
          <t>Current</t>
        </is>
      </c>
      <c r="Y1134" s="68" t="n"/>
      <c r="Z1134" s="69" t="inlineStr">
        <is>
          <t>No Defeasance Occurred</t>
        </is>
      </c>
      <c r="AA1134" s="69" t="inlineStr">
        <is>
          <t>Previously</t>
        </is>
      </c>
      <c r="AB1134" s="69" t="inlineStr">
        <is>
          <t>Currently special serv</t>
        </is>
      </c>
      <c r="AC1134" s="73" t="n">
        <v>44608</v>
      </c>
      <c r="AD1134" s="69" t="inlineStr">
        <is>
          <t>Imminent Non Monetary Default</t>
        </is>
      </c>
      <c r="AE1134" s="69" t="inlineStr">
        <is>
          <t>DPO</t>
        </is>
      </c>
      <c r="AF1134" s="69" t="inlineStr">
        <is>
          <t>NJ</t>
        </is>
      </c>
      <c r="AG1134" s="69" t="inlineStr">
        <is>
          <t>Secaucus</t>
        </is>
      </c>
      <c r="AH1134" s="69" t="inlineStr">
        <is>
          <t>New York-Newark-Jersey City, NY-NJ</t>
        </is>
      </c>
      <c r="AI1134" s="69" t="inlineStr">
        <is>
          <t>Northeast / Mid-Atlantic</t>
        </is>
      </c>
      <c r="AJ1134" s="69" t="inlineStr">
        <is>
          <t>OT</t>
        </is>
      </c>
      <c r="AK1134" s="69" t="n"/>
      <c r="AL1134" s="68" t="n">
        <v>1</v>
      </c>
      <c r="AM1134" s="68" t="n"/>
      <c r="AN1134" s="68" t="n"/>
      <c r="AO1134" s="69" t="inlineStr">
        <is>
          <t>1986</t>
        </is>
      </c>
      <c r="AP1134" s="70" t="n">
        <v>1986</v>
      </c>
      <c r="AQ1134" s="74" t="n">
        <v>1.78</v>
      </c>
      <c r="AR1134" s="74" t="n">
        <v>0.66</v>
      </c>
      <c r="AS1134" s="74" t="n">
        <v>68.09999999999999</v>
      </c>
      <c r="AT1134" s="74" t="n"/>
      <c r="AU1134" s="74" t="n">
        <v>68.09999999999999</v>
      </c>
      <c r="AV1134" s="74" t="n">
        <v>7.775819172</v>
      </c>
      <c r="AW1134" s="74" t="n"/>
      <c r="AX1134" s="75" t="n">
        <v>100</v>
      </c>
      <c r="AY1134" s="71" t="n">
        <v>21300000</v>
      </c>
      <c r="AZ1134" s="71" t="n">
        <v>21300000</v>
      </c>
      <c r="BA1134" s="71" t="n">
        <v>1127493.78</v>
      </c>
      <c r="BB1134" s="71" t="n">
        <v>312485</v>
      </c>
      <c r="BC1134" s="69" t="inlineStr">
        <is>
          <t>Refinance</t>
        </is>
      </c>
      <c r="BD1134" s="69" t="inlineStr">
        <is>
          <t>N</t>
        </is>
      </c>
      <c r="BE1134" s="71" t="n"/>
      <c r="BF1134" s="71" t="n"/>
      <c r="BG1134" s="71" t="n"/>
      <c r="BH1134" s="71" t="n">
        <v>0</v>
      </c>
      <c r="BI1134" s="71" t="n">
        <v>0</v>
      </c>
      <c r="BJ1134" s="69" t="inlineStr">
        <is>
          <t>N</t>
        </is>
      </c>
      <c r="BK1134" s="69" t="inlineStr">
        <is>
          <t>EPT Meadowlands Limited Partnership</t>
        </is>
      </c>
      <c r="BL1134" s="75" t="n">
        <v>100</v>
      </c>
      <c r="BM1134" s="73" t="n">
        <v>44500</v>
      </c>
      <c r="BN1134" s="69" t="inlineStr">
        <is>
          <t>Hartz Financial Corp.</t>
        </is>
      </c>
      <c r="BO1134" s="69" t="inlineStr">
        <is>
          <t>Ladder Capital Finance</t>
        </is>
      </c>
      <c r="BP1134" s="69" t="inlineStr">
        <is>
          <t>Wells Fargo</t>
        </is>
      </c>
      <c r="BQ1134" s="69" t="inlineStr">
        <is>
          <t>Midland Loan Services</t>
        </is>
      </c>
      <c r="BR1134" s="69" t="inlineStr">
        <is>
          <t>Disposition / Liquidation</t>
        </is>
      </c>
      <c r="BS1134" s="73" t="n">
        <v>46273</v>
      </c>
      <c r="BU1134" s="76">
        <f>IF($C1134="","",IFERROR(INDEX(dmName,MATCH($C1134,dmID,0)),"Unmapped"))</f>
        <v/>
      </c>
      <c r="BV1134" s="76">
        <f>IF($C1134="","",IFERROR(INDEX(dmEntity,MATCH($C1134,dmID,0)),"Unmapped"))</f>
        <v/>
      </c>
      <c r="BW1134" s="77">
        <f>IF($C1134="","",IFERROR(INDEX(dmVintage,MATCH($C1134,dmID,0)),""))</f>
        <v/>
      </c>
      <c r="BX1134" s="78">
        <f>IFERROR(INDEX(dmInclude,MATCH($C1134,dmID,0)),0)</f>
        <v/>
      </c>
      <c r="BY1134" s="78">
        <f>IF(N($I1134)&gt;0,1,0)</f>
        <v/>
      </c>
      <c r="BZ1134" s="76">
        <f>IF($AJ1134="","Other / Leased Fee",IFERROR(INDEX(mapPTGroup,MATCH(LEFT(TRIM($AJ1134),2),mapPTCode,0)),"Other / Leased Fee"))</f>
        <v/>
      </c>
      <c r="CA1134" s="76">
        <f>IF(TRIM($AF1134&amp;"")="","NR",LEFT(TRIM($AF1134),2))</f>
        <v/>
      </c>
      <c r="CB1134" s="76">
        <f>IFERROR(LOOKUP(2,1/(LEFT(TRIM($AI1134&amp;""),LEN(mapRegion))=mapRegion),mapRegion),"Not Reported")</f>
        <v/>
      </c>
      <c r="CC1134" s="76">
        <f>IF($BY1134=0,"",IF(TRIM($W1134&amp;"")="REO","REO",IF(TRIM($W1134&amp;"")="FC","Foreclosure",IF(TRIM($W1134&amp;"")="90+","90+ Days Delinquent",IF(TRIM($W1134&amp;"")="60","60 Days Delinquent",IF(TRIM($W1134&amp;"")="30","30 Days Delinquent",IF($X1134="Non-Performing Matured Balloon","Non-Performing Matured Balloon",IF(OR($X1134="Late Payment But Less Than 30 Days Delinquent",LEFT($X1134&amp;"",20)="Payment Not Received"),"Late / In Grace (&lt;30 Days)",IF($X1134="Performing Matured Balloon","Performing Matured Balloon","Current")))))))))</f>
        <v/>
      </c>
      <c r="CD1134" s="78">
        <f>IF(OR($CC1134="REO",$CC1134="Foreclosure",$CC1134="90+ Days Delinquent",$CC1134="60 Days Delinquent",$CC1134="30 Days Delinquent",$CC1134="Non-Performing Matured Balloon"),1,0)</f>
        <v/>
      </c>
      <c r="CE1134" s="76">
        <f>IF($AB1134="Currently special serv","Currently Specially Serviced",IF($AB1134="Returned to master serv","Previously Specially Serviced","Never Specially Serviced"))</f>
        <v/>
      </c>
      <c r="CF1134" s="78">
        <f>IF($CE1134="Currently Specially Serviced",1,0)</f>
        <v/>
      </c>
      <c r="CG1134" s="76">
        <f>IF($AA1134="Yes","Currently on Watchlist",IF($AA1134="Previously","Previously on Watchlist","Never on Watchlist"))</f>
        <v/>
      </c>
      <c r="CH1134" s="78">
        <f>IF($CG1134="Currently on Watchlist",1,0)</f>
        <v/>
      </c>
      <c r="CI1134" s="76">
        <f>IF($Z1134="Full Defeasance","Fully Defeased",IF($Z1134="Portion Of Loan Previously Defeased","Partially Defeased",IF($Z1134="Defeasance Not Allowable","Not Defeased (Not Permitted)","Not Defeased")))</f>
        <v/>
      </c>
      <c r="CJ1134" s="78">
        <f>IF($CI1134="Fully Defeased",1,0)</f>
        <v/>
      </c>
      <c r="CK1134" s="76">
        <f>IF($R1134="IO","Full IO",IF(LEFT($R1134&amp;"",7)="IO then","Partial IO","Amortizing"))</f>
        <v/>
      </c>
      <c r="CL1134" s="78">
        <f>IF($CK1134="Full IO",1,0)</f>
        <v/>
      </c>
      <c r="CM1134" s="78">
        <f>IF($CK1134="Partial IO",1,0)</f>
        <v/>
      </c>
      <c r="CN1134" s="76">
        <f>IF(LEFT($F1134&amp;"",10)="SPLIT_LOAN","Pari Passu Split","Standalone")</f>
        <v/>
      </c>
      <c r="CO1134" s="78">
        <f>IF($CN1134="Pari Passu Split",1,0)</f>
        <v/>
      </c>
      <c r="CP1134" s="77">
        <f>IF(ISNUMBER($T1134),YEAR($T1134),"")</f>
        <v/>
      </c>
      <c r="CQ1134" s="79">
        <f>IF(ISNUMBER($V1134),$V1134,IF(ISNUMBER($U1134),$U1134,""))</f>
        <v/>
      </c>
      <c r="CR1134" s="77">
        <f>IF(ISNUMBER($CQ1134),YEAR($CQ1134),"")</f>
        <v/>
      </c>
      <c r="CS1134" s="78">
        <f>IF(ISNUMBER($M1134),MAX(0,$M1134),IF(TRIM($M1134&amp;"")="matured",0,""))</f>
        <v/>
      </c>
      <c r="CT1134" s="78">
        <f>IF(AND(ISNUMBER($CS1134),N($CS1134)&lt;=mMatWindow),1,0)</f>
        <v/>
      </c>
      <c r="CU1134" s="80">
        <f>IF(ISNUMBER($J1134),$J1134/100,"")</f>
        <v/>
      </c>
      <c r="CV1134" s="81">
        <f>IF(ISNUMBER($AQ1134),$AQ1134,"")</f>
        <v/>
      </c>
      <c r="CW1134" s="81">
        <f>IF(ISNUMBER($AR1134),$AR1134,"")</f>
        <v/>
      </c>
      <c r="CX1134" s="82">
        <f>IF(ISNUMBER($AS1134),$AS1134/100,"")</f>
        <v/>
      </c>
      <c r="CY1134" s="82">
        <f>IF(ISNUMBER($AT1134),$AT1134/100,"")</f>
        <v/>
      </c>
      <c r="CZ1134" s="82">
        <f>IF(ISNUMBER($AU1134),$AU1134/100,"")</f>
        <v/>
      </c>
      <c r="DA1134" s="82">
        <f>IF(ISNUMBER($AV1134),$AV1134/100,"")</f>
        <v/>
      </c>
      <c r="DB1134" s="82">
        <f>IF(ISNUMBER($AW1134),$AW1134/100,"")</f>
        <v/>
      </c>
      <c r="DC1134" s="82">
        <f>IF(ISNUMBER($AX1134),$AX1134/100,"")</f>
        <v/>
      </c>
      <c r="DD1134" s="77">
        <f>IFERROR(VALUE(LEFT(TRIM($AO1134&amp;""),4)),"")</f>
        <v/>
      </c>
      <c r="DE1134" s="78">
        <f>IF(AND($BY1134=1,$BX1134=1,OR(fDeal="All Deals",$BU1134=fDeal),OR(fEntity="All Entities",$BV1134=fEntity),OR(fPType="All Property Types",$BZ1134=fPType),OR(fDefeased="Include",$CJ1134=0)),1,0)</f>
        <v/>
      </c>
      <c r="DF1134" s="83">
        <f>$DE1134*N($I1134)</f>
        <v/>
      </c>
      <c r="DG1134" s="78">
        <f>IF($DE1134=1,IF(COUNTIFS($F$8:$F1134,$F1134,$DE$8:$DE1134,1)=1,1,0),0)</f>
        <v/>
      </c>
      <c r="DH1134" s="83">
        <f>IF($DG1134=1,SUMIFS($DF$8:$DF$1600,$F$8:$F$1600,$F1134),0)</f>
        <v/>
      </c>
      <c r="DI1134" s="78">
        <f>IF($DG1134=1,COUNTIFS($F$8:$F$1600,$F1134,$DE$8:$DE$1600,1),0)</f>
        <v/>
      </c>
      <c r="DJ1134" s="84">
        <f>IF($DG1134=1,$DH1134+(100000-ROW())/mTieBreak,0)</f>
        <v/>
      </c>
    </row>
    <row r="1135">
      <c r="B1135" s="68" t="n">
        <v>14</v>
      </c>
      <c r="C1135" s="69" t="inlineStr">
        <is>
          <t>LCC17L26</t>
        </is>
      </c>
      <c r="D1135" s="69" t="inlineStr">
        <is>
          <t>14.000</t>
        </is>
      </c>
      <c r="E1135" s="69" t="inlineStr">
        <is>
          <t>Memorial Bend</t>
        </is>
      </c>
      <c r="F1135" s="69" t="inlineStr">
        <is>
          <t>LNLCC17L26-14.000</t>
        </is>
      </c>
      <c r="G1135" s="70" t="n"/>
      <c r="H1135" s="71" t="n">
        <v>14250000</v>
      </c>
      <c r="I1135" s="71" t="n">
        <v>11802931.26000375</v>
      </c>
      <c r="J1135" s="72" t="n">
        <v>4.888</v>
      </c>
      <c r="K1135" s="69" t="inlineStr">
        <is>
          <t>Fixed rate</t>
        </is>
      </c>
      <c r="L1135" s="68" t="n">
        <v>120</v>
      </c>
      <c r="M1135" s="68" t="n">
        <v>5</v>
      </c>
      <c r="N1135" s="68" t="n">
        <v>360</v>
      </c>
      <c r="O1135" s="68" t="n"/>
      <c r="P1135" s="68" t="n"/>
      <c r="Q1135" s="68" t="n">
        <v>115</v>
      </c>
      <c r="R1135" s="69" t="n"/>
      <c r="S1135" s="69" t="inlineStr">
        <is>
          <t>No</t>
        </is>
      </c>
      <c r="T1135" s="73" t="n">
        <v>42767</v>
      </c>
      <c r="U1135" s="73" t="n">
        <v>46424</v>
      </c>
      <c r="V1135" s="73" t="n"/>
      <c r="W1135" s="69" t="n"/>
      <c r="X1135" s="69" t="inlineStr">
        <is>
          <t>Current</t>
        </is>
      </c>
      <c r="Y1135" s="68" t="n"/>
      <c r="Z1135" s="69" t="inlineStr">
        <is>
          <t>No Defeasance Occurred</t>
        </is>
      </c>
      <c r="AA1135" s="69" t="inlineStr">
        <is>
          <t>Yes</t>
        </is>
      </c>
      <c r="AB1135" s="69" t="inlineStr">
        <is>
          <t>Never special serv</t>
        </is>
      </c>
      <c r="AC1135" s="73" t="n"/>
      <c r="AD1135" s="69" t="n"/>
      <c r="AE1135" s="69" t="n"/>
      <c r="AF1135" s="69" t="inlineStr">
        <is>
          <t>GA</t>
        </is>
      </c>
      <c r="AG1135" s="69" t="inlineStr">
        <is>
          <t>Stone Mountain</t>
        </is>
      </c>
      <c r="AH1135" s="69" t="inlineStr">
        <is>
          <t>Atlanta-Sandy Springs-Roswell, GA</t>
        </is>
      </c>
      <c r="AI1135" s="69" t="inlineStr">
        <is>
          <t>South / Atlantic</t>
        </is>
      </c>
      <c r="AJ1135" s="69" t="inlineStr">
        <is>
          <t>RT</t>
        </is>
      </c>
      <c r="AK1135" s="69" t="inlineStr">
        <is>
          <t>Anchored</t>
        </is>
      </c>
      <c r="AL1135" s="68" t="n">
        <v>1</v>
      </c>
      <c r="AM1135" s="68" t="n"/>
      <c r="AN1135" s="68" t="n">
        <v>176081</v>
      </c>
      <c r="AO1135" s="69" t="inlineStr">
        <is>
          <t>1968</t>
        </is>
      </c>
      <c r="AP1135" s="70" t="n">
        <v>1994</v>
      </c>
      <c r="AQ1135" s="74" t="n">
        <v>1.57</v>
      </c>
      <c r="AR1135" s="74" t="n">
        <v>1.74</v>
      </c>
      <c r="AS1135" s="74" t="n">
        <v>74.59999999999999</v>
      </c>
      <c r="AT1135" s="74" t="n">
        <v>62.12</v>
      </c>
      <c r="AU1135" s="74" t="n">
        <v>61.4</v>
      </c>
      <c r="AV1135" s="74" t="n">
        <v>9.960304000000001</v>
      </c>
      <c r="AW1135" s="74" t="n">
        <v>12.054380464</v>
      </c>
      <c r="AX1135" s="75" t="n">
        <v>93</v>
      </c>
      <c r="AY1135" s="71" t="n">
        <v>19000000</v>
      </c>
      <c r="AZ1135" s="71" t="n">
        <v>19000000</v>
      </c>
      <c r="BA1135" s="71" t="n">
        <v>1419343.32</v>
      </c>
      <c r="BB1135" s="71" t="n">
        <v>787377.76</v>
      </c>
      <c r="BC1135" s="69" t="inlineStr">
        <is>
          <t>Refinance</t>
        </is>
      </c>
      <c r="BD1135" s="69" t="inlineStr">
        <is>
          <t>N</t>
        </is>
      </c>
      <c r="BE1135" s="71" t="n"/>
      <c r="BF1135" s="71" t="n"/>
      <c r="BG1135" s="71" t="n"/>
      <c r="BH1135" s="71" t="n">
        <v>0</v>
      </c>
      <c r="BI1135" s="71" t="n">
        <v>0</v>
      </c>
      <c r="BJ1135" s="69" t="inlineStr">
        <is>
          <t>N</t>
        </is>
      </c>
      <c r="BK1135" s="69" t="inlineStr">
        <is>
          <t>Stone Mtn. Int'l Farmers Marke</t>
        </is>
      </c>
      <c r="BL1135" s="75" t="n">
        <v>31.89</v>
      </c>
      <c r="BM1135" s="73" t="n">
        <v>47787</v>
      </c>
      <c r="BN1135" s="69" t="inlineStr">
        <is>
          <t>Paul Bedrin; Gerald Bedrin</t>
        </is>
      </c>
      <c r="BO1135" s="69" t="inlineStr">
        <is>
          <t>Ladder Capital Finance</t>
        </is>
      </c>
      <c r="BP1135" s="69" t="inlineStr">
        <is>
          <t>TriMont Real Estate Advisors</t>
        </is>
      </c>
      <c r="BQ1135" s="69" t="inlineStr">
        <is>
          <t>K-Star Asset Management LLC</t>
        </is>
      </c>
      <c r="BR1135" s="69" t="n"/>
      <c r="BS1135" s="73" t="n">
        <v>46273</v>
      </c>
      <c r="BU1135" s="76">
        <f>IF($C1135="","",IFERROR(INDEX(dmName,MATCH($C1135,dmID,0)),"Unmapped"))</f>
        <v/>
      </c>
      <c r="BV1135" s="76">
        <f>IF($C1135="","",IFERROR(INDEX(dmEntity,MATCH($C1135,dmID,0)),"Unmapped"))</f>
        <v/>
      </c>
      <c r="BW1135" s="77">
        <f>IF($C1135="","",IFERROR(INDEX(dmVintage,MATCH($C1135,dmID,0)),""))</f>
        <v/>
      </c>
      <c r="BX1135" s="78">
        <f>IFERROR(INDEX(dmInclude,MATCH($C1135,dmID,0)),0)</f>
        <v/>
      </c>
      <c r="BY1135" s="78">
        <f>IF(N($I1135)&gt;0,1,0)</f>
        <v/>
      </c>
      <c r="BZ1135" s="76">
        <f>IF($AJ1135="","Other / Leased Fee",IFERROR(INDEX(mapPTGroup,MATCH(LEFT(TRIM($AJ1135),2),mapPTCode,0)),"Other / Leased Fee"))</f>
        <v/>
      </c>
      <c r="CA1135" s="76">
        <f>IF(TRIM($AF1135&amp;"")="","NR",LEFT(TRIM($AF1135),2))</f>
        <v/>
      </c>
      <c r="CB1135" s="76">
        <f>IFERROR(LOOKUP(2,1/(LEFT(TRIM($AI1135&amp;""),LEN(mapRegion))=mapRegion),mapRegion),"Not Reported")</f>
        <v/>
      </c>
      <c r="CC1135" s="76">
        <f>IF($BY1135=0,"",IF(TRIM($W1135&amp;"")="REO","REO",IF(TRIM($W1135&amp;"")="FC","Foreclosure",IF(TRIM($W1135&amp;"")="90+","90+ Days Delinquent",IF(TRIM($W1135&amp;"")="60","60 Days Delinquent",IF(TRIM($W1135&amp;"")="30","30 Days Delinquent",IF($X1135="Non-Performing Matured Balloon","Non-Performing Matured Balloon",IF(OR($X1135="Late Payment But Less Than 30 Days Delinquent",LEFT($X1135&amp;"",20)="Payment Not Received"),"Late / In Grace (&lt;30 Days)",IF($X1135="Performing Matured Balloon","Performing Matured Balloon","Current")))))))))</f>
        <v/>
      </c>
      <c r="CD1135" s="78">
        <f>IF(OR($CC1135="REO",$CC1135="Foreclosure",$CC1135="90+ Days Delinquent",$CC1135="60 Days Delinquent",$CC1135="30 Days Delinquent",$CC1135="Non-Performing Matured Balloon"),1,0)</f>
        <v/>
      </c>
      <c r="CE1135" s="76">
        <f>IF($AB1135="Currently special serv","Currently Specially Serviced",IF($AB1135="Returned to master serv","Previously Specially Serviced","Never Specially Serviced"))</f>
        <v/>
      </c>
      <c r="CF1135" s="78">
        <f>IF($CE1135="Currently Specially Serviced",1,0)</f>
        <v/>
      </c>
      <c r="CG1135" s="76">
        <f>IF($AA1135="Yes","Currently on Watchlist",IF($AA1135="Previously","Previously on Watchlist","Never on Watchlist"))</f>
        <v/>
      </c>
      <c r="CH1135" s="78">
        <f>IF($CG1135="Currently on Watchlist",1,0)</f>
        <v/>
      </c>
      <c r="CI1135" s="76">
        <f>IF($Z1135="Full Defeasance","Fully Defeased",IF($Z1135="Portion Of Loan Previously Defeased","Partially Defeased",IF($Z1135="Defeasance Not Allowable","Not Defeased (Not Permitted)","Not Defeased")))</f>
        <v/>
      </c>
      <c r="CJ1135" s="78">
        <f>IF($CI1135="Fully Defeased",1,0)</f>
        <v/>
      </c>
      <c r="CK1135" s="76">
        <f>IF($R1135="IO","Full IO",IF(LEFT($R1135&amp;"",7)="IO then","Partial IO","Amortizing"))</f>
        <v/>
      </c>
      <c r="CL1135" s="78">
        <f>IF($CK1135="Full IO",1,0)</f>
        <v/>
      </c>
      <c r="CM1135" s="78">
        <f>IF($CK1135="Partial IO",1,0)</f>
        <v/>
      </c>
      <c r="CN1135" s="76">
        <f>IF(LEFT($F1135&amp;"",10)="SPLIT_LOAN","Pari Passu Split","Standalone")</f>
        <v/>
      </c>
      <c r="CO1135" s="78">
        <f>IF($CN1135="Pari Passu Split",1,0)</f>
        <v/>
      </c>
      <c r="CP1135" s="77">
        <f>IF(ISNUMBER($T1135),YEAR($T1135),"")</f>
        <v/>
      </c>
      <c r="CQ1135" s="79">
        <f>IF(ISNUMBER($V1135),$V1135,IF(ISNUMBER($U1135),$U1135,""))</f>
        <v/>
      </c>
      <c r="CR1135" s="77">
        <f>IF(ISNUMBER($CQ1135),YEAR($CQ1135),"")</f>
        <v/>
      </c>
      <c r="CS1135" s="78">
        <f>IF(ISNUMBER($M1135),MAX(0,$M1135),IF(TRIM($M1135&amp;"")="matured",0,""))</f>
        <v/>
      </c>
      <c r="CT1135" s="78">
        <f>IF(AND(ISNUMBER($CS1135),N($CS1135)&lt;=mMatWindow),1,0)</f>
        <v/>
      </c>
      <c r="CU1135" s="80">
        <f>IF(ISNUMBER($J1135),$J1135/100,"")</f>
        <v/>
      </c>
      <c r="CV1135" s="81">
        <f>IF(ISNUMBER($AQ1135),$AQ1135,"")</f>
        <v/>
      </c>
      <c r="CW1135" s="81">
        <f>IF(ISNUMBER($AR1135),$AR1135,"")</f>
        <v/>
      </c>
      <c r="CX1135" s="82">
        <f>IF(ISNUMBER($AS1135),$AS1135/100,"")</f>
        <v/>
      </c>
      <c r="CY1135" s="82">
        <f>IF(ISNUMBER($AT1135),$AT1135/100,"")</f>
        <v/>
      </c>
      <c r="CZ1135" s="82">
        <f>IF(ISNUMBER($AU1135),$AU1135/100,"")</f>
        <v/>
      </c>
      <c r="DA1135" s="82">
        <f>IF(ISNUMBER($AV1135),$AV1135/100,"")</f>
        <v/>
      </c>
      <c r="DB1135" s="82">
        <f>IF(ISNUMBER($AW1135),$AW1135/100,"")</f>
        <v/>
      </c>
      <c r="DC1135" s="82">
        <f>IF(ISNUMBER($AX1135),$AX1135/100,"")</f>
        <v/>
      </c>
      <c r="DD1135" s="77">
        <f>IFERROR(VALUE(LEFT(TRIM($AO1135&amp;""),4)),"")</f>
        <v/>
      </c>
      <c r="DE1135" s="78">
        <f>IF(AND($BY1135=1,$BX1135=1,OR(fDeal="All Deals",$BU1135=fDeal),OR(fEntity="All Entities",$BV1135=fEntity),OR(fPType="All Property Types",$BZ1135=fPType),OR(fDefeased="Include",$CJ1135=0)),1,0)</f>
        <v/>
      </c>
      <c r="DF1135" s="83">
        <f>$DE1135*N($I1135)</f>
        <v/>
      </c>
      <c r="DG1135" s="78">
        <f>IF($DE1135=1,IF(COUNTIFS($F$8:$F1135,$F1135,$DE$8:$DE1135,1)=1,1,0),0)</f>
        <v/>
      </c>
      <c r="DH1135" s="83">
        <f>IF($DG1135=1,SUMIFS($DF$8:$DF$1600,$F$8:$F$1600,$F1135),0)</f>
        <v/>
      </c>
      <c r="DI1135" s="78">
        <f>IF($DG1135=1,COUNTIFS($F$8:$F$1600,$F1135,$DE$8:$DE$1600,1),0)</f>
        <v/>
      </c>
      <c r="DJ1135" s="84">
        <f>IF($DG1135=1,$DH1135+(100000-ROW())/mTieBreak,0)</f>
        <v/>
      </c>
    </row>
    <row r="1136">
      <c r="B1136" s="68" t="n">
        <v>15</v>
      </c>
      <c r="C1136" s="69" t="inlineStr">
        <is>
          <t>LCC17L26</t>
        </is>
      </c>
      <c r="D1136" s="69" t="inlineStr">
        <is>
          <t>15.000</t>
        </is>
      </c>
      <c r="E1136" s="69" t="inlineStr">
        <is>
          <t>Verizon Building</t>
        </is>
      </c>
      <c r="F1136" s="69" t="inlineStr">
        <is>
          <t>LNLCC17L26-15.000</t>
        </is>
      </c>
      <c r="G1136" s="70" t="n"/>
      <c r="H1136" s="71" t="n">
        <v>14100000</v>
      </c>
      <c r="I1136" s="71" t="n">
        <v>11662106.1999936</v>
      </c>
      <c r="J1136" s="72" t="n">
        <v>4.91</v>
      </c>
      <c r="K1136" s="69" t="inlineStr">
        <is>
          <t>Fixed rate</t>
        </is>
      </c>
      <c r="L1136" s="68" t="n">
        <v>120</v>
      </c>
      <c r="M1136" s="68" t="n">
        <v>4</v>
      </c>
      <c r="N1136" s="68" t="n">
        <v>360</v>
      </c>
      <c r="O1136" s="68" t="n"/>
      <c r="P1136" s="68" t="n"/>
      <c r="Q1136" s="68" t="n">
        <v>116</v>
      </c>
      <c r="R1136" s="69" t="n"/>
      <c r="S1136" s="69" t="inlineStr">
        <is>
          <t>No</t>
        </is>
      </c>
      <c r="T1136" s="73" t="n">
        <v>42736</v>
      </c>
      <c r="U1136" s="73" t="n">
        <v>46393</v>
      </c>
      <c r="V1136" s="73" t="n"/>
      <c r="W1136" s="69" t="n"/>
      <c r="X1136" s="69" t="inlineStr">
        <is>
          <t>Current</t>
        </is>
      </c>
      <c r="Y1136" s="68" t="n"/>
      <c r="Z1136" s="69" t="inlineStr">
        <is>
          <t>Full Defeasance</t>
        </is>
      </c>
      <c r="AA1136" s="69" t="inlineStr">
        <is>
          <t>Previously</t>
        </is>
      </c>
      <c r="AB1136" s="69" t="inlineStr">
        <is>
          <t>Never special serv</t>
        </is>
      </c>
      <c r="AC1136" s="73" t="n"/>
      <c r="AD1136" s="69" t="n"/>
      <c r="AE1136" s="69" t="n"/>
      <c r="AF1136" s="69" t="inlineStr">
        <is>
          <t>NC</t>
        </is>
      </c>
      <c r="AG1136" s="69" t="inlineStr">
        <is>
          <t>Wilmington</t>
        </is>
      </c>
      <c r="AH1136" s="69" t="inlineStr">
        <is>
          <t>Wilmington, NC</t>
        </is>
      </c>
      <c r="AI1136" s="69" t="inlineStr">
        <is>
          <t>South / Atlantic</t>
        </is>
      </c>
      <c r="AJ1136" s="69" t="inlineStr">
        <is>
          <t>OF</t>
        </is>
      </c>
      <c r="AK1136" s="69" t="inlineStr">
        <is>
          <t>Suburban</t>
        </is>
      </c>
      <c r="AL1136" s="68" t="n">
        <v>1</v>
      </c>
      <c r="AM1136" s="68" t="n"/>
      <c r="AN1136" s="68" t="n">
        <v>160500</v>
      </c>
      <c r="AO1136" s="69" t="inlineStr">
        <is>
          <t>2004</t>
        </is>
      </c>
      <c r="AP1136" s="70" t="n">
        <v>2004</v>
      </c>
      <c r="AQ1136" s="74" t="n">
        <v>1.79</v>
      </c>
      <c r="AR1136" s="74" t="n">
        <v>1.96</v>
      </c>
      <c r="AS1136" s="74" t="n">
        <v>56.1</v>
      </c>
      <c r="AT1136" s="74" t="n">
        <v>46.65</v>
      </c>
      <c r="AU1136" s="74" t="n">
        <v>46.2</v>
      </c>
      <c r="AV1136" s="74" t="n">
        <v>11.387715674</v>
      </c>
      <c r="AW1136" s="74" t="n">
        <v>13.754659514</v>
      </c>
      <c r="AX1136" s="75" t="n">
        <v>100</v>
      </c>
      <c r="AY1136" s="71" t="n">
        <v>25000000</v>
      </c>
      <c r="AZ1136" s="71" t="n">
        <v>25000000</v>
      </c>
      <c r="BA1136" s="71" t="n">
        <v>1605667.91</v>
      </c>
      <c r="BB1136" s="71" t="n">
        <v>1318422</v>
      </c>
      <c r="BC1136" s="69" t="inlineStr">
        <is>
          <t>Refinance</t>
        </is>
      </c>
      <c r="BD1136" s="69" t="inlineStr">
        <is>
          <t>N</t>
        </is>
      </c>
      <c r="BE1136" s="71" t="n"/>
      <c r="BF1136" s="71" t="n"/>
      <c r="BG1136" s="71" t="n"/>
      <c r="BH1136" s="71" t="n">
        <v>0</v>
      </c>
      <c r="BI1136" s="71" t="n">
        <v>0</v>
      </c>
      <c r="BJ1136" s="69" t="inlineStr">
        <is>
          <t>N</t>
        </is>
      </c>
      <c r="BK1136" s="69" t="inlineStr">
        <is>
          <t>Cellco Partnership d/b/a Verizon Wireless</t>
        </is>
      </c>
      <c r="BL1136" s="75" t="n">
        <v>100</v>
      </c>
      <c r="BM1136" s="73" t="n">
        <v>44561</v>
      </c>
      <c r="BN1136" s="69" t="inlineStr">
        <is>
          <t>Sherwin Nathan Jarol</t>
        </is>
      </c>
      <c r="BO1136" s="69" t="inlineStr">
        <is>
          <t>Ladder Capital Finance</t>
        </is>
      </c>
      <c r="BP1136" s="69" t="inlineStr">
        <is>
          <t>TriMont Real Estate Advisors</t>
        </is>
      </c>
      <c r="BQ1136" s="69" t="inlineStr">
        <is>
          <t>K-Star Asset Management LLC</t>
        </is>
      </c>
      <c r="BR1136" s="69" t="n"/>
      <c r="BS1136" s="73" t="n">
        <v>46273</v>
      </c>
      <c r="BU1136" s="76">
        <f>IF($C1136="","",IFERROR(INDEX(dmName,MATCH($C1136,dmID,0)),"Unmapped"))</f>
        <v/>
      </c>
      <c r="BV1136" s="76">
        <f>IF($C1136="","",IFERROR(INDEX(dmEntity,MATCH($C1136,dmID,0)),"Unmapped"))</f>
        <v/>
      </c>
      <c r="BW1136" s="77">
        <f>IF($C1136="","",IFERROR(INDEX(dmVintage,MATCH($C1136,dmID,0)),""))</f>
        <v/>
      </c>
      <c r="BX1136" s="78">
        <f>IFERROR(INDEX(dmInclude,MATCH($C1136,dmID,0)),0)</f>
        <v/>
      </c>
      <c r="BY1136" s="78">
        <f>IF(N($I1136)&gt;0,1,0)</f>
        <v/>
      </c>
      <c r="BZ1136" s="76">
        <f>IF($AJ1136="","Other / Leased Fee",IFERROR(INDEX(mapPTGroup,MATCH(LEFT(TRIM($AJ1136),2),mapPTCode,0)),"Other / Leased Fee"))</f>
        <v/>
      </c>
      <c r="CA1136" s="76">
        <f>IF(TRIM($AF1136&amp;"")="","NR",LEFT(TRIM($AF1136),2))</f>
        <v/>
      </c>
      <c r="CB1136" s="76">
        <f>IFERROR(LOOKUP(2,1/(LEFT(TRIM($AI1136&amp;""),LEN(mapRegion))=mapRegion),mapRegion),"Not Reported")</f>
        <v/>
      </c>
      <c r="CC1136" s="76">
        <f>IF($BY1136=0,"",IF(TRIM($W1136&amp;"")="REO","REO",IF(TRIM($W1136&amp;"")="FC","Foreclosure",IF(TRIM($W1136&amp;"")="90+","90+ Days Delinquent",IF(TRIM($W1136&amp;"")="60","60 Days Delinquent",IF(TRIM($W1136&amp;"")="30","30 Days Delinquent",IF($X1136="Non-Performing Matured Balloon","Non-Performing Matured Balloon",IF(OR($X1136="Late Payment But Less Than 30 Days Delinquent",LEFT($X1136&amp;"",20)="Payment Not Received"),"Late / In Grace (&lt;30 Days)",IF($X1136="Performing Matured Balloon","Performing Matured Balloon","Current")))))))))</f>
        <v/>
      </c>
      <c r="CD1136" s="78">
        <f>IF(OR($CC1136="REO",$CC1136="Foreclosure",$CC1136="90+ Days Delinquent",$CC1136="60 Days Delinquent",$CC1136="30 Days Delinquent",$CC1136="Non-Performing Matured Balloon"),1,0)</f>
        <v/>
      </c>
      <c r="CE1136" s="76">
        <f>IF($AB1136="Currently special serv","Currently Specially Serviced",IF($AB1136="Returned to master serv","Previously Specially Serviced","Never Specially Serviced"))</f>
        <v/>
      </c>
      <c r="CF1136" s="78">
        <f>IF($CE1136="Currently Specially Serviced",1,0)</f>
        <v/>
      </c>
      <c r="CG1136" s="76">
        <f>IF($AA1136="Yes","Currently on Watchlist",IF($AA1136="Previously","Previously on Watchlist","Never on Watchlist"))</f>
        <v/>
      </c>
      <c r="CH1136" s="78">
        <f>IF($CG1136="Currently on Watchlist",1,0)</f>
        <v/>
      </c>
      <c r="CI1136" s="76">
        <f>IF($Z1136="Full Defeasance","Fully Defeased",IF($Z1136="Portion Of Loan Previously Defeased","Partially Defeased",IF($Z1136="Defeasance Not Allowable","Not Defeased (Not Permitted)","Not Defeased")))</f>
        <v/>
      </c>
      <c r="CJ1136" s="78">
        <f>IF($CI1136="Fully Defeased",1,0)</f>
        <v/>
      </c>
      <c r="CK1136" s="76">
        <f>IF($R1136="IO","Full IO",IF(LEFT($R1136&amp;"",7)="IO then","Partial IO","Amortizing"))</f>
        <v/>
      </c>
      <c r="CL1136" s="78">
        <f>IF($CK1136="Full IO",1,0)</f>
        <v/>
      </c>
      <c r="CM1136" s="78">
        <f>IF($CK1136="Partial IO",1,0)</f>
        <v/>
      </c>
      <c r="CN1136" s="76">
        <f>IF(LEFT($F1136&amp;"",10)="SPLIT_LOAN","Pari Passu Split","Standalone")</f>
        <v/>
      </c>
      <c r="CO1136" s="78">
        <f>IF($CN1136="Pari Passu Split",1,0)</f>
        <v/>
      </c>
      <c r="CP1136" s="77">
        <f>IF(ISNUMBER($T1136),YEAR($T1136),"")</f>
        <v/>
      </c>
      <c r="CQ1136" s="79">
        <f>IF(ISNUMBER($V1136),$V1136,IF(ISNUMBER($U1136),$U1136,""))</f>
        <v/>
      </c>
      <c r="CR1136" s="77">
        <f>IF(ISNUMBER($CQ1136),YEAR($CQ1136),"")</f>
        <v/>
      </c>
      <c r="CS1136" s="78">
        <f>IF(ISNUMBER($M1136),MAX(0,$M1136),IF(TRIM($M1136&amp;"")="matured",0,""))</f>
        <v/>
      </c>
      <c r="CT1136" s="78">
        <f>IF(AND(ISNUMBER($CS1136),N($CS1136)&lt;=mMatWindow),1,0)</f>
        <v/>
      </c>
      <c r="CU1136" s="80">
        <f>IF(ISNUMBER($J1136),$J1136/100,"")</f>
        <v/>
      </c>
      <c r="CV1136" s="81">
        <f>IF(ISNUMBER($AQ1136),$AQ1136,"")</f>
        <v/>
      </c>
      <c r="CW1136" s="81">
        <f>IF(ISNUMBER($AR1136),$AR1136,"")</f>
        <v/>
      </c>
      <c r="CX1136" s="82">
        <f>IF(ISNUMBER($AS1136),$AS1136/100,"")</f>
        <v/>
      </c>
      <c r="CY1136" s="82">
        <f>IF(ISNUMBER($AT1136),$AT1136/100,"")</f>
        <v/>
      </c>
      <c r="CZ1136" s="82">
        <f>IF(ISNUMBER($AU1136),$AU1136/100,"")</f>
        <v/>
      </c>
      <c r="DA1136" s="82">
        <f>IF(ISNUMBER($AV1136),$AV1136/100,"")</f>
        <v/>
      </c>
      <c r="DB1136" s="82">
        <f>IF(ISNUMBER($AW1136),$AW1136/100,"")</f>
        <v/>
      </c>
      <c r="DC1136" s="82">
        <f>IF(ISNUMBER($AX1136),$AX1136/100,"")</f>
        <v/>
      </c>
      <c r="DD1136" s="77">
        <f>IFERROR(VALUE(LEFT(TRIM($AO1136&amp;""),4)),"")</f>
        <v/>
      </c>
      <c r="DE1136" s="78">
        <f>IF(AND($BY1136=1,$BX1136=1,OR(fDeal="All Deals",$BU1136=fDeal),OR(fEntity="All Entities",$BV1136=fEntity),OR(fPType="All Property Types",$BZ1136=fPType),OR(fDefeased="Include",$CJ1136=0)),1,0)</f>
        <v/>
      </c>
      <c r="DF1136" s="83">
        <f>$DE1136*N($I1136)</f>
        <v/>
      </c>
      <c r="DG1136" s="78">
        <f>IF($DE1136=1,IF(COUNTIFS($F$8:$F1136,$F1136,$DE$8:$DE1136,1)=1,1,0),0)</f>
        <v/>
      </c>
      <c r="DH1136" s="83">
        <f>IF($DG1136=1,SUMIFS($DF$8:$DF$1600,$F$8:$F$1600,$F1136),0)</f>
        <v/>
      </c>
      <c r="DI1136" s="78">
        <f>IF($DG1136=1,COUNTIFS($F$8:$F$1600,$F1136,$DE$8:$DE$1600,1),0)</f>
        <v/>
      </c>
      <c r="DJ1136" s="84">
        <f>IF($DG1136=1,$DH1136+(100000-ROW())/mTieBreak,0)</f>
        <v/>
      </c>
    </row>
    <row r="1137">
      <c r="B1137" s="68" t="n">
        <v>16</v>
      </c>
      <c r="C1137" s="69" t="inlineStr">
        <is>
          <t>LCC17L26</t>
        </is>
      </c>
      <c r="D1137" s="69" t="inlineStr">
        <is>
          <t>16.000</t>
        </is>
      </c>
      <c r="E1137" s="69" t="inlineStr">
        <is>
          <t>Midway Shopping Center</t>
        </is>
      </c>
      <c r="F1137" s="69" t="inlineStr">
        <is>
          <t>LNLCC17L26-16.000</t>
        </is>
      </c>
      <c r="G1137" s="70" t="n"/>
      <c r="H1137" s="71" t="n">
        <v>14000000</v>
      </c>
      <c r="I1137" s="71" t="n">
        <v>0</v>
      </c>
      <c r="J1137" s="72" t="n">
        <v>4.7</v>
      </c>
      <c r="K1137" s="69" t="inlineStr">
        <is>
          <t>Fixed rate</t>
        </is>
      </c>
      <c r="L1137" s="68" t="n">
        <v>61</v>
      </c>
      <c r="M1137" s="68" t="n"/>
      <c r="N1137" s="68" t="n">
        <v>385</v>
      </c>
      <c r="O1137" s="68" t="n">
        <v>25</v>
      </c>
      <c r="P1137" s="68" t="n"/>
      <c r="Q1137" s="68" t="n"/>
      <c r="R1137" s="69" t="inlineStr">
        <is>
          <t>IO then Amort</t>
        </is>
      </c>
      <c r="S1137" s="69" t="inlineStr">
        <is>
          <t>No</t>
        </is>
      </c>
      <c r="T1137" s="73" t="n">
        <v>42887</v>
      </c>
      <c r="U1137" s="73" t="n">
        <v>44748</v>
      </c>
      <c r="V1137" s="73" t="n"/>
      <c r="W1137" s="69" t="n"/>
      <c r="X1137" s="69" t="inlineStr">
        <is>
          <t>Current</t>
        </is>
      </c>
      <c r="Y1137" s="68" t="n"/>
      <c r="Z1137" s="69" t="inlineStr">
        <is>
          <t>No Defeasance Occurred</t>
        </is>
      </c>
      <c r="AA1137" s="69" t="inlineStr">
        <is>
          <t>Previously</t>
        </is>
      </c>
      <c r="AB1137" s="69" t="inlineStr">
        <is>
          <t>Never special serv</t>
        </is>
      </c>
      <c r="AC1137" s="73" t="n"/>
      <c r="AD1137" s="69" t="n"/>
      <c r="AE1137" s="69" t="n"/>
      <c r="AF1137" s="69" t="inlineStr">
        <is>
          <t>PA</t>
        </is>
      </c>
      <c r="AG1137" s="69" t="inlineStr">
        <is>
          <t>Wyoming</t>
        </is>
      </c>
      <c r="AH1137" s="69" t="inlineStr">
        <is>
          <t>Scranton--Wilkes-Barre, PA</t>
        </is>
      </c>
      <c r="AI1137" s="69" t="inlineStr">
        <is>
          <t>Northeast / Mid-Atlantic</t>
        </is>
      </c>
      <c r="AJ1137" s="69" t="inlineStr">
        <is>
          <t>RT</t>
        </is>
      </c>
      <c r="AK1137" s="69" t="inlineStr">
        <is>
          <t>Anchored</t>
        </is>
      </c>
      <c r="AL1137" s="68" t="n">
        <v>1</v>
      </c>
      <c r="AM1137" s="68" t="n"/>
      <c r="AN1137" s="68" t="n">
        <v>226910</v>
      </c>
      <c r="AO1137" s="69" t="inlineStr">
        <is>
          <t>1970</t>
        </is>
      </c>
      <c r="AP1137" s="70" t="n">
        <v>2000</v>
      </c>
      <c r="AQ1137" s="74" t="n">
        <v>1.6</v>
      </c>
      <c r="AR1137" s="74" t="n">
        <v>1.13</v>
      </c>
      <c r="AS1137" s="74" t="n">
        <v>72.7</v>
      </c>
      <c r="AT1137" s="74" t="n"/>
      <c r="AU1137" s="74" t="n">
        <v>69.3</v>
      </c>
      <c r="AV1137" s="74" t="n">
        <v>9.981919213999999</v>
      </c>
      <c r="AW1137" s="74" t="n"/>
      <c r="AX1137" s="75" t="n">
        <v>67.55</v>
      </c>
      <c r="AY1137" s="71" t="n">
        <v>19250000</v>
      </c>
      <c r="AZ1137" s="71" t="n">
        <v>19250000</v>
      </c>
      <c r="BA1137" s="71" t="n">
        <v>1397468.69</v>
      </c>
      <c r="BB1137" s="71" t="n">
        <v>245305.15</v>
      </c>
      <c r="BC1137" s="69" t="inlineStr">
        <is>
          <t>Acquisition</t>
        </is>
      </c>
      <c r="BD1137" s="69" t="inlineStr">
        <is>
          <t>N</t>
        </is>
      </c>
      <c r="BE1137" s="71" t="n"/>
      <c r="BF1137" s="71" t="n"/>
      <c r="BG1137" s="71" t="n"/>
      <c r="BH1137" s="71" t="n">
        <v>0</v>
      </c>
      <c r="BI1137" s="71" t="n">
        <v>0</v>
      </c>
      <c r="BJ1137" s="69" t="inlineStr">
        <is>
          <t>N</t>
        </is>
      </c>
      <c r="BK1137" s="69" t="inlineStr">
        <is>
          <t>Price Chopper</t>
        </is>
      </c>
      <c r="BL1137" s="75" t="n">
        <v>23.48</v>
      </c>
      <c r="BM1137" s="73" t="n">
        <v>47422</v>
      </c>
      <c r="BN1137" s="69" t="inlineStr">
        <is>
          <t>Simon Friedman, Joel Brecher</t>
        </is>
      </c>
      <c r="BO1137" s="69" t="inlineStr">
        <is>
          <t>Ladder Capital Finance</t>
        </is>
      </c>
      <c r="BP1137" s="69" t="inlineStr">
        <is>
          <t>Wells Fargo</t>
        </is>
      </c>
      <c r="BQ1137" s="69" t="inlineStr">
        <is>
          <t>Midland Loan Services</t>
        </is>
      </c>
      <c r="BR1137" s="69" t="inlineStr">
        <is>
          <t>Full Payoff At Maturity</t>
        </is>
      </c>
      <c r="BS1137" s="73" t="n">
        <v>44748</v>
      </c>
      <c r="BU1137" s="76">
        <f>IF($C1137="","",IFERROR(INDEX(dmName,MATCH($C1137,dmID,0)),"Unmapped"))</f>
        <v/>
      </c>
      <c r="BV1137" s="76">
        <f>IF($C1137="","",IFERROR(INDEX(dmEntity,MATCH($C1137,dmID,0)),"Unmapped"))</f>
        <v/>
      </c>
      <c r="BW1137" s="77">
        <f>IF($C1137="","",IFERROR(INDEX(dmVintage,MATCH($C1137,dmID,0)),""))</f>
        <v/>
      </c>
      <c r="BX1137" s="78">
        <f>IFERROR(INDEX(dmInclude,MATCH($C1137,dmID,0)),0)</f>
        <v/>
      </c>
      <c r="BY1137" s="78">
        <f>IF(N($I1137)&gt;0,1,0)</f>
        <v/>
      </c>
      <c r="BZ1137" s="76">
        <f>IF($AJ1137="","Other / Leased Fee",IFERROR(INDEX(mapPTGroup,MATCH(LEFT(TRIM($AJ1137),2),mapPTCode,0)),"Other / Leased Fee"))</f>
        <v/>
      </c>
      <c r="CA1137" s="76">
        <f>IF(TRIM($AF1137&amp;"")="","NR",LEFT(TRIM($AF1137),2))</f>
        <v/>
      </c>
      <c r="CB1137" s="76">
        <f>IFERROR(LOOKUP(2,1/(LEFT(TRIM($AI1137&amp;""),LEN(mapRegion))=mapRegion),mapRegion),"Not Reported")</f>
        <v/>
      </c>
      <c r="CC1137" s="76">
        <f>IF($BY1137=0,"",IF(TRIM($W1137&amp;"")="REO","REO",IF(TRIM($W1137&amp;"")="FC","Foreclosure",IF(TRIM($W1137&amp;"")="90+","90+ Days Delinquent",IF(TRIM($W1137&amp;"")="60","60 Days Delinquent",IF(TRIM($W1137&amp;"")="30","30 Days Delinquent",IF($X1137="Non-Performing Matured Balloon","Non-Performing Matured Balloon",IF(OR($X1137="Late Payment But Less Than 30 Days Delinquent",LEFT($X1137&amp;"",20)="Payment Not Received"),"Late / In Grace (&lt;30 Days)",IF($X1137="Performing Matured Balloon","Performing Matured Balloon","Current")))))))))</f>
        <v/>
      </c>
      <c r="CD1137" s="78">
        <f>IF(OR($CC1137="REO",$CC1137="Foreclosure",$CC1137="90+ Days Delinquent",$CC1137="60 Days Delinquent",$CC1137="30 Days Delinquent",$CC1137="Non-Performing Matured Balloon"),1,0)</f>
        <v/>
      </c>
      <c r="CE1137" s="76">
        <f>IF($AB1137="Currently special serv","Currently Specially Serviced",IF($AB1137="Returned to master serv","Previously Specially Serviced","Never Specially Serviced"))</f>
        <v/>
      </c>
      <c r="CF1137" s="78">
        <f>IF($CE1137="Currently Specially Serviced",1,0)</f>
        <v/>
      </c>
      <c r="CG1137" s="76">
        <f>IF($AA1137="Yes","Currently on Watchlist",IF($AA1137="Previously","Previously on Watchlist","Never on Watchlist"))</f>
        <v/>
      </c>
      <c r="CH1137" s="78">
        <f>IF($CG1137="Currently on Watchlist",1,0)</f>
        <v/>
      </c>
      <c r="CI1137" s="76">
        <f>IF($Z1137="Full Defeasance","Fully Defeased",IF($Z1137="Portion Of Loan Previously Defeased","Partially Defeased",IF($Z1137="Defeasance Not Allowable","Not Defeased (Not Permitted)","Not Defeased")))</f>
        <v/>
      </c>
      <c r="CJ1137" s="78">
        <f>IF($CI1137="Fully Defeased",1,0)</f>
        <v/>
      </c>
      <c r="CK1137" s="76">
        <f>IF($R1137="IO","Full IO",IF(LEFT($R1137&amp;"",7)="IO then","Partial IO","Amortizing"))</f>
        <v/>
      </c>
      <c r="CL1137" s="78">
        <f>IF($CK1137="Full IO",1,0)</f>
        <v/>
      </c>
      <c r="CM1137" s="78">
        <f>IF($CK1137="Partial IO",1,0)</f>
        <v/>
      </c>
      <c r="CN1137" s="76">
        <f>IF(LEFT($F1137&amp;"",10)="SPLIT_LOAN","Pari Passu Split","Standalone")</f>
        <v/>
      </c>
      <c r="CO1137" s="78">
        <f>IF($CN1137="Pari Passu Split",1,0)</f>
        <v/>
      </c>
      <c r="CP1137" s="77">
        <f>IF(ISNUMBER($T1137),YEAR($T1137),"")</f>
        <v/>
      </c>
      <c r="CQ1137" s="79">
        <f>IF(ISNUMBER($V1137),$V1137,IF(ISNUMBER($U1137),$U1137,""))</f>
        <v/>
      </c>
      <c r="CR1137" s="77">
        <f>IF(ISNUMBER($CQ1137),YEAR($CQ1137),"")</f>
        <v/>
      </c>
      <c r="CS1137" s="78">
        <f>IF(ISNUMBER($M1137),MAX(0,$M1137),IF(TRIM($M1137&amp;"")="matured",0,""))</f>
        <v/>
      </c>
      <c r="CT1137" s="78">
        <f>IF(AND(ISNUMBER($CS1137),N($CS1137)&lt;=mMatWindow),1,0)</f>
        <v/>
      </c>
      <c r="CU1137" s="80">
        <f>IF(ISNUMBER($J1137),$J1137/100,"")</f>
        <v/>
      </c>
      <c r="CV1137" s="81">
        <f>IF(ISNUMBER($AQ1137),$AQ1137,"")</f>
        <v/>
      </c>
      <c r="CW1137" s="81">
        <f>IF(ISNUMBER($AR1137),$AR1137,"")</f>
        <v/>
      </c>
      <c r="CX1137" s="82">
        <f>IF(ISNUMBER($AS1137),$AS1137/100,"")</f>
        <v/>
      </c>
      <c r="CY1137" s="82">
        <f>IF(ISNUMBER($AT1137),$AT1137/100,"")</f>
        <v/>
      </c>
      <c r="CZ1137" s="82">
        <f>IF(ISNUMBER($AU1137),$AU1137/100,"")</f>
        <v/>
      </c>
      <c r="DA1137" s="82">
        <f>IF(ISNUMBER($AV1137),$AV1137/100,"")</f>
        <v/>
      </c>
      <c r="DB1137" s="82">
        <f>IF(ISNUMBER($AW1137),$AW1137/100,"")</f>
        <v/>
      </c>
      <c r="DC1137" s="82">
        <f>IF(ISNUMBER($AX1137),$AX1137/100,"")</f>
        <v/>
      </c>
      <c r="DD1137" s="77">
        <f>IFERROR(VALUE(LEFT(TRIM($AO1137&amp;""),4)),"")</f>
        <v/>
      </c>
      <c r="DE1137" s="78">
        <f>IF(AND($BY1137=1,$BX1137=1,OR(fDeal="All Deals",$BU1137=fDeal),OR(fEntity="All Entities",$BV1137=fEntity),OR(fPType="All Property Types",$BZ1137=fPType),OR(fDefeased="Include",$CJ1137=0)),1,0)</f>
        <v/>
      </c>
      <c r="DF1137" s="83">
        <f>$DE1137*N($I1137)</f>
        <v/>
      </c>
      <c r="DG1137" s="78">
        <f>IF($DE1137=1,IF(COUNTIFS($F$8:$F1137,$F1137,$DE$8:$DE1137,1)=1,1,0),0)</f>
        <v/>
      </c>
      <c r="DH1137" s="83">
        <f>IF($DG1137=1,SUMIFS($DF$8:$DF$1600,$F$8:$F$1600,$F1137),0)</f>
        <v/>
      </c>
      <c r="DI1137" s="78">
        <f>IF($DG1137=1,COUNTIFS($F$8:$F$1600,$F1137,$DE$8:$DE$1600,1),0)</f>
        <v/>
      </c>
      <c r="DJ1137" s="84">
        <f>IF($DG1137=1,$DH1137+(100000-ROW())/mTieBreak,0)</f>
        <v/>
      </c>
    </row>
    <row r="1138">
      <c r="B1138" s="68" t="n">
        <v>17</v>
      </c>
      <c r="C1138" s="69" t="inlineStr">
        <is>
          <t>LCC17L26</t>
        </is>
      </c>
      <c r="D1138" s="69" t="inlineStr">
        <is>
          <t>17.000</t>
        </is>
      </c>
      <c r="E1138" s="69" t="inlineStr">
        <is>
          <t>147-149 Grand Street</t>
        </is>
      </c>
      <c r="F1138" s="69" t="inlineStr">
        <is>
          <t>LNLCC17L26-17.000</t>
        </is>
      </c>
      <c r="G1138" s="70" t="n"/>
      <c r="H1138" s="71" t="n">
        <v>12000000</v>
      </c>
      <c r="I1138" s="71" t="n">
        <v>0</v>
      </c>
      <c r="J1138" s="72" t="n">
        <v>4.576</v>
      </c>
      <c r="K1138" s="69" t="inlineStr">
        <is>
          <t>Fixed rate</t>
        </is>
      </c>
      <c r="L1138" s="68" t="n">
        <v>60</v>
      </c>
      <c r="M1138" s="68" t="n"/>
      <c r="N1138" s="68" t="n">
        <v>60</v>
      </c>
      <c r="O1138" s="68" t="n">
        <v>60</v>
      </c>
      <c r="P1138" s="68" t="n"/>
      <c r="Q1138" s="68" t="n"/>
      <c r="R1138" s="69" t="inlineStr">
        <is>
          <t>IO</t>
        </is>
      </c>
      <c r="S1138" s="69" t="inlineStr">
        <is>
          <t>Yes</t>
        </is>
      </c>
      <c r="T1138" s="73" t="n">
        <v>42675</v>
      </c>
      <c r="U1138" s="73" t="n">
        <v>44475</v>
      </c>
      <c r="V1138" s="73" t="n"/>
      <c r="W1138" s="69" t="n"/>
      <c r="X1138" s="69" t="inlineStr">
        <is>
          <t>Current</t>
        </is>
      </c>
      <c r="Y1138" s="68" t="n"/>
      <c r="Z1138" s="69" t="inlineStr">
        <is>
          <t>No Defeasance Occurred</t>
        </is>
      </c>
      <c r="AA1138" s="69" t="inlineStr">
        <is>
          <t>Previously</t>
        </is>
      </c>
      <c r="AB1138" s="69" t="inlineStr">
        <is>
          <t>Currently special serv</t>
        </is>
      </c>
      <c r="AC1138" s="73" t="n">
        <v>44354</v>
      </c>
      <c r="AD1138" s="69" t="inlineStr">
        <is>
          <t>Payment Default (all payments excluding Balloon/Maturity Payment)</t>
        </is>
      </c>
      <c r="AE1138" s="69" t="inlineStr">
        <is>
          <t>Full Payoff</t>
        </is>
      </c>
      <c r="AF1138" s="69" t="inlineStr">
        <is>
          <t>NY</t>
        </is>
      </c>
      <c r="AG1138" s="69" t="inlineStr">
        <is>
          <t>New York</t>
        </is>
      </c>
      <c r="AH1138" s="69" t="inlineStr">
        <is>
          <t>New York-Newark-Jersey City, NY-NJ</t>
        </is>
      </c>
      <c r="AI1138" s="69" t="inlineStr">
        <is>
          <t>Northeast / Mid-Atlantic</t>
        </is>
      </c>
      <c r="AJ1138" s="69" t="inlineStr">
        <is>
          <t>MX</t>
        </is>
      </c>
      <c r="AK1138" s="69" t="inlineStr">
        <is>
          <t>Retail/Multifamily</t>
        </is>
      </c>
      <c r="AL1138" s="68" t="n">
        <v>1</v>
      </c>
      <c r="AM1138" s="68" t="n"/>
      <c r="AN1138" s="68" t="n">
        <v>2850</v>
      </c>
      <c r="AO1138" s="69" t="inlineStr">
        <is>
          <t>1920</t>
        </is>
      </c>
      <c r="AP1138" s="70" t="n">
        <v>2015</v>
      </c>
      <c r="AQ1138" s="74" t="n">
        <v>1.45</v>
      </c>
      <c r="AR1138" s="74" t="n">
        <v>0.76</v>
      </c>
      <c r="AS1138" s="74" t="n">
        <v>62.2</v>
      </c>
      <c r="AT1138" s="74" t="n"/>
      <c r="AU1138" s="74" t="n">
        <v>62.2</v>
      </c>
      <c r="AV1138" s="74" t="n">
        <v>6.718998833</v>
      </c>
      <c r="AW1138" s="74" t="n"/>
      <c r="AX1138" s="75" t="n">
        <v>100</v>
      </c>
      <c r="AY1138" s="71" t="n">
        <v>19300000</v>
      </c>
      <c r="AZ1138" s="71" t="n">
        <v>10300000</v>
      </c>
      <c r="BA1138" s="71" t="n">
        <v>806279.86</v>
      </c>
      <c r="BB1138" s="71" t="n">
        <v>422286</v>
      </c>
      <c r="BC1138" s="69" t="inlineStr">
        <is>
          <t>Refinance</t>
        </is>
      </c>
      <c r="BD1138" s="69" t="inlineStr">
        <is>
          <t>N</t>
        </is>
      </c>
      <c r="BE1138" s="71" t="n"/>
      <c r="BF1138" s="71" t="n"/>
      <c r="BG1138" s="71" t="n"/>
      <c r="BH1138" s="71" t="n">
        <v>0</v>
      </c>
      <c r="BI1138" s="71" t="n">
        <v>0</v>
      </c>
      <c r="BJ1138" s="69" t="inlineStr">
        <is>
          <t>N</t>
        </is>
      </c>
      <c r="BK1138" s="69" t="inlineStr">
        <is>
          <t>Weal Management NY LLC</t>
        </is>
      </c>
      <c r="BL1138" s="75" t="n">
        <v>50</v>
      </c>
      <c r="BM1138" s="73" t="n">
        <v>45716</v>
      </c>
      <c r="BN1138" s="69" t="inlineStr">
        <is>
          <t>Arash J. Rahmani, Abraham Khalili</t>
        </is>
      </c>
      <c r="BO1138" s="69" t="inlineStr">
        <is>
          <t>Ladder Capital Finance</t>
        </is>
      </c>
      <c r="BP1138" s="69" t="inlineStr">
        <is>
          <t>Wells Fargo</t>
        </is>
      </c>
      <c r="BQ1138" s="69" t="inlineStr">
        <is>
          <t>Midland Loan Services</t>
        </is>
      </c>
      <c r="BR1138" s="69" t="inlineStr">
        <is>
          <t>Disposition / Liquidation</t>
        </is>
      </c>
      <c r="BS1138" s="73" t="n">
        <v>46273</v>
      </c>
      <c r="BU1138" s="76">
        <f>IF($C1138="","",IFERROR(INDEX(dmName,MATCH($C1138,dmID,0)),"Unmapped"))</f>
        <v/>
      </c>
      <c r="BV1138" s="76">
        <f>IF($C1138="","",IFERROR(INDEX(dmEntity,MATCH($C1138,dmID,0)),"Unmapped"))</f>
        <v/>
      </c>
      <c r="BW1138" s="77">
        <f>IF($C1138="","",IFERROR(INDEX(dmVintage,MATCH($C1138,dmID,0)),""))</f>
        <v/>
      </c>
      <c r="BX1138" s="78">
        <f>IFERROR(INDEX(dmInclude,MATCH($C1138,dmID,0)),0)</f>
        <v/>
      </c>
      <c r="BY1138" s="78">
        <f>IF(N($I1138)&gt;0,1,0)</f>
        <v/>
      </c>
      <c r="BZ1138" s="76">
        <f>IF($AJ1138="","Other / Leased Fee",IFERROR(INDEX(mapPTGroup,MATCH(LEFT(TRIM($AJ1138),2),mapPTCode,0)),"Other / Leased Fee"))</f>
        <v/>
      </c>
      <c r="CA1138" s="76">
        <f>IF(TRIM($AF1138&amp;"")="","NR",LEFT(TRIM($AF1138),2))</f>
        <v/>
      </c>
      <c r="CB1138" s="76">
        <f>IFERROR(LOOKUP(2,1/(LEFT(TRIM($AI1138&amp;""),LEN(mapRegion))=mapRegion),mapRegion),"Not Reported")</f>
        <v/>
      </c>
      <c r="CC1138" s="76">
        <f>IF($BY1138=0,"",IF(TRIM($W1138&amp;"")="REO","REO",IF(TRIM($W1138&amp;"")="FC","Foreclosure",IF(TRIM($W1138&amp;"")="90+","90+ Days Delinquent",IF(TRIM($W1138&amp;"")="60","60 Days Delinquent",IF(TRIM($W1138&amp;"")="30","30 Days Delinquent",IF($X1138="Non-Performing Matured Balloon","Non-Performing Matured Balloon",IF(OR($X1138="Late Payment But Less Than 30 Days Delinquent",LEFT($X1138&amp;"",20)="Payment Not Received"),"Late / In Grace (&lt;30 Days)",IF($X1138="Performing Matured Balloon","Performing Matured Balloon","Current")))))))))</f>
        <v/>
      </c>
      <c r="CD1138" s="78">
        <f>IF(OR($CC1138="REO",$CC1138="Foreclosure",$CC1138="90+ Days Delinquent",$CC1138="60 Days Delinquent",$CC1138="30 Days Delinquent",$CC1138="Non-Performing Matured Balloon"),1,0)</f>
        <v/>
      </c>
      <c r="CE1138" s="76">
        <f>IF($AB1138="Currently special serv","Currently Specially Serviced",IF($AB1138="Returned to master serv","Previously Specially Serviced","Never Specially Serviced"))</f>
        <v/>
      </c>
      <c r="CF1138" s="78">
        <f>IF($CE1138="Currently Specially Serviced",1,0)</f>
        <v/>
      </c>
      <c r="CG1138" s="76">
        <f>IF($AA1138="Yes","Currently on Watchlist",IF($AA1138="Previously","Previously on Watchlist","Never on Watchlist"))</f>
        <v/>
      </c>
      <c r="CH1138" s="78">
        <f>IF($CG1138="Currently on Watchlist",1,0)</f>
        <v/>
      </c>
      <c r="CI1138" s="76">
        <f>IF($Z1138="Full Defeasance","Fully Defeased",IF($Z1138="Portion Of Loan Previously Defeased","Partially Defeased",IF($Z1138="Defeasance Not Allowable","Not Defeased (Not Permitted)","Not Defeased")))</f>
        <v/>
      </c>
      <c r="CJ1138" s="78">
        <f>IF($CI1138="Fully Defeased",1,0)</f>
        <v/>
      </c>
      <c r="CK1138" s="76">
        <f>IF($R1138="IO","Full IO",IF(LEFT($R1138&amp;"",7)="IO then","Partial IO","Amortizing"))</f>
        <v/>
      </c>
      <c r="CL1138" s="78">
        <f>IF($CK1138="Full IO",1,0)</f>
        <v/>
      </c>
      <c r="CM1138" s="78">
        <f>IF($CK1138="Partial IO",1,0)</f>
        <v/>
      </c>
      <c r="CN1138" s="76">
        <f>IF(LEFT($F1138&amp;"",10)="SPLIT_LOAN","Pari Passu Split","Standalone")</f>
        <v/>
      </c>
      <c r="CO1138" s="78">
        <f>IF($CN1138="Pari Passu Split",1,0)</f>
        <v/>
      </c>
      <c r="CP1138" s="77">
        <f>IF(ISNUMBER($T1138),YEAR($T1138),"")</f>
        <v/>
      </c>
      <c r="CQ1138" s="79">
        <f>IF(ISNUMBER($V1138),$V1138,IF(ISNUMBER($U1138),$U1138,""))</f>
        <v/>
      </c>
      <c r="CR1138" s="77">
        <f>IF(ISNUMBER($CQ1138),YEAR($CQ1138),"")</f>
        <v/>
      </c>
      <c r="CS1138" s="78">
        <f>IF(ISNUMBER($M1138),MAX(0,$M1138),IF(TRIM($M1138&amp;"")="matured",0,""))</f>
        <v/>
      </c>
      <c r="CT1138" s="78">
        <f>IF(AND(ISNUMBER($CS1138),N($CS1138)&lt;=mMatWindow),1,0)</f>
        <v/>
      </c>
      <c r="CU1138" s="80">
        <f>IF(ISNUMBER($J1138),$J1138/100,"")</f>
        <v/>
      </c>
      <c r="CV1138" s="81">
        <f>IF(ISNUMBER($AQ1138),$AQ1138,"")</f>
        <v/>
      </c>
      <c r="CW1138" s="81">
        <f>IF(ISNUMBER($AR1138),$AR1138,"")</f>
        <v/>
      </c>
      <c r="CX1138" s="82">
        <f>IF(ISNUMBER($AS1138),$AS1138/100,"")</f>
        <v/>
      </c>
      <c r="CY1138" s="82">
        <f>IF(ISNUMBER($AT1138),$AT1138/100,"")</f>
        <v/>
      </c>
      <c r="CZ1138" s="82">
        <f>IF(ISNUMBER($AU1138),$AU1138/100,"")</f>
        <v/>
      </c>
      <c r="DA1138" s="82">
        <f>IF(ISNUMBER($AV1138),$AV1138/100,"")</f>
        <v/>
      </c>
      <c r="DB1138" s="82">
        <f>IF(ISNUMBER($AW1138),$AW1138/100,"")</f>
        <v/>
      </c>
      <c r="DC1138" s="82">
        <f>IF(ISNUMBER($AX1138),$AX1138/100,"")</f>
        <v/>
      </c>
      <c r="DD1138" s="77">
        <f>IFERROR(VALUE(LEFT(TRIM($AO1138&amp;""),4)),"")</f>
        <v/>
      </c>
      <c r="DE1138" s="78">
        <f>IF(AND($BY1138=1,$BX1138=1,OR(fDeal="All Deals",$BU1138=fDeal),OR(fEntity="All Entities",$BV1138=fEntity),OR(fPType="All Property Types",$BZ1138=fPType),OR(fDefeased="Include",$CJ1138=0)),1,0)</f>
        <v/>
      </c>
      <c r="DF1138" s="83">
        <f>$DE1138*N($I1138)</f>
        <v/>
      </c>
      <c r="DG1138" s="78">
        <f>IF($DE1138=1,IF(COUNTIFS($F$8:$F1138,$F1138,$DE$8:$DE1138,1)=1,1,0),0)</f>
        <v/>
      </c>
      <c r="DH1138" s="83">
        <f>IF($DG1138=1,SUMIFS($DF$8:$DF$1600,$F$8:$F$1600,$F1138),0)</f>
        <v/>
      </c>
      <c r="DI1138" s="78">
        <f>IF($DG1138=1,COUNTIFS($F$8:$F$1600,$F1138,$DE$8:$DE$1600,1),0)</f>
        <v/>
      </c>
      <c r="DJ1138" s="84">
        <f>IF($DG1138=1,$DH1138+(100000-ROW())/mTieBreak,0)</f>
        <v/>
      </c>
    </row>
    <row r="1139">
      <c r="B1139" s="68" t="n">
        <v>18</v>
      </c>
      <c r="C1139" s="69" t="inlineStr">
        <is>
          <t>LCC17L26</t>
        </is>
      </c>
      <c r="D1139" s="69" t="inlineStr">
        <is>
          <t>18.000</t>
        </is>
      </c>
      <c r="E1139" s="69" t="inlineStr">
        <is>
          <t>Escondido Valley Center</t>
        </is>
      </c>
      <c r="F1139" s="69" t="inlineStr">
        <is>
          <t>LNLCC17L26-18.000</t>
        </is>
      </c>
      <c r="G1139" s="70" t="n"/>
      <c r="H1139" s="71" t="n">
        <v>11900000</v>
      </c>
      <c r="I1139" s="71" t="n">
        <v>9933442.959995799</v>
      </c>
      <c r="J1139" s="72" t="n">
        <v>4.979</v>
      </c>
      <c r="K1139" s="69" t="inlineStr">
        <is>
          <t>Fixed rate</t>
        </is>
      </c>
      <c r="L1139" s="68" t="n">
        <v>120</v>
      </c>
      <c r="M1139" s="68" t="n">
        <v>7</v>
      </c>
      <c r="N1139" s="68" t="n">
        <v>360</v>
      </c>
      <c r="O1139" s="68" t="n"/>
      <c r="P1139" s="68" t="n"/>
      <c r="Q1139" s="68" t="n">
        <v>113</v>
      </c>
      <c r="R1139" s="69" t="n"/>
      <c r="S1139" s="69" t="inlineStr">
        <is>
          <t>No</t>
        </is>
      </c>
      <c r="T1139" s="73" t="n">
        <v>42826</v>
      </c>
      <c r="U1139" s="73" t="n">
        <v>46483</v>
      </c>
      <c r="V1139" s="73" t="n"/>
      <c r="W1139" s="69" t="n"/>
      <c r="X1139" s="69" t="inlineStr">
        <is>
          <t>Current</t>
        </is>
      </c>
      <c r="Y1139" s="68" t="n"/>
      <c r="Z1139" s="69" t="inlineStr">
        <is>
          <t>No Defeasance Occurred</t>
        </is>
      </c>
      <c r="AA1139" s="69" t="inlineStr">
        <is>
          <t>Previously</t>
        </is>
      </c>
      <c r="AB1139" s="69" t="inlineStr">
        <is>
          <t>Never special serv</t>
        </is>
      </c>
      <c r="AC1139" s="73" t="n"/>
      <c r="AD1139" s="69" t="n"/>
      <c r="AE1139" s="69" t="n"/>
      <c r="AF1139" s="69" t="inlineStr">
        <is>
          <t>CA</t>
        </is>
      </c>
      <c r="AG1139" s="69" t="inlineStr">
        <is>
          <t>Escondido</t>
        </is>
      </c>
      <c r="AH1139" s="69" t="inlineStr">
        <is>
          <t>San Diego-Chula Vista-Carlsbad, CA</t>
        </is>
      </c>
      <c r="AI1139" s="69" t="inlineStr">
        <is>
          <t>West / Pacific South</t>
        </is>
      </c>
      <c r="AJ1139" s="69" t="inlineStr">
        <is>
          <t>RT</t>
        </is>
      </c>
      <c r="AK1139" s="69" t="inlineStr">
        <is>
          <t>Shadow Anchored</t>
        </is>
      </c>
      <c r="AL1139" s="68" t="n">
        <v>1</v>
      </c>
      <c r="AM1139" s="68" t="n"/>
      <c r="AN1139" s="68" t="n">
        <v>46075</v>
      </c>
      <c r="AO1139" s="69" t="inlineStr">
        <is>
          <t>1989</t>
        </is>
      </c>
      <c r="AP1139" s="70" t="n">
        <v>1989</v>
      </c>
      <c r="AQ1139" s="74" t="n">
        <v>1.26</v>
      </c>
      <c r="AR1139" s="74" t="n">
        <v>1.8</v>
      </c>
      <c r="AS1139" s="74" t="n">
        <v>69.40000000000001</v>
      </c>
      <c r="AT1139" s="74" t="n">
        <v>58.09</v>
      </c>
      <c r="AU1139" s="74" t="n">
        <v>57.2</v>
      </c>
      <c r="AV1139" s="74" t="n">
        <v>8.127731765</v>
      </c>
      <c r="AW1139" s="74" t="n">
        <v>14.683583183</v>
      </c>
      <c r="AX1139" s="75" t="n">
        <v>95</v>
      </c>
      <c r="AY1139" s="71" t="n">
        <v>17100000</v>
      </c>
      <c r="AZ1139" s="71" t="n">
        <v>17100000</v>
      </c>
      <c r="BA1139" s="71" t="n">
        <v>967200.08</v>
      </c>
      <c r="BB1139" s="71" t="n">
        <v>343615.26</v>
      </c>
      <c r="BC1139" s="69" t="inlineStr">
        <is>
          <t>Refinance</t>
        </is>
      </c>
      <c r="BD1139" s="69" t="inlineStr">
        <is>
          <t>N</t>
        </is>
      </c>
      <c r="BE1139" s="71" t="n"/>
      <c r="BF1139" s="71" t="n"/>
      <c r="BG1139" s="71" t="n"/>
      <c r="BH1139" s="71" t="n">
        <v>0</v>
      </c>
      <c r="BI1139" s="71" t="n">
        <v>0</v>
      </c>
      <c r="BJ1139" s="69" t="inlineStr">
        <is>
          <t>N</t>
        </is>
      </c>
      <c r="BK1139" s="69" t="inlineStr">
        <is>
          <t>Auto Zone</t>
        </is>
      </c>
      <c r="BL1139" s="75" t="n">
        <v>13.19</v>
      </c>
      <c r="BM1139" s="73" t="n">
        <v>50436</v>
      </c>
      <c r="BN1139" s="69" t="inlineStr">
        <is>
          <t>Alan C. Fox; The Alan C. Fox Revocable Trust</t>
        </is>
      </c>
      <c r="BO1139" s="69" t="inlineStr">
        <is>
          <t>Ladder Capital Finance</t>
        </is>
      </c>
      <c r="BP1139" s="69" t="inlineStr">
        <is>
          <t>TriMont Real Estate Advisors</t>
        </is>
      </c>
      <c r="BQ1139" s="69" t="inlineStr">
        <is>
          <t>K-Star Asset Management LLC</t>
        </is>
      </c>
      <c r="BR1139" s="69" t="n"/>
      <c r="BS1139" s="73" t="n">
        <v>46273</v>
      </c>
      <c r="BU1139" s="76">
        <f>IF($C1139="","",IFERROR(INDEX(dmName,MATCH($C1139,dmID,0)),"Unmapped"))</f>
        <v/>
      </c>
      <c r="BV1139" s="76">
        <f>IF($C1139="","",IFERROR(INDEX(dmEntity,MATCH($C1139,dmID,0)),"Unmapped"))</f>
        <v/>
      </c>
      <c r="BW1139" s="77">
        <f>IF($C1139="","",IFERROR(INDEX(dmVintage,MATCH($C1139,dmID,0)),""))</f>
        <v/>
      </c>
      <c r="BX1139" s="78">
        <f>IFERROR(INDEX(dmInclude,MATCH($C1139,dmID,0)),0)</f>
        <v/>
      </c>
      <c r="BY1139" s="78">
        <f>IF(N($I1139)&gt;0,1,0)</f>
        <v/>
      </c>
      <c r="BZ1139" s="76">
        <f>IF($AJ1139="","Other / Leased Fee",IFERROR(INDEX(mapPTGroup,MATCH(LEFT(TRIM($AJ1139),2),mapPTCode,0)),"Other / Leased Fee"))</f>
        <v/>
      </c>
      <c r="CA1139" s="76">
        <f>IF(TRIM($AF1139&amp;"")="","NR",LEFT(TRIM($AF1139),2))</f>
        <v/>
      </c>
      <c r="CB1139" s="76">
        <f>IFERROR(LOOKUP(2,1/(LEFT(TRIM($AI1139&amp;""),LEN(mapRegion))=mapRegion),mapRegion),"Not Reported")</f>
        <v/>
      </c>
      <c r="CC1139" s="76">
        <f>IF($BY1139=0,"",IF(TRIM($W1139&amp;"")="REO","REO",IF(TRIM($W1139&amp;"")="FC","Foreclosure",IF(TRIM($W1139&amp;"")="90+","90+ Days Delinquent",IF(TRIM($W1139&amp;"")="60","60 Days Delinquent",IF(TRIM($W1139&amp;"")="30","30 Days Delinquent",IF($X1139="Non-Performing Matured Balloon","Non-Performing Matured Balloon",IF(OR($X1139="Late Payment But Less Than 30 Days Delinquent",LEFT($X1139&amp;"",20)="Payment Not Received"),"Late / In Grace (&lt;30 Days)",IF($X1139="Performing Matured Balloon","Performing Matured Balloon","Current")))))))))</f>
        <v/>
      </c>
      <c r="CD1139" s="78">
        <f>IF(OR($CC1139="REO",$CC1139="Foreclosure",$CC1139="90+ Days Delinquent",$CC1139="60 Days Delinquent",$CC1139="30 Days Delinquent",$CC1139="Non-Performing Matured Balloon"),1,0)</f>
        <v/>
      </c>
      <c r="CE1139" s="76">
        <f>IF($AB1139="Currently special serv","Currently Specially Serviced",IF($AB1139="Returned to master serv","Previously Specially Serviced","Never Specially Serviced"))</f>
        <v/>
      </c>
      <c r="CF1139" s="78">
        <f>IF($CE1139="Currently Specially Serviced",1,0)</f>
        <v/>
      </c>
      <c r="CG1139" s="76">
        <f>IF($AA1139="Yes","Currently on Watchlist",IF($AA1139="Previously","Previously on Watchlist","Never on Watchlist"))</f>
        <v/>
      </c>
      <c r="CH1139" s="78">
        <f>IF($CG1139="Currently on Watchlist",1,0)</f>
        <v/>
      </c>
      <c r="CI1139" s="76">
        <f>IF($Z1139="Full Defeasance","Fully Defeased",IF($Z1139="Portion Of Loan Previously Defeased","Partially Defeased",IF($Z1139="Defeasance Not Allowable","Not Defeased (Not Permitted)","Not Defeased")))</f>
        <v/>
      </c>
      <c r="CJ1139" s="78">
        <f>IF($CI1139="Fully Defeased",1,0)</f>
        <v/>
      </c>
      <c r="CK1139" s="76">
        <f>IF($R1139="IO","Full IO",IF(LEFT($R1139&amp;"",7)="IO then","Partial IO","Amortizing"))</f>
        <v/>
      </c>
      <c r="CL1139" s="78">
        <f>IF($CK1139="Full IO",1,0)</f>
        <v/>
      </c>
      <c r="CM1139" s="78">
        <f>IF($CK1139="Partial IO",1,0)</f>
        <v/>
      </c>
      <c r="CN1139" s="76">
        <f>IF(LEFT($F1139&amp;"",10)="SPLIT_LOAN","Pari Passu Split","Standalone")</f>
        <v/>
      </c>
      <c r="CO1139" s="78">
        <f>IF($CN1139="Pari Passu Split",1,0)</f>
        <v/>
      </c>
      <c r="CP1139" s="77">
        <f>IF(ISNUMBER($T1139),YEAR($T1139),"")</f>
        <v/>
      </c>
      <c r="CQ1139" s="79">
        <f>IF(ISNUMBER($V1139),$V1139,IF(ISNUMBER($U1139),$U1139,""))</f>
        <v/>
      </c>
      <c r="CR1139" s="77">
        <f>IF(ISNUMBER($CQ1139),YEAR($CQ1139),"")</f>
        <v/>
      </c>
      <c r="CS1139" s="78">
        <f>IF(ISNUMBER($M1139),MAX(0,$M1139),IF(TRIM($M1139&amp;"")="matured",0,""))</f>
        <v/>
      </c>
      <c r="CT1139" s="78">
        <f>IF(AND(ISNUMBER($CS1139),N($CS1139)&lt;=mMatWindow),1,0)</f>
        <v/>
      </c>
      <c r="CU1139" s="80">
        <f>IF(ISNUMBER($J1139),$J1139/100,"")</f>
        <v/>
      </c>
      <c r="CV1139" s="81">
        <f>IF(ISNUMBER($AQ1139),$AQ1139,"")</f>
        <v/>
      </c>
      <c r="CW1139" s="81">
        <f>IF(ISNUMBER($AR1139),$AR1139,"")</f>
        <v/>
      </c>
      <c r="CX1139" s="82">
        <f>IF(ISNUMBER($AS1139),$AS1139/100,"")</f>
        <v/>
      </c>
      <c r="CY1139" s="82">
        <f>IF(ISNUMBER($AT1139),$AT1139/100,"")</f>
        <v/>
      </c>
      <c r="CZ1139" s="82">
        <f>IF(ISNUMBER($AU1139),$AU1139/100,"")</f>
        <v/>
      </c>
      <c r="DA1139" s="82">
        <f>IF(ISNUMBER($AV1139),$AV1139/100,"")</f>
        <v/>
      </c>
      <c r="DB1139" s="82">
        <f>IF(ISNUMBER($AW1139),$AW1139/100,"")</f>
        <v/>
      </c>
      <c r="DC1139" s="82">
        <f>IF(ISNUMBER($AX1139),$AX1139/100,"")</f>
        <v/>
      </c>
      <c r="DD1139" s="77">
        <f>IFERROR(VALUE(LEFT(TRIM($AO1139&amp;""),4)),"")</f>
        <v/>
      </c>
      <c r="DE1139" s="78">
        <f>IF(AND($BY1139=1,$BX1139=1,OR(fDeal="All Deals",$BU1139=fDeal),OR(fEntity="All Entities",$BV1139=fEntity),OR(fPType="All Property Types",$BZ1139=fPType),OR(fDefeased="Include",$CJ1139=0)),1,0)</f>
        <v/>
      </c>
      <c r="DF1139" s="83">
        <f>$DE1139*N($I1139)</f>
        <v/>
      </c>
      <c r="DG1139" s="78">
        <f>IF($DE1139=1,IF(COUNTIFS($F$8:$F1139,$F1139,$DE$8:$DE1139,1)=1,1,0),0)</f>
        <v/>
      </c>
      <c r="DH1139" s="83">
        <f>IF($DG1139=1,SUMIFS($DF$8:$DF$1600,$F$8:$F$1600,$F1139),0)</f>
        <v/>
      </c>
      <c r="DI1139" s="78">
        <f>IF($DG1139=1,COUNTIFS($F$8:$F$1600,$F1139,$DE$8:$DE$1600,1),0)</f>
        <v/>
      </c>
      <c r="DJ1139" s="84">
        <f>IF($DG1139=1,$DH1139+(100000-ROW())/mTieBreak,0)</f>
        <v/>
      </c>
    </row>
    <row r="1140">
      <c r="B1140" s="68" t="n">
        <v>19</v>
      </c>
      <c r="C1140" s="69" t="inlineStr">
        <is>
          <t>LCC17L26</t>
        </is>
      </c>
      <c r="D1140" s="69" t="inlineStr">
        <is>
          <t>19.000</t>
        </is>
      </c>
      <c r="E1140" s="69" t="inlineStr">
        <is>
          <t>16311 Ventura Boulevard</t>
        </is>
      </c>
      <c r="F1140" s="69" t="inlineStr">
        <is>
          <t>LNLCC17L26-19.000</t>
        </is>
      </c>
      <c r="G1140" s="70" t="n"/>
      <c r="H1140" s="71" t="n">
        <v>10851000</v>
      </c>
      <c r="I1140" s="71" t="n">
        <v>10851000</v>
      </c>
      <c r="J1140" s="72" t="n">
        <v>3.514</v>
      </c>
      <c r="K1140" s="69" t="inlineStr">
        <is>
          <t>Fixed rate</t>
        </is>
      </c>
      <c r="L1140" s="68" t="n">
        <v>121</v>
      </c>
      <c r="M1140" s="68" t="n">
        <v>10</v>
      </c>
      <c r="N1140" s="68" t="n">
        <v>121</v>
      </c>
      <c r="O1140" s="68" t="n">
        <v>121</v>
      </c>
      <c r="P1140" s="68" t="n">
        <v>10</v>
      </c>
      <c r="Q1140" s="68" t="n">
        <v>111</v>
      </c>
      <c r="R1140" s="69" t="inlineStr">
        <is>
          <t>IO</t>
        </is>
      </c>
      <c r="S1140" s="69" t="inlineStr">
        <is>
          <t>Yes</t>
        </is>
      </c>
      <c r="T1140" s="73" t="n">
        <v>42887</v>
      </c>
      <c r="U1140" s="73" t="n">
        <v>50227</v>
      </c>
      <c r="V1140" s="73" t="n">
        <v>46574</v>
      </c>
      <c r="W1140" s="69" t="n"/>
      <c r="X1140" s="69" t="inlineStr">
        <is>
          <t>Current</t>
        </is>
      </c>
      <c r="Y1140" s="68" t="n"/>
      <c r="Z1140" s="69" t="inlineStr">
        <is>
          <t>Defeasance Not Allowable</t>
        </is>
      </c>
      <c r="AA1140" s="69" t="inlineStr">
        <is>
          <t>Previously</t>
        </is>
      </c>
      <c r="AB1140" s="69" t="inlineStr">
        <is>
          <t>Never special serv</t>
        </is>
      </c>
      <c r="AC1140" s="73" t="n"/>
      <c r="AD1140" s="69" t="n"/>
      <c r="AE1140" s="69" t="n"/>
      <c r="AF1140" s="69" t="inlineStr">
        <is>
          <t>CA</t>
        </is>
      </c>
      <c r="AG1140" s="69" t="inlineStr">
        <is>
          <t>Encino</t>
        </is>
      </c>
      <c r="AH1140" s="69" t="inlineStr">
        <is>
          <t>Los Angeles-Long Beach-Anaheim, CA</t>
        </is>
      </c>
      <c r="AI1140" s="69" t="inlineStr">
        <is>
          <t>West / Pacific South</t>
        </is>
      </c>
      <c r="AJ1140" s="69" t="inlineStr">
        <is>
          <t>OT</t>
        </is>
      </c>
      <c r="AK1140" s="69" t="n"/>
      <c r="AL1140" s="68" t="n">
        <v>1</v>
      </c>
      <c r="AM1140" s="68" t="n"/>
      <c r="AN1140" s="68" t="n">
        <v>55340</v>
      </c>
      <c r="AO1140" s="69" t="inlineStr">
        <is>
          <t>1980</t>
        </is>
      </c>
      <c r="AP1140" s="70" t="n">
        <v>1980</v>
      </c>
      <c r="AQ1140" s="74" t="n">
        <v>1.09</v>
      </c>
      <c r="AR1140" s="74" t="n">
        <v>1.28</v>
      </c>
      <c r="AS1140" s="74" t="n">
        <v>43.4</v>
      </c>
      <c r="AT1140" s="74" t="n">
        <v>43.4</v>
      </c>
      <c r="AU1140" s="74" t="n">
        <v>43.4</v>
      </c>
      <c r="AV1140" s="74" t="n">
        <v>3.874475164</v>
      </c>
      <c r="AW1140" s="74" t="n">
        <v>4.538475717</v>
      </c>
      <c r="AX1140" s="75" t="n">
        <v>100</v>
      </c>
      <c r="AY1140" s="71" t="n">
        <v>25000000</v>
      </c>
      <c r="AZ1140" s="71" t="n">
        <v>25000000</v>
      </c>
      <c r="BA1140" s="71" t="n">
        <v>420419.3</v>
      </c>
      <c r="BB1140" s="71" t="n">
        <v>246235</v>
      </c>
      <c r="BC1140" s="69" t="inlineStr">
        <is>
          <t>Acquisition</t>
        </is>
      </c>
      <c r="BD1140" s="69" t="inlineStr">
        <is>
          <t>Y</t>
        </is>
      </c>
      <c r="BE1140" s="71" t="n"/>
      <c r="BF1140" s="71" t="n"/>
      <c r="BG1140" s="71" t="n"/>
      <c r="BH1140" s="71" t="n">
        <v>0</v>
      </c>
      <c r="BI1140" s="71" t="n">
        <v>0</v>
      </c>
      <c r="BJ1140" s="69" t="inlineStr">
        <is>
          <t>N</t>
        </is>
      </c>
      <c r="BK1140" s="69" t="inlineStr">
        <is>
          <t>Ventura Libbit Building</t>
        </is>
      </c>
      <c r="BL1140" s="75" t="n">
        <v>100</v>
      </c>
      <c r="BM1140" s="73" t="n">
        <v>48913</v>
      </c>
      <c r="BN1140" s="69" t="inlineStr">
        <is>
          <t>Summit View Holdings, LLC; Maxxam Enterprises, L.P.</t>
        </is>
      </c>
      <c r="BO1140" s="69" t="inlineStr">
        <is>
          <t>Ladder Capital Finance</t>
        </is>
      </c>
      <c r="BP1140" s="69" t="inlineStr">
        <is>
          <t>TriMont Real Estate Advisors</t>
        </is>
      </c>
      <c r="BQ1140" s="69" t="inlineStr">
        <is>
          <t>K-Star Asset Management LLC</t>
        </is>
      </c>
      <c r="BR1140" s="69" t="n"/>
      <c r="BS1140" s="73" t="n">
        <v>46273</v>
      </c>
      <c r="BU1140" s="76">
        <f>IF($C1140="","",IFERROR(INDEX(dmName,MATCH($C1140,dmID,0)),"Unmapped"))</f>
        <v/>
      </c>
      <c r="BV1140" s="76">
        <f>IF($C1140="","",IFERROR(INDEX(dmEntity,MATCH($C1140,dmID,0)),"Unmapped"))</f>
        <v/>
      </c>
      <c r="BW1140" s="77">
        <f>IF($C1140="","",IFERROR(INDEX(dmVintage,MATCH($C1140,dmID,0)),""))</f>
        <v/>
      </c>
      <c r="BX1140" s="78">
        <f>IFERROR(INDEX(dmInclude,MATCH($C1140,dmID,0)),0)</f>
        <v/>
      </c>
      <c r="BY1140" s="78">
        <f>IF(N($I1140)&gt;0,1,0)</f>
        <v/>
      </c>
      <c r="BZ1140" s="76">
        <f>IF($AJ1140="","Other / Leased Fee",IFERROR(INDEX(mapPTGroup,MATCH(LEFT(TRIM($AJ1140),2),mapPTCode,0)),"Other / Leased Fee"))</f>
        <v/>
      </c>
      <c r="CA1140" s="76">
        <f>IF(TRIM($AF1140&amp;"")="","NR",LEFT(TRIM($AF1140),2))</f>
        <v/>
      </c>
      <c r="CB1140" s="76">
        <f>IFERROR(LOOKUP(2,1/(LEFT(TRIM($AI1140&amp;""),LEN(mapRegion))=mapRegion),mapRegion),"Not Reported")</f>
        <v/>
      </c>
      <c r="CC1140" s="76">
        <f>IF($BY1140=0,"",IF(TRIM($W1140&amp;"")="REO","REO",IF(TRIM($W1140&amp;"")="FC","Foreclosure",IF(TRIM($W1140&amp;"")="90+","90+ Days Delinquent",IF(TRIM($W1140&amp;"")="60","60 Days Delinquent",IF(TRIM($W1140&amp;"")="30","30 Days Delinquent",IF($X1140="Non-Performing Matured Balloon","Non-Performing Matured Balloon",IF(OR($X1140="Late Payment But Less Than 30 Days Delinquent",LEFT($X1140&amp;"",20)="Payment Not Received"),"Late / In Grace (&lt;30 Days)",IF($X1140="Performing Matured Balloon","Performing Matured Balloon","Current")))))))))</f>
        <v/>
      </c>
      <c r="CD1140" s="78">
        <f>IF(OR($CC1140="REO",$CC1140="Foreclosure",$CC1140="90+ Days Delinquent",$CC1140="60 Days Delinquent",$CC1140="30 Days Delinquent",$CC1140="Non-Performing Matured Balloon"),1,0)</f>
        <v/>
      </c>
      <c r="CE1140" s="76">
        <f>IF($AB1140="Currently special serv","Currently Specially Serviced",IF($AB1140="Returned to master serv","Previously Specially Serviced","Never Specially Serviced"))</f>
        <v/>
      </c>
      <c r="CF1140" s="78">
        <f>IF($CE1140="Currently Specially Serviced",1,0)</f>
        <v/>
      </c>
      <c r="CG1140" s="76">
        <f>IF($AA1140="Yes","Currently on Watchlist",IF($AA1140="Previously","Previously on Watchlist","Never on Watchlist"))</f>
        <v/>
      </c>
      <c r="CH1140" s="78">
        <f>IF($CG1140="Currently on Watchlist",1,0)</f>
        <v/>
      </c>
      <c r="CI1140" s="76">
        <f>IF($Z1140="Full Defeasance","Fully Defeased",IF($Z1140="Portion Of Loan Previously Defeased","Partially Defeased",IF($Z1140="Defeasance Not Allowable","Not Defeased (Not Permitted)","Not Defeased")))</f>
        <v/>
      </c>
      <c r="CJ1140" s="78">
        <f>IF($CI1140="Fully Defeased",1,0)</f>
        <v/>
      </c>
      <c r="CK1140" s="76">
        <f>IF($R1140="IO","Full IO",IF(LEFT($R1140&amp;"",7)="IO then","Partial IO","Amortizing"))</f>
        <v/>
      </c>
      <c r="CL1140" s="78">
        <f>IF($CK1140="Full IO",1,0)</f>
        <v/>
      </c>
      <c r="CM1140" s="78">
        <f>IF($CK1140="Partial IO",1,0)</f>
        <v/>
      </c>
      <c r="CN1140" s="76">
        <f>IF(LEFT($F1140&amp;"",10)="SPLIT_LOAN","Pari Passu Split","Standalone")</f>
        <v/>
      </c>
      <c r="CO1140" s="78">
        <f>IF($CN1140="Pari Passu Split",1,0)</f>
        <v/>
      </c>
      <c r="CP1140" s="77">
        <f>IF(ISNUMBER($T1140),YEAR($T1140),"")</f>
        <v/>
      </c>
      <c r="CQ1140" s="79">
        <f>IF(ISNUMBER($V1140),$V1140,IF(ISNUMBER($U1140),$U1140,""))</f>
        <v/>
      </c>
      <c r="CR1140" s="77">
        <f>IF(ISNUMBER($CQ1140),YEAR($CQ1140),"")</f>
        <v/>
      </c>
      <c r="CS1140" s="78">
        <f>IF(ISNUMBER($M1140),MAX(0,$M1140),IF(TRIM($M1140&amp;"")="matured",0,""))</f>
        <v/>
      </c>
      <c r="CT1140" s="78">
        <f>IF(AND(ISNUMBER($CS1140),N($CS1140)&lt;=mMatWindow),1,0)</f>
        <v/>
      </c>
      <c r="CU1140" s="80">
        <f>IF(ISNUMBER($J1140),$J1140/100,"")</f>
        <v/>
      </c>
      <c r="CV1140" s="81">
        <f>IF(ISNUMBER($AQ1140),$AQ1140,"")</f>
        <v/>
      </c>
      <c r="CW1140" s="81">
        <f>IF(ISNUMBER($AR1140),$AR1140,"")</f>
        <v/>
      </c>
      <c r="CX1140" s="82">
        <f>IF(ISNUMBER($AS1140),$AS1140/100,"")</f>
        <v/>
      </c>
      <c r="CY1140" s="82">
        <f>IF(ISNUMBER($AT1140),$AT1140/100,"")</f>
        <v/>
      </c>
      <c r="CZ1140" s="82">
        <f>IF(ISNUMBER($AU1140),$AU1140/100,"")</f>
        <v/>
      </c>
      <c r="DA1140" s="82">
        <f>IF(ISNUMBER($AV1140),$AV1140/100,"")</f>
        <v/>
      </c>
      <c r="DB1140" s="82">
        <f>IF(ISNUMBER($AW1140),$AW1140/100,"")</f>
        <v/>
      </c>
      <c r="DC1140" s="82">
        <f>IF(ISNUMBER($AX1140),$AX1140/100,"")</f>
        <v/>
      </c>
      <c r="DD1140" s="77">
        <f>IFERROR(VALUE(LEFT(TRIM($AO1140&amp;""),4)),"")</f>
        <v/>
      </c>
      <c r="DE1140" s="78">
        <f>IF(AND($BY1140=1,$BX1140=1,OR(fDeal="All Deals",$BU1140=fDeal),OR(fEntity="All Entities",$BV1140=fEntity),OR(fPType="All Property Types",$BZ1140=fPType),OR(fDefeased="Include",$CJ1140=0)),1,0)</f>
        <v/>
      </c>
      <c r="DF1140" s="83">
        <f>$DE1140*N($I1140)</f>
        <v/>
      </c>
      <c r="DG1140" s="78">
        <f>IF($DE1140=1,IF(COUNTIFS($F$8:$F1140,$F1140,$DE$8:$DE1140,1)=1,1,0),0)</f>
        <v/>
      </c>
      <c r="DH1140" s="83">
        <f>IF($DG1140=1,SUMIFS($DF$8:$DF$1600,$F$8:$F$1600,$F1140),0)</f>
        <v/>
      </c>
      <c r="DI1140" s="78">
        <f>IF($DG1140=1,COUNTIFS($F$8:$F$1600,$F1140,$DE$8:$DE$1600,1),0)</f>
        <v/>
      </c>
      <c r="DJ1140" s="84">
        <f>IF($DG1140=1,$DH1140+(100000-ROW())/mTieBreak,0)</f>
        <v/>
      </c>
    </row>
    <row r="1141">
      <c r="B1141" s="68" t="n">
        <v>20</v>
      </c>
      <c r="C1141" s="69" t="inlineStr">
        <is>
          <t>LCC17L26</t>
        </is>
      </c>
      <c r="D1141" s="69" t="inlineStr">
        <is>
          <t>20.000</t>
        </is>
      </c>
      <c r="E1141" s="69" t="inlineStr">
        <is>
          <t>Telegraph Plaza Shopping Center</t>
        </is>
      </c>
      <c r="F1141" s="69" t="inlineStr">
        <is>
          <t>LNLCC17L26-20.000</t>
        </is>
      </c>
      <c r="G1141" s="70" t="n"/>
      <c r="H1141" s="71" t="n">
        <v>9260000</v>
      </c>
      <c r="I1141" s="71" t="n">
        <v>8101675.09000322</v>
      </c>
      <c r="J1141" s="72" t="n">
        <v>4.724</v>
      </c>
      <c r="K1141" s="69" t="inlineStr">
        <is>
          <t>Fixed rate</t>
        </is>
      </c>
      <c r="L1141" s="68" t="n">
        <v>120</v>
      </c>
      <c r="M1141" s="68" t="n">
        <v>9</v>
      </c>
      <c r="N1141" s="68" t="n">
        <v>384</v>
      </c>
      <c r="O1141" s="68" t="n">
        <v>24</v>
      </c>
      <c r="P1141" s="68" t="n">
        <v>0</v>
      </c>
      <c r="Q1141" s="68" t="n">
        <v>111</v>
      </c>
      <c r="R1141" s="69" t="inlineStr">
        <is>
          <t>IO then Amort</t>
        </is>
      </c>
      <c r="S1141" s="69" t="inlineStr">
        <is>
          <t>No</t>
        </is>
      </c>
      <c r="T1141" s="73" t="n">
        <v>42887</v>
      </c>
      <c r="U1141" s="73" t="n">
        <v>46544</v>
      </c>
      <c r="V1141" s="73" t="n"/>
      <c r="W1141" s="69" t="n"/>
      <c r="X1141" s="69" t="inlineStr">
        <is>
          <t>Current</t>
        </is>
      </c>
      <c r="Y1141" s="68" t="n"/>
      <c r="Z1141" s="69" t="inlineStr">
        <is>
          <t>No Defeasance Occurred</t>
        </is>
      </c>
      <c r="AA1141" s="69" t="inlineStr">
        <is>
          <t>Yes</t>
        </is>
      </c>
      <c r="AB1141" s="69" t="inlineStr">
        <is>
          <t>Never special serv</t>
        </is>
      </c>
      <c r="AC1141" s="73" t="n"/>
      <c r="AD1141" s="69" t="n"/>
      <c r="AE1141" s="69" t="n"/>
      <c r="AF1141" s="69" t="inlineStr">
        <is>
          <t>MI</t>
        </is>
      </c>
      <c r="AG1141" s="69" t="inlineStr">
        <is>
          <t>Monroe</t>
        </is>
      </c>
      <c r="AH1141" s="69" t="inlineStr">
        <is>
          <t>Monroe, MI</t>
        </is>
      </c>
      <c r="AI1141" s="69" t="inlineStr">
        <is>
          <t>Midwest / Central East</t>
        </is>
      </c>
      <c r="AJ1141" s="69" t="inlineStr">
        <is>
          <t>RT</t>
        </is>
      </c>
      <c r="AK1141" s="69" t="inlineStr">
        <is>
          <t>Anchored</t>
        </is>
      </c>
      <c r="AL1141" s="68" t="n">
        <v>1</v>
      </c>
      <c r="AM1141" s="68" t="n"/>
      <c r="AN1141" s="68" t="n">
        <v>141354</v>
      </c>
      <c r="AO1141" s="69" t="inlineStr">
        <is>
          <t>2007</t>
        </is>
      </c>
      <c r="AP1141" s="70" t="n">
        <v>2007</v>
      </c>
      <c r="AQ1141" s="74" t="n">
        <v>1.78</v>
      </c>
      <c r="AR1141" s="74" t="n">
        <v>1.61</v>
      </c>
      <c r="AS1141" s="74" t="n">
        <v>65.2</v>
      </c>
      <c r="AT1141" s="74" t="n">
        <v>57.05</v>
      </c>
      <c r="AU1141" s="74" t="n">
        <v>56</v>
      </c>
      <c r="AV1141" s="74" t="n">
        <v>11.115474946</v>
      </c>
      <c r="AW1141" s="74" t="n">
        <v>13.836595365</v>
      </c>
      <c r="AX1141" s="75" t="n">
        <v>99</v>
      </c>
      <c r="AY1141" s="71" t="n">
        <v>14200000</v>
      </c>
      <c r="AZ1141" s="71" t="n">
        <v>14200000</v>
      </c>
      <c r="BA1141" s="71" t="n">
        <v>1029292.98</v>
      </c>
      <c r="BB1141" s="71" t="n">
        <v>465549.39</v>
      </c>
      <c r="BC1141" s="69" t="inlineStr">
        <is>
          <t>Acquisition</t>
        </is>
      </c>
      <c r="BD1141" s="69" t="inlineStr">
        <is>
          <t>N</t>
        </is>
      </c>
      <c r="BE1141" s="71" t="n"/>
      <c r="BF1141" s="71" t="n"/>
      <c r="BG1141" s="71" t="n"/>
      <c r="BH1141" s="71" t="n">
        <v>0</v>
      </c>
      <c r="BI1141" s="71" t="n">
        <v>0</v>
      </c>
      <c r="BJ1141" s="69" t="inlineStr">
        <is>
          <t>N</t>
        </is>
      </c>
      <c r="BK1141" s="69" t="inlineStr">
        <is>
          <t>Kohl's Department Store</t>
        </is>
      </c>
      <c r="BL1141" s="75" t="n">
        <v>48.62</v>
      </c>
      <c r="BM1141" s="73" t="n">
        <v>47879</v>
      </c>
      <c r="BN1141" s="69" t="inlineStr">
        <is>
          <t>Madan Aheer, Bhupinder Pelia, Chandra Chittiprolu, Krishna Nichanametla</t>
        </is>
      </c>
      <c r="BO1141" s="69" t="inlineStr">
        <is>
          <t>Ladder Capital Finance</t>
        </is>
      </c>
      <c r="BP1141" s="69" t="inlineStr">
        <is>
          <t>TriMont Real Estate Advisors</t>
        </is>
      </c>
      <c r="BQ1141" s="69" t="inlineStr">
        <is>
          <t>K-Star Asset Management LLC</t>
        </is>
      </c>
      <c r="BR1141" s="69" t="n"/>
      <c r="BS1141" s="73" t="n">
        <v>46273</v>
      </c>
      <c r="BU1141" s="76">
        <f>IF($C1141="","",IFERROR(INDEX(dmName,MATCH($C1141,dmID,0)),"Unmapped"))</f>
        <v/>
      </c>
      <c r="BV1141" s="76">
        <f>IF($C1141="","",IFERROR(INDEX(dmEntity,MATCH($C1141,dmID,0)),"Unmapped"))</f>
        <v/>
      </c>
      <c r="BW1141" s="77">
        <f>IF($C1141="","",IFERROR(INDEX(dmVintage,MATCH($C1141,dmID,0)),""))</f>
        <v/>
      </c>
      <c r="BX1141" s="78">
        <f>IFERROR(INDEX(dmInclude,MATCH($C1141,dmID,0)),0)</f>
        <v/>
      </c>
      <c r="BY1141" s="78">
        <f>IF(N($I1141)&gt;0,1,0)</f>
        <v/>
      </c>
      <c r="BZ1141" s="76">
        <f>IF($AJ1141="","Other / Leased Fee",IFERROR(INDEX(mapPTGroup,MATCH(LEFT(TRIM($AJ1141),2),mapPTCode,0)),"Other / Leased Fee"))</f>
        <v/>
      </c>
      <c r="CA1141" s="76">
        <f>IF(TRIM($AF1141&amp;"")="","NR",LEFT(TRIM($AF1141),2))</f>
        <v/>
      </c>
      <c r="CB1141" s="76">
        <f>IFERROR(LOOKUP(2,1/(LEFT(TRIM($AI1141&amp;""),LEN(mapRegion))=mapRegion),mapRegion),"Not Reported")</f>
        <v/>
      </c>
      <c r="CC1141" s="76">
        <f>IF($BY1141=0,"",IF(TRIM($W1141&amp;"")="REO","REO",IF(TRIM($W1141&amp;"")="FC","Foreclosure",IF(TRIM($W1141&amp;"")="90+","90+ Days Delinquent",IF(TRIM($W1141&amp;"")="60","60 Days Delinquent",IF(TRIM($W1141&amp;"")="30","30 Days Delinquent",IF($X1141="Non-Performing Matured Balloon","Non-Performing Matured Balloon",IF(OR($X1141="Late Payment But Less Than 30 Days Delinquent",LEFT($X1141&amp;"",20)="Payment Not Received"),"Late / In Grace (&lt;30 Days)",IF($X1141="Performing Matured Balloon","Performing Matured Balloon","Current")))))))))</f>
        <v/>
      </c>
      <c r="CD1141" s="78">
        <f>IF(OR($CC1141="REO",$CC1141="Foreclosure",$CC1141="90+ Days Delinquent",$CC1141="60 Days Delinquent",$CC1141="30 Days Delinquent",$CC1141="Non-Performing Matured Balloon"),1,0)</f>
        <v/>
      </c>
      <c r="CE1141" s="76">
        <f>IF($AB1141="Currently special serv","Currently Specially Serviced",IF($AB1141="Returned to master serv","Previously Specially Serviced","Never Specially Serviced"))</f>
        <v/>
      </c>
      <c r="CF1141" s="78">
        <f>IF($CE1141="Currently Specially Serviced",1,0)</f>
        <v/>
      </c>
      <c r="CG1141" s="76">
        <f>IF($AA1141="Yes","Currently on Watchlist",IF($AA1141="Previously","Previously on Watchlist","Never on Watchlist"))</f>
        <v/>
      </c>
      <c r="CH1141" s="78">
        <f>IF($CG1141="Currently on Watchlist",1,0)</f>
        <v/>
      </c>
      <c r="CI1141" s="76">
        <f>IF($Z1141="Full Defeasance","Fully Defeased",IF($Z1141="Portion Of Loan Previously Defeased","Partially Defeased",IF($Z1141="Defeasance Not Allowable","Not Defeased (Not Permitted)","Not Defeased")))</f>
        <v/>
      </c>
      <c r="CJ1141" s="78">
        <f>IF($CI1141="Fully Defeased",1,0)</f>
        <v/>
      </c>
      <c r="CK1141" s="76">
        <f>IF($R1141="IO","Full IO",IF(LEFT($R1141&amp;"",7)="IO then","Partial IO","Amortizing"))</f>
        <v/>
      </c>
      <c r="CL1141" s="78">
        <f>IF($CK1141="Full IO",1,0)</f>
        <v/>
      </c>
      <c r="CM1141" s="78">
        <f>IF($CK1141="Partial IO",1,0)</f>
        <v/>
      </c>
      <c r="CN1141" s="76">
        <f>IF(LEFT($F1141&amp;"",10)="SPLIT_LOAN","Pari Passu Split","Standalone")</f>
        <v/>
      </c>
      <c r="CO1141" s="78">
        <f>IF($CN1141="Pari Passu Split",1,0)</f>
        <v/>
      </c>
      <c r="CP1141" s="77">
        <f>IF(ISNUMBER($T1141),YEAR($T1141),"")</f>
        <v/>
      </c>
      <c r="CQ1141" s="79">
        <f>IF(ISNUMBER($V1141),$V1141,IF(ISNUMBER($U1141),$U1141,""))</f>
        <v/>
      </c>
      <c r="CR1141" s="77">
        <f>IF(ISNUMBER($CQ1141),YEAR($CQ1141),"")</f>
        <v/>
      </c>
      <c r="CS1141" s="78">
        <f>IF(ISNUMBER($M1141),MAX(0,$M1141),IF(TRIM($M1141&amp;"")="matured",0,""))</f>
        <v/>
      </c>
      <c r="CT1141" s="78">
        <f>IF(AND(ISNUMBER($CS1141),N($CS1141)&lt;=mMatWindow),1,0)</f>
        <v/>
      </c>
      <c r="CU1141" s="80">
        <f>IF(ISNUMBER($J1141),$J1141/100,"")</f>
        <v/>
      </c>
      <c r="CV1141" s="81">
        <f>IF(ISNUMBER($AQ1141),$AQ1141,"")</f>
        <v/>
      </c>
      <c r="CW1141" s="81">
        <f>IF(ISNUMBER($AR1141),$AR1141,"")</f>
        <v/>
      </c>
      <c r="CX1141" s="82">
        <f>IF(ISNUMBER($AS1141),$AS1141/100,"")</f>
        <v/>
      </c>
      <c r="CY1141" s="82">
        <f>IF(ISNUMBER($AT1141),$AT1141/100,"")</f>
        <v/>
      </c>
      <c r="CZ1141" s="82">
        <f>IF(ISNUMBER($AU1141),$AU1141/100,"")</f>
        <v/>
      </c>
      <c r="DA1141" s="82">
        <f>IF(ISNUMBER($AV1141),$AV1141/100,"")</f>
        <v/>
      </c>
      <c r="DB1141" s="82">
        <f>IF(ISNUMBER($AW1141),$AW1141/100,"")</f>
        <v/>
      </c>
      <c r="DC1141" s="82">
        <f>IF(ISNUMBER($AX1141),$AX1141/100,"")</f>
        <v/>
      </c>
      <c r="DD1141" s="77">
        <f>IFERROR(VALUE(LEFT(TRIM($AO1141&amp;""),4)),"")</f>
        <v/>
      </c>
      <c r="DE1141" s="78">
        <f>IF(AND($BY1141=1,$BX1141=1,OR(fDeal="All Deals",$BU1141=fDeal),OR(fEntity="All Entities",$BV1141=fEntity),OR(fPType="All Property Types",$BZ1141=fPType),OR(fDefeased="Include",$CJ1141=0)),1,0)</f>
        <v/>
      </c>
      <c r="DF1141" s="83">
        <f>$DE1141*N($I1141)</f>
        <v/>
      </c>
      <c r="DG1141" s="78">
        <f>IF($DE1141=1,IF(COUNTIFS($F$8:$F1141,$F1141,$DE$8:$DE1141,1)=1,1,0),0)</f>
        <v/>
      </c>
      <c r="DH1141" s="83">
        <f>IF($DG1141=1,SUMIFS($DF$8:$DF$1600,$F$8:$F$1600,$F1141),0)</f>
        <v/>
      </c>
      <c r="DI1141" s="78">
        <f>IF($DG1141=1,COUNTIFS($F$8:$F$1600,$F1141,$DE$8:$DE$1600,1),0)</f>
        <v/>
      </c>
      <c r="DJ1141" s="84">
        <f>IF($DG1141=1,$DH1141+(100000-ROW())/mTieBreak,0)</f>
        <v/>
      </c>
    </row>
    <row r="1142">
      <c r="B1142" s="68" t="n">
        <v>21</v>
      </c>
      <c r="C1142" s="69" t="inlineStr">
        <is>
          <t>LCC17L26</t>
        </is>
      </c>
      <c r="D1142" s="69" t="inlineStr">
        <is>
          <t>21.000</t>
        </is>
      </c>
      <c r="E1142" s="69" t="inlineStr">
        <is>
          <t>Terraces at Butler</t>
        </is>
      </c>
      <c r="F1142" s="69" t="inlineStr">
        <is>
          <t>LNLCC17L26-21.000</t>
        </is>
      </c>
      <c r="G1142" s="70" t="n"/>
      <c r="H1142" s="71" t="n">
        <v>9250000</v>
      </c>
      <c r="I1142" s="71" t="n">
        <v>8274840.060001999</v>
      </c>
      <c r="J1142" s="72" t="n">
        <v>4.8</v>
      </c>
      <c r="K1142" s="69" t="inlineStr">
        <is>
          <t>Fixed rate</t>
        </is>
      </c>
      <c r="L1142" s="68" t="n">
        <v>120</v>
      </c>
      <c r="M1142" s="68" t="n">
        <v>8</v>
      </c>
      <c r="N1142" s="68" t="n">
        <v>396</v>
      </c>
      <c r="O1142" s="68" t="n">
        <v>36</v>
      </c>
      <c r="P1142" s="68" t="n">
        <v>0</v>
      </c>
      <c r="Q1142" s="68" t="n">
        <v>112</v>
      </c>
      <c r="R1142" s="69" t="inlineStr">
        <is>
          <t>IO then Amort</t>
        </is>
      </c>
      <c r="S1142" s="69" t="inlineStr">
        <is>
          <t>No</t>
        </is>
      </c>
      <c r="T1142" s="73" t="n">
        <v>42856</v>
      </c>
      <c r="U1142" s="73" t="n">
        <v>46513</v>
      </c>
      <c r="V1142" s="73" t="n"/>
      <c r="W1142" s="69" t="n"/>
      <c r="X1142" s="69" t="inlineStr">
        <is>
          <t>Current</t>
        </is>
      </c>
      <c r="Y1142" s="68" t="n"/>
      <c r="Z1142" s="69" t="inlineStr">
        <is>
          <t>Full Defeasance</t>
        </is>
      </c>
      <c r="AA1142" s="69" t="inlineStr">
        <is>
          <t>Previously</t>
        </is>
      </c>
      <c r="AB1142" s="69" t="inlineStr">
        <is>
          <t>Never special serv</t>
        </is>
      </c>
      <c r="AC1142" s="73" t="n"/>
      <c r="AD1142" s="69" t="n"/>
      <c r="AE1142" s="69" t="n"/>
      <c r="AF1142" s="69" t="inlineStr">
        <is>
          <t>SC</t>
        </is>
      </c>
      <c r="AG1142" s="69" t="inlineStr">
        <is>
          <t>Mauldin</t>
        </is>
      </c>
      <c r="AH1142" s="69" t="inlineStr">
        <is>
          <t>Greenville-Anderson-Greer, SC</t>
        </is>
      </c>
      <c r="AI1142" s="69" t="inlineStr">
        <is>
          <t>South / Atlantic</t>
        </is>
      </c>
      <c r="AJ1142" s="69" t="inlineStr">
        <is>
          <t>MF</t>
        </is>
      </c>
      <c r="AK1142" s="69" t="inlineStr">
        <is>
          <t>Garden</t>
        </is>
      </c>
      <c r="AL1142" s="68" t="n">
        <v>1</v>
      </c>
      <c r="AM1142" s="68" t="n">
        <v>132</v>
      </c>
      <c r="AN1142" s="68" t="n"/>
      <c r="AO1142" s="69" t="inlineStr">
        <is>
          <t>1997-2001</t>
        </is>
      </c>
      <c r="AP1142" s="70" t="n">
        <v>2013</v>
      </c>
      <c r="AQ1142" s="74" t="n">
        <v>1.29</v>
      </c>
      <c r="AR1142" s="74" t="n">
        <v>1.3</v>
      </c>
      <c r="AS1142" s="74" t="n">
        <v>66.8</v>
      </c>
      <c r="AT1142" s="74" t="n">
        <v>59.75</v>
      </c>
      <c r="AU1142" s="74" t="n">
        <v>58.9</v>
      </c>
      <c r="AV1142" s="74" t="n">
        <v>8.128925838000001</v>
      </c>
      <c r="AW1142" s="74" t="n">
        <v>8.620565410999999</v>
      </c>
      <c r="AX1142" s="75" t="n">
        <v>95</v>
      </c>
      <c r="AY1142" s="71" t="n">
        <v>13850000</v>
      </c>
      <c r="AZ1142" s="71" t="n">
        <v>13850000</v>
      </c>
      <c r="BA1142" s="71" t="n">
        <v>751925.64</v>
      </c>
      <c r="BB1142" s="71" t="n">
        <v>189875.82</v>
      </c>
      <c r="BC1142" s="69" t="inlineStr">
        <is>
          <t>Acquisition</t>
        </is>
      </c>
      <c r="BD1142" s="69" t="inlineStr">
        <is>
          <t>N</t>
        </is>
      </c>
      <c r="BE1142" s="71" t="n"/>
      <c r="BF1142" s="71" t="n"/>
      <c r="BG1142" s="71" t="n"/>
      <c r="BH1142" s="71" t="n">
        <v>0</v>
      </c>
      <c r="BI1142" s="71" t="n">
        <v>0</v>
      </c>
      <c r="BJ1142" s="69" t="inlineStr">
        <is>
          <t>N</t>
        </is>
      </c>
      <c r="BK1142" s="69" t="n"/>
      <c r="BL1142" s="75" t="n"/>
      <c r="BM1142" s="73" t="n"/>
      <c r="BN1142" s="69" t="inlineStr">
        <is>
          <t>William A. Butler; Daniel W. Anderson, Sr.; Stephen L. Butler; Phyllis Kelsey-Greene; Thomas Michael Johnson; Robert E. Nesbitt; Michael Spiker</t>
        </is>
      </c>
      <c r="BO1142" s="69" t="inlineStr">
        <is>
          <t>Ladder Capital Finance</t>
        </is>
      </c>
      <c r="BP1142" s="69" t="inlineStr">
        <is>
          <t>TriMont Real Estate Advisors</t>
        </is>
      </c>
      <c r="BQ1142" s="69" t="inlineStr">
        <is>
          <t>K-Star Asset Management LLC</t>
        </is>
      </c>
      <c r="BR1142" s="69" t="n"/>
      <c r="BS1142" s="73" t="n">
        <v>46273</v>
      </c>
      <c r="BU1142" s="76">
        <f>IF($C1142="","",IFERROR(INDEX(dmName,MATCH($C1142,dmID,0)),"Unmapped"))</f>
        <v/>
      </c>
      <c r="BV1142" s="76">
        <f>IF($C1142="","",IFERROR(INDEX(dmEntity,MATCH($C1142,dmID,0)),"Unmapped"))</f>
        <v/>
      </c>
      <c r="BW1142" s="77">
        <f>IF($C1142="","",IFERROR(INDEX(dmVintage,MATCH($C1142,dmID,0)),""))</f>
        <v/>
      </c>
      <c r="BX1142" s="78">
        <f>IFERROR(INDEX(dmInclude,MATCH($C1142,dmID,0)),0)</f>
        <v/>
      </c>
      <c r="BY1142" s="78">
        <f>IF(N($I1142)&gt;0,1,0)</f>
        <v/>
      </c>
      <c r="BZ1142" s="76">
        <f>IF($AJ1142="","Other / Leased Fee",IFERROR(INDEX(mapPTGroup,MATCH(LEFT(TRIM($AJ1142),2),mapPTCode,0)),"Other / Leased Fee"))</f>
        <v/>
      </c>
      <c r="CA1142" s="76">
        <f>IF(TRIM($AF1142&amp;"")="","NR",LEFT(TRIM($AF1142),2))</f>
        <v/>
      </c>
      <c r="CB1142" s="76">
        <f>IFERROR(LOOKUP(2,1/(LEFT(TRIM($AI1142&amp;""),LEN(mapRegion))=mapRegion),mapRegion),"Not Reported")</f>
        <v/>
      </c>
      <c r="CC1142" s="76">
        <f>IF($BY1142=0,"",IF(TRIM($W1142&amp;"")="REO","REO",IF(TRIM($W1142&amp;"")="FC","Foreclosure",IF(TRIM($W1142&amp;"")="90+","90+ Days Delinquent",IF(TRIM($W1142&amp;"")="60","60 Days Delinquent",IF(TRIM($W1142&amp;"")="30","30 Days Delinquent",IF($X1142="Non-Performing Matured Balloon","Non-Performing Matured Balloon",IF(OR($X1142="Late Payment But Less Than 30 Days Delinquent",LEFT($X1142&amp;"",20)="Payment Not Received"),"Late / In Grace (&lt;30 Days)",IF($X1142="Performing Matured Balloon","Performing Matured Balloon","Current")))))))))</f>
        <v/>
      </c>
      <c r="CD1142" s="78">
        <f>IF(OR($CC1142="REO",$CC1142="Foreclosure",$CC1142="90+ Days Delinquent",$CC1142="60 Days Delinquent",$CC1142="30 Days Delinquent",$CC1142="Non-Performing Matured Balloon"),1,0)</f>
        <v/>
      </c>
      <c r="CE1142" s="76">
        <f>IF($AB1142="Currently special serv","Currently Specially Serviced",IF($AB1142="Returned to master serv","Previously Specially Serviced","Never Specially Serviced"))</f>
        <v/>
      </c>
      <c r="CF1142" s="78">
        <f>IF($CE1142="Currently Specially Serviced",1,0)</f>
        <v/>
      </c>
      <c r="CG1142" s="76">
        <f>IF($AA1142="Yes","Currently on Watchlist",IF($AA1142="Previously","Previously on Watchlist","Never on Watchlist"))</f>
        <v/>
      </c>
      <c r="CH1142" s="78">
        <f>IF($CG1142="Currently on Watchlist",1,0)</f>
        <v/>
      </c>
      <c r="CI1142" s="76">
        <f>IF($Z1142="Full Defeasance","Fully Defeased",IF($Z1142="Portion Of Loan Previously Defeased","Partially Defeased",IF($Z1142="Defeasance Not Allowable","Not Defeased (Not Permitted)","Not Defeased")))</f>
        <v/>
      </c>
      <c r="CJ1142" s="78">
        <f>IF($CI1142="Fully Defeased",1,0)</f>
        <v/>
      </c>
      <c r="CK1142" s="76">
        <f>IF($R1142="IO","Full IO",IF(LEFT($R1142&amp;"",7)="IO then","Partial IO","Amortizing"))</f>
        <v/>
      </c>
      <c r="CL1142" s="78">
        <f>IF($CK1142="Full IO",1,0)</f>
        <v/>
      </c>
      <c r="CM1142" s="78">
        <f>IF($CK1142="Partial IO",1,0)</f>
        <v/>
      </c>
      <c r="CN1142" s="76">
        <f>IF(LEFT($F1142&amp;"",10)="SPLIT_LOAN","Pari Passu Split","Standalone")</f>
        <v/>
      </c>
      <c r="CO1142" s="78">
        <f>IF($CN1142="Pari Passu Split",1,0)</f>
        <v/>
      </c>
      <c r="CP1142" s="77">
        <f>IF(ISNUMBER($T1142),YEAR($T1142),"")</f>
        <v/>
      </c>
      <c r="CQ1142" s="79">
        <f>IF(ISNUMBER($V1142),$V1142,IF(ISNUMBER($U1142),$U1142,""))</f>
        <v/>
      </c>
      <c r="CR1142" s="77">
        <f>IF(ISNUMBER($CQ1142),YEAR($CQ1142),"")</f>
        <v/>
      </c>
      <c r="CS1142" s="78">
        <f>IF(ISNUMBER($M1142),MAX(0,$M1142),IF(TRIM($M1142&amp;"")="matured",0,""))</f>
        <v/>
      </c>
      <c r="CT1142" s="78">
        <f>IF(AND(ISNUMBER($CS1142),N($CS1142)&lt;=mMatWindow),1,0)</f>
        <v/>
      </c>
      <c r="CU1142" s="80">
        <f>IF(ISNUMBER($J1142),$J1142/100,"")</f>
        <v/>
      </c>
      <c r="CV1142" s="81">
        <f>IF(ISNUMBER($AQ1142),$AQ1142,"")</f>
        <v/>
      </c>
      <c r="CW1142" s="81">
        <f>IF(ISNUMBER($AR1142),$AR1142,"")</f>
        <v/>
      </c>
      <c r="CX1142" s="82">
        <f>IF(ISNUMBER($AS1142),$AS1142/100,"")</f>
        <v/>
      </c>
      <c r="CY1142" s="82">
        <f>IF(ISNUMBER($AT1142),$AT1142/100,"")</f>
        <v/>
      </c>
      <c r="CZ1142" s="82">
        <f>IF(ISNUMBER($AU1142),$AU1142/100,"")</f>
        <v/>
      </c>
      <c r="DA1142" s="82">
        <f>IF(ISNUMBER($AV1142),$AV1142/100,"")</f>
        <v/>
      </c>
      <c r="DB1142" s="82">
        <f>IF(ISNUMBER($AW1142),$AW1142/100,"")</f>
        <v/>
      </c>
      <c r="DC1142" s="82">
        <f>IF(ISNUMBER($AX1142),$AX1142/100,"")</f>
        <v/>
      </c>
      <c r="DD1142" s="77">
        <f>IFERROR(VALUE(LEFT(TRIM($AO1142&amp;""),4)),"")</f>
        <v/>
      </c>
      <c r="DE1142" s="78">
        <f>IF(AND($BY1142=1,$BX1142=1,OR(fDeal="All Deals",$BU1142=fDeal),OR(fEntity="All Entities",$BV1142=fEntity),OR(fPType="All Property Types",$BZ1142=fPType),OR(fDefeased="Include",$CJ1142=0)),1,0)</f>
        <v/>
      </c>
      <c r="DF1142" s="83">
        <f>$DE1142*N($I1142)</f>
        <v/>
      </c>
      <c r="DG1142" s="78">
        <f>IF($DE1142=1,IF(COUNTIFS($F$8:$F1142,$F1142,$DE$8:$DE1142,1)=1,1,0),0)</f>
        <v/>
      </c>
      <c r="DH1142" s="83">
        <f>IF($DG1142=1,SUMIFS($DF$8:$DF$1600,$F$8:$F$1600,$F1142),0)</f>
        <v/>
      </c>
      <c r="DI1142" s="78">
        <f>IF($DG1142=1,COUNTIFS($F$8:$F$1600,$F1142,$DE$8:$DE$1600,1),0)</f>
        <v/>
      </c>
      <c r="DJ1142" s="84">
        <f>IF($DG1142=1,$DH1142+(100000-ROW())/mTieBreak,0)</f>
        <v/>
      </c>
    </row>
    <row r="1143">
      <c r="B1143" s="68" t="n">
        <v>22</v>
      </c>
      <c r="C1143" s="69" t="inlineStr">
        <is>
          <t>LCC17L26</t>
        </is>
      </c>
      <c r="D1143" s="69" t="inlineStr">
        <is>
          <t>22.000</t>
        </is>
      </c>
      <c r="E1143" s="69" t="inlineStr">
        <is>
          <t>Cinnamon Trails Apartments</t>
        </is>
      </c>
      <c r="F1143" s="69" t="inlineStr">
        <is>
          <t>LNLCC17L26-22.000</t>
        </is>
      </c>
      <c r="G1143" s="70" t="n"/>
      <c r="H1143" s="71" t="n">
        <v>9187500</v>
      </c>
      <c r="I1143" s="71" t="n">
        <v>8238799.399997251</v>
      </c>
      <c r="J1143" s="72" t="n">
        <v>5.015</v>
      </c>
      <c r="K1143" s="69" t="inlineStr">
        <is>
          <t>Fixed rate</t>
        </is>
      </c>
      <c r="L1143" s="68" t="n">
        <v>120</v>
      </c>
      <c r="M1143" s="68" t="n">
        <v>7</v>
      </c>
      <c r="N1143" s="68" t="n">
        <v>396</v>
      </c>
      <c r="O1143" s="68" t="n">
        <v>36</v>
      </c>
      <c r="P1143" s="68" t="n">
        <v>0</v>
      </c>
      <c r="Q1143" s="68" t="n">
        <v>113</v>
      </c>
      <c r="R1143" s="69" t="inlineStr">
        <is>
          <t>IO then Amort</t>
        </is>
      </c>
      <c r="S1143" s="69" t="inlineStr">
        <is>
          <t>No</t>
        </is>
      </c>
      <c r="T1143" s="73" t="n">
        <v>42826</v>
      </c>
      <c r="U1143" s="73" t="n">
        <v>46483</v>
      </c>
      <c r="V1143" s="73" t="n"/>
      <c r="W1143" s="69" t="n"/>
      <c r="X1143" s="69" t="inlineStr">
        <is>
          <t>Current</t>
        </is>
      </c>
      <c r="Y1143" s="68" t="n"/>
      <c r="Z1143" s="69" t="inlineStr">
        <is>
          <t>Full Defeasance</t>
        </is>
      </c>
      <c r="AA1143" s="69" t="inlineStr">
        <is>
          <t>Previously</t>
        </is>
      </c>
      <c r="AB1143" s="69" t="inlineStr">
        <is>
          <t>Never special serv</t>
        </is>
      </c>
      <c r="AC1143" s="73" t="n"/>
      <c r="AD1143" s="69" t="n"/>
      <c r="AE1143" s="69" t="n"/>
      <c r="AF1143" s="69" t="inlineStr">
        <is>
          <t>TN</t>
        </is>
      </c>
      <c r="AG1143" s="69" t="inlineStr">
        <is>
          <t>Memphis</t>
        </is>
      </c>
      <c r="AH1143" s="69" t="inlineStr">
        <is>
          <t>Memphis, TN-MS-AR</t>
        </is>
      </c>
      <c r="AI1143" s="69" t="inlineStr">
        <is>
          <t>South / Central East</t>
        </is>
      </c>
      <c r="AJ1143" s="69" t="inlineStr">
        <is>
          <t>MF</t>
        </is>
      </c>
      <c r="AK1143" s="69" t="inlineStr">
        <is>
          <t>Garden</t>
        </is>
      </c>
      <c r="AL1143" s="68" t="n">
        <v>1</v>
      </c>
      <c r="AM1143" s="68" t="n">
        <v>208</v>
      </c>
      <c r="AN1143" s="68" t="n"/>
      <c r="AO1143" s="69" t="inlineStr">
        <is>
          <t>1989</t>
        </is>
      </c>
      <c r="AP1143" s="70" t="n">
        <v>2004</v>
      </c>
      <c r="AQ1143" s="74" t="n">
        <v>1.32</v>
      </c>
      <c r="AR1143" s="74" t="n">
        <v>1.7</v>
      </c>
      <c r="AS1143" s="74" t="n">
        <v>75</v>
      </c>
      <c r="AT1143" s="74" t="n">
        <v>67.26000000000001</v>
      </c>
      <c r="AU1143" s="74" t="n">
        <v>66.40000000000001</v>
      </c>
      <c r="AV1143" s="74" t="n">
        <v>8.531548516999999</v>
      </c>
      <c r="AW1143" s="74" t="n">
        <v>8.827172076</v>
      </c>
      <c r="AX1143" s="75" t="n">
        <v>95</v>
      </c>
      <c r="AY1143" s="71" t="n">
        <v>12250000</v>
      </c>
      <c r="AZ1143" s="71" t="n">
        <v>12250000</v>
      </c>
      <c r="BA1143" s="71" t="n">
        <v>783836.02</v>
      </c>
      <c r="BB1143" s="71" t="n">
        <v>397024</v>
      </c>
      <c r="BC1143" s="69" t="inlineStr">
        <is>
          <t>Refinance</t>
        </is>
      </c>
      <c r="BD1143" s="69" t="inlineStr">
        <is>
          <t>N</t>
        </is>
      </c>
      <c r="BE1143" s="71" t="n"/>
      <c r="BF1143" s="71" t="n"/>
      <c r="BG1143" s="71" t="n"/>
      <c r="BH1143" s="71" t="n">
        <v>0</v>
      </c>
      <c r="BI1143" s="71" t="n">
        <v>0</v>
      </c>
      <c r="BJ1143" s="69" t="inlineStr">
        <is>
          <t>N</t>
        </is>
      </c>
      <c r="BK1143" s="69" t="n"/>
      <c r="BL1143" s="75" t="n"/>
      <c r="BM1143" s="73" t="n"/>
      <c r="BN1143" s="69" t="inlineStr">
        <is>
          <t>Tom Intrator</t>
        </is>
      </c>
      <c r="BO1143" s="69" t="inlineStr">
        <is>
          <t>Ladder Capital Finance</t>
        </is>
      </c>
      <c r="BP1143" s="69" t="inlineStr">
        <is>
          <t>TriMont Real Estate Advisors</t>
        </is>
      </c>
      <c r="BQ1143" s="69" t="inlineStr">
        <is>
          <t>K-Star Asset Management LLC</t>
        </is>
      </c>
      <c r="BR1143" s="69" t="n"/>
      <c r="BS1143" s="73" t="n">
        <v>46273</v>
      </c>
      <c r="BU1143" s="76">
        <f>IF($C1143="","",IFERROR(INDEX(dmName,MATCH($C1143,dmID,0)),"Unmapped"))</f>
        <v/>
      </c>
      <c r="BV1143" s="76">
        <f>IF($C1143="","",IFERROR(INDEX(dmEntity,MATCH($C1143,dmID,0)),"Unmapped"))</f>
        <v/>
      </c>
      <c r="BW1143" s="77">
        <f>IF($C1143="","",IFERROR(INDEX(dmVintage,MATCH($C1143,dmID,0)),""))</f>
        <v/>
      </c>
      <c r="BX1143" s="78">
        <f>IFERROR(INDEX(dmInclude,MATCH($C1143,dmID,0)),0)</f>
        <v/>
      </c>
      <c r="BY1143" s="78">
        <f>IF(N($I1143)&gt;0,1,0)</f>
        <v/>
      </c>
      <c r="BZ1143" s="76">
        <f>IF($AJ1143="","Other / Leased Fee",IFERROR(INDEX(mapPTGroup,MATCH(LEFT(TRIM($AJ1143),2),mapPTCode,0)),"Other / Leased Fee"))</f>
        <v/>
      </c>
      <c r="CA1143" s="76">
        <f>IF(TRIM($AF1143&amp;"")="","NR",LEFT(TRIM($AF1143),2))</f>
        <v/>
      </c>
      <c r="CB1143" s="76">
        <f>IFERROR(LOOKUP(2,1/(LEFT(TRIM($AI1143&amp;""),LEN(mapRegion))=mapRegion),mapRegion),"Not Reported")</f>
        <v/>
      </c>
      <c r="CC1143" s="76">
        <f>IF($BY1143=0,"",IF(TRIM($W1143&amp;"")="REO","REO",IF(TRIM($W1143&amp;"")="FC","Foreclosure",IF(TRIM($W1143&amp;"")="90+","90+ Days Delinquent",IF(TRIM($W1143&amp;"")="60","60 Days Delinquent",IF(TRIM($W1143&amp;"")="30","30 Days Delinquent",IF($X1143="Non-Performing Matured Balloon","Non-Performing Matured Balloon",IF(OR($X1143="Late Payment But Less Than 30 Days Delinquent",LEFT($X1143&amp;"",20)="Payment Not Received"),"Late / In Grace (&lt;30 Days)",IF($X1143="Performing Matured Balloon","Performing Matured Balloon","Current")))))))))</f>
        <v/>
      </c>
      <c r="CD1143" s="78">
        <f>IF(OR($CC1143="REO",$CC1143="Foreclosure",$CC1143="90+ Days Delinquent",$CC1143="60 Days Delinquent",$CC1143="30 Days Delinquent",$CC1143="Non-Performing Matured Balloon"),1,0)</f>
        <v/>
      </c>
      <c r="CE1143" s="76">
        <f>IF($AB1143="Currently special serv","Currently Specially Serviced",IF($AB1143="Returned to master serv","Previously Specially Serviced","Never Specially Serviced"))</f>
        <v/>
      </c>
      <c r="CF1143" s="78">
        <f>IF($CE1143="Currently Specially Serviced",1,0)</f>
        <v/>
      </c>
      <c r="CG1143" s="76">
        <f>IF($AA1143="Yes","Currently on Watchlist",IF($AA1143="Previously","Previously on Watchlist","Never on Watchlist"))</f>
        <v/>
      </c>
      <c r="CH1143" s="78">
        <f>IF($CG1143="Currently on Watchlist",1,0)</f>
        <v/>
      </c>
      <c r="CI1143" s="76">
        <f>IF($Z1143="Full Defeasance","Fully Defeased",IF($Z1143="Portion Of Loan Previously Defeased","Partially Defeased",IF($Z1143="Defeasance Not Allowable","Not Defeased (Not Permitted)","Not Defeased")))</f>
        <v/>
      </c>
      <c r="CJ1143" s="78">
        <f>IF($CI1143="Fully Defeased",1,0)</f>
        <v/>
      </c>
      <c r="CK1143" s="76">
        <f>IF($R1143="IO","Full IO",IF(LEFT($R1143&amp;"",7)="IO then","Partial IO","Amortizing"))</f>
        <v/>
      </c>
      <c r="CL1143" s="78">
        <f>IF($CK1143="Full IO",1,0)</f>
        <v/>
      </c>
      <c r="CM1143" s="78">
        <f>IF($CK1143="Partial IO",1,0)</f>
        <v/>
      </c>
      <c r="CN1143" s="76">
        <f>IF(LEFT($F1143&amp;"",10)="SPLIT_LOAN","Pari Passu Split","Standalone")</f>
        <v/>
      </c>
      <c r="CO1143" s="78">
        <f>IF($CN1143="Pari Passu Split",1,0)</f>
        <v/>
      </c>
      <c r="CP1143" s="77">
        <f>IF(ISNUMBER($T1143),YEAR($T1143),"")</f>
        <v/>
      </c>
      <c r="CQ1143" s="79">
        <f>IF(ISNUMBER($V1143),$V1143,IF(ISNUMBER($U1143),$U1143,""))</f>
        <v/>
      </c>
      <c r="CR1143" s="77">
        <f>IF(ISNUMBER($CQ1143),YEAR($CQ1143),"")</f>
        <v/>
      </c>
      <c r="CS1143" s="78">
        <f>IF(ISNUMBER($M1143),MAX(0,$M1143),IF(TRIM($M1143&amp;"")="matured",0,""))</f>
        <v/>
      </c>
      <c r="CT1143" s="78">
        <f>IF(AND(ISNUMBER($CS1143),N($CS1143)&lt;=mMatWindow),1,0)</f>
        <v/>
      </c>
      <c r="CU1143" s="80">
        <f>IF(ISNUMBER($J1143),$J1143/100,"")</f>
        <v/>
      </c>
      <c r="CV1143" s="81">
        <f>IF(ISNUMBER($AQ1143),$AQ1143,"")</f>
        <v/>
      </c>
      <c r="CW1143" s="81">
        <f>IF(ISNUMBER($AR1143),$AR1143,"")</f>
        <v/>
      </c>
      <c r="CX1143" s="82">
        <f>IF(ISNUMBER($AS1143),$AS1143/100,"")</f>
        <v/>
      </c>
      <c r="CY1143" s="82">
        <f>IF(ISNUMBER($AT1143),$AT1143/100,"")</f>
        <v/>
      </c>
      <c r="CZ1143" s="82">
        <f>IF(ISNUMBER($AU1143),$AU1143/100,"")</f>
        <v/>
      </c>
      <c r="DA1143" s="82">
        <f>IF(ISNUMBER($AV1143),$AV1143/100,"")</f>
        <v/>
      </c>
      <c r="DB1143" s="82">
        <f>IF(ISNUMBER($AW1143),$AW1143/100,"")</f>
        <v/>
      </c>
      <c r="DC1143" s="82">
        <f>IF(ISNUMBER($AX1143),$AX1143/100,"")</f>
        <v/>
      </c>
      <c r="DD1143" s="77">
        <f>IFERROR(VALUE(LEFT(TRIM($AO1143&amp;""),4)),"")</f>
        <v/>
      </c>
      <c r="DE1143" s="78">
        <f>IF(AND($BY1143=1,$BX1143=1,OR(fDeal="All Deals",$BU1143=fDeal),OR(fEntity="All Entities",$BV1143=fEntity),OR(fPType="All Property Types",$BZ1143=fPType),OR(fDefeased="Include",$CJ1143=0)),1,0)</f>
        <v/>
      </c>
      <c r="DF1143" s="83">
        <f>$DE1143*N($I1143)</f>
        <v/>
      </c>
      <c r="DG1143" s="78">
        <f>IF($DE1143=1,IF(COUNTIFS($F$8:$F1143,$F1143,$DE$8:$DE1143,1)=1,1,0),0)</f>
        <v/>
      </c>
      <c r="DH1143" s="83">
        <f>IF($DG1143=1,SUMIFS($DF$8:$DF$1600,$F$8:$F$1600,$F1143),0)</f>
        <v/>
      </c>
      <c r="DI1143" s="78">
        <f>IF($DG1143=1,COUNTIFS($F$8:$F$1600,$F1143,$DE$8:$DE$1600,1),0)</f>
        <v/>
      </c>
      <c r="DJ1143" s="84">
        <f>IF($DG1143=1,$DH1143+(100000-ROW())/mTieBreak,0)</f>
        <v/>
      </c>
    </row>
    <row r="1144">
      <c r="B1144" s="68" t="n">
        <v>23</v>
      </c>
      <c r="C1144" s="69" t="inlineStr">
        <is>
          <t>LCC17L26</t>
        </is>
      </c>
      <c r="D1144" s="69" t="inlineStr">
        <is>
          <t>23.000</t>
        </is>
      </c>
      <c r="E1144" s="69" t="inlineStr">
        <is>
          <t>3295 River Exchange</t>
        </is>
      </c>
      <c r="F1144" s="69" t="inlineStr">
        <is>
          <t>LNLCC17L26-23.000</t>
        </is>
      </c>
      <c r="G1144" s="70" t="n"/>
      <c r="H1144" s="71" t="n">
        <v>9000000</v>
      </c>
      <c r="I1144" s="71" t="n">
        <v>7497612.749997001</v>
      </c>
      <c r="J1144" s="72" t="n">
        <v>4.8375</v>
      </c>
      <c r="K1144" s="69" t="inlineStr">
        <is>
          <t>Fixed rate</t>
        </is>
      </c>
      <c r="L1144" s="68" t="n">
        <v>120</v>
      </c>
      <c r="M1144" s="68" t="n">
        <v>8</v>
      </c>
      <c r="N1144" s="68" t="n">
        <v>360</v>
      </c>
      <c r="O1144" s="68" t="n"/>
      <c r="P1144" s="68" t="n"/>
      <c r="Q1144" s="68" t="n">
        <v>112</v>
      </c>
      <c r="R1144" s="69" t="n"/>
      <c r="S1144" s="69" t="inlineStr">
        <is>
          <t>No</t>
        </is>
      </c>
      <c r="T1144" s="73" t="n">
        <v>42856</v>
      </c>
      <c r="U1144" s="73" t="n">
        <v>46513</v>
      </c>
      <c r="V1144" s="73" t="n"/>
      <c r="W1144" s="69" t="n"/>
      <c r="X1144" s="69" t="inlineStr">
        <is>
          <t>Current</t>
        </is>
      </c>
      <c r="Y1144" s="68" t="n"/>
      <c r="Z1144" s="69" t="inlineStr">
        <is>
          <t>No Defeasance Occurred</t>
        </is>
      </c>
      <c r="AA1144" s="69" t="n"/>
      <c r="AB1144" s="69" t="inlineStr">
        <is>
          <t>Never special serv</t>
        </is>
      </c>
      <c r="AC1144" s="73" t="n"/>
      <c r="AD1144" s="69" t="n"/>
      <c r="AE1144" s="69" t="n"/>
      <c r="AF1144" s="69" t="inlineStr">
        <is>
          <t>GA</t>
        </is>
      </c>
      <c r="AG1144" s="69" t="inlineStr">
        <is>
          <t>Sandy Springs</t>
        </is>
      </c>
      <c r="AH1144" s="69" t="inlineStr">
        <is>
          <t>Atlanta-Sandy Springs-Roswell, GA</t>
        </is>
      </c>
      <c r="AI1144" s="69" t="inlineStr">
        <is>
          <t>South / Atlantic</t>
        </is>
      </c>
      <c r="AJ1144" s="69" t="inlineStr">
        <is>
          <t>OF</t>
        </is>
      </c>
      <c r="AK1144" s="69" t="inlineStr">
        <is>
          <t>Suburban</t>
        </is>
      </c>
      <c r="AL1144" s="68" t="n">
        <v>1</v>
      </c>
      <c r="AM1144" s="68" t="n"/>
      <c r="AN1144" s="68" t="n">
        <v>111432</v>
      </c>
      <c r="AO1144" s="69" t="inlineStr">
        <is>
          <t>1985</t>
        </is>
      </c>
      <c r="AP1144" s="70" t="n">
        <v>1985</v>
      </c>
      <c r="AQ1144" s="74" t="n">
        <v>1.56</v>
      </c>
      <c r="AR1144" s="74" t="n">
        <v>1.79</v>
      </c>
      <c r="AS1144" s="74" t="n">
        <v>69.2</v>
      </c>
      <c r="AT1144" s="74" t="n">
        <v>57.67</v>
      </c>
      <c r="AU1144" s="74" t="n">
        <v>56.6</v>
      </c>
      <c r="AV1144" s="74" t="n">
        <v>9.868468332999999</v>
      </c>
      <c r="AW1144" s="74" t="n">
        <v>12.446109197</v>
      </c>
      <c r="AX1144" s="75" t="n">
        <v>81</v>
      </c>
      <c r="AY1144" s="71" t="n">
        <v>13000000</v>
      </c>
      <c r="AZ1144" s="71" t="n">
        <v>13000000</v>
      </c>
      <c r="BA1144" s="71" t="n">
        <v>888162.15</v>
      </c>
      <c r="BB1144" s="71" t="n">
        <v>509336.8</v>
      </c>
      <c r="BC1144" s="69" t="inlineStr">
        <is>
          <t>Refinance</t>
        </is>
      </c>
      <c r="BD1144" s="69" t="inlineStr">
        <is>
          <t>N</t>
        </is>
      </c>
      <c r="BE1144" s="71" t="n"/>
      <c r="BF1144" s="71" t="n"/>
      <c r="BG1144" s="71" t="n"/>
      <c r="BH1144" s="71" t="n">
        <v>0</v>
      </c>
      <c r="BI1144" s="71" t="n">
        <v>0</v>
      </c>
      <c r="BJ1144" s="69" t="inlineStr">
        <is>
          <t>N</t>
        </is>
      </c>
      <c r="BK1144" s="69" t="inlineStr">
        <is>
          <t>Oyamacor Inc</t>
        </is>
      </c>
      <c r="BL1144" s="75" t="n">
        <v>3.56</v>
      </c>
      <c r="BM1144" s="73" t="n">
        <v>47573</v>
      </c>
      <c r="BN1144" s="69" t="inlineStr">
        <is>
          <t>Andrew J. Segal</t>
        </is>
      </c>
      <c r="BO1144" s="69" t="inlineStr">
        <is>
          <t>Ladder Capital Finance</t>
        </is>
      </c>
      <c r="BP1144" s="69" t="inlineStr">
        <is>
          <t>TriMont Real Estate Advisors</t>
        </is>
      </c>
      <c r="BQ1144" s="69" t="inlineStr">
        <is>
          <t>K-Star Asset Management LLC</t>
        </is>
      </c>
      <c r="BR1144" s="69" t="n"/>
      <c r="BS1144" s="73" t="n">
        <v>46273</v>
      </c>
      <c r="BU1144" s="76">
        <f>IF($C1144="","",IFERROR(INDEX(dmName,MATCH($C1144,dmID,0)),"Unmapped"))</f>
        <v/>
      </c>
      <c r="BV1144" s="76">
        <f>IF($C1144="","",IFERROR(INDEX(dmEntity,MATCH($C1144,dmID,0)),"Unmapped"))</f>
        <v/>
      </c>
      <c r="BW1144" s="77">
        <f>IF($C1144="","",IFERROR(INDEX(dmVintage,MATCH($C1144,dmID,0)),""))</f>
        <v/>
      </c>
      <c r="BX1144" s="78">
        <f>IFERROR(INDEX(dmInclude,MATCH($C1144,dmID,0)),0)</f>
        <v/>
      </c>
      <c r="BY1144" s="78">
        <f>IF(N($I1144)&gt;0,1,0)</f>
        <v/>
      </c>
      <c r="BZ1144" s="76">
        <f>IF($AJ1144="","Other / Leased Fee",IFERROR(INDEX(mapPTGroup,MATCH(LEFT(TRIM($AJ1144),2),mapPTCode,0)),"Other / Leased Fee"))</f>
        <v/>
      </c>
      <c r="CA1144" s="76">
        <f>IF(TRIM($AF1144&amp;"")="","NR",LEFT(TRIM($AF1144),2))</f>
        <v/>
      </c>
      <c r="CB1144" s="76">
        <f>IFERROR(LOOKUP(2,1/(LEFT(TRIM($AI1144&amp;""),LEN(mapRegion))=mapRegion),mapRegion),"Not Reported")</f>
        <v/>
      </c>
      <c r="CC1144" s="76">
        <f>IF($BY1144=0,"",IF(TRIM($W1144&amp;"")="REO","REO",IF(TRIM($W1144&amp;"")="FC","Foreclosure",IF(TRIM($W1144&amp;"")="90+","90+ Days Delinquent",IF(TRIM($W1144&amp;"")="60","60 Days Delinquent",IF(TRIM($W1144&amp;"")="30","30 Days Delinquent",IF($X1144="Non-Performing Matured Balloon","Non-Performing Matured Balloon",IF(OR($X1144="Late Payment But Less Than 30 Days Delinquent",LEFT($X1144&amp;"",20)="Payment Not Received"),"Late / In Grace (&lt;30 Days)",IF($X1144="Performing Matured Balloon","Performing Matured Balloon","Current")))))))))</f>
        <v/>
      </c>
      <c r="CD1144" s="78">
        <f>IF(OR($CC1144="REO",$CC1144="Foreclosure",$CC1144="90+ Days Delinquent",$CC1144="60 Days Delinquent",$CC1144="30 Days Delinquent",$CC1144="Non-Performing Matured Balloon"),1,0)</f>
        <v/>
      </c>
      <c r="CE1144" s="76">
        <f>IF($AB1144="Currently special serv","Currently Specially Serviced",IF($AB1144="Returned to master serv","Previously Specially Serviced","Never Specially Serviced"))</f>
        <v/>
      </c>
      <c r="CF1144" s="78">
        <f>IF($CE1144="Currently Specially Serviced",1,0)</f>
        <v/>
      </c>
      <c r="CG1144" s="76">
        <f>IF($AA1144="Yes","Currently on Watchlist",IF($AA1144="Previously","Previously on Watchlist","Never on Watchlist"))</f>
        <v/>
      </c>
      <c r="CH1144" s="78">
        <f>IF($CG1144="Currently on Watchlist",1,0)</f>
        <v/>
      </c>
      <c r="CI1144" s="76">
        <f>IF($Z1144="Full Defeasance","Fully Defeased",IF($Z1144="Portion Of Loan Previously Defeased","Partially Defeased",IF($Z1144="Defeasance Not Allowable","Not Defeased (Not Permitted)","Not Defeased")))</f>
        <v/>
      </c>
      <c r="CJ1144" s="78">
        <f>IF($CI1144="Fully Defeased",1,0)</f>
        <v/>
      </c>
      <c r="CK1144" s="76">
        <f>IF($R1144="IO","Full IO",IF(LEFT($R1144&amp;"",7)="IO then","Partial IO","Amortizing"))</f>
        <v/>
      </c>
      <c r="CL1144" s="78">
        <f>IF($CK1144="Full IO",1,0)</f>
        <v/>
      </c>
      <c r="CM1144" s="78">
        <f>IF($CK1144="Partial IO",1,0)</f>
        <v/>
      </c>
      <c r="CN1144" s="76">
        <f>IF(LEFT($F1144&amp;"",10)="SPLIT_LOAN","Pari Passu Split","Standalone")</f>
        <v/>
      </c>
      <c r="CO1144" s="78">
        <f>IF($CN1144="Pari Passu Split",1,0)</f>
        <v/>
      </c>
      <c r="CP1144" s="77">
        <f>IF(ISNUMBER($T1144),YEAR($T1144),"")</f>
        <v/>
      </c>
      <c r="CQ1144" s="79">
        <f>IF(ISNUMBER($V1144),$V1144,IF(ISNUMBER($U1144),$U1144,""))</f>
        <v/>
      </c>
      <c r="CR1144" s="77">
        <f>IF(ISNUMBER($CQ1144),YEAR($CQ1144),"")</f>
        <v/>
      </c>
      <c r="CS1144" s="78">
        <f>IF(ISNUMBER($M1144),MAX(0,$M1144),IF(TRIM($M1144&amp;"")="matured",0,""))</f>
        <v/>
      </c>
      <c r="CT1144" s="78">
        <f>IF(AND(ISNUMBER($CS1144),N($CS1144)&lt;=mMatWindow),1,0)</f>
        <v/>
      </c>
      <c r="CU1144" s="80">
        <f>IF(ISNUMBER($J1144),$J1144/100,"")</f>
        <v/>
      </c>
      <c r="CV1144" s="81">
        <f>IF(ISNUMBER($AQ1144),$AQ1144,"")</f>
        <v/>
      </c>
      <c r="CW1144" s="81">
        <f>IF(ISNUMBER($AR1144),$AR1144,"")</f>
        <v/>
      </c>
      <c r="CX1144" s="82">
        <f>IF(ISNUMBER($AS1144),$AS1144/100,"")</f>
        <v/>
      </c>
      <c r="CY1144" s="82">
        <f>IF(ISNUMBER($AT1144),$AT1144/100,"")</f>
        <v/>
      </c>
      <c r="CZ1144" s="82">
        <f>IF(ISNUMBER($AU1144),$AU1144/100,"")</f>
        <v/>
      </c>
      <c r="DA1144" s="82">
        <f>IF(ISNUMBER($AV1144),$AV1144/100,"")</f>
        <v/>
      </c>
      <c r="DB1144" s="82">
        <f>IF(ISNUMBER($AW1144),$AW1144/100,"")</f>
        <v/>
      </c>
      <c r="DC1144" s="82">
        <f>IF(ISNUMBER($AX1144),$AX1144/100,"")</f>
        <v/>
      </c>
      <c r="DD1144" s="77">
        <f>IFERROR(VALUE(LEFT(TRIM($AO1144&amp;""),4)),"")</f>
        <v/>
      </c>
      <c r="DE1144" s="78">
        <f>IF(AND($BY1144=1,$BX1144=1,OR(fDeal="All Deals",$BU1144=fDeal),OR(fEntity="All Entities",$BV1144=fEntity),OR(fPType="All Property Types",$BZ1144=fPType),OR(fDefeased="Include",$CJ1144=0)),1,0)</f>
        <v/>
      </c>
      <c r="DF1144" s="83">
        <f>$DE1144*N($I1144)</f>
        <v/>
      </c>
      <c r="DG1144" s="78">
        <f>IF($DE1144=1,IF(COUNTIFS($F$8:$F1144,$F1144,$DE$8:$DE1144,1)=1,1,0),0)</f>
        <v/>
      </c>
      <c r="DH1144" s="83">
        <f>IF($DG1144=1,SUMIFS($DF$8:$DF$1600,$F$8:$F$1600,$F1144),0)</f>
        <v/>
      </c>
      <c r="DI1144" s="78">
        <f>IF($DG1144=1,COUNTIFS($F$8:$F$1600,$F1144,$DE$8:$DE$1600,1),0)</f>
        <v/>
      </c>
      <c r="DJ1144" s="84">
        <f>IF($DG1144=1,$DH1144+(100000-ROW())/mTieBreak,0)</f>
        <v/>
      </c>
    </row>
    <row r="1145">
      <c r="B1145" s="68" t="n">
        <v>24</v>
      </c>
      <c r="C1145" s="69" t="inlineStr">
        <is>
          <t>LCC17L26</t>
        </is>
      </c>
      <c r="D1145" s="69" t="inlineStr">
        <is>
          <t>24.000</t>
        </is>
      </c>
      <c r="E1145" s="69" t="inlineStr">
        <is>
          <t>Emerald Ridge Phase II</t>
        </is>
      </c>
      <c r="F1145" s="69" t="inlineStr">
        <is>
          <t>LNLCC17L26-24.000</t>
        </is>
      </c>
      <c r="G1145" s="70" t="n"/>
      <c r="H1145" s="71" t="n">
        <v>8200000</v>
      </c>
      <c r="I1145" s="71" t="n">
        <v>7358446.370003399</v>
      </c>
      <c r="J1145" s="72" t="n">
        <v>4.957</v>
      </c>
      <c r="K1145" s="69" t="inlineStr">
        <is>
          <t>Fixed rate</t>
        </is>
      </c>
      <c r="L1145" s="68" t="n">
        <v>120</v>
      </c>
      <c r="M1145" s="68" t="n">
        <v>8</v>
      </c>
      <c r="N1145" s="68" t="n">
        <v>396</v>
      </c>
      <c r="O1145" s="68" t="n">
        <v>36</v>
      </c>
      <c r="P1145" s="68" t="n">
        <v>0</v>
      </c>
      <c r="Q1145" s="68" t="n">
        <v>112</v>
      </c>
      <c r="R1145" s="69" t="inlineStr">
        <is>
          <t>IO then Amort</t>
        </is>
      </c>
      <c r="S1145" s="69" t="inlineStr">
        <is>
          <t>No</t>
        </is>
      </c>
      <c r="T1145" s="73" t="n">
        <v>42856</v>
      </c>
      <c r="U1145" s="73" t="n">
        <v>46513</v>
      </c>
      <c r="V1145" s="73" t="n"/>
      <c r="W1145" s="69" t="n"/>
      <c r="X1145" s="69" t="inlineStr">
        <is>
          <t>Current</t>
        </is>
      </c>
      <c r="Y1145" s="68" t="n"/>
      <c r="Z1145" s="69" t="inlineStr">
        <is>
          <t>No Defeasance Occurred</t>
        </is>
      </c>
      <c r="AA1145" s="69" t="n"/>
      <c r="AB1145" s="69" t="inlineStr">
        <is>
          <t>Never special serv</t>
        </is>
      </c>
      <c r="AC1145" s="73" t="n"/>
      <c r="AD1145" s="69" t="n"/>
      <c r="AE1145" s="69" t="n"/>
      <c r="AF1145" s="69" t="inlineStr">
        <is>
          <t>OH</t>
        </is>
      </c>
      <c r="AG1145" s="69" t="inlineStr">
        <is>
          <t>Uniontown</t>
        </is>
      </c>
      <c r="AH1145" s="69" t="inlineStr">
        <is>
          <t>Canton-Massillon, OH</t>
        </is>
      </c>
      <c r="AI1145" s="69" t="inlineStr">
        <is>
          <t>Midwest / Central East</t>
        </is>
      </c>
      <c r="AJ1145" s="69" t="inlineStr">
        <is>
          <t>MF</t>
        </is>
      </c>
      <c r="AK1145" s="69" t="inlineStr">
        <is>
          <t>Garden</t>
        </is>
      </c>
      <c r="AL1145" s="68" t="n">
        <v>1</v>
      </c>
      <c r="AM1145" s="68" t="n">
        <v>52</v>
      </c>
      <c r="AN1145" s="68" t="n"/>
      <c r="AO1145" s="69" t="inlineStr">
        <is>
          <t>2016</t>
        </is>
      </c>
      <c r="AP1145" s="70" t="n">
        <v>2016</v>
      </c>
      <c r="AQ1145" s="74" t="n">
        <v>1.26</v>
      </c>
      <c r="AR1145" s="74" t="n">
        <v>1.57</v>
      </c>
      <c r="AS1145" s="74" t="n">
        <v>76.3</v>
      </c>
      <c r="AT1145" s="74" t="n">
        <v>68.45</v>
      </c>
      <c r="AU1145" s="74" t="n">
        <v>67.5</v>
      </c>
      <c r="AV1145" s="74" t="n">
        <v>8.050309024000001</v>
      </c>
      <c r="AW1145" s="74" t="n">
        <v>11.662180532</v>
      </c>
      <c r="AX1145" s="75" t="n">
        <v>96</v>
      </c>
      <c r="AY1145" s="71" t="n">
        <v>10750000</v>
      </c>
      <c r="AZ1145" s="71" t="n">
        <v>10750000</v>
      </c>
      <c r="BA1145" s="71" t="n">
        <v>660125.34</v>
      </c>
      <c r="BB1145" s="71" t="n">
        <v>411560.87</v>
      </c>
      <c r="BC1145" s="69" t="inlineStr">
        <is>
          <t>Refinance</t>
        </is>
      </c>
      <c r="BD1145" s="69" t="inlineStr">
        <is>
          <t>N</t>
        </is>
      </c>
      <c r="BE1145" s="71" t="n"/>
      <c r="BF1145" s="71" t="n"/>
      <c r="BG1145" s="71" t="n"/>
      <c r="BH1145" s="71" t="n">
        <v>0</v>
      </c>
      <c r="BI1145" s="71" t="n">
        <v>0</v>
      </c>
      <c r="BJ1145" s="69" t="inlineStr">
        <is>
          <t>N</t>
        </is>
      </c>
      <c r="BK1145" s="69" t="n"/>
      <c r="BL1145" s="75" t="n"/>
      <c r="BM1145" s="73" t="n"/>
      <c r="BN1145" s="69" t="inlineStr">
        <is>
          <t>David M. Conwill, Steven B. Kimmelman, Leslie Leohr</t>
        </is>
      </c>
      <c r="BO1145" s="69" t="inlineStr">
        <is>
          <t>Ladder Capital Finance</t>
        </is>
      </c>
      <c r="BP1145" s="69" t="inlineStr">
        <is>
          <t>TriMont Real Estate Advisors</t>
        </is>
      </c>
      <c r="BQ1145" s="69" t="inlineStr">
        <is>
          <t>K-Star Asset Management LLC</t>
        </is>
      </c>
      <c r="BR1145" s="69" t="n"/>
      <c r="BS1145" s="73" t="n">
        <v>46273</v>
      </c>
      <c r="BU1145" s="76">
        <f>IF($C1145="","",IFERROR(INDEX(dmName,MATCH($C1145,dmID,0)),"Unmapped"))</f>
        <v/>
      </c>
      <c r="BV1145" s="76">
        <f>IF($C1145="","",IFERROR(INDEX(dmEntity,MATCH($C1145,dmID,0)),"Unmapped"))</f>
        <v/>
      </c>
      <c r="BW1145" s="77">
        <f>IF($C1145="","",IFERROR(INDEX(dmVintage,MATCH($C1145,dmID,0)),""))</f>
        <v/>
      </c>
      <c r="BX1145" s="78">
        <f>IFERROR(INDEX(dmInclude,MATCH($C1145,dmID,0)),0)</f>
        <v/>
      </c>
      <c r="BY1145" s="78">
        <f>IF(N($I1145)&gt;0,1,0)</f>
        <v/>
      </c>
      <c r="BZ1145" s="76">
        <f>IF($AJ1145="","Other / Leased Fee",IFERROR(INDEX(mapPTGroup,MATCH(LEFT(TRIM($AJ1145),2),mapPTCode,0)),"Other / Leased Fee"))</f>
        <v/>
      </c>
      <c r="CA1145" s="76">
        <f>IF(TRIM($AF1145&amp;"")="","NR",LEFT(TRIM($AF1145),2))</f>
        <v/>
      </c>
      <c r="CB1145" s="76">
        <f>IFERROR(LOOKUP(2,1/(LEFT(TRIM($AI1145&amp;""),LEN(mapRegion))=mapRegion),mapRegion),"Not Reported")</f>
        <v/>
      </c>
      <c r="CC1145" s="76">
        <f>IF($BY1145=0,"",IF(TRIM($W1145&amp;"")="REO","REO",IF(TRIM($W1145&amp;"")="FC","Foreclosure",IF(TRIM($W1145&amp;"")="90+","90+ Days Delinquent",IF(TRIM($W1145&amp;"")="60","60 Days Delinquent",IF(TRIM($W1145&amp;"")="30","30 Days Delinquent",IF($X1145="Non-Performing Matured Balloon","Non-Performing Matured Balloon",IF(OR($X1145="Late Payment But Less Than 30 Days Delinquent",LEFT($X1145&amp;"",20)="Payment Not Received"),"Late / In Grace (&lt;30 Days)",IF($X1145="Performing Matured Balloon","Performing Matured Balloon","Current")))))))))</f>
        <v/>
      </c>
      <c r="CD1145" s="78">
        <f>IF(OR($CC1145="REO",$CC1145="Foreclosure",$CC1145="90+ Days Delinquent",$CC1145="60 Days Delinquent",$CC1145="30 Days Delinquent",$CC1145="Non-Performing Matured Balloon"),1,0)</f>
        <v/>
      </c>
      <c r="CE1145" s="76">
        <f>IF($AB1145="Currently special serv","Currently Specially Serviced",IF($AB1145="Returned to master serv","Previously Specially Serviced","Never Specially Serviced"))</f>
        <v/>
      </c>
      <c r="CF1145" s="78">
        <f>IF($CE1145="Currently Specially Serviced",1,0)</f>
        <v/>
      </c>
      <c r="CG1145" s="76">
        <f>IF($AA1145="Yes","Currently on Watchlist",IF($AA1145="Previously","Previously on Watchlist","Never on Watchlist"))</f>
        <v/>
      </c>
      <c r="CH1145" s="78">
        <f>IF($CG1145="Currently on Watchlist",1,0)</f>
        <v/>
      </c>
      <c r="CI1145" s="76">
        <f>IF($Z1145="Full Defeasance","Fully Defeased",IF($Z1145="Portion Of Loan Previously Defeased","Partially Defeased",IF($Z1145="Defeasance Not Allowable","Not Defeased (Not Permitted)","Not Defeased")))</f>
        <v/>
      </c>
      <c r="CJ1145" s="78">
        <f>IF($CI1145="Fully Defeased",1,0)</f>
        <v/>
      </c>
      <c r="CK1145" s="76">
        <f>IF($R1145="IO","Full IO",IF(LEFT($R1145&amp;"",7)="IO then","Partial IO","Amortizing"))</f>
        <v/>
      </c>
      <c r="CL1145" s="78">
        <f>IF($CK1145="Full IO",1,0)</f>
        <v/>
      </c>
      <c r="CM1145" s="78">
        <f>IF($CK1145="Partial IO",1,0)</f>
        <v/>
      </c>
      <c r="CN1145" s="76">
        <f>IF(LEFT($F1145&amp;"",10)="SPLIT_LOAN","Pari Passu Split","Standalone")</f>
        <v/>
      </c>
      <c r="CO1145" s="78">
        <f>IF($CN1145="Pari Passu Split",1,0)</f>
        <v/>
      </c>
      <c r="CP1145" s="77">
        <f>IF(ISNUMBER($T1145),YEAR($T1145),"")</f>
        <v/>
      </c>
      <c r="CQ1145" s="79">
        <f>IF(ISNUMBER($V1145),$V1145,IF(ISNUMBER($U1145),$U1145,""))</f>
        <v/>
      </c>
      <c r="CR1145" s="77">
        <f>IF(ISNUMBER($CQ1145),YEAR($CQ1145),"")</f>
        <v/>
      </c>
      <c r="CS1145" s="78">
        <f>IF(ISNUMBER($M1145),MAX(0,$M1145),IF(TRIM($M1145&amp;"")="matured",0,""))</f>
        <v/>
      </c>
      <c r="CT1145" s="78">
        <f>IF(AND(ISNUMBER($CS1145),N($CS1145)&lt;=mMatWindow),1,0)</f>
        <v/>
      </c>
      <c r="CU1145" s="80">
        <f>IF(ISNUMBER($J1145),$J1145/100,"")</f>
        <v/>
      </c>
      <c r="CV1145" s="81">
        <f>IF(ISNUMBER($AQ1145),$AQ1145,"")</f>
        <v/>
      </c>
      <c r="CW1145" s="81">
        <f>IF(ISNUMBER($AR1145),$AR1145,"")</f>
        <v/>
      </c>
      <c r="CX1145" s="82">
        <f>IF(ISNUMBER($AS1145),$AS1145/100,"")</f>
        <v/>
      </c>
      <c r="CY1145" s="82">
        <f>IF(ISNUMBER($AT1145),$AT1145/100,"")</f>
        <v/>
      </c>
      <c r="CZ1145" s="82">
        <f>IF(ISNUMBER($AU1145),$AU1145/100,"")</f>
        <v/>
      </c>
      <c r="DA1145" s="82">
        <f>IF(ISNUMBER($AV1145),$AV1145/100,"")</f>
        <v/>
      </c>
      <c r="DB1145" s="82">
        <f>IF(ISNUMBER($AW1145),$AW1145/100,"")</f>
        <v/>
      </c>
      <c r="DC1145" s="82">
        <f>IF(ISNUMBER($AX1145),$AX1145/100,"")</f>
        <v/>
      </c>
      <c r="DD1145" s="77">
        <f>IFERROR(VALUE(LEFT(TRIM($AO1145&amp;""),4)),"")</f>
        <v/>
      </c>
      <c r="DE1145" s="78">
        <f>IF(AND($BY1145=1,$BX1145=1,OR(fDeal="All Deals",$BU1145=fDeal),OR(fEntity="All Entities",$BV1145=fEntity),OR(fPType="All Property Types",$BZ1145=fPType),OR(fDefeased="Include",$CJ1145=0)),1,0)</f>
        <v/>
      </c>
      <c r="DF1145" s="83">
        <f>$DE1145*N($I1145)</f>
        <v/>
      </c>
      <c r="DG1145" s="78">
        <f>IF($DE1145=1,IF(COUNTIFS($F$8:$F1145,$F1145,$DE$8:$DE1145,1)=1,1,0),0)</f>
        <v/>
      </c>
      <c r="DH1145" s="83">
        <f>IF($DG1145=1,SUMIFS($DF$8:$DF$1600,$F$8:$F$1600,$F1145),0)</f>
        <v/>
      </c>
      <c r="DI1145" s="78">
        <f>IF($DG1145=1,COUNTIFS($F$8:$F$1600,$F1145,$DE$8:$DE$1600,1),0)</f>
        <v/>
      </c>
      <c r="DJ1145" s="84">
        <f>IF($DG1145=1,$DH1145+(100000-ROW())/mTieBreak,0)</f>
        <v/>
      </c>
    </row>
    <row r="1146">
      <c r="B1146" s="68" t="n">
        <v>25</v>
      </c>
      <c r="C1146" s="69" t="inlineStr">
        <is>
          <t>LCC17L26</t>
        </is>
      </c>
      <c r="D1146" s="69" t="inlineStr">
        <is>
          <t>25.000</t>
        </is>
      </c>
      <c r="E1146" s="69" t="inlineStr">
        <is>
          <t>4424 N Broad Street</t>
        </is>
      </c>
      <c r="F1146" s="69" t="inlineStr">
        <is>
          <t>LNLCC17L26-25.000</t>
        </is>
      </c>
      <c r="G1146" s="70" t="n"/>
      <c r="H1146" s="71" t="n">
        <v>7250000</v>
      </c>
      <c r="I1146" s="71" t="n">
        <v>6512615.489999</v>
      </c>
      <c r="J1146" s="72" t="n">
        <v>4.83</v>
      </c>
      <c r="K1146" s="69" t="inlineStr">
        <is>
          <t>Fixed rate</t>
        </is>
      </c>
      <c r="L1146" s="68" t="n">
        <v>121</v>
      </c>
      <c r="M1146" s="68" t="n">
        <v>10</v>
      </c>
      <c r="N1146" s="68" t="n">
        <v>397</v>
      </c>
      <c r="O1146" s="68" t="n">
        <v>37</v>
      </c>
      <c r="P1146" s="68" t="n">
        <v>0</v>
      </c>
      <c r="Q1146" s="68" t="n">
        <v>111</v>
      </c>
      <c r="R1146" s="69" t="inlineStr">
        <is>
          <t>IO then Amort</t>
        </is>
      </c>
      <c r="S1146" s="69" t="inlineStr">
        <is>
          <t>No</t>
        </is>
      </c>
      <c r="T1146" s="73" t="n">
        <v>42887</v>
      </c>
      <c r="U1146" s="73" t="n">
        <v>46574</v>
      </c>
      <c r="V1146" s="73" t="n"/>
      <c r="W1146" s="69" t="n"/>
      <c r="X1146" s="69" t="inlineStr">
        <is>
          <t>Current</t>
        </is>
      </c>
      <c r="Y1146" s="68" t="n"/>
      <c r="Z1146" s="69" t="inlineStr">
        <is>
          <t>No Defeasance Occurred</t>
        </is>
      </c>
      <c r="AA1146" s="69" t="inlineStr">
        <is>
          <t>Previously</t>
        </is>
      </c>
      <c r="AB1146" s="69" t="inlineStr">
        <is>
          <t>Never special serv</t>
        </is>
      </c>
      <c r="AC1146" s="73" t="n"/>
      <c r="AD1146" s="69" t="n"/>
      <c r="AE1146" s="69" t="n"/>
      <c r="AF1146" s="69" t="inlineStr">
        <is>
          <t>PA</t>
        </is>
      </c>
      <c r="AG1146" s="69" t="inlineStr">
        <is>
          <t>Philadelphia</t>
        </is>
      </c>
      <c r="AH1146" s="69" t="inlineStr">
        <is>
          <t>Philadelphia-Camden-Wilmington, PA-NJ-DE-MD</t>
        </is>
      </c>
      <c r="AI1146" s="69" t="inlineStr">
        <is>
          <t>Northeast / Mid-Atlantic</t>
        </is>
      </c>
      <c r="AJ1146" s="69" t="inlineStr">
        <is>
          <t>RT</t>
        </is>
      </c>
      <c r="AK1146" s="69" t="inlineStr">
        <is>
          <t>Anchored</t>
        </is>
      </c>
      <c r="AL1146" s="68" t="n">
        <v>1</v>
      </c>
      <c r="AM1146" s="68" t="n"/>
      <c r="AN1146" s="68" t="n">
        <v>38234</v>
      </c>
      <c r="AO1146" s="69" t="inlineStr">
        <is>
          <t>1999</t>
        </is>
      </c>
      <c r="AP1146" s="70" t="n">
        <v>2017</v>
      </c>
      <c r="AQ1146" s="74" t="n">
        <v>1.31</v>
      </c>
      <c r="AR1146" s="74" t="n">
        <v>1.41</v>
      </c>
      <c r="AS1146" s="74" t="n">
        <v>72.90000000000001</v>
      </c>
      <c r="AT1146" s="74" t="n">
        <v>65.45</v>
      </c>
      <c r="AU1146" s="74" t="n">
        <v>64.3</v>
      </c>
      <c r="AV1146" s="74" t="n">
        <v>8.298276275999999</v>
      </c>
      <c r="AW1146" s="74" t="n">
        <v>11.168851149</v>
      </c>
      <c r="AX1146" s="75" t="n">
        <v>100</v>
      </c>
      <c r="AY1146" s="71" t="n">
        <v>9950000</v>
      </c>
      <c r="AZ1146" s="71" t="n">
        <v>9950000</v>
      </c>
      <c r="BA1146" s="71" t="n">
        <v>601625.03</v>
      </c>
      <c r="BB1146" s="71" t="n">
        <v>323453.35</v>
      </c>
      <c r="BC1146" s="69" t="inlineStr">
        <is>
          <t>Refinance</t>
        </is>
      </c>
      <c r="BD1146" s="69" t="inlineStr">
        <is>
          <t>N</t>
        </is>
      </c>
      <c r="BE1146" s="71" t="n"/>
      <c r="BF1146" s="71" t="n"/>
      <c r="BG1146" s="71" t="n"/>
      <c r="BH1146" s="71" t="n">
        <v>0</v>
      </c>
      <c r="BI1146" s="71" t="n">
        <v>0</v>
      </c>
      <c r="BJ1146" s="69" t="inlineStr">
        <is>
          <t>N</t>
        </is>
      </c>
      <c r="BK1146" s="69" t="inlineStr">
        <is>
          <t>Sav-A-Lot</t>
        </is>
      </c>
      <c r="BL1146" s="75" t="n">
        <v>48.39</v>
      </c>
      <c r="BM1146" s="73" t="n">
        <v>47907</v>
      </c>
      <c r="BN1146" s="69" t="inlineStr">
        <is>
          <t>Matthew Pestronk; Michael Pestronk</t>
        </is>
      </c>
      <c r="BO1146" s="69" t="inlineStr">
        <is>
          <t>Ladder Capital Finance</t>
        </is>
      </c>
      <c r="BP1146" s="69" t="inlineStr">
        <is>
          <t>TriMont Real Estate Advisors</t>
        </is>
      </c>
      <c r="BQ1146" s="69" t="inlineStr">
        <is>
          <t>K-Star Asset Management LLC</t>
        </is>
      </c>
      <c r="BR1146" s="69" t="n"/>
      <c r="BS1146" s="73" t="n">
        <v>46273</v>
      </c>
      <c r="BU1146" s="76">
        <f>IF($C1146="","",IFERROR(INDEX(dmName,MATCH($C1146,dmID,0)),"Unmapped"))</f>
        <v/>
      </c>
      <c r="BV1146" s="76">
        <f>IF($C1146="","",IFERROR(INDEX(dmEntity,MATCH($C1146,dmID,0)),"Unmapped"))</f>
        <v/>
      </c>
      <c r="BW1146" s="77">
        <f>IF($C1146="","",IFERROR(INDEX(dmVintage,MATCH($C1146,dmID,0)),""))</f>
        <v/>
      </c>
      <c r="BX1146" s="78">
        <f>IFERROR(INDEX(dmInclude,MATCH($C1146,dmID,0)),0)</f>
        <v/>
      </c>
      <c r="BY1146" s="78">
        <f>IF(N($I1146)&gt;0,1,0)</f>
        <v/>
      </c>
      <c r="BZ1146" s="76">
        <f>IF($AJ1146="","Other / Leased Fee",IFERROR(INDEX(mapPTGroup,MATCH(LEFT(TRIM($AJ1146),2),mapPTCode,0)),"Other / Leased Fee"))</f>
        <v/>
      </c>
      <c r="CA1146" s="76">
        <f>IF(TRIM($AF1146&amp;"")="","NR",LEFT(TRIM($AF1146),2))</f>
        <v/>
      </c>
      <c r="CB1146" s="76">
        <f>IFERROR(LOOKUP(2,1/(LEFT(TRIM($AI1146&amp;""),LEN(mapRegion))=mapRegion),mapRegion),"Not Reported")</f>
        <v/>
      </c>
      <c r="CC1146" s="76">
        <f>IF($BY1146=0,"",IF(TRIM($W1146&amp;"")="REO","REO",IF(TRIM($W1146&amp;"")="FC","Foreclosure",IF(TRIM($W1146&amp;"")="90+","90+ Days Delinquent",IF(TRIM($W1146&amp;"")="60","60 Days Delinquent",IF(TRIM($W1146&amp;"")="30","30 Days Delinquent",IF($X1146="Non-Performing Matured Balloon","Non-Performing Matured Balloon",IF(OR($X1146="Late Payment But Less Than 30 Days Delinquent",LEFT($X1146&amp;"",20)="Payment Not Received"),"Late / In Grace (&lt;30 Days)",IF($X1146="Performing Matured Balloon","Performing Matured Balloon","Current")))))))))</f>
        <v/>
      </c>
      <c r="CD1146" s="78">
        <f>IF(OR($CC1146="REO",$CC1146="Foreclosure",$CC1146="90+ Days Delinquent",$CC1146="60 Days Delinquent",$CC1146="30 Days Delinquent",$CC1146="Non-Performing Matured Balloon"),1,0)</f>
        <v/>
      </c>
      <c r="CE1146" s="76">
        <f>IF($AB1146="Currently special serv","Currently Specially Serviced",IF($AB1146="Returned to master serv","Previously Specially Serviced","Never Specially Serviced"))</f>
        <v/>
      </c>
      <c r="CF1146" s="78">
        <f>IF($CE1146="Currently Specially Serviced",1,0)</f>
        <v/>
      </c>
      <c r="CG1146" s="76">
        <f>IF($AA1146="Yes","Currently on Watchlist",IF($AA1146="Previously","Previously on Watchlist","Never on Watchlist"))</f>
        <v/>
      </c>
      <c r="CH1146" s="78">
        <f>IF($CG1146="Currently on Watchlist",1,0)</f>
        <v/>
      </c>
      <c r="CI1146" s="76">
        <f>IF($Z1146="Full Defeasance","Fully Defeased",IF($Z1146="Portion Of Loan Previously Defeased","Partially Defeased",IF($Z1146="Defeasance Not Allowable","Not Defeased (Not Permitted)","Not Defeased")))</f>
        <v/>
      </c>
      <c r="CJ1146" s="78">
        <f>IF($CI1146="Fully Defeased",1,0)</f>
        <v/>
      </c>
      <c r="CK1146" s="76">
        <f>IF($R1146="IO","Full IO",IF(LEFT($R1146&amp;"",7)="IO then","Partial IO","Amortizing"))</f>
        <v/>
      </c>
      <c r="CL1146" s="78">
        <f>IF($CK1146="Full IO",1,0)</f>
        <v/>
      </c>
      <c r="CM1146" s="78">
        <f>IF($CK1146="Partial IO",1,0)</f>
        <v/>
      </c>
      <c r="CN1146" s="76">
        <f>IF(LEFT($F1146&amp;"",10)="SPLIT_LOAN","Pari Passu Split","Standalone")</f>
        <v/>
      </c>
      <c r="CO1146" s="78">
        <f>IF($CN1146="Pari Passu Split",1,0)</f>
        <v/>
      </c>
      <c r="CP1146" s="77">
        <f>IF(ISNUMBER($T1146),YEAR($T1146),"")</f>
        <v/>
      </c>
      <c r="CQ1146" s="79">
        <f>IF(ISNUMBER($V1146),$V1146,IF(ISNUMBER($U1146),$U1146,""))</f>
        <v/>
      </c>
      <c r="CR1146" s="77">
        <f>IF(ISNUMBER($CQ1146),YEAR($CQ1146),"")</f>
        <v/>
      </c>
      <c r="CS1146" s="78">
        <f>IF(ISNUMBER($M1146),MAX(0,$M1146),IF(TRIM($M1146&amp;"")="matured",0,""))</f>
        <v/>
      </c>
      <c r="CT1146" s="78">
        <f>IF(AND(ISNUMBER($CS1146),N($CS1146)&lt;=mMatWindow),1,0)</f>
        <v/>
      </c>
      <c r="CU1146" s="80">
        <f>IF(ISNUMBER($J1146),$J1146/100,"")</f>
        <v/>
      </c>
      <c r="CV1146" s="81">
        <f>IF(ISNUMBER($AQ1146),$AQ1146,"")</f>
        <v/>
      </c>
      <c r="CW1146" s="81">
        <f>IF(ISNUMBER($AR1146),$AR1146,"")</f>
        <v/>
      </c>
      <c r="CX1146" s="82">
        <f>IF(ISNUMBER($AS1146),$AS1146/100,"")</f>
        <v/>
      </c>
      <c r="CY1146" s="82">
        <f>IF(ISNUMBER($AT1146),$AT1146/100,"")</f>
        <v/>
      </c>
      <c r="CZ1146" s="82">
        <f>IF(ISNUMBER($AU1146),$AU1146/100,"")</f>
        <v/>
      </c>
      <c r="DA1146" s="82">
        <f>IF(ISNUMBER($AV1146),$AV1146/100,"")</f>
        <v/>
      </c>
      <c r="DB1146" s="82">
        <f>IF(ISNUMBER($AW1146),$AW1146/100,"")</f>
        <v/>
      </c>
      <c r="DC1146" s="82">
        <f>IF(ISNUMBER($AX1146),$AX1146/100,"")</f>
        <v/>
      </c>
      <c r="DD1146" s="77">
        <f>IFERROR(VALUE(LEFT(TRIM($AO1146&amp;""),4)),"")</f>
        <v/>
      </c>
      <c r="DE1146" s="78">
        <f>IF(AND($BY1146=1,$BX1146=1,OR(fDeal="All Deals",$BU1146=fDeal),OR(fEntity="All Entities",$BV1146=fEntity),OR(fPType="All Property Types",$BZ1146=fPType),OR(fDefeased="Include",$CJ1146=0)),1,0)</f>
        <v/>
      </c>
      <c r="DF1146" s="83">
        <f>$DE1146*N($I1146)</f>
        <v/>
      </c>
      <c r="DG1146" s="78">
        <f>IF($DE1146=1,IF(COUNTIFS($F$8:$F1146,$F1146,$DE$8:$DE1146,1)=1,1,0),0)</f>
        <v/>
      </c>
      <c r="DH1146" s="83">
        <f>IF($DG1146=1,SUMIFS($DF$8:$DF$1600,$F$8:$F$1600,$F1146),0)</f>
        <v/>
      </c>
      <c r="DI1146" s="78">
        <f>IF($DG1146=1,COUNTIFS($F$8:$F$1600,$F1146,$DE$8:$DE$1600,1),0)</f>
        <v/>
      </c>
      <c r="DJ1146" s="84">
        <f>IF($DG1146=1,$DH1146+(100000-ROW())/mTieBreak,0)</f>
        <v/>
      </c>
    </row>
    <row r="1147">
      <c r="B1147" s="68" t="n">
        <v>26</v>
      </c>
      <c r="C1147" s="69" t="inlineStr">
        <is>
          <t>LCC17L26</t>
        </is>
      </c>
      <c r="D1147" s="69" t="inlineStr">
        <is>
          <t>26.000</t>
        </is>
      </c>
      <c r="E1147" s="69" t="inlineStr">
        <is>
          <t>Walmart Fayetteville</t>
        </is>
      </c>
      <c r="F1147" s="69" t="inlineStr">
        <is>
          <t>LNLCC17L26-26.000</t>
        </is>
      </c>
      <c r="G1147" s="70" t="n"/>
      <c r="H1147" s="71" t="n">
        <v>6244000</v>
      </c>
      <c r="I1147" s="71" t="n">
        <v>6244000</v>
      </c>
      <c r="J1147" s="72" t="n">
        <v>5.061</v>
      </c>
      <c r="K1147" s="69" t="inlineStr">
        <is>
          <t>Fixed rate</t>
        </is>
      </c>
      <c r="L1147" s="68" t="n">
        <v>120</v>
      </c>
      <c r="M1147" s="68" t="n">
        <v>4</v>
      </c>
      <c r="N1147" s="68" t="n">
        <v>120</v>
      </c>
      <c r="O1147" s="68" t="n">
        <v>120</v>
      </c>
      <c r="P1147" s="68" t="n">
        <v>4</v>
      </c>
      <c r="Q1147" s="68" t="n">
        <v>116</v>
      </c>
      <c r="R1147" s="69" t="inlineStr">
        <is>
          <t>IO</t>
        </is>
      </c>
      <c r="S1147" s="69" t="inlineStr">
        <is>
          <t>Yes</t>
        </is>
      </c>
      <c r="T1147" s="73" t="n">
        <v>42736</v>
      </c>
      <c r="U1147" s="73" t="n">
        <v>46393</v>
      </c>
      <c r="V1147" s="73" t="n"/>
      <c r="W1147" s="69" t="n"/>
      <c r="X1147" s="69" t="inlineStr">
        <is>
          <t>Current</t>
        </is>
      </c>
      <c r="Y1147" s="68" t="n"/>
      <c r="Z1147" s="69" t="inlineStr">
        <is>
          <t>Full Defeasance</t>
        </is>
      </c>
      <c r="AA1147" s="69" t="inlineStr">
        <is>
          <t>Previously</t>
        </is>
      </c>
      <c r="AB1147" s="69" t="inlineStr">
        <is>
          <t>Never special serv</t>
        </is>
      </c>
      <c r="AC1147" s="73" t="n"/>
      <c r="AD1147" s="69" t="n"/>
      <c r="AE1147" s="69" t="n"/>
      <c r="AF1147" s="69" t="inlineStr">
        <is>
          <t>NC</t>
        </is>
      </c>
      <c r="AG1147" s="69" t="inlineStr">
        <is>
          <t>Fayetteville</t>
        </is>
      </c>
      <c r="AH1147" s="69" t="inlineStr">
        <is>
          <t>Fayetteville, NC</t>
        </is>
      </c>
      <c r="AI1147" s="69" t="inlineStr">
        <is>
          <t>South / Atlantic</t>
        </is>
      </c>
      <c r="AJ1147" s="69" t="inlineStr">
        <is>
          <t>RT</t>
        </is>
      </c>
      <c r="AK1147" s="69" t="inlineStr">
        <is>
          <t>Single Tenant</t>
        </is>
      </c>
      <c r="AL1147" s="68" t="n">
        <v>1</v>
      </c>
      <c r="AM1147" s="68" t="n"/>
      <c r="AN1147" s="68" t="n">
        <v>41921</v>
      </c>
      <c r="AO1147" s="69" t="inlineStr">
        <is>
          <t>2015</t>
        </is>
      </c>
      <c r="AP1147" s="70" t="n">
        <v>2015</v>
      </c>
      <c r="AQ1147" s="74" t="n">
        <v>1.72</v>
      </c>
      <c r="AR1147" s="74" t="n">
        <v>1.67</v>
      </c>
      <c r="AS1147" s="74" t="n">
        <v>58.6</v>
      </c>
      <c r="AT1147" s="74" t="n">
        <v>58.63</v>
      </c>
      <c r="AU1147" s="74" t="n">
        <v>58.6</v>
      </c>
      <c r="AV1147" s="74" t="n">
        <v>8.824782511</v>
      </c>
      <c r="AW1147" s="74" t="n">
        <v>8.530285074</v>
      </c>
      <c r="AX1147" s="75" t="n">
        <v>100</v>
      </c>
      <c r="AY1147" s="71" t="n">
        <v>10650000</v>
      </c>
      <c r="AZ1147" s="71" t="n">
        <v>10650000</v>
      </c>
      <c r="BA1147" s="71" t="n">
        <v>551019.42</v>
      </c>
      <c r="BB1147" s="71" t="n">
        <v>266315.5</v>
      </c>
      <c r="BC1147" s="69" t="inlineStr">
        <is>
          <t>Acquisition</t>
        </is>
      </c>
      <c r="BD1147" s="69" t="inlineStr">
        <is>
          <t>N</t>
        </is>
      </c>
      <c r="BE1147" s="71" t="n"/>
      <c r="BF1147" s="71" t="n"/>
      <c r="BG1147" s="71" t="n"/>
      <c r="BH1147" s="71" t="n">
        <v>0</v>
      </c>
      <c r="BI1147" s="71" t="n">
        <v>0</v>
      </c>
      <c r="BJ1147" s="69" t="inlineStr">
        <is>
          <t>N</t>
        </is>
      </c>
      <c r="BK1147" s="69" t="inlineStr">
        <is>
          <t>Walmart</t>
        </is>
      </c>
      <c r="BL1147" s="75" t="n">
        <v>99.22</v>
      </c>
      <c r="BM1147" s="73" t="n">
        <v>49614</v>
      </c>
      <c r="BN1147" s="69" t="inlineStr">
        <is>
          <t>Harry J. Hutton</t>
        </is>
      </c>
      <c r="BO1147" s="69" t="inlineStr">
        <is>
          <t>Ladder Capital Finance</t>
        </is>
      </c>
      <c r="BP1147" s="69" t="inlineStr">
        <is>
          <t>TriMont Real Estate Advisors</t>
        </is>
      </c>
      <c r="BQ1147" s="69" t="inlineStr">
        <is>
          <t>K-Star Asset Management LLC</t>
        </is>
      </c>
      <c r="BR1147" s="69" t="n"/>
      <c r="BS1147" s="73" t="n">
        <v>46273</v>
      </c>
      <c r="BU1147" s="76">
        <f>IF($C1147="","",IFERROR(INDEX(dmName,MATCH($C1147,dmID,0)),"Unmapped"))</f>
        <v/>
      </c>
      <c r="BV1147" s="76">
        <f>IF($C1147="","",IFERROR(INDEX(dmEntity,MATCH($C1147,dmID,0)),"Unmapped"))</f>
        <v/>
      </c>
      <c r="BW1147" s="77">
        <f>IF($C1147="","",IFERROR(INDEX(dmVintage,MATCH($C1147,dmID,0)),""))</f>
        <v/>
      </c>
      <c r="BX1147" s="78">
        <f>IFERROR(INDEX(dmInclude,MATCH($C1147,dmID,0)),0)</f>
        <v/>
      </c>
      <c r="BY1147" s="78">
        <f>IF(N($I1147)&gt;0,1,0)</f>
        <v/>
      </c>
      <c r="BZ1147" s="76">
        <f>IF($AJ1147="","Other / Leased Fee",IFERROR(INDEX(mapPTGroup,MATCH(LEFT(TRIM($AJ1147),2),mapPTCode,0)),"Other / Leased Fee"))</f>
        <v/>
      </c>
      <c r="CA1147" s="76">
        <f>IF(TRIM($AF1147&amp;"")="","NR",LEFT(TRIM($AF1147),2))</f>
        <v/>
      </c>
      <c r="CB1147" s="76">
        <f>IFERROR(LOOKUP(2,1/(LEFT(TRIM($AI1147&amp;""),LEN(mapRegion))=mapRegion),mapRegion),"Not Reported")</f>
        <v/>
      </c>
      <c r="CC1147" s="76">
        <f>IF($BY1147=0,"",IF(TRIM($W1147&amp;"")="REO","REO",IF(TRIM($W1147&amp;"")="FC","Foreclosure",IF(TRIM($W1147&amp;"")="90+","90+ Days Delinquent",IF(TRIM($W1147&amp;"")="60","60 Days Delinquent",IF(TRIM($W1147&amp;"")="30","30 Days Delinquent",IF($X1147="Non-Performing Matured Balloon","Non-Performing Matured Balloon",IF(OR($X1147="Late Payment But Less Than 30 Days Delinquent",LEFT($X1147&amp;"",20)="Payment Not Received"),"Late / In Grace (&lt;30 Days)",IF($X1147="Performing Matured Balloon","Performing Matured Balloon","Current")))))))))</f>
        <v/>
      </c>
      <c r="CD1147" s="78">
        <f>IF(OR($CC1147="REO",$CC1147="Foreclosure",$CC1147="90+ Days Delinquent",$CC1147="60 Days Delinquent",$CC1147="30 Days Delinquent",$CC1147="Non-Performing Matured Balloon"),1,0)</f>
        <v/>
      </c>
      <c r="CE1147" s="76">
        <f>IF($AB1147="Currently special serv","Currently Specially Serviced",IF($AB1147="Returned to master serv","Previously Specially Serviced","Never Specially Serviced"))</f>
        <v/>
      </c>
      <c r="CF1147" s="78">
        <f>IF($CE1147="Currently Specially Serviced",1,0)</f>
        <v/>
      </c>
      <c r="CG1147" s="76">
        <f>IF($AA1147="Yes","Currently on Watchlist",IF($AA1147="Previously","Previously on Watchlist","Never on Watchlist"))</f>
        <v/>
      </c>
      <c r="CH1147" s="78">
        <f>IF($CG1147="Currently on Watchlist",1,0)</f>
        <v/>
      </c>
      <c r="CI1147" s="76">
        <f>IF($Z1147="Full Defeasance","Fully Defeased",IF($Z1147="Portion Of Loan Previously Defeased","Partially Defeased",IF($Z1147="Defeasance Not Allowable","Not Defeased (Not Permitted)","Not Defeased")))</f>
        <v/>
      </c>
      <c r="CJ1147" s="78">
        <f>IF($CI1147="Fully Defeased",1,0)</f>
        <v/>
      </c>
      <c r="CK1147" s="76">
        <f>IF($R1147="IO","Full IO",IF(LEFT($R1147&amp;"",7)="IO then","Partial IO","Amortizing"))</f>
        <v/>
      </c>
      <c r="CL1147" s="78">
        <f>IF($CK1147="Full IO",1,0)</f>
        <v/>
      </c>
      <c r="CM1147" s="78">
        <f>IF($CK1147="Partial IO",1,0)</f>
        <v/>
      </c>
      <c r="CN1147" s="76">
        <f>IF(LEFT($F1147&amp;"",10)="SPLIT_LOAN","Pari Passu Split","Standalone")</f>
        <v/>
      </c>
      <c r="CO1147" s="78">
        <f>IF($CN1147="Pari Passu Split",1,0)</f>
        <v/>
      </c>
      <c r="CP1147" s="77">
        <f>IF(ISNUMBER($T1147),YEAR($T1147),"")</f>
        <v/>
      </c>
      <c r="CQ1147" s="79">
        <f>IF(ISNUMBER($V1147),$V1147,IF(ISNUMBER($U1147),$U1147,""))</f>
        <v/>
      </c>
      <c r="CR1147" s="77">
        <f>IF(ISNUMBER($CQ1147),YEAR($CQ1147),"")</f>
        <v/>
      </c>
      <c r="CS1147" s="78">
        <f>IF(ISNUMBER($M1147),MAX(0,$M1147),IF(TRIM($M1147&amp;"")="matured",0,""))</f>
        <v/>
      </c>
      <c r="CT1147" s="78">
        <f>IF(AND(ISNUMBER($CS1147),N($CS1147)&lt;=mMatWindow),1,0)</f>
        <v/>
      </c>
      <c r="CU1147" s="80">
        <f>IF(ISNUMBER($J1147),$J1147/100,"")</f>
        <v/>
      </c>
      <c r="CV1147" s="81">
        <f>IF(ISNUMBER($AQ1147),$AQ1147,"")</f>
        <v/>
      </c>
      <c r="CW1147" s="81">
        <f>IF(ISNUMBER($AR1147),$AR1147,"")</f>
        <v/>
      </c>
      <c r="CX1147" s="82">
        <f>IF(ISNUMBER($AS1147),$AS1147/100,"")</f>
        <v/>
      </c>
      <c r="CY1147" s="82">
        <f>IF(ISNUMBER($AT1147),$AT1147/100,"")</f>
        <v/>
      </c>
      <c r="CZ1147" s="82">
        <f>IF(ISNUMBER($AU1147),$AU1147/100,"")</f>
        <v/>
      </c>
      <c r="DA1147" s="82">
        <f>IF(ISNUMBER($AV1147),$AV1147/100,"")</f>
        <v/>
      </c>
      <c r="DB1147" s="82">
        <f>IF(ISNUMBER($AW1147),$AW1147/100,"")</f>
        <v/>
      </c>
      <c r="DC1147" s="82">
        <f>IF(ISNUMBER($AX1147),$AX1147/100,"")</f>
        <v/>
      </c>
      <c r="DD1147" s="77">
        <f>IFERROR(VALUE(LEFT(TRIM($AO1147&amp;""),4)),"")</f>
        <v/>
      </c>
      <c r="DE1147" s="78">
        <f>IF(AND($BY1147=1,$BX1147=1,OR(fDeal="All Deals",$BU1147=fDeal),OR(fEntity="All Entities",$BV1147=fEntity),OR(fPType="All Property Types",$BZ1147=fPType),OR(fDefeased="Include",$CJ1147=0)),1,0)</f>
        <v/>
      </c>
      <c r="DF1147" s="83">
        <f>$DE1147*N($I1147)</f>
        <v/>
      </c>
      <c r="DG1147" s="78">
        <f>IF($DE1147=1,IF(COUNTIFS($F$8:$F1147,$F1147,$DE$8:$DE1147,1)=1,1,0),0)</f>
        <v/>
      </c>
      <c r="DH1147" s="83">
        <f>IF($DG1147=1,SUMIFS($DF$8:$DF$1600,$F$8:$F$1600,$F1147),0)</f>
        <v/>
      </c>
      <c r="DI1147" s="78">
        <f>IF($DG1147=1,COUNTIFS($F$8:$F$1600,$F1147,$DE$8:$DE$1600,1),0)</f>
        <v/>
      </c>
      <c r="DJ1147" s="84">
        <f>IF($DG1147=1,$DH1147+(100000-ROW())/mTieBreak,0)</f>
        <v/>
      </c>
    </row>
    <row r="1148">
      <c r="B1148" s="68" t="n">
        <v>27</v>
      </c>
      <c r="C1148" s="69" t="inlineStr">
        <is>
          <t>LCC17L26</t>
        </is>
      </c>
      <c r="D1148" s="69" t="inlineStr">
        <is>
          <t>27.000</t>
        </is>
      </c>
      <c r="E1148" s="69" t="inlineStr">
        <is>
          <t>Holiday Inn Express Orange City</t>
        </is>
      </c>
      <c r="F1148" s="69" t="inlineStr">
        <is>
          <t>LNLCC17L26-27.000</t>
        </is>
      </c>
      <c r="G1148" s="70" t="n"/>
      <c r="H1148" s="71" t="n">
        <v>6200000</v>
      </c>
      <c r="I1148" s="71" t="n">
        <v>4898000.7999984</v>
      </c>
      <c r="J1148" s="72" t="n">
        <v>6.02</v>
      </c>
      <c r="K1148" s="69" t="inlineStr">
        <is>
          <t>Fixed rate</t>
        </is>
      </c>
      <c r="L1148" s="68" t="n">
        <v>120</v>
      </c>
      <c r="M1148" s="68" t="n">
        <v>6</v>
      </c>
      <c r="N1148" s="68" t="n">
        <v>300</v>
      </c>
      <c r="O1148" s="68" t="n"/>
      <c r="P1148" s="68" t="n"/>
      <c r="Q1148" s="68" t="n">
        <v>114</v>
      </c>
      <c r="R1148" s="69" t="n"/>
      <c r="S1148" s="69" t="inlineStr">
        <is>
          <t>No</t>
        </is>
      </c>
      <c r="T1148" s="73" t="n">
        <v>42795</v>
      </c>
      <c r="U1148" s="73" t="n">
        <v>46452</v>
      </c>
      <c r="V1148" s="73" t="n"/>
      <c r="W1148" s="69" t="n"/>
      <c r="X1148" s="69" t="inlineStr">
        <is>
          <t>Current</t>
        </is>
      </c>
      <c r="Y1148" s="68" t="n"/>
      <c r="Z1148" s="69" t="inlineStr">
        <is>
          <t>Full Defeasance</t>
        </is>
      </c>
      <c r="AA1148" s="69" t="inlineStr">
        <is>
          <t>Previously</t>
        </is>
      </c>
      <c r="AB1148" s="69" t="inlineStr">
        <is>
          <t>Never special serv</t>
        </is>
      </c>
      <c r="AC1148" s="73" t="n"/>
      <c r="AD1148" s="69" t="n"/>
      <c r="AE1148" s="69" t="n"/>
      <c r="AF1148" s="69" t="inlineStr">
        <is>
          <t>FL</t>
        </is>
      </c>
      <c r="AG1148" s="69" t="inlineStr">
        <is>
          <t>Orange City</t>
        </is>
      </c>
      <c r="AH1148" s="69" t="inlineStr">
        <is>
          <t>Deltona-Daytona Beach-Ormond Beach, FL</t>
        </is>
      </c>
      <c r="AI1148" s="69" t="inlineStr">
        <is>
          <t>South / Atlantic</t>
        </is>
      </c>
      <c r="AJ1148" s="69" t="inlineStr">
        <is>
          <t>HT</t>
        </is>
      </c>
      <c r="AK1148" s="69" t="inlineStr">
        <is>
          <t>Limited Service</t>
        </is>
      </c>
      <c r="AL1148" s="68" t="n">
        <v>1</v>
      </c>
      <c r="AM1148" s="68" t="n">
        <v>114</v>
      </c>
      <c r="AN1148" s="68" t="n"/>
      <c r="AO1148" s="69" t="inlineStr">
        <is>
          <t>2003</t>
        </is>
      </c>
      <c r="AP1148" s="70" t="n">
        <v>2003</v>
      </c>
      <c r="AQ1148" s="74" t="n">
        <v>1.83</v>
      </c>
      <c r="AR1148" s="74" t="n">
        <v>1.14</v>
      </c>
      <c r="AS1148" s="74" t="n">
        <v>56.1</v>
      </c>
      <c r="AT1148" s="74" t="n">
        <v>44.53</v>
      </c>
      <c r="AU1148" s="74" t="n">
        <v>43.7</v>
      </c>
      <c r="AV1148" s="74" t="n">
        <v>14.181182581</v>
      </c>
      <c r="AW1148" s="74" t="n">
        <v>11.684666936</v>
      </c>
      <c r="AX1148" s="75" t="n">
        <v>67</v>
      </c>
      <c r="AY1148" s="71" t="n">
        <v>11000000</v>
      </c>
      <c r="AZ1148" s="71" t="n">
        <v>11000000</v>
      </c>
      <c r="BA1148" s="71" t="n">
        <v>879233.3199999999</v>
      </c>
      <c r="BB1148" s="71" t="n">
        <v>546844.96</v>
      </c>
      <c r="BC1148" s="69" t="inlineStr">
        <is>
          <t>Refinance</t>
        </is>
      </c>
      <c r="BD1148" s="69" t="inlineStr">
        <is>
          <t>N</t>
        </is>
      </c>
      <c r="BE1148" s="71" t="n"/>
      <c r="BF1148" s="71" t="n"/>
      <c r="BG1148" s="71" t="n"/>
      <c r="BH1148" s="71" t="n">
        <v>0</v>
      </c>
      <c r="BI1148" s="71" t="n">
        <v>0</v>
      </c>
      <c r="BJ1148" s="69" t="inlineStr">
        <is>
          <t>N</t>
        </is>
      </c>
      <c r="BK1148" s="69" t="n"/>
      <c r="BL1148" s="75" t="n"/>
      <c r="BM1148" s="73" t="n"/>
      <c r="BN1148" s="69" t="inlineStr">
        <is>
          <t>Tejinder Grewal</t>
        </is>
      </c>
      <c r="BO1148" s="69" t="inlineStr">
        <is>
          <t>Ladder Capital Finance</t>
        </is>
      </c>
      <c r="BP1148" s="69" t="inlineStr">
        <is>
          <t>TriMont Real Estate Advisors</t>
        </is>
      </c>
      <c r="BQ1148" s="69" t="inlineStr">
        <is>
          <t>K-Star Asset Management LLC</t>
        </is>
      </c>
      <c r="BR1148" s="69" t="n"/>
      <c r="BS1148" s="73" t="n">
        <v>46273</v>
      </c>
      <c r="BU1148" s="76">
        <f>IF($C1148="","",IFERROR(INDEX(dmName,MATCH($C1148,dmID,0)),"Unmapped"))</f>
        <v/>
      </c>
      <c r="BV1148" s="76">
        <f>IF($C1148="","",IFERROR(INDEX(dmEntity,MATCH($C1148,dmID,0)),"Unmapped"))</f>
        <v/>
      </c>
      <c r="BW1148" s="77">
        <f>IF($C1148="","",IFERROR(INDEX(dmVintage,MATCH($C1148,dmID,0)),""))</f>
        <v/>
      </c>
      <c r="BX1148" s="78">
        <f>IFERROR(INDEX(dmInclude,MATCH($C1148,dmID,0)),0)</f>
        <v/>
      </c>
      <c r="BY1148" s="78">
        <f>IF(N($I1148)&gt;0,1,0)</f>
        <v/>
      </c>
      <c r="BZ1148" s="76">
        <f>IF($AJ1148="","Other / Leased Fee",IFERROR(INDEX(mapPTGroup,MATCH(LEFT(TRIM($AJ1148),2),mapPTCode,0)),"Other / Leased Fee"))</f>
        <v/>
      </c>
      <c r="CA1148" s="76">
        <f>IF(TRIM($AF1148&amp;"")="","NR",LEFT(TRIM($AF1148),2))</f>
        <v/>
      </c>
      <c r="CB1148" s="76">
        <f>IFERROR(LOOKUP(2,1/(LEFT(TRIM($AI1148&amp;""),LEN(mapRegion))=mapRegion),mapRegion),"Not Reported")</f>
        <v/>
      </c>
      <c r="CC1148" s="76">
        <f>IF($BY1148=0,"",IF(TRIM($W1148&amp;"")="REO","REO",IF(TRIM($W1148&amp;"")="FC","Foreclosure",IF(TRIM($W1148&amp;"")="90+","90+ Days Delinquent",IF(TRIM($W1148&amp;"")="60","60 Days Delinquent",IF(TRIM($W1148&amp;"")="30","30 Days Delinquent",IF($X1148="Non-Performing Matured Balloon","Non-Performing Matured Balloon",IF(OR($X1148="Late Payment But Less Than 30 Days Delinquent",LEFT($X1148&amp;"",20)="Payment Not Received"),"Late / In Grace (&lt;30 Days)",IF($X1148="Performing Matured Balloon","Performing Matured Balloon","Current")))))))))</f>
        <v/>
      </c>
      <c r="CD1148" s="78">
        <f>IF(OR($CC1148="REO",$CC1148="Foreclosure",$CC1148="90+ Days Delinquent",$CC1148="60 Days Delinquent",$CC1148="30 Days Delinquent",$CC1148="Non-Performing Matured Balloon"),1,0)</f>
        <v/>
      </c>
      <c r="CE1148" s="76">
        <f>IF($AB1148="Currently special serv","Currently Specially Serviced",IF($AB1148="Returned to master serv","Previously Specially Serviced","Never Specially Serviced"))</f>
        <v/>
      </c>
      <c r="CF1148" s="78">
        <f>IF($CE1148="Currently Specially Serviced",1,0)</f>
        <v/>
      </c>
      <c r="CG1148" s="76">
        <f>IF($AA1148="Yes","Currently on Watchlist",IF($AA1148="Previously","Previously on Watchlist","Never on Watchlist"))</f>
        <v/>
      </c>
      <c r="CH1148" s="78">
        <f>IF($CG1148="Currently on Watchlist",1,0)</f>
        <v/>
      </c>
      <c r="CI1148" s="76">
        <f>IF($Z1148="Full Defeasance","Fully Defeased",IF($Z1148="Portion Of Loan Previously Defeased","Partially Defeased",IF($Z1148="Defeasance Not Allowable","Not Defeased (Not Permitted)","Not Defeased")))</f>
        <v/>
      </c>
      <c r="CJ1148" s="78">
        <f>IF($CI1148="Fully Defeased",1,0)</f>
        <v/>
      </c>
      <c r="CK1148" s="76">
        <f>IF($R1148="IO","Full IO",IF(LEFT($R1148&amp;"",7)="IO then","Partial IO","Amortizing"))</f>
        <v/>
      </c>
      <c r="CL1148" s="78">
        <f>IF($CK1148="Full IO",1,0)</f>
        <v/>
      </c>
      <c r="CM1148" s="78">
        <f>IF($CK1148="Partial IO",1,0)</f>
        <v/>
      </c>
      <c r="CN1148" s="76">
        <f>IF(LEFT($F1148&amp;"",10)="SPLIT_LOAN","Pari Passu Split","Standalone")</f>
        <v/>
      </c>
      <c r="CO1148" s="78">
        <f>IF($CN1148="Pari Passu Split",1,0)</f>
        <v/>
      </c>
      <c r="CP1148" s="77">
        <f>IF(ISNUMBER($T1148),YEAR($T1148),"")</f>
        <v/>
      </c>
      <c r="CQ1148" s="79">
        <f>IF(ISNUMBER($V1148),$V1148,IF(ISNUMBER($U1148),$U1148,""))</f>
        <v/>
      </c>
      <c r="CR1148" s="77">
        <f>IF(ISNUMBER($CQ1148),YEAR($CQ1148),"")</f>
        <v/>
      </c>
      <c r="CS1148" s="78">
        <f>IF(ISNUMBER($M1148),MAX(0,$M1148),IF(TRIM($M1148&amp;"")="matured",0,""))</f>
        <v/>
      </c>
      <c r="CT1148" s="78">
        <f>IF(AND(ISNUMBER($CS1148),N($CS1148)&lt;=mMatWindow),1,0)</f>
        <v/>
      </c>
      <c r="CU1148" s="80">
        <f>IF(ISNUMBER($J1148),$J1148/100,"")</f>
        <v/>
      </c>
      <c r="CV1148" s="81">
        <f>IF(ISNUMBER($AQ1148),$AQ1148,"")</f>
        <v/>
      </c>
      <c r="CW1148" s="81">
        <f>IF(ISNUMBER($AR1148),$AR1148,"")</f>
        <v/>
      </c>
      <c r="CX1148" s="82">
        <f>IF(ISNUMBER($AS1148),$AS1148/100,"")</f>
        <v/>
      </c>
      <c r="CY1148" s="82">
        <f>IF(ISNUMBER($AT1148),$AT1148/100,"")</f>
        <v/>
      </c>
      <c r="CZ1148" s="82">
        <f>IF(ISNUMBER($AU1148),$AU1148/100,"")</f>
        <v/>
      </c>
      <c r="DA1148" s="82">
        <f>IF(ISNUMBER($AV1148),$AV1148/100,"")</f>
        <v/>
      </c>
      <c r="DB1148" s="82">
        <f>IF(ISNUMBER($AW1148),$AW1148/100,"")</f>
        <v/>
      </c>
      <c r="DC1148" s="82">
        <f>IF(ISNUMBER($AX1148),$AX1148/100,"")</f>
        <v/>
      </c>
      <c r="DD1148" s="77">
        <f>IFERROR(VALUE(LEFT(TRIM($AO1148&amp;""),4)),"")</f>
        <v/>
      </c>
      <c r="DE1148" s="78">
        <f>IF(AND($BY1148=1,$BX1148=1,OR(fDeal="All Deals",$BU1148=fDeal),OR(fEntity="All Entities",$BV1148=fEntity),OR(fPType="All Property Types",$BZ1148=fPType),OR(fDefeased="Include",$CJ1148=0)),1,0)</f>
        <v/>
      </c>
      <c r="DF1148" s="83">
        <f>$DE1148*N($I1148)</f>
        <v/>
      </c>
      <c r="DG1148" s="78">
        <f>IF($DE1148=1,IF(COUNTIFS($F$8:$F1148,$F1148,$DE$8:$DE1148,1)=1,1,0),0)</f>
        <v/>
      </c>
      <c r="DH1148" s="83">
        <f>IF($DG1148=1,SUMIFS($DF$8:$DF$1600,$F$8:$F$1600,$F1148),0)</f>
        <v/>
      </c>
      <c r="DI1148" s="78">
        <f>IF($DG1148=1,COUNTIFS($F$8:$F$1600,$F1148,$DE$8:$DE$1600,1),0)</f>
        <v/>
      </c>
      <c r="DJ1148" s="84">
        <f>IF($DG1148=1,$DH1148+(100000-ROW())/mTieBreak,0)</f>
        <v/>
      </c>
    </row>
    <row r="1149">
      <c r="B1149" s="68" t="n">
        <v>28</v>
      </c>
      <c r="C1149" s="69" t="inlineStr">
        <is>
          <t>LCC17L26</t>
        </is>
      </c>
      <c r="D1149" s="69" t="inlineStr">
        <is>
          <t>28.000</t>
        </is>
      </c>
      <c r="E1149" s="69" t="inlineStr">
        <is>
          <t>Manassas Junction Shopping Center</t>
        </is>
      </c>
      <c r="F1149" s="69" t="inlineStr">
        <is>
          <t>LNLCC17L26-28.000</t>
        </is>
      </c>
      <c r="G1149" s="70" t="n"/>
      <c r="H1149" s="71" t="n">
        <v>6120000</v>
      </c>
      <c r="I1149" s="71" t="n">
        <v>6120000</v>
      </c>
      <c r="J1149" s="72" t="n">
        <v>5.034</v>
      </c>
      <c r="K1149" s="69" t="inlineStr">
        <is>
          <t>Fixed rate</t>
        </is>
      </c>
      <c r="L1149" s="68" t="n">
        <v>120</v>
      </c>
      <c r="M1149" s="68" t="n">
        <v>7</v>
      </c>
      <c r="N1149" s="68" t="n">
        <v>120</v>
      </c>
      <c r="O1149" s="68" t="n">
        <v>120</v>
      </c>
      <c r="P1149" s="68" t="n">
        <v>7</v>
      </c>
      <c r="Q1149" s="68" t="n">
        <v>113</v>
      </c>
      <c r="R1149" s="69" t="inlineStr">
        <is>
          <t>IO</t>
        </is>
      </c>
      <c r="S1149" s="69" t="inlineStr">
        <is>
          <t>Yes</t>
        </is>
      </c>
      <c r="T1149" s="73" t="n">
        <v>42826</v>
      </c>
      <c r="U1149" s="73" t="n">
        <v>46483</v>
      </c>
      <c r="V1149" s="73" t="n"/>
      <c r="W1149" s="69" t="n"/>
      <c r="X1149" s="69" t="inlineStr">
        <is>
          <t>Current</t>
        </is>
      </c>
      <c r="Y1149" s="68" t="n"/>
      <c r="Z1149" s="69" t="inlineStr">
        <is>
          <t>Full Defeasance</t>
        </is>
      </c>
      <c r="AA1149" s="69" t="inlineStr">
        <is>
          <t>Previously</t>
        </is>
      </c>
      <c r="AB1149" s="69" t="inlineStr">
        <is>
          <t>Never special serv</t>
        </is>
      </c>
      <c r="AC1149" s="73" t="n"/>
      <c r="AD1149" s="69" t="n"/>
      <c r="AE1149" s="69" t="n"/>
      <c r="AF1149" s="69" t="inlineStr">
        <is>
          <t>VA</t>
        </is>
      </c>
      <c r="AG1149" s="69" t="inlineStr">
        <is>
          <t>Manassas</t>
        </is>
      </c>
      <c r="AH1149" s="69" t="inlineStr">
        <is>
          <t>Washington-Arlington-Alexandria, DC-VA-MD-WV</t>
        </is>
      </c>
      <c r="AI1149" s="69" t="inlineStr">
        <is>
          <t>South / Atlantic</t>
        </is>
      </c>
      <c r="AJ1149" s="69" t="inlineStr">
        <is>
          <t>OT</t>
        </is>
      </c>
      <c r="AK1149" s="69" t="n"/>
      <c r="AL1149" s="68" t="n">
        <v>1</v>
      </c>
      <c r="AM1149" s="68" t="n"/>
      <c r="AN1149" s="68" t="n">
        <v>403178</v>
      </c>
      <c r="AO1149" s="69" t="inlineStr">
        <is>
          <t>1981</t>
        </is>
      </c>
      <c r="AP1149" s="70" t="n">
        <v>1992</v>
      </c>
      <c r="AQ1149" s="74" t="n">
        <v>1.2</v>
      </c>
      <c r="AR1149" s="74" t="n">
        <v>1.2</v>
      </c>
      <c r="AS1149" s="74" t="n">
        <v>77.5</v>
      </c>
      <c r="AT1149" s="74" t="n">
        <v>77.47</v>
      </c>
      <c r="AU1149" s="74" t="n">
        <v>77.5</v>
      </c>
      <c r="AV1149" s="74" t="n">
        <v>6.107843137</v>
      </c>
      <c r="AW1149" s="74" t="n">
        <v>6.121911765</v>
      </c>
      <c r="AX1149" s="75" t="n">
        <v>100</v>
      </c>
      <c r="AY1149" s="71" t="n">
        <v>7900000</v>
      </c>
      <c r="AZ1149" s="71" t="n">
        <v>7900000</v>
      </c>
      <c r="BA1149" s="71" t="n">
        <v>373800</v>
      </c>
      <c r="BB1149" s="71" t="n">
        <v>187330.5</v>
      </c>
      <c r="BC1149" s="69" t="inlineStr">
        <is>
          <t>Acquisition</t>
        </is>
      </c>
      <c r="BD1149" s="69" t="inlineStr">
        <is>
          <t>N</t>
        </is>
      </c>
      <c r="BE1149" s="71" t="n"/>
      <c r="BF1149" s="71" t="n"/>
      <c r="BG1149" s="71" t="n"/>
      <c r="BH1149" s="71" t="n">
        <v>0</v>
      </c>
      <c r="BI1149" s="71" t="n">
        <v>0</v>
      </c>
      <c r="BJ1149" s="69" t="inlineStr">
        <is>
          <t>N</t>
        </is>
      </c>
      <c r="BK1149" s="69" t="n"/>
      <c r="BL1149" s="75" t="n"/>
      <c r="BM1149" s="73" t="n"/>
      <c r="BN1149" s="69" t="inlineStr">
        <is>
          <t>Altaf Lakhani, Abbas Lakhani</t>
        </is>
      </c>
      <c r="BO1149" s="69" t="inlineStr">
        <is>
          <t>Ladder Capital Finance</t>
        </is>
      </c>
      <c r="BP1149" s="69" t="inlineStr">
        <is>
          <t>TriMont Real Estate Advisors</t>
        </is>
      </c>
      <c r="BQ1149" s="69" t="inlineStr">
        <is>
          <t>K-Star Asset Management LLC</t>
        </is>
      </c>
      <c r="BR1149" s="69" t="n"/>
      <c r="BS1149" s="73" t="n">
        <v>46273</v>
      </c>
      <c r="BU1149" s="76">
        <f>IF($C1149="","",IFERROR(INDEX(dmName,MATCH($C1149,dmID,0)),"Unmapped"))</f>
        <v/>
      </c>
      <c r="BV1149" s="76">
        <f>IF($C1149="","",IFERROR(INDEX(dmEntity,MATCH($C1149,dmID,0)),"Unmapped"))</f>
        <v/>
      </c>
      <c r="BW1149" s="77">
        <f>IF($C1149="","",IFERROR(INDEX(dmVintage,MATCH($C1149,dmID,0)),""))</f>
        <v/>
      </c>
      <c r="BX1149" s="78">
        <f>IFERROR(INDEX(dmInclude,MATCH($C1149,dmID,0)),0)</f>
        <v/>
      </c>
      <c r="BY1149" s="78">
        <f>IF(N($I1149)&gt;0,1,0)</f>
        <v/>
      </c>
      <c r="BZ1149" s="76">
        <f>IF($AJ1149="","Other / Leased Fee",IFERROR(INDEX(mapPTGroup,MATCH(LEFT(TRIM($AJ1149),2),mapPTCode,0)),"Other / Leased Fee"))</f>
        <v/>
      </c>
      <c r="CA1149" s="76">
        <f>IF(TRIM($AF1149&amp;"")="","NR",LEFT(TRIM($AF1149),2))</f>
        <v/>
      </c>
      <c r="CB1149" s="76">
        <f>IFERROR(LOOKUP(2,1/(LEFT(TRIM($AI1149&amp;""),LEN(mapRegion))=mapRegion),mapRegion),"Not Reported")</f>
        <v/>
      </c>
      <c r="CC1149" s="76">
        <f>IF($BY1149=0,"",IF(TRIM($W1149&amp;"")="REO","REO",IF(TRIM($W1149&amp;"")="FC","Foreclosure",IF(TRIM($W1149&amp;"")="90+","90+ Days Delinquent",IF(TRIM($W1149&amp;"")="60","60 Days Delinquent",IF(TRIM($W1149&amp;"")="30","30 Days Delinquent",IF($X1149="Non-Performing Matured Balloon","Non-Performing Matured Balloon",IF(OR($X1149="Late Payment But Less Than 30 Days Delinquent",LEFT($X1149&amp;"",20)="Payment Not Received"),"Late / In Grace (&lt;30 Days)",IF($X1149="Performing Matured Balloon","Performing Matured Balloon","Current")))))))))</f>
        <v/>
      </c>
      <c r="CD1149" s="78">
        <f>IF(OR($CC1149="REO",$CC1149="Foreclosure",$CC1149="90+ Days Delinquent",$CC1149="60 Days Delinquent",$CC1149="30 Days Delinquent",$CC1149="Non-Performing Matured Balloon"),1,0)</f>
        <v/>
      </c>
      <c r="CE1149" s="76">
        <f>IF($AB1149="Currently special serv","Currently Specially Serviced",IF($AB1149="Returned to master serv","Previously Specially Serviced","Never Specially Serviced"))</f>
        <v/>
      </c>
      <c r="CF1149" s="78">
        <f>IF($CE1149="Currently Specially Serviced",1,0)</f>
        <v/>
      </c>
      <c r="CG1149" s="76">
        <f>IF($AA1149="Yes","Currently on Watchlist",IF($AA1149="Previously","Previously on Watchlist","Never on Watchlist"))</f>
        <v/>
      </c>
      <c r="CH1149" s="78">
        <f>IF($CG1149="Currently on Watchlist",1,0)</f>
        <v/>
      </c>
      <c r="CI1149" s="76">
        <f>IF($Z1149="Full Defeasance","Fully Defeased",IF($Z1149="Portion Of Loan Previously Defeased","Partially Defeased",IF($Z1149="Defeasance Not Allowable","Not Defeased (Not Permitted)","Not Defeased")))</f>
        <v/>
      </c>
      <c r="CJ1149" s="78">
        <f>IF($CI1149="Fully Defeased",1,0)</f>
        <v/>
      </c>
      <c r="CK1149" s="76">
        <f>IF($R1149="IO","Full IO",IF(LEFT($R1149&amp;"",7)="IO then","Partial IO","Amortizing"))</f>
        <v/>
      </c>
      <c r="CL1149" s="78">
        <f>IF($CK1149="Full IO",1,0)</f>
        <v/>
      </c>
      <c r="CM1149" s="78">
        <f>IF($CK1149="Partial IO",1,0)</f>
        <v/>
      </c>
      <c r="CN1149" s="76">
        <f>IF(LEFT($F1149&amp;"",10)="SPLIT_LOAN","Pari Passu Split","Standalone")</f>
        <v/>
      </c>
      <c r="CO1149" s="78">
        <f>IF($CN1149="Pari Passu Split",1,0)</f>
        <v/>
      </c>
      <c r="CP1149" s="77">
        <f>IF(ISNUMBER($T1149),YEAR($T1149),"")</f>
        <v/>
      </c>
      <c r="CQ1149" s="79">
        <f>IF(ISNUMBER($V1149),$V1149,IF(ISNUMBER($U1149),$U1149,""))</f>
        <v/>
      </c>
      <c r="CR1149" s="77">
        <f>IF(ISNUMBER($CQ1149),YEAR($CQ1149),"")</f>
        <v/>
      </c>
      <c r="CS1149" s="78">
        <f>IF(ISNUMBER($M1149),MAX(0,$M1149),IF(TRIM($M1149&amp;"")="matured",0,""))</f>
        <v/>
      </c>
      <c r="CT1149" s="78">
        <f>IF(AND(ISNUMBER($CS1149),N($CS1149)&lt;=mMatWindow),1,0)</f>
        <v/>
      </c>
      <c r="CU1149" s="80">
        <f>IF(ISNUMBER($J1149),$J1149/100,"")</f>
        <v/>
      </c>
      <c r="CV1149" s="81">
        <f>IF(ISNUMBER($AQ1149),$AQ1149,"")</f>
        <v/>
      </c>
      <c r="CW1149" s="81">
        <f>IF(ISNUMBER($AR1149),$AR1149,"")</f>
        <v/>
      </c>
      <c r="CX1149" s="82">
        <f>IF(ISNUMBER($AS1149),$AS1149/100,"")</f>
        <v/>
      </c>
      <c r="CY1149" s="82">
        <f>IF(ISNUMBER($AT1149),$AT1149/100,"")</f>
        <v/>
      </c>
      <c r="CZ1149" s="82">
        <f>IF(ISNUMBER($AU1149),$AU1149/100,"")</f>
        <v/>
      </c>
      <c r="DA1149" s="82">
        <f>IF(ISNUMBER($AV1149),$AV1149/100,"")</f>
        <v/>
      </c>
      <c r="DB1149" s="82">
        <f>IF(ISNUMBER($AW1149),$AW1149/100,"")</f>
        <v/>
      </c>
      <c r="DC1149" s="82">
        <f>IF(ISNUMBER($AX1149),$AX1149/100,"")</f>
        <v/>
      </c>
      <c r="DD1149" s="77">
        <f>IFERROR(VALUE(LEFT(TRIM($AO1149&amp;""),4)),"")</f>
        <v/>
      </c>
      <c r="DE1149" s="78">
        <f>IF(AND($BY1149=1,$BX1149=1,OR(fDeal="All Deals",$BU1149=fDeal),OR(fEntity="All Entities",$BV1149=fEntity),OR(fPType="All Property Types",$BZ1149=fPType),OR(fDefeased="Include",$CJ1149=0)),1,0)</f>
        <v/>
      </c>
      <c r="DF1149" s="83">
        <f>$DE1149*N($I1149)</f>
        <v/>
      </c>
      <c r="DG1149" s="78">
        <f>IF($DE1149=1,IF(COUNTIFS($F$8:$F1149,$F1149,$DE$8:$DE1149,1)=1,1,0),0)</f>
        <v/>
      </c>
      <c r="DH1149" s="83">
        <f>IF($DG1149=1,SUMIFS($DF$8:$DF$1600,$F$8:$F$1600,$F1149),0)</f>
        <v/>
      </c>
      <c r="DI1149" s="78">
        <f>IF($DG1149=1,COUNTIFS($F$8:$F$1600,$F1149,$DE$8:$DE$1600,1),0)</f>
        <v/>
      </c>
      <c r="DJ1149" s="84">
        <f>IF($DG1149=1,$DH1149+(100000-ROW())/mTieBreak,0)</f>
        <v/>
      </c>
    </row>
    <row r="1150">
      <c r="B1150" s="68" t="n">
        <v>29</v>
      </c>
      <c r="C1150" s="69" t="inlineStr">
        <is>
          <t>LCC17L26</t>
        </is>
      </c>
      <c r="D1150" s="69" t="inlineStr">
        <is>
          <t>29.000</t>
        </is>
      </c>
      <c r="E1150" s="69" t="inlineStr">
        <is>
          <t>Grande Haven Villas Phase II</t>
        </is>
      </c>
      <c r="F1150" s="69" t="inlineStr">
        <is>
          <t>LNLCC17L26-29.000</t>
        </is>
      </c>
      <c r="G1150" s="70" t="n"/>
      <c r="H1150" s="71" t="n">
        <v>6100000</v>
      </c>
      <c r="I1150" s="71" t="n">
        <v>5124943.299998401</v>
      </c>
      <c r="J1150" s="72" t="n">
        <v>5.05</v>
      </c>
      <c r="K1150" s="69" t="inlineStr">
        <is>
          <t>Fixed rate</t>
        </is>
      </c>
      <c r="L1150" s="68" t="n">
        <v>120</v>
      </c>
      <c r="M1150" s="68" t="n">
        <v>9</v>
      </c>
      <c r="N1150" s="68" t="n">
        <v>360</v>
      </c>
      <c r="O1150" s="68" t="n"/>
      <c r="P1150" s="68" t="n"/>
      <c r="Q1150" s="68" t="n">
        <v>111</v>
      </c>
      <c r="R1150" s="69" t="n"/>
      <c r="S1150" s="69" t="inlineStr">
        <is>
          <t>No</t>
        </is>
      </c>
      <c r="T1150" s="73" t="n">
        <v>42887</v>
      </c>
      <c r="U1150" s="73" t="n">
        <v>46544</v>
      </c>
      <c r="V1150" s="73" t="n"/>
      <c r="W1150" s="69" t="n"/>
      <c r="X1150" s="69" t="inlineStr">
        <is>
          <t>Current</t>
        </is>
      </c>
      <c r="Y1150" s="68" t="n"/>
      <c r="Z1150" s="69" t="inlineStr">
        <is>
          <t>Full Defeasance</t>
        </is>
      </c>
      <c r="AA1150" s="69" t="inlineStr">
        <is>
          <t>Previously</t>
        </is>
      </c>
      <c r="AB1150" s="69" t="inlineStr">
        <is>
          <t>Never special serv</t>
        </is>
      </c>
      <c r="AC1150" s="73" t="n"/>
      <c r="AD1150" s="69" t="n"/>
      <c r="AE1150" s="69" t="n"/>
      <c r="AF1150" s="69" t="inlineStr">
        <is>
          <t>KY</t>
        </is>
      </c>
      <c r="AG1150" s="69" t="inlineStr">
        <is>
          <t>Bowling Green</t>
        </is>
      </c>
      <c r="AH1150" s="69" t="inlineStr">
        <is>
          <t>Bowling Green, KY</t>
        </is>
      </c>
      <c r="AI1150" s="69" t="inlineStr">
        <is>
          <t>South / Central East</t>
        </is>
      </c>
      <c r="AJ1150" s="69" t="inlineStr">
        <is>
          <t>MF</t>
        </is>
      </c>
      <c r="AK1150" s="69" t="inlineStr">
        <is>
          <t>Garden</t>
        </is>
      </c>
      <c r="AL1150" s="68" t="n">
        <v>1</v>
      </c>
      <c r="AM1150" s="68" t="n">
        <v>88</v>
      </c>
      <c r="AN1150" s="68" t="n"/>
      <c r="AO1150" s="69" t="inlineStr">
        <is>
          <t>2015-2017</t>
        </is>
      </c>
      <c r="AP1150" s="70" t="n">
        <v>2017</v>
      </c>
      <c r="AQ1150" s="74" t="n">
        <v>1.39</v>
      </c>
      <c r="AR1150" s="74" t="n">
        <v>1.36</v>
      </c>
      <c r="AS1150" s="74" t="n">
        <v>69.2</v>
      </c>
      <c r="AT1150" s="74" t="n">
        <v>58.17</v>
      </c>
      <c r="AU1150" s="74" t="n">
        <v>57</v>
      </c>
      <c r="AV1150" s="74" t="n">
        <v>9.013375902</v>
      </c>
      <c r="AW1150" s="74" t="n">
        <v>10.017227313</v>
      </c>
      <c r="AX1150" s="75" t="n">
        <v>99</v>
      </c>
      <c r="AY1150" s="71" t="n">
        <v>8810000</v>
      </c>
      <c r="AZ1150" s="71" t="n">
        <v>8810000</v>
      </c>
      <c r="BA1150" s="71" t="n">
        <v>549815.9300000001</v>
      </c>
      <c r="BB1150" s="71" t="n">
        <v>268868.12</v>
      </c>
      <c r="BC1150" s="69" t="inlineStr">
        <is>
          <t>Refinance</t>
        </is>
      </c>
      <c r="BD1150" s="69" t="inlineStr">
        <is>
          <t>N</t>
        </is>
      </c>
      <c r="BE1150" s="71" t="n"/>
      <c r="BF1150" s="71" t="n"/>
      <c r="BG1150" s="71" t="n"/>
      <c r="BH1150" s="71" t="n">
        <v>0</v>
      </c>
      <c r="BI1150" s="71" t="n">
        <v>0</v>
      </c>
      <c r="BJ1150" s="69" t="inlineStr">
        <is>
          <t>N</t>
        </is>
      </c>
      <c r="BK1150" s="69" t="n"/>
      <c r="BL1150" s="75" t="n"/>
      <c r="BM1150" s="73" t="n"/>
      <c r="BN1150" s="69" t="inlineStr">
        <is>
          <t>Rodney Rogers</t>
        </is>
      </c>
      <c r="BO1150" s="69" t="inlineStr">
        <is>
          <t>Ladder Capital Finance</t>
        </is>
      </c>
      <c r="BP1150" s="69" t="inlineStr">
        <is>
          <t>TriMont Real Estate Advisors</t>
        </is>
      </c>
      <c r="BQ1150" s="69" t="inlineStr">
        <is>
          <t>K-Star Asset Management LLC</t>
        </is>
      </c>
      <c r="BR1150" s="69" t="n"/>
      <c r="BS1150" s="73" t="n">
        <v>46273</v>
      </c>
      <c r="BU1150" s="76">
        <f>IF($C1150="","",IFERROR(INDEX(dmName,MATCH($C1150,dmID,0)),"Unmapped"))</f>
        <v/>
      </c>
      <c r="BV1150" s="76">
        <f>IF($C1150="","",IFERROR(INDEX(dmEntity,MATCH($C1150,dmID,0)),"Unmapped"))</f>
        <v/>
      </c>
      <c r="BW1150" s="77">
        <f>IF($C1150="","",IFERROR(INDEX(dmVintage,MATCH($C1150,dmID,0)),""))</f>
        <v/>
      </c>
      <c r="BX1150" s="78">
        <f>IFERROR(INDEX(dmInclude,MATCH($C1150,dmID,0)),0)</f>
        <v/>
      </c>
      <c r="BY1150" s="78">
        <f>IF(N($I1150)&gt;0,1,0)</f>
        <v/>
      </c>
      <c r="BZ1150" s="76">
        <f>IF($AJ1150="","Other / Leased Fee",IFERROR(INDEX(mapPTGroup,MATCH(LEFT(TRIM($AJ1150),2),mapPTCode,0)),"Other / Leased Fee"))</f>
        <v/>
      </c>
      <c r="CA1150" s="76">
        <f>IF(TRIM($AF1150&amp;"")="","NR",LEFT(TRIM($AF1150),2))</f>
        <v/>
      </c>
      <c r="CB1150" s="76">
        <f>IFERROR(LOOKUP(2,1/(LEFT(TRIM($AI1150&amp;""),LEN(mapRegion))=mapRegion),mapRegion),"Not Reported")</f>
        <v/>
      </c>
      <c r="CC1150" s="76">
        <f>IF($BY1150=0,"",IF(TRIM($W1150&amp;"")="REO","REO",IF(TRIM($W1150&amp;"")="FC","Foreclosure",IF(TRIM($W1150&amp;"")="90+","90+ Days Delinquent",IF(TRIM($W1150&amp;"")="60","60 Days Delinquent",IF(TRIM($W1150&amp;"")="30","30 Days Delinquent",IF($X1150="Non-Performing Matured Balloon","Non-Performing Matured Balloon",IF(OR($X1150="Late Payment But Less Than 30 Days Delinquent",LEFT($X1150&amp;"",20)="Payment Not Received"),"Late / In Grace (&lt;30 Days)",IF($X1150="Performing Matured Balloon","Performing Matured Balloon","Current")))))))))</f>
        <v/>
      </c>
      <c r="CD1150" s="78">
        <f>IF(OR($CC1150="REO",$CC1150="Foreclosure",$CC1150="90+ Days Delinquent",$CC1150="60 Days Delinquent",$CC1150="30 Days Delinquent",$CC1150="Non-Performing Matured Balloon"),1,0)</f>
        <v/>
      </c>
      <c r="CE1150" s="76">
        <f>IF($AB1150="Currently special serv","Currently Specially Serviced",IF($AB1150="Returned to master serv","Previously Specially Serviced","Never Specially Serviced"))</f>
        <v/>
      </c>
      <c r="CF1150" s="78">
        <f>IF($CE1150="Currently Specially Serviced",1,0)</f>
        <v/>
      </c>
      <c r="CG1150" s="76">
        <f>IF($AA1150="Yes","Currently on Watchlist",IF($AA1150="Previously","Previously on Watchlist","Never on Watchlist"))</f>
        <v/>
      </c>
      <c r="CH1150" s="78">
        <f>IF($CG1150="Currently on Watchlist",1,0)</f>
        <v/>
      </c>
      <c r="CI1150" s="76">
        <f>IF($Z1150="Full Defeasance","Fully Defeased",IF($Z1150="Portion Of Loan Previously Defeased","Partially Defeased",IF($Z1150="Defeasance Not Allowable","Not Defeased (Not Permitted)","Not Defeased")))</f>
        <v/>
      </c>
      <c r="CJ1150" s="78">
        <f>IF($CI1150="Fully Defeased",1,0)</f>
        <v/>
      </c>
      <c r="CK1150" s="76">
        <f>IF($R1150="IO","Full IO",IF(LEFT($R1150&amp;"",7)="IO then","Partial IO","Amortizing"))</f>
        <v/>
      </c>
      <c r="CL1150" s="78">
        <f>IF($CK1150="Full IO",1,0)</f>
        <v/>
      </c>
      <c r="CM1150" s="78">
        <f>IF($CK1150="Partial IO",1,0)</f>
        <v/>
      </c>
      <c r="CN1150" s="76">
        <f>IF(LEFT($F1150&amp;"",10)="SPLIT_LOAN","Pari Passu Split","Standalone")</f>
        <v/>
      </c>
      <c r="CO1150" s="78">
        <f>IF($CN1150="Pari Passu Split",1,0)</f>
        <v/>
      </c>
      <c r="CP1150" s="77">
        <f>IF(ISNUMBER($T1150),YEAR($T1150),"")</f>
        <v/>
      </c>
      <c r="CQ1150" s="79">
        <f>IF(ISNUMBER($V1150),$V1150,IF(ISNUMBER($U1150),$U1150,""))</f>
        <v/>
      </c>
      <c r="CR1150" s="77">
        <f>IF(ISNUMBER($CQ1150),YEAR($CQ1150),"")</f>
        <v/>
      </c>
      <c r="CS1150" s="78">
        <f>IF(ISNUMBER($M1150),MAX(0,$M1150),IF(TRIM($M1150&amp;"")="matured",0,""))</f>
        <v/>
      </c>
      <c r="CT1150" s="78">
        <f>IF(AND(ISNUMBER($CS1150),N($CS1150)&lt;=mMatWindow),1,0)</f>
        <v/>
      </c>
      <c r="CU1150" s="80">
        <f>IF(ISNUMBER($J1150),$J1150/100,"")</f>
        <v/>
      </c>
      <c r="CV1150" s="81">
        <f>IF(ISNUMBER($AQ1150),$AQ1150,"")</f>
        <v/>
      </c>
      <c r="CW1150" s="81">
        <f>IF(ISNUMBER($AR1150),$AR1150,"")</f>
        <v/>
      </c>
      <c r="CX1150" s="82">
        <f>IF(ISNUMBER($AS1150),$AS1150/100,"")</f>
        <v/>
      </c>
      <c r="CY1150" s="82">
        <f>IF(ISNUMBER($AT1150),$AT1150/100,"")</f>
        <v/>
      </c>
      <c r="CZ1150" s="82">
        <f>IF(ISNUMBER($AU1150),$AU1150/100,"")</f>
        <v/>
      </c>
      <c r="DA1150" s="82">
        <f>IF(ISNUMBER($AV1150),$AV1150/100,"")</f>
        <v/>
      </c>
      <c r="DB1150" s="82">
        <f>IF(ISNUMBER($AW1150),$AW1150/100,"")</f>
        <v/>
      </c>
      <c r="DC1150" s="82">
        <f>IF(ISNUMBER($AX1150),$AX1150/100,"")</f>
        <v/>
      </c>
      <c r="DD1150" s="77">
        <f>IFERROR(VALUE(LEFT(TRIM($AO1150&amp;""),4)),"")</f>
        <v/>
      </c>
      <c r="DE1150" s="78">
        <f>IF(AND($BY1150=1,$BX1150=1,OR(fDeal="All Deals",$BU1150=fDeal),OR(fEntity="All Entities",$BV1150=fEntity),OR(fPType="All Property Types",$BZ1150=fPType),OR(fDefeased="Include",$CJ1150=0)),1,0)</f>
        <v/>
      </c>
      <c r="DF1150" s="83">
        <f>$DE1150*N($I1150)</f>
        <v/>
      </c>
      <c r="DG1150" s="78">
        <f>IF($DE1150=1,IF(COUNTIFS($F$8:$F1150,$F1150,$DE$8:$DE1150,1)=1,1,0),0)</f>
        <v/>
      </c>
      <c r="DH1150" s="83">
        <f>IF($DG1150=1,SUMIFS($DF$8:$DF$1600,$F$8:$F$1600,$F1150),0)</f>
        <v/>
      </c>
      <c r="DI1150" s="78">
        <f>IF($DG1150=1,COUNTIFS($F$8:$F$1600,$F1150,$DE$8:$DE$1600,1),0)</f>
        <v/>
      </c>
      <c r="DJ1150" s="84">
        <f>IF($DG1150=1,$DH1150+(100000-ROW())/mTieBreak,0)</f>
        <v/>
      </c>
    </row>
    <row r="1151">
      <c r="B1151" s="68" t="n">
        <v>30</v>
      </c>
      <c r="C1151" s="69" t="inlineStr">
        <is>
          <t>LCC17L26</t>
        </is>
      </c>
      <c r="D1151" s="69" t="inlineStr">
        <is>
          <t>30.000</t>
        </is>
      </c>
      <c r="E1151" s="69" t="inlineStr">
        <is>
          <t>Four Corners Shopping Center</t>
        </is>
      </c>
      <c r="F1151" s="69" t="inlineStr">
        <is>
          <t>LNLCC17L26-30.000</t>
        </is>
      </c>
      <c r="G1151" s="70" t="n"/>
      <c r="H1151" s="71" t="n">
        <v>6000000</v>
      </c>
      <c r="I1151" s="71" t="n">
        <v>5048644.369998001</v>
      </c>
      <c r="J1151" s="72" t="n">
        <v>5.244</v>
      </c>
      <c r="K1151" s="69" t="inlineStr">
        <is>
          <t>Fixed rate</t>
        </is>
      </c>
      <c r="L1151" s="68" t="n">
        <v>120</v>
      </c>
      <c r="M1151" s="68" t="n">
        <v>7</v>
      </c>
      <c r="N1151" s="68" t="n">
        <v>360</v>
      </c>
      <c r="O1151" s="68" t="n"/>
      <c r="P1151" s="68" t="n"/>
      <c r="Q1151" s="68" t="n">
        <v>113</v>
      </c>
      <c r="R1151" s="69" t="n"/>
      <c r="S1151" s="69" t="inlineStr">
        <is>
          <t>No</t>
        </is>
      </c>
      <c r="T1151" s="73" t="n">
        <v>42826</v>
      </c>
      <c r="U1151" s="73" t="n">
        <v>46483</v>
      </c>
      <c r="V1151" s="73" t="n"/>
      <c r="W1151" s="69" t="n"/>
      <c r="X1151" s="69" t="inlineStr">
        <is>
          <t>Late Payment But Less Than 30 Days Delinquent</t>
        </is>
      </c>
      <c r="Y1151" s="68" t="n"/>
      <c r="Z1151" s="69" t="inlineStr">
        <is>
          <t>No Defeasance Occurred</t>
        </is>
      </c>
      <c r="AA1151" s="69" t="inlineStr">
        <is>
          <t>Yes</t>
        </is>
      </c>
      <c r="AB1151" s="69" t="inlineStr">
        <is>
          <t>Never special serv</t>
        </is>
      </c>
      <c r="AC1151" s="73" t="n"/>
      <c r="AD1151" s="69" t="n"/>
      <c r="AE1151" s="69" t="n"/>
      <c r="AF1151" s="69" t="inlineStr">
        <is>
          <t>TX</t>
        </is>
      </c>
      <c r="AG1151" s="69" t="inlineStr">
        <is>
          <t>Angleton</t>
        </is>
      </c>
      <c r="AH1151" s="69" t="inlineStr">
        <is>
          <t>Houston-Pasadena-The Woodlands, TX</t>
        </is>
      </c>
      <c r="AI1151" s="69" t="inlineStr">
        <is>
          <t>South / Central West</t>
        </is>
      </c>
      <c r="AJ1151" s="69" t="inlineStr">
        <is>
          <t>RT</t>
        </is>
      </c>
      <c r="AK1151" s="69" t="inlineStr">
        <is>
          <t>Anchored</t>
        </is>
      </c>
      <c r="AL1151" s="68" t="n">
        <v>1</v>
      </c>
      <c r="AM1151" s="68" t="n"/>
      <c r="AN1151" s="68" t="n">
        <v>141628</v>
      </c>
      <c r="AO1151" s="69" t="inlineStr">
        <is>
          <t>1980</t>
        </is>
      </c>
      <c r="AP1151" s="70" t="n">
        <v>2014</v>
      </c>
      <c r="AQ1151" s="74" t="n">
        <v>1.31</v>
      </c>
      <c r="AR1151" s="74" t="n">
        <v>2.52</v>
      </c>
      <c r="AS1151" s="74" t="n">
        <v>61.7</v>
      </c>
      <c r="AT1151" s="74" t="n">
        <v>52.05</v>
      </c>
      <c r="AU1151" s="74" t="n">
        <v>51.3</v>
      </c>
      <c r="AV1151" s="74" t="n">
        <v>8.697087832999999</v>
      </c>
      <c r="AW1151" s="74" t="n">
        <v>19.206241496</v>
      </c>
      <c r="AX1151" s="75" t="n">
        <v>86</v>
      </c>
      <c r="AY1151" s="71" t="n">
        <v>9700000</v>
      </c>
      <c r="AZ1151" s="71" t="n">
        <v>9700000</v>
      </c>
      <c r="BA1151" s="71" t="n">
        <v>521825.27</v>
      </c>
      <c r="BB1151" s="71" t="n">
        <v>499895.34</v>
      </c>
      <c r="BC1151" s="69" t="inlineStr">
        <is>
          <t>Refinance</t>
        </is>
      </c>
      <c r="BD1151" s="69" t="inlineStr">
        <is>
          <t>N</t>
        </is>
      </c>
      <c r="BE1151" s="71" t="n"/>
      <c r="BF1151" s="71" t="n"/>
      <c r="BG1151" s="71" t="n"/>
      <c r="BH1151" s="71" t="n">
        <v>0</v>
      </c>
      <c r="BI1151" s="71" t="n">
        <v>33088.15</v>
      </c>
      <c r="BJ1151" s="69" t="inlineStr">
        <is>
          <t>N</t>
        </is>
      </c>
      <c r="BK1151" s="69" t="inlineStr">
        <is>
          <t>Kroger Supermarkets</t>
        </is>
      </c>
      <c r="BL1151" s="75" t="n">
        <v>34.81</v>
      </c>
      <c r="BM1151" s="73" t="n">
        <v>47422</v>
      </c>
      <c r="BN1151" s="69" t="inlineStr">
        <is>
          <t>Adam Sparks, Giampaolo Boschetti</t>
        </is>
      </c>
      <c r="BO1151" s="69" t="inlineStr">
        <is>
          <t>Ladder Capital Finance</t>
        </is>
      </c>
      <c r="BP1151" s="69" t="inlineStr">
        <is>
          <t>TriMont Real Estate Advisors</t>
        </is>
      </c>
      <c r="BQ1151" s="69" t="inlineStr">
        <is>
          <t>K-Star Asset Management LLC</t>
        </is>
      </c>
      <c r="BR1151" s="69" t="n"/>
      <c r="BS1151" s="73" t="n">
        <v>46273</v>
      </c>
      <c r="BU1151" s="76">
        <f>IF($C1151="","",IFERROR(INDEX(dmName,MATCH($C1151,dmID,0)),"Unmapped"))</f>
        <v/>
      </c>
      <c r="BV1151" s="76">
        <f>IF($C1151="","",IFERROR(INDEX(dmEntity,MATCH($C1151,dmID,0)),"Unmapped"))</f>
        <v/>
      </c>
      <c r="BW1151" s="77">
        <f>IF($C1151="","",IFERROR(INDEX(dmVintage,MATCH($C1151,dmID,0)),""))</f>
        <v/>
      </c>
      <c r="BX1151" s="78">
        <f>IFERROR(INDEX(dmInclude,MATCH($C1151,dmID,0)),0)</f>
        <v/>
      </c>
      <c r="BY1151" s="78">
        <f>IF(N($I1151)&gt;0,1,0)</f>
        <v/>
      </c>
      <c r="BZ1151" s="76">
        <f>IF($AJ1151="","Other / Leased Fee",IFERROR(INDEX(mapPTGroup,MATCH(LEFT(TRIM($AJ1151),2),mapPTCode,0)),"Other / Leased Fee"))</f>
        <v/>
      </c>
      <c r="CA1151" s="76">
        <f>IF(TRIM($AF1151&amp;"")="","NR",LEFT(TRIM($AF1151),2))</f>
        <v/>
      </c>
      <c r="CB1151" s="76">
        <f>IFERROR(LOOKUP(2,1/(LEFT(TRIM($AI1151&amp;""),LEN(mapRegion))=mapRegion),mapRegion),"Not Reported")</f>
        <v/>
      </c>
      <c r="CC1151" s="76">
        <f>IF($BY1151=0,"",IF(TRIM($W1151&amp;"")="REO","REO",IF(TRIM($W1151&amp;"")="FC","Foreclosure",IF(TRIM($W1151&amp;"")="90+","90+ Days Delinquent",IF(TRIM($W1151&amp;"")="60","60 Days Delinquent",IF(TRIM($W1151&amp;"")="30","30 Days Delinquent",IF($X1151="Non-Performing Matured Balloon","Non-Performing Matured Balloon",IF(OR($X1151="Late Payment But Less Than 30 Days Delinquent",LEFT($X1151&amp;"",20)="Payment Not Received"),"Late / In Grace (&lt;30 Days)",IF($X1151="Performing Matured Balloon","Performing Matured Balloon","Current")))))))))</f>
        <v/>
      </c>
      <c r="CD1151" s="78">
        <f>IF(OR($CC1151="REO",$CC1151="Foreclosure",$CC1151="90+ Days Delinquent",$CC1151="60 Days Delinquent",$CC1151="30 Days Delinquent",$CC1151="Non-Performing Matured Balloon"),1,0)</f>
        <v/>
      </c>
      <c r="CE1151" s="76">
        <f>IF($AB1151="Currently special serv","Currently Specially Serviced",IF($AB1151="Returned to master serv","Previously Specially Serviced","Never Specially Serviced"))</f>
        <v/>
      </c>
      <c r="CF1151" s="78">
        <f>IF($CE1151="Currently Specially Serviced",1,0)</f>
        <v/>
      </c>
      <c r="CG1151" s="76">
        <f>IF($AA1151="Yes","Currently on Watchlist",IF($AA1151="Previously","Previously on Watchlist","Never on Watchlist"))</f>
        <v/>
      </c>
      <c r="CH1151" s="78">
        <f>IF($CG1151="Currently on Watchlist",1,0)</f>
        <v/>
      </c>
      <c r="CI1151" s="76">
        <f>IF($Z1151="Full Defeasance","Fully Defeased",IF($Z1151="Portion Of Loan Previously Defeased","Partially Defeased",IF($Z1151="Defeasance Not Allowable","Not Defeased (Not Permitted)","Not Defeased")))</f>
        <v/>
      </c>
      <c r="CJ1151" s="78">
        <f>IF($CI1151="Fully Defeased",1,0)</f>
        <v/>
      </c>
      <c r="CK1151" s="76">
        <f>IF($R1151="IO","Full IO",IF(LEFT($R1151&amp;"",7)="IO then","Partial IO","Amortizing"))</f>
        <v/>
      </c>
      <c r="CL1151" s="78">
        <f>IF($CK1151="Full IO",1,0)</f>
        <v/>
      </c>
      <c r="CM1151" s="78">
        <f>IF($CK1151="Partial IO",1,0)</f>
        <v/>
      </c>
      <c r="CN1151" s="76">
        <f>IF(LEFT($F1151&amp;"",10)="SPLIT_LOAN","Pari Passu Split","Standalone")</f>
        <v/>
      </c>
      <c r="CO1151" s="78">
        <f>IF($CN1151="Pari Passu Split",1,0)</f>
        <v/>
      </c>
      <c r="CP1151" s="77">
        <f>IF(ISNUMBER($T1151),YEAR($T1151),"")</f>
        <v/>
      </c>
      <c r="CQ1151" s="79">
        <f>IF(ISNUMBER($V1151),$V1151,IF(ISNUMBER($U1151),$U1151,""))</f>
        <v/>
      </c>
      <c r="CR1151" s="77">
        <f>IF(ISNUMBER($CQ1151),YEAR($CQ1151),"")</f>
        <v/>
      </c>
      <c r="CS1151" s="78">
        <f>IF(ISNUMBER($M1151),MAX(0,$M1151),IF(TRIM($M1151&amp;"")="matured",0,""))</f>
        <v/>
      </c>
      <c r="CT1151" s="78">
        <f>IF(AND(ISNUMBER($CS1151),N($CS1151)&lt;=mMatWindow),1,0)</f>
        <v/>
      </c>
      <c r="CU1151" s="80">
        <f>IF(ISNUMBER($J1151),$J1151/100,"")</f>
        <v/>
      </c>
      <c r="CV1151" s="81">
        <f>IF(ISNUMBER($AQ1151),$AQ1151,"")</f>
        <v/>
      </c>
      <c r="CW1151" s="81">
        <f>IF(ISNUMBER($AR1151),$AR1151,"")</f>
        <v/>
      </c>
      <c r="CX1151" s="82">
        <f>IF(ISNUMBER($AS1151),$AS1151/100,"")</f>
        <v/>
      </c>
      <c r="CY1151" s="82">
        <f>IF(ISNUMBER($AT1151),$AT1151/100,"")</f>
        <v/>
      </c>
      <c r="CZ1151" s="82">
        <f>IF(ISNUMBER($AU1151),$AU1151/100,"")</f>
        <v/>
      </c>
      <c r="DA1151" s="82">
        <f>IF(ISNUMBER($AV1151),$AV1151/100,"")</f>
        <v/>
      </c>
      <c r="DB1151" s="82">
        <f>IF(ISNUMBER($AW1151),$AW1151/100,"")</f>
        <v/>
      </c>
      <c r="DC1151" s="82">
        <f>IF(ISNUMBER($AX1151),$AX1151/100,"")</f>
        <v/>
      </c>
      <c r="DD1151" s="77">
        <f>IFERROR(VALUE(LEFT(TRIM($AO1151&amp;""),4)),"")</f>
        <v/>
      </c>
      <c r="DE1151" s="78">
        <f>IF(AND($BY1151=1,$BX1151=1,OR(fDeal="All Deals",$BU1151=fDeal),OR(fEntity="All Entities",$BV1151=fEntity),OR(fPType="All Property Types",$BZ1151=fPType),OR(fDefeased="Include",$CJ1151=0)),1,0)</f>
        <v/>
      </c>
      <c r="DF1151" s="83">
        <f>$DE1151*N($I1151)</f>
        <v/>
      </c>
      <c r="DG1151" s="78">
        <f>IF($DE1151=1,IF(COUNTIFS($F$8:$F1151,$F1151,$DE$8:$DE1151,1)=1,1,0),0)</f>
        <v/>
      </c>
      <c r="DH1151" s="83">
        <f>IF($DG1151=1,SUMIFS($DF$8:$DF$1600,$F$8:$F$1600,$F1151),0)</f>
        <v/>
      </c>
      <c r="DI1151" s="78">
        <f>IF($DG1151=1,COUNTIFS($F$8:$F$1600,$F1151,$DE$8:$DE$1600,1),0)</f>
        <v/>
      </c>
      <c r="DJ1151" s="84">
        <f>IF($DG1151=1,$DH1151+(100000-ROW())/mTieBreak,0)</f>
        <v/>
      </c>
    </row>
    <row r="1152">
      <c r="B1152" s="68" t="n">
        <v>31</v>
      </c>
      <c r="C1152" s="69" t="inlineStr">
        <is>
          <t>LCC17L26</t>
        </is>
      </c>
      <c r="D1152" s="69" t="inlineStr">
        <is>
          <t>31.000</t>
        </is>
      </c>
      <c r="E1152" s="69" t="inlineStr">
        <is>
          <t>Walgreens Fayetteville</t>
        </is>
      </c>
      <c r="F1152" s="69" t="inlineStr">
        <is>
          <t>LNLCC17L26-31.000</t>
        </is>
      </c>
      <c r="G1152" s="70" t="n"/>
      <c r="H1152" s="71" t="n">
        <v>4810000</v>
      </c>
      <c r="I1152" s="71" t="n">
        <v>4810000</v>
      </c>
      <c r="J1152" s="72" t="n">
        <v>5.14</v>
      </c>
      <c r="K1152" s="69" t="inlineStr">
        <is>
          <t>Fixed rate</t>
        </is>
      </c>
      <c r="L1152" s="68" t="n">
        <v>120</v>
      </c>
      <c r="M1152" s="68" t="n">
        <v>4</v>
      </c>
      <c r="N1152" s="68" t="n">
        <v>120</v>
      </c>
      <c r="O1152" s="68" t="n">
        <v>120</v>
      </c>
      <c r="P1152" s="68" t="n">
        <v>4</v>
      </c>
      <c r="Q1152" s="68" t="n">
        <v>116</v>
      </c>
      <c r="R1152" s="69" t="inlineStr">
        <is>
          <t>IO</t>
        </is>
      </c>
      <c r="S1152" s="69" t="inlineStr">
        <is>
          <t>Yes</t>
        </is>
      </c>
      <c r="T1152" s="73" t="n">
        <v>42736</v>
      </c>
      <c r="U1152" s="73" t="n">
        <v>48219</v>
      </c>
      <c r="V1152" s="73" t="n">
        <v>46393</v>
      </c>
      <c r="W1152" s="69" t="n"/>
      <c r="X1152" s="69" t="inlineStr">
        <is>
          <t>Current</t>
        </is>
      </c>
      <c r="Y1152" s="68" t="n"/>
      <c r="Z1152" s="69" t="inlineStr">
        <is>
          <t>No Defeasance Occurred</t>
        </is>
      </c>
      <c r="AA1152" s="69" t="inlineStr">
        <is>
          <t>Yes</t>
        </is>
      </c>
      <c r="AB1152" s="69" t="inlineStr">
        <is>
          <t>Never special serv</t>
        </is>
      </c>
      <c r="AC1152" s="73" t="n"/>
      <c r="AD1152" s="69" t="n"/>
      <c r="AE1152" s="69" t="n"/>
      <c r="AF1152" s="69" t="inlineStr">
        <is>
          <t>NC</t>
        </is>
      </c>
      <c r="AG1152" s="69" t="inlineStr">
        <is>
          <t>Fayetteville</t>
        </is>
      </c>
      <c r="AH1152" s="69" t="inlineStr">
        <is>
          <t>Fayetteville, NC</t>
        </is>
      </c>
      <c r="AI1152" s="69" t="inlineStr">
        <is>
          <t>South / Atlantic</t>
        </is>
      </c>
      <c r="AJ1152" s="69" t="inlineStr">
        <is>
          <t>RT</t>
        </is>
      </c>
      <c r="AK1152" s="69" t="inlineStr">
        <is>
          <t>Single Tenant</t>
        </is>
      </c>
      <c r="AL1152" s="68" t="n">
        <v>1</v>
      </c>
      <c r="AM1152" s="68" t="n"/>
      <c r="AN1152" s="68" t="n">
        <v>14820</v>
      </c>
      <c r="AO1152" s="69" t="inlineStr">
        <is>
          <t>2009</t>
        </is>
      </c>
      <c r="AP1152" s="70" t="n">
        <v>2009</v>
      </c>
      <c r="AQ1152" s="74" t="n">
        <v>1.65</v>
      </c>
      <c r="AR1152" s="74" t="n">
        <v>1.74</v>
      </c>
      <c r="AS1152" s="74" t="n">
        <v>65</v>
      </c>
      <c r="AT1152" s="74" t="n">
        <v>65</v>
      </c>
      <c r="AU1152" s="74" t="n">
        <v>65</v>
      </c>
      <c r="AV1152" s="74" t="n">
        <v>8.617473804999999</v>
      </c>
      <c r="AW1152" s="74" t="n">
        <v>9.073457588</v>
      </c>
      <c r="AX1152" s="75" t="n">
        <v>100</v>
      </c>
      <c r="AY1152" s="71" t="n">
        <v>7400000</v>
      </c>
      <c r="AZ1152" s="71" t="n">
        <v>7400000</v>
      </c>
      <c r="BA1152" s="71" t="n">
        <v>414500.49</v>
      </c>
      <c r="BB1152" s="71" t="n">
        <v>436433.31</v>
      </c>
      <c r="BC1152" s="69" t="inlineStr">
        <is>
          <t>Acquisition</t>
        </is>
      </c>
      <c r="BD1152" s="69" t="inlineStr">
        <is>
          <t>N</t>
        </is>
      </c>
      <c r="BE1152" s="71" t="n"/>
      <c r="BF1152" s="71" t="n"/>
      <c r="BG1152" s="71" t="n"/>
      <c r="BH1152" s="71" t="n">
        <v>0</v>
      </c>
      <c r="BI1152" s="71" t="n">
        <v>0</v>
      </c>
      <c r="BJ1152" s="69" t="inlineStr">
        <is>
          <t>N</t>
        </is>
      </c>
      <c r="BK1152" s="69" t="inlineStr">
        <is>
          <t>Walgreens</t>
        </is>
      </c>
      <c r="BL1152" s="75" t="n">
        <v>100</v>
      </c>
      <c r="BM1152" s="73" t="n">
        <v>49248</v>
      </c>
      <c r="BN1152" s="69" t="inlineStr">
        <is>
          <t>Ladder Capital Finance Holdings LLLP</t>
        </is>
      </c>
      <c r="BO1152" s="69" t="inlineStr">
        <is>
          <t>Ladder Capital Finance</t>
        </is>
      </c>
      <c r="BP1152" s="69" t="inlineStr">
        <is>
          <t>TriMont Real Estate Advisors</t>
        </is>
      </c>
      <c r="BQ1152" s="69" t="inlineStr">
        <is>
          <t>K-Star Asset Management LLC</t>
        </is>
      </c>
      <c r="BR1152" s="69" t="n"/>
      <c r="BS1152" s="73" t="n">
        <v>46273</v>
      </c>
      <c r="BU1152" s="76">
        <f>IF($C1152="","",IFERROR(INDEX(dmName,MATCH($C1152,dmID,0)),"Unmapped"))</f>
        <v/>
      </c>
      <c r="BV1152" s="76">
        <f>IF($C1152="","",IFERROR(INDEX(dmEntity,MATCH($C1152,dmID,0)),"Unmapped"))</f>
        <v/>
      </c>
      <c r="BW1152" s="77">
        <f>IF($C1152="","",IFERROR(INDEX(dmVintage,MATCH($C1152,dmID,0)),""))</f>
        <v/>
      </c>
      <c r="BX1152" s="78">
        <f>IFERROR(INDEX(dmInclude,MATCH($C1152,dmID,0)),0)</f>
        <v/>
      </c>
      <c r="BY1152" s="78">
        <f>IF(N($I1152)&gt;0,1,0)</f>
        <v/>
      </c>
      <c r="BZ1152" s="76">
        <f>IF($AJ1152="","Other / Leased Fee",IFERROR(INDEX(mapPTGroup,MATCH(LEFT(TRIM($AJ1152),2),mapPTCode,0)),"Other / Leased Fee"))</f>
        <v/>
      </c>
      <c r="CA1152" s="76">
        <f>IF(TRIM($AF1152&amp;"")="","NR",LEFT(TRIM($AF1152),2))</f>
        <v/>
      </c>
      <c r="CB1152" s="76">
        <f>IFERROR(LOOKUP(2,1/(LEFT(TRIM($AI1152&amp;""),LEN(mapRegion))=mapRegion),mapRegion),"Not Reported")</f>
        <v/>
      </c>
      <c r="CC1152" s="76">
        <f>IF($BY1152=0,"",IF(TRIM($W1152&amp;"")="REO","REO",IF(TRIM($W1152&amp;"")="FC","Foreclosure",IF(TRIM($W1152&amp;"")="90+","90+ Days Delinquent",IF(TRIM($W1152&amp;"")="60","60 Days Delinquent",IF(TRIM($W1152&amp;"")="30","30 Days Delinquent",IF($X1152="Non-Performing Matured Balloon","Non-Performing Matured Balloon",IF(OR($X1152="Late Payment But Less Than 30 Days Delinquent",LEFT($X1152&amp;"",20)="Payment Not Received"),"Late / In Grace (&lt;30 Days)",IF($X1152="Performing Matured Balloon","Performing Matured Balloon","Current")))))))))</f>
        <v/>
      </c>
      <c r="CD1152" s="78">
        <f>IF(OR($CC1152="REO",$CC1152="Foreclosure",$CC1152="90+ Days Delinquent",$CC1152="60 Days Delinquent",$CC1152="30 Days Delinquent",$CC1152="Non-Performing Matured Balloon"),1,0)</f>
        <v/>
      </c>
      <c r="CE1152" s="76">
        <f>IF($AB1152="Currently special serv","Currently Specially Serviced",IF($AB1152="Returned to master serv","Previously Specially Serviced","Never Specially Serviced"))</f>
        <v/>
      </c>
      <c r="CF1152" s="78">
        <f>IF($CE1152="Currently Specially Serviced",1,0)</f>
        <v/>
      </c>
      <c r="CG1152" s="76">
        <f>IF($AA1152="Yes","Currently on Watchlist",IF($AA1152="Previously","Previously on Watchlist","Never on Watchlist"))</f>
        <v/>
      </c>
      <c r="CH1152" s="78">
        <f>IF($CG1152="Currently on Watchlist",1,0)</f>
        <v/>
      </c>
      <c r="CI1152" s="76">
        <f>IF($Z1152="Full Defeasance","Fully Defeased",IF($Z1152="Portion Of Loan Previously Defeased","Partially Defeased",IF($Z1152="Defeasance Not Allowable","Not Defeased (Not Permitted)","Not Defeased")))</f>
        <v/>
      </c>
      <c r="CJ1152" s="78">
        <f>IF($CI1152="Fully Defeased",1,0)</f>
        <v/>
      </c>
      <c r="CK1152" s="76">
        <f>IF($R1152="IO","Full IO",IF(LEFT($R1152&amp;"",7)="IO then","Partial IO","Amortizing"))</f>
        <v/>
      </c>
      <c r="CL1152" s="78">
        <f>IF($CK1152="Full IO",1,0)</f>
        <v/>
      </c>
      <c r="CM1152" s="78">
        <f>IF($CK1152="Partial IO",1,0)</f>
        <v/>
      </c>
      <c r="CN1152" s="76">
        <f>IF(LEFT($F1152&amp;"",10)="SPLIT_LOAN","Pari Passu Split","Standalone")</f>
        <v/>
      </c>
      <c r="CO1152" s="78">
        <f>IF($CN1152="Pari Passu Split",1,0)</f>
        <v/>
      </c>
      <c r="CP1152" s="77">
        <f>IF(ISNUMBER($T1152),YEAR($T1152),"")</f>
        <v/>
      </c>
      <c r="CQ1152" s="79">
        <f>IF(ISNUMBER($V1152),$V1152,IF(ISNUMBER($U1152),$U1152,""))</f>
        <v/>
      </c>
      <c r="CR1152" s="77">
        <f>IF(ISNUMBER($CQ1152),YEAR($CQ1152),"")</f>
        <v/>
      </c>
      <c r="CS1152" s="78">
        <f>IF(ISNUMBER($M1152),MAX(0,$M1152),IF(TRIM($M1152&amp;"")="matured",0,""))</f>
        <v/>
      </c>
      <c r="CT1152" s="78">
        <f>IF(AND(ISNUMBER($CS1152),N($CS1152)&lt;=mMatWindow),1,0)</f>
        <v/>
      </c>
      <c r="CU1152" s="80">
        <f>IF(ISNUMBER($J1152),$J1152/100,"")</f>
        <v/>
      </c>
      <c r="CV1152" s="81">
        <f>IF(ISNUMBER($AQ1152),$AQ1152,"")</f>
        <v/>
      </c>
      <c r="CW1152" s="81">
        <f>IF(ISNUMBER($AR1152),$AR1152,"")</f>
        <v/>
      </c>
      <c r="CX1152" s="82">
        <f>IF(ISNUMBER($AS1152),$AS1152/100,"")</f>
        <v/>
      </c>
      <c r="CY1152" s="82">
        <f>IF(ISNUMBER($AT1152),$AT1152/100,"")</f>
        <v/>
      </c>
      <c r="CZ1152" s="82">
        <f>IF(ISNUMBER($AU1152),$AU1152/100,"")</f>
        <v/>
      </c>
      <c r="DA1152" s="82">
        <f>IF(ISNUMBER($AV1152),$AV1152/100,"")</f>
        <v/>
      </c>
      <c r="DB1152" s="82">
        <f>IF(ISNUMBER($AW1152),$AW1152/100,"")</f>
        <v/>
      </c>
      <c r="DC1152" s="82">
        <f>IF(ISNUMBER($AX1152),$AX1152/100,"")</f>
        <v/>
      </c>
      <c r="DD1152" s="77">
        <f>IFERROR(VALUE(LEFT(TRIM($AO1152&amp;""),4)),"")</f>
        <v/>
      </c>
      <c r="DE1152" s="78">
        <f>IF(AND($BY1152=1,$BX1152=1,OR(fDeal="All Deals",$BU1152=fDeal),OR(fEntity="All Entities",$BV1152=fEntity),OR(fPType="All Property Types",$BZ1152=fPType),OR(fDefeased="Include",$CJ1152=0)),1,0)</f>
        <v/>
      </c>
      <c r="DF1152" s="83">
        <f>$DE1152*N($I1152)</f>
        <v/>
      </c>
      <c r="DG1152" s="78">
        <f>IF($DE1152=1,IF(COUNTIFS($F$8:$F1152,$F1152,$DE$8:$DE1152,1)=1,1,0),0)</f>
        <v/>
      </c>
      <c r="DH1152" s="83">
        <f>IF($DG1152=1,SUMIFS($DF$8:$DF$1600,$F$8:$F$1600,$F1152),0)</f>
        <v/>
      </c>
      <c r="DI1152" s="78">
        <f>IF($DG1152=1,COUNTIFS($F$8:$F$1600,$F1152,$DE$8:$DE$1600,1),0)</f>
        <v/>
      </c>
      <c r="DJ1152" s="84">
        <f>IF($DG1152=1,$DH1152+(100000-ROW())/mTieBreak,0)</f>
        <v/>
      </c>
    </row>
    <row r="1153">
      <c r="B1153" s="68" t="n">
        <v>32</v>
      </c>
      <c r="C1153" s="69" t="inlineStr">
        <is>
          <t>LCC17L26</t>
        </is>
      </c>
      <c r="D1153" s="69" t="inlineStr">
        <is>
          <t>32.000</t>
        </is>
      </c>
      <c r="E1153" s="69" t="inlineStr">
        <is>
          <t>Schletter Industrial</t>
        </is>
      </c>
      <c r="F1153" s="69" t="inlineStr">
        <is>
          <t>LNLCC17L26-32.000</t>
        </is>
      </c>
      <c r="G1153" s="70" t="n"/>
      <c r="H1153" s="71" t="n">
        <v>4500000</v>
      </c>
      <c r="I1153" s="71" t="n">
        <v>4500000</v>
      </c>
      <c r="J1153" s="72" t="n">
        <v>5.06</v>
      </c>
      <c r="K1153" s="69" t="inlineStr">
        <is>
          <t>Fixed rate</t>
        </is>
      </c>
      <c r="L1153" s="68" t="n">
        <v>116</v>
      </c>
      <c r="M1153" s="68" t="n">
        <v>2</v>
      </c>
      <c r="N1153" s="68" t="n">
        <v>120</v>
      </c>
      <c r="O1153" s="68" t="n">
        <v>116</v>
      </c>
      <c r="P1153" s="68" t="n">
        <v>2</v>
      </c>
      <c r="Q1153" s="68" t="n">
        <v>114</v>
      </c>
      <c r="R1153" s="69" t="inlineStr">
        <is>
          <t>IO</t>
        </is>
      </c>
      <c r="S1153" s="69" t="inlineStr">
        <is>
          <t>Yes</t>
        </is>
      </c>
      <c r="T1153" s="73" t="n">
        <v>42795</v>
      </c>
      <c r="U1153" s="73" t="n">
        <v>46332</v>
      </c>
      <c r="V1153" s="73" t="n"/>
      <c r="W1153" s="69" t="n"/>
      <c r="X1153" s="69" t="inlineStr">
        <is>
          <t>Current</t>
        </is>
      </c>
      <c r="Y1153" s="68" t="n"/>
      <c r="Z1153" s="69" t="inlineStr">
        <is>
          <t>Full Defeasance</t>
        </is>
      </c>
      <c r="AA1153" s="69" t="inlineStr">
        <is>
          <t>Previously</t>
        </is>
      </c>
      <c r="AB1153" s="69" t="inlineStr">
        <is>
          <t>Never special serv</t>
        </is>
      </c>
      <c r="AC1153" s="73" t="n"/>
      <c r="AD1153" s="69" t="n"/>
      <c r="AE1153" s="69" t="n"/>
      <c r="AF1153" s="69" t="inlineStr">
        <is>
          <t>NC</t>
        </is>
      </c>
      <c r="AG1153" s="69" t="inlineStr">
        <is>
          <t>Shelby</t>
        </is>
      </c>
      <c r="AH1153" s="69" t="inlineStr">
        <is>
          <t>Shelby-Kings Mountain, NC</t>
        </is>
      </c>
      <c r="AI1153" s="69" t="inlineStr">
        <is>
          <t>South / Atlantic</t>
        </is>
      </c>
      <c r="AJ1153" s="69" t="inlineStr">
        <is>
          <t>IN</t>
        </is>
      </c>
      <c r="AK1153" s="69" t="inlineStr">
        <is>
          <t>Warehouse/Distribution</t>
        </is>
      </c>
      <c r="AL1153" s="68" t="n">
        <v>1</v>
      </c>
      <c r="AM1153" s="68" t="n"/>
      <c r="AN1153" s="68" t="n">
        <v>142825</v>
      </c>
      <c r="AO1153" s="69" t="inlineStr">
        <is>
          <t>2011-2013</t>
        </is>
      </c>
      <c r="AP1153" s="70" t="n">
        <v>2013</v>
      </c>
      <c r="AQ1153" s="74" t="n">
        <v>3.16</v>
      </c>
      <c r="AR1153" s="74" t="n">
        <v>3.72</v>
      </c>
      <c r="AS1153" s="74" t="n">
        <v>38.8</v>
      </c>
      <c r="AT1153" s="74" t="n">
        <v>38.79</v>
      </c>
      <c r="AU1153" s="74" t="n">
        <v>38.8</v>
      </c>
      <c r="AV1153" s="74" t="n">
        <v>16.207468444</v>
      </c>
      <c r="AW1153" s="74" t="n">
        <v>19.086888889</v>
      </c>
      <c r="AX1153" s="75" t="n">
        <v>100</v>
      </c>
      <c r="AY1153" s="71" t="n">
        <v>11600000</v>
      </c>
      <c r="AZ1153" s="71" t="n">
        <v>11600000</v>
      </c>
      <c r="BA1153" s="71" t="n">
        <v>729336.08</v>
      </c>
      <c r="BB1153" s="71" t="n">
        <v>858910</v>
      </c>
      <c r="BC1153" s="69" t="inlineStr">
        <is>
          <t>Acquisition</t>
        </is>
      </c>
      <c r="BD1153" s="69" t="inlineStr">
        <is>
          <t>N</t>
        </is>
      </c>
      <c r="BE1153" s="71" t="n"/>
      <c r="BF1153" s="71" t="n"/>
      <c r="BG1153" s="71" t="n"/>
      <c r="BH1153" s="71" t="n">
        <v>0</v>
      </c>
      <c r="BI1153" s="71" t="n">
        <v>0</v>
      </c>
      <c r="BJ1153" s="69" t="inlineStr">
        <is>
          <t>N</t>
        </is>
      </c>
      <c r="BK1153" s="69" t="inlineStr">
        <is>
          <t>SCHLETTER  INC</t>
        </is>
      </c>
      <c r="BL1153" s="75" t="n">
        <v>100</v>
      </c>
      <c r="BM1153" s="73" t="n">
        <v>46660</v>
      </c>
      <c r="BN1153" s="69" t="inlineStr">
        <is>
          <t>The Rosalinde and Arthur Gilbert Foundation</t>
        </is>
      </c>
      <c r="BO1153" s="69" t="inlineStr">
        <is>
          <t>Ladder Capital Finance</t>
        </is>
      </c>
      <c r="BP1153" s="69" t="inlineStr">
        <is>
          <t>TriMont Real Estate Advisors</t>
        </is>
      </c>
      <c r="BQ1153" s="69" t="inlineStr">
        <is>
          <t>K-Star Asset Management LLC</t>
        </is>
      </c>
      <c r="BR1153" s="69" t="n"/>
      <c r="BS1153" s="73" t="n">
        <v>46273</v>
      </c>
      <c r="BU1153" s="76">
        <f>IF($C1153="","",IFERROR(INDEX(dmName,MATCH($C1153,dmID,0)),"Unmapped"))</f>
        <v/>
      </c>
      <c r="BV1153" s="76">
        <f>IF($C1153="","",IFERROR(INDEX(dmEntity,MATCH($C1153,dmID,0)),"Unmapped"))</f>
        <v/>
      </c>
      <c r="BW1153" s="77">
        <f>IF($C1153="","",IFERROR(INDEX(dmVintage,MATCH($C1153,dmID,0)),""))</f>
        <v/>
      </c>
      <c r="BX1153" s="78">
        <f>IFERROR(INDEX(dmInclude,MATCH($C1153,dmID,0)),0)</f>
        <v/>
      </c>
      <c r="BY1153" s="78">
        <f>IF(N($I1153)&gt;0,1,0)</f>
        <v/>
      </c>
      <c r="BZ1153" s="76">
        <f>IF($AJ1153="","Other / Leased Fee",IFERROR(INDEX(mapPTGroup,MATCH(LEFT(TRIM($AJ1153),2),mapPTCode,0)),"Other / Leased Fee"))</f>
        <v/>
      </c>
      <c r="CA1153" s="76">
        <f>IF(TRIM($AF1153&amp;"")="","NR",LEFT(TRIM($AF1153),2))</f>
        <v/>
      </c>
      <c r="CB1153" s="76">
        <f>IFERROR(LOOKUP(2,1/(LEFT(TRIM($AI1153&amp;""),LEN(mapRegion))=mapRegion),mapRegion),"Not Reported")</f>
        <v/>
      </c>
      <c r="CC1153" s="76">
        <f>IF($BY1153=0,"",IF(TRIM($W1153&amp;"")="REO","REO",IF(TRIM($W1153&amp;"")="FC","Foreclosure",IF(TRIM($W1153&amp;"")="90+","90+ Days Delinquent",IF(TRIM($W1153&amp;"")="60","60 Days Delinquent",IF(TRIM($W1153&amp;"")="30","30 Days Delinquent",IF($X1153="Non-Performing Matured Balloon","Non-Performing Matured Balloon",IF(OR($X1153="Late Payment But Less Than 30 Days Delinquent",LEFT($X1153&amp;"",20)="Payment Not Received"),"Late / In Grace (&lt;30 Days)",IF($X1153="Performing Matured Balloon","Performing Matured Balloon","Current")))))))))</f>
        <v/>
      </c>
      <c r="CD1153" s="78">
        <f>IF(OR($CC1153="REO",$CC1153="Foreclosure",$CC1153="90+ Days Delinquent",$CC1153="60 Days Delinquent",$CC1153="30 Days Delinquent",$CC1153="Non-Performing Matured Balloon"),1,0)</f>
        <v/>
      </c>
      <c r="CE1153" s="76">
        <f>IF($AB1153="Currently special serv","Currently Specially Serviced",IF($AB1153="Returned to master serv","Previously Specially Serviced","Never Specially Serviced"))</f>
        <v/>
      </c>
      <c r="CF1153" s="78">
        <f>IF($CE1153="Currently Specially Serviced",1,0)</f>
        <v/>
      </c>
      <c r="CG1153" s="76">
        <f>IF($AA1153="Yes","Currently on Watchlist",IF($AA1153="Previously","Previously on Watchlist","Never on Watchlist"))</f>
        <v/>
      </c>
      <c r="CH1153" s="78">
        <f>IF($CG1153="Currently on Watchlist",1,0)</f>
        <v/>
      </c>
      <c r="CI1153" s="76">
        <f>IF($Z1153="Full Defeasance","Fully Defeased",IF($Z1153="Portion Of Loan Previously Defeased","Partially Defeased",IF($Z1153="Defeasance Not Allowable","Not Defeased (Not Permitted)","Not Defeased")))</f>
        <v/>
      </c>
      <c r="CJ1153" s="78">
        <f>IF($CI1153="Fully Defeased",1,0)</f>
        <v/>
      </c>
      <c r="CK1153" s="76">
        <f>IF($R1153="IO","Full IO",IF(LEFT($R1153&amp;"",7)="IO then","Partial IO","Amortizing"))</f>
        <v/>
      </c>
      <c r="CL1153" s="78">
        <f>IF($CK1153="Full IO",1,0)</f>
        <v/>
      </c>
      <c r="CM1153" s="78">
        <f>IF($CK1153="Partial IO",1,0)</f>
        <v/>
      </c>
      <c r="CN1153" s="76">
        <f>IF(LEFT($F1153&amp;"",10)="SPLIT_LOAN","Pari Passu Split","Standalone")</f>
        <v/>
      </c>
      <c r="CO1153" s="78">
        <f>IF($CN1153="Pari Passu Split",1,0)</f>
        <v/>
      </c>
      <c r="CP1153" s="77">
        <f>IF(ISNUMBER($T1153),YEAR($T1153),"")</f>
        <v/>
      </c>
      <c r="CQ1153" s="79">
        <f>IF(ISNUMBER($V1153),$V1153,IF(ISNUMBER($U1153),$U1153,""))</f>
        <v/>
      </c>
      <c r="CR1153" s="77">
        <f>IF(ISNUMBER($CQ1153),YEAR($CQ1153),"")</f>
        <v/>
      </c>
      <c r="CS1153" s="78">
        <f>IF(ISNUMBER($M1153),MAX(0,$M1153),IF(TRIM($M1153&amp;"")="matured",0,""))</f>
        <v/>
      </c>
      <c r="CT1153" s="78">
        <f>IF(AND(ISNUMBER($CS1153),N($CS1153)&lt;=mMatWindow),1,0)</f>
        <v/>
      </c>
      <c r="CU1153" s="80">
        <f>IF(ISNUMBER($J1153),$J1153/100,"")</f>
        <v/>
      </c>
      <c r="CV1153" s="81">
        <f>IF(ISNUMBER($AQ1153),$AQ1153,"")</f>
        <v/>
      </c>
      <c r="CW1153" s="81">
        <f>IF(ISNUMBER($AR1153),$AR1153,"")</f>
        <v/>
      </c>
      <c r="CX1153" s="82">
        <f>IF(ISNUMBER($AS1153),$AS1153/100,"")</f>
        <v/>
      </c>
      <c r="CY1153" s="82">
        <f>IF(ISNUMBER($AT1153),$AT1153/100,"")</f>
        <v/>
      </c>
      <c r="CZ1153" s="82">
        <f>IF(ISNUMBER($AU1153),$AU1153/100,"")</f>
        <v/>
      </c>
      <c r="DA1153" s="82">
        <f>IF(ISNUMBER($AV1153),$AV1153/100,"")</f>
        <v/>
      </c>
      <c r="DB1153" s="82">
        <f>IF(ISNUMBER($AW1153),$AW1153/100,"")</f>
        <v/>
      </c>
      <c r="DC1153" s="82">
        <f>IF(ISNUMBER($AX1153),$AX1153/100,"")</f>
        <v/>
      </c>
      <c r="DD1153" s="77">
        <f>IFERROR(VALUE(LEFT(TRIM($AO1153&amp;""),4)),"")</f>
        <v/>
      </c>
      <c r="DE1153" s="78">
        <f>IF(AND($BY1153=1,$BX1153=1,OR(fDeal="All Deals",$BU1153=fDeal),OR(fEntity="All Entities",$BV1153=fEntity),OR(fPType="All Property Types",$BZ1153=fPType),OR(fDefeased="Include",$CJ1153=0)),1,0)</f>
        <v/>
      </c>
      <c r="DF1153" s="83">
        <f>$DE1153*N($I1153)</f>
        <v/>
      </c>
      <c r="DG1153" s="78">
        <f>IF($DE1153=1,IF(COUNTIFS($F$8:$F1153,$F1153,$DE$8:$DE1153,1)=1,1,0),0)</f>
        <v/>
      </c>
      <c r="DH1153" s="83">
        <f>IF($DG1153=1,SUMIFS($DF$8:$DF$1600,$F$8:$F$1600,$F1153),0)</f>
        <v/>
      </c>
      <c r="DI1153" s="78">
        <f>IF($DG1153=1,COUNTIFS($F$8:$F$1600,$F1153,$DE$8:$DE$1600,1),0)</f>
        <v/>
      </c>
      <c r="DJ1153" s="84">
        <f>IF($DG1153=1,$DH1153+(100000-ROW())/mTieBreak,0)</f>
        <v/>
      </c>
    </row>
    <row r="1154">
      <c r="B1154" s="68" t="n">
        <v>33</v>
      </c>
      <c r="C1154" s="69" t="inlineStr">
        <is>
          <t>LCC17L26</t>
        </is>
      </c>
      <c r="D1154" s="69" t="inlineStr">
        <is>
          <t>33.000</t>
        </is>
      </c>
      <c r="E1154" s="69" t="inlineStr">
        <is>
          <t>1867-1871 Amsterdam Avenue</t>
        </is>
      </c>
      <c r="F1154" s="69" t="inlineStr">
        <is>
          <t>LNLCC17L26-33.000</t>
        </is>
      </c>
      <c r="G1154" s="70" t="n"/>
      <c r="H1154" s="71" t="n">
        <v>4100000</v>
      </c>
      <c r="I1154" s="71" t="n">
        <v>0</v>
      </c>
      <c r="J1154" s="72" t="n">
        <v>5.65</v>
      </c>
      <c r="K1154" s="69" t="inlineStr">
        <is>
          <t>Fixed rate</t>
        </is>
      </c>
      <c r="L1154" s="68" t="n">
        <v>60</v>
      </c>
      <c r="M1154" s="68" t="n"/>
      <c r="N1154" s="68" t="n">
        <v>60</v>
      </c>
      <c r="O1154" s="68" t="n">
        <v>60</v>
      </c>
      <c r="P1154" s="68" t="n"/>
      <c r="Q1154" s="68" t="n"/>
      <c r="R1154" s="69" t="inlineStr">
        <is>
          <t>IO</t>
        </is>
      </c>
      <c r="S1154" s="69" t="inlineStr">
        <is>
          <t>Yes</t>
        </is>
      </c>
      <c r="T1154" s="73" t="n">
        <v>42917</v>
      </c>
      <c r="U1154" s="73" t="n">
        <v>44718</v>
      </c>
      <c r="V1154" s="73" t="n"/>
      <c r="W1154" s="69" t="n"/>
      <c r="X1154" s="69" t="inlineStr">
        <is>
          <t>Current</t>
        </is>
      </c>
      <c r="Y1154" s="68" t="n"/>
      <c r="Z1154" s="69" t="inlineStr">
        <is>
          <t>No Defeasance Occurred</t>
        </is>
      </c>
      <c r="AA1154" s="69" t="inlineStr">
        <is>
          <t>Previously</t>
        </is>
      </c>
      <c r="AB1154" s="69" t="inlineStr">
        <is>
          <t>Currently special serv</t>
        </is>
      </c>
      <c r="AC1154" s="73" t="n">
        <v>44257</v>
      </c>
      <c r="AD1154" s="69" t="inlineStr">
        <is>
          <t>Payment Default (all payments excluding Balloon/Maturity Payment)</t>
        </is>
      </c>
      <c r="AE1154" s="69" t="inlineStr">
        <is>
          <t>Resolved</t>
        </is>
      </c>
      <c r="AF1154" s="69" t="inlineStr">
        <is>
          <t>NY</t>
        </is>
      </c>
      <c r="AG1154" s="69" t="inlineStr">
        <is>
          <t>New York</t>
        </is>
      </c>
      <c r="AH1154" s="69" t="inlineStr">
        <is>
          <t>New York-Newark-Jersey City, NY-NJ</t>
        </is>
      </c>
      <c r="AI1154" s="69" t="inlineStr">
        <is>
          <t>Northeast / Mid-Atlantic</t>
        </is>
      </c>
      <c r="AJ1154" s="69" t="inlineStr">
        <is>
          <t>MX</t>
        </is>
      </c>
      <c r="AK1154" s="69" t="inlineStr">
        <is>
          <t>Office/Multifamily</t>
        </is>
      </c>
      <c r="AL1154" s="68" t="n">
        <v>1</v>
      </c>
      <c r="AM1154" s="68" t="n"/>
      <c r="AN1154" s="68" t="n">
        <v>6323</v>
      </c>
      <c r="AO1154" s="69" t="inlineStr">
        <is>
          <t>1900/1926</t>
        </is>
      </c>
      <c r="AP1154" s="70" t="n">
        <v>2015</v>
      </c>
      <c r="AQ1154" s="74" t="n">
        <v>1.26</v>
      </c>
      <c r="AR1154" s="74" t="n">
        <v>1.04</v>
      </c>
      <c r="AS1154" s="74" t="n">
        <v>48.8</v>
      </c>
      <c r="AT1154" s="74" t="n"/>
      <c r="AU1154" s="74" t="n">
        <v>48.8</v>
      </c>
      <c r="AV1154" s="74" t="n">
        <v>7.230909024</v>
      </c>
      <c r="AW1154" s="74" t="n"/>
      <c r="AX1154" s="75" t="n">
        <v>100</v>
      </c>
      <c r="AY1154" s="71" t="n">
        <v>8400000</v>
      </c>
      <c r="AZ1154" s="71" t="n">
        <v>8400000</v>
      </c>
      <c r="BA1154" s="71" t="n">
        <v>296467.27</v>
      </c>
      <c r="BB1154" s="71" t="n">
        <v>244845</v>
      </c>
      <c r="BC1154" s="69" t="inlineStr">
        <is>
          <t>Refinance</t>
        </is>
      </c>
      <c r="BD1154" s="69" t="inlineStr">
        <is>
          <t>N</t>
        </is>
      </c>
      <c r="BE1154" s="71" t="n"/>
      <c r="BF1154" s="71" t="n"/>
      <c r="BG1154" s="71" t="n"/>
      <c r="BH1154" s="71" t="n">
        <v>0</v>
      </c>
      <c r="BI1154" s="71" t="n">
        <v>0</v>
      </c>
      <c r="BJ1154" s="69" t="inlineStr">
        <is>
          <t>N</t>
        </is>
      </c>
      <c r="BK1154" s="69" t="inlineStr">
        <is>
          <t>CS</t>
        </is>
      </c>
      <c r="BL1154" s="75" t="n">
        <v>64.84</v>
      </c>
      <c r="BM1154" s="73" t="n">
        <v>46022</v>
      </c>
      <c r="BN1154" s="69" t="inlineStr">
        <is>
          <t>Javier Martinez</t>
        </is>
      </c>
      <c r="BO1154" s="69" t="inlineStr">
        <is>
          <t>Ladder Capital Finance</t>
        </is>
      </c>
      <c r="BP1154" s="69" t="inlineStr">
        <is>
          <t>TriMont Real Estate Advisors</t>
        </is>
      </c>
      <c r="BQ1154" s="69" t="inlineStr">
        <is>
          <t>K-Star Asset Management LLC</t>
        </is>
      </c>
      <c r="BR1154" s="69" t="inlineStr">
        <is>
          <t>Disposition / Liquidation</t>
        </is>
      </c>
      <c r="BS1154" s="73" t="n">
        <v>46273</v>
      </c>
      <c r="BU1154" s="76">
        <f>IF($C1154="","",IFERROR(INDEX(dmName,MATCH($C1154,dmID,0)),"Unmapped"))</f>
        <v/>
      </c>
      <c r="BV1154" s="76">
        <f>IF($C1154="","",IFERROR(INDEX(dmEntity,MATCH($C1154,dmID,0)),"Unmapped"))</f>
        <v/>
      </c>
      <c r="BW1154" s="77">
        <f>IF($C1154="","",IFERROR(INDEX(dmVintage,MATCH($C1154,dmID,0)),""))</f>
        <v/>
      </c>
      <c r="BX1154" s="78">
        <f>IFERROR(INDEX(dmInclude,MATCH($C1154,dmID,0)),0)</f>
        <v/>
      </c>
      <c r="BY1154" s="78">
        <f>IF(N($I1154)&gt;0,1,0)</f>
        <v/>
      </c>
      <c r="BZ1154" s="76">
        <f>IF($AJ1154="","Other / Leased Fee",IFERROR(INDEX(mapPTGroup,MATCH(LEFT(TRIM($AJ1154),2),mapPTCode,0)),"Other / Leased Fee"))</f>
        <v/>
      </c>
      <c r="CA1154" s="76">
        <f>IF(TRIM($AF1154&amp;"")="","NR",LEFT(TRIM($AF1154),2))</f>
        <v/>
      </c>
      <c r="CB1154" s="76">
        <f>IFERROR(LOOKUP(2,1/(LEFT(TRIM($AI1154&amp;""),LEN(mapRegion))=mapRegion),mapRegion),"Not Reported")</f>
        <v/>
      </c>
      <c r="CC1154" s="76">
        <f>IF($BY1154=0,"",IF(TRIM($W1154&amp;"")="REO","REO",IF(TRIM($W1154&amp;"")="FC","Foreclosure",IF(TRIM($W1154&amp;"")="90+","90+ Days Delinquent",IF(TRIM($W1154&amp;"")="60","60 Days Delinquent",IF(TRIM($W1154&amp;"")="30","30 Days Delinquent",IF($X1154="Non-Performing Matured Balloon","Non-Performing Matured Balloon",IF(OR($X1154="Late Payment But Less Than 30 Days Delinquent",LEFT($X1154&amp;"",20)="Payment Not Received"),"Late / In Grace (&lt;30 Days)",IF($X1154="Performing Matured Balloon","Performing Matured Balloon","Current")))))))))</f>
        <v/>
      </c>
      <c r="CD1154" s="78">
        <f>IF(OR($CC1154="REO",$CC1154="Foreclosure",$CC1154="90+ Days Delinquent",$CC1154="60 Days Delinquent",$CC1154="30 Days Delinquent",$CC1154="Non-Performing Matured Balloon"),1,0)</f>
        <v/>
      </c>
      <c r="CE1154" s="76">
        <f>IF($AB1154="Currently special serv","Currently Specially Serviced",IF($AB1154="Returned to master serv","Previously Specially Serviced","Never Specially Serviced"))</f>
        <v/>
      </c>
      <c r="CF1154" s="78">
        <f>IF($CE1154="Currently Specially Serviced",1,0)</f>
        <v/>
      </c>
      <c r="CG1154" s="76">
        <f>IF($AA1154="Yes","Currently on Watchlist",IF($AA1154="Previously","Previously on Watchlist","Never on Watchlist"))</f>
        <v/>
      </c>
      <c r="CH1154" s="78">
        <f>IF($CG1154="Currently on Watchlist",1,0)</f>
        <v/>
      </c>
      <c r="CI1154" s="76">
        <f>IF($Z1154="Full Defeasance","Fully Defeased",IF($Z1154="Portion Of Loan Previously Defeased","Partially Defeased",IF($Z1154="Defeasance Not Allowable","Not Defeased (Not Permitted)","Not Defeased")))</f>
        <v/>
      </c>
      <c r="CJ1154" s="78">
        <f>IF($CI1154="Fully Defeased",1,0)</f>
        <v/>
      </c>
      <c r="CK1154" s="76">
        <f>IF($R1154="IO","Full IO",IF(LEFT($R1154&amp;"",7)="IO then","Partial IO","Amortizing"))</f>
        <v/>
      </c>
      <c r="CL1154" s="78">
        <f>IF($CK1154="Full IO",1,0)</f>
        <v/>
      </c>
      <c r="CM1154" s="78">
        <f>IF($CK1154="Partial IO",1,0)</f>
        <v/>
      </c>
      <c r="CN1154" s="76">
        <f>IF(LEFT($F1154&amp;"",10)="SPLIT_LOAN","Pari Passu Split","Standalone")</f>
        <v/>
      </c>
      <c r="CO1154" s="78">
        <f>IF($CN1154="Pari Passu Split",1,0)</f>
        <v/>
      </c>
      <c r="CP1154" s="77">
        <f>IF(ISNUMBER($T1154),YEAR($T1154),"")</f>
        <v/>
      </c>
      <c r="CQ1154" s="79">
        <f>IF(ISNUMBER($V1154),$V1154,IF(ISNUMBER($U1154),$U1154,""))</f>
        <v/>
      </c>
      <c r="CR1154" s="77">
        <f>IF(ISNUMBER($CQ1154),YEAR($CQ1154),"")</f>
        <v/>
      </c>
      <c r="CS1154" s="78">
        <f>IF(ISNUMBER($M1154),MAX(0,$M1154),IF(TRIM($M1154&amp;"")="matured",0,""))</f>
        <v/>
      </c>
      <c r="CT1154" s="78">
        <f>IF(AND(ISNUMBER($CS1154),N($CS1154)&lt;=mMatWindow),1,0)</f>
        <v/>
      </c>
      <c r="CU1154" s="80">
        <f>IF(ISNUMBER($J1154),$J1154/100,"")</f>
        <v/>
      </c>
      <c r="CV1154" s="81">
        <f>IF(ISNUMBER($AQ1154),$AQ1154,"")</f>
        <v/>
      </c>
      <c r="CW1154" s="81">
        <f>IF(ISNUMBER($AR1154),$AR1154,"")</f>
        <v/>
      </c>
      <c r="CX1154" s="82">
        <f>IF(ISNUMBER($AS1154),$AS1154/100,"")</f>
        <v/>
      </c>
      <c r="CY1154" s="82">
        <f>IF(ISNUMBER($AT1154),$AT1154/100,"")</f>
        <v/>
      </c>
      <c r="CZ1154" s="82">
        <f>IF(ISNUMBER($AU1154),$AU1154/100,"")</f>
        <v/>
      </c>
      <c r="DA1154" s="82">
        <f>IF(ISNUMBER($AV1154),$AV1154/100,"")</f>
        <v/>
      </c>
      <c r="DB1154" s="82">
        <f>IF(ISNUMBER($AW1154),$AW1154/100,"")</f>
        <v/>
      </c>
      <c r="DC1154" s="82">
        <f>IF(ISNUMBER($AX1154),$AX1154/100,"")</f>
        <v/>
      </c>
      <c r="DD1154" s="77">
        <f>IFERROR(VALUE(LEFT(TRIM($AO1154&amp;""),4)),"")</f>
        <v/>
      </c>
      <c r="DE1154" s="78">
        <f>IF(AND($BY1154=1,$BX1154=1,OR(fDeal="All Deals",$BU1154=fDeal),OR(fEntity="All Entities",$BV1154=fEntity),OR(fPType="All Property Types",$BZ1154=fPType),OR(fDefeased="Include",$CJ1154=0)),1,0)</f>
        <v/>
      </c>
      <c r="DF1154" s="83">
        <f>$DE1154*N($I1154)</f>
        <v/>
      </c>
      <c r="DG1154" s="78">
        <f>IF($DE1154=1,IF(COUNTIFS($F$8:$F1154,$F1154,$DE$8:$DE1154,1)=1,1,0),0)</f>
        <v/>
      </c>
      <c r="DH1154" s="83">
        <f>IF($DG1154=1,SUMIFS($DF$8:$DF$1600,$F$8:$F$1600,$F1154),0)</f>
        <v/>
      </c>
      <c r="DI1154" s="78">
        <f>IF($DG1154=1,COUNTIFS($F$8:$F$1600,$F1154,$DE$8:$DE$1600,1),0)</f>
        <v/>
      </c>
      <c r="DJ1154" s="84">
        <f>IF($DG1154=1,$DH1154+(100000-ROW())/mTieBreak,0)</f>
        <v/>
      </c>
    </row>
    <row r="1155">
      <c r="B1155" s="68" t="n">
        <v>34</v>
      </c>
      <c r="C1155" s="69" t="inlineStr">
        <is>
          <t>LCC17L26</t>
        </is>
      </c>
      <c r="D1155" s="69" t="inlineStr">
        <is>
          <t>34.000</t>
        </is>
      </c>
      <c r="E1155" s="69" t="inlineStr">
        <is>
          <t>Bricker Place Apartments</t>
        </is>
      </c>
      <c r="F1155" s="69" t="inlineStr">
        <is>
          <t>LNLCC17L26-34.000</t>
        </is>
      </c>
      <c r="G1155" s="70" t="n"/>
      <c r="H1155" s="71" t="n">
        <v>3850000</v>
      </c>
      <c r="I1155" s="71" t="n">
        <v>3244930.3499998</v>
      </c>
      <c r="J1155" s="72" t="n">
        <v>5.3</v>
      </c>
      <c r="K1155" s="69" t="inlineStr">
        <is>
          <t>Fixed rate</t>
        </is>
      </c>
      <c r="L1155" s="68" t="n">
        <v>120</v>
      </c>
      <c r="M1155" s="68" t="n">
        <v>7</v>
      </c>
      <c r="N1155" s="68" t="n">
        <v>360</v>
      </c>
      <c r="O1155" s="68" t="n"/>
      <c r="P1155" s="68" t="n"/>
      <c r="Q1155" s="68" t="n">
        <v>113</v>
      </c>
      <c r="R1155" s="69" t="n"/>
      <c r="S1155" s="69" t="inlineStr">
        <is>
          <t>No</t>
        </is>
      </c>
      <c r="T1155" s="73" t="n">
        <v>42826</v>
      </c>
      <c r="U1155" s="73" t="n">
        <v>46483</v>
      </c>
      <c r="V1155" s="73" t="n"/>
      <c r="W1155" s="69" t="n"/>
      <c r="X1155" s="69" t="inlineStr">
        <is>
          <t>Current</t>
        </is>
      </c>
      <c r="Y1155" s="68" t="n"/>
      <c r="Z1155" s="69" t="inlineStr">
        <is>
          <t>No Defeasance Occurred</t>
        </is>
      </c>
      <c r="AA1155" s="69" t="inlineStr">
        <is>
          <t>Previously</t>
        </is>
      </c>
      <c r="AB1155" s="69" t="inlineStr">
        <is>
          <t>Never special serv</t>
        </is>
      </c>
      <c r="AC1155" s="73" t="n"/>
      <c r="AD1155" s="69" t="n"/>
      <c r="AE1155" s="69" t="n"/>
      <c r="AF1155" s="69" t="inlineStr">
        <is>
          <t>OH</t>
        </is>
      </c>
      <c r="AG1155" s="69" t="inlineStr">
        <is>
          <t>Salem</t>
        </is>
      </c>
      <c r="AH1155" s="69" t="inlineStr">
        <is>
          <t>Salem, OH</t>
        </is>
      </c>
      <c r="AI1155" s="69" t="inlineStr">
        <is>
          <t>Midwest / Central East</t>
        </is>
      </c>
      <c r="AJ1155" s="69" t="inlineStr">
        <is>
          <t>MF</t>
        </is>
      </c>
      <c r="AK1155" s="69" t="inlineStr">
        <is>
          <t>Garden</t>
        </is>
      </c>
      <c r="AL1155" s="68" t="n">
        <v>1</v>
      </c>
      <c r="AM1155" s="68" t="n">
        <v>45</v>
      </c>
      <c r="AN1155" s="68" t="n"/>
      <c r="AO1155" s="69" t="inlineStr">
        <is>
          <t>2016</t>
        </is>
      </c>
      <c r="AP1155" s="70" t="n">
        <v>2016</v>
      </c>
      <c r="AQ1155" s="74" t="n">
        <v>1.59</v>
      </c>
      <c r="AR1155" s="74" t="n">
        <v>1.7</v>
      </c>
      <c r="AS1155" s="74" t="n">
        <v>62.7</v>
      </c>
      <c r="AT1155" s="74" t="n">
        <v>52.94</v>
      </c>
      <c r="AU1155" s="74" t="n">
        <v>52.1</v>
      </c>
      <c r="AV1155" s="74" t="n">
        <v>10.587488052</v>
      </c>
      <c r="AW1155" s="74" t="n">
        <v>12.762721394</v>
      </c>
      <c r="AX1155" s="75" t="n">
        <v>100</v>
      </c>
      <c r="AY1155" s="71" t="n">
        <v>6130000</v>
      </c>
      <c r="AZ1155" s="71" t="n">
        <v>6130000</v>
      </c>
      <c r="BA1155" s="71" t="n">
        <v>407618.29</v>
      </c>
      <c r="BB1155" s="71" t="n">
        <v>217840.01</v>
      </c>
      <c r="BC1155" s="69" t="inlineStr">
        <is>
          <t>Refinance</t>
        </is>
      </c>
      <c r="BD1155" s="69" t="inlineStr">
        <is>
          <t>N</t>
        </is>
      </c>
      <c r="BE1155" s="71" t="n"/>
      <c r="BF1155" s="71" t="n"/>
      <c r="BG1155" s="71" t="n"/>
      <c r="BH1155" s="71" t="n">
        <v>0</v>
      </c>
      <c r="BI1155" s="71" t="n">
        <v>0</v>
      </c>
      <c r="BJ1155" s="69" t="inlineStr">
        <is>
          <t>N</t>
        </is>
      </c>
      <c r="BK1155" s="69" t="n"/>
      <c r="BL1155" s="75" t="n"/>
      <c r="BM1155" s="73" t="n"/>
      <c r="BN1155" s="69" t="inlineStr">
        <is>
          <t>Kevin Price</t>
        </is>
      </c>
      <c r="BO1155" s="69" t="inlineStr">
        <is>
          <t>Ladder Capital Finance</t>
        </is>
      </c>
      <c r="BP1155" s="69" t="inlineStr">
        <is>
          <t>TriMont Real Estate Advisors</t>
        </is>
      </c>
      <c r="BQ1155" s="69" t="inlineStr">
        <is>
          <t>K-Star Asset Management LLC</t>
        </is>
      </c>
      <c r="BR1155" s="69" t="n"/>
      <c r="BS1155" s="73" t="n">
        <v>46273</v>
      </c>
      <c r="BU1155" s="76">
        <f>IF($C1155="","",IFERROR(INDEX(dmName,MATCH($C1155,dmID,0)),"Unmapped"))</f>
        <v/>
      </c>
      <c r="BV1155" s="76">
        <f>IF($C1155="","",IFERROR(INDEX(dmEntity,MATCH($C1155,dmID,0)),"Unmapped"))</f>
        <v/>
      </c>
      <c r="BW1155" s="77">
        <f>IF($C1155="","",IFERROR(INDEX(dmVintage,MATCH($C1155,dmID,0)),""))</f>
        <v/>
      </c>
      <c r="BX1155" s="78">
        <f>IFERROR(INDEX(dmInclude,MATCH($C1155,dmID,0)),0)</f>
        <v/>
      </c>
      <c r="BY1155" s="78">
        <f>IF(N($I1155)&gt;0,1,0)</f>
        <v/>
      </c>
      <c r="BZ1155" s="76">
        <f>IF($AJ1155="","Other / Leased Fee",IFERROR(INDEX(mapPTGroup,MATCH(LEFT(TRIM($AJ1155),2),mapPTCode,0)),"Other / Leased Fee"))</f>
        <v/>
      </c>
      <c r="CA1155" s="76">
        <f>IF(TRIM($AF1155&amp;"")="","NR",LEFT(TRIM($AF1155),2))</f>
        <v/>
      </c>
      <c r="CB1155" s="76">
        <f>IFERROR(LOOKUP(2,1/(LEFT(TRIM($AI1155&amp;""),LEN(mapRegion))=mapRegion),mapRegion),"Not Reported")</f>
        <v/>
      </c>
      <c r="CC1155" s="76">
        <f>IF($BY1155=0,"",IF(TRIM($W1155&amp;"")="REO","REO",IF(TRIM($W1155&amp;"")="FC","Foreclosure",IF(TRIM($W1155&amp;"")="90+","90+ Days Delinquent",IF(TRIM($W1155&amp;"")="60","60 Days Delinquent",IF(TRIM($W1155&amp;"")="30","30 Days Delinquent",IF($X1155="Non-Performing Matured Balloon","Non-Performing Matured Balloon",IF(OR($X1155="Late Payment But Less Than 30 Days Delinquent",LEFT($X1155&amp;"",20)="Payment Not Received"),"Late / In Grace (&lt;30 Days)",IF($X1155="Performing Matured Balloon","Performing Matured Balloon","Current")))))))))</f>
        <v/>
      </c>
      <c r="CD1155" s="78">
        <f>IF(OR($CC1155="REO",$CC1155="Foreclosure",$CC1155="90+ Days Delinquent",$CC1155="60 Days Delinquent",$CC1155="30 Days Delinquent",$CC1155="Non-Performing Matured Balloon"),1,0)</f>
        <v/>
      </c>
      <c r="CE1155" s="76">
        <f>IF($AB1155="Currently special serv","Currently Specially Serviced",IF($AB1155="Returned to master serv","Previously Specially Serviced","Never Specially Serviced"))</f>
        <v/>
      </c>
      <c r="CF1155" s="78">
        <f>IF($CE1155="Currently Specially Serviced",1,0)</f>
        <v/>
      </c>
      <c r="CG1155" s="76">
        <f>IF($AA1155="Yes","Currently on Watchlist",IF($AA1155="Previously","Previously on Watchlist","Never on Watchlist"))</f>
        <v/>
      </c>
      <c r="CH1155" s="78">
        <f>IF($CG1155="Currently on Watchlist",1,0)</f>
        <v/>
      </c>
      <c r="CI1155" s="76">
        <f>IF($Z1155="Full Defeasance","Fully Defeased",IF($Z1155="Portion Of Loan Previously Defeased","Partially Defeased",IF($Z1155="Defeasance Not Allowable","Not Defeased (Not Permitted)","Not Defeased")))</f>
        <v/>
      </c>
      <c r="CJ1155" s="78">
        <f>IF($CI1155="Fully Defeased",1,0)</f>
        <v/>
      </c>
      <c r="CK1155" s="76">
        <f>IF($R1155="IO","Full IO",IF(LEFT($R1155&amp;"",7)="IO then","Partial IO","Amortizing"))</f>
        <v/>
      </c>
      <c r="CL1155" s="78">
        <f>IF($CK1155="Full IO",1,0)</f>
        <v/>
      </c>
      <c r="CM1155" s="78">
        <f>IF($CK1155="Partial IO",1,0)</f>
        <v/>
      </c>
      <c r="CN1155" s="76">
        <f>IF(LEFT($F1155&amp;"",10)="SPLIT_LOAN","Pari Passu Split","Standalone")</f>
        <v/>
      </c>
      <c r="CO1155" s="78">
        <f>IF($CN1155="Pari Passu Split",1,0)</f>
        <v/>
      </c>
      <c r="CP1155" s="77">
        <f>IF(ISNUMBER($T1155),YEAR($T1155),"")</f>
        <v/>
      </c>
      <c r="CQ1155" s="79">
        <f>IF(ISNUMBER($V1155),$V1155,IF(ISNUMBER($U1155),$U1155,""))</f>
        <v/>
      </c>
      <c r="CR1155" s="77">
        <f>IF(ISNUMBER($CQ1155),YEAR($CQ1155),"")</f>
        <v/>
      </c>
      <c r="CS1155" s="78">
        <f>IF(ISNUMBER($M1155),MAX(0,$M1155),IF(TRIM($M1155&amp;"")="matured",0,""))</f>
        <v/>
      </c>
      <c r="CT1155" s="78">
        <f>IF(AND(ISNUMBER($CS1155),N($CS1155)&lt;=mMatWindow),1,0)</f>
        <v/>
      </c>
      <c r="CU1155" s="80">
        <f>IF(ISNUMBER($J1155),$J1155/100,"")</f>
        <v/>
      </c>
      <c r="CV1155" s="81">
        <f>IF(ISNUMBER($AQ1155),$AQ1155,"")</f>
        <v/>
      </c>
      <c r="CW1155" s="81">
        <f>IF(ISNUMBER($AR1155),$AR1155,"")</f>
        <v/>
      </c>
      <c r="CX1155" s="82">
        <f>IF(ISNUMBER($AS1155),$AS1155/100,"")</f>
        <v/>
      </c>
      <c r="CY1155" s="82">
        <f>IF(ISNUMBER($AT1155),$AT1155/100,"")</f>
        <v/>
      </c>
      <c r="CZ1155" s="82">
        <f>IF(ISNUMBER($AU1155),$AU1155/100,"")</f>
        <v/>
      </c>
      <c r="DA1155" s="82">
        <f>IF(ISNUMBER($AV1155),$AV1155/100,"")</f>
        <v/>
      </c>
      <c r="DB1155" s="82">
        <f>IF(ISNUMBER($AW1155),$AW1155/100,"")</f>
        <v/>
      </c>
      <c r="DC1155" s="82">
        <f>IF(ISNUMBER($AX1155),$AX1155/100,"")</f>
        <v/>
      </c>
      <c r="DD1155" s="77">
        <f>IFERROR(VALUE(LEFT(TRIM($AO1155&amp;""),4)),"")</f>
        <v/>
      </c>
      <c r="DE1155" s="78">
        <f>IF(AND($BY1155=1,$BX1155=1,OR(fDeal="All Deals",$BU1155=fDeal),OR(fEntity="All Entities",$BV1155=fEntity),OR(fPType="All Property Types",$BZ1155=fPType),OR(fDefeased="Include",$CJ1155=0)),1,0)</f>
        <v/>
      </c>
      <c r="DF1155" s="83">
        <f>$DE1155*N($I1155)</f>
        <v/>
      </c>
      <c r="DG1155" s="78">
        <f>IF($DE1155=1,IF(COUNTIFS($F$8:$F1155,$F1155,$DE$8:$DE1155,1)=1,1,0),0)</f>
        <v/>
      </c>
      <c r="DH1155" s="83">
        <f>IF($DG1155=1,SUMIFS($DF$8:$DF$1600,$F$8:$F$1600,$F1155),0)</f>
        <v/>
      </c>
      <c r="DI1155" s="78">
        <f>IF($DG1155=1,COUNTIFS($F$8:$F$1600,$F1155,$DE$8:$DE$1600,1),0)</f>
        <v/>
      </c>
      <c r="DJ1155" s="84">
        <f>IF($DG1155=1,$DH1155+(100000-ROW())/mTieBreak,0)</f>
        <v/>
      </c>
    </row>
    <row r="1156">
      <c r="B1156" s="68" t="n">
        <v>35</v>
      </c>
      <c r="C1156" s="69" t="inlineStr">
        <is>
          <t>LCC17L26</t>
        </is>
      </c>
      <c r="D1156" s="69" t="inlineStr">
        <is>
          <t>35.000</t>
        </is>
      </c>
      <c r="E1156" s="69" t="inlineStr">
        <is>
          <t>Upper Midwest Dollar General Portfolio</t>
        </is>
      </c>
      <c r="F1156" s="69" t="inlineStr">
        <is>
          <t>LNLCC17L26-35.000</t>
        </is>
      </c>
      <c r="G1156" s="70" t="n"/>
      <c r="H1156" s="71" t="n">
        <v>3515000</v>
      </c>
      <c r="I1156" s="71" t="n">
        <v>3515000</v>
      </c>
      <c r="J1156" s="72" t="n">
        <v>5.286</v>
      </c>
      <c r="K1156" s="69" t="inlineStr">
        <is>
          <t>Fixed rate</t>
        </is>
      </c>
      <c r="L1156" s="68" t="n">
        <v>120</v>
      </c>
      <c r="M1156" s="68" t="n">
        <v>8</v>
      </c>
      <c r="N1156" s="68" t="n">
        <v>120</v>
      </c>
      <c r="O1156" s="68" t="n">
        <v>120</v>
      </c>
      <c r="P1156" s="68" t="n">
        <v>8</v>
      </c>
      <c r="Q1156" s="68" t="n">
        <v>112</v>
      </c>
      <c r="R1156" s="69" t="inlineStr">
        <is>
          <t>IO</t>
        </is>
      </c>
      <c r="S1156" s="69" t="inlineStr">
        <is>
          <t>Yes</t>
        </is>
      </c>
      <c r="T1156" s="73" t="n">
        <v>42856</v>
      </c>
      <c r="U1156" s="73" t="n">
        <v>46513</v>
      </c>
      <c r="V1156" s="73" t="n"/>
      <c r="W1156" s="69" t="n"/>
      <c r="X1156" s="69" t="inlineStr">
        <is>
          <t>Current</t>
        </is>
      </c>
      <c r="Y1156" s="68" t="n"/>
      <c r="Z1156" s="69" t="inlineStr">
        <is>
          <t>No Defeasance Occurred</t>
        </is>
      </c>
      <c r="AA1156" s="69" t="inlineStr">
        <is>
          <t>Previously</t>
        </is>
      </c>
      <c r="AB1156" s="69" t="inlineStr">
        <is>
          <t>Never special serv</t>
        </is>
      </c>
      <c r="AC1156" s="73" t="n"/>
      <c r="AD1156" s="69" t="n"/>
      <c r="AE1156" s="69" t="n"/>
      <c r="AF1156" s="69" t="inlineStr">
        <is>
          <t>MI-40.669620199% MN-40.163149929% MO-19.167229872%</t>
        </is>
      </c>
      <c r="AG1156" s="69" t="n"/>
      <c r="AH1156" s="69" t="inlineStr">
        <is>
          <t>Escanaba, MI-20.181370128%</t>
        </is>
      </c>
      <c r="AI1156" s="69" t="inlineStr">
        <is>
          <t>Midwest / Central West-59.330379801% Midwest / Central East-40.669620199%</t>
        </is>
      </c>
      <c r="AJ1156" s="69" t="inlineStr">
        <is>
          <t>RT</t>
        </is>
      </c>
      <c r="AK1156" s="69" t="inlineStr">
        <is>
          <t>Single Tenant</t>
        </is>
      </c>
      <c r="AL1156" s="68" t="n">
        <v>5</v>
      </c>
      <c r="AM1156" s="68" t="n"/>
      <c r="AN1156" s="68" t="n">
        <v>45500</v>
      </c>
      <c r="AO1156" s="69" t="n"/>
      <c r="AP1156" s="70" t="n">
        <v>2017</v>
      </c>
      <c r="AQ1156" s="74" t="n">
        <v>2</v>
      </c>
      <c r="AR1156" s="74" t="n">
        <v>2.09</v>
      </c>
      <c r="AS1156" s="74" t="n">
        <v>57.8</v>
      </c>
      <c r="AT1156" s="74" t="n">
        <v>57.77</v>
      </c>
      <c r="AU1156" s="74" t="n">
        <v>57.8</v>
      </c>
      <c r="AV1156" s="74" t="n">
        <v>10.736206259</v>
      </c>
      <c r="AW1156" s="74" t="n">
        <v>11.18252091</v>
      </c>
      <c r="AX1156" s="75" t="n">
        <v>100</v>
      </c>
      <c r="AY1156" s="71" t="n">
        <v>6084000</v>
      </c>
      <c r="AZ1156" s="71" t="n">
        <v>6084000</v>
      </c>
      <c r="BA1156" s="71" t="n">
        <v>377377.65</v>
      </c>
      <c r="BB1156" s="71" t="n">
        <v>196532.32</v>
      </c>
      <c r="BC1156" s="69" t="inlineStr">
        <is>
          <t>Acquisition</t>
        </is>
      </c>
      <c r="BD1156" s="69" t="inlineStr">
        <is>
          <t>N</t>
        </is>
      </c>
      <c r="BE1156" s="71" t="n"/>
      <c r="BF1156" s="71" t="n"/>
      <c r="BG1156" s="71" t="n"/>
      <c r="BH1156" s="71" t="n">
        <v>0</v>
      </c>
      <c r="BI1156" s="71" t="n">
        <v>0</v>
      </c>
      <c r="BJ1156" s="69" t="inlineStr">
        <is>
          <t>N</t>
        </is>
      </c>
      <c r="BK1156" s="69" t="inlineStr">
        <is>
          <t>Dollar General</t>
        </is>
      </c>
      <c r="BL1156" s="75" t="n">
        <v>100</v>
      </c>
      <c r="BM1156" s="73" t="n">
        <v>48182</v>
      </c>
      <c r="BN1156" s="69" t="inlineStr">
        <is>
          <t>Jorge Topelson; Alexander Topelson</t>
        </is>
      </c>
      <c r="BO1156" s="69" t="inlineStr">
        <is>
          <t>Ladder Capital Finance</t>
        </is>
      </c>
      <c r="BP1156" s="69" t="inlineStr">
        <is>
          <t>TriMont Real Estate Advisors</t>
        </is>
      </c>
      <c r="BQ1156" s="69" t="inlineStr">
        <is>
          <t>K-Star Asset Management LLC</t>
        </is>
      </c>
      <c r="BR1156" s="69" t="n"/>
      <c r="BS1156" s="73" t="n">
        <v>46273</v>
      </c>
      <c r="BU1156" s="76">
        <f>IF($C1156="","",IFERROR(INDEX(dmName,MATCH($C1156,dmID,0)),"Unmapped"))</f>
        <v/>
      </c>
      <c r="BV1156" s="76">
        <f>IF($C1156="","",IFERROR(INDEX(dmEntity,MATCH($C1156,dmID,0)),"Unmapped"))</f>
        <v/>
      </c>
      <c r="BW1156" s="77">
        <f>IF($C1156="","",IFERROR(INDEX(dmVintage,MATCH($C1156,dmID,0)),""))</f>
        <v/>
      </c>
      <c r="BX1156" s="78">
        <f>IFERROR(INDEX(dmInclude,MATCH($C1156,dmID,0)),0)</f>
        <v/>
      </c>
      <c r="BY1156" s="78">
        <f>IF(N($I1156)&gt;0,1,0)</f>
        <v/>
      </c>
      <c r="BZ1156" s="76">
        <f>IF($AJ1156="","Other / Leased Fee",IFERROR(INDEX(mapPTGroup,MATCH(LEFT(TRIM($AJ1156),2),mapPTCode,0)),"Other / Leased Fee"))</f>
        <v/>
      </c>
      <c r="CA1156" s="76">
        <f>IF(TRIM($AF1156&amp;"")="","NR",LEFT(TRIM($AF1156),2))</f>
        <v/>
      </c>
      <c r="CB1156" s="76">
        <f>IFERROR(LOOKUP(2,1/(LEFT(TRIM($AI1156&amp;""),LEN(mapRegion))=mapRegion),mapRegion),"Not Reported")</f>
        <v/>
      </c>
      <c r="CC1156" s="76">
        <f>IF($BY1156=0,"",IF(TRIM($W1156&amp;"")="REO","REO",IF(TRIM($W1156&amp;"")="FC","Foreclosure",IF(TRIM($W1156&amp;"")="90+","90+ Days Delinquent",IF(TRIM($W1156&amp;"")="60","60 Days Delinquent",IF(TRIM($W1156&amp;"")="30","30 Days Delinquent",IF($X1156="Non-Performing Matured Balloon","Non-Performing Matured Balloon",IF(OR($X1156="Late Payment But Less Than 30 Days Delinquent",LEFT($X1156&amp;"",20)="Payment Not Received"),"Late / In Grace (&lt;30 Days)",IF($X1156="Performing Matured Balloon","Performing Matured Balloon","Current")))))))))</f>
        <v/>
      </c>
      <c r="CD1156" s="78">
        <f>IF(OR($CC1156="REO",$CC1156="Foreclosure",$CC1156="90+ Days Delinquent",$CC1156="60 Days Delinquent",$CC1156="30 Days Delinquent",$CC1156="Non-Performing Matured Balloon"),1,0)</f>
        <v/>
      </c>
      <c r="CE1156" s="76">
        <f>IF($AB1156="Currently special serv","Currently Specially Serviced",IF($AB1156="Returned to master serv","Previously Specially Serviced","Never Specially Serviced"))</f>
        <v/>
      </c>
      <c r="CF1156" s="78">
        <f>IF($CE1156="Currently Specially Serviced",1,0)</f>
        <v/>
      </c>
      <c r="CG1156" s="76">
        <f>IF($AA1156="Yes","Currently on Watchlist",IF($AA1156="Previously","Previously on Watchlist","Never on Watchlist"))</f>
        <v/>
      </c>
      <c r="CH1156" s="78">
        <f>IF($CG1156="Currently on Watchlist",1,0)</f>
        <v/>
      </c>
      <c r="CI1156" s="76">
        <f>IF($Z1156="Full Defeasance","Fully Defeased",IF($Z1156="Portion Of Loan Previously Defeased","Partially Defeased",IF($Z1156="Defeasance Not Allowable","Not Defeased (Not Permitted)","Not Defeased")))</f>
        <v/>
      </c>
      <c r="CJ1156" s="78">
        <f>IF($CI1156="Fully Defeased",1,0)</f>
        <v/>
      </c>
      <c r="CK1156" s="76">
        <f>IF($R1156="IO","Full IO",IF(LEFT($R1156&amp;"",7)="IO then","Partial IO","Amortizing"))</f>
        <v/>
      </c>
      <c r="CL1156" s="78">
        <f>IF($CK1156="Full IO",1,0)</f>
        <v/>
      </c>
      <c r="CM1156" s="78">
        <f>IF($CK1156="Partial IO",1,0)</f>
        <v/>
      </c>
      <c r="CN1156" s="76">
        <f>IF(LEFT($F1156&amp;"",10)="SPLIT_LOAN","Pari Passu Split","Standalone")</f>
        <v/>
      </c>
      <c r="CO1156" s="78">
        <f>IF($CN1156="Pari Passu Split",1,0)</f>
        <v/>
      </c>
      <c r="CP1156" s="77">
        <f>IF(ISNUMBER($T1156),YEAR($T1156),"")</f>
        <v/>
      </c>
      <c r="CQ1156" s="79">
        <f>IF(ISNUMBER($V1156),$V1156,IF(ISNUMBER($U1156),$U1156,""))</f>
        <v/>
      </c>
      <c r="CR1156" s="77">
        <f>IF(ISNUMBER($CQ1156),YEAR($CQ1156),"")</f>
        <v/>
      </c>
      <c r="CS1156" s="78">
        <f>IF(ISNUMBER($M1156),MAX(0,$M1156),IF(TRIM($M1156&amp;"")="matured",0,""))</f>
        <v/>
      </c>
      <c r="CT1156" s="78">
        <f>IF(AND(ISNUMBER($CS1156),N($CS1156)&lt;=mMatWindow),1,0)</f>
        <v/>
      </c>
      <c r="CU1156" s="80">
        <f>IF(ISNUMBER($J1156),$J1156/100,"")</f>
        <v/>
      </c>
      <c r="CV1156" s="81">
        <f>IF(ISNUMBER($AQ1156),$AQ1156,"")</f>
        <v/>
      </c>
      <c r="CW1156" s="81">
        <f>IF(ISNUMBER($AR1156),$AR1156,"")</f>
        <v/>
      </c>
      <c r="CX1156" s="82">
        <f>IF(ISNUMBER($AS1156),$AS1156/100,"")</f>
        <v/>
      </c>
      <c r="CY1156" s="82">
        <f>IF(ISNUMBER($AT1156),$AT1156/100,"")</f>
        <v/>
      </c>
      <c r="CZ1156" s="82">
        <f>IF(ISNUMBER($AU1156),$AU1156/100,"")</f>
        <v/>
      </c>
      <c r="DA1156" s="82">
        <f>IF(ISNUMBER($AV1156),$AV1156/100,"")</f>
        <v/>
      </c>
      <c r="DB1156" s="82">
        <f>IF(ISNUMBER($AW1156),$AW1156/100,"")</f>
        <v/>
      </c>
      <c r="DC1156" s="82">
        <f>IF(ISNUMBER($AX1156),$AX1156/100,"")</f>
        <v/>
      </c>
      <c r="DD1156" s="77">
        <f>IFERROR(VALUE(LEFT(TRIM($AO1156&amp;""),4)),"")</f>
        <v/>
      </c>
      <c r="DE1156" s="78">
        <f>IF(AND($BY1156=1,$BX1156=1,OR(fDeal="All Deals",$BU1156=fDeal),OR(fEntity="All Entities",$BV1156=fEntity),OR(fPType="All Property Types",$BZ1156=fPType),OR(fDefeased="Include",$CJ1156=0)),1,0)</f>
        <v/>
      </c>
      <c r="DF1156" s="83">
        <f>$DE1156*N($I1156)</f>
        <v/>
      </c>
      <c r="DG1156" s="78">
        <f>IF($DE1156=1,IF(COUNTIFS($F$8:$F1156,$F1156,$DE$8:$DE1156,1)=1,1,0),0)</f>
        <v/>
      </c>
      <c r="DH1156" s="83">
        <f>IF($DG1156=1,SUMIFS($DF$8:$DF$1600,$F$8:$F$1600,$F1156),0)</f>
        <v/>
      </c>
      <c r="DI1156" s="78">
        <f>IF($DG1156=1,COUNTIFS($F$8:$F$1600,$F1156,$DE$8:$DE$1600,1),0)</f>
        <v/>
      </c>
      <c r="DJ1156" s="84">
        <f>IF($DG1156=1,$DH1156+(100000-ROW())/mTieBreak,0)</f>
        <v/>
      </c>
    </row>
    <row r="1157">
      <c r="B1157" s="68" t="n">
        <v>36</v>
      </c>
      <c r="C1157" s="69" t="inlineStr">
        <is>
          <t>LCC17L26</t>
        </is>
      </c>
      <c r="D1157" s="69" t="inlineStr">
        <is>
          <t>36.000</t>
        </is>
      </c>
      <c r="E1157" s="69" t="inlineStr">
        <is>
          <t>San Angelo Plaza</t>
        </is>
      </c>
      <c r="F1157" s="69" t="inlineStr">
        <is>
          <t>LNLCC17L26-36.000</t>
        </is>
      </c>
      <c r="G1157" s="70" t="n"/>
      <c r="H1157" s="71" t="n">
        <v>1700000</v>
      </c>
      <c r="I1157" s="71" t="n">
        <v>1459198.0500006</v>
      </c>
      <c r="J1157" s="72" t="n">
        <v>5.8</v>
      </c>
      <c r="K1157" s="69" t="inlineStr">
        <is>
          <t>Fixed rate</t>
        </is>
      </c>
      <c r="L1157" s="68" t="n">
        <v>120</v>
      </c>
      <c r="M1157" s="68" t="n">
        <v>9</v>
      </c>
      <c r="N1157" s="68" t="n">
        <v>360</v>
      </c>
      <c r="O1157" s="68" t="n"/>
      <c r="P1157" s="68" t="n"/>
      <c r="Q1157" s="68" t="n">
        <v>111</v>
      </c>
      <c r="R1157" s="69" t="n"/>
      <c r="S1157" s="69" t="inlineStr">
        <is>
          <t>No</t>
        </is>
      </c>
      <c r="T1157" s="73" t="n">
        <v>42887</v>
      </c>
      <c r="U1157" s="73" t="n">
        <v>46544</v>
      </c>
      <c r="V1157" s="73" t="n"/>
      <c r="W1157" s="69" t="n"/>
      <c r="X1157" s="69" t="inlineStr">
        <is>
          <t>Current</t>
        </is>
      </c>
      <c r="Y1157" s="68" t="n"/>
      <c r="Z1157" s="69" t="inlineStr">
        <is>
          <t>No Defeasance Occurred</t>
        </is>
      </c>
      <c r="AA1157" s="69" t="inlineStr">
        <is>
          <t>Yes</t>
        </is>
      </c>
      <c r="AB1157" s="69" t="inlineStr">
        <is>
          <t>Never special serv</t>
        </is>
      </c>
      <c r="AC1157" s="73" t="n"/>
      <c r="AD1157" s="69" t="n"/>
      <c r="AE1157" s="69" t="n"/>
      <c r="AF1157" s="69" t="inlineStr">
        <is>
          <t>TX</t>
        </is>
      </c>
      <c r="AG1157" s="69" t="inlineStr">
        <is>
          <t>San Angelo</t>
        </is>
      </c>
      <c r="AH1157" s="69" t="inlineStr">
        <is>
          <t>San Angelo, TX</t>
        </is>
      </c>
      <c r="AI1157" s="69" t="inlineStr">
        <is>
          <t>South / Central West</t>
        </is>
      </c>
      <c r="AJ1157" s="69" t="inlineStr">
        <is>
          <t>RT</t>
        </is>
      </c>
      <c r="AK1157" s="69" t="inlineStr">
        <is>
          <t>Unanchored</t>
        </is>
      </c>
      <c r="AL1157" s="68" t="n">
        <v>1</v>
      </c>
      <c r="AM1157" s="68" t="n"/>
      <c r="AN1157" s="68" t="n">
        <v>17000</v>
      </c>
      <c r="AO1157" s="69" t="inlineStr">
        <is>
          <t>2014</t>
        </is>
      </c>
      <c r="AP1157" s="70" t="n">
        <v>2014</v>
      </c>
      <c r="AQ1157" s="74" t="n">
        <v>1.7</v>
      </c>
      <c r="AR1157" s="74" t="n">
        <v>1.21</v>
      </c>
      <c r="AS1157" s="74" t="n">
        <v>58.6</v>
      </c>
      <c r="AT1157" s="74" t="n">
        <v>50.32</v>
      </c>
      <c r="AU1157" s="74" t="n">
        <v>49.4</v>
      </c>
      <c r="AV1157" s="74" t="n">
        <v>11.982648824</v>
      </c>
      <c r="AW1157" s="74" t="n">
        <v>11.864368925</v>
      </c>
      <c r="AX1157" s="75" t="n">
        <v>100</v>
      </c>
      <c r="AY1157" s="71" t="n">
        <v>2900000</v>
      </c>
      <c r="AZ1157" s="71" t="n">
        <v>2900000</v>
      </c>
      <c r="BA1157" s="71" t="n">
        <v>203705.03</v>
      </c>
      <c r="BB1157" s="71" t="n">
        <v>72221.75</v>
      </c>
      <c r="BC1157" s="69" t="inlineStr">
        <is>
          <t>Acquisition</t>
        </is>
      </c>
      <c r="BD1157" s="69" t="inlineStr">
        <is>
          <t>N</t>
        </is>
      </c>
      <c r="BE1157" s="71" t="n"/>
      <c r="BF1157" s="71" t="n"/>
      <c r="BG1157" s="71" t="n"/>
      <c r="BH1157" s="71" t="n">
        <v>0</v>
      </c>
      <c r="BI1157" s="71" t="n">
        <v>0</v>
      </c>
      <c r="BJ1157" s="69" t="inlineStr">
        <is>
          <t>N</t>
        </is>
      </c>
      <c r="BK1157" s="69" t="inlineStr">
        <is>
          <t>UNITED FASHION OF TEXAS dba</t>
        </is>
      </c>
      <c r="BL1157" s="75" t="n">
        <v>58.43</v>
      </c>
      <c r="BM1157" s="73" t="n">
        <v>46053</v>
      </c>
      <c r="BN1157" s="69" t="inlineStr">
        <is>
          <t>Robin Antar, Sharon Hazan, Cynthia Ashkenazie, Debbie Betesh</t>
        </is>
      </c>
      <c r="BO1157" s="69" t="inlineStr">
        <is>
          <t>Ladder Capital Finance</t>
        </is>
      </c>
      <c r="BP1157" s="69" t="inlineStr">
        <is>
          <t>TriMont Real Estate Advisors</t>
        </is>
      </c>
      <c r="BQ1157" s="69" t="inlineStr">
        <is>
          <t>K-Star Asset Management LLC</t>
        </is>
      </c>
      <c r="BR1157" s="69" t="n"/>
      <c r="BS1157" s="73" t="n">
        <v>46273</v>
      </c>
      <c r="BU1157" s="76">
        <f>IF($C1157="","",IFERROR(INDEX(dmName,MATCH($C1157,dmID,0)),"Unmapped"))</f>
        <v/>
      </c>
      <c r="BV1157" s="76">
        <f>IF($C1157="","",IFERROR(INDEX(dmEntity,MATCH($C1157,dmID,0)),"Unmapped"))</f>
        <v/>
      </c>
      <c r="BW1157" s="77">
        <f>IF($C1157="","",IFERROR(INDEX(dmVintage,MATCH($C1157,dmID,0)),""))</f>
        <v/>
      </c>
      <c r="BX1157" s="78">
        <f>IFERROR(INDEX(dmInclude,MATCH($C1157,dmID,0)),0)</f>
        <v/>
      </c>
      <c r="BY1157" s="78">
        <f>IF(N($I1157)&gt;0,1,0)</f>
        <v/>
      </c>
      <c r="BZ1157" s="76">
        <f>IF($AJ1157="","Other / Leased Fee",IFERROR(INDEX(mapPTGroup,MATCH(LEFT(TRIM($AJ1157),2),mapPTCode,0)),"Other / Leased Fee"))</f>
        <v/>
      </c>
      <c r="CA1157" s="76">
        <f>IF(TRIM($AF1157&amp;"")="","NR",LEFT(TRIM($AF1157),2))</f>
        <v/>
      </c>
      <c r="CB1157" s="76">
        <f>IFERROR(LOOKUP(2,1/(LEFT(TRIM($AI1157&amp;""),LEN(mapRegion))=mapRegion),mapRegion),"Not Reported")</f>
        <v/>
      </c>
      <c r="CC1157" s="76">
        <f>IF($BY1157=0,"",IF(TRIM($W1157&amp;"")="REO","REO",IF(TRIM($W1157&amp;"")="FC","Foreclosure",IF(TRIM($W1157&amp;"")="90+","90+ Days Delinquent",IF(TRIM($W1157&amp;"")="60","60 Days Delinquent",IF(TRIM($W1157&amp;"")="30","30 Days Delinquent",IF($X1157="Non-Performing Matured Balloon","Non-Performing Matured Balloon",IF(OR($X1157="Late Payment But Less Than 30 Days Delinquent",LEFT($X1157&amp;"",20)="Payment Not Received"),"Late / In Grace (&lt;30 Days)",IF($X1157="Performing Matured Balloon","Performing Matured Balloon","Current")))))))))</f>
        <v/>
      </c>
      <c r="CD1157" s="78">
        <f>IF(OR($CC1157="REO",$CC1157="Foreclosure",$CC1157="90+ Days Delinquent",$CC1157="60 Days Delinquent",$CC1157="30 Days Delinquent",$CC1157="Non-Performing Matured Balloon"),1,0)</f>
        <v/>
      </c>
      <c r="CE1157" s="76">
        <f>IF($AB1157="Currently special serv","Currently Specially Serviced",IF($AB1157="Returned to master serv","Previously Specially Serviced","Never Specially Serviced"))</f>
        <v/>
      </c>
      <c r="CF1157" s="78">
        <f>IF($CE1157="Currently Specially Serviced",1,0)</f>
        <v/>
      </c>
      <c r="CG1157" s="76">
        <f>IF($AA1157="Yes","Currently on Watchlist",IF($AA1157="Previously","Previously on Watchlist","Never on Watchlist"))</f>
        <v/>
      </c>
      <c r="CH1157" s="78">
        <f>IF($CG1157="Currently on Watchlist",1,0)</f>
        <v/>
      </c>
      <c r="CI1157" s="76">
        <f>IF($Z1157="Full Defeasance","Fully Defeased",IF($Z1157="Portion Of Loan Previously Defeased","Partially Defeased",IF($Z1157="Defeasance Not Allowable","Not Defeased (Not Permitted)","Not Defeased")))</f>
        <v/>
      </c>
      <c r="CJ1157" s="78">
        <f>IF($CI1157="Fully Defeased",1,0)</f>
        <v/>
      </c>
      <c r="CK1157" s="76">
        <f>IF($R1157="IO","Full IO",IF(LEFT($R1157&amp;"",7)="IO then","Partial IO","Amortizing"))</f>
        <v/>
      </c>
      <c r="CL1157" s="78">
        <f>IF($CK1157="Full IO",1,0)</f>
        <v/>
      </c>
      <c r="CM1157" s="78">
        <f>IF($CK1157="Partial IO",1,0)</f>
        <v/>
      </c>
      <c r="CN1157" s="76">
        <f>IF(LEFT($F1157&amp;"",10)="SPLIT_LOAN","Pari Passu Split","Standalone")</f>
        <v/>
      </c>
      <c r="CO1157" s="78">
        <f>IF($CN1157="Pari Passu Split",1,0)</f>
        <v/>
      </c>
      <c r="CP1157" s="77">
        <f>IF(ISNUMBER($T1157),YEAR($T1157),"")</f>
        <v/>
      </c>
      <c r="CQ1157" s="79">
        <f>IF(ISNUMBER($V1157),$V1157,IF(ISNUMBER($U1157),$U1157,""))</f>
        <v/>
      </c>
      <c r="CR1157" s="77">
        <f>IF(ISNUMBER($CQ1157),YEAR($CQ1157),"")</f>
        <v/>
      </c>
      <c r="CS1157" s="78">
        <f>IF(ISNUMBER($M1157),MAX(0,$M1157),IF(TRIM($M1157&amp;"")="matured",0,""))</f>
        <v/>
      </c>
      <c r="CT1157" s="78">
        <f>IF(AND(ISNUMBER($CS1157),N($CS1157)&lt;=mMatWindow),1,0)</f>
        <v/>
      </c>
      <c r="CU1157" s="80">
        <f>IF(ISNUMBER($J1157),$J1157/100,"")</f>
        <v/>
      </c>
      <c r="CV1157" s="81">
        <f>IF(ISNUMBER($AQ1157),$AQ1157,"")</f>
        <v/>
      </c>
      <c r="CW1157" s="81">
        <f>IF(ISNUMBER($AR1157),$AR1157,"")</f>
        <v/>
      </c>
      <c r="CX1157" s="82">
        <f>IF(ISNUMBER($AS1157),$AS1157/100,"")</f>
        <v/>
      </c>
      <c r="CY1157" s="82">
        <f>IF(ISNUMBER($AT1157),$AT1157/100,"")</f>
        <v/>
      </c>
      <c r="CZ1157" s="82">
        <f>IF(ISNUMBER($AU1157),$AU1157/100,"")</f>
        <v/>
      </c>
      <c r="DA1157" s="82">
        <f>IF(ISNUMBER($AV1157),$AV1157/100,"")</f>
        <v/>
      </c>
      <c r="DB1157" s="82">
        <f>IF(ISNUMBER($AW1157),$AW1157/100,"")</f>
        <v/>
      </c>
      <c r="DC1157" s="82">
        <f>IF(ISNUMBER($AX1157),$AX1157/100,"")</f>
        <v/>
      </c>
      <c r="DD1157" s="77">
        <f>IFERROR(VALUE(LEFT(TRIM($AO1157&amp;""),4)),"")</f>
        <v/>
      </c>
      <c r="DE1157" s="78">
        <f>IF(AND($BY1157=1,$BX1157=1,OR(fDeal="All Deals",$BU1157=fDeal),OR(fEntity="All Entities",$BV1157=fEntity),OR(fPType="All Property Types",$BZ1157=fPType),OR(fDefeased="Include",$CJ1157=0)),1,0)</f>
        <v/>
      </c>
      <c r="DF1157" s="83">
        <f>$DE1157*N($I1157)</f>
        <v/>
      </c>
      <c r="DG1157" s="78">
        <f>IF($DE1157=1,IF(COUNTIFS($F$8:$F1157,$F1157,$DE$8:$DE1157,1)=1,1,0),0)</f>
        <v/>
      </c>
      <c r="DH1157" s="83">
        <f>IF($DG1157=1,SUMIFS($DF$8:$DF$1600,$F$8:$F$1600,$F1157),0)</f>
        <v/>
      </c>
      <c r="DI1157" s="78">
        <f>IF($DG1157=1,COUNTIFS($F$8:$F$1600,$F1157,$DE$8:$DE$1600,1),0)</f>
        <v/>
      </c>
      <c r="DJ1157" s="84">
        <f>IF($DG1157=1,$DH1157+(100000-ROW())/mTieBreak,0)</f>
        <v/>
      </c>
    </row>
    <row r="1158">
      <c r="B1158" s="68" t="n">
        <v>37</v>
      </c>
      <c r="C1158" s="69" t="inlineStr">
        <is>
          <t>LCC17L26</t>
        </is>
      </c>
      <c r="D1158" s="69" t="inlineStr">
        <is>
          <t>37.000</t>
        </is>
      </c>
      <c r="E1158" s="69" t="inlineStr">
        <is>
          <t>Dollar General Carmi</t>
        </is>
      </c>
      <c r="F1158" s="69" t="inlineStr">
        <is>
          <t>LNLCC17L26-37.000</t>
        </is>
      </c>
      <c r="G1158" s="70" t="n"/>
      <c r="H1158" s="71" t="n">
        <v>1083000</v>
      </c>
      <c r="I1158" s="71" t="n">
        <v>1083000</v>
      </c>
      <c r="J1158" s="72" t="n">
        <v>6.02</v>
      </c>
      <c r="K1158" s="69" t="inlineStr">
        <is>
          <t>Fixed rate</t>
        </is>
      </c>
      <c r="L1158" s="68" t="n">
        <v>120</v>
      </c>
      <c r="M1158" s="68" t="n">
        <v>9</v>
      </c>
      <c r="N1158" s="68" t="n">
        <v>120</v>
      </c>
      <c r="O1158" s="68" t="n">
        <v>120</v>
      </c>
      <c r="P1158" s="68" t="n">
        <v>9</v>
      </c>
      <c r="Q1158" s="68" t="n">
        <v>111</v>
      </c>
      <c r="R1158" s="69" t="inlineStr">
        <is>
          <t>IO</t>
        </is>
      </c>
      <c r="S1158" s="69" t="inlineStr">
        <is>
          <t>Yes</t>
        </is>
      </c>
      <c r="T1158" s="73" t="n">
        <v>42887</v>
      </c>
      <c r="U1158" s="73" t="n">
        <v>48371</v>
      </c>
      <c r="V1158" s="73" t="n">
        <v>46544</v>
      </c>
      <c r="W1158" s="69" t="n"/>
      <c r="X1158" s="69" t="inlineStr">
        <is>
          <t>Current</t>
        </is>
      </c>
      <c r="Y1158" s="68" t="n"/>
      <c r="Z1158" s="69" t="inlineStr">
        <is>
          <t>No Defeasance Occurred</t>
        </is>
      </c>
      <c r="AA1158" s="69" t="inlineStr">
        <is>
          <t>Previously</t>
        </is>
      </c>
      <c r="AB1158" s="69" t="inlineStr">
        <is>
          <t>Never special serv</t>
        </is>
      </c>
      <c r="AC1158" s="73" t="n"/>
      <c r="AD1158" s="69" t="n"/>
      <c r="AE1158" s="69" t="n"/>
      <c r="AF1158" s="69" t="inlineStr">
        <is>
          <t>IL</t>
        </is>
      </c>
      <c r="AG1158" s="69" t="inlineStr">
        <is>
          <t>Carmi</t>
        </is>
      </c>
      <c r="AH1158" s="69" t="n"/>
      <c r="AI1158" s="69" t="inlineStr">
        <is>
          <t>Midwest / Central East</t>
        </is>
      </c>
      <c r="AJ1158" s="69" t="inlineStr">
        <is>
          <t>RT</t>
        </is>
      </c>
      <c r="AK1158" s="69" t="inlineStr">
        <is>
          <t>Single Tenant</t>
        </is>
      </c>
      <c r="AL1158" s="68" t="n">
        <v>1</v>
      </c>
      <c r="AM1158" s="68" t="n"/>
      <c r="AN1158" s="68" t="n">
        <v>9100</v>
      </c>
      <c r="AO1158" s="69" t="inlineStr">
        <is>
          <t>2016</t>
        </is>
      </c>
      <c r="AP1158" s="70" t="n">
        <v>2016</v>
      </c>
      <c r="AQ1158" s="74" t="n">
        <v>1.42</v>
      </c>
      <c r="AR1158" s="74" t="n">
        <v>1.48</v>
      </c>
      <c r="AS1158" s="74" t="n">
        <v>69.90000000000001</v>
      </c>
      <c r="AT1158" s="74" t="n">
        <v>69.87</v>
      </c>
      <c r="AU1158" s="74" t="n">
        <v>69.90000000000001</v>
      </c>
      <c r="AV1158" s="74" t="n">
        <v>8.697122807</v>
      </c>
      <c r="AW1158" s="74" t="n">
        <v>9.039252078000001</v>
      </c>
      <c r="AX1158" s="75" t="n">
        <v>100</v>
      </c>
      <c r="AY1158" s="71" t="n">
        <v>1550000</v>
      </c>
      <c r="AZ1158" s="71" t="n">
        <v>1550000</v>
      </c>
      <c r="BA1158" s="71" t="n">
        <v>94189.84</v>
      </c>
      <c r="BB1158" s="71" t="n">
        <v>97895.10000000001</v>
      </c>
      <c r="BC1158" s="69" t="inlineStr">
        <is>
          <t>Acquisition</t>
        </is>
      </c>
      <c r="BD1158" s="69" t="inlineStr">
        <is>
          <t>N</t>
        </is>
      </c>
      <c r="BE1158" s="71" t="n"/>
      <c r="BF1158" s="71" t="n"/>
      <c r="BG1158" s="71" t="n"/>
      <c r="BH1158" s="71" t="n">
        <v>0</v>
      </c>
      <c r="BI1158" s="71" t="n">
        <v>0</v>
      </c>
      <c r="BJ1158" s="69" t="inlineStr">
        <is>
          <t>N</t>
        </is>
      </c>
      <c r="BK1158" s="69" t="inlineStr">
        <is>
          <t>Dollar General</t>
        </is>
      </c>
      <c r="BL1158" s="75" t="n">
        <v>100</v>
      </c>
      <c r="BM1158" s="73" t="n">
        <v>48182</v>
      </c>
      <c r="BN1158" s="69" t="inlineStr">
        <is>
          <t>Ladder Capital Finance Holdings LLLP</t>
        </is>
      </c>
      <c r="BO1158" s="69" t="inlineStr">
        <is>
          <t>Ladder Capital Finance</t>
        </is>
      </c>
      <c r="BP1158" s="69" t="inlineStr">
        <is>
          <t>TriMont Real Estate Advisors</t>
        </is>
      </c>
      <c r="BQ1158" s="69" t="inlineStr">
        <is>
          <t>K-Star Asset Management LLC</t>
        </is>
      </c>
      <c r="BR1158" s="69" t="n"/>
      <c r="BS1158" s="73" t="n">
        <v>46273</v>
      </c>
      <c r="BU1158" s="76">
        <f>IF($C1158="","",IFERROR(INDEX(dmName,MATCH($C1158,dmID,0)),"Unmapped"))</f>
        <v/>
      </c>
      <c r="BV1158" s="76">
        <f>IF($C1158="","",IFERROR(INDEX(dmEntity,MATCH($C1158,dmID,0)),"Unmapped"))</f>
        <v/>
      </c>
      <c r="BW1158" s="77">
        <f>IF($C1158="","",IFERROR(INDEX(dmVintage,MATCH($C1158,dmID,0)),""))</f>
        <v/>
      </c>
      <c r="BX1158" s="78">
        <f>IFERROR(INDEX(dmInclude,MATCH($C1158,dmID,0)),0)</f>
        <v/>
      </c>
      <c r="BY1158" s="78">
        <f>IF(N($I1158)&gt;0,1,0)</f>
        <v/>
      </c>
      <c r="BZ1158" s="76">
        <f>IF($AJ1158="","Other / Leased Fee",IFERROR(INDEX(mapPTGroup,MATCH(LEFT(TRIM($AJ1158),2),mapPTCode,0)),"Other / Leased Fee"))</f>
        <v/>
      </c>
      <c r="CA1158" s="76">
        <f>IF(TRIM($AF1158&amp;"")="","NR",LEFT(TRIM($AF1158),2))</f>
        <v/>
      </c>
      <c r="CB1158" s="76">
        <f>IFERROR(LOOKUP(2,1/(LEFT(TRIM($AI1158&amp;""),LEN(mapRegion))=mapRegion),mapRegion),"Not Reported")</f>
        <v/>
      </c>
      <c r="CC1158" s="76">
        <f>IF($BY1158=0,"",IF(TRIM($W1158&amp;"")="REO","REO",IF(TRIM($W1158&amp;"")="FC","Foreclosure",IF(TRIM($W1158&amp;"")="90+","90+ Days Delinquent",IF(TRIM($W1158&amp;"")="60","60 Days Delinquent",IF(TRIM($W1158&amp;"")="30","30 Days Delinquent",IF($X1158="Non-Performing Matured Balloon","Non-Performing Matured Balloon",IF(OR($X1158="Late Payment But Less Than 30 Days Delinquent",LEFT($X1158&amp;"",20)="Payment Not Received"),"Late / In Grace (&lt;30 Days)",IF($X1158="Performing Matured Balloon","Performing Matured Balloon","Current")))))))))</f>
        <v/>
      </c>
      <c r="CD1158" s="78">
        <f>IF(OR($CC1158="REO",$CC1158="Foreclosure",$CC1158="90+ Days Delinquent",$CC1158="60 Days Delinquent",$CC1158="30 Days Delinquent",$CC1158="Non-Performing Matured Balloon"),1,0)</f>
        <v/>
      </c>
      <c r="CE1158" s="76">
        <f>IF($AB1158="Currently special serv","Currently Specially Serviced",IF($AB1158="Returned to master serv","Previously Specially Serviced","Never Specially Serviced"))</f>
        <v/>
      </c>
      <c r="CF1158" s="78">
        <f>IF($CE1158="Currently Specially Serviced",1,0)</f>
        <v/>
      </c>
      <c r="CG1158" s="76">
        <f>IF($AA1158="Yes","Currently on Watchlist",IF($AA1158="Previously","Previously on Watchlist","Never on Watchlist"))</f>
        <v/>
      </c>
      <c r="CH1158" s="78">
        <f>IF($CG1158="Currently on Watchlist",1,0)</f>
        <v/>
      </c>
      <c r="CI1158" s="76">
        <f>IF($Z1158="Full Defeasance","Fully Defeased",IF($Z1158="Portion Of Loan Previously Defeased","Partially Defeased",IF($Z1158="Defeasance Not Allowable","Not Defeased (Not Permitted)","Not Defeased")))</f>
        <v/>
      </c>
      <c r="CJ1158" s="78">
        <f>IF($CI1158="Fully Defeased",1,0)</f>
        <v/>
      </c>
      <c r="CK1158" s="76">
        <f>IF($R1158="IO","Full IO",IF(LEFT($R1158&amp;"",7)="IO then","Partial IO","Amortizing"))</f>
        <v/>
      </c>
      <c r="CL1158" s="78">
        <f>IF($CK1158="Full IO",1,0)</f>
        <v/>
      </c>
      <c r="CM1158" s="78">
        <f>IF($CK1158="Partial IO",1,0)</f>
        <v/>
      </c>
      <c r="CN1158" s="76">
        <f>IF(LEFT($F1158&amp;"",10)="SPLIT_LOAN","Pari Passu Split","Standalone")</f>
        <v/>
      </c>
      <c r="CO1158" s="78">
        <f>IF($CN1158="Pari Passu Split",1,0)</f>
        <v/>
      </c>
      <c r="CP1158" s="77">
        <f>IF(ISNUMBER($T1158),YEAR($T1158),"")</f>
        <v/>
      </c>
      <c r="CQ1158" s="79">
        <f>IF(ISNUMBER($V1158),$V1158,IF(ISNUMBER($U1158),$U1158,""))</f>
        <v/>
      </c>
      <c r="CR1158" s="77">
        <f>IF(ISNUMBER($CQ1158),YEAR($CQ1158),"")</f>
        <v/>
      </c>
      <c r="CS1158" s="78">
        <f>IF(ISNUMBER($M1158),MAX(0,$M1158),IF(TRIM($M1158&amp;"")="matured",0,""))</f>
        <v/>
      </c>
      <c r="CT1158" s="78">
        <f>IF(AND(ISNUMBER($CS1158),N($CS1158)&lt;=mMatWindow),1,0)</f>
        <v/>
      </c>
      <c r="CU1158" s="80">
        <f>IF(ISNUMBER($J1158),$J1158/100,"")</f>
        <v/>
      </c>
      <c r="CV1158" s="81">
        <f>IF(ISNUMBER($AQ1158),$AQ1158,"")</f>
        <v/>
      </c>
      <c r="CW1158" s="81">
        <f>IF(ISNUMBER($AR1158),$AR1158,"")</f>
        <v/>
      </c>
      <c r="CX1158" s="82">
        <f>IF(ISNUMBER($AS1158),$AS1158/100,"")</f>
        <v/>
      </c>
      <c r="CY1158" s="82">
        <f>IF(ISNUMBER($AT1158),$AT1158/100,"")</f>
        <v/>
      </c>
      <c r="CZ1158" s="82">
        <f>IF(ISNUMBER($AU1158),$AU1158/100,"")</f>
        <v/>
      </c>
      <c r="DA1158" s="82">
        <f>IF(ISNUMBER($AV1158),$AV1158/100,"")</f>
        <v/>
      </c>
      <c r="DB1158" s="82">
        <f>IF(ISNUMBER($AW1158),$AW1158/100,"")</f>
        <v/>
      </c>
      <c r="DC1158" s="82">
        <f>IF(ISNUMBER($AX1158),$AX1158/100,"")</f>
        <v/>
      </c>
      <c r="DD1158" s="77">
        <f>IFERROR(VALUE(LEFT(TRIM($AO1158&amp;""),4)),"")</f>
        <v/>
      </c>
      <c r="DE1158" s="78">
        <f>IF(AND($BY1158=1,$BX1158=1,OR(fDeal="All Deals",$BU1158=fDeal),OR(fEntity="All Entities",$BV1158=fEntity),OR(fPType="All Property Types",$BZ1158=fPType),OR(fDefeased="Include",$CJ1158=0)),1,0)</f>
        <v/>
      </c>
      <c r="DF1158" s="83">
        <f>$DE1158*N($I1158)</f>
        <v/>
      </c>
      <c r="DG1158" s="78">
        <f>IF($DE1158=1,IF(COUNTIFS($F$8:$F1158,$F1158,$DE$8:$DE1158,1)=1,1,0),0)</f>
        <v/>
      </c>
      <c r="DH1158" s="83">
        <f>IF($DG1158=1,SUMIFS($DF$8:$DF$1600,$F$8:$F$1600,$F1158),0)</f>
        <v/>
      </c>
      <c r="DI1158" s="78">
        <f>IF($DG1158=1,COUNTIFS($F$8:$F$1600,$F1158,$DE$8:$DE$1600,1),0)</f>
        <v/>
      </c>
      <c r="DJ1158" s="84">
        <f>IF($DG1158=1,$DH1158+(100000-ROW())/mTieBreak,0)</f>
        <v/>
      </c>
    </row>
    <row r="1159">
      <c r="B1159" s="68" t="n">
        <v>38</v>
      </c>
      <c r="C1159" s="69" t="inlineStr">
        <is>
          <t>LCC17L26</t>
        </is>
      </c>
      <c r="D1159" s="69" t="inlineStr">
        <is>
          <t>38.000</t>
        </is>
      </c>
      <c r="E1159" s="69" t="inlineStr">
        <is>
          <t>Dollar General Decatur-Pershing</t>
        </is>
      </c>
      <c r="F1159" s="69" t="inlineStr">
        <is>
          <t>LNLCC17L26-38.000</t>
        </is>
      </c>
      <c r="G1159" s="70" t="n"/>
      <c r="H1159" s="71" t="n">
        <v>1034000</v>
      </c>
      <c r="I1159" s="71" t="n">
        <v>1034000</v>
      </c>
      <c r="J1159" s="72" t="n">
        <v>5.94</v>
      </c>
      <c r="K1159" s="69" t="inlineStr">
        <is>
          <t>Fixed rate</t>
        </is>
      </c>
      <c r="L1159" s="68" t="n">
        <v>120</v>
      </c>
      <c r="M1159" s="68" t="n">
        <v>9</v>
      </c>
      <c r="N1159" s="68" t="n">
        <v>120</v>
      </c>
      <c r="O1159" s="68" t="n">
        <v>120</v>
      </c>
      <c r="P1159" s="68" t="n">
        <v>9</v>
      </c>
      <c r="Q1159" s="68" t="n">
        <v>111</v>
      </c>
      <c r="R1159" s="69" t="inlineStr">
        <is>
          <t>IO</t>
        </is>
      </c>
      <c r="S1159" s="69" t="inlineStr">
        <is>
          <t>Yes</t>
        </is>
      </c>
      <c r="T1159" s="73" t="n">
        <v>42887</v>
      </c>
      <c r="U1159" s="73" t="n">
        <v>48371</v>
      </c>
      <c r="V1159" s="73" t="n">
        <v>46544</v>
      </c>
      <c r="W1159" s="69" t="n"/>
      <c r="X1159" s="69" t="inlineStr">
        <is>
          <t>Current</t>
        </is>
      </c>
      <c r="Y1159" s="68" t="n"/>
      <c r="Z1159" s="69" t="inlineStr">
        <is>
          <t>No Defeasance Occurred</t>
        </is>
      </c>
      <c r="AA1159" s="69" t="inlineStr">
        <is>
          <t>Previously</t>
        </is>
      </c>
      <c r="AB1159" s="69" t="inlineStr">
        <is>
          <t>Never special serv</t>
        </is>
      </c>
      <c r="AC1159" s="73" t="n"/>
      <c r="AD1159" s="69" t="n"/>
      <c r="AE1159" s="69" t="n"/>
      <c r="AF1159" s="69" t="inlineStr">
        <is>
          <t>IL</t>
        </is>
      </c>
      <c r="AG1159" s="69" t="inlineStr">
        <is>
          <t>Decatur</t>
        </is>
      </c>
      <c r="AH1159" s="69" t="inlineStr">
        <is>
          <t>Decatur, IL</t>
        </is>
      </c>
      <c r="AI1159" s="69" t="inlineStr">
        <is>
          <t>Midwest / Central East</t>
        </is>
      </c>
      <c r="AJ1159" s="69" t="inlineStr">
        <is>
          <t>RT</t>
        </is>
      </c>
      <c r="AK1159" s="69" t="inlineStr">
        <is>
          <t>Single Tenant</t>
        </is>
      </c>
      <c r="AL1159" s="68" t="n">
        <v>1</v>
      </c>
      <c r="AM1159" s="68" t="n"/>
      <c r="AN1159" s="68" t="n">
        <v>9002</v>
      </c>
      <c r="AO1159" s="69" t="inlineStr">
        <is>
          <t>2016</t>
        </is>
      </c>
      <c r="AP1159" s="70" t="n">
        <v>2016</v>
      </c>
      <c r="AQ1159" s="74" t="n">
        <v>1.47</v>
      </c>
      <c r="AR1159" s="74" t="n">
        <v>1.53</v>
      </c>
      <c r="AS1159" s="74" t="n">
        <v>69.90000000000001</v>
      </c>
      <c r="AT1159" s="74" t="n">
        <v>69.86</v>
      </c>
      <c r="AU1159" s="74" t="n">
        <v>69.90000000000001</v>
      </c>
      <c r="AV1159" s="74" t="n">
        <v>8.872370406</v>
      </c>
      <c r="AW1159" s="74" t="n">
        <v>9.219526112</v>
      </c>
      <c r="AX1159" s="75" t="n">
        <v>100</v>
      </c>
      <c r="AY1159" s="71" t="n">
        <v>1480000</v>
      </c>
      <c r="AZ1159" s="71" t="n">
        <v>1480000</v>
      </c>
      <c r="BA1159" s="71" t="n">
        <v>91740.31</v>
      </c>
      <c r="BB1159" s="71" t="n">
        <v>95329.89999999999</v>
      </c>
      <c r="BC1159" s="69" t="inlineStr">
        <is>
          <t>Acquisition</t>
        </is>
      </c>
      <c r="BD1159" s="69" t="inlineStr">
        <is>
          <t>N</t>
        </is>
      </c>
      <c r="BE1159" s="71" t="n"/>
      <c r="BF1159" s="71" t="n"/>
      <c r="BG1159" s="71" t="n"/>
      <c r="BH1159" s="71" t="n">
        <v>0</v>
      </c>
      <c r="BI1159" s="71" t="n">
        <v>0</v>
      </c>
      <c r="BJ1159" s="69" t="inlineStr">
        <is>
          <t>N</t>
        </is>
      </c>
      <c r="BK1159" s="69" t="inlineStr">
        <is>
          <t>Dollar General</t>
        </is>
      </c>
      <c r="BL1159" s="75" t="n">
        <v>100</v>
      </c>
      <c r="BM1159" s="73" t="n">
        <v>47999</v>
      </c>
      <c r="BN1159" s="69" t="inlineStr">
        <is>
          <t>Ladder Capital Finance Holdings LLLP</t>
        </is>
      </c>
      <c r="BO1159" s="69" t="inlineStr">
        <is>
          <t>Ladder Capital Finance</t>
        </is>
      </c>
      <c r="BP1159" s="69" t="inlineStr">
        <is>
          <t>TriMont Real Estate Advisors</t>
        </is>
      </c>
      <c r="BQ1159" s="69" t="inlineStr">
        <is>
          <t>K-Star Asset Management LLC</t>
        </is>
      </c>
      <c r="BR1159" s="69" t="n"/>
      <c r="BS1159" s="73" t="n">
        <v>46273</v>
      </c>
      <c r="BU1159" s="76">
        <f>IF($C1159="","",IFERROR(INDEX(dmName,MATCH($C1159,dmID,0)),"Unmapped"))</f>
        <v/>
      </c>
      <c r="BV1159" s="76">
        <f>IF($C1159="","",IFERROR(INDEX(dmEntity,MATCH($C1159,dmID,0)),"Unmapped"))</f>
        <v/>
      </c>
      <c r="BW1159" s="77">
        <f>IF($C1159="","",IFERROR(INDEX(dmVintage,MATCH($C1159,dmID,0)),""))</f>
        <v/>
      </c>
      <c r="BX1159" s="78">
        <f>IFERROR(INDEX(dmInclude,MATCH($C1159,dmID,0)),0)</f>
        <v/>
      </c>
      <c r="BY1159" s="78">
        <f>IF(N($I1159)&gt;0,1,0)</f>
        <v/>
      </c>
      <c r="BZ1159" s="76">
        <f>IF($AJ1159="","Other / Leased Fee",IFERROR(INDEX(mapPTGroup,MATCH(LEFT(TRIM($AJ1159),2),mapPTCode,0)),"Other / Leased Fee"))</f>
        <v/>
      </c>
      <c r="CA1159" s="76">
        <f>IF(TRIM($AF1159&amp;"")="","NR",LEFT(TRIM($AF1159),2))</f>
        <v/>
      </c>
      <c r="CB1159" s="76">
        <f>IFERROR(LOOKUP(2,1/(LEFT(TRIM($AI1159&amp;""),LEN(mapRegion))=mapRegion),mapRegion),"Not Reported")</f>
        <v/>
      </c>
      <c r="CC1159" s="76">
        <f>IF($BY1159=0,"",IF(TRIM($W1159&amp;"")="REO","REO",IF(TRIM($W1159&amp;"")="FC","Foreclosure",IF(TRIM($W1159&amp;"")="90+","90+ Days Delinquent",IF(TRIM($W1159&amp;"")="60","60 Days Delinquent",IF(TRIM($W1159&amp;"")="30","30 Days Delinquent",IF($X1159="Non-Performing Matured Balloon","Non-Performing Matured Balloon",IF(OR($X1159="Late Payment But Less Than 30 Days Delinquent",LEFT($X1159&amp;"",20)="Payment Not Received"),"Late / In Grace (&lt;30 Days)",IF($X1159="Performing Matured Balloon","Performing Matured Balloon","Current")))))))))</f>
        <v/>
      </c>
      <c r="CD1159" s="78">
        <f>IF(OR($CC1159="REO",$CC1159="Foreclosure",$CC1159="90+ Days Delinquent",$CC1159="60 Days Delinquent",$CC1159="30 Days Delinquent",$CC1159="Non-Performing Matured Balloon"),1,0)</f>
        <v/>
      </c>
      <c r="CE1159" s="76">
        <f>IF($AB1159="Currently special serv","Currently Specially Serviced",IF($AB1159="Returned to master serv","Previously Specially Serviced","Never Specially Serviced"))</f>
        <v/>
      </c>
      <c r="CF1159" s="78">
        <f>IF($CE1159="Currently Specially Serviced",1,0)</f>
        <v/>
      </c>
      <c r="CG1159" s="76">
        <f>IF($AA1159="Yes","Currently on Watchlist",IF($AA1159="Previously","Previously on Watchlist","Never on Watchlist"))</f>
        <v/>
      </c>
      <c r="CH1159" s="78">
        <f>IF($CG1159="Currently on Watchlist",1,0)</f>
        <v/>
      </c>
      <c r="CI1159" s="76">
        <f>IF($Z1159="Full Defeasance","Fully Defeased",IF($Z1159="Portion Of Loan Previously Defeased","Partially Defeased",IF($Z1159="Defeasance Not Allowable","Not Defeased (Not Permitted)","Not Defeased")))</f>
        <v/>
      </c>
      <c r="CJ1159" s="78">
        <f>IF($CI1159="Fully Defeased",1,0)</f>
        <v/>
      </c>
      <c r="CK1159" s="76">
        <f>IF($R1159="IO","Full IO",IF(LEFT($R1159&amp;"",7)="IO then","Partial IO","Amortizing"))</f>
        <v/>
      </c>
      <c r="CL1159" s="78">
        <f>IF($CK1159="Full IO",1,0)</f>
        <v/>
      </c>
      <c r="CM1159" s="78">
        <f>IF($CK1159="Partial IO",1,0)</f>
        <v/>
      </c>
      <c r="CN1159" s="76">
        <f>IF(LEFT($F1159&amp;"",10)="SPLIT_LOAN","Pari Passu Split","Standalone")</f>
        <v/>
      </c>
      <c r="CO1159" s="78">
        <f>IF($CN1159="Pari Passu Split",1,0)</f>
        <v/>
      </c>
      <c r="CP1159" s="77">
        <f>IF(ISNUMBER($T1159),YEAR($T1159),"")</f>
        <v/>
      </c>
      <c r="CQ1159" s="79">
        <f>IF(ISNUMBER($V1159),$V1159,IF(ISNUMBER($U1159),$U1159,""))</f>
        <v/>
      </c>
      <c r="CR1159" s="77">
        <f>IF(ISNUMBER($CQ1159),YEAR($CQ1159),"")</f>
        <v/>
      </c>
      <c r="CS1159" s="78">
        <f>IF(ISNUMBER($M1159),MAX(0,$M1159),IF(TRIM($M1159&amp;"")="matured",0,""))</f>
        <v/>
      </c>
      <c r="CT1159" s="78">
        <f>IF(AND(ISNUMBER($CS1159),N($CS1159)&lt;=mMatWindow),1,0)</f>
        <v/>
      </c>
      <c r="CU1159" s="80">
        <f>IF(ISNUMBER($J1159),$J1159/100,"")</f>
        <v/>
      </c>
      <c r="CV1159" s="81">
        <f>IF(ISNUMBER($AQ1159),$AQ1159,"")</f>
        <v/>
      </c>
      <c r="CW1159" s="81">
        <f>IF(ISNUMBER($AR1159),$AR1159,"")</f>
        <v/>
      </c>
      <c r="CX1159" s="82">
        <f>IF(ISNUMBER($AS1159),$AS1159/100,"")</f>
        <v/>
      </c>
      <c r="CY1159" s="82">
        <f>IF(ISNUMBER($AT1159),$AT1159/100,"")</f>
        <v/>
      </c>
      <c r="CZ1159" s="82">
        <f>IF(ISNUMBER($AU1159),$AU1159/100,"")</f>
        <v/>
      </c>
      <c r="DA1159" s="82">
        <f>IF(ISNUMBER($AV1159),$AV1159/100,"")</f>
        <v/>
      </c>
      <c r="DB1159" s="82">
        <f>IF(ISNUMBER($AW1159),$AW1159/100,"")</f>
        <v/>
      </c>
      <c r="DC1159" s="82">
        <f>IF(ISNUMBER($AX1159),$AX1159/100,"")</f>
        <v/>
      </c>
      <c r="DD1159" s="77">
        <f>IFERROR(VALUE(LEFT(TRIM($AO1159&amp;""),4)),"")</f>
        <v/>
      </c>
      <c r="DE1159" s="78">
        <f>IF(AND($BY1159=1,$BX1159=1,OR(fDeal="All Deals",$BU1159=fDeal),OR(fEntity="All Entities",$BV1159=fEntity),OR(fPType="All Property Types",$BZ1159=fPType),OR(fDefeased="Include",$CJ1159=0)),1,0)</f>
        <v/>
      </c>
      <c r="DF1159" s="83">
        <f>$DE1159*N($I1159)</f>
        <v/>
      </c>
      <c r="DG1159" s="78">
        <f>IF($DE1159=1,IF(COUNTIFS($F$8:$F1159,$F1159,$DE$8:$DE1159,1)=1,1,0),0)</f>
        <v/>
      </c>
      <c r="DH1159" s="83">
        <f>IF($DG1159=1,SUMIFS($DF$8:$DF$1600,$F$8:$F$1600,$F1159),0)</f>
        <v/>
      </c>
      <c r="DI1159" s="78">
        <f>IF($DG1159=1,COUNTIFS($F$8:$F$1600,$F1159,$DE$8:$DE$1600,1),0)</f>
        <v/>
      </c>
      <c r="DJ1159" s="84">
        <f>IF($DG1159=1,$DH1159+(100000-ROW())/mTieBreak,0)</f>
        <v/>
      </c>
    </row>
    <row r="1160">
      <c r="B1160" s="68" t="n">
        <v>39</v>
      </c>
      <c r="C1160" s="69" t="inlineStr">
        <is>
          <t>LCC17L26</t>
        </is>
      </c>
      <c r="D1160" s="69" t="inlineStr">
        <is>
          <t>39.000</t>
        </is>
      </c>
      <c r="E1160" s="69" t="inlineStr">
        <is>
          <t>Dollar General Champaign</t>
        </is>
      </c>
      <c r="F1160" s="69" t="inlineStr">
        <is>
          <t>LNLCC17L26-39.000</t>
        </is>
      </c>
      <c r="G1160" s="70" t="n"/>
      <c r="H1160" s="71" t="n">
        <v>1000000</v>
      </c>
      <c r="I1160" s="71" t="n">
        <v>1000000</v>
      </c>
      <c r="J1160" s="72" t="n">
        <v>5.92</v>
      </c>
      <c r="K1160" s="69" t="inlineStr">
        <is>
          <t>Fixed rate</t>
        </is>
      </c>
      <c r="L1160" s="68" t="n">
        <v>120</v>
      </c>
      <c r="M1160" s="68" t="n">
        <v>9</v>
      </c>
      <c r="N1160" s="68" t="n">
        <v>120</v>
      </c>
      <c r="O1160" s="68" t="n">
        <v>120</v>
      </c>
      <c r="P1160" s="68" t="n">
        <v>9</v>
      </c>
      <c r="Q1160" s="68" t="n">
        <v>111</v>
      </c>
      <c r="R1160" s="69" t="inlineStr">
        <is>
          <t>IO</t>
        </is>
      </c>
      <c r="S1160" s="69" t="inlineStr">
        <is>
          <t>Yes</t>
        </is>
      </c>
      <c r="T1160" s="73" t="n">
        <v>42887</v>
      </c>
      <c r="U1160" s="73" t="n">
        <v>48371</v>
      </c>
      <c r="V1160" s="73" t="n">
        <v>46544</v>
      </c>
      <c r="W1160" s="69" t="n"/>
      <c r="X1160" s="69" t="inlineStr">
        <is>
          <t>Current</t>
        </is>
      </c>
      <c r="Y1160" s="68" t="n"/>
      <c r="Z1160" s="69" t="inlineStr">
        <is>
          <t>No Defeasance Occurred</t>
        </is>
      </c>
      <c r="AA1160" s="69" t="inlineStr">
        <is>
          <t>Previously</t>
        </is>
      </c>
      <c r="AB1160" s="69" t="inlineStr">
        <is>
          <t>Never special serv</t>
        </is>
      </c>
      <c r="AC1160" s="73" t="n"/>
      <c r="AD1160" s="69" t="n"/>
      <c r="AE1160" s="69" t="n"/>
      <c r="AF1160" s="69" t="inlineStr">
        <is>
          <t>IL</t>
        </is>
      </c>
      <c r="AG1160" s="69" t="inlineStr">
        <is>
          <t>Champaign</t>
        </is>
      </c>
      <c r="AH1160" s="69" t="inlineStr">
        <is>
          <t>Champaign-Urbana, IL</t>
        </is>
      </c>
      <c r="AI1160" s="69" t="inlineStr">
        <is>
          <t>Midwest / Central East</t>
        </is>
      </c>
      <c r="AJ1160" s="69" t="inlineStr">
        <is>
          <t>RT</t>
        </is>
      </c>
      <c r="AK1160" s="69" t="inlineStr">
        <is>
          <t>Single Tenant</t>
        </is>
      </c>
      <c r="AL1160" s="68" t="n">
        <v>1</v>
      </c>
      <c r="AM1160" s="68" t="n"/>
      <c r="AN1160" s="68" t="n">
        <v>9002</v>
      </c>
      <c r="AO1160" s="69" t="inlineStr">
        <is>
          <t>2016</t>
        </is>
      </c>
      <c r="AP1160" s="70" t="n">
        <v>2016</v>
      </c>
      <c r="AQ1160" s="74" t="n">
        <v>1.48</v>
      </c>
      <c r="AR1160" s="74" t="n">
        <v>1.54</v>
      </c>
      <c r="AS1160" s="74" t="n">
        <v>69.90000000000001</v>
      </c>
      <c r="AT1160" s="74" t="n">
        <v>69.93000000000001</v>
      </c>
      <c r="AU1160" s="74" t="n">
        <v>69.90000000000001</v>
      </c>
      <c r="AV1160" s="74" t="n">
        <v>8.898367</v>
      </c>
      <c r="AW1160" s="74" t="n">
        <v>9.242863</v>
      </c>
      <c r="AX1160" s="75" t="n">
        <v>100</v>
      </c>
      <c r="AY1160" s="71" t="n">
        <v>1430000</v>
      </c>
      <c r="AZ1160" s="71" t="n">
        <v>1430000</v>
      </c>
      <c r="BA1160" s="71" t="n">
        <v>88983.67</v>
      </c>
      <c r="BB1160" s="71" t="n">
        <v>92428.63</v>
      </c>
      <c r="BC1160" s="69" t="inlineStr">
        <is>
          <t>Acquisition</t>
        </is>
      </c>
      <c r="BD1160" s="69" t="inlineStr">
        <is>
          <t>N</t>
        </is>
      </c>
      <c r="BE1160" s="71" t="n"/>
      <c r="BF1160" s="71" t="n"/>
      <c r="BG1160" s="71" t="n"/>
      <c r="BH1160" s="71" t="n">
        <v>0</v>
      </c>
      <c r="BI1160" s="71" t="n">
        <v>0</v>
      </c>
      <c r="BJ1160" s="69" t="inlineStr">
        <is>
          <t>N</t>
        </is>
      </c>
      <c r="BK1160" s="69" t="inlineStr">
        <is>
          <t>Dollar General</t>
        </is>
      </c>
      <c r="BL1160" s="75" t="n">
        <v>100</v>
      </c>
      <c r="BM1160" s="73" t="n">
        <v>47968</v>
      </c>
      <c r="BN1160" s="69" t="inlineStr">
        <is>
          <t>Ladder Capital Finance Holdings LLLP</t>
        </is>
      </c>
      <c r="BO1160" s="69" t="inlineStr">
        <is>
          <t>Ladder Capital Finance</t>
        </is>
      </c>
      <c r="BP1160" s="69" t="inlineStr">
        <is>
          <t>TriMont Real Estate Advisors</t>
        </is>
      </c>
      <c r="BQ1160" s="69" t="inlineStr">
        <is>
          <t>K-Star Asset Management LLC</t>
        </is>
      </c>
      <c r="BR1160" s="69" t="n"/>
      <c r="BS1160" s="73" t="n">
        <v>46273</v>
      </c>
      <c r="BU1160" s="76">
        <f>IF($C1160="","",IFERROR(INDEX(dmName,MATCH($C1160,dmID,0)),"Unmapped"))</f>
        <v/>
      </c>
      <c r="BV1160" s="76">
        <f>IF($C1160="","",IFERROR(INDEX(dmEntity,MATCH($C1160,dmID,0)),"Unmapped"))</f>
        <v/>
      </c>
      <c r="BW1160" s="77">
        <f>IF($C1160="","",IFERROR(INDEX(dmVintage,MATCH($C1160,dmID,0)),""))</f>
        <v/>
      </c>
      <c r="BX1160" s="78">
        <f>IFERROR(INDEX(dmInclude,MATCH($C1160,dmID,0)),0)</f>
        <v/>
      </c>
      <c r="BY1160" s="78">
        <f>IF(N($I1160)&gt;0,1,0)</f>
        <v/>
      </c>
      <c r="BZ1160" s="76">
        <f>IF($AJ1160="","Other / Leased Fee",IFERROR(INDEX(mapPTGroup,MATCH(LEFT(TRIM($AJ1160),2),mapPTCode,0)),"Other / Leased Fee"))</f>
        <v/>
      </c>
      <c r="CA1160" s="76">
        <f>IF(TRIM($AF1160&amp;"")="","NR",LEFT(TRIM($AF1160),2))</f>
        <v/>
      </c>
      <c r="CB1160" s="76">
        <f>IFERROR(LOOKUP(2,1/(LEFT(TRIM($AI1160&amp;""),LEN(mapRegion))=mapRegion),mapRegion),"Not Reported")</f>
        <v/>
      </c>
      <c r="CC1160" s="76">
        <f>IF($BY1160=0,"",IF(TRIM($W1160&amp;"")="REO","REO",IF(TRIM($W1160&amp;"")="FC","Foreclosure",IF(TRIM($W1160&amp;"")="90+","90+ Days Delinquent",IF(TRIM($W1160&amp;"")="60","60 Days Delinquent",IF(TRIM($W1160&amp;"")="30","30 Days Delinquent",IF($X1160="Non-Performing Matured Balloon","Non-Performing Matured Balloon",IF(OR($X1160="Late Payment But Less Than 30 Days Delinquent",LEFT($X1160&amp;"",20)="Payment Not Received"),"Late / In Grace (&lt;30 Days)",IF($X1160="Performing Matured Balloon","Performing Matured Balloon","Current")))))))))</f>
        <v/>
      </c>
      <c r="CD1160" s="78">
        <f>IF(OR($CC1160="REO",$CC1160="Foreclosure",$CC1160="90+ Days Delinquent",$CC1160="60 Days Delinquent",$CC1160="30 Days Delinquent",$CC1160="Non-Performing Matured Balloon"),1,0)</f>
        <v/>
      </c>
      <c r="CE1160" s="76">
        <f>IF($AB1160="Currently special serv","Currently Specially Serviced",IF($AB1160="Returned to master serv","Previously Specially Serviced","Never Specially Serviced"))</f>
        <v/>
      </c>
      <c r="CF1160" s="78">
        <f>IF($CE1160="Currently Specially Serviced",1,0)</f>
        <v/>
      </c>
      <c r="CG1160" s="76">
        <f>IF($AA1160="Yes","Currently on Watchlist",IF($AA1160="Previously","Previously on Watchlist","Never on Watchlist"))</f>
        <v/>
      </c>
      <c r="CH1160" s="78">
        <f>IF($CG1160="Currently on Watchlist",1,0)</f>
        <v/>
      </c>
      <c r="CI1160" s="76">
        <f>IF($Z1160="Full Defeasance","Fully Defeased",IF($Z1160="Portion Of Loan Previously Defeased","Partially Defeased",IF($Z1160="Defeasance Not Allowable","Not Defeased (Not Permitted)","Not Defeased")))</f>
        <v/>
      </c>
      <c r="CJ1160" s="78">
        <f>IF($CI1160="Fully Defeased",1,0)</f>
        <v/>
      </c>
      <c r="CK1160" s="76">
        <f>IF($R1160="IO","Full IO",IF(LEFT($R1160&amp;"",7)="IO then","Partial IO","Amortizing"))</f>
        <v/>
      </c>
      <c r="CL1160" s="78">
        <f>IF($CK1160="Full IO",1,0)</f>
        <v/>
      </c>
      <c r="CM1160" s="78">
        <f>IF($CK1160="Partial IO",1,0)</f>
        <v/>
      </c>
      <c r="CN1160" s="76">
        <f>IF(LEFT($F1160&amp;"",10)="SPLIT_LOAN","Pari Passu Split","Standalone")</f>
        <v/>
      </c>
      <c r="CO1160" s="78">
        <f>IF($CN1160="Pari Passu Split",1,0)</f>
        <v/>
      </c>
      <c r="CP1160" s="77">
        <f>IF(ISNUMBER($T1160),YEAR($T1160),"")</f>
        <v/>
      </c>
      <c r="CQ1160" s="79">
        <f>IF(ISNUMBER($V1160),$V1160,IF(ISNUMBER($U1160),$U1160,""))</f>
        <v/>
      </c>
      <c r="CR1160" s="77">
        <f>IF(ISNUMBER($CQ1160),YEAR($CQ1160),"")</f>
        <v/>
      </c>
      <c r="CS1160" s="78">
        <f>IF(ISNUMBER($M1160),MAX(0,$M1160),IF(TRIM($M1160&amp;"")="matured",0,""))</f>
        <v/>
      </c>
      <c r="CT1160" s="78">
        <f>IF(AND(ISNUMBER($CS1160),N($CS1160)&lt;=mMatWindow),1,0)</f>
        <v/>
      </c>
      <c r="CU1160" s="80">
        <f>IF(ISNUMBER($J1160),$J1160/100,"")</f>
        <v/>
      </c>
      <c r="CV1160" s="81">
        <f>IF(ISNUMBER($AQ1160),$AQ1160,"")</f>
        <v/>
      </c>
      <c r="CW1160" s="81">
        <f>IF(ISNUMBER($AR1160),$AR1160,"")</f>
        <v/>
      </c>
      <c r="CX1160" s="82">
        <f>IF(ISNUMBER($AS1160),$AS1160/100,"")</f>
        <v/>
      </c>
      <c r="CY1160" s="82">
        <f>IF(ISNUMBER($AT1160),$AT1160/100,"")</f>
        <v/>
      </c>
      <c r="CZ1160" s="82">
        <f>IF(ISNUMBER($AU1160),$AU1160/100,"")</f>
        <v/>
      </c>
      <c r="DA1160" s="82">
        <f>IF(ISNUMBER($AV1160),$AV1160/100,"")</f>
        <v/>
      </c>
      <c r="DB1160" s="82">
        <f>IF(ISNUMBER($AW1160),$AW1160/100,"")</f>
        <v/>
      </c>
      <c r="DC1160" s="82">
        <f>IF(ISNUMBER($AX1160),$AX1160/100,"")</f>
        <v/>
      </c>
      <c r="DD1160" s="77">
        <f>IFERROR(VALUE(LEFT(TRIM($AO1160&amp;""),4)),"")</f>
        <v/>
      </c>
      <c r="DE1160" s="78">
        <f>IF(AND($BY1160=1,$BX1160=1,OR(fDeal="All Deals",$BU1160=fDeal),OR(fEntity="All Entities",$BV1160=fEntity),OR(fPType="All Property Types",$BZ1160=fPType),OR(fDefeased="Include",$CJ1160=0)),1,0)</f>
        <v/>
      </c>
      <c r="DF1160" s="83">
        <f>$DE1160*N($I1160)</f>
        <v/>
      </c>
      <c r="DG1160" s="78">
        <f>IF($DE1160=1,IF(COUNTIFS($F$8:$F1160,$F1160,$DE$8:$DE1160,1)=1,1,0),0)</f>
        <v/>
      </c>
      <c r="DH1160" s="83">
        <f>IF($DG1160=1,SUMIFS($DF$8:$DF$1600,$F$8:$F$1600,$F1160),0)</f>
        <v/>
      </c>
      <c r="DI1160" s="78">
        <f>IF($DG1160=1,COUNTIFS($F$8:$F$1600,$F1160,$DE$8:$DE$1600,1),0)</f>
        <v/>
      </c>
      <c r="DJ1160" s="84">
        <f>IF($DG1160=1,$DH1160+(100000-ROW())/mTieBreak,0)</f>
        <v/>
      </c>
    </row>
    <row r="1161">
      <c r="B1161" s="68" t="n">
        <v>40</v>
      </c>
      <c r="C1161" s="69" t="inlineStr">
        <is>
          <t>LCC17L26</t>
        </is>
      </c>
      <c r="D1161" s="69" t="inlineStr">
        <is>
          <t>40.000</t>
        </is>
      </c>
      <c r="E1161" s="69" t="inlineStr">
        <is>
          <t>Dollar General Springfield</t>
        </is>
      </c>
      <c r="F1161" s="69" t="inlineStr">
        <is>
          <t>LNLCC17L26-40.000</t>
        </is>
      </c>
      <c r="G1161" s="70" t="n"/>
      <c r="H1161" s="71" t="n">
        <v>986000</v>
      </c>
      <c r="I1161" s="71" t="n">
        <v>986000</v>
      </c>
      <c r="J1161" s="72" t="n">
        <v>5.91</v>
      </c>
      <c r="K1161" s="69" t="inlineStr">
        <is>
          <t>Fixed rate</t>
        </is>
      </c>
      <c r="L1161" s="68" t="n">
        <v>120</v>
      </c>
      <c r="M1161" s="68" t="n">
        <v>9</v>
      </c>
      <c r="N1161" s="68" t="n">
        <v>120</v>
      </c>
      <c r="O1161" s="68" t="n">
        <v>120</v>
      </c>
      <c r="P1161" s="68" t="n">
        <v>9</v>
      </c>
      <c r="Q1161" s="68" t="n">
        <v>111</v>
      </c>
      <c r="R1161" s="69" t="inlineStr">
        <is>
          <t>IO</t>
        </is>
      </c>
      <c r="S1161" s="69" t="inlineStr">
        <is>
          <t>Yes</t>
        </is>
      </c>
      <c r="T1161" s="73" t="n">
        <v>42887</v>
      </c>
      <c r="U1161" s="73" t="n">
        <v>48371</v>
      </c>
      <c r="V1161" s="73" t="n">
        <v>46544</v>
      </c>
      <c r="W1161" s="69" t="n"/>
      <c r="X1161" s="69" t="inlineStr">
        <is>
          <t>Current</t>
        </is>
      </c>
      <c r="Y1161" s="68" t="n"/>
      <c r="Z1161" s="69" t="inlineStr">
        <is>
          <t>No Defeasance Occurred</t>
        </is>
      </c>
      <c r="AA1161" s="69" t="n"/>
      <c r="AB1161" s="69" t="inlineStr">
        <is>
          <t>Never special serv</t>
        </is>
      </c>
      <c r="AC1161" s="73" t="n"/>
      <c r="AD1161" s="69" t="n"/>
      <c r="AE1161" s="69" t="n"/>
      <c r="AF1161" s="69" t="inlineStr">
        <is>
          <t>IL</t>
        </is>
      </c>
      <c r="AG1161" s="69" t="inlineStr">
        <is>
          <t>Springfield</t>
        </is>
      </c>
      <c r="AH1161" s="69" t="inlineStr">
        <is>
          <t>Springfield, IL</t>
        </is>
      </c>
      <c r="AI1161" s="69" t="inlineStr">
        <is>
          <t>Midwest / Central East</t>
        </is>
      </c>
      <c r="AJ1161" s="69" t="inlineStr">
        <is>
          <t>RT</t>
        </is>
      </c>
      <c r="AK1161" s="69" t="inlineStr">
        <is>
          <t>Single Tenant</t>
        </is>
      </c>
      <c r="AL1161" s="68" t="n">
        <v>1</v>
      </c>
      <c r="AM1161" s="68" t="n"/>
      <c r="AN1161" s="68" t="n">
        <v>9026</v>
      </c>
      <c r="AO1161" s="69" t="inlineStr">
        <is>
          <t>2016</t>
        </is>
      </c>
      <c r="AP1161" s="70" t="n">
        <v>2016</v>
      </c>
      <c r="AQ1161" s="74" t="n">
        <v>1.49</v>
      </c>
      <c r="AR1161" s="74" t="n">
        <v>1.54</v>
      </c>
      <c r="AS1161" s="74" t="n">
        <v>69.90000000000001</v>
      </c>
      <c r="AT1161" s="74" t="n">
        <v>69.93000000000001</v>
      </c>
      <c r="AU1161" s="74" t="n">
        <v>69.90000000000001</v>
      </c>
      <c r="AV1161" s="74" t="n">
        <v>8.914495943</v>
      </c>
      <c r="AW1161" s="74" t="n">
        <v>9.257707911000001</v>
      </c>
      <c r="AX1161" s="75" t="n">
        <v>100</v>
      </c>
      <c r="AY1161" s="71" t="n">
        <v>1410000</v>
      </c>
      <c r="AZ1161" s="71" t="n">
        <v>1410000</v>
      </c>
      <c r="BA1161" s="71" t="n">
        <v>87896.92999999999</v>
      </c>
      <c r="BB1161" s="71" t="n">
        <v>91281</v>
      </c>
      <c r="BC1161" s="69" t="inlineStr">
        <is>
          <t>Acquisition</t>
        </is>
      </c>
      <c r="BD1161" s="69" t="inlineStr">
        <is>
          <t>N</t>
        </is>
      </c>
      <c r="BE1161" s="71" t="n"/>
      <c r="BF1161" s="71" t="n"/>
      <c r="BG1161" s="71" t="n"/>
      <c r="BH1161" s="71" t="n">
        <v>0</v>
      </c>
      <c r="BI1161" s="71" t="n">
        <v>0</v>
      </c>
      <c r="BJ1161" s="69" t="inlineStr">
        <is>
          <t>N</t>
        </is>
      </c>
      <c r="BK1161" s="69" t="inlineStr">
        <is>
          <t>Dollar General</t>
        </is>
      </c>
      <c r="BL1161" s="75" t="n">
        <v>100</v>
      </c>
      <c r="BM1161" s="73" t="n">
        <v>48029</v>
      </c>
      <c r="BN1161" s="69" t="inlineStr">
        <is>
          <t>Ladder Capital Finance Holdings LLLP</t>
        </is>
      </c>
      <c r="BO1161" s="69" t="inlineStr">
        <is>
          <t>Ladder Capital Finance</t>
        </is>
      </c>
      <c r="BP1161" s="69" t="inlineStr">
        <is>
          <t>TriMont Real Estate Advisors</t>
        </is>
      </c>
      <c r="BQ1161" s="69" t="inlineStr">
        <is>
          <t>K-Star Asset Management LLC</t>
        </is>
      </c>
      <c r="BR1161" s="69" t="n"/>
      <c r="BS1161" s="73" t="n">
        <v>46273</v>
      </c>
      <c r="BU1161" s="76">
        <f>IF($C1161="","",IFERROR(INDEX(dmName,MATCH($C1161,dmID,0)),"Unmapped"))</f>
        <v/>
      </c>
      <c r="BV1161" s="76">
        <f>IF($C1161="","",IFERROR(INDEX(dmEntity,MATCH($C1161,dmID,0)),"Unmapped"))</f>
        <v/>
      </c>
      <c r="BW1161" s="77">
        <f>IF($C1161="","",IFERROR(INDEX(dmVintage,MATCH($C1161,dmID,0)),""))</f>
        <v/>
      </c>
      <c r="BX1161" s="78">
        <f>IFERROR(INDEX(dmInclude,MATCH($C1161,dmID,0)),0)</f>
        <v/>
      </c>
      <c r="BY1161" s="78">
        <f>IF(N($I1161)&gt;0,1,0)</f>
        <v/>
      </c>
      <c r="BZ1161" s="76">
        <f>IF($AJ1161="","Other / Leased Fee",IFERROR(INDEX(mapPTGroup,MATCH(LEFT(TRIM($AJ1161),2),mapPTCode,0)),"Other / Leased Fee"))</f>
        <v/>
      </c>
      <c r="CA1161" s="76">
        <f>IF(TRIM($AF1161&amp;"")="","NR",LEFT(TRIM($AF1161),2))</f>
        <v/>
      </c>
      <c r="CB1161" s="76">
        <f>IFERROR(LOOKUP(2,1/(LEFT(TRIM($AI1161&amp;""),LEN(mapRegion))=mapRegion),mapRegion),"Not Reported")</f>
        <v/>
      </c>
      <c r="CC1161" s="76">
        <f>IF($BY1161=0,"",IF(TRIM($W1161&amp;"")="REO","REO",IF(TRIM($W1161&amp;"")="FC","Foreclosure",IF(TRIM($W1161&amp;"")="90+","90+ Days Delinquent",IF(TRIM($W1161&amp;"")="60","60 Days Delinquent",IF(TRIM($W1161&amp;"")="30","30 Days Delinquent",IF($X1161="Non-Performing Matured Balloon","Non-Performing Matured Balloon",IF(OR($X1161="Late Payment But Less Than 30 Days Delinquent",LEFT($X1161&amp;"",20)="Payment Not Received"),"Late / In Grace (&lt;30 Days)",IF($X1161="Performing Matured Balloon","Performing Matured Balloon","Current")))))))))</f>
        <v/>
      </c>
      <c r="CD1161" s="78">
        <f>IF(OR($CC1161="REO",$CC1161="Foreclosure",$CC1161="90+ Days Delinquent",$CC1161="60 Days Delinquent",$CC1161="30 Days Delinquent",$CC1161="Non-Performing Matured Balloon"),1,0)</f>
        <v/>
      </c>
      <c r="CE1161" s="76">
        <f>IF($AB1161="Currently special serv","Currently Specially Serviced",IF($AB1161="Returned to master serv","Previously Specially Serviced","Never Specially Serviced"))</f>
        <v/>
      </c>
      <c r="CF1161" s="78">
        <f>IF($CE1161="Currently Specially Serviced",1,0)</f>
        <v/>
      </c>
      <c r="CG1161" s="76">
        <f>IF($AA1161="Yes","Currently on Watchlist",IF($AA1161="Previously","Previously on Watchlist","Never on Watchlist"))</f>
        <v/>
      </c>
      <c r="CH1161" s="78">
        <f>IF($CG1161="Currently on Watchlist",1,0)</f>
        <v/>
      </c>
      <c r="CI1161" s="76">
        <f>IF($Z1161="Full Defeasance","Fully Defeased",IF($Z1161="Portion Of Loan Previously Defeased","Partially Defeased",IF($Z1161="Defeasance Not Allowable","Not Defeased (Not Permitted)","Not Defeased")))</f>
        <v/>
      </c>
      <c r="CJ1161" s="78">
        <f>IF($CI1161="Fully Defeased",1,0)</f>
        <v/>
      </c>
      <c r="CK1161" s="76">
        <f>IF($R1161="IO","Full IO",IF(LEFT($R1161&amp;"",7)="IO then","Partial IO","Amortizing"))</f>
        <v/>
      </c>
      <c r="CL1161" s="78">
        <f>IF($CK1161="Full IO",1,0)</f>
        <v/>
      </c>
      <c r="CM1161" s="78">
        <f>IF($CK1161="Partial IO",1,0)</f>
        <v/>
      </c>
      <c r="CN1161" s="76">
        <f>IF(LEFT($F1161&amp;"",10)="SPLIT_LOAN","Pari Passu Split","Standalone")</f>
        <v/>
      </c>
      <c r="CO1161" s="78">
        <f>IF($CN1161="Pari Passu Split",1,0)</f>
        <v/>
      </c>
      <c r="CP1161" s="77">
        <f>IF(ISNUMBER($T1161),YEAR($T1161),"")</f>
        <v/>
      </c>
      <c r="CQ1161" s="79">
        <f>IF(ISNUMBER($V1161),$V1161,IF(ISNUMBER($U1161),$U1161,""))</f>
        <v/>
      </c>
      <c r="CR1161" s="77">
        <f>IF(ISNUMBER($CQ1161),YEAR($CQ1161),"")</f>
        <v/>
      </c>
      <c r="CS1161" s="78">
        <f>IF(ISNUMBER($M1161),MAX(0,$M1161),IF(TRIM($M1161&amp;"")="matured",0,""))</f>
        <v/>
      </c>
      <c r="CT1161" s="78">
        <f>IF(AND(ISNUMBER($CS1161),N($CS1161)&lt;=mMatWindow),1,0)</f>
        <v/>
      </c>
      <c r="CU1161" s="80">
        <f>IF(ISNUMBER($J1161),$J1161/100,"")</f>
        <v/>
      </c>
      <c r="CV1161" s="81">
        <f>IF(ISNUMBER($AQ1161),$AQ1161,"")</f>
        <v/>
      </c>
      <c r="CW1161" s="81">
        <f>IF(ISNUMBER($AR1161),$AR1161,"")</f>
        <v/>
      </c>
      <c r="CX1161" s="82">
        <f>IF(ISNUMBER($AS1161),$AS1161/100,"")</f>
        <v/>
      </c>
      <c r="CY1161" s="82">
        <f>IF(ISNUMBER($AT1161),$AT1161/100,"")</f>
        <v/>
      </c>
      <c r="CZ1161" s="82">
        <f>IF(ISNUMBER($AU1161),$AU1161/100,"")</f>
        <v/>
      </c>
      <c r="DA1161" s="82">
        <f>IF(ISNUMBER($AV1161),$AV1161/100,"")</f>
        <v/>
      </c>
      <c r="DB1161" s="82">
        <f>IF(ISNUMBER($AW1161),$AW1161/100,"")</f>
        <v/>
      </c>
      <c r="DC1161" s="82">
        <f>IF(ISNUMBER($AX1161),$AX1161/100,"")</f>
        <v/>
      </c>
      <c r="DD1161" s="77">
        <f>IFERROR(VALUE(LEFT(TRIM($AO1161&amp;""),4)),"")</f>
        <v/>
      </c>
      <c r="DE1161" s="78">
        <f>IF(AND($BY1161=1,$BX1161=1,OR(fDeal="All Deals",$BU1161=fDeal),OR(fEntity="All Entities",$BV1161=fEntity),OR(fPType="All Property Types",$BZ1161=fPType),OR(fDefeased="Include",$CJ1161=0)),1,0)</f>
        <v/>
      </c>
      <c r="DF1161" s="83">
        <f>$DE1161*N($I1161)</f>
        <v/>
      </c>
      <c r="DG1161" s="78">
        <f>IF($DE1161=1,IF(COUNTIFS($F$8:$F1161,$F1161,$DE$8:$DE1161,1)=1,1,0),0)</f>
        <v/>
      </c>
      <c r="DH1161" s="83">
        <f>IF($DG1161=1,SUMIFS($DF$8:$DF$1600,$F$8:$F$1600,$F1161),0)</f>
        <v/>
      </c>
      <c r="DI1161" s="78">
        <f>IF($DG1161=1,COUNTIFS($F$8:$F$1600,$F1161,$DE$8:$DE$1600,1),0)</f>
        <v/>
      </c>
      <c r="DJ1161" s="84">
        <f>IF($DG1161=1,$DH1161+(100000-ROW())/mTieBreak,0)</f>
        <v/>
      </c>
    </row>
    <row r="1162">
      <c r="B1162" s="68" t="n">
        <v>41</v>
      </c>
      <c r="C1162" s="69" t="inlineStr">
        <is>
          <t>LCC17L26</t>
        </is>
      </c>
      <c r="D1162" s="69" t="inlineStr">
        <is>
          <t>41.000</t>
        </is>
      </c>
      <c r="E1162" s="69" t="inlineStr">
        <is>
          <t>Dollar General Flora Vista</t>
        </is>
      </c>
      <c r="F1162" s="69" t="inlineStr">
        <is>
          <t>LNLCC17L26-41.000</t>
        </is>
      </c>
      <c r="G1162" s="70" t="n"/>
      <c r="H1162" s="71" t="n">
        <v>985000</v>
      </c>
      <c r="I1162" s="71" t="n">
        <v>985000</v>
      </c>
      <c r="J1162" s="72" t="n">
        <v>5.92</v>
      </c>
      <c r="K1162" s="69" t="inlineStr">
        <is>
          <t>Fixed rate</t>
        </is>
      </c>
      <c r="L1162" s="68" t="n">
        <v>120</v>
      </c>
      <c r="M1162" s="68" t="n">
        <v>9</v>
      </c>
      <c r="N1162" s="68" t="n">
        <v>120</v>
      </c>
      <c r="O1162" s="68" t="n">
        <v>120</v>
      </c>
      <c r="P1162" s="68" t="n">
        <v>9</v>
      </c>
      <c r="Q1162" s="68" t="n">
        <v>111</v>
      </c>
      <c r="R1162" s="69" t="inlineStr">
        <is>
          <t>IO</t>
        </is>
      </c>
      <c r="S1162" s="69" t="inlineStr">
        <is>
          <t>Yes</t>
        </is>
      </c>
      <c r="T1162" s="73" t="n">
        <v>42887</v>
      </c>
      <c r="U1162" s="73" t="n">
        <v>48371</v>
      </c>
      <c r="V1162" s="73" t="n">
        <v>46544</v>
      </c>
      <c r="W1162" s="69" t="n"/>
      <c r="X1162" s="69" t="inlineStr">
        <is>
          <t>Current</t>
        </is>
      </c>
      <c r="Y1162" s="68" t="n"/>
      <c r="Z1162" s="69" t="inlineStr">
        <is>
          <t>No Defeasance Occurred</t>
        </is>
      </c>
      <c r="AA1162" s="69" t="n"/>
      <c r="AB1162" s="69" t="inlineStr">
        <is>
          <t>Never special serv</t>
        </is>
      </c>
      <c r="AC1162" s="73" t="n"/>
      <c r="AD1162" s="69" t="n"/>
      <c r="AE1162" s="69" t="n"/>
      <c r="AF1162" s="69" t="inlineStr">
        <is>
          <t>NM</t>
        </is>
      </c>
      <c r="AG1162" s="69" t="inlineStr">
        <is>
          <t>Flora Vista</t>
        </is>
      </c>
      <c r="AH1162" s="69" t="inlineStr">
        <is>
          <t>Farmington, NM</t>
        </is>
      </c>
      <c r="AI1162" s="69" t="inlineStr">
        <is>
          <t>West / Mountain</t>
        </is>
      </c>
      <c r="AJ1162" s="69" t="inlineStr">
        <is>
          <t>RT</t>
        </is>
      </c>
      <c r="AK1162" s="69" t="inlineStr">
        <is>
          <t>Single Tenant</t>
        </is>
      </c>
      <c r="AL1162" s="68" t="n">
        <v>1</v>
      </c>
      <c r="AM1162" s="68" t="n"/>
      <c r="AN1162" s="68" t="n">
        <v>9002</v>
      </c>
      <c r="AO1162" s="69" t="inlineStr">
        <is>
          <t>2016</t>
        </is>
      </c>
      <c r="AP1162" s="70" t="n">
        <v>2016</v>
      </c>
      <c r="AQ1162" s="74" t="n">
        <v>1.48</v>
      </c>
      <c r="AR1162" s="74" t="n">
        <v>1.54</v>
      </c>
      <c r="AS1162" s="74" t="n">
        <v>69.90000000000001</v>
      </c>
      <c r="AT1162" s="74" t="n">
        <v>69.86</v>
      </c>
      <c r="AU1162" s="74" t="n">
        <v>69.90000000000001</v>
      </c>
      <c r="AV1162" s="74" t="n">
        <v>8.90455736</v>
      </c>
      <c r="AW1162" s="74" t="n">
        <v>9.247521827</v>
      </c>
      <c r="AX1162" s="75" t="n">
        <v>100</v>
      </c>
      <c r="AY1162" s="71" t="n">
        <v>1410000</v>
      </c>
      <c r="AZ1162" s="71" t="n">
        <v>1410000</v>
      </c>
      <c r="BA1162" s="71" t="n">
        <v>87709.89</v>
      </c>
      <c r="BB1162" s="71" t="n">
        <v>91088.09</v>
      </c>
      <c r="BC1162" s="69" t="inlineStr">
        <is>
          <t>Acquisition</t>
        </is>
      </c>
      <c r="BD1162" s="69" t="inlineStr">
        <is>
          <t>N</t>
        </is>
      </c>
      <c r="BE1162" s="71" t="n"/>
      <c r="BF1162" s="71" t="n"/>
      <c r="BG1162" s="71" t="n"/>
      <c r="BH1162" s="71" t="n">
        <v>0</v>
      </c>
      <c r="BI1162" s="71" t="n">
        <v>0</v>
      </c>
      <c r="BJ1162" s="69" t="inlineStr">
        <is>
          <t>N</t>
        </is>
      </c>
      <c r="BK1162" s="69" t="inlineStr">
        <is>
          <t>Dollar General</t>
        </is>
      </c>
      <c r="BL1162" s="75" t="n">
        <v>100</v>
      </c>
      <c r="BM1162" s="73" t="n">
        <v>47968</v>
      </c>
      <c r="BN1162" s="69" t="inlineStr">
        <is>
          <t>Ladder Capital Finance Holdings LLLP</t>
        </is>
      </c>
      <c r="BO1162" s="69" t="inlineStr">
        <is>
          <t>Ladder Capital Finance</t>
        </is>
      </c>
      <c r="BP1162" s="69" t="inlineStr">
        <is>
          <t>TriMont Real Estate Advisors</t>
        </is>
      </c>
      <c r="BQ1162" s="69" t="inlineStr">
        <is>
          <t>K-Star Asset Management LLC</t>
        </is>
      </c>
      <c r="BR1162" s="69" t="n"/>
      <c r="BS1162" s="73" t="n">
        <v>46273</v>
      </c>
      <c r="BU1162" s="76">
        <f>IF($C1162="","",IFERROR(INDEX(dmName,MATCH($C1162,dmID,0)),"Unmapped"))</f>
        <v/>
      </c>
      <c r="BV1162" s="76">
        <f>IF($C1162="","",IFERROR(INDEX(dmEntity,MATCH($C1162,dmID,0)),"Unmapped"))</f>
        <v/>
      </c>
      <c r="BW1162" s="77">
        <f>IF($C1162="","",IFERROR(INDEX(dmVintage,MATCH($C1162,dmID,0)),""))</f>
        <v/>
      </c>
      <c r="BX1162" s="78">
        <f>IFERROR(INDEX(dmInclude,MATCH($C1162,dmID,0)),0)</f>
        <v/>
      </c>
      <c r="BY1162" s="78">
        <f>IF(N($I1162)&gt;0,1,0)</f>
        <v/>
      </c>
      <c r="BZ1162" s="76">
        <f>IF($AJ1162="","Other / Leased Fee",IFERROR(INDEX(mapPTGroup,MATCH(LEFT(TRIM($AJ1162),2),mapPTCode,0)),"Other / Leased Fee"))</f>
        <v/>
      </c>
      <c r="CA1162" s="76">
        <f>IF(TRIM($AF1162&amp;"")="","NR",LEFT(TRIM($AF1162),2))</f>
        <v/>
      </c>
      <c r="CB1162" s="76">
        <f>IFERROR(LOOKUP(2,1/(LEFT(TRIM($AI1162&amp;""),LEN(mapRegion))=mapRegion),mapRegion),"Not Reported")</f>
        <v/>
      </c>
      <c r="CC1162" s="76">
        <f>IF($BY1162=0,"",IF(TRIM($W1162&amp;"")="REO","REO",IF(TRIM($W1162&amp;"")="FC","Foreclosure",IF(TRIM($W1162&amp;"")="90+","90+ Days Delinquent",IF(TRIM($W1162&amp;"")="60","60 Days Delinquent",IF(TRIM($W1162&amp;"")="30","30 Days Delinquent",IF($X1162="Non-Performing Matured Balloon","Non-Performing Matured Balloon",IF(OR($X1162="Late Payment But Less Than 30 Days Delinquent",LEFT($X1162&amp;"",20)="Payment Not Received"),"Late / In Grace (&lt;30 Days)",IF($X1162="Performing Matured Balloon","Performing Matured Balloon","Current")))))))))</f>
        <v/>
      </c>
      <c r="CD1162" s="78">
        <f>IF(OR($CC1162="REO",$CC1162="Foreclosure",$CC1162="90+ Days Delinquent",$CC1162="60 Days Delinquent",$CC1162="30 Days Delinquent",$CC1162="Non-Performing Matured Balloon"),1,0)</f>
        <v/>
      </c>
      <c r="CE1162" s="76">
        <f>IF($AB1162="Currently special serv","Currently Specially Serviced",IF($AB1162="Returned to master serv","Previously Specially Serviced","Never Specially Serviced"))</f>
        <v/>
      </c>
      <c r="CF1162" s="78">
        <f>IF($CE1162="Currently Specially Serviced",1,0)</f>
        <v/>
      </c>
      <c r="CG1162" s="76">
        <f>IF($AA1162="Yes","Currently on Watchlist",IF($AA1162="Previously","Previously on Watchlist","Never on Watchlist"))</f>
        <v/>
      </c>
      <c r="CH1162" s="78">
        <f>IF($CG1162="Currently on Watchlist",1,0)</f>
        <v/>
      </c>
      <c r="CI1162" s="76">
        <f>IF($Z1162="Full Defeasance","Fully Defeased",IF($Z1162="Portion Of Loan Previously Defeased","Partially Defeased",IF($Z1162="Defeasance Not Allowable","Not Defeased (Not Permitted)","Not Defeased")))</f>
        <v/>
      </c>
      <c r="CJ1162" s="78">
        <f>IF($CI1162="Fully Defeased",1,0)</f>
        <v/>
      </c>
      <c r="CK1162" s="76">
        <f>IF($R1162="IO","Full IO",IF(LEFT($R1162&amp;"",7)="IO then","Partial IO","Amortizing"))</f>
        <v/>
      </c>
      <c r="CL1162" s="78">
        <f>IF($CK1162="Full IO",1,0)</f>
        <v/>
      </c>
      <c r="CM1162" s="78">
        <f>IF($CK1162="Partial IO",1,0)</f>
        <v/>
      </c>
      <c r="CN1162" s="76">
        <f>IF(LEFT($F1162&amp;"",10)="SPLIT_LOAN","Pari Passu Split","Standalone")</f>
        <v/>
      </c>
      <c r="CO1162" s="78">
        <f>IF($CN1162="Pari Passu Split",1,0)</f>
        <v/>
      </c>
      <c r="CP1162" s="77">
        <f>IF(ISNUMBER($T1162),YEAR($T1162),"")</f>
        <v/>
      </c>
      <c r="CQ1162" s="79">
        <f>IF(ISNUMBER($V1162),$V1162,IF(ISNUMBER($U1162),$U1162,""))</f>
        <v/>
      </c>
      <c r="CR1162" s="77">
        <f>IF(ISNUMBER($CQ1162),YEAR($CQ1162),"")</f>
        <v/>
      </c>
      <c r="CS1162" s="78">
        <f>IF(ISNUMBER($M1162),MAX(0,$M1162),IF(TRIM($M1162&amp;"")="matured",0,""))</f>
        <v/>
      </c>
      <c r="CT1162" s="78">
        <f>IF(AND(ISNUMBER($CS1162),N($CS1162)&lt;=mMatWindow),1,0)</f>
        <v/>
      </c>
      <c r="CU1162" s="80">
        <f>IF(ISNUMBER($J1162),$J1162/100,"")</f>
        <v/>
      </c>
      <c r="CV1162" s="81">
        <f>IF(ISNUMBER($AQ1162),$AQ1162,"")</f>
        <v/>
      </c>
      <c r="CW1162" s="81">
        <f>IF(ISNUMBER($AR1162),$AR1162,"")</f>
        <v/>
      </c>
      <c r="CX1162" s="82">
        <f>IF(ISNUMBER($AS1162),$AS1162/100,"")</f>
        <v/>
      </c>
      <c r="CY1162" s="82">
        <f>IF(ISNUMBER($AT1162),$AT1162/100,"")</f>
        <v/>
      </c>
      <c r="CZ1162" s="82">
        <f>IF(ISNUMBER($AU1162),$AU1162/100,"")</f>
        <v/>
      </c>
      <c r="DA1162" s="82">
        <f>IF(ISNUMBER($AV1162),$AV1162/100,"")</f>
        <v/>
      </c>
      <c r="DB1162" s="82">
        <f>IF(ISNUMBER($AW1162),$AW1162/100,"")</f>
        <v/>
      </c>
      <c r="DC1162" s="82">
        <f>IF(ISNUMBER($AX1162),$AX1162/100,"")</f>
        <v/>
      </c>
      <c r="DD1162" s="77">
        <f>IFERROR(VALUE(LEFT(TRIM($AO1162&amp;""),4)),"")</f>
        <v/>
      </c>
      <c r="DE1162" s="78">
        <f>IF(AND($BY1162=1,$BX1162=1,OR(fDeal="All Deals",$BU1162=fDeal),OR(fEntity="All Entities",$BV1162=fEntity),OR(fPType="All Property Types",$BZ1162=fPType),OR(fDefeased="Include",$CJ1162=0)),1,0)</f>
        <v/>
      </c>
      <c r="DF1162" s="83">
        <f>$DE1162*N($I1162)</f>
        <v/>
      </c>
      <c r="DG1162" s="78">
        <f>IF($DE1162=1,IF(COUNTIFS($F$8:$F1162,$F1162,$DE$8:$DE1162,1)=1,1,0),0)</f>
        <v/>
      </c>
      <c r="DH1162" s="83">
        <f>IF($DG1162=1,SUMIFS($DF$8:$DF$1600,$F$8:$F$1600,$F1162),0)</f>
        <v/>
      </c>
      <c r="DI1162" s="78">
        <f>IF($DG1162=1,COUNTIFS($F$8:$F$1600,$F1162,$DE$8:$DE$1600,1),0)</f>
        <v/>
      </c>
      <c r="DJ1162" s="84">
        <f>IF($DG1162=1,$DH1162+(100000-ROW())/mTieBreak,0)</f>
        <v/>
      </c>
    </row>
    <row r="1163">
      <c r="B1163" s="68" t="n">
        <v>42</v>
      </c>
      <c r="C1163" s="69" t="inlineStr">
        <is>
          <t>LCC17L26</t>
        </is>
      </c>
      <c r="D1163" s="69" t="inlineStr">
        <is>
          <t>42.000</t>
        </is>
      </c>
      <c r="E1163" s="69" t="inlineStr">
        <is>
          <t>Dollar General Ridgedale</t>
        </is>
      </c>
      <c r="F1163" s="69" t="inlineStr">
        <is>
          <t>LNLCC17L26-42.000</t>
        </is>
      </c>
      <c r="G1163" s="70" t="n"/>
      <c r="H1163" s="71" t="n">
        <v>977000</v>
      </c>
      <c r="I1163" s="71" t="n">
        <v>977000</v>
      </c>
      <c r="J1163" s="72" t="n">
        <v>5.92</v>
      </c>
      <c r="K1163" s="69" t="inlineStr">
        <is>
          <t>Fixed rate</t>
        </is>
      </c>
      <c r="L1163" s="68" t="n">
        <v>120</v>
      </c>
      <c r="M1163" s="68" t="n">
        <v>9</v>
      </c>
      <c r="N1163" s="68" t="n">
        <v>120</v>
      </c>
      <c r="O1163" s="68" t="n">
        <v>120</v>
      </c>
      <c r="P1163" s="68" t="n">
        <v>9</v>
      </c>
      <c r="Q1163" s="68" t="n">
        <v>111</v>
      </c>
      <c r="R1163" s="69" t="inlineStr">
        <is>
          <t>IO</t>
        </is>
      </c>
      <c r="S1163" s="69" t="inlineStr">
        <is>
          <t>Yes</t>
        </is>
      </c>
      <c r="T1163" s="73" t="n">
        <v>42887</v>
      </c>
      <c r="U1163" s="73" t="n">
        <v>48371</v>
      </c>
      <c r="V1163" s="73" t="n">
        <v>46544</v>
      </c>
      <c r="W1163" s="69" t="n"/>
      <c r="X1163" s="69" t="inlineStr">
        <is>
          <t>Current</t>
        </is>
      </c>
      <c r="Y1163" s="68" t="n"/>
      <c r="Z1163" s="69" t="inlineStr">
        <is>
          <t>No Defeasance Occurred</t>
        </is>
      </c>
      <c r="AA1163" s="69" t="n"/>
      <c r="AB1163" s="69" t="inlineStr">
        <is>
          <t>Never special serv</t>
        </is>
      </c>
      <c r="AC1163" s="73" t="n"/>
      <c r="AD1163" s="69" t="n"/>
      <c r="AE1163" s="69" t="n"/>
      <c r="AF1163" s="69" t="inlineStr">
        <is>
          <t>MO</t>
        </is>
      </c>
      <c r="AG1163" s="69" t="inlineStr">
        <is>
          <t>Ridgedale</t>
        </is>
      </c>
      <c r="AH1163" s="69" t="inlineStr">
        <is>
          <t>Harrison, AR</t>
        </is>
      </c>
      <c r="AI1163" s="69" t="inlineStr">
        <is>
          <t>South / Central West</t>
        </is>
      </c>
      <c r="AJ1163" s="69" t="inlineStr">
        <is>
          <t>RT</t>
        </is>
      </c>
      <c r="AK1163" s="69" t="inlineStr">
        <is>
          <t>Single Tenant</t>
        </is>
      </c>
      <c r="AL1163" s="68" t="n">
        <v>1</v>
      </c>
      <c r="AM1163" s="68" t="n"/>
      <c r="AN1163" s="68" t="n">
        <v>9002</v>
      </c>
      <c r="AO1163" s="69" t="inlineStr">
        <is>
          <t>2016</t>
        </is>
      </c>
      <c r="AP1163" s="70" t="n">
        <v>2016</v>
      </c>
      <c r="AQ1163" s="74" t="n">
        <v>1.48</v>
      </c>
      <c r="AR1163" s="74" t="n">
        <v>1.53</v>
      </c>
      <c r="AS1163" s="74" t="n">
        <v>69.8</v>
      </c>
      <c r="AT1163" s="74" t="n">
        <v>69.79000000000001</v>
      </c>
      <c r="AU1163" s="74" t="n">
        <v>69.8</v>
      </c>
      <c r="AV1163" s="74" t="n">
        <v>8.862057318</v>
      </c>
      <c r="AW1163" s="74" t="n">
        <v>9.201720572999999</v>
      </c>
      <c r="AX1163" s="75" t="n">
        <v>100</v>
      </c>
      <c r="AY1163" s="71" t="n">
        <v>1400000</v>
      </c>
      <c r="AZ1163" s="71" t="n">
        <v>1400000</v>
      </c>
      <c r="BA1163" s="71" t="n">
        <v>86582.3</v>
      </c>
      <c r="BB1163" s="71" t="n">
        <v>89900.81</v>
      </c>
      <c r="BC1163" s="69" t="inlineStr">
        <is>
          <t>Acquisition</t>
        </is>
      </c>
      <c r="BD1163" s="69" t="inlineStr">
        <is>
          <t>N</t>
        </is>
      </c>
      <c r="BE1163" s="71" t="n"/>
      <c r="BF1163" s="71" t="n"/>
      <c r="BG1163" s="71" t="n"/>
      <c r="BH1163" s="71" t="n">
        <v>0</v>
      </c>
      <c r="BI1163" s="71" t="n">
        <v>0</v>
      </c>
      <c r="BJ1163" s="69" t="inlineStr">
        <is>
          <t>N</t>
        </is>
      </c>
      <c r="BK1163" s="69" t="inlineStr">
        <is>
          <t>Dollar General</t>
        </is>
      </c>
      <c r="BL1163" s="75" t="n">
        <v>100</v>
      </c>
      <c r="BM1163" s="73" t="n">
        <v>48029</v>
      </c>
      <c r="BN1163" s="69" t="inlineStr">
        <is>
          <t>Ladder Capital Finance Holdings LLLP</t>
        </is>
      </c>
      <c r="BO1163" s="69" t="inlineStr">
        <is>
          <t>Ladder Capital Finance</t>
        </is>
      </c>
      <c r="BP1163" s="69" t="inlineStr">
        <is>
          <t>TriMont Real Estate Advisors</t>
        </is>
      </c>
      <c r="BQ1163" s="69" t="inlineStr">
        <is>
          <t>K-Star Asset Management LLC</t>
        </is>
      </c>
      <c r="BR1163" s="69" t="n"/>
      <c r="BS1163" s="73" t="n">
        <v>46273</v>
      </c>
      <c r="BU1163" s="76">
        <f>IF($C1163="","",IFERROR(INDEX(dmName,MATCH($C1163,dmID,0)),"Unmapped"))</f>
        <v/>
      </c>
      <c r="BV1163" s="76">
        <f>IF($C1163="","",IFERROR(INDEX(dmEntity,MATCH($C1163,dmID,0)),"Unmapped"))</f>
        <v/>
      </c>
      <c r="BW1163" s="77">
        <f>IF($C1163="","",IFERROR(INDEX(dmVintage,MATCH($C1163,dmID,0)),""))</f>
        <v/>
      </c>
      <c r="BX1163" s="78">
        <f>IFERROR(INDEX(dmInclude,MATCH($C1163,dmID,0)),0)</f>
        <v/>
      </c>
      <c r="BY1163" s="78">
        <f>IF(N($I1163)&gt;0,1,0)</f>
        <v/>
      </c>
      <c r="BZ1163" s="76">
        <f>IF($AJ1163="","Other / Leased Fee",IFERROR(INDEX(mapPTGroup,MATCH(LEFT(TRIM($AJ1163),2),mapPTCode,0)),"Other / Leased Fee"))</f>
        <v/>
      </c>
      <c r="CA1163" s="76">
        <f>IF(TRIM($AF1163&amp;"")="","NR",LEFT(TRIM($AF1163),2))</f>
        <v/>
      </c>
      <c r="CB1163" s="76">
        <f>IFERROR(LOOKUP(2,1/(LEFT(TRIM($AI1163&amp;""),LEN(mapRegion))=mapRegion),mapRegion),"Not Reported")</f>
        <v/>
      </c>
      <c r="CC1163" s="76">
        <f>IF($BY1163=0,"",IF(TRIM($W1163&amp;"")="REO","REO",IF(TRIM($W1163&amp;"")="FC","Foreclosure",IF(TRIM($W1163&amp;"")="90+","90+ Days Delinquent",IF(TRIM($W1163&amp;"")="60","60 Days Delinquent",IF(TRIM($W1163&amp;"")="30","30 Days Delinquent",IF($X1163="Non-Performing Matured Balloon","Non-Performing Matured Balloon",IF(OR($X1163="Late Payment But Less Than 30 Days Delinquent",LEFT($X1163&amp;"",20)="Payment Not Received"),"Late / In Grace (&lt;30 Days)",IF($X1163="Performing Matured Balloon","Performing Matured Balloon","Current")))))))))</f>
        <v/>
      </c>
      <c r="CD1163" s="78">
        <f>IF(OR($CC1163="REO",$CC1163="Foreclosure",$CC1163="90+ Days Delinquent",$CC1163="60 Days Delinquent",$CC1163="30 Days Delinquent",$CC1163="Non-Performing Matured Balloon"),1,0)</f>
        <v/>
      </c>
      <c r="CE1163" s="76">
        <f>IF($AB1163="Currently special serv","Currently Specially Serviced",IF($AB1163="Returned to master serv","Previously Specially Serviced","Never Specially Serviced"))</f>
        <v/>
      </c>
      <c r="CF1163" s="78">
        <f>IF($CE1163="Currently Specially Serviced",1,0)</f>
        <v/>
      </c>
      <c r="CG1163" s="76">
        <f>IF($AA1163="Yes","Currently on Watchlist",IF($AA1163="Previously","Previously on Watchlist","Never on Watchlist"))</f>
        <v/>
      </c>
      <c r="CH1163" s="78">
        <f>IF($CG1163="Currently on Watchlist",1,0)</f>
        <v/>
      </c>
      <c r="CI1163" s="76">
        <f>IF($Z1163="Full Defeasance","Fully Defeased",IF($Z1163="Portion Of Loan Previously Defeased","Partially Defeased",IF($Z1163="Defeasance Not Allowable","Not Defeased (Not Permitted)","Not Defeased")))</f>
        <v/>
      </c>
      <c r="CJ1163" s="78">
        <f>IF($CI1163="Fully Defeased",1,0)</f>
        <v/>
      </c>
      <c r="CK1163" s="76">
        <f>IF($R1163="IO","Full IO",IF(LEFT($R1163&amp;"",7)="IO then","Partial IO","Amortizing"))</f>
        <v/>
      </c>
      <c r="CL1163" s="78">
        <f>IF($CK1163="Full IO",1,0)</f>
        <v/>
      </c>
      <c r="CM1163" s="78">
        <f>IF($CK1163="Partial IO",1,0)</f>
        <v/>
      </c>
      <c r="CN1163" s="76">
        <f>IF(LEFT($F1163&amp;"",10)="SPLIT_LOAN","Pari Passu Split","Standalone")</f>
        <v/>
      </c>
      <c r="CO1163" s="78">
        <f>IF($CN1163="Pari Passu Split",1,0)</f>
        <v/>
      </c>
      <c r="CP1163" s="77">
        <f>IF(ISNUMBER($T1163),YEAR($T1163),"")</f>
        <v/>
      </c>
      <c r="CQ1163" s="79">
        <f>IF(ISNUMBER($V1163),$V1163,IF(ISNUMBER($U1163),$U1163,""))</f>
        <v/>
      </c>
      <c r="CR1163" s="77">
        <f>IF(ISNUMBER($CQ1163),YEAR($CQ1163),"")</f>
        <v/>
      </c>
      <c r="CS1163" s="78">
        <f>IF(ISNUMBER($M1163),MAX(0,$M1163),IF(TRIM($M1163&amp;"")="matured",0,""))</f>
        <v/>
      </c>
      <c r="CT1163" s="78">
        <f>IF(AND(ISNUMBER($CS1163),N($CS1163)&lt;=mMatWindow),1,0)</f>
        <v/>
      </c>
      <c r="CU1163" s="80">
        <f>IF(ISNUMBER($J1163),$J1163/100,"")</f>
        <v/>
      </c>
      <c r="CV1163" s="81">
        <f>IF(ISNUMBER($AQ1163),$AQ1163,"")</f>
        <v/>
      </c>
      <c r="CW1163" s="81">
        <f>IF(ISNUMBER($AR1163),$AR1163,"")</f>
        <v/>
      </c>
      <c r="CX1163" s="82">
        <f>IF(ISNUMBER($AS1163),$AS1163/100,"")</f>
        <v/>
      </c>
      <c r="CY1163" s="82">
        <f>IF(ISNUMBER($AT1163),$AT1163/100,"")</f>
        <v/>
      </c>
      <c r="CZ1163" s="82">
        <f>IF(ISNUMBER($AU1163),$AU1163/100,"")</f>
        <v/>
      </c>
      <c r="DA1163" s="82">
        <f>IF(ISNUMBER($AV1163),$AV1163/100,"")</f>
        <v/>
      </c>
      <c r="DB1163" s="82">
        <f>IF(ISNUMBER($AW1163),$AW1163/100,"")</f>
        <v/>
      </c>
      <c r="DC1163" s="82">
        <f>IF(ISNUMBER($AX1163),$AX1163/100,"")</f>
        <v/>
      </c>
      <c r="DD1163" s="77">
        <f>IFERROR(VALUE(LEFT(TRIM($AO1163&amp;""),4)),"")</f>
        <v/>
      </c>
      <c r="DE1163" s="78">
        <f>IF(AND($BY1163=1,$BX1163=1,OR(fDeal="All Deals",$BU1163=fDeal),OR(fEntity="All Entities",$BV1163=fEntity),OR(fPType="All Property Types",$BZ1163=fPType),OR(fDefeased="Include",$CJ1163=0)),1,0)</f>
        <v/>
      </c>
      <c r="DF1163" s="83">
        <f>$DE1163*N($I1163)</f>
        <v/>
      </c>
      <c r="DG1163" s="78">
        <f>IF($DE1163=1,IF(COUNTIFS($F$8:$F1163,$F1163,$DE$8:$DE1163,1)=1,1,0),0)</f>
        <v/>
      </c>
      <c r="DH1163" s="83">
        <f>IF($DG1163=1,SUMIFS($DF$8:$DF$1600,$F$8:$F$1600,$F1163),0)</f>
        <v/>
      </c>
      <c r="DI1163" s="78">
        <f>IF($DG1163=1,COUNTIFS($F$8:$F$1600,$F1163,$DE$8:$DE$1600,1),0)</f>
        <v/>
      </c>
      <c r="DJ1163" s="84">
        <f>IF($DG1163=1,$DH1163+(100000-ROW())/mTieBreak,0)</f>
        <v/>
      </c>
    </row>
    <row r="1164">
      <c r="B1164" s="68" t="n">
        <v>43</v>
      </c>
      <c r="C1164" s="69" t="inlineStr">
        <is>
          <t>LCC17L26</t>
        </is>
      </c>
      <c r="D1164" s="69" t="inlineStr">
        <is>
          <t>43.000</t>
        </is>
      </c>
      <c r="E1164" s="69" t="inlineStr">
        <is>
          <t>Dollar General Mountain Grove</t>
        </is>
      </c>
      <c r="F1164" s="69" t="inlineStr">
        <is>
          <t>LNLCC17L26-43.000</t>
        </is>
      </c>
      <c r="G1164" s="70" t="n"/>
      <c r="H1164" s="71" t="n">
        <v>965000</v>
      </c>
      <c r="I1164" s="71" t="n">
        <v>965000</v>
      </c>
      <c r="J1164" s="72" t="n">
        <v>5.92</v>
      </c>
      <c r="K1164" s="69" t="inlineStr">
        <is>
          <t>Fixed rate</t>
        </is>
      </c>
      <c r="L1164" s="68" t="n">
        <v>120</v>
      </c>
      <c r="M1164" s="68" t="n">
        <v>9</v>
      </c>
      <c r="N1164" s="68" t="n">
        <v>120</v>
      </c>
      <c r="O1164" s="68" t="n">
        <v>120</v>
      </c>
      <c r="P1164" s="68" t="n">
        <v>9</v>
      </c>
      <c r="Q1164" s="68" t="n">
        <v>111</v>
      </c>
      <c r="R1164" s="69" t="inlineStr">
        <is>
          <t>IO</t>
        </is>
      </c>
      <c r="S1164" s="69" t="inlineStr">
        <is>
          <t>Yes</t>
        </is>
      </c>
      <c r="T1164" s="73" t="n">
        <v>42887</v>
      </c>
      <c r="U1164" s="73" t="n">
        <v>48371</v>
      </c>
      <c r="V1164" s="73" t="n">
        <v>46544</v>
      </c>
      <c r="W1164" s="69" t="n"/>
      <c r="X1164" s="69" t="inlineStr">
        <is>
          <t>Current</t>
        </is>
      </c>
      <c r="Y1164" s="68" t="n"/>
      <c r="Z1164" s="69" t="inlineStr">
        <is>
          <t>No Defeasance Occurred</t>
        </is>
      </c>
      <c r="AA1164" s="69" t="n"/>
      <c r="AB1164" s="69" t="inlineStr">
        <is>
          <t>Never special serv</t>
        </is>
      </c>
      <c r="AC1164" s="73" t="n"/>
      <c r="AD1164" s="69" t="n"/>
      <c r="AE1164" s="69" t="n"/>
      <c r="AF1164" s="69" t="inlineStr">
        <is>
          <t>MO</t>
        </is>
      </c>
      <c r="AG1164" s="69" t="inlineStr">
        <is>
          <t>Mountain Grove</t>
        </is>
      </c>
      <c r="AH1164" s="69" t="n"/>
      <c r="AI1164" s="69" t="inlineStr">
        <is>
          <t>Midwest / Central West</t>
        </is>
      </c>
      <c r="AJ1164" s="69" t="inlineStr">
        <is>
          <t>RT</t>
        </is>
      </c>
      <c r="AK1164" s="69" t="inlineStr">
        <is>
          <t>Single Tenant</t>
        </is>
      </c>
      <c r="AL1164" s="68" t="n">
        <v>1</v>
      </c>
      <c r="AM1164" s="68" t="n"/>
      <c r="AN1164" s="68" t="n">
        <v>10566</v>
      </c>
      <c r="AO1164" s="69" t="inlineStr">
        <is>
          <t>2016</t>
        </is>
      </c>
      <c r="AP1164" s="70" t="n">
        <v>2016</v>
      </c>
      <c r="AQ1164" s="74" t="n">
        <v>1.48</v>
      </c>
      <c r="AR1164" s="74" t="n">
        <v>1.54</v>
      </c>
      <c r="AS1164" s="74" t="n">
        <v>69.90000000000001</v>
      </c>
      <c r="AT1164" s="74" t="n">
        <v>69.93000000000001</v>
      </c>
      <c r="AU1164" s="74" t="n">
        <v>69.90000000000001</v>
      </c>
      <c r="AV1164" s="74" t="n">
        <v>8.899568911999999</v>
      </c>
      <c r="AW1164" s="74" t="n">
        <v>9.217309845000001</v>
      </c>
      <c r="AX1164" s="75" t="n">
        <v>100</v>
      </c>
      <c r="AY1164" s="71" t="n">
        <v>1380000</v>
      </c>
      <c r="AZ1164" s="71" t="n">
        <v>1380000</v>
      </c>
      <c r="BA1164" s="71" t="n">
        <v>85880.84</v>
      </c>
      <c r="BB1164" s="71" t="n">
        <v>88947.03999999999</v>
      </c>
      <c r="BC1164" s="69" t="inlineStr">
        <is>
          <t>Acquisition</t>
        </is>
      </c>
      <c r="BD1164" s="69" t="inlineStr">
        <is>
          <t>N</t>
        </is>
      </c>
      <c r="BE1164" s="71" t="n"/>
      <c r="BF1164" s="71" t="n"/>
      <c r="BG1164" s="71" t="n"/>
      <c r="BH1164" s="71" t="n">
        <v>0</v>
      </c>
      <c r="BI1164" s="71" t="n">
        <v>0</v>
      </c>
      <c r="BJ1164" s="69" t="inlineStr">
        <is>
          <t>N</t>
        </is>
      </c>
      <c r="BK1164" s="69" t="inlineStr">
        <is>
          <t>Dollar General</t>
        </is>
      </c>
      <c r="BL1164" s="75" t="n">
        <v>100</v>
      </c>
      <c r="BM1164" s="73" t="n">
        <v>47968</v>
      </c>
      <c r="BN1164" s="69" t="inlineStr">
        <is>
          <t>Ladder Capital Finance Holdings LLLP</t>
        </is>
      </c>
      <c r="BO1164" s="69" t="inlineStr">
        <is>
          <t>Ladder Capital Finance</t>
        </is>
      </c>
      <c r="BP1164" s="69" t="inlineStr">
        <is>
          <t>TriMont Real Estate Advisors</t>
        </is>
      </c>
      <c r="BQ1164" s="69" t="inlineStr">
        <is>
          <t>K-Star Asset Management LLC</t>
        </is>
      </c>
      <c r="BR1164" s="69" t="n"/>
      <c r="BS1164" s="73" t="n">
        <v>46273</v>
      </c>
      <c r="BU1164" s="76">
        <f>IF($C1164="","",IFERROR(INDEX(dmName,MATCH($C1164,dmID,0)),"Unmapped"))</f>
        <v/>
      </c>
      <c r="BV1164" s="76">
        <f>IF($C1164="","",IFERROR(INDEX(dmEntity,MATCH($C1164,dmID,0)),"Unmapped"))</f>
        <v/>
      </c>
      <c r="BW1164" s="77">
        <f>IF($C1164="","",IFERROR(INDEX(dmVintage,MATCH($C1164,dmID,0)),""))</f>
        <v/>
      </c>
      <c r="BX1164" s="78">
        <f>IFERROR(INDEX(dmInclude,MATCH($C1164,dmID,0)),0)</f>
        <v/>
      </c>
      <c r="BY1164" s="78">
        <f>IF(N($I1164)&gt;0,1,0)</f>
        <v/>
      </c>
      <c r="BZ1164" s="76">
        <f>IF($AJ1164="","Other / Leased Fee",IFERROR(INDEX(mapPTGroup,MATCH(LEFT(TRIM($AJ1164),2),mapPTCode,0)),"Other / Leased Fee"))</f>
        <v/>
      </c>
      <c r="CA1164" s="76">
        <f>IF(TRIM($AF1164&amp;"")="","NR",LEFT(TRIM($AF1164),2))</f>
        <v/>
      </c>
      <c r="CB1164" s="76">
        <f>IFERROR(LOOKUP(2,1/(LEFT(TRIM($AI1164&amp;""),LEN(mapRegion))=mapRegion),mapRegion),"Not Reported")</f>
        <v/>
      </c>
      <c r="CC1164" s="76">
        <f>IF($BY1164=0,"",IF(TRIM($W1164&amp;"")="REO","REO",IF(TRIM($W1164&amp;"")="FC","Foreclosure",IF(TRIM($W1164&amp;"")="90+","90+ Days Delinquent",IF(TRIM($W1164&amp;"")="60","60 Days Delinquent",IF(TRIM($W1164&amp;"")="30","30 Days Delinquent",IF($X1164="Non-Performing Matured Balloon","Non-Performing Matured Balloon",IF(OR($X1164="Late Payment But Less Than 30 Days Delinquent",LEFT($X1164&amp;"",20)="Payment Not Received"),"Late / In Grace (&lt;30 Days)",IF($X1164="Performing Matured Balloon","Performing Matured Balloon","Current")))))))))</f>
        <v/>
      </c>
      <c r="CD1164" s="78">
        <f>IF(OR($CC1164="REO",$CC1164="Foreclosure",$CC1164="90+ Days Delinquent",$CC1164="60 Days Delinquent",$CC1164="30 Days Delinquent",$CC1164="Non-Performing Matured Balloon"),1,0)</f>
        <v/>
      </c>
      <c r="CE1164" s="76">
        <f>IF($AB1164="Currently special serv","Currently Specially Serviced",IF($AB1164="Returned to master serv","Previously Specially Serviced","Never Specially Serviced"))</f>
        <v/>
      </c>
      <c r="CF1164" s="78">
        <f>IF($CE1164="Currently Specially Serviced",1,0)</f>
        <v/>
      </c>
      <c r="CG1164" s="76">
        <f>IF($AA1164="Yes","Currently on Watchlist",IF($AA1164="Previously","Previously on Watchlist","Never on Watchlist"))</f>
        <v/>
      </c>
      <c r="CH1164" s="78">
        <f>IF($CG1164="Currently on Watchlist",1,0)</f>
        <v/>
      </c>
      <c r="CI1164" s="76">
        <f>IF($Z1164="Full Defeasance","Fully Defeased",IF($Z1164="Portion Of Loan Previously Defeased","Partially Defeased",IF($Z1164="Defeasance Not Allowable","Not Defeased (Not Permitted)","Not Defeased")))</f>
        <v/>
      </c>
      <c r="CJ1164" s="78">
        <f>IF($CI1164="Fully Defeased",1,0)</f>
        <v/>
      </c>
      <c r="CK1164" s="76">
        <f>IF($R1164="IO","Full IO",IF(LEFT($R1164&amp;"",7)="IO then","Partial IO","Amortizing"))</f>
        <v/>
      </c>
      <c r="CL1164" s="78">
        <f>IF($CK1164="Full IO",1,0)</f>
        <v/>
      </c>
      <c r="CM1164" s="78">
        <f>IF($CK1164="Partial IO",1,0)</f>
        <v/>
      </c>
      <c r="CN1164" s="76">
        <f>IF(LEFT($F1164&amp;"",10)="SPLIT_LOAN","Pari Passu Split","Standalone")</f>
        <v/>
      </c>
      <c r="CO1164" s="78">
        <f>IF($CN1164="Pari Passu Split",1,0)</f>
        <v/>
      </c>
      <c r="CP1164" s="77">
        <f>IF(ISNUMBER($T1164),YEAR($T1164),"")</f>
        <v/>
      </c>
      <c r="CQ1164" s="79">
        <f>IF(ISNUMBER($V1164),$V1164,IF(ISNUMBER($U1164),$U1164,""))</f>
        <v/>
      </c>
      <c r="CR1164" s="77">
        <f>IF(ISNUMBER($CQ1164),YEAR($CQ1164),"")</f>
        <v/>
      </c>
      <c r="CS1164" s="78">
        <f>IF(ISNUMBER($M1164),MAX(0,$M1164),IF(TRIM($M1164&amp;"")="matured",0,""))</f>
        <v/>
      </c>
      <c r="CT1164" s="78">
        <f>IF(AND(ISNUMBER($CS1164),N($CS1164)&lt;=mMatWindow),1,0)</f>
        <v/>
      </c>
      <c r="CU1164" s="80">
        <f>IF(ISNUMBER($J1164),$J1164/100,"")</f>
        <v/>
      </c>
      <c r="CV1164" s="81">
        <f>IF(ISNUMBER($AQ1164),$AQ1164,"")</f>
        <v/>
      </c>
      <c r="CW1164" s="81">
        <f>IF(ISNUMBER($AR1164),$AR1164,"")</f>
        <v/>
      </c>
      <c r="CX1164" s="82">
        <f>IF(ISNUMBER($AS1164),$AS1164/100,"")</f>
        <v/>
      </c>
      <c r="CY1164" s="82">
        <f>IF(ISNUMBER($AT1164),$AT1164/100,"")</f>
        <v/>
      </c>
      <c r="CZ1164" s="82">
        <f>IF(ISNUMBER($AU1164),$AU1164/100,"")</f>
        <v/>
      </c>
      <c r="DA1164" s="82">
        <f>IF(ISNUMBER($AV1164),$AV1164/100,"")</f>
        <v/>
      </c>
      <c r="DB1164" s="82">
        <f>IF(ISNUMBER($AW1164),$AW1164/100,"")</f>
        <v/>
      </c>
      <c r="DC1164" s="82">
        <f>IF(ISNUMBER($AX1164),$AX1164/100,"")</f>
        <v/>
      </c>
      <c r="DD1164" s="77">
        <f>IFERROR(VALUE(LEFT(TRIM($AO1164&amp;""),4)),"")</f>
        <v/>
      </c>
      <c r="DE1164" s="78">
        <f>IF(AND($BY1164=1,$BX1164=1,OR(fDeal="All Deals",$BU1164=fDeal),OR(fEntity="All Entities",$BV1164=fEntity),OR(fPType="All Property Types",$BZ1164=fPType),OR(fDefeased="Include",$CJ1164=0)),1,0)</f>
        <v/>
      </c>
      <c r="DF1164" s="83">
        <f>$DE1164*N($I1164)</f>
        <v/>
      </c>
      <c r="DG1164" s="78">
        <f>IF($DE1164=1,IF(COUNTIFS($F$8:$F1164,$F1164,$DE$8:$DE1164,1)=1,1,0),0)</f>
        <v/>
      </c>
      <c r="DH1164" s="83">
        <f>IF($DG1164=1,SUMIFS($DF$8:$DF$1600,$F$8:$F$1600,$F1164),0)</f>
        <v/>
      </c>
      <c r="DI1164" s="78">
        <f>IF($DG1164=1,COUNTIFS($F$8:$F$1600,$F1164,$DE$8:$DE$1600,1),0)</f>
        <v/>
      </c>
      <c r="DJ1164" s="84">
        <f>IF($DG1164=1,$DH1164+(100000-ROW())/mTieBreak,0)</f>
        <v/>
      </c>
    </row>
    <row r="1165">
      <c r="B1165" s="68" t="n">
        <v>44</v>
      </c>
      <c r="C1165" s="69" t="inlineStr">
        <is>
          <t>LCC17L26</t>
        </is>
      </c>
      <c r="D1165" s="69" t="inlineStr">
        <is>
          <t>44.000</t>
        </is>
      </c>
      <c r="E1165" s="69" t="inlineStr">
        <is>
          <t>Dollar General Wabasha</t>
        </is>
      </c>
      <c r="F1165" s="69" t="inlineStr">
        <is>
          <t>LNLCC17L26-44.000</t>
        </is>
      </c>
      <c r="G1165" s="70" t="n"/>
      <c r="H1165" s="71" t="n">
        <v>950000</v>
      </c>
      <c r="I1165" s="71" t="n">
        <v>950000</v>
      </c>
      <c r="J1165" s="72" t="n">
        <v>5.85</v>
      </c>
      <c r="K1165" s="69" t="inlineStr">
        <is>
          <t>Fixed rate</t>
        </is>
      </c>
      <c r="L1165" s="68" t="n">
        <v>120</v>
      </c>
      <c r="M1165" s="68" t="n">
        <v>9</v>
      </c>
      <c r="N1165" s="68" t="n">
        <v>120</v>
      </c>
      <c r="O1165" s="68" t="n">
        <v>120</v>
      </c>
      <c r="P1165" s="68" t="n">
        <v>9</v>
      </c>
      <c r="Q1165" s="68" t="n">
        <v>111</v>
      </c>
      <c r="R1165" s="69" t="inlineStr">
        <is>
          <t>IO</t>
        </is>
      </c>
      <c r="S1165" s="69" t="inlineStr">
        <is>
          <t>Yes</t>
        </is>
      </c>
      <c r="T1165" s="73" t="n">
        <v>42887</v>
      </c>
      <c r="U1165" s="73" t="n">
        <v>48371</v>
      </c>
      <c r="V1165" s="73" t="n">
        <v>46544</v>
      </c>
      <c r="W1165" s="69" t="n"/>
      <c r="X1165" s="69" t="inlineStr">
        <is>
          <t>Current</t>
        </is>
      </c>
      <c r="Y1165" s="68" t="n"/>
      <c r="Z1165" s="69" t="inlineStr">
        <is>
          <t>No Defeasance Occurred</t>
        </is>
      </c>
      <c r="AA1165" s="69" t="n"/>
      <c r="AB1165" s="69" t="inlineStr">
        <is>
          <t>Never special serv</t>
        </is>
      </c>
      <c r="AC1165" s="73" t="n"/>
      <c r="AD1165" s="69" t="n"/>
      <c r="AE1165" s="69" t="n"/>
      <c r="AF1165" s="69" t="inlineStr">
        <is>
          <t>MN</t>
        </is>
      </c>
      <c r="AG1165" s="69" t="inlineStr">
        <is>
          <t>Wabasha</t>
        </is>
      </c>
      <c r="AH1165" s="69" t="inlineStr">
        <is>
          <t>Rochester, MN</t>
        </is>
      </c>
      <c r="AI1165" s="69" t="inlineStr">
        <is>
          <t>Midwest / Central West</t>
        </is>
      </c>
      <c r="AJ1165" s="69" t="inlineStr">
        <is>
          <t>RT</t>
        </is>
      </c>
      <c r="AK1165" s="69" t="inlineStr">
        <is>
          <t>Single Tenant</t>
        </is>
      </c>
      <c r="AL1165" s="68" t="n">
        <v>1</v>
      </c>
      <c r="AM1165" s="68" t="n"/>
      <c r="AN1165" s="68" t="n">
        <v>9026</v>
      </c>
      <c r="AO1165" s="69" t="inlineStr">
        <is>
          <t>2016-2017</t>
        </is>
      </c>
      <c r="AP1165" s="70" t="n">
        <v>2017</v>
      </c>
      <c r="AQ1165" s="74" t="n">
        <v>1.5</v>
      </c>
      <c r="AR1165" s="74" t="n">
        <v>1.56</v>
      </c>
      <c r="AS1165" s="74" t="n">
        <v>69.90000000000001</v>
      </c>
      <c r="AT1165" s="74" t="n">
        <v>69.84999999999999</v>
      </c>
      <c r="AU1165" s="74" t="n">
        <v>69.90000000000001</v>
      </c>
      <c r="AV1165" s="74" t="n">
        <v>8.904167368</v>
      </c>
      <c r="AW1165" s="74" t="n">
        <v>9.242070525999999</v>
      </c>
      <c r="AX1165" s="75" t="n">
        <v>100</v>
      </c>
      <c r="AY1165" s="71" t="n">
        <v>1360000</v>
      </c>
      <c r="AZ1165" s="71" t="n">
        <v>1360000</v>
      </c>
      <c r="BA1165" s="71" t="n">
        <v>84589.59</v>
      </c>
      <c r="BB1165" s="71" t="n">
        <v>87799.67</v>
      </c>
      <c r="BC1165" s="69" t="inlineStr">
        <is>
          <t>Acquisition</t>
        </is>
      </c>
      <c r="BD1165" s="69" t="inlineStr">
        <is>
          <t>N</t>
        </is>
      </c>
      <c r="BE1165" s="71" t="n"/>
      <c r="BF1165" s="71" t="n"/>
      <c r="BG1165" s="71" t="n"/>
      <c r="BH1165" s="71" t="n">
        <v>0</v>
      </c>
      <c r="BI1165" s="71" t="n">
        <v>0</v>
      </c>
      <c r="BJ1165" s="69" t="inlineStr">
        <is>
          <t>N</t>
        </is>
      </c>
      <c r="BK1165" s="69" t="inlineStr">
        <is>
          <t>Dollar General</t>
        </is>
      </c>
      <c r="BL1165" s="75" t="n">
        <v>100</v>
      </c>
      <c r="BM1165" s="73" t="n">
        <v>48273</v>
      </c>
      <c r="BN1165" s="69" t="inlineStr">
        <is>
          <t>Ladder Capital Finance Holdings LLLP</t>
        </is>
      </c>
      <c r="BO1165" s="69" t="inlineStr">
        <is>
          <t>Ladder Capital Finance</t>
        </is>
      </c>
      <c r="BP1165" s="69" t="inlineStr">
        <is>
          <t>TriMont Real Estate Advisors</t>
        </is>
      </c>
      <c r="BQ1165" s="69" t="inlineStr">
        <is>
          <t>K-Star Asset Management LLC</t>
        </is>
      </c>
      <c r="BR1165" s="69" t="n"/>
      <c r="BS1165" s="73" t="n">
        <v>46273</v>
      </c>
      <c r="BU1165" s="76">
        <f>IF($C1165="","",IFERROR(INDEX(dmName,MATCH($C1165,dmID,0)),"Unmapped"))</f>
        <v/>
      </c>
      <c r="BV1165" s="76">
        <f>IF($C1165="","",IFERROR(INDEX(dmEntity,MATCH($C1165,dmID,0)),"Unmapped"))</f>
        <v/>
      </c>
      <c r="BW1165" s="77">
        <f>IF($C1165="","",IFERROR(INDEX(dmVintage,MATCH($C1165,dmID,0)),""))</f>
        <v/>
      </c>
      <c r="BX1165" s="78">
        <f>IFERROR(INDEX(dmInclude,MATCH($C1165,dmID,0)),0)</f>
        <v/>
      </c>
      <c r="BY1165" s="78">
        <f>IF(N($I1165)&gt;0,1,0)</f>
        <v/>
      </c>
      <c r="BZ1165" s="76">
        <f>IF($AJ1165="","Other / Leased Fee",IFERROR(INDEX(mapPTGroup,MATCH(LEFT(TRIM($AJ1165),2),mapPTCode,0)),"Other / Leased Fee"))</f>
        <v/>
      </c>
      <c r="CA1165" s="76">
        <f>IF(TRIM($AF1165&amp;"")="","NR",LEFT(TRIM($AF1165),2))</f>
        <v/>
      </c>
      <c r="CB1165" s="76">
        <f>IFERROR(LOOKUP(2,1/(LEFT(TRIM($AI1165&amp;""),LEN(mapRegion))=mapRegion),mapRegion),"Not Reported")</f>
        <v/>
      </c>
      <c r="CC1165" s="76">
        <f>IF($BY1165=0,"",IF(TRIM($W1165&amp;"")="REO","REO",IF(TRIM($W1165&amp;"")="FC","Foreclosure",IF(TRIM($W1165&amp;"")="90+","90+ Days Delinquent",IF(TRIM($W1165&amp;"")="60","60 Days Delinquent",IF(TRIM($W1165&amp;"")="30","30 Days Delinquent",IF($X1165="Non-Performing Matured Balloon","Non-Performing Matured Balloon",IF(OR($X1165="Late Payment But Less Than 30 Days Delinquent",LEFT($X1165&amp;"",20)="Payment Not Received"),"Late / In Grace (&lt;30 Days)",IF($X1165="Performing Matured Balloon","Performing Matured Balloon","Current")))))))))</f>
        <v/>
      </c>
      <c r="CD1165" s="78">
        <f>IF(OR($CC1165="REO",$CC1165="Foreclosure",$CC1165="90+ Days Delinquent",$CC1165="60 Days Delinquent",$CC1165="30 Days Delinquent",$CC1165="Non-Performing Matured Balloon"),1,0)</f>
        <v/>
      </c>
      <c r="CE1165" s="76">
        <f>IF($AB1165="Currently special serv","Currently Specially Serviced",IF($AB1165="Returned to master serv","Previously Specially Serviced","Never Specially Serviced"))</f>
        <v/>
      </c>
      <c r="CF1165" s="78">
        <f>IF($CE1165="Currently Specially Serviced",1,0)</f>
        <v/>
      </c>
      <c r="CG1165" s="76">
        <f>IF($AA1165="Yes","Currently on Watchlist",IF($AA1165="Previously","Previously on Watchlist","Never on Watchlist"))</f>
        <v/>
      </c>
      <c r="CH1165" s="78">
        <f>IF($CG1165="Currently on Watchlist",1,0)</f>
        <v/>
      </c>
      <c r="CI1165" s="76">
        <f>IF($Z1165="Full Defeasance","Fully Defeased",IF($Z1165="Portion Of Loan Previously Defeased","Partially Defeased",IF($Z1165="Defeasance Not Allowable","Not Defeased (Not Permitted)","Not Defeased")))</f>
        <v/>
      </c>
      <c r="CJ1165" s="78">
        <f>IF($CI1165="Fully Defeased",1,0)</f>
        <v/>
      </c>
      <c r="CK1165" s="76">
        <f>IF($R1165="IO","Full IO",IF(LEFT($R1165&amp;"",7)="IO then","Partial IO","Amortizing"))</f>
        <v/>
      </c>
      <c r="CL1165" s="78">
        <f>IF($CK1165="Full IO",1,0)</f>
        <v/>
      </c>
      <c r="CM1165" s="78">
        <f>IF($CK1165="Partial IO",1,0)</f>
        <v/>
      </c>
      <c r="CN1165" s="76">
        <f>IF(LEFT($F1165&amp;"",10)="SPLIT_LOAN","Pari Passu Split","Standalone")</f>
        <v/>
      </c>
      <c r="CO1165" s="78">
        <f>IF($CN1165="Pari Passu Split",1,0)</f>
        <v/>
      </c>
      <c r="CP1165" s="77">
        <f>IF(ISNUMBER($T1165),YEAR($T1165),"")</f>
        <v/>
      </c>
      <c r="CQ1165" s="79">
        <f>IF(ISNUMBER($V1165),$V1165,IF(ISNUMBER($U1165),$U1165,""))</f>
        <v/>
      </c>
      <c r="CR1165" s="77">
        <f>IF(ISNUMBER($CQ1165),YEAR($CQ1165),"")</f>
        <v/>
      </c>
      <c r="CS1165" s="78">
        <f>IF(ISNUMBER($M1165),MAX(0,$M1165),IF(TRIM($M1165&amp;"")="matured",0,""))</f>
        <v/>
      </c>
      <c r="CT1165" s="78">
        <f>IF(AND(ISNUMBER($CS1165),N($CS1165)&lt;=mMatWindow),1,0)</f>
        <v/>
      </c>
      <c r="CU1165" s="80">
        <f>IF(ISNUMBER($J1165),$J1165/100,"")</f>
        <v/>
      </c>
      <c r="CV1165" s="81">
        <f>IF(ISNUMBER($AQ1165),$AQ1165,"")</f>
        <v/>
      </c>
      <c r="CW1165" s="81">
        <f>IF(ISNUMBER($AR1165),$AR1165,"")</f>
        <v/>
      </c>
      <c r="CX1165" s="82">
        <f>IF(ISNUMBER($AS1165),$AS1165/100,"")</f>
        <v/>
      </c>
      <c r="CY1165" s="82">
        <f>IF(ISNUMBER($AT1165),$AT1165/100,"")</f>
        <v/>
      </c>
      <c r="CZ1165" s="82">
        <f>IF(ISNUMBER($AU1165),$AU1165/100,"")</f>
        <v/>
      </c>
      <c r="DA1165" s="82">
        <f>IF(ISNUMBER($AV1165),$AV1165/100,"")</f>
        <v/>
      </c>
      <c r="DB1165" s="82">
        <f>IF(ISNUMBER($AW1165),$AW1165/100,"")</f>
        <v/>
      </c>
      <c r="DC1165" s="82">
        <f>IF(ISNUMBER($AX1165),$AX1165/100,"")</f>
        <v/>
      </c>
      <c r="DD1165" s="77">
        <f>IFERROR(VALUE(LEFT(TRIM($AO1165&amp;""),4)),"")</f>
        <v/>
      </c>
      <c r="DE1165" s="78">
        <f>IF(AND($BY1165=1,$BX1165=1,OR(fDeal="All Deals",$BU1165=fDeal),OR(fEntity="All Entities",$BV1165=fEntity),OR(fPType="All Property Types",$BZ1165=fPType),OR(fDefeased="Include",$CJ1165=0)),1,0)</f>
        <v/>
      </c>
      <c r="DF1165" s="83">
        <f>$DE1165*N($I1165)</f>
        <v/>
      </c>
      <c r="DG1165" s="78">
        <f>IF($DE1165=1,IF(COUNTIFS($F$8:$F1165,$F1165,$DE$8:$DE1165,1)=1,1,0),0)</f>
        <v/>
      </c>
      <c r="DH1165" s="83">
        <f>IF($DG1165=1,SUMIFS($DF$8:$DF$1600,$F$8:$F$1600,$F1165),0)</f>
        <v/>
      </c>
      <c r="DI1165" s="78">
        <f>IF($DG1165=1,COUNTIFS($F$8:$F$1600,$F1165,$DE$8:$DE$1600,1),0)</f>
        <v/>
      </c>
      <c r="DJ1165" s="84">
        <f>IF($DG1165=1,$DH1165+(100000-ROW())/mTieBreak,0)</f>
        <v/>
      </c>
    </row>
    <row r="1166">
      <c r="B1166" s="68" t="n">
        <v>45</v>
      </c>
      <c r="C1166" s="69" t="inlineStr">
        <is>
          <t>LCC17L26</t>
        </is>
      </c>
      <c r="D1166" s="69" t="inlineStr">
        <is>
          <t>45.000</t>
        </is>
      </c>
      <c r="E1166" s="69" t="inlineStr">
        <is>
          <t>Dollar General Port O'Connor</t>
        </is>
      </c>
      <c r="F1166" s="69" t="inlineStr">
        <is>
          <t>LNLCC17L26-45.000</t>
        </is>
      </c>
      <c r="G1166" s="70" t="n"/>
      <c r="H1166" s="71" t="n">
        <v>935000</v>
      </c>
      <c r="I1166" s="71" t="n">
        <v>935000</v>
      </c>
      <c r="J1166" s="72" t="n">
        <v>5.85</v>
      </c>
      <c r="K1166" s="69" t="inlineStr">
        <is>
          <t>Fixed rate</t>
        </is>
      </c>
      <c r="L1166" s="68" t="n">
        <v>120</v>
      </c>
      <c r="M1166" s="68" t="n">
        <v>9</v>
      </c>
      <c r="N1166" s="68" t="n">
        <v>120</v>
      </c>
      <c r="O1166" s="68" t="n">
        <v>120</v>
      </c>
      <c r="P1166" s="68" t="n">
        <v>9</v>
      </c>
      <c r="Q1166" s="68" t="n">
        <v>111</v>
      </c>
      <c r="R1166" s="69" t="inlineStr">
        <is>
          <t>IO</t>
        </is>
      </c>
      <c r="S1166" s="69" t="inlineStr">
        <is>
          <t>Yes</t>
        </is>
      </c>
      <c r="T1166" s="73" t="n">
        <v>42887</v>
      </c>
      <c r="U1166" s="73" t="n">
        <v>48371</v>
      </c>
      <c r="V1166" s="73" t="n">
        <v>46544</v>
      </c>
      <c r="W1166" s="69" t="n"/>
      <c r="X1166" s="69" t="inlineStr">
        <is>
          <t>Current</t>
        </is>
      </c>
      <c r="Y1166" s="68" t="n"/>
      <c r="Z1166" s="69" t="inlineStr">
        <is>
          <t>No Defeasance Occurred</t>
        </is>
      </c>
      <c r="AA1166" s="69" t="n"/>
      <c r="AB1166" s="69" t="inlineStr">
        <is>
          <t>Never special serv</t>
        </is>
      </c>
      <c r="AC1166" s="73" t="n"/>
      <c r="AD1166" s="69" t="n"/>
      <c r="AE1166" s="69" t="n"/>
      <c r="AF1166" s="69" t="inlineStr">
        <is>
          <t>TX</t>
        </is>
      </c>
      <c r="AG1166" s="69" t="inlineStr">
        <is>
          <t>Port O'Connor</t>
        </is>
      </c>
      <c r="AH1166" s="69" t="inlineStr">
        <is>
          <t>Port Lavaca, TX</t>
        </is>
      </c>
      <c r="AI1166" s="69" t="inlineStr">
        <is>
          <t>South / Central West</t>
        </is>
      </c>
      <c r="AJ1166" s="69" t="inlineStr">
        <is>
          <t>RT</t>
        </is>
      </c>
      <c r="AK1166" s="69" t="inlineStr">
        <is>
          <t>Single Tenant</t>
        </is>
      </c>
      <c r="AL1166" s="68" t="n">
        <v>1</v>
      </c>
      <c r="AM1166" s="68" t="n"/>
      <c r="AN1166" s="68" t="n">
        <v>9100</v>
      </c>
      <c r="AO1166" s="69" t="inlineStr">
        <is>
          <t>2017</t>
        </is>
      </c>
      <c r="AP1166" s="70" t="n">
        <v>2017</v>
      </c>
      <c r="AQ1166" s="74" t="n">
        <v>1.5</v>
      </c>
      <c r="AR1166" s="74" t="n">
        <v>1.56</v>
      </c>
      <c r="AS1166" s="74" t="n">
        <v>69.8</v>
      </c>
      <c r="AT1166" s="74" t="n">
        <v>69.78</v>
      </c>
      <c r="AU1166" s="74" t="n">
        <v>69.8</v>
      </c>
      <c r="AV1166" s="74" t="n">
        <v>8.925390373999999</v>
      </c>
      <c r="AW1166" s="74" t="n">
        <v>9.261247059</v>
      </c>
      <c r="AX1166" s="75" t="n">
        <v>100</v>
      </c>
      <c r="AY1166" s="71" t="n">
        <v>1340000</v>
      </c>
      <c r="AZ1166" s="71" t="n">
        <v>1340000</v>
      </c>
      <c r="BA1166" s="71" t="n">
        <v>83452.39999999999</v>
      </c>
      <c r="BB1166" s="71" t="n">
        <v>86592.66</v>
      </c>
      <c r="BC1166" s="69" t="inlineStr">
        <is>
          <t>Acquisition</t>
        </is>
      </c>
      <c r="BD1166" s="69" t="inlineStr">
        <is>
          <t>N</t>
        </is>
      </c>
      <c r="BE1166" s="71" t="n"/>
      <c r="BF1166" s="71" t="n"/>
      <c r="BG1166" s="71" t="n"/>
      <c r="BH1166" s="71" t="n">
        <v>0</v>
      </c>
      <c r="BI1166" s="71" t="n">
        <v>0</v>
      </c>
      <c r="BJ1166" s="69" t="inlineStr">
        <is>
          <t>N</t>
        </is>
      </c>
      <c r="BK1166" s="69" t="inlineStr">
        <is>
          <t>Dollar General</t>
        </is>
      </c>
      <c r="BL1166" s="75" t="n">
        <v>100</v>
      </c>
      <c r="BM1166" s="73" t="n">
        <v>48244</v>
      </c>
      <c r="BN1166" s="69" t="inlineStr">
        <is>
          <t>Ladder Capital Finance Holdings LLLP</t>
        </is>
      </c>
      <c r="BO1166" s="69" t="inlineStr">
        <is>
          <t>Ladder Capital Finance</t>
        </is>
      </c>
      <c r="BP1166" s="69" t="inlineStr">
        <is>
          <t>TriMont Real Estate Advisors</t>
        </is>
      </c>
      <c r="BQ1166" s="69" t="inlineStr">
        <is>
          <t>K-Star Asset Management LLC</t>
        </is>
      </c>
      <c r="BR1166" s="69" t="n"/>
      <c r="BS1166" s="73" t="n">
        <v>46273</v>
      </c>
      <c r="BU1166" s="76">
        <f>IF($C1166="","",IFERROR(INDEX(dmName,MATCH($C1166,dmID,0)),"Unmapped"))</f>
        <v/>
      </c>
      <c r="BV1166" s="76">
        <f>IF($C1166="","",IFERROR(INDEX(dmEntity,MATCH($C1166,dmID,0)),"Unmapped"))</f>
        <v/>
      </c>
      <c r="BW1166" s="77">
        <f>IF($C1166="","",IFERROR(INDEX(dmVintage,MATCH($C1166,dmID,0)),""))</f>
        <v/>
      </c>
      <c r="BX1166" s="78">
        <f>IFERROR(INDEX(dmInclude,MATCH($C1166,dmID,0)),0)</f>
        <v/>
      </c>
      <c r="BY1166" s="78">
        <f>IF(N($I1166)&gt;0,1,0)</f>
        <v/>
      </c>
      <c r="BZ1166" s="76">
        <f>IF($AJ1166="","Other / Leased Fee",IFERROR(INDEX(mapPTGroup,MATCH(LEFT(TRIM($AJ1166),2),mapPTCode,0)),"Other / Leased Fee"))</f>
        <v/>
      </c>
      <c r="CA1166" s="76">
        <f>IF(TRIM($AF1166&amp;"")="","NR",LEFT(TRIM($AF1166),2))</f>
        <v/>
      </c>
      <c r="CB1166" s="76">
        <f>IFERROR(LOOKUP(2,1/(LEFT(TRIM($AI1166&amp;""),LEN(mapRegion))=mapRegion),mapRegion),"Not Reported")</f>
        <v/>
      </c>
      <c r="CC1166" s="76">
        <f>IF($BY1166=0,"",IF(TRIM($W1166&amp;"")="REO","REO",IF(TRIM($W1166&amp;"")="FC","Foreclosure",IF(TRIM($W1166&amp;"")="90+","90+ Days Delinquent",IF(TRIM($W1166&amp;"")="60","60 Days Delinquent",IF(TRIM($W1166&amp;"")="30","30 Days Delinquent",IF($X1166="Non-Performing Matured Balloon","Non-Performing Matured Balloon",IF(OR($X1166="Late Payment But Less Than 30 Days Delinquent",LEFT($X1166&amp;"",20)="Payment Not Received"),"Late / In Grace (&lt;30 Days)",IF($X1166="Performing Matured Balloon","Performing Matured Balloon","Current")))))))))</f>
        <v/>
      </c>
      <c r="CD1166" s="78">
        <f>IF(OR($CC1166="REO",$CC1166="Foreclosure",$CC1166="90+ Days Delinquent",$CC1166="60 Days Delinquent",$CC1166="30 Days Delinquent",$CC1166="Non-Performing Matured Balloon"),1,0)</f>
        <v/>
      </c>
      <c r="CE1166" s="76">
        <f>IF($AB1166="Currently special serv","Currently Specially Serviced",IF($AB1166="Returned to master serv","Previously Specially Serviced","Never Specially Serviced"))</f>
        <v/>
      </c>
      <c r="CF1166" s="78">
        <f>IF($CE1166="Currently Specially Serviced",1,0)</f>
        <v/>
      </c>
      <c r="CG1166" s="76">
        <f>IF($AA1166="Yes","Currently on Watchlist",IF($AA1166="Previously","Previously on Watchlist","Never on Watchlist"))</f>
        <v/>
      </c>
      <c r="CH1166" s="78">
        <f>IF($CG1166="Currently on Watchlist",1,0)</f>
        <v/>
      </c>
      <c r="CI1166" s="76">
        <f>IF($Z1166="Full Defeasance","Fully Defeased",IF($Z1166="Portion Of Loan Previously Defeased","Partially Defeased",IF($Z1166="Defeasance Not Allowable","Not Defeased (Not Permitted)","Not Defeased")))</f>
        <v/>
      </c>
      <c r="CJ1166" s="78">
        <f>IF($CI1166="Fully Defeased",1,0)</f>
        <v/>
      </c>
      <c r="CK1166" s="76">
        <f>IF($R1166="IO","Full IO",IF(LEFT($R1166&amp;"",7)="IO then","Partial IO","Amortizing"))</f>
        <v/>
      </c>
      <c r="CL1166" s="78">
        <f>IF($CK1166="Full IO",1,0)</f>
        <v/>
      </c>
      <c r="CM1166" s="78">
        <f>IF($CK1166="Partial IO",1,0)</f>
        <v/>
      </c>
      <c r="CN1166" s="76">
        <f>IF(LEFT($F1166&amp;"",10)="SPLIT_LOAN","Pari Passu Split","Standalone")</f>
        <v/>
      </c>
      <c r="CO1166" s="78">
        <f>IF($CN1166="Pari Passu Split",1,0)</f>
        <v/>
      </c>
      <c r="CP1166" s="77">
        <f>IF(ISNUMBER($T1166),YEAR($T1166),"")</f>
        <v/>
      </c>
      <c r="CQ1166" s="79">
        <f>IF(ISNUMBER($V1166),$V1166,IF(ISNUMBER($U1166),$U1166,""))</f>
        <v/>
      </c>
      <c r="CR1166" s="77">
        <f>IF(ISNUMBER($CQ1166),YEAR($CQ1166),"")</f>
        <v/>
      </c>
      <c r="CS1166" s="78">
        <f>IF(ISNUMBER($M1166),MAX(0,$M1166),IF(TRIM($M1166&amp;"")="matured",0,""))</f>
        <v/>
      </c>
      <c r="CT1166" s="78">
        <f>IF(AND(ISNUMBER($CS1166),N($CS1166)&lt;=mMatWindow),1,0)</f>
        <v/>
      </c>
      <c r="CU1166" s="80">
        <f>IF(ISNUMBER($J1166),$J1166/100,"")</f>
        <v/>
      </c>
      <c r="CV1166" s="81">
        <f>IF(ISNUMBER($AQ1166),$AQ1166,"")</f>
        <v/>
      </c>
      <c r="CW1166" s="81">
        <f>IF(ISNUMBER($AR1166),$AR1166,"")</f>
        <v/>
      </c>
      <c r="CX1166" s="82">
        <f>IF(ISNUMBER($AS1166),$AS1166/100,"")</f>
        <v/>
      </c>
      <c r="CY1166" s="82">
        <f>IF(ISNUMBER($AT1166),$AT1166/100,"")</f>
        <v/>
      </c>
      <c r="CZ1166" s="82">
        <f>IF(ISNUMBER($AU1166),$AU1166/100,"")</f>
        <v/>
      </c>
      <c r="DA1166" s="82">
        <f>IF(ISNUMBER($AV1166),$AV1166/100,"")</f>
        <v/>
      </c>
      <c r="DB1166" s="82">
        <f>IF(ISNUMBER($AW1166),$AW1166/100,"")</f>
        <v/>
      </c>
      <c r="DC1166" s="82">
        <f>IF(ISNUMBER($AX1166),$AX1166/100,"")</f>
        <v/>
      </c>
      <c r="DD1166" s="77">
        <f>IFERROR(VALUE(LEFT(TRIM($AO1166&amp;""),4)),"")</f>
        <v/>
      </c>
      <c r="DE1166" s="78">
        <f>IF(AND($BY1166=1,$BX1166=1,OR(fDeal="All Deals",$BU1166=fDeal),OR(fEntity="All Entities",$BV1166=fEntity),OR(fPType="All Property Types",$BZ1166=fPType),OR(fDefeased="Include",$CJ1166=0)),1,0)</f>
        <v/>
      </c>
      <c r="DF1166" s="83">
        <f>$DE1166*N($I1166)</f>
        <v/>
      </c>
      <c r="DG1166" s="78">
        <f>IF($DE1166=1,IF(COUNTIFS($F$8:$F1166,$F1166,$DE$8:$DE1166,1)=1,1,0),0)</f>
        <v/>
      </c>
      <c r="DH1166" s="83">
        <f>IF($DG1166=1,SUMIFS($DF$8:$DF$1600,$F$8:$F$1600,$F1166),0)</f>
        <v/>
      </c>
      <c r="DI1166" s="78">
        <f>IF($DG1166=1,COUNTIFS($F$8:$F$1600,$F1166,$DE$8:$DE$1600,1),0)</f>
        <v/>
      </c>
      <c r="DJ1166" s="84">
        <f>IF($DG1166=1,$DH1166+(100000-ROW())/mTieBreak,0)</f>
        <v/>
      </c>
    </row>
    <row r="1167">
      <c r="B1167" s="68" t="n">
        <v>46</v>
      </c>
      <c r="C1167" s="69" t="inlineStr">
        <is>
          <t>LCC17L26</t>
        </is>
      </c>
      <c r="D1167" s="69" t="inlineStr">
        <is>
          <t>46.000</t>
        </is>
      </c>
      <c r="E1167" s="69" t="inlineStr">
        <is>
          <t>Dollar General Jefferson City</t>
        </is>
      </c>
      <c r="F1167" s="69" t="inlineStr">
        <is>
          <t>LNLCC17L26-46.000</t>
        </is>
      </c>
      <c r="G1167" s="70" t="n"/>
      <c r="H1167" s="71" t="n">
        <v>930000</v>
      </c>
      <c r="I1167" s="71" t="n">
        <v>930000</v>
      </c>
      <c r="J1167" s="72" t="n">
        <v>5.85</v>
      </c>
      <c r="K1167" s="69" t="inlineStr">
        <is>
          <t>Fixed rate</t>
        </is>
      </c>
      <c r="L1167" s="68" t="n">
        <v>120</v>
      </c>
      <c r="M1167" s="68" t="n">
        <v>9</v>
      </c>
      <c r="N1167" s="68" t="n">
        <v>120</v>
      </c>
      <c r="O1167" s="68" t="n">
        <v>120</v>
      </c>
      <c r="P1167" s="68" t="n">
        <v>9</v>
      </c>
      <c r="Q1167" s="68" t="n">
        <v>111</v>
      </c>
      <c r="R1167" s="69" t="inlineStr">
        <is>
          <t>IO</t>
        </is>
      </c>
      <c r="S1167" s="69" t="inlineStr">
        <is>
          <t>Yes</t>
        </is>
      </c>
      <c r="T1167" s="73" t="n">
        <v>42887</v>
      </c>
      <c r="U1167" s="73" t="n">
        <v>48371</v>
      </c>
      <c r="V1167" s="73" t="n">
        <v>46544</v>
      </c>
      <c r="W1167" s="69" t="n"/>
      <c r="X1167" s="69" t="inlineStr">
        <is>
          <t>Current</t>
        </is>
      </c>
      <c r="Y1167" s="68" t="n"/>
      <c r="Z1167" s="69" t="inlineStr">
        <is>
          <t>No Defeasance Occurred</t>
        </is>
      </c>
      <c r="AA1167" s="69" t="n"/>
      <c r="AB1167" s="69" t="inlineStr">
        <is>
          <t>Never special serv</t>
        </is>
      </c>
      <c r="AC1167" s="73" t="n"/>
      <c r="AD1167" s="69" t="n"/>
      <c r="AE1167" s="69" t="n"/>
      <c r="AF1167" s="69" t="inlineStr">
        <is>
          <t>MO</t>
        </is>
      </c>
      <c r="AG1167" s="69" t="inlineStr">
        <is>
          <t>Jefferson City</t>
        </is>
      </c>
      <c r="AH1167" s="69" t="inlineStr">
        <is>
          <t>Jefferson City, MO</t>
        </is>
      </c>
      <c r="AI1167" s="69" t="inlineStr">
        <is>
          <t>Midwest / Central West</t>
        </is>
      </c>
      <c r="AJ1167" s="69" t="inlineStr">
        <is>
          <t>RT</t>
        </is>
      </c>
      <c r="AK1167" s="69" t="inlineStr">
        <is>
          <t>Single Tenant</t>
        </is>
      </c>
      <c r="AL1167" s="68" t="n">
        <v>1</v>
      </c>
      <c r="AM1167" s="68" t="n"/>
      <c r="AN1167" s="68" t="n">
        <v>9002</v>
      </c>
      <c r="AO1167" s="69" t="inlineStr">
        <is>
          <t>2016-2017</t>
        </is>
      </c>
      <c r="AP1167" s="70" t="n">
        <v>2017</v>
      </c>
      <c r="AQ1167" s="74" t="n">
        <v>1.5</v>
      </c>
      <c r="AR1167" s="74" t="n">
        <v>1.56</v>
      </c>
      <c r="AS1167" s="74" t="n">
        <v>69.90000000000001</v>
      </c>
      <c r="AT1167" s="74" t="n">
        <v>69.92</v>
      </c>
      <c r="AU1167" s="74" t="n">
        <v>69.90000000000001</v>
      </c>
      <c r="AV1167" s="74" t="n">
        <v>8.896439785</v>
      </c>
      <c r="AW1167" s="74" t="n">
        <v>9.231505375999999</v>
      </c>
      <c r="AX1167" s="75" t="n">
        <v>100</v>
      </c>
      <c r="AY1167" s="71" t="n">
        <v>1330000</v>
      </c>
      <c r="AZ1167" s="71" t="n">
        <v>1330000</v>
      </c>
      <c r="BA1167" s="71" t="n">
        <v>82736.89</v>
      </c>
      <c r="BB1167" s="71" t="n">
        <v>85853</v>
      </c>
      <c r="BC1167" s="69" t="inlineStr">
        <is>
          <t>Acquisition</t>
        </is>
      </c>
      <c r="BD1167" s="69" t="inlineStr">
        <is>
          <t>N</t>
        </is>
      </c>
      <c r="BE1167" s="71" t="n"/>
      <c r="BF1167" s="71" t="n"/>
      <c r="BG1167" s="71" t="n"/>
      <c r="BH1167" s="71" t="n">
        <v>0</v>
      </c>
      <c r="BI1167" s="71" t="n">
        <v>0</v>
      </c>
      <c r="BJ1167" s="69" t="inlineStr">
        <is>
          <t>N</t>
        </is>
      </c>
      <c r="BK1167" s="69" t="inlineStr">
        <is>
          <t>Dollar General</t>
        </is>
      </c>
      <c r="BL1167" s="75" t="n">
        <v>100</v>
      </c>
      <c r="BM1167" s="73" t="n">
        <v>48273</v>
      </c>
      <c r="BN1167" s="69" t="inlineStr">
        <is>
          <t>Ladder Capital Finance Holdings LLLP</t>
        </is>
      </c>
      <c r="BO1167" s="69" t="inlineStr">
        <is>
          <t>Ladder Capital Finance</t>
        </is>
      </c>
      <c r="BP1167" s="69" t="inlineStr">
        <is>
          <t>TriMont Real Estate Advisors</t>
        </is>
      </c>
      <c r="BQ1167" s="69" t="inlineStr">
        <is>
          <t>K-Star Asset Management LLC</t>
        </is>
      </c>
      <c r="BR1167" s="69" t="n"/>
      <c r="BS1167" s="73" t="n">
        <v>46273</v>
      </c>
      <c r="BU1167" s="76">
        <f>IF($C1167="","",IFERROR(INDEX(dmName,MATCH($C1167,dmID,0)),"Unmapped"))</f>
        <v/>
      </c>
      <c r="BV1167" s="76">
        <f>IF($C1167="","",IFERROR(INDEX(dmEntity,MATCH($C1167,dmID,0)),"Unmapped"))</f>
        <v/>
      </c>
      <c r="BW1167" s="77">
        <f>IF($C1167="","",IFERROR(INDEX(dmVintage,MATCH($C1167,dmID,0)),""))</f>
        <v/>
      </c>
      <c r="BX1167" s="78">
        <f>IFERROR(INDEX(dmInclude,MATCH($C1167,dmID,0)),0)</f>
        <v/>
      </c>
      <c r="BY1167" s="78">
        <f>IF(N($I1167)&gt;0,1,0)</f>
        <v/>
      </c>
      <c r="BZ1167" s="76">
        <f>IF($AJ1167="","Other / Leased Fee",IFERROR(INDEX(mapPTGroup,MATCH(LEFT(TRIM($AJ1167),2),mapPTCode,0)),"Other / Leased Fee"))</f>
        <v/>
      </c>
      <c r="CA1167" s="76">
        <f>IF(TRIM($AF1167&amp;"")="","NR",LEFT(TRIM($AF1167),2))</f>
        <v/>
      </c>
      <c r="CB1167" s="76">
        <f>IFERROR(LOOKUP(2,1/(LEFT(TRIM($AI1167&amp;""),LEN(mapRegion))=mapRegion),mapRegion),"Not Reported")</f>
        <v/>
      </c>
      <c r="CC1167" s="76">
        <f>IF($BY1167=0,"",IF(TRIM($W1167&amp;"")="REO","REO",IF(TRIM($W1167&amp;"")="FC","Foreclosure",IF(TRIM($W1167&amp;"")="90+","90+ Days Delinquent",IF(TRIM($W1167&amp;"")="60","60 Days Delinquent",IF(TRIM($W1167&amp;"")="30","30 Days Delinquent",IF($X1167="Non-Performing Matured Balloon","Non-Performing Matured Balloon",IF(OR($X1167="Late Payment But Less Than 30 Days Delinquent",LEFT($X1167&amp;"",20)="Payment Not Received"),"Late / In Grace (&lt;30 Days)",IF($X1167="Performing Matured Balloon","Performing Matured Balloon","Current")))))))))</f>
        <v/>
      </c>
      <c r="CD1167" s="78">
        <f>IF(OR($CC1167="REO",$CC1167="Foreclosure",$CC1167="90+ Days Delinquent",$CC1167="60 Days Delinquent",$CC1167="30 Days Delinquent",$CC1167="Non-Performing Matured Balloon"),1,0)</f>
        <v/>
      </c>
      <c r="CE1167" s="76">
        <f>IF($AB1167="Currently special serv","Currently Specially Serviced",IF($AB1167="Returned to master serv","Previously Specially Serviced","Never Specially Serviced"))</f>
        <v/>
      </c>
      <c r="CF1167" s="78">
        <f>IF($CE1167="Currently Specially Serviced",1,0)</f>
        <v/>
      </c>
      <c r="CG1167" s="76">
        <f>IF($AA1167="Yes","Currently on Watchlist",IF($AA1167="Previously","Previously on Watchlist","Never on Watchlist"))</f>
        <v/>
      </c>
      <c r="CH1167" s="78">
        <f>IF($CG1167="Currently on Watchlist",1,0)</f>
        <v/>
      </c>
      <c r="CI1167" s="76">
        <f>IF($Z1167="Full Defeasance","Fully Defeased",IF($Z1167="Portion Of Loan Previously Defeased","Partially Defeased",IF($Z1167="Defeasance Not Allowable","Not Defeased (Not Permitted)","Not Defeased")))</f>
        <v/>
      </c>
      <c r="CJ1167" s="78">
        <f>IF($CI1167="Fully Defeased",1,0)</f>
        <v/>
      </c>
      <c r="CK1167" s="76">
        <f>IF($R1167="IO","Full IO",IF(LEFT($R1167&amp;"",7)="IO then","Partial IO","Amortizing"))</f>
        <v/>
      </c>
      <c r="CL1167" s="78">
        <f>IF($CK1167="Full IO",1,0)</f>
        <v/>
      </c>
      <c r="CM1167" s="78">
        <f>IF($CK1167="Partial IO",1,0)</f>
        <v/>
      </c>
      <c r="CN1167" s="76">
        <f>IF(LEFT($F1167&amp;"",10)="SPLIT_LOAN","Pari Passu Split","Standalone")</f>
        <v/>
      </c>
      <c r="CO1167" s="78">
        <f>IF($CN1167="Pari Passu Split",1,0)</f>
        <v/>
      </c>
      <c r="CP1167" s="77">
        <f>IF(ISNUMBER($T1167),YEAR($T1167),"")</f>
        <v/>
      </c>
      <c r="CQ1167" s="79">
        <f>IF(ISNUMBER($V1167),$V1167,IF(ISNUMBER($U1167),$U1167,""))</f>
        <v/>
      </c>
      <c r="CR1167" s="77">
        <f>IF(ISNUMBER($CQ1167),YEAR($CQ1167),"")</f>
        <v/>
      </c>
      <c r="CS1167" s="78">
        <f>IF(ISNUMBER($M1167),MAX(0,$M1167),IF(TRIM($M1167&amp;"")="matured",0,""))</f>
        <v/>
      </c>
      <c r="CT1167" s="78">
        <f>IF(AND(ISNUMBER($CS1167),N($CS1167)&lt;=mMatWindow),1,0)</f>
        <v/>
      </c>
      <c r="CU1167" s="80">
        <f>IF(ISNUMBER($J1167),$J1167/100,"")</f>
        <v/>
      </c>
      <c r="CV1167" s="81">
        <f>IF(ISNUMBER($AQ1167),$AQ1167,"")</f>
        <v/>
      </c>
      <c r="CW1167" s="81">
        <f>IF(ISNUMBER($AR1167),$AR1167,"")</f>
        <v/>
      </c>
      <c r="CX1167" s="82">
        <f>IF(ISNUMBER($AS1167),$AS1167/100,"")</f>
        <v/>
      </c>
      <c r="CY1167" s="82">
        <f>IF(ISNUMBER($AT1167),$AT1167/100,"")</f>
        <v/>
      </c>
      <c r="CZ1167" s="82">
        <f>IF(ISNUMBER($AU1167),$AU1167/100,"")</f>
        <v/>
      </c>
      <c r="DA1167" s="82">
        <f>IF(ISNUMBER($AV1167),$AV1167/100,"")</f>
        <v/>
      </c>
      <c r="DB1167" s="82">
        <f>IF(ISNUMBER($AW1167),$AW1167/100,"")</f>
        <v/>
      </c>
      <c r="DC1167" s="82">
        <f>IF(ISNUMBER($AX1167),$AX1167/100,"")</f>
        <v/>
      </c>
      <c r="DD1167" s="77">
        <f>IFERROR(VALUE(LEFT(TRIM($AO1167&amp;""),4)),"")</f>
        <v/>
      </c>
      <c r="DE1167" s="78">
        <f>IF(AND($BY1167=1,$BX1167=1,OR(fDeal="All Deals",$BU1167=fDeal),OR(fEntity="All Entities",$BV1167=fEntity),OR(fPType="All Property Types",$BZ1167=fPType),OR(fDefeased="Include",$CJ1167=0)),1,0)</f>
        <v/>
      </c>
      <c r="DF1167" s="83">
        <f>$DE1167*N($I1167)</f>
        <v/>
      </c>
      <c r="DG1167" s="78">
        <f>IF($DE1167=1,IF(COUNTIFS($F$8:$F1167,$F1167,$DE$8:$DE1167,1)=1,1,0),0)</f>
        <v/>
      </c>
      <c r="DH1167" s="83">
        <f>IF($DG1167=1,SUMIFS($DF$8:$DF$1600,$F$8:$F$1600,$F1167),0)</f>
        <v/>
      </c>
      <c r="DI1167" s="78">
        <f>IF($DG1167=1,COUNTIFS($F$8:$F$1600,$F1167,$DE$8:$DE$1600,1),0)</f>
        <v/>
      </c>
      <c r="DJ1167" s="84">
        <f>IF($DG1167=1,$DH1167+(100000-ROW())/mTieBreak,0)</f>
        <v/>
      </c>
    </row>
    <row r="1168">
      <c r="B1168" s="68" t="n">
        <v>47</v>
      </c>
      <c r="C1168" s="69" t="inlineStr">
        <is>
          <t>LCC17L26</t>
        </is>
      </c>
      <c r="D1168" s="69" t="inlineStr">
        <is>
          <t>47.000</t>
        </is>
      </c>
      <c r="E1168" s="69" t="inlineStr">
        <is>
          <t>Dollar General Pawnee</t>
        </is>
      </c>
      <c r="F1168" s="69" t="inlineStr">
        <is>
          <t>LNLCC17L26-47.000</t>
        </is>
      </c>
      <c r="G1168" s="70" t="n"/>
      <c r="H1168" s="71" t="n">
        <v>930000</v>
      </c>
      <c r="I1168" s="71" t="n">
        <v>930000</v>
      </c>
      <c r="J1168" s="72" t="n">
        <v>6.03</v>
      </c>
      <c r="K1168" s="69" t="inlineStr">
        <is>
          <t>Fixed rate</t>
        </is>
      </c>
      <c r="L1168" s="68" t="n">
        <v>120</v>
      </c>
      <c r="M1168" s="68" t="n">
        <v>9</v>
      </c>
      <c r="N1168" s="68" t="n">
        <v>120</v>
      </c>
      <c r="O1168" s="68" t="n">
        <v>120</v>
      </c>
      <c r="P1168" s="68" t="n">
        <v>9</v>
      </c>
      <c r="Q1168" s="68" t="n">
        <v>111</v>
      </c>
      <c r="R1168" s="69" t="inlineStr">
        <is>
          <t>IO</t>
        </is>
      </c>
      <c r="S1168" s="69" t="inlineStr">
        <is>
          <t>Yes</t>
        </is>
      </c>
      <c r="T1168" s="73" t="n">
        <v>42887</v>
      </c>
      <c r="U1168" s="73" t="n">
        <v>48371</v>
      </c>
      <c r="V1168" s="73" t="n">
        <v>46544</v>
      </c>
      <c r="W1168" s="69" t="n"/>
      <c r="X1168" s="69" t="inlineStr">
        <is>
          <t>Current</t>
        </is>
      </c>
      <c r="Y1168" s="68" t="n"/>
      <c r="Z1168" s="69" t="inlineStr">
        <is>
          <t>No Defeasance Occurred</t>
        </is>
      </c>
      <c r="AA1168" s="69" t="n"/>
      <c r="AB1168" s="69" t="inlineStr">
        <is>
          <t>Never special serv</t>
        </is>
      </c>
      <c r="AC1168" s="73" t="n"/>
      <c r="AD1168" s="69" t="n"/>
      <c r="AE1168" s="69" t="n"/>
      <c r="AF1168" s="69" t="inlineStr">
        <is>
          <t>IL</t>
        </is>
      </c>
      <c r="AG1168" s="69" t="inlineStr">
        <is>
          <t>Pawnee</t>
        </is>
      </c>
      <c r="AH1168" s="69" t="inlineStr">
        <is>
          <t>Springfield, IL</t>
        </is>
      </c>
      <c r="AI1168" s="69" t="inlineStr">
        <is>
          <t>Midwest / Central East</t>
        </is>
      </c>
      <c r="AJ1168" s="69" t="inlineStr">
        <is>
          <t>RT</t>
        </is>
      </c>
      <c r="AK1168" s="69" t="inlineStr">
        <is>
          <t>Single Tenant</t>
        </is>
      </c>
      <c r="AL1168" s="68" t="n">
        <v>1</v>
      </c>
      <c r="AM1168" s="68" t="n"/>
      <c r="AN1168" s="68" t="n">
        <v>9002</v>
      </c>
      <c r="AO1168" s="69" t="inlineStr">
        <is>
          <t>2016</t>
        </is>
      </c>
      <c r="AP1168" s="70" t="n">
        <v>2016</v>
      </c>
      <c r="AQ1168" s="74" t="n">
        <v>1.42</v>
      </c>
      <c r="AR1168" s="74" t="n">
        <v>1.22</v>
      </c>
      <c r="AS1168" s="74" t="n">
        <v>69.90000000000001</v>
      </c>
      <c r="AT1168" s="74" t="n">
        <v>69.92</v>
      </c>
      <c r="AU1168" s="74" t="n">
        <v>69.90000000000001</v>
      </c>
      <c r="AV1168" s="74" t="n">
        <v>8.675279570000001</v>
      </c>
      <c r="AW1168" s="74" t="n">
        <v>7.474762366</v>
      </c>
      <c r="AX1168" s="75" t="n">
        <v>100</v>
      </c>
      <c r="AY1168" s="71" t="n">
        <v>1330000</v>
      </c>
      <c r="AZ1168" s="71" t="n">
        <v>1330000</v>
      </c>
      <c r="BA1168" s="71" t="n">
        <v>80680.10000000001</v>
      </c>
      <c r="BB1168" s="71" t="n">
        <v>69515.28999999999</v>
      </c>
      <c r="BC1168" s="69" t="inlineStr">
        <is>
          <t>Acquisition</t>
        </is>
      </c>
      <c r="BD1168" s="69" t="inlineStr">
        <is>
          <t>N</t>
        </is>
      </c>
      <c r="BE1168" s="71" t="n"/>
      <c r="BF1168" s="71" t="n"/>
      <c r="BG1168" s="71" t="n"/>
      <c r="BH1168" s="71" t="n">
        <v>0</v>
      </c>
      <c r="BI1168" s="71" t="n">
        <v>0</v>
      </c>
      <c r="BJ1168" s="69" t="inlineStr">
        <is>
          <t>N</t>
        </is>
      </c>
      <c r="BK1168" s="69" t="inlineStr">
        <is>
          <t>Dollar General</t>
        </is>
      </c>
      <c r="BL1168" s="75" t="n">
        <v>100</v>
      </c>
      <c r="BM1168" s="73" t="n">
        <v>47999</v>
      </c>
      <c r="BN1168" s="69" t="inlineStr">
        <is>
          <t>Ladder Capital Finance Holdings LLLP</t>
        </is>
      </c>
      <c r="BO1168" s="69" t="inlineStr">
        <is>
          <t>Ladder Capital Finance</t>
        </is>
      </c>
      <c r="BP1168" s="69" t="inlineStr">
        <is>
          <t>TriMont Real Estate Advisors</t>
        </is>
      </c>
      <c r="BQ1168" s="69" t="inlineStr">
        <is>
          <t>K-Star Asset Management LLC</t>
        </is>
      </c>
      <c r="BR1168" s="69" t="n"/>
      <c r="BS1168" s="73" t="n">
        <v>46273</v>
      </c>
      <c r="BU1168" s="76">
        <f>IF($C1168="","",IFERROR(INDEX(dmName,MATCH($C1168,dmID,0)),"Unmapped"))</f>
        <v/>
      </c>
      <c r="BV1168" s="76">
        <f>IF($C1168="","",IFERROR(INDEX(dmEntity,MATCH($C1168,dmID,0)),"Unmapped"))</f>
        <v/>
      </c>
      <c r="BW1168" s="77">
        <f>IF($C1168="","",IFERROR(INDEX(dmVintage,MATCH($C1168,dmID,0)),""))</f>
        <v/>
      </c>
      <c r="BX1168" s="78">
        <f>IFERROR(INDEX(dmInclude,MATCH($C1168,dmID,0)),0)</f>
        <v/>
      </c>
      <c r="BY1168" s="78">
        <f>IF(N($I1168)&gt;0,1,0)</f>
        <v/>
      </c>
      <c r="BZ1168" s="76">
        <f>IF($AJ1168="","Other / Leased Fee",IFERROR(INDEX(mapPTGroup,MATCH(LEFT(TRIM($AJ1168),2),mapPTCode,0)),"Other / Leased Fee"))</f>
        <v/>
      </c>
      <c r="CA1168" s="76">
        <f>IF(TRIM($AF1168&amp;"")="","NR",LEFT(TRIM($AF1168),2))</f>
        <v/>
      </c>
      <c r="CB1168" s="76">
        <f>IFERROR(LOOKUP(2,1/(LEFT(TRIM($AI1168&amp;""),LEN(mapRegion))=mapRegion),mapRegion),"Not Reported")</f>
        <v/>
      </c>
      <c r="CC1168" s="76">
        <f>IF($BY1168=0,"",IF(TRIM($W1168&amp;"")="REO","REO",IF(TRIM($W1168&amp;"")="FC","Foreclosure",IF(TRIM($W1168&amp;"")="90+","90+ Days Delinquent",IF(TRIM($W1168&amp;"")="60","60 Days Delinquent",IF(TRIM($W1168&amp;"")="30","30 Days Delinquent",IF($X1168="Non-Performing Matured Balloon","Non-Performing Matured Balloon",IF(OR($X1168="Late Payment But Less Than 30 Days Delinquent",LEFT($X1168&amp;"",20)="Payment Not Received"),"Late / In Grace (&lt;30 Days)",IF($X1168="Performing Matured Balloon","Performing Matured Balloon","Current")))))))))</f>
        <v/>
      </c>
      <c r="CD1168" s="78">
        <f>IF(OR($CC1168="REO",$CC1168="Foreclosure",$CC1168="90+ Days Delinquent",$CC1168="60 Days Delinquent",$CC1168="30 Days Delinquent",$CC1168="Non-Performing Matured Balloon"),1,0)</f>
        <v/>
      </c>
      <c r="CE1168" s="76">
        <f>IF($AB1168="Currently special serv","Currently Specially Serviced",IF($AB1168="Returned to master serv","Previously Specially Serviced","Never Specially Serviced"))</f>
        <v/>
      </c>
      <c r="CF1168" s="78">
        <f>IF($CE1168="Currently Specially Serviced",1,0)</f>
        <v/>
      </c>
      <c r="CG1168" s="76">
        <f>IF($AA1168="Yes","Currently on Watchlist",IF($AA1168="Previously","Previously on Watchlist","Never on Watchlist"))</f>
        <v/>
      </c>
      <c r="CH1168" s="78">
        <f>IF($CG1168="Currently on Watchlist",1,0)</f>
        <v/>
      </c>
      <c r="CI1168" s="76">
        <f>IF($Z1168="Full Defeasance","Fully Defeased",IF($Z1168="Portion Of Loan Previously Defeased","Partially Defeased",IF($Z1168="Defeasance Not Allowable","Not Defeased (Not Permitted)","Not Defeased")))</f>
        <v/>
      </c>
      <c r="CJ1168" s="78">
        <f>IF($CI1168="Fully Defeased",1,0)</f>
        <v/>
      </c>
      <c r="CK1168" s="76">
        <f>IF($R1168="IO","Full IO",IF(LEFT($R1168&amp;"",7)="IO then","Partial IO","Amortizing"))</f>
        <v/>
      </c>
      <c r="CL1168" s="78">
        <f>IF($CK1168="Full IO",1,0)</f>
        <v/>
      </c>
      <c r="CM1168" s="78">
        <f>IF($CK1168="Partial IO",1,0)</f>
        <v/>
      </c>
      <c r="CN1168" s="76">
        <f>IF(LEFT($F1168&amp;"",10)="SPLIT_LOAN","Pari Passu Split","Standalone")</f>
        <v/>
      </c>
      <c r="CO1168" s="78">
        <f>IF($CN1168="Pari Passu Split",1,0)</f>
        <v/>
      </c>
      <c r="CP1168" s="77">
        <f>IF(ISNUMBER($T1168),YEAR($T1168),"")</f>
        <v/>
      </c>
      <c r="CQ1168" s="79">
        <f>IF(ISNUMBER($V1168),$V1168,IF(ISNUMBER($U1168),$U1168,""))</f>
        <v/>
      </c>
      <c r="CR1168" s="77">
        <f>IF(ISNUMBER($CQ1168),YEAR($CQ1168),"")</f>
        <v/>
      </c>
      <c r="CS1168" s="78">
        <f>IF(ISNUMBER($M1168),MAX(0,$M1168),IF(TRIM($M1168&amp;"")="matured",0,""))</f>
        <v/>
      </c>
      <c r="CT1168" s="78">
        <f>IF(AND(ISNUMBER($CS1168),N($CS1168)&lt;=mMatWindow),1,0)</f>
        <v/>
      </c>
      <c r="CU1168" s="80">
        <f>IF(ISNUMBER($J1168),$J1168/100,"")</f>
        <v/>
      </c>
      <c r="CV1168" s="81">
        <f>IF(ISNUMBER($AQ1168),$AQ1168,"")</f>
        <v/>
      </c>
      <c r="CW1168" s="81">
        <f>IF(ISNUMBER($AR1168),$AR1168,"")</f>
        <v/>
      </c>
      <c r="CX1168" s="82">
        <f>IF(ISNUMBER($AS1168),$AS1168/100,"")</f>
        <v/>
      </c>
      <c r="CY1168" s="82">
        <f>IF(ISNUMBER($AT1168),$AT1168/100,"")</f>
        <v/>
      </c>
      <c r="CZ1168" s="82">
        <f>IF(ISNUMBER($AU1168),$AU1168/100,"")</f>
        <v/>
      </c>
      <c r="DA1168" s="82">
        <f>IF(ISNUMBER($AV1168),$AV1168/100,"")</f>
        <v/>
      </c>
      <c r="DB1168" s="82">
        <f>IF(ISNUMBER($AW1168),$AW1168/100,"")</f>
        <v/>
      </c>
      <c r="DC1168" s="82">
        <f>IF(ISNUMBER($AX1168),$AX1168/100,"")</f>
        <v/>
      </c>
      <c r="DD1168" s="77">
        <f>IFERROR(VALUE(LEFT(TRIM($AO1168&amp;""),4)),"")</f>
        <v/>
      </c>
      <c r="DE1168" s="78">
        <f>IF(AND($BY1168=1,$BX1168=1,OR(fDeal="All Deals",$BU1168=fDeal),OR(fEntity="All Entities",$BV1168=fEntity),OR(fPType="All Property Types",$BZ1168=fPType),OR(fDefeased="Include",$CJ1168=0)),1,0)</f>
        <v/>
      </c>
      <c r="DF1168" s="83">
        <f>$DE1168*N($I1168)</f>
        <v/>
      </c>
      <c r="DG1168" s="78">
        <f>IF($DE1168=1,IF(COUNTIFS($F$8:$F1168,$F1168,$DE$8:$DE1168,1)=1,1,0),0)</f>
        <v/>
      </c>
      <c r="DH1168" s="83">
        <f>IF($DG1168=1,SUMIFS($DF$8:$DF$1600,$F$8:$F$1600,$F1168),0)</f>
        <v/>
      </c>
      <c r="DI1168" s="78">
        <f>IF($DG1168=1,COUNTIFS($F$8:$F$1600,$F1168,$DE$8:$DE$1600,1),0)</f>
        <v/>
      </c>
      <c r="DJ1168" s="84">
        <f>IF($DG1168=1,$DH1168+(100000-ROW())/mTieBreak,0)</f>
        <v/>
      </c>
    </row>
    <row r="1169">
      <c r="B1169" s="68" t="n">
        <v>48</v>
      </c>
      <c r="C1169" s="69" t="inlineStr">
        <is>
          <t>LCC17L26</t>
        </is>
      </c>
      <c r="D1169" s="69" t="inlineStr">
        <is>
          <t>48.000</t>
        </is>
      </c>
      <c r="E1169" s="69" t="inlineStr">
        <is>
          <t>Dollar General Union</t>
        </is>
      </c>
      <c r="F1169" s="69" t="inlineStr">
        <is>
          <t>LNLCC17L26-48.000</t>
        </is>
      </c>
      <c r="G1169" s="70" t="n"/>
      <c r="H1169" s="71" t="n">
        <v>930000</v>
      </c>
      <c r="I1169" s="71" t="n">
        <v>930000</v>
      </c>
      <c r="J1169" s="72" t="n">
        <v>5.93</v>
      </c>
      <c r="K1169" s="69" t="inlineStr">
        <is>
          <t>Fixed rate</t>
        </is>
      </c>
      <c r="L1169" s="68" t="n">
        <v>120</v>
      </c>
      <c r="M1169" s="68" t="n">
        <v>9</v>
      </c>
      <c r="N1169" s="68" t="n">
        <v>120</v>
      </c>
      <c r="O1169" s="68" t="n">
        <v>120</v>
      </c>
      <c r="P1169" s="68" t="n">
        <v>9</v>
      </c>
      <c r="Q1169" s="68" t="n">
        <v>111</v>
      </c>
      <c r="R1169" s="69" t="inlineStr">
        <is>
          <t>IO</t>
        </is>
      </c>
      <c r="S1169" s="69" t="inlineStr">
        <is>
          <t>Yes</t>
        </is>
      </c>
      <c r="T1169" s="73" t="n">
        <v>42887</v>
      </c>
      <c r="U1169" s="73" t="n">
        <v>48371</v>
      </c>
      <c r="V1169" s="73" t="n">
        <v>46544</v>
      </c>
      <c r="W1169" s="69" t="n"/>
      <c r="X1169" s="69" t="inlineStr">
        <is>
          <t>Current</t>
        </is>
      </c>
      <c r="Y1169" s="68" t="n"/>
      <c r="Z1169" s="69" t="inlineStr">
        <is>
          <t>No Defeasance Occurred</t>
        </is>
      </c>
      <c r="AA1169" s="69" t="n"/>
      <c r="AB1169" s="69" t="inlineStr">
        <is>
          <t>Never special serv</t>
        </is>
      </c>
      <c r="AC1169" s="73" t="n"/>
      <c r="AD1169" s="69" t="n"/>
      <c r="AE1169" s="69" t="n"/>
      <c r="AF1169" s="69" t="inlineStr">
        <is>
          <t>MO</t>
        </is>
      </c>
      <c r="AG1169" s="69" t="inlineStr">
        <is>
          <t>Union</t>
        </is>
      </c>
      <c r="AH1169" s="69" t="inlineStr">
        <is>
          <t>St. Louis, MO-IL</t>
        </is>
      </c>
      <c r="AI1169" s="69" t="inlineStr">
        <is>
          <t>Midwest / Central West</t>
        </is>
      </c>
      <c r="AJ1169" s="69" t="inlineStr">
        <is>
          <t>RT</t>
        </is>
      </c>
      <c r="AK1169" s="69" t="inlineStr">
        <is>
          <t>Single Tenant</t>
        </is>
      </c>
      <c r="AL1169" s="68" t="n">
        <v>1</v>
      </c>
      <c r="AM1169" s="68" t="n"/>
      <c r="AN1169" s="68" t="n">
        <v>9100</v>
      </c>
      <c r="AO1169" s="69" t="inlineStr">
        <is>
          <t>2016</t>
        </is>
      </c>
      <c r="AP1169" s="70" t="n">
        <v>2016</v>
      </c>
      <c r="AQ1169" s="74" t="n">
        <v>1.47</v>
      </c>
      <c r="AR1169" s="74" t="n">
        <v>1.53</v>
      </c>
      <c r="AS1169" s="74" t="n">
        <v>69.90000000000001</v>
      </c>
      <c r="AT1169" s="74" t="n">
        <v>69.92</v>
      </c>
      <c r="AU1169" s="74" t="n">
        <v>69.90000000000001</v>
      </c>
      <c r="AV1169" s="74" t="n">
        <v>8.863106452</v>
      </c>
      <c r="AW1169" s="74" t="n">
        <v>9.194951613000001</v>
      </c>
      <c r="AX1169" s="75" t="n">
        <v>100</v>
      </c>
      <c r="AY1169" s="71" t="n">
        <v>1330000</v>
      </c>
      <c r="AZ1169" s="71" t="n">
        <v>1330000</v>
      </c>
      <c r="BA1169" s="71" t="n">
        <v>82426.89</v>
      </c>
      <c r="BB1169" s="71" t="n">
        <v>85513.05</v>
      </c>
      <c r="BC1169" s="69" t="inlineStr">
        <is>
          <t>Acquisition</t>
        </is>
      </c>
      <c r="BD1169" s="69" t="inlineStr">
        <is>
          <t>N</t>
        </is>
      </c>
      <c r="BE1169" s="71" t="n"/>
      <c r="BF1169" s="71" t="n"/>
      <c r="BG1169" s="71" t="n"/>
      <c r="BH1169" s="71" t="n">
        <v>0</v>
      </c>
      <c r="BI1169" s="71" t="n">
        <v>0</v>
      </c>
      <c r="BJ1169" s="69" t="inlineStr">
        <is>
          <t>N</t>
        </is>
      </c>
      <c r="BK1169" s="69" t="inlineStr">
        <is>
          <t>Dollar General</t>
        </is>
      </c>
      <c r="BL1169" s="75" t="n">
        <v>100</v>
      </c>
      <c r="BM1169" s="73" t="n">
        <v>47999</v>
      </c>
      <c r="BN1169" s="69" t="inlineStr">
        <is>
          <t>Ladder Capital Finance Holdings LLLP</t>
        </is>
      </c>
      <c r="BO1169" s="69" t="inlineStr">
        <is>
          <t>Ladder Capital Finance</t>
        </is>
      </c>
      <c r="BP1169" s="69" t="inlineStr">
        <is>
          <t>TriMont Real Estate Advisors</t>
        </is>
      </c>
      <c r="BQ1169" s="69" t="inlineStr">
        <is>
          <t>K-Star Asset Management LLC</t>
        </is>
      </c>
      <c r="BR1169" s="69" t="n"/>
      <c r="BS1169" s="73" t="n">
        <v>46273</v>
      </c>
      <c r="BU1169" s="76">
        <f>IF($C1169="","",IFERROR(INDEX(dmName,MATCH($C1169,dmID,0)),"Unmapped"))</f>
        <v/>
      </c>
      <c r="BV1169" s="76">
        <f>IF($C1169="","",IFERROR(INDEX(dmEntity,MATCH($C1169,dmID,0)),"Unmapped"))</f>
        <v/>
      </c>
      <c r="BW1169" s="77">
        <f>IF($C1169="","",IFERROR(INDEX(dmVintage,MATCH($C1169,dmID,0)),""))</f>
        <v/>
      </c>
      <c r="BX1169" s="78">
        <f>IFERROR(INDEX(dmInclude,MATCH($C1169,dmID,0)),0)</f>
        <v/>
      </c>
      <c r="BY1169" s="78">
        <f>IF(N($I1169)&gt;0,1,0)</f>
        <v/>
      </c>
      <c r="BZ1169" s="76">
        <f>IF($AJ1169="","Other / Leased Fee",IFERROR(INDEX(mapPTGroup,MATCH(LEFT(TRIM($AJ1169),2),mapPTCode,0)),"Other / Leased Fee"))</f>
        <v/>
      </c>
      <c r="CA1169" s="76">
        <f>IF(TRIM($AF1169&amp;"")="","NR",LEFT(TRIM($AF1169),2))</f>
        <v/>
      </c>
      <c r="CB1169" s="76">
        <f>IFERROR(LOOKUP(2,1/(LEFT(TRIM($AI1169&amp;""),LEN(mapRegion))=mapRegion),mapRegion),"Not Reported")</f>
        <v/>
      </c>
      <c r="CC1169" s="76">
        <f>IF($BY1169=0,"",IF(TRIM($W1169&amp;"")="REO","REO",IF(TRIM($W1169&amp;"")="FC","Foreclosure",IF(TRIM($W1169&amp;"")="90+","90+ Days Delinquent",IF(TRIM($W1169&amp;"")="60","60 Days Delinquent",IF(TRIM($W1169&amp;"")="30","30 Days Delinquent",IF($X1169="Non-Performing Matured Balloon","Non-Performing Matured Balloon",IF(OR($X1169="Late Payment But Less Than 30 Days Delinquent",LEFT($X1169&amp;"",20)="Payment Not Received"),"Late / In Grace (&lt;30 Days)",IF($X1169="Performing Matured Balloon","Performing Matured Balloon","Current")))))))))</f>
        <v/>
      </c>
      <c r="CD1169" s="78">
        <f>IF(OR($CC1169="REO",$CC1169="Foreclosure",$CC1169="90+ Days Delinquent",$CC1169="60 Days Delinquent",$CC1169="30 Days Delinquent",$CC1169="Non-Performing Matured Balloon"),1,0)</f>
        <v/>
      </c>
      <c r="CE1169" s="76">
        <f>IF($AB1169="Currently special serv","Currently Specially Serviced",IF($AB1169="Returned to master serv","Previously Specially Serviced","Never Specially Serviced"))</f>
        <v/>
      </c>
      <c r="CF1169" s="78">
        <f>IF($CE1169="Currently Specially Serviced",1,0)</f>
        <v/>
      </c>
      <c r="CG1169" s="76">
        <f>IF($AA1169="Yes","Currently on Watchlist",IF($AA1169="Previously","Previously on Watchlist","Never on Watchlist"))</f>
        <v/>
      </c>
      <c r="CH1169" s="78">
        <f>IF($CG1169="Currently on Watchlist",1,0)</f>
        <v/>
      </c>
      <c r="CI1169" s="76">
        <f>IF($Z1169="Full Defeasance","Fully Defeased",IF($Z1169="Portion Of Loan Previously Defeased","Partially Defeased",IF($Z1169="Defeasance Not Allowable","Not Defeased (Not Permitted)","Not Defeased")))</f>
        <v/>
      </c>
      <c r="CJ1169" s="78">
        <f>IF($CI1169="Fully Defeased",1,0)</f>
        <v/>
      </c>
      <c r="CK1169" s="76">
        <f>IF($R1169="IO","Full IO",IF(LEFT($R1169&amp;"",7)="IO then","Partial IO","Amortizing"))</f>
        <v/>
      </c>
      <c r="CL1169" s="78">
        <f>IF($CK1169="Full IO",1,0)</f>
        <v/>
      </c>
      <c r="CM1169" s="78">
        <f>IF($CK1169="Partial IO",1,0)</f>
        <v/>
      </c>
      <c r="CN1169" s="76">
        <f>IF(LEFT($F1169&amp;"",10)="SPLIT_LOAN","Pari Passu Split","Standalone")</f>
        <v/>
      </c>
      <c r="CO1169" s="78">
        <f>IF($CN1169="Pari Passu Split",1,0)</f>
        <v/>
      </c>
      <c r="CP1169" s="77">
        <f>IF(ISNUMBER($T1169),YEAR($T1169),"")</f>
        <v/>
      </c>
      <c r="CQ1169" s="79">
        <f>IF(ISNUMBER($V1169),$V1169,IF(ISNUMBER($U1169),$U1169,""))</f>
        <v/>
      </c>
      <c r="CR1169" s="77">
        <f>IF(ISNUMBER($CQ1169),YEAR($CQ1169),"")</f>
        <v/>
      </c>
      <c r="CS1169" s="78">
        <f>IF(ISNUMBER($M1169),MAX(0,$M1169),IF(TRIM($M1169&amp;"")="matured",0,""))</f>
        <v/>
      </c>
      <c r="CT1169" s="78">
        <f>IF(AND(ISNUMBER($CS1169),N($CS1169)&lt;=mMatWindow),1,0)</f>
        <v/>
      </c>
      <c r="CU1169" s="80">
        <f>IF(ISNUMBER($J1169),$J1169/100,"")</f>
        <v/>
      </c>
      <c r="CV1169" s="81">
        <f>IF(ISNUMBER($AQ1169),$AQ1169,"")</f>
        <v/>
      </c>
      <c r="CW1169" s="81">
        <f>IF(ISNUMBER($AR1169),$AR1169,"")</f>
        <v/>
      </c>
      <c r="CX1169" s="82">
        <f>IF(ISNUMBER($AS1169),$AS1169/100,"")</f>
        <v/>
      </c>
      <c r="CY1169" s="82">
        <f>IF(ISNUMBER($AT1169),$AT1169/100,"")</f>
        <v/>
      </c>
      <c r="CZ1169" s="82">
        <f>IF(ISNUMBER($AU1169),$AU1169/100,"")</f>
        <v/>
      </c>
      <c r="DA1169" s="82">
        <f>IF(ISNUMBER($AV1169),$AV1169/100,"")</f>
        <v/>
      </c>
      <c r="DB1169" s="82">
        <f>IF(ISNUMBER($AW1169),$AW1169/100,"")</f>
        <v/>
      </c>
      <c r="DC1169" s="82">
        <f>IF(ISNUMBER($AX1169),$AX1169/100,"")</f>
        <v/>
      </c>
      <c r="DD1169" s="77">
        <f>IFERROR(VALUE(LEFT(TRIM($AO1169&amp;""),4)),"")</f>
        <v/>
      </c>
      <c r="DE1169" s="78">
        <f>IF(AND($BY1169=1,$BX1169=1,OR(fDeal="All Deals",$BU1169=fDeal),OR(fEntity="All Entities",$BV1169=fEntity),OR(fPType="All Property Types",$BZ1169=fPType),OR(fDefeased="Include",$CJ1169=0)),1,0)</f>
        <v/>
      </c>
      <c r="DF1169" s="83">
        <f>$DE1169*N($I1169)</f>
        <v/>
      </c>
      <c r="DG1169" s="78">
        <f>IF($DE1169=1,IF(COUNTIFS($F$8:$F1169,$F1169,$DE$8:$DE1169,1)=1,1,0),0)</f>
        <v/>
      </c>
      <c r="DH1169" s="83">
        <f>IF($DG1169=1,SUMIFS($DF$8:$DF$1600,$F$8:$F$1600,$F1169),0)</f>
        <v/>
      </c>
      <c r="DI1169" s="78">
        <f>IF($DG1169=1,COUNTIFS($F$8:$F$1600,$F1169,$DE$8:$DE$1600,1),0)</f>
        <v/>
      </c>
      <c r="DJ1169" s="84">
        <f>IF($DG1169=1,$DH1169+(100000-ROW())/mTieBreak,0)</f>
        <v/>
      </c>
    </row>
    <row r="1170">
      <c r="B1170" s="68" t="n">
        <v>49</v>
      </c>
      <c r="C1170" s="69" t="inlineStr">
        <is>
          <t>LCC17L26</t>
        </is>
      </c>
      <c r="D1170" s="69" t="inlineStr">
        <is>
          <t>49.000</t>
        </is>
      </c>
      <c r="E1170" s="69" t="inlineStr">
        <is>
          <t>Dollar General Rantoul</t>
        </is>
      </c>
      <c r="F1170" s="69" t="inlineStr">
        <is>
          <t>LNLCC17L26-49.000</t>
        </is>
      </c>
      <c r="G1170" s="70" t="n"/>
      <c r="H1170" s="71" t="n">
        <v>909000</v>
      </c>
      <c r="I1170" s="71" t="n">
        <v>909000</v>
      </c>
      <c r="J1170" s="72" t="n">
        <v>5.9</v>
      </c>
      <c r="K1170" s="69" t="inlineStr">
        <is>
          <t>Fixed rate</t>
        </is>
      </c>
      <c r="L1170" s="68" t="n">
        <v>120</v>
      </c>
      <c r="M1170" s="68" t="n">
        <v>9</v>
      </c>
      <c r="N1170" s="68" t="n">
        <v>120</v>
      </c>
      <c r="O1170" s="68" t="n">
        <v>120</v>
      </c>
      <c r="P1170" s="68" t="n">
        <v>9</v>
      </c>
      <c r="Q1170" s="68" t="n">
        <v>111</v>
      </c>
      <c r="R1170" s="69" t="inlineStr">
        <is>
          <t>IO</t>
        </is>
      </c>
      <c r="S1170" s="69" t="inlineStr">
        <is>
          <t>Yes</t>
        </is>
      </c>
      <c r="T1170" s="73" t="n">
        <v>42887</v>
      </c>
      <c r="U1170" s="73" t="n">
        <v>48371</v>
      </c>
      <c r="V1170" s="73" t="n">
        <v>46544</v>
      </c>
      <c r="W1170" s="69" t="n"/>
      <c r="X1170" s="69" t="inlineStr">
        <is>
          <t>Current</t>
        </is>
      </c>
      <c r="Y1170" s="68" t="n"/>
      <c r="Z1170" s="69" t="inlineStr">
        <is>
          <t>No Defeasance Occurred</t>
        </is>
      </c>
      <c r="AA1170" s="69" t="inlineStr">
        <is>
          <t>Previously</t>
        </is>
      </c>
      <c r="AB1170" s="69" t="inlineStr">
        <is>
          <t>Never special serv</t>
        </is>
      </c>
      <c r="AC1170" s="73" t="n"/>
      <c r="AD1170" s="69" t="n"/>
      <c r="AE1170" s="69" t="n"/>
      <c r="AF1170" s="69" t="inlineStr">
        <is>
          <t>IL</t>
        </is>
      </c>
      <c r="AG1170" s="69" t="inlineStr">
        <is>
          <t>Rantoul</t>
        </is>
      </c>
      <c r="AH1170" s="69" t="inlineStr">
        <is>
          <t>Champaign-Urbana, IL</t>
        </is>
      </c>
      <c r="AI1170" s="69" t="inlineStr">
        <is>
          <t>Midwest / Central East</t>
        </is>
      </c>
      <c r="AJ1170" s="69" t="inlineStr">
        <is>
          <t>RT</t>
        </is>
      </c>
      <c r="AK1170" s="69" t="inlineStr">
        <is>
          <t>Single Tenant</t>
        </is>
      </c>
      <c r="AL1170" s="68" t="n">
        <v>1</v>
      </c>
      <c r="AM1170" s="68" t="n"/>
      <c r="AN1170" s="68" t="n">
        <v>9100</v>
      </c>
      <c r="AO1170" s="69" t="inlineStr">
        <is>
          <t>2016</t>
        </is>
      </c>
      <c r="AP1170" s="70" t="n">
        <v>2016</v>
      </c>
      <c r="AQ1170" s="74" t="n">
        <v>1.49</v>
      </c>
      <c r="AR1170" s="74" t="n">
        <v>1.54</v>
      </c>
      <c r="AS1170" s="74" t="n">
        <v>69.90000000000001</v>
      </c>
      <c r="AT1170" s="74" t="n">
        <v>69.92</v>
      </c>
      <c r="AU1170" s="74" t="n">
        <v>69.90000000000001</v>
      </c>
      <c r="AV1170" s="74" t="n">
        <v>8.8959967</v>
      </c>
      <c r="AW1170" s="74" t="n">
        <v>9.226501649999999</v>
      </c>
      <c r="AX1170" s="75" t="n">
        <v>100</v>
      </c>
      <c r="AY1170" s="71" t="n">
        <v>1300000</v>
      </c>
      <c r="AZ1170" s="71" t="n">
        <v>1300000</v>
      </c>
      <c r="BA1170" s="71" t="n">
        <v>80864.61</v>
      </c>
      <c r="BB1170" s="71" t="n">
        <v>83868.89999999999</v>
      </c>
      <c r="BC1170" s="69" t="inlineStr">
        <is>
          <t>Acquisition</t>
        </is>
      </c>
      <c r="BD1170" s="69" t="inlineStr">
        <is>
          <t>N</t>
        </is>
      </c>
      <c r="BE1170" s="71" t="n"/>
      <c r="BF1170" s="71" t="n"/>
      <c r="BG1170" s="71" t="n"/>
      <c r="BH1170" s="71" t="n">
        <v>0</v>
      </c>
      <c r="BI1170" s="71" t="n">
        <v>0</v>
      </c>
      <c r="BJ1170" s="69" t="inlineStr">
        <is>
          <t>N</t>
        </is>
      </c>
      <c r="BK1170" s="69" t="inlineStr">
        <is>
          <t>Dollar General</t>
        </is>
      </c>
      <c r="BL1170" s="75" t="n">
        <v>100</v>
      </c>
      <c r="BM1170" s="73" t="n">
        <v>47968</v>
      </c>
      <c r="BN1170" s="69" t="inlineStr">
        <is>
          <t>Ladder Capital Finance Holdings LLLP</t>
        </is>
      </c>
      <c r="BO1170" s="69" t="inlineStr">
        <is>
          <t>Ladder Capital Finance</t>
        </is>
      </c>
      <c r="BP1170" s="69" t="inlineStr">
        <is>
          <t>TriMont Real Estate Advisors</t>
        </is>
      </c>
      <c r="BQ1170" s="69" t="inlineStr">
        <is>
          <t>K-Star Asset Management LLC</t>
        </is>
      </c>
      <c r="BR1170" s="69" t="n"/>
      <c r="BS1170" s="73" t="n">
        <v>46273</v>
      </c>
      <c r="BU1170" s="76">
        <f>IF($C1170="","",IFERROR(INDEX(dmName,MATCH($C1170,dmID,0)),"Unmapped"))</f>
        <v/>
      </c>
      <c r="BV1170" s="76">
        <f>IF($C1170="","",IFERROR(INDEX(dmEntity,MATCH($C1170,dmID,0)),"Unmapped"))</f>
        <v/>
      </c>
      <c r="BW1170" s="77">
        <f>IF($C1170="","",IFERROR(INDEX(dmVintage,MATCH($C1170,dmID,0)),""))</f>
        <v/>
      </c>
      <c r="BX1170" s="78">
        <f>IFERROR(INDEX(dmInclude,MATCH($C1170,dmID,0)),0)</f>
        <v/>
      </c>
      <c r="BY1170" s="78">
        <f>IF(N($I1170)&gt;0,1,0)</f>
        <v/>
      </c>
      <c r="BZ1170" s="76">
        <f>IF($AJ1170="","Other / Leased Fee",IFERROR(INDEX(mapPTGroup,MATCH(LEFT(TRIM($AJ1170),2),mapPTCode,0)),"Other / Leased Fee"))</f>
        <v/>
      </c>
      <c r="CA1170" s="76">
        <f>IF(TRIM($AF1170&amp;"")="","NR",LEFT(TRIM($AF1170),2))</f>
        <v/>
      </c>
      <c r="CB1170" s="76">
        <f>IFERROR(LOOKUP(2,1/(LEFT(TRIM($AI1170&amp;""),LEN(mapRegion))=mapRegion),mapRegion),"Not Reported")</f>
        <v/>
      </c>
      <c r="CC1170" s="76">
        <f>IF($BY1170=0,"",IF(TRIM($W1170&amp;"")="REO","REO",IF(TRIM($W1170&amp;"")="FC","Foreclosure",IF(TRIM($W1170&amp;"")="90+","90+ Days Delinquent",IF(TRIM($W1170&amp;"")="60","60 Days Delinquent",IF(TRIM($W1170&amp;"")="30","30 Days Delinquent",IF($X1170="Non-Performing Matured Balloon","Non-Performing Matured Balloon",IF(OR($X1170="Late Payment But Less Than 30 Days Delinquent",LEFT($X1170&amp;"",20)="Payment Not Received"),"Late / In Grace (&lt;30 Days)",IF($X1170="Performing Matured Balloon","Performing Matured Balloon","Current")))))))))</f>
        <v/>
      </c>
      <c r="CD1170" s="78">
        <f>IF(OR($CC1170="REO",$CC1170="Foreclosure",$CC1170="90+ Days Delinquent",$CC1170="60 Days Delinquent",$CC1170="30 Days Delinquent",$CC1170="Non-Performing Matured Balloon"),1,0)</f>
        <v/>
      </c>
      <c r="CE1170" s="76">
        <f>IF($AB1170="Currently special serv","Currently Specially Serviced",IF($AB1170="Returned to master serv","Previously Specially Serviced","Never Specially Serviced"))</f>
        <v/>
      </c>
      <c r="CF1170" s="78">
        <f>IF($CE1170="Currently Specially Serviced",1,0)</f>
        <v/>
      </c>
      <c r="CG1170" s="76">
        <f>IF($AA1170="Yes","Currently on Watchlist",IF($AA1170="Previously","Previously on Watchlist","Never on Watchlist"))</f>
        <v/>
      </c>
      <c r="CH1170" s="78">
        <f>IF($CG1170="Currently on Watchlist",1,0)</f>
        <v/>
      </c>
      <c r="CI1170" s="76">
        <f>IF($Z1170="Full Defeasance","Fully Defeased",IF($Z1170="Portion Of Loan Previously Defeased","Partially Defeased",IF($Z1170="Defeasance Not Allowable","Not Defeased (Not Permitted)","Not Defeased")))</f>
        <v/>
      </c>
      <c r="CJ1170" s="78">
        <f>IF($CI1170="Fully Defeased",1,0)</f>
        <v/>
      </c>
      <c r="CK1170" s="76">
        <f>IF($R1170="IO","Full IO",IF(LEFT($R1170&amp;"",7)="IO then","Partial IO","Amortizing"))</f>
        <v/>
      </c>
      <c r="CL1170" s="78">
        <f>IF($CK1170="Full IO",1,0)</f>
        <v/>
      </c>
      <c r="CM1170" s="78">
        <f>IF($CK1170="Partial IO",1,0)</f>
        <v/>
      </c>
      <c r="CN1170" s="76">
        <f>IF(LEFT($F1170&amp;"",10)="SPLIT_LOAN","Pari Passu Split","Standalone")</f>
        <v/>
      </c>
      <c r="CO1170" s="78">
        <f>IF($CN1170="Pari Passu Split",1,0)</f>
        <v/>
      </c>
      <c r="CP1170" s="77">
        <f>IF(ISNUMBER($T1170),YEAR($T1170),"")</f>
        <v/>
      </c>
      <c r="CQ1170" s="79">
        <f>IF(ISNUMBER($V1170),$V1170,IF(ISNUMBER($U1170),$U1170,""))</f>
        <v/>
      </c>
      <c r="CR1170" s="77">
        <f>IF(ISNUMBER($CQ1170),YEAR($CQ1170),"")</f>
        <v/>
      </c>
      <c r="CS1170" s="78">
        <f>IF(ISNUMBER($M1170),MAX(0,$M1170),IF(TRIM($M1170&amp;"")="matured",0,""))</f>
        <v/>
      </c>
      <c r="CT1170" s="78">
        <f>IF(AND(ISNUMBER($CS1170),N($CS1170)&lt;=mMatWindow),1,0)</f>
        <v/>
      </c>
      <c r="CU1170" s="80">
        <f>IF(ISNUMBER($J1170),$J1170/100,"")</f>
        <v/>
      </c>
      <c r="CV1170" s="81">
        <f>IF(ISNUMBER($AQ1170),$AQ1170,"")</f>
        <v/>
      </c>
      <c r="CW1170" s="81">
        <f>IF(ISNUMBER($AR1170),$AR1170,"")</f>
        <v/>
      </c>
      <c r="CX1170" s="82">
        <f>IF(ISNUMBER($AS1170),$AS1170/100,"")</f>
        <v/>
      </c>
      <c r="CY1170" s="82">
        <f>IF(ISNUMBER($AT1170),$AT1170/100,"")</f>
        <v/>
      </c>
      <c r="CZ1170" s="82">
        <f>IF(ISNUMBER($AU1170),$AU1170/100,"")</f>
        <v/>
      </c>
      <c r="DA1170" s="82">
        <f>IF(ISNUMBER($AV1170),$AV1170/100,"")</f>
        <v/>
      </c>
      <c r="DB1170" s="82">
        <f>IF(ISNUMBER($AW1170),$AW1170/100,"")</f>
        <v/>
      </c>
      <c r="DC1170" s="82">
        <f>IF(ISNUMBER($AX1170),$AX1170/100,"")</f>
        <v/>
      </c>
      <c r="DD1170" s="77">
        <f>IFERROR(VALUE(LEFT(TRIM($AO1170&amp;""),4)),"")</f>
        <v/>
      </c>
      <c r="DE1170" s="78">
        <f>IF(AND($BY1170=1,$BX1170=1,OR(fDeal="All Deals",$BU1170=fDeal),OR(fEntity="All Entities",$BV1170=fEntity),OR(fPType="All Property Types",$BZ1170=fPType),OR(fDefeased="Include",$CJ1170=0)),1,0)</f>
        <v/>
      </c>
      <c r="DF1170" s="83">
        <f>$DE1170*N($I1170)</f>
        <v/>
      </c>
      <c r="DG1170" s="78">
        <f>IF($DE1170=1,IF(COUNTIFS($F$8:$F1170,$F1170,$DE$8:$DE1170,1)=1,1,0),0)</f>
        <v/>
      </c>
      <c r="DH1170" s="83">
        <f>IF($DG1170=1,SUMIFS($DF$8:$DF$1600,$F$8:$F$1600,$F1170),0)</f>
        <v/>
      </c>
      <c r="DI1170" s="78">
        <f>IF($DG1170=1,COUNTIFS($F$8:$F$1600,$F1170,$DE$8:$DE$1600,1),0)</f>
        <v/>
      </c>
      <c r="DJ1170" s="84">
        <f>IF($DG1170=1,$DH1170+(100000-ROW())/mTieBreak,0)</f>
        <v/>
      </c>
    </row>
    <row r="1171">
      <c r="B1171" s="68" t="n">
        <v>50</v>
      </c>
      <c r="C1171" s="69" t="inlineStr">
        <is>
          <t>LCC17L26</t>
        </is>
      </c>
      <c r="D1171" s="69" t="inlineStr">
        <is>
          <t>50.000</t>
        </is>
      </c>
      <c r="E1171" s="69" t="inlineStr">
        <is>
          <t>Dollar General Dryden</t>
        </is>
      </c>
      <c r="F1171" s="69" t="inlineStr">
        <is>
          <t>LNLCC17L26-50.000</t>
        </is>
      </c>
      <c r="G1171" s="70" t="n"/>
      <c r="H1171" s="71" t="n">
        <v>897000</v>
      </c>
      <c r="I1171" s="71" t="n">
        <v>897000</v>
      </c>
      <c r="J1171" s="72" t="n">
        <v>5.92</v>
      </c>
      <c r="K1171" s="69" t="inlineStr">
        <is>
          <t>Fixed rate</t>
        </is>
      </c>
      <c r="L1171" s="68" t="n">
        <v>120</v>
      </c>
      <c r="M1171" s="68" t="n">
        <v>9</v>
      </c>
      <c r="N1171" s="68" t="n">
        <v>120</v>
      </c>
      <c r="O1171" s="68" t="n">
        <v>120</v>
      </c>
      <c r="P1171" s="68" t="n">
        <v>9</v>
      </c>
      <c r="Q1171" s="68" t="n">
        <v>111</v>
      </c>
      <c r="R1171" s="69" t="inlineStr">
        <is>
          <t>IO</t>
        </is>
      </c>
      <c r="S1171" s="69" t="inlineStr">
        <is>
          <t>Yes</t>
        </is>
      </c>
      <c r="T1171" s="73" t="n">
        <v>42887</v>
      </c>
      <c r="U1171" s="73" t="n">
        <v>48371</v>
      </c>
      <c r="V1171" s="73" t="n">
        <v>46544</v>
      </c>
      <c r="W1171" s="69" t="n"/>
      <c r="X1171" s="69" t="inlineStr">
        <is>
          <t>Current</t>
        </is>
      </c>
      <c r="Y1171" s="68" t="n"/>
      <c r="Z1171" s="69" t="inlineStr">
        <is>
          <t>No Defeasance Occurred</t>
        </is>
      </c>
      <c r="AA1171" s="69" t="n"/>
      <c r="AB1171" s="69" t="inlineStr">
        <is>
          <t>Never special serv</t>
        </is>
      </c>
      <c r="AC1171" s="73" t="n"/>
      <c r="AD1171" s="69" t="n"/>
      <c r="AE1171" s="69" t="n"/>
      <c r="AF1171" s="69" t="inlineStr">
        <is>
          <t>MI</t>
        </is>
      </c>
      <c r="AG1171" s="69" t="inlineStr">
        <is>
          <t>Dryden Township</t>
        </is>
      </c>
      <c r="AH1171" s="69" t="inlineStr">
        <is>
          <t>Detroit-Warren-Dearborn, MI</t>
        </is>
      </c>
      <c r="AI1171" s="69" t="inlineStr">
        <is>
          <t>Midwest / Central East</t>
        </is>
      </c>
      <c r="AJ1171" s="69" t="inlineStr">
        <is>
          <t>RT</t>
        </is>
      </c>
      <c r="AK1171" s="69" t="inlineStr">
        <is>
          <t>Single Tenant</t>
        </is>
      </c>
      <c r="AL1171" s="68" t="n">
        <v>1</v>
      </c>
      <c r="AM1171" s="68" t="n"/>
      <c r="AN1171" s="68" t="n">
        <v>9026</v>
      </c>
      <c r="AO1171" s="69" t="inlineStr">
        <is>
          <t>2016</t>
        </is>
      </c>
      <c r="AP1171" s="70" t="n">
        <v>2016</v>
      </c>
      <c r="AQ1171" s="74" t="n">
        <v>1.48</v>
      </c>
      <c r="AR1171" s="74" t="n">
        <v>1.54</v>
      </c>
      <c r="AS1171" s="74" t="n">
        <v>69.8</v>
      </c>
      <c r="AT1171" s="74" t="n">
        <v>69.81</v>
      </c>
      <c r="AU1171" s="74" t="n">
        <v>69.8</v>
      </c>
      <c r="AV1171" s="74" t="n">
        <v>8.890507246</v>
      </c>
      <c r="AW1171" s="74" t="n">
        <v>9.219987737</v>
      </c>
      <c r="AX1171" s="75" t="n">
        <v>100</v>
      </c>
      <c r="AY1171" s="71" t="n">
        <v>1285000</v>
      </c>
      <c r="AZ1171" s="71" t="n">
        <v>1285000</v>
      </c>
      <c r="BA1171" s="71" t="n">
        <v>79747.85000000001</v>
      </c>
      <c r="BB1171" s="71" t="n">
        <v>82703.28999999999</v>
      </c>
      <c r="BC1171" s="69" t="inlineStr">
        <is>
          <t>Acquisition</t>
        </is>
      </c>
      <c r="BD1171" s="69" t="inlineStr">
        <is>
          <t>N</t>
        </is>
      </c>
      <c r="BE1171" s="71" t="n"/>
      <c r="BF1171" s="71" t="n"/>
      <c r="BG1171" s="71" t="n"/>
      <c r="BH1171" s="71" t="n">
        <v>0</v>
      </c>
      <c r="BI1171" s="71" t="n">
        <v>0</v>
      </c>
      <c r="BJ1171" s="69" t="inlineStr">
        <is>
          <t>N</t>
        </is>
      </c>
      <c r="BK1171" s="69" t="inlineStr">
        <is>
          <t>Dollar General</t>
        </is>
      </c>
      <c r="BL1171" s="75" t="n">
        <v>100</v>
      </c>
      <c r="BM1171" s="73" t="n">
        <v>48091</v>
      </c>
      <c r="BN1171" s="69" t="inlineStr">
        <is>
          <t>Ladder Capital Finance Holdings LLLP</t>
        </is>
      </c>
      <c r="BO1171" s="69" t="inlineStr">
        <is>
          <t>Ladder Capital Finance</t>
        </is>
      </c>
      <c r="BP1171" s="69" t="inlineStr">
        <is>
          <t>TriMont Real Estate Advisors</t>
        </is>
      </c>
      <c r="BQ1171" s="69" t="inlineStr">
        <is>
          <t>K-Star Asset Management LLC</t>
        </is>
      </c>
      <c r="BR1171" s="69" t="n"/>
      <c r="BS1171" s="73" t="n">
        <v>46273</v>
      </c>
      <c r="BU1171" s="76">
        <f>IF($C1171="","",IFERROR(INDEX(dmName,MATCH($C1171,dmID,0)),"Unmapped"))</f>
        <v/>
      </c>
      <c r="BV1171" s="76">
        <f>IF($C1171="","",IFERROR(INDEX(dmEntity,MATCH($C1171,dmID,0)),"Unmapped"))</f>
        <v/>
      </c>
      <c r="BW1171" s="77">
        <f>IF($C1171="","",IFERROR(INDEX(dmVintage,MATCH($C1171,dmID,0)),""))</f>
        <v/>
      </c>
      <c r="BX1171" s="78">
        <f>IFERROR(INDEX(dmInclude,MATCH($C1171,dmID,0)),0)</f>
        <v/>
      </c>
      <c r="BY1171" s="78">
        <f>IF(N($I1171)&gt;0,1,0)</f>
        <v/>
      </c>
      <c r="BZ1171" s="76">
        <f>IF($AJ1171="","Other / Leased Fee",IFERROR(INDEX(mapPTGroup,MATCH(LEFT(TRIM($AJ1171),2),mapPTCode,0)),"Other / Leased Fee"))</f>
        <v/>
      </c>
      <c r="CA1171" s="76">
        <f>IF(TRIM($AF1171&amp;"")="","NR",LEFT(TRIM($AF1171),2))</f>
        <v/>
      </c>
      <c r="CB1171" s="76">
        <f>IFERROR(LOOKUP(2,1/(LEFT(TRIM($AI1171&amp;""),LEN(mapRegion))=mapRegion),mapRegion),"Not Reported")</f>
        <v/>
      </c>
      <c r="CC1171" s="76">
        <f>IF($BY1171=0,"",IF(TRIM($W1171&amp;"")="REO","REO",IF(TRIM($W1171&amp;"")="FC","Foreclosure",IF(TRIM($W1171&amp;"")="90+","90+ Days Delinquent",IF(TRIM($W1171&amp;"")="60","60 Days Delinquent",IF(TRIM($W1171&amp;"")="30","30 Days Delinquent",IF($X1171="Non-Performing Matured Balloon","Non-Performing Matured Balloon",IF(OR($X1171="Late Payment But Less Than 30 Days Delinquent",LEFT($X1171&amp;"",20)="Payment Not Received"),"Late / In Grace (&lt;30 Days)",IF($X1171="Performing Matured Balloon","Performing Matured Balloon","Current")))))))))</f>
        <v/>
      </c>
      <c r="CD1171" s="78">
        <f>IF(OR($CC1171="REO",$CC1171="Foreclosure",$CC1171="90+ Days Delinquent",$CC1171="60 Days Delinquent",$CC1171="30 Days Delinquent",$CC1171="Non-Performing Matured Balloon"),1,0)</f>
        <v/>
      </c>
      <c r="CE1171" s="76">
        <f>IF($AB1171="Currently special serv","Currently Specially Serviced",IF($AB1171="Returned to master serv","Previously Specially Serviced","Never Specially Serviced"))</f>
        <v/>
      </c>
      <c r="CF1171" s="78">
        <f>IF($CE1171="Currently Specially Serviced",1,0)</f>
        <v/>
      </c>
      <c r="CG1171" s="76">
        <f>IF($AA1171="Yes","Currently on Watchlist",IF($AA1171="Previously","Previously on Watchlist","Never on Watchlist"))</f>
        <v/>
      </c>
      <c r="CH1171" s="78">
        <f>IF($CG1171="Currently on Watchlist",1,0)</f>
        <v/>
      </c>
      <c r="CI1171" s="76">
        <f>IF($Z1171="Full Defeasance","Fully Defeased",IF($Z1171="Portion Of Loan Previously Defeased","Partially Defeased",IF($Z1171="Defeasance Not Allowable","Not Defeased (Not Permitted)","Not Defeased")))</f>
        <v/>
      </c>
      <c r="CJ1171" s="78">
        <f>IF($CI1171="Fully Defeased",1,0)</f>
        <v/>
      </c>
      <c r="CK1171" s="76">
        <f>IF($R1171="IO","Full IO",IF(LEFT($R1171&amp;"",7)="IO then","Partial IO","Amortizing"))</f>
        <v/>
      </c>
      <c r="CL1171" s="78">
        <f>IF($CK1171="Full IO",1,0)</f>
        <v/>
      </c>
      <c r="CM1171" s="78">
        <f>IF($CK1171="Partial IO",1,0)</f>
        <v/>
      </c>
      <c r="CN1171" s="76">
        <f>IF(LEFT($F1171&amp;"",10)="SPLIT_LOAN","Pari Passu Split","Standalone")</f>
        <v/>
      </c>
      <c r="CO1171" s="78">
        <f>IF($CN1171="Pari Passu Split",1,0)</f>
        <v/>
      </c>
      <c r="CP1171" s="77">
        <f>IF(ISNUMBER($T1171),YEAR($T1171),"")</f>
        <v/>
      </c>
      <c r="CQ1171" s="79">
        <f>IF(ISNUMBER($V1171),$V1171,IF(ISNUMBER($U1171),$U1171,""))</f>
        <v/>
      </c>
      <c r="CR1171" s="77">
        <f>IF(ISNUMBER($CQ1171),YEAR($CQ1171),"")</f>
        <v/>
      </c>
      <c r="CS1171" s="78">
        <f>IF(ISNUMBER($M1171),MAX(0,$M1171),IF(TRIM($M1171&amp;"")="matured",0,""))</f>
        <v/>
      </c>
      <c r="CT1171" s="78">
        <f>IF(AND(ISNUMBER($CS1171),N($CS1171)&lt;=mMatWindow),1,0)</f>
        <v/>
      </c>
      <c r="CU1171" s="80">
        <f>IF(ISNUMBER($J1171),$J1171/100,"")</f>
        <v/>
      </c>
      <c r="CV1171" s="81">
        <f>IF(ISNUMBER($AQ1171),$AQ1171,"")</f>
        <v/>
      </c>
      <c r="CW1171" s="81">
        <f>IF(ISNUMBER($AR1171),$AR1171,"")</f>
        <v/>
      </c>
      <c r="CX1171" s="82">
        <f>IF(ISNUMBER($AS1171),$AS1171/100,"")</f>
        <v/>
      </c>
      <c r="CY1171" s="82">
        <f>IF(ISNUMBER($AT1171),$AT1171/100,"")</f>
        <v/>
      </c>
      <c r="CZ1171" s="82">
        <f>IF(ISNUMBER($AU1171),$AU1171/100,"")</f>
        <v/>
      </c>
      <c r="DA1171" s="82">
        <f>IF(ISNUMBER($AV1171),$AV1171/100,"")</f>
        <v/>
      </c>
      <c r="DB1171" s="82">
        <f>IF(ISNUMBER($AW1171),$AW1171/100,"")</f>
        <v/>
      </c>
      <c r="DC1171" s="82">
        <f>IF(ISNUMBER($AX1171),$AX1171/100,"")</f>
        <v/>
      </c>
      <c r="DD1171" s="77">
        <f>IFERROR(VALUE(LEFT(TRIM($AO1171&amp;""),4)),"")</f>
        <v/>
      </c>
      <c r="DE1171" s="78">
        <f>IF(AND($BY1171=1,$BX1171=1,OR(fDeal="All Deals",$BU1171=fDeal),OR(fEntity="All Entities",$BV1171=fEntity),OR(fPType="All Property Types",$BZ1171=fPType),OR(fDefeased="Include",$CJ1171=0)),1,0)</f>
        <v/>
      </c>
      <c r="DF1171" s="83">
        <f>$DE1171*N($I1171)</f>
        <v/>
      </c>
      <c r="DG1171" s="78">
        <f>IF($DE1171=1,IF(COUNTIFS($F$8:$F1171,$F1171,$DE$8:$DE1171,1)=1,1,0),0)</f>
        <v/>
      </c>
      <c r="DH1171" s="83">
        <f>IF($DG1171=1,SUMIFS($DF$8:$DF$1600,$F$8:$F$1600,$F1171),0)</f>
        <v/>
      </c>
      <c r="DI1171" s="78">
        <f>IF($DG1171=1,COUNTIFS($F$8:$F$1600,$F1171,$DE$8:$DE$1600,1),0)</f>
        <v/>
      </c>
      <c r="DJ1171" s="84">
        <f>IF($DG1171=1,$DH1171+(100000-ROW())/mTieBreak,0)</f>
        <v/>
      </c>
    </row>
    <row r="1172">
      <c r="B1172" s="68" t="n">
        <v>51</v>
      </c>
      <c r="C1172" s="69" t="inlineStr">
        <is>
          <t>LCC17L26</t>
        </is>
      </c>
      <c r="D1172" s="69" t="inlineStr">
        <is>
          <t>51.000</t>
        </is>
      </c>
      <c r="E1172" s="69" t="inlineStr">
        <is>
          <t>Dollar General Peoria</t>
        </is>
      </c>
      <c r="F1172" s="69" t="inlineStr">
        <is>
          <t>LNLCC17L26-51.000</t>
        </is>
      </c>
      <c r="G1172" s="70" t="n"/>
      <c r="H1172" s="71" t="n">
        <v>890000</v>
      </c>
      <c r="I1172" s="71" t="n">
        <v>890000</v>
      </c>
      <c r="J1172" s="72" t="n">
        <v>5.92</v>
      </c>
      <c r="K1172" s="69" t="inlineStr">
        <is>
          <t>Fixed rate</t>
        </is>
      </c>
      <c r="L1172" s="68" t="n">
        <v>120</v>
      </c>
      <c r="M1172" s="68" t="n">
        <v>9</v>
      </c>
      <c r="N1172" s="68" t="n">
        <v>120</v>
      </c>
      <c r="O1172" s="68" t="n">
        <v>120</v>
      </c>
      <c r="P1172" s="68" t="n">
        <v>9</v>
      </c>
      <c r="Q1172" s="68" t="n">
        <v>111</v>
      </c>
      <c r="R1172" s="69" t="inlineStr">
        <is>
          <t>IO</t>
        </is>
      </c>
      <c r="S1172" s="69" t="inlineStr">
        <is>
          <t>Yes</t>
        </is>
      </c>
      <c r="T1172" s="73" t="n">
        <v>42887</v>
      </c>
      <c r="U1172" s="73" t="n">
        <v>48371</v>
      </c>
      <c r="V1172" s="73" t="n">
        <v>46544</v>
      </c>
      <c r="W1172" s="69" t="n"/>
      <c r="X1172" s="69" t="inlineStr">
        <is>
          <t>Current</t>
        </is>
      </c>
      <c r="Y1172" s="68" t="n"/>
      <c r="Z1172" s="69" t="inlineStr">
        <is>
          <t>No Defeasance Occurred</t>
        </is>
      </c>
      <c r="AA1172" s="69" t="inlineStr">
        <is>
          <t>Yes</t>
        </is>
      </c>
      <c r="AB1172" s="69" t="inlineStr">
        <is>
          <t>Never special serv</t>
        </is>
      </c>
      <c r="AC1172" s="73" t="n"/>
      <c r="AD1172" s="69" t="n"/>
      <c r="AE1172" s="69" t="n"/>
      <c r="AF1172" s="69" t="inlineStr">
        <is>
          <t>IL</t>
        </is>
      </c>
      <c r="AG1172" s="69" t="inlineStr">
        <is>
          <t>Peoria</t>
        </is>
      </c>
      <c r="AH1172" s="69" t="inlineStr">
        <is>
          <t>Peoria, IL</t>
        </is>
      </c>
      <c r="AI1172" s="69" t="inlineStr">
        <is>
          <t>Midwest / Central East</t>
        </is>
      </c>
      <c r="AJ1172" s="69" t="inlineStr">
        <is>
          <t>RT</t>
        </is>
      </c>
      <c r="AK1172" s="69" t="inlineStr">
        <is>
          <t>Single Tenant</t>
        </is>
      </c>
      <c r="AL1172" s="68" t="n">
        <v>1</v>
      </c>
      <c r="AM1172" s="68" t="n"/>
      <c r="AN1172" s="68" t="n">
        <v>7489</v>
      </c>
      <c r="AO1172" s="69" t="inlineStr">
        <is>
          <t>2016</t>
        </is>
      </c>
      <c r="AP1172" s="70" t="n">
        <v>2016</v>
      </c>
      <c r="AQ1172" s="74" t="n">
        <v>1.48</v>
      </c>
      <c r="AR1172" s="74" t="n">
        <v>1.54</v>
      </c>
      <c r="AS1172" s="74" t="n">
        <v>69.8</v>
      </c>
      <c r="AT1172" s="74" t="n">
        <v>69.8</v>
      </c>
      <c r="AU1172" s="74" t="n">
        <v>69.8</v>
      </c>
      <c r="AV1172" s="74" t="n">
        <v>8.869305618</v>
      </c>
      <c r="AW1172" s="74" t="n">
        <v>9.220369663</v>
      </c>
      <c r="AX1172" s="75" t="n">
        <v>100</v>
      </c>
      <c r="AY1172" s="71" t="n">
        <v>1275000</v>
      </c>
      <c r="AZ1172" s="71" t="n">
        <v>1275000</v>
      </c>
      <c r="BA1172" s="71" t="n">
        <v>78936.82000000001</v>
      </c>
      <c r="BB1172" s="71" t="n">
        <v>82061.28999999999</v>
      </c>
      <c r="BC1172" s="69" t="inlineStr">
        <is>
          <t>Acquisition</t>
        </is>
      </c>
      <c r="BD1172" s="69" t="inlineStr">
        <is>
          <t>N</t>
        </is>
      </c>
      <c r="BE1172" s="71" t="n"/>
      <c r="BF1172" s="71" t="n"/>
      <c r="BG1172" s="71" t="n"/>
      <c r="BH1172" s="71" t="n">
        <v>0</v>
      </c>
      <c r="BI1172" s="71" t="n">
        <v>0</v>
      </c>
      <c r="BJ1172" s="69" t="inlineStr">
        <is>
          <t>N</t>
        </is>
      </c>
      <c r="BK1172" s="69" t="inlineStr">
        <is>
          <t>Dollar General</t>
        </is>
      </c>
      <c r="BL1172" s="75" t="n">
        <v>100</v>
      </c>
      <c r="BM1172" s="73" t="n">
        <v>48091</v>
      </c>
      <c r="BN1172" s="69" t="inlineStr">
        <is>
          <t>Ladder Capital Finance Holdings LLLP</t>
        </is>
      </c>
      <c r="BO1172" s="69" t="inlineStr">
        <is>
          <t>Ladder Capital Finance</t>
        </is>
      </c>
      <c r="BP1172" s="69" t="inlineStr">
        <is>
          <t>TriMont Real Estate Advisors</t>
        </is>
      </c>
      <c r="BQ1172" s="69" t="inlineStr">
        <is>
          <t>K-Star Asset Management LLC</t>
        </is>
      </c>
      <c r="BR1172" s="69" t="n"/>
      <c r="BS1172" s="73" t="n">
        <v>46273</v>
      </c>
      <c r="BU1172" s="76">
        <f>IF($C1172="","",IFERROR(INDEX(dmName,MATCH($C1172,dmID,0)),"Unmapped"))</f>
        <v/>
      </c>
      <c r="BV1172" s="76">
        <f>IF($C1172="","",IFERROR(INDEX(dmEntity,MATCH($C1172,dmID,0)),"Unmapped"))</f>
        <v/>
      </c>
      <c r="BW1172" s="77">
        <f>IF($C1172="","",IFERROR(INDEX(dmVintage,MATCH($C1172,dmID,0)),""))</f>
        <v/>
      </c>
      <c r="BX1172" s="78">
        <f>IFERROR(INDEX(dmInclude,MATCH($C1172,dmID,0)),0)</f>
        <v/>
      </c>
      <c r="BY1172" s="78">
        <f>IF(N($I1172)&gt;0,1,0)</f>
        <v/>
      </c>
      <c r="BZ1172" s="76">
        <f>IF($AJ1172="","Other / Leased Fee",IFERROR(INDEX(mapPTGroup,MATCH(LEFT(TRIM($AJ1172),2),mapPTCode,0)),"Other / Leased Fee"))</f>
        <v/>
      </c>
      <c r="CA1172" s="76">
        <f>IF(TRIM($AF1172&amp;"")="","NR",LEFT(TRIM($AF1172),2))</f>
        <v/>
      </c>
      <c r="CB1172" s="76">
        <f>IFERROR(LOOKUP(2,1/(LEFT(TRIM($AI1172&amp;""),LEN(mapRegion))=mapRegion),mapRegion),"Not Reported")</f>
        <v/>
      </c>
      <c r="CC1172" s="76">
        <f>IF($BY1172=0,"",IF(TRIM($W1172&amp;"")="REO","REO",IF(TRIM($W1172&amp;"")="FC","Foreclosure",IF(TRIM($W1172&amp;"")="90+","90+ Days Delinquent",IF(TRIM($W1172&amp;"")="60","60 Days Delinquent",IF(TRIM($W1172&amp;"")="30","30 Days Delinquent",IF($X1172="Non-Performing Matured Balloon","Non-Performing Matured Balloon",IF(OR($X1172="Late Payment But Less Than 30 Days Delinquent",LEFT($X1172&amp;"",20)="Payment Not Received"),"Late / In Grace (&lt;30 Days)",IF($X1172="Performing Matured Balloon","Performing Matured Balloon","Current")))))))))</f>
        <v/>
      </c>
      <c r="CD1172" s="78">
        <f>IF(OR($CC1172="REO",$CC1172="Foreclosure",$CC1172="90+ Days Delinquent",$CC1172="60 Days Delinquent",$CC1172="30 Days Delinquent",$CC1172="Non-Performing Matured Balloon"),1,0)</f>
        <v/>
      </c>
      <c r="CE1172" s="76">
        <f>IF($AB1172="Currently special serv","Currently Specially Serviced",IF($AB1172="Returned to master serv","Previously Specially Serviced","Never Specially Serviced"))</f>
        <v/>
      </c>
      <c r="CF1172" s="78">
        <f>IF($CE1172="Currently Specially Serviced",1,0)</f>
        <v/>
      </c>
      <c r="CG1172" s="76">
        <f>IF($AA1172="Yes","Currently on Watchlist",IF($AA1172="Previously","Previously on Watchlist","Never on Watchlist"))</f>
        <v/>
      </c>
      <c r="CH1172" s="78">
        <f>IF($CG1172="Currently on Watchlist",1,0)</f>
        <v/>
      </c>
      <c r="CI1172" s="76">
        <f>IF($Z1172="Full Defeasance","Fully Defeased",IF($Z1172="Portion Of Loan Previously Defeased","Partially Defeased",IF($Z1172="Defeasance Not Allowable","Not Defeased (Not Permitted)","Not Defeased")))</f>
        <v/>
      </c>
      <c r="CJ1172" s="78">
        <f>IF($CI1172="Fully Defeased",1,0)</f>
        <v/>
      </c>
      <c r="CK1172" s="76">
        <f>IF($R1172="IO","Full IO",IF(LEFT($R1172&amp;"",7)="IO then","Partial IO","Amortizing"))</f>
        <v/>
      </c>
      <c r="CL1172" s="78">
        <f>IF($CK1172="Full IO",1,0)</f>
        <v/>
      </c>
      <c r="CM1172" s="78">
        <f>IF($CK1172="Partial IO",1,0)</f>
        <v/>
      </c>
      <c r="CN1172" s="76">
        <f>IF(LEFT($F1172&amp;"",10)="SPLIT_LOAN","Pari Passu Split","Standalone")</f>
        <v/>
      </c>
      <c r="CO1172" s="78">
        <f>IF($CN1172="Pari Passu Split",1,0)</f>
        <v/>
      </c>
      <c r="CP1172" s="77">
        <f>IF(ISNUMBER($T1172),YEAR($T1172),"")</f>
        <v/>
      </c>
      <c r="CQ1172" s="79">
        <f>IF(ISNUMBER($V1172),$V1172,IF(ISNUMBER($U1172),$U1172,""))</f>
        <v/>
      </c>
      <c r="CR1172" s="77">
        <f>IF(ISNUMBER($CQ1172),YEAR($CQ1172),"")</f>
        <v/>
      </c>
      <c r="CS1172" s="78">
        <f>IF(ISNUMBER($M1172),MAX(0,$M1172),IF(TRIM($M1172&amp;"")="matured",0,""))</f>
        <v/>
      </c>
      <c r="CT1172" s="78">
        <f>IF(AND(ISNUMBER($CS1172),N($CS1172)&lt;=mMatWindow),1,0)</f>
        <v/>
      </c>
      <c r="CU1172" s="80">
        <f>IF(ISNUMBER($J1172),$J1172/100,"")</f>
        <v/>
      </c>
      <c r="CV1172" s="81">
        <f>IF(ISNUMBER($AQ1172),$AQ1172,"")</f>
        <v/>
      </c>
      <c r="CW1172" s="81">
        <f>IF(ISNUMBER($AR1172),$AR1172,"")</f>
        <v/>
      </c>
      <c r="CX1172" s="82">
        <f>IF(ISNUMBER($AS1172),$AS1172/100,"")</f>
        <v/>
      </c>
      <c r="CY1172" s="82">
        <f>IF(ISNUMBER($AT1172),$AT1172/100,"")</f>
        <v/>
      </c>
      <c r="CZ1172" s="82">
        <f>IF(ISNUMBER($AU1172),$AU1172/100,"")</f>
        <v/>
      </c>
      <c r="DA1172" s="82">
        <f>IF(ISNUMBER($AV1172),$AV1172/100,"")</f>
        <v/>
      </c>
      <c r="DB1172" s="82">
        <f>IF(ISNUMBER($AW1172),$AW1172/100,"")</f>
        <v/>
      </c>
      <c r="DC1172" s="82">
        <f>IF(ISNUMBER($AX1172),$AX1172/100,"")</f>
        <v/>
      </c>
      <c r="DD1172" s="77">
        <f>IFERROR(VALUE(LEFT(TRIM($AO1172&amp;""),4)),"")</f>
        <v/>
      </c>
      <c r="DE1172" s="78">
        <f>IF(AND($BY1172=1,$BX1172=1,OR(fDeal="All Deals",$BU1172=fDeal),OR(fEntity="All Entities",$BV1172=fEntity),OR(fPType="All Property Types",$BZ1172=fPType),OR(fDefeased="Include",$CJ1172=0)),1,0)</f>
        <v/>
      </c>
      <c r="DF1172" s="83">
        <f>$DE1172*N($I1172)</f>
        <v/>
      </c>
      <c r="DG1172" s="78">
        <f>IF($DE1172=1,IF(COUNTIFS($F$8:$F1172,$F1172,$DE$8:$DE1172,1)=1,1,0),0)</f>
        <v/>
      </c>
      <c r="DH1172" s="83">
        <f>IF($DG1172=1,SUMIFS($DF$8:$DF$1600,$F$8:$F$1600,$F1172),0)</f>
        <v/>
      </c>
      <c r="DI1172" s="78">
        <f>IF($DG1172=1,COUNTIFS($F$8:$F$1600,$F1172,$DE$8:$DE$1600,1),0)</f>
        <v/>
      </c>
      <c r="DJ1172" s="84">
        <f>IF($DG1172=1,$DH1172+(100000-ROW())/mTieBreak,0)</f>
        <v/>
      </c>
    </row>
    <row r="1173">
      <c r="B1173" s="68" t="n">
        <v>52</v>
      </c>
      <c r="C1173" s="69" t="inlineStr">
        <is>
          <t>LCC17L26</t>
        </is>
      </c>
      <c r="D1173" s="69" t="inlineStr">
        <is>
          <t>52.000</t>
        </is>
      </c>
      <c r="E1173" s="69" t="inlineStr">
        <is>
          <t>Dollar General Lamar</t>
        </is>
      </c>
      <c r="F1173" s="69" t="inlineStr">
        <is>
          <t>LNLCC17L26-52.000</t>
        </is>
      </c>
      <c r="G1173" s="70" t="n"/>
      <c r="H1173" s="71" t="n">
        <v>887000</v>
      </c>
      <c r="I1173" s="71" t="n">
        <v>887000</v>
      </c>
      <c r="J1173" s="72" t="n">
        <v>5.91</v>
      </c>
      <c r="K1173" s="69" t="inlineStr">
        <is>
          <t>Fixed rate</t>
        </is>
      </c>
      <c r="L1173" s="68" t="n">
        <v>120</v>
      </c>
      <c r="M1173" s="68" t="n">
        <v>9</v>
      </c>
      <c r="N1173" s="68" t="n">
        <v>120</v>
      </c>
      <c r="O1173" s="68" t="n">
        <v>120</v>
      </c>
      <c r="P1173" s="68" t="n">
        <v>9</v>
      </c>
      <c r="Q1173" s="68" t="n">
        <v>111</v>
      </c>
      <c r="R1173" s="69" t="inlineStr">
        <is>
          <t>IO</t>
        </is>
      </c>
      <c r="S1173" s="69" t="inlineStr">
        <is>
          <t>Yes</t>
        </is>
      </c>
      <c r="T1173" s="73" t="n">
        <v>42887</v>
      </c>
      <c r="U1173" s="73" t="n">
        <v>48371</v>
      </c>
      <c r="V1173" s="73" t="n">
        <v>46544</v>
      </c>
      <c r="W1173" s="69" t="n"/>
      <c r="X1173" s="69" t="inlineStr">
        <is>
          <t>Current</t>
        </is>
      </c>
      <c r="Y1173" s="68" t="n"/>
      <c r="Z1173" s="69" t="inlineStr">
        <is>
          <t>No Defeasance Occurred</t>
        </is>
      </c>
      <c r="AA1173" s="69" t="n"/>
      <c r="AB1173" s="69" t="inlineStr">
        <is>
          <t>Never special serv</t>
        </is>
      </c>
      <c r="AC1173" s="73" t="n"/>
      <c r="AD1173" s="69" t="n"/>
      <c r="AE1173" s="69" t="n"/>
      <c r="AF1173" s="69" t="inlineStr">
        <is>
          <t>MO</t>
        </is>
      </c>
      <c r="AG1173" s="69" t="inlineStr">
        <is>
          <t>Lamar</t>
        </is>
      </c>
      <c r="AH1173" s="69" t="n"/>
      <c r="AI1173" s="69" t="inlineStr">
        <is>
          <t>Midwest / Central West</t>
        </is>
      </c>
      <c r="AJ1173" s="69" t="inlineStr">
        <is>
          <t>RT</t>
        </is>
      </c>
      <c r="AK1173" s="69" t="inlineStr">
        <is>
          <t>Single Tenant</t>
        </is>
      </c>
      <c r="AL1173" s="68" t="n">
        <v>1</v>
      </c>
      <c r="AM1173" s="68" t="n"/>
      <c r="AN1173" s="68" t="n">
        <v>9100</v>
      </c>
      <c r="AO1173" s="69" t="inlineStr">
        <is>
          <t>2016</t>
        </is>
      </c>
      <c r="AP1173" s="70" t="n">
        <v>2016</v>
      </c>
      <c r="AQ1173" s="74" t="n">
        <v>1.49</v>
      </c>
      <c r="AR1173" s="74" t="n">
        <v>1.54</v>
      </c>
      <c r="AS1173" s="74" t="n">
        <v>69.8</v>
      </c>
      <c r="AT1173" s="74" t="n">
        <v>69.84</v>
      </c>
      <c r="AU1173" s="74" t="n">
        <v>69.8</v>
      </c>
      <c r="AV1173" s="74" t="n">
        <v>8.902400224999999</v>
      </c>
      <c r="AW1173" s="74" t="n">
        <v>9.229739572</v>
      </c>
      <c r="AX1173" s="75" t="n">
        <v>100</v>
      </c>
      <c r="AY1173" s="71" t="n">
        <v>1270000</v>
      </c>
      <c r="AZ1173" s="71" t="n">
        <v>1270000</v>
      </c>
      <c r="BA1173" s="71" t="n">
        <v>78964.28999999999</v>
      </c>
      <c r="BB1173" s="71" t="n">
        <v>81867.78999999999</v>
      </c>
      <c r="BC1173" s="69" t="inlineStr">
        <is>
          <t>Acquisition</t>
        </is>
      </c>
      <c r="BD1173" s="69" t="inlineStr">
        <is>
          <t>N</t>
        </is>
      </c>
      <c r="BE1173" s="71" t="n"/>
      <c r="BF1173" s="71" t="n"/>
      <c r="BG1173" s="71" t="n"/>
      <c r="BH1173" s="71" t="n">
        <v>0</v>
      </c>
      <c r="BI1173" s="71" t="n">
        <v>0</v>
      </c>
      <c r="BJ1173" s="69" t="inlineStr">
        <is>
          <t>N</t>
        </is>
      </c>
      <c r="BK1173" s="69" t="inlineStr">
        <is>
          <t>Dollar General</t>
        </is>
      </c>
      <c r="BL1173" s="75" t="n">
        <v>100</v>
      </c>
      <c r="BM1173" s="73" t="n">
        <v>48029</v>
      </c>
      <c r="BN1173" s="69" t="inlineStr">
        <is>
          <t>Ladder Capital Finance Holdings LLLP</t>
        </is>
      </c>
      <c r="BO1173" s="69" t="inlineStr">
        <is>
          <t>Ladder Capital Finance</t>
        </is>
      </c>
      <c r="BP1173" s="69" t="inlineStr">
        <is>
          <t>TriMont Real Estate Advisors</t>
        </is>
      </c>
      <c r="BQ1173" s="69" t="inlineStr">
        <is>
          <t>K-Star Asset Management LLC</t>
        </is>
      </c>
      <c r="BR1173" s="69" t="n"/>
      <c r="BS1173" s="73" t="n">
        <v>46273</v>
      </c>
      <c r="BU1173" s="76">
        <f>IF($C1173="","",IFERROR(INDEX(dmName,MATCH($C1173,dmID,0)),"Unmapped"))</f>
        <v/>
      </c>
      <c r="BV1173" s="76">
        <f>IF($C1173="","",IFERROR(INDEX(dmEntity,MATCH($C1173,dmID,0)),"Unmapped"))</f>
        <v/>
      </c>
      <c r="BW1173" s="77">
        <f>IF($C1173="","",IFERROR(INDEX(dmVintage,MATCH($C1173,dmID,0)),""))</f>
        <v/>
      </c>
      <c r="BX1173" s="78">
        <f>IFERROR(INDEX(dmInclude,MATCH($C1173,dmID,0)),0)</f>
        <v/>
      </c>
      <c r="BY1173" s="78">
        <f>IF(N($I1173)&gt;0,1,0)</f>
        <v/>
      </c>
      <c r="BZ1173" s="76">
        <f>IF($AJ1173="","Other / Leased Fee",IFERROR(INDEX(mapPTGroup,MATCH(LEFT(TRIM($AJ1173),2),mapPTCode,0)),"Other / Leased Fee"))</f>
        <v/>
      </c>
      <c r="CA1173" s="76">
        <f>IF(TRIM($AF1173&amp;"")="","NR",LEFT(TRIM($AF1173),2))</f>
        <v/>
      </c>
      <c r="CB1173" s="76">
        <f>IFERROR(LOOKUP(2,1/(LEFT(TRIM($AI1173&amp;""),LEN(mapRegion))=mapRegion),mapRegion),"Not Reported")</f>
        <v/>
      </c>
      <c r="CC1173" s="76">
        <f>IF($BY1173=0,"",IF(TRIM($W1173&amp;"")="REO","REO",IF(TRIM($W1173&amp;"")="FC","Foreclosure",IF(TRIM($W1173&amp;"")="90+","90+ Days Delinquent",IF(TRIM($W1173&amp;"")="60","60 Days Delinquent",IF(TRIM($W1173&amp;"")="30","30 Days Delinquent",IF($X1173="Non-Performing Matured Balloon","Non-Performing Matured Balloon",IF(OR($X1173="Late Payment But Less Than 30 Days Delinquent",LEFT($X1173&amp;"",20)="Payment Not Received"),"Late / In Grace (&lt;30 Days)",IF($X1173="Performing Matured Balloon","Performing Matured Balloon","Current")))))))))</f>
        <v/>
      </c>
      <c r="CD1173" s="78">
        <f>IF(OR($CC1173="REO",$CC1173="Foreclosure",$CC1173="90+ Days Delinquent",$CC1173="60 Days Delinquent",$CC1173="30 Days Delinquent",$CC1173="Non-Performing Matured Balloon"),1,0)</f>
        <v/>
      </c>
      <c r="CE1173" s="76">
        <f>IF($AB1173="Currently special serv","Currently Specially Serviced",IF($AB1173="Returned to master serv","Previously Specially Serviced","Never Specially Serviced"))</f>
        <v/>
      </c>
      <c r="CF1173" s="78">
        <f>IF($CE1173="Currently Specially Serviced",1,0)</f>
        <v/>
      </c>
      <c r="CG1173" s="76">
        <f>IF($AA1173="Yes","Currently on Watchlist",IF($AA1173="Previously","Previously on Watchlist","Never on Watchlist"))</f>
        <v/>
      </c>
      <c r="CH1173" s="78">
        <f>IF($CG1173="Currently on Watchlist",1,0)</f>
        <v/>
      </c>
      <c r="CI1173" s="76">
        <f>IF($Z1173="Full Defeasance","Fully Defeased",IF($Z1173="Portion Of Loan Previously Defeased","Partially Defeased",IF($Z1173="Defeasance Not Allowable","Not Defeased (Not Permitted)","Not Defeased")))</f>
        <v/>
      </c>
      <c r="CJ1173" s="78">
        <f>IF($CI1173="Fully Defeased",1,0)</f>
        <v/>
      </c>
      <c r="CK1173" s="76">
        <f>IF($R1173="IO","Full IO",IF(LEFT($R1173&amp;"",7)="IO then","Partial IO","Amortizing"))</f>
        <v/>
      </c>
      <c r="CL1173" s="78">
        <f>IF($CK1173="Full IO",1,0)</f>
        <v/>
      </c>
      <c r="CM1173" s="78">
        <f>IF($CK1173="Partial IO",1,0)</f>
        <v/>
      </c>
      <c r="CN1173" s="76">
        <f>IF(LEFT($F1173&amp;"",10)="SPLIT_LOAN","Pari Passu Split","Standalone")</f>
        <v/>
      </c>
      <c r="CO1173" s="78">
        <f>IF($CN1173="Pari Passu Split",1,0)</f>
        <v/>
      </c>
      <c r="CP1173" s="77">
        <f>IF(ISNUMBER($T1173),YEAR($T1173),"")</f>
        <v/>
      </c>
      <c r="CQ1173" s="79">
        <f>IF(ISNUMBER($V1173),$V1173,IF(ISNUMBER($U1173),$U1173,""))</f>
        <v/>
      </c>
      <c r="CR1173" s="77">
        <f>IF(ISNUMBER($CQ1173),YEAR($CQ1173),"")</f>
        <v/>
      </c>
      <c r="CS1173" s="78">
        <f>IF(ISNUMBER($M1173),MAX(0,$M1173),IF(TRIM($M1173&amp;"")="matured",0,""))</f>
        <v/>
      </c>
      <c r="CT1173" s="78">
        <f>IF(AND(ISNUMBER($CS1173),N($CS1173)&lt;=mMatWindow),1,0)</f>
        <v/>
      </c>
      <c r="CU1173" s="80">
        <f>IF(ISNUMBER($J1173),$J1173/100,"")</f>
        <v/>
      </c>
      <c r="CV1173" s="81">
        <f>IF(ISNUMBER($AQ1173),$AQ1173,"")</f>
        <v/>
      </c>
      <c r="CW1173" s="81">
        <f>IF(ISNUMBER($AR1173),$AR1173,"")</f>
        <v/>
      </c>
      <c r="CX1173" s="82">
        <f>IF(ISNUMBER($AS1173),$AS1173/100,"")</f>
        <v/>
      </c>
      <c r="CY1173" s="82">
        <f>IF(ISNUMBER($AT1173),$AT1173/100,"")</f>
        <v/>
      </c>
      <c r="CZ1173" s="82">
        <f>IF(ISNUMBER($AU1173),$AU1173/100,"")</f>
        <v/>
      </c>
      <c r="DA1173" s="82">
        <f>IF(ISNUMBER($AV1173),$AV1173/100,"")</f>
        <v/>
      </c>
      <c r="DB1173" s="82">
        <f>IF(ISNUMBER($AW1173),$AW1173/100,"")</f>
        <v/>
      </c>
      <c r="DC1173" s="82">
        <f>IF(ISNUMBER($AX1173),$AX1173/100,"")</f>
        <v/>
      </c>
      <c r="DD1173" s="77">
        <f>IFERROR(VALUE(LEFT(TRIM($AO1173&amp;""),4)),"")</f>
        <v/>
      </c>
      <c r="DE1173" s="78">
        <f>IF(AND($BY1173=1,$BX1173=1,OR(fDeal="All Deals",$BU1173=fDeal),OR(fEntity="All Entities",$BV1173=fEntity),OR(fPType="All Property Types",$BZ1173=fPType),OR(fDefeased="Include",$CJ1173=0)),1,0)</f>
        <v/>
      </c>
      <c r="DF1173" s="83">
        <f>$DE1173*N($I1173)</f>
        <v/>
      </c>
      <c r="DG1173" s="78">
        <f>IF($DE1173=1,IF(COUNTIFS($F$8:$F1173,$F1173,$DE$8:$DE1173,1)=1,1,0),0)</f>
        <v/>
      </c>
      <c r="DH1173" s="83">
        <f>IF($DG1173=1,SUMIFS($DF$8:$DF$1600,$F$8:$F$1600,$F1173),0)</f>
        <v/>
      </c>
      <c r="DI1173" s="78">
        <f>IF($DG1173=1,COUNTIFS($F$8:$F$1600,$F1173,$DE$8:$DE$1600,1),0)</f>
        <v/>
      </c>
      <c r="DJ1173" s="84">
        <f>IF($DG1173=1,$DH1173+(100000-ROW())/mTieBreak,0)</f>
        <v/>
      </c>
    </row>
    <row r="1174">
      <c r="B1174" s="68" t="n">
        <v>53</v>
      </c>
      <c r="C1174" s="69" t="inlineStr">
        <is>
          <t>LCC17L26</t>
        </is>
      </c>
      <c r="D1174" s="69" t="inlineStr">
        <is>
          <t>53.000</t>
        </is>
      </c>
      <c r="E1174" s="69" t="inlineStr">
        <is>
          <t>Dollar General Denver</t>
        </is>
      </c>
      <c r="F1174" s="69" t="inlineStr">
        <is>
          <t>LNLCC17L26-53.000</t>
        </is>
      </c>
      <c r="G1174" s="70" t="n"/>
      <c r="H1174" s="71" t="n">
        <v>885000</v>
      </c>
      <c r="I1174" s="71" t="n">
        <v>885000</v>
      </c>
      <c r="J1174" s="72" t="n">
        <v>5.85</v>
      </c>
      <c r="K1174" s="69" t="inlineStr">
        <is>
          <t>Fixed rate</t>
        </is>
      </c>
      <c r="L1174" s="68" t="n">
        <v>120</v>
      </c>
      <c r="M1174" s="68" t="n">
        <v>9</v>
      </c>
      <c r="N1174" s="68" t="n">
        <v>120</v>
      </c>
      <c r="O1174" s="68" t="n">
        <v>120</v>
      </c>
      <c r="P1174" s="68" t="n">
        <v>9</v>
      </c>
      <c r="Q1174" s="68" t="n">
        <v>111</v>
      </c>
      <c r="R1174" s="69" t="inlineStr">
        <is>
          <t>IO</t>
        </is>
      </c>
      <c r="S1174" s="69" t="inlineStr">
        <is>
          <t>Yes</t>
        </is>
      </c>
      <c r="T1174" s="73" t="n">
        <v>42887</v>
      </c>
      <c r="U1174" s="73" t="n">
        <v>48371</v>
      </c>
      <c r="V1174" s="73" t="n">
        <v>46544</v>
      </c>
      <c r="W1174" s="69" t="n"/>
      <c r="X1174" s="69" t="inlineStr">
        <is>
          <t>Current</t>
        </is>
      </c>
      <c r="Y1174" s="68" t="n"/>
      <c r="Z1174" s="69" t="inlineStr">
        <is>
          <t>No Defeasance Occurred</t>
        </is>
      </c>
      <c r="AA1174" s="69" t="n"/>
      <c r="AB1174" s="69" t="inlineStr">
        <is>
          <t>Never special serv</t>
        </is>
      </c>
      <c r="AC1174" s="73" t="n"/>
      <c r="AD1174" s="69" t="n"/>
      <c r="AE1174" s="69" t="n"/>
      <c r="AF1174" s="69" t="inlineStr">
        <is>
          <t>IA</t>
        </is>
      </c>
      <c r="AG1174" s="69" t="inlineStr">
        <is>
          <t>Denver</t>
        </is>
      </c>
      <c r="AH1174" s="69" t="inlineStr">
        <is>
          <t>Waterloo-Cedar Falls, IA</t>
        </is>
      </c>
      <c r="AI1174" s="69" t="inlineStr">
        <is>
          <t>Midwest / Central West</t>
        </is>
      </c>
      <c r="AJ1174" s="69" t="inlineStr">
        <is>
          <t>RT</t>
        </is>
      </c>
      <c r="AK1174" s="69" t="inlineStr">
        <is>
          <t>Single Tenant</t>
        </is>
      </c>
      <c r="AL1174" s="68" t="n">
        <v>1</v>
      </c>
      <c r="AM1174" s="68" t="n"/>
      <c r="AN1174" s="68" t="n">
        <v>9026</v>
      </c>
      <c r="AO1174" s="69" t="inlineStr">
        <is>
          <t>2017</t>
        </is>
      </c>
      <c r="AP1174" s="70" t="n">
        <v>2017</v>
      </c>
      <c r="AQ1174" s="74" t="n">
        <v>1.5</v>
      </c>
      <c r="AR1174" s="74" t="n">
        <v>1.56</v>
      </c>
      <c r="AS1174" s="74" t="n">
        <v>69.7</v>
      </c>
      <c r="AT1174" s="74" t="n">
        <v>69.69</v>
      </c>
      <c r="AU1174" s="74" t="n">
        <v>69.7</v>
      </c>
      <c r="AV1174" s="74" t="n">
        <v>8.895978531000001</v>
      </c>
      <c r="AW1174" s="74" t="n">
        <v>9.223781921</v>
      </c>
      <c r="AX1174" s="75" t="n">
        <v>100</v>
      </c>
      <c r="AY1174" s="71" t="n">
        <v>1270000</v>
      </c>
      <c r="AZ1174" s="71" t="n">
        <v>1270000</v>
      </c>
      <c r="BA1174" s="71" t="n">
        <v>78729.41</v>
      </c>
      <c r="BB1174" s="71" t="n">
        <v>81630.47</v>
      </c>
      <c r="BC1174" s="69" t="inlineStr">
        <is>
          <t>Acquisition</t>
        </is>
      </c>
      <c r="BD1174" s="69" t="inlineStr">
        <is>
          <t>N</t>
        </is>
      </c>
      <c r="BE1174" s="71" t="n"/>
      <c r="BF1174" s="71" t="n"/>
      <c r="BG1174" s="71" t="n"/>
      <c r="BH1174" s="71" t="n">
        <v>0</v>
      </c>
      <c r="BI1174" s="71" t="n">
        <v>0</v>
      </c>
      <c r="BJ1174" s="69" t="inlineStr">
        <is>
          <t>N</t>
        </is>
      </c>
      <c r="BK1174" s="69" t="inlineStr">
        <is>
          <t>Dollar General</t>
        </is>
      </c>
      <c r="BL1174" s="75" t="n">
        <v>100</v>
      </c>
      <c r="BM1174" s="73" t="n">
        <v>48334</v>
      </c>
      <c r="BN1174" s="69" t="inlineStr">
        <is>
          <t>Ladder Capital Finance Holdings LLLP</t>
        </is>
      </c>
      <c r="BO1174" s="69" t="inlineStr">
        <is>
          <t>Ladder Capital Finance</t>
        </is>
      </c>
      <c r="BP1174" s="69" t="inlineStr">
        <is>
          <t>TriMont Real Estate Advisors</t>
        </is>
      </c>
      <c r="BQ1174" s="69" t="inlineStr">
        <is>
          <t>K-Star Asset Management LLC</t>
        </is>
      </c>
      <c r="BR1174" s="69" t="n"/>
      <c r="BS1174" s="73" t="n">
        <v>46273</v>
      </c>
      <c r="BU1174" s="76">
        <f>IF($C1174="","",IFERROR(INDEX(dmName,MATCH($C1174,dmID,0)),"Unmapped"))</f>
        <v/>
      </c>
      <c r="BV1174" s="76">
        <f>IF($C1174="","",IFERROR(INDEX(dmEntity,MATCH($C1174,dmID,0)),"Unmapped"))</f>
        <v/>
      </c>
      <c r="BW1174" s="77">
        <f>IF($C1174="","",IFERROR(INDEX(dmVintage,MATCH($C1174,dmID,0)),""))</f>
        <v/>
      </c>
      <c r="BX1174" s="78">
        <f>IFERROR(INDEX(dmInclude,MATCH($C1174,dmID,0)),0)</f>
        <v/>
      </c>
      <c r="BY1174" s="78">
        <f>IF(N($I1174)&gt;0,1,0)</f>
        <v/>
      </c>
      <c r="BZ1174" s="76">
        <f>IF($AJ1174="","Other / Leased Fee",IFERROR(INDEX(mapPTGroup,MATCH(LEFT(TRIM($AJ1174),2),mapPTCode,0)),"Other / Leased Fee"))</f>
        <v/>
      </c>
      <c r="CA1174" s="76">
        <f>IF(TRIM($AF1174&amp;"")="","NR",LEFT(TRIM($AF1174),2))</f>
        <v/>
      </c>
      <c r="CB1174" s="76">
        <f>IFERROR(LOOKUP(2,1/(LEFT(TRIM($AI1174&amp;""),LEN(mapRegion))=mapRegion),mapRegion),"Not Reported")</f>
        <v/>
      </c>
      <c r="CC1174" s="76">
        <f>IF($BY1174=0,"",IF(TRIM($W1174&amp;"")="REO","REO",IF(TRIM($W1174&amp;"")="FC","Foreclosure",IF(TRIM($W1174&amp;"")="90+","90+ Days Delinquent",IF(TRIM($W1174&amp;"")="60","60 Days Delinquent",IF(TRIM($W1174&amp;"")="30","30 Days Delinquent",IF($X1174="Non-Performing Matured Balloon","Non-Performing Matured Balloon",IF(OR($X1174="Late Payment But Less Than 30 Days Delinquent",LEFT($X1174&amp;"",20)="Payment Not Received"),"Late / In Grace (&lt;30 Days)",IF($X1174="Performing Matured Balloon","Performing Matured Balloon","Current")))))))))</f>
        <v/>
      </c>
      <c r="CD1174" s="78">
        <f>IF(OR($CC1174="REO",$CC1174="Foreclosure",$CC1174="90+ Days Delinquent",$CC1174="60 Days Delinquent",$CC1174="30 Days Delinquent",$CC1174="Non-Performing Matured Balloon"),1,0)</f>
        <v/>
      </c>
      <c r="CE1174" s="76">
        <f>IF($AB1174="Currently special serv","Currently Specially Serviced",IF($AB1174="Returned to master serv","Previously Specially Serviced","Never Specially Serviced"))</f>
        <v/>
      </c>
      <c r="CF1174" s="78">
        <f>IF($CE1174="Currently Specially Serviced",1,0)</f>
        <v/>
      </c>
      <c r="CG1174" s="76">
        <f>IF($AA1174="Yes","Currently on Watchlist",IF($AA1174="Previously","Previously on Watchlist","Never on Watchlist"))</f>
        <v/>
      </c>
      <c r="CH1174" s="78">
        <f>IF($CG1174="Currently on Watchlist",1,0)</f>
        <v/>
      </c>
      <c r="CI1174" s="76">
        <f>IF($Z1174="Full Defeasance","Fully Defeased",IF($Z1174="Portion Of Loan Previously Defeased","Partially Defeased",IF($Z1174="Defeasance Not Allowable","Not Defeased (Not Permitted)","Not Defeased")))</f>
        <v/>
      </c>
      <c r="CJ1174" s="78">
        <f>IF($CI1174="Fully Defeased",1,0)</f>
        <v/>
      </c>
      <c r="CK1174" s="76">
        <f>IF($R1174="IO","Full IO",IF(LEFT($R1174&amp;"",7)="IO then","Partial IO","Amortizing"))</f>
        <v/>
      </c>
      <c r="CL1174" s="78">
        <f>IF($CK1174="Full IO",1,0)</f>
        <v/>
      </c>
      <c r="CM1174" s="78">
        <f>IF($CK1174="Partial IO",1,0)</f>
        <v/>
      </c>
      <c r="CN1174" s="76">
        <f>IF(LEFT($F1174&amp;"",10)="SPLIT_LOAN","Pari Passu Split","Standalone")</f>
        <v/>
      </c>
      <c r="CO1174" s="78">
        <f>IF($CN1174="Pari Passu Split",1,0)</f>
        <v/>
      </c>
      <c r="CP1174" s="77">
        <f>IF(ISNUMBER($T1174),YEAR($T1174),"")</f>
        <v/>
      </c>
      <c r="CQ1174" s="79">
        <f>IF(ISNUMBER($V1174),$V1174,IF(ISNUMBER($U1174),$U1174,""))</f>
        <v/>
      </c>
      <c r="CR1174" s="77">
        <f>IF(ISNUMBER($CQ1174),YEAR($CQ1174),"")</f>
        <v/>
      </c>
      <c r="CS1174" s="78">
        <f>IF(ISNUMBER($M1174),MAX(0,$M1174),IF(TRIM($M1174&amp;"")="matured",0,""))</f>
        <v/>
      </c>
      <c r="CT1174" s="78">
        <f>IF(AND(ISNUMBER($CS1174),N($CS1174)&lt;=mMatWindow),1,0)</f>
        <v/>
      </c>
      <c r="CU1174" s="80">
        <f>IF(ISNUMBER($J1174),$J1174/100,"")</f>
        <v/>
      </c>
      <c r="CV1174" s="81">
        <f>IF(ISNUMBER($AQ1174),$AQ1174,"")</f>
        <v/>
      </c>
      <c r="CW1174" s="81">
        <f>IF(ISNUMBER($AR1174),$AR1174,"")</f>
        <v/>
      </c>
      <c r="CX1174" s="82">
        <f>IF(ISNUMBER($AS1174),$AS1174/100,"")</f>
        <v/>
      </c>
      <c r="CY1174" s="82">
        <f>IF(ISNUMBER($AT1174),$AT1174/100,"")</f>
        <v/>
      </c>
      <c r="CZ1174" s="82">
        <f>IF(ISNUMBER($AU1174),$AU1174/100,"")</f>
        <v/>
      </c>
      <c r="DA1174" s="82">
        <f>IF(ISNUMBER($AV1174),$AV1174/100,"")</f>
        <v/>
      </c>
      <c r="DB1174" s="82">
        <f>IF(ISNUMBER($AW1174),$AW1174/100,"")</f>
        <v/>
      </c>
      <c r="DC1174" s="82">
        <f>IF(ISNUMBER($AX1174),$AX1174/100,"")</f>
        <v/>
      </c>
      <c r="DD1174" s="77">
        <f>IFERROR(VALUE(LEFT(TRIM($AO1174&amp;""),4)),"")</f>
        <v/>
      </c>
      <c r="DE1174" s="78">
        <f>IF(AND($BY1174=1,$BX1174=1,OR(fDeal="All Deals",$BU1174=fDeal),OR(fEntity="All Entities",$BV1174=fEntity),OR(fPType="All Property Types",$BZ1174=fPType),OR(fDefeased="Include",$CJ1174=0)),1,0)</f>
        <v/>
      </c>
      <c r="DF1174" s="83">
        <f>$DE1174*N($I1174)</f>
        <v/>
      </c>
      <c r="DG1174" s="78">
        <f>IF($DE1174=1,IF(COUNTIFS($F$8:$F1174,$F1174,$DE$8:$DE1174,1)=1,1,0),0)</f>
        <v/>
      </c>
      <c r="DH1174" s="83">
        <f>IF($DG1174=1,SUMIFS($DF$8:$DF$1600,$F$8:$F$1600,$F1174),0)</f>
        <v/>
      </c>
      <c r="DI1174" s="78">
        <f>IF($DG1174=1,COUNTIFS($F$8:$F$1600,$F1174,$DE$8:$DE$1600,1),0)</f>
        <v/>
      </c>
      <c r="DJ1174" s="84">
        <f>IF($DG1174=1,$DH1174+(100000-ROW())/mTieBreak,0)</f>
        <v/>
      </c>
    </row>
    <row r="1175">
      <c r="B1175" s="68" t="n">
        <v>54</v>
      </c>
      <c r="C1175" s="69" t="inlineStr">
        <is>
          <t>LCC17L26</t>
        </is>
      </c>
      <c r="D1175" s="69" t="inlineStr">
        <is>
          <t>54.000</t>
        </is>
      </c>
      <c r="E1175" s="69" t="inlineStr">
        <is>
          <t>Dollar General Jesup</t>
        </is>
      </c>
      <c r="F1175" s="69" t="inlineStr">
        <is>
          <t>LNLCC17L26-54.000</t>
        </is>
      </c>
      <c r="G1175" s="70" t="n"/>
      <c r="H1175" s="71" t="n">
        <v>871000</v>
      </c>
      <c r="I1175" s="71" t="n">
        <v>871000</v>
      </c>
      <c r="J1175" s="72" t="n">
        <v>5.9</v>
      </c>
      <c r="K1175" s="69" t="inlineStr">
        <is>
          <t>Fixed rate</t>
        </is>
      </c>
      <c r="L1175" s="68" t="n">
        <v>120</v>
      </c>
      <c r="M1175" s="68" t="n">
        <v>9</v>
      </c>
      <c r="N1175" s="68" t="n">
        <v>120</v>
      </c>
      <c r="O1175" s="68" t="n">
        <v>120</v>
      </c>
      <c r="P1175" s="68" t="n">
        <v>9</v>
      </c>
      <c r="Q1175" s="68" t="n">
        <v>111</v>
      </c>
      <c r="R1175" s="69" t="inlineStr">
        <is>
          <t>IO</t>
        </is>
      </c>
      <c r="S1175" s="69" t="inlineStr">
        <is>
          <t>Yes</t>
        </is>
      </c>
      <c r="T1175" s="73" t="n">
        <v>42887</v>
      </c>
      <c r="U1175" s="73" t="n">
        <v>48371</v>
      </c>
      <c r="V1175" s="73" t="n">
        <v>46544</v>
      </c>
      <c r="W1175" s="69" t="n"/>
      <c r="X1175" s="69" t="inlineStr">
        <is>
          <t>Current</t>
        </is>
      </c>
      <c r="Y1175" s="68" t="n"/>
      <c r="Z1175" s="69" t="inlineStr">
        <is>
          <t>No Defeasance Occurred</t>
        </is>
      </c>
      <c r="AA1175" s="69" t="inlineStr">
        <is>
          <t>Yes</t>
        </is>
      </c>
      <c r="AB1175" s="69" t="inlineStr">
        <is>
          <t>Never special serv</t>
        </is>
      </c>
      <c r="AC1175" s="73" t="n"/>
      <c r="AD1175" s="69" t="n"/>
      <c r="AE1175" s="69" t="n"/>
      <c r="AF1175" s="69" t="inlineStr">
        <is>
          <t>IA</t>
        </is>
      </c>
      <c r="AG1175" s="69" t="inlineStr">
        <is>
          <t>Jesup</t>
        </is>
      </c>
      <c r="AH1175" s="69" t="n"/>
      <c r="AI1175" s="69" t="inlineStr">
        <is>
          <t>Midwest / Central West</t>
        </is>
      </c>
      <c r="AJ1175" s="69" t="inlineStr">
        <is>
          <t>RT</t>
        </is>
      </c>
      <c r="AK1175" s="69" t="inlineStr">
        <is>
          <t>Single Tenant</t>
        </is>
      </c>
      <c r="AL1175" s="68" t="n">
        <v>1</v>
      </c>
      <c r="AM1175" s="68" t="n"/>
      <c r="AN1175" s="68" t="n">
        <v>9026</v>
      </c>
      <c r="AO1175" s="69" t="inlineStr">
        <is>
          <t>2017</t>
        </is>
      </c>
      <c r="AP1175" s="70" t="n">
        <v>2017</v>
      </c>
      <c r="AQ1175" s="74" t="n">
        <v>1.49</v>
      </c>
      <c r="AR1175" s="74" t="n">
        <v>1.54</v>
      </c>
      <c r="AS1175" s="74" t="n">
        <v>69.7</v>
      </c>
      <c r="AT1175" s="74" t="n">
        <v>69.68000000000001</v>
      </c>
      <c r="AU1175" s="74" t="n">
        <v>69.7</v>
      </c>
      <c r="AV1175" s="74" t="n">
        <v>8.909166474999999</v>
      </c>
      <c r="AW1175" s="74" t="n">
        <v>9.235505165999999</v>
      </c>
      <c r="AX1175" s="75" t="n">
        <v>100</v>
      </c>
      <c r="AY1175" s="71" t="n">
        <v>1250000</v>
      </c>
      <c r="AZ1175" s="71" t="n">
        <v>1250000</v>
      </c>
      <c r="BA1175" s="71" t="n">
        <v>77598.84</v>
      </c>
      <c r="BB1175" s="71" t="n">
        <v>80441.25</v>
      </c>
      <c r="BC1175" s="69" t="inlineStr">
        <is>
          <t>Acquisition</t>
        </is>
      </c>
      <c r="BD1175" s="69" t="inlineStr">
        <is>
          <t>N</t>
        </is>
      </c>
      <c r="BE1175" s="71" t="n"/>
      <c r="BF1175" s="71" t="n"/>
      <c r="BG1175" s="71" t="n"/>
      <c r="BH1175" s="71" t="n">
        <v>0</v>
      </c>
      <c r="BI1175" s="71" t="n">
        <v>0</v>
      </c>
      <c r="BJ1175" s="69" t="inlineStr">
        <is>
          <t>N</t>
        </is>
      </c>
      <c r="BK1175" s="69" t="inlineStr">
        <is>
          <t>Dollar General</t>
        </is>
      </c>
      <c r="BL1175" s="75" t="n">
        <v>100</v>
      </c>
      <c r="BM1175" s="73" t="n">
        <v>48273</v>
      </c>
      <c r="BN1175" s="69" t="inlineStr">
        <is>
          <t>Ladder Capital Finance Holdings LLLP</t>
        </is>
      </c>
      <c r="BO1175" s="69" t="inlineStr">
        <is>
          <t>Ladder Capital Finance</t>
        </is>
      </c>
      <c r="BP1175" s="69" t="inlineStr">
        <is>
          <t>TriMont Real Estate Advisors</t>
        </is>
      </c>
      <c r="BQ1175" s="69" t="inlineStr">
        <is>
          <t>K-Star Asset Management LLC</t>
        </is>
      </c>
      <c r="BR1175" s="69" t="n"/>
      <c r="BS1175" s="73" t="n">
        <v>46273</v>
      </c>
      <c r="BU1175" s="76">
        <f>IF($C1175="","",IFERROR(INDEX(dmName,MATCH($C1175,dmID,0)),"Unmapped"))</f>
        <v/>
      </c>
      <c r="BV1175" s="76">
        <f>IF($C1175="","",IFERROR(INDEX(dmEntity,MATCH($C1175,dmID,0)),"Unmapped"))</f>
        <v/>
      </c>
      <c r="BW1175" s="77">
        <f>IF($C1175="","",IFERROR(INDEX(dmVintage,MATCH($C1175,dmID,0)),""))</f>
        <v/>
      </c>
      <c r="BX1175" s="78">
        <f>IFERROR(INDEX(dmInclude,MATCH($C1175,dmID,0)),0)</f>
        <v/>
      </c>
      <c r="BY1175" s="78">
        <f>IF(N($I1175)&gt;0,1,0)</f>
        <v/>
      </c>
      <c r="BZ1175" s="76">
        <f>IF($AJ1175="","Other / Leased Fee",IFERROR(INDEX(mapPTGroup,MATCH(LEFT(TRIM($AJ1175),2),mapPTCode,0)),"Other / Leased Fee"))</f>
        <v/>
      </c>
      <c r="CA1175" s="76">
        <f>IF(TRIM($AF1175&amp;"")="","NR",LEFT(TRIM($AF1175),2))</f>
        <v/>
      </c>
      <c r="CB1175" s="76">
        <f>IFERROR(LOOKUP(2,1/(LEFT(TRIM($AI1175&amp;""),LEN(mapRegion))=mapRegion),mapRegion),"Not Reported")</f>
        <v/>
      </c>
      <c r="CC1175" s="76">
        <f>IF($BY1175=0,"",IF(TRIM($W1175&amp;"")="REO","REO",IF(TRIM($W1175&amp;"")="FC","Foreclosure",IF(TRIM($W1175&amp;"")="90+","90+ Days Delinquent",IF(TRIM($W1175&amp;"")="60","60 Days Delinquent",IF(TRIM($W1175&amp;"")="30","30 Days Delinquent",IF($X1175="Non-Performing Matured Balloon","Non-Performing Matured Balloon",IF(OR($X1175="Late Payment But Less Than 30 Days Delinquent",LEFT($X1175&amp;"",20)="Payment Not Received"),"Late / In Grace (&lt;30 Days)",IF($X1175="Performing Matured Balloon","Performing Matured Balloon","Current")))))))))</f>
        <v/>
      </c>
      <c r="CD1175" s="78">
        <f>IF(OR($CC1175="REO",$CC1175="Foreclosure",$CC1175="90+ Days Delinquent",$CC1175="60 Days Delinquent",$CC1175="30 Days Delinquent",$CC1175="Non-Performing Matured Balloon"),1,0)</f>
        <v/>
      </c>
      <c r="CE1175" s="76">
        <f>IF($AB1175="Currently special serv","Currently Specially Serviced",IF($AB1175="Returned to master serv","Previously Specially Serviced","Never Specially Serviced"))</f>
        <v/>
      </c>
      <c r="CF1175" s="78">
        <f>IF($CE1175="Currently Specially Serviced",1,0)</f>
        <v/>
      </c>
      <c r="CG1175" s="76">
        <f>IF($AA1175="Yes","Currently on Watchlist",IF($AA1175="Previously","Previously on Watchlist","Never on Watchlist"))</f>
        <v/>
      </c>
      <c r="CH1175" s="78">
        <f>IF($CG1175="Currently on Watchlist",1,0)</f>
        <v/>
      </c>
      <c r="CI1175" s="76">
        <f>IF($Z1175="Full Defeasance","Fully Defeased",IF($Z1175="Portion Of Loan Previously Defeased","Partially Defeased",IF($Z1175="Defeasance Not Allowable","Not Defeased (Not Permitted)","Not Defeased")))</f>
        <v/>
      </c>
      <c r="CJ1175" s="78">
        <f>IF($CI1175="Fully Defeased",1,0)</f>
        <v/>
      </c>
      <c r="CK1175" s="76">
        <f>IF($R1175="IO","Full IO",IF(LEFT($R1175&amp;"",7)="IO then","Partial IO","Amortizing"))</f>
        <v/>
      </c>
      <c r="CL1175" s="78">
        <f>IF($CK1175="Full IO",1,0)</f>
        <v/>
      </c>
      <c r="CM1175" s="78">
        <f>IF($CK1175="Partial IO",1,0)</f>
        <v/>
      </c>
      <c r="CN1175" s="76">
        <f>IF(LEFT($F1175&amp;"",10)="SPLIT_LOAN","Pari Passu Split","Standalone")</f>
        <v/>
      </c>
      <c r="CO1175" s="78">
        <f>IF($CN1175="Pari Passu Split",1,0)</f>
        <v/>
      </c>
      <c r="CP1175" s="77">
        <f>IF(ISNUMBER($T1175),YEAR($T1175),"")</f>
        <v/>
      </c>
      <c r="CQ1175" s="79">
        <f>IF(ISNUMBER($V1175),$V1175,IF(ISNUMBER($U1175),$U1175,""))</f>
        <v/>
      </c>
      <c r="CR1175" s="77">
        <f>IF(ISNUMBER($CQ1175),YEAR($CQ1175),"")</f>
        <v/>
      </c>
      <c r="CS1175" s="78">
        <f>IF(ISNUMBER($M1175),MAX(0,$M1175),IF(TRIM($M1175&amp;"")="matured",0,""))</f>
        <v/>
      </c>
      <c r="CT1175" s="78">
        <f>IF(AND(ISNUMBER($CS1175),N($CS1175)&lt;=mMatWindow),1,0)</f>
        <v/>
      </c>
      <c r="CU1175" s="80">
        <f>IF(ISNUMBER($J1175),$J1175/100,"")</f>
        <v/>
      </c>
      <c r="CV1175" s="81">
        <f>IF(ISNUMBER($AQ1175),$AQ1175,"")</f>
        <v/>
      </c>
      <c r="CW1175" s="81">
        <f>IF(ISNUMBER($AR1175),$AR1175,"")</f>
        <v/>
      </c>
      <c r="CX1175" s="82">
        <f>IF(ISNUMBER($AS1175),$AS1175/100,"")</f>
        <v/>
      </c>
      <c r="CY1175" s="82">
        <f>IF(ISNUMBER($AT1175),$AT1175/100,"")</f>
        <v/>
      </c>
      <c r="CZ1175" s="82">
        <f>IF(ISNUMBER($AU1175),$AU1175/100,"")</f>
        <v/>
      </c>
      <c r="DA1175" s="82">
        <f>IF(ISNUMBER($AV1175),$AV1175/100,"")</f>
        <v/>
      </c>
      <c r="DB1175" s="82">
        <f>IF(ISNUMBER($AW1175),$AW1175/100,"")</f>
        <v/>
      </c>
      <c r="DC1175" s="82">
        <f>IF(ISNUMBER($AX1175),$AX1175/100,"")</f>
        <v/>
      </c>
      <c r="DD1175" s="77">
        <f>IFERROR(VALUE(LEFT(TRIM($AO1175&amp;""),4)),"")</f>
        <v/>
      </c>
      <c r="DE1175" s="78">
        <f>IF(AND($BY1175=1,$BX1175=1,OR(fDeal="All Deals",$BU1175=fDeal),OR(fEntity="All Entities",$BV1175=fEntity),OR(fPType="All Property Types",$BZ1175=fPType),OR(fDefeased="Include",$CJ1175=0)),1,0)</f>
        <v/>
      </c>
      <c r="DF1175" s="83">
        <f>$DE1175*N($I1175)</f>
        <v/>
      </c>
      <c r="DG1175" s="78">
        <f>IF($DE1175=1,IF(COUNTIFS($F$8:$F1175,$F1175,$DE$8:$DE1175,1)=1,1,0),0)</f>
        <v/>
      </c>
      <c r="DH1175" s="83">
        <f>IF($DG1175=1,SUMIFS($DF$8:$DF$1600,$F$8:$F$1600,$F1175),0)</f>
        <v/>
      </c>
      <c r="DI1175" s="78">
        <f>IF($DG1175=1,COUNTIFS($F$8:$F$1600,$F1175,$DE$8:$DE$1600,1),0)</f>
        <v/>
      </c>
      <c r="DJ1175" s="84">
        <f>IF($DG1175=1,$DH1175+(100000-ROW())/mTieBreak,0)</f>
        <v/>
      </c>
    </row>
    <row r="1176">
      <c r="B1176" s="68" t="n">
        <v>55</v>
      </c>
      <c r="C1176" s="69" t="inlineStr">
        <is>
          <t>LCC17L26</t>
        </is>
      </c>
      <c r="D1176" s="69" t="inlineStr">
        <is>
          <t>55.000</t>
        </is>
      </c>
      <c r="E1176" s="69" t="inlineStr">
        <is>
          <t>Dollar General Hanna City</t>
        </is>
      </c>
      <c r="F1176" s="69" t="inlineStr">
        <is>
          <t>LNLCC17L26-55.000</t>
        </is>
      </c>
      <c r="G1176" s="70" t="n"/>
      <c r="H1176" s="71" t="n">
        <v>852000</v>
      </c>
      <c r="I1176" s="71" t="n">
        <v>852000</v>
      </c>
      <c r="J1176" s="72" t="n">
        <v>5.9</v>
      </c>
      <c r="K1176" s="69" t="inlineStr">
        <is>
          <t>Fixed rate</t>
        </is>
      </c>
      <c r="L1176" s="68" t="n">
        <v>120</v>
      </c>
      <c r="M1176" s="68" t="n">
        <v>9</v>
      </c>
      <c r="N1176" s="68" t="n">
        <v>120</v>
      </c>
      <c r="O1176" s="68" t="n">
        <v>120</v>
      </c>
      <c r="P1176" s="68" t="n">
        <v>9</v>
      </c>
      <c r="Q1176" s="68" t="n">
        <v>111</v>
      </c>
      <c r="R1176" s="69" t="inlineStr">
        <is>
          <t>IO</t>
        </is>
      </c>
      <c r="S1176" s="69" t="inlineStr">
        <is>
          <t>Yes</t>
        </is>
      </c>
      <c r="T1176" s="73" t="n">
        <v>42887</v>
      </c>
      <c r="U1176" s="73" t="n">
        <v>48371</v>
      </c>
      <c r="V1176" s="73" t="n">
        <v>46544</v>
      </c>
      <c r="W1176" s="69" t="n"/>
      <c r="X1176" s="69" t="inlineStr">
        <is>
          <t>Current</t>
        </is>
      </c>
      <c r="Y1176" s="68" t="n"/>
      <c r="Z1176" s="69" t="inlineStr">
        <is>
          <t>No Defeasance Occurred</t>
        </is>
      </c>
      <c r="AA1176" s="69" t="n"/>
      <c r="AB1176" s="69" t="inlineStr">
        <is>
          <t>Never special serv</t>
        </is>
      </c>
      <c r="AC1176" s="73" t="n"/>
      <c r="AD1176" s="69" t="n"/>
      <c r="AE1176" s="69" t="n"/>
      <c r="AF1176" s="69" t="inlineStr">
        <is>
          <t>IL</t>
        </is>
      </c>
      <c r="AG1176" s="69" t="inlineStr">
        <is>
          <t>Hanna City</t>
        </is>
      </c>
      <c r="AH1176" s="69" t="inlineStr">
        <is>
          <t>Peoria, IL</t>
        </is>
      </c>
      <c r="AI1176" s="69" t="inlineStr">
        <is>
          <t>Midwest / Central East</t>
        </is>
      </c>
      <c r="AJ1176" s="69" t="inlineStr">
        <is>
          <t>RT</t>
        </is>
      </c>
      <c r="AK1176" s="69" t="inlineStr">
        <is>
          <t>Single Tenant</t>
        </is>
      </c>
      <c r="AL1176" s="68" t="n">
        <v>1</v>
      </c>
      <c r="AM1176" s="68" t="n"/>
      <c r="AN1176" s="68" t="n">
        <v>9100</v>
      </c>
      <c r="AO1176" s="69" t="inlineStr">
        <is>
          <t>2016</t>
        </is>
      </c>
      <c r="AP1176" s="70" t="n">
        <v>2016</v>
      </c>
      <c r="AQ1176" s="74" t="n">
        <v>1.49</v>
      </c>
      <c r="AR1176" s="74" t="n">
        <v>1.55</v>
      </c>
      <c r="AS1176" s="74" t="n">
        <v>69.8</v>
      </c>
      <c r="AT1176" s="74" t="n">
        <v>69.84</v>
      </c>
      <c r="AU1176" s="74" t="n">
        <v>69.8</v>
      </c>
      <c r="AV1176" s="74" t="n">
        <v>8.929725352</v>
      </c>
      <c r="AW1176" s="74" t="n">
        <v>9.252753521000001</v>
      </c>
      <c r="AX1176" s="75" t="n">
        <v>100</v>
      </c>
      <c r="AY1176" s="71" t="n">
        <v>1220000</v>
      </c>
      <c r="AZ1176" s="71" t="n">
        <v>1220000</v>
      </c>
      <c r="BA1176" s="71" t="n">
        <v>76081.25999999999</v>
      </c>
      <c r="BB1176" s="71" t="n">
        <v>78833.46000000001</v>
      </c>
      <c r="BC1176" s="69" t="inlineStr">
        <is>
          <t>Acquisition</t>
        </is>
      </c>
      <c r="BD1176" s="69" t="inlineStr">
        <is>
          <t>N</t>
        </is>
      </c>
      <c r="BE1176" s="71" t="n"/>
      <c r="BF1176" s="71" t="n"/>
      <c r="BG1176" s="71" t="n"/>
      <c r="BH1176" s="71" t="n">
        <v>0</v>
      </c>
      <c r="BI1176" s="71" t="n">
        <v>0</v>
      </c>
      <c r="BJ1176" s="69" t="inlineStr">
        <is>
          <t>N</t>
        </is>
      </c>
      <c r="BK1176" s="69" t="inlineStr">
        <is>
          <t>Dollar General</t>
        </is>
      </c>
      <c r="BL1176" s="75" t="n">
        <v>100</v>
      </c>
      <c r="BM1176" s="73" t="n">
        <v>48029</v>
      </c>
      <c r="BN1176" s="69" t="inlineStr">
        <is>
          <t>Ladder Capital Finance Holdings LLLP</t>
        </is>
      </c>
      <c r="BO1176" s="69" t="inlineStr">
        <is>
          <t>Ladder Capital Finance</t>
        </is>
      </c>
      <c r="BP1176" s="69" t="inlineStr">
        <is>
          <t>TriMont Real Estate Advisors</t>
        </is>
      </c>
      <c r="BQ1176" s="69" t="inlineStr">
        <is>
          <t>K-Star Asset Management LLC</t>
        </is>
      </c>
      <c r="BR1176" s="69" t="n"/>
      <c r="BS1176" s="73" t="n">
        <v>46273</v>
      </c>
      <c r="BU1176" s="76">
        <f>IF($C1176="","",IFERROR(INDEX(dmName,MATCH($C1176,dmID,0)),"Unmapped"))</f>
        <v/>
      </c>
      <c r="BV1176" s="76">
        <f>IF($C1176="","",IFERROR(INDEX(dmEntity,MATCH($C1176,dmID,0)),"Unmapped"))</f>
        <v/>
      </c>
      <c r="BW1176" s="77">
        <f>IF($C1176="","",IFERROR(INDEX(dmVintage,MATCH($C1176,dmID,0)),""))</f>
        <v/>
      </c>
      <c r="BX1176" s="78">
        <f>IFERROR(INDEX(dmInclude,MATCH($C1176,dmID,0)),0)</f>
        <v/>
      </c>
      <c r="BY1176" s="78">
        <f>IF(N($I1176)&gt;0,1,0)</f>
        <v/>
      </c>
      <c r="BZ1176" s="76">
        <f>IF($AJ1176="","Other / Leased Fee",IFERROR(INDEX(mapPTGroup,MATCH(LEFT(TRIM($AJ1176),2),mapPTCode,0)),"Other / Leased Fee"))</f>
        <v/>
      </c>
      <c r="CA1176" s="76">
        <f>IF(TRIM($AF1176&amp;"")="","NR",LEFT(TRIM($AF1176),2))</f>
        <v/>
      </c>
      <c r="CB1176" s="76">
        <f>IFERROR(LOOKUP(2,1/(LEFT(TRIM($AI1176&amp;""),LEN(mapRegion))=mapRegion),mapRegion),"Not Reported")</f>
        <v/>
      </c>
      <c r="CC1176" s="76">
        <f>IF($BY1176=0,"",IF(TRIM($W1176&amp;"")="REO","REO",IF(TRIM($W1176&amp;"")="FC","Foreclosure",IF(TRIM($W1176&amp;"")="90+","90+ Days Delinquent",IF(TRIM($W1176&amp;"")="60","60 Days Delinquent",IF(TRIM($W1176&amp;"")="30","30 Days Delinquent",IF($X1176="Non-Performing Matured Balloon","Non-Performing Matured Balloon",IF(OR($X1176="Late Payment But Less Than 30 Days Delinquent",LEFT($X1176&amp;"",20)="Payment Not Received"),"Late / In Grace (&lt;30 Days)",IF($X1176="Performing Matured Balloon","Performing Matured Balloon","Current")))))))))</f>
        <v/>
      </c>
      <c r="CD1176" s="78">
        <f>IF(OR($CC1176="REO",$CC1176="Foreclosure",$CC1176="90+ Days Delinquent",$CC1176="60 Days Delinquent",$CC1176="30 Days Delinquent",$CC1176="Non-Performing Matured Balloon"),1,0)</f>
        <v/>
      </c>
      <c r="CE1176" s="76">
        <f>IF($AB1176="Currently special serv","Currently Specially Serviced",IF($AB1176="Returned to master serv","Previously Specially Serviced","Never Specially Serviced"))</f>
        <v/>
      </c>
      <c r="CF1176" s="78">
        <f>IF($CE1176="Currently Specially Serviced",1,0)</f>
        <v/>
      </c>
      <c r="CG1176" s="76">
        <f>IF($AA1176="Yes","Currently on Watchlist",IF($AA1176="Previously","Previously on Watchlist","Never on Watchlist"))</f>
        <v/>
      </c>
      <c r="CH1176" s="78">
        <f>IF($CG1176="Currently on Watchlist",1,0)</f>
        <v/>
      </c>
      <c r="CI1176" s="76">
        <f>IF($Z1176="Full Defeasance","Fully Defeased",IF($Z1176="Portion Of Loan Previously Defeased","Partially Defeased",IF($Z1176="Defeasance Not Allowable","Not Defeased (Not Permitted)","Not Defeased")))</f>
        <v/>
      </c>
      <c r="CJ1176" s="78">
        <f>IF($CI1176="Fully Defeased",1,0)</f>
        <v/>
      </c>
      <c r="CK1176" s="76">
        <f>IF($R1176="IO","Full IO",IF(LEFT($R1176&amp;"",7)="IO then","Partial IO","Amortizing"))</f>
        <v/>
      </c>
      <c r="CL1176" s="78">
        <f>IF($CK1176="Full IO",1,0)</f>
        <v/>
      </c>
      <c r="CM1176" s="78">
        <f>IF($CK1176="Partial IO",1,0)</f>
        <v/>
      </c>
      <c r="CN1176" s="76">
        <f>IF(LEFT($F1176&amp;"",10)="SPLIT_LOAN","Pari Passu Split","Standalone")</f>
        <v/>
      </c>
      <c r="CO1176" s="78">
        <f>IF($CN1176="Pari Passu Split",1,0)</f>
        <v/>
      </c>
      <c r="CP1176" s="77">
        <f>IF(ISNUMBER($T1176),YEAR($T1176),"")</f>
        <v/>
      </c>
      <c r="CQ1176" s="79">
        <f>IF(ISNUMBER($V1176),$V1176,IF(ISNUMBER($U1176),$U1176,""))</f>
        <v/>
      </c>
      <c r="CR1176" s="77">
        <f>IF(ISNUMBER($CQ1176),YEAR($CQ1176),"")</f>
        <v/>
      </c>
      <c r="CS1176" s="78">
        <f>IF(ISNUMBER($M1176),MAX(0,$M1176),IF(TRIM($M1176&amp;"")="matured",0,""))</f>
        <v/>
      </c>
      <c r="CT1176" s="78">
        <f>IF(AND(ISNUMBER($CS1176),N($CS1176)&lt;=mMatWindow),1,0)</f>
        <v/>
      </c>
      <c r="CU1176" s="80">
        <f>IF(ISNUMBER($J1176),$J1176/100,"")</f>
        <v/>
      </c>
      <c r="CV1176" s="81">
        <f>IF(ISNUMBER($AQ1176),$AQ1176,"")</f>
        <v/>
      </c>
      <c r="CW1176" s="81">
        <f>IF(ISNUMBER($AR1176),$AR1176,"")</f>
        <v/>
      </c>
      <c r="CX1176" s="82">
        <f>IF(ISNUMBER($AS1176),$AS1176/100,"")</f>
        <v/>
      </c>
      <c r="CY1176" s="82">
        <f>IF(ISNUMBER($AT1176),$AT1176/100,"")</f>
        <v/>
      </c>
      <c r="CZ1176" s="82">
        <f>IF(ISNUMBER($AU1176),$AU1176/100,"")</f>
        <v/>
      </c>
      <c r="DA1176" s="82">
        <f>IF(ISNUMBER($AV1176),$AV1176/100,"")</f>
        <v/>
      </c>
      <c r="DB1176" s="82">
        <f>IF(ISNUMBER($AW1176),$AW1176/100,"")</f>
        <v/>
      </c>
      <c r="DC1176" s="82">
        <f>IF(ISNUMBER($AX1176),$AX1176/100,"")</f>
        <v/>
      </c>
      <c r="DD1176" s="77">
        <f>IFERROR(VALUE(LEFT(TRIM($AO1176&amp;""),4)),"")</f>
        <v/>
      </c>
      <c r="DE1176" s="78">
        <f>IF(AND($BY1176=1,$BX1176=1,OR(fDeal="All Deals",$BU1176=fDeal),OR(fEntity="All Entities",$BV1176=fEntity),OR(fPType="All Property Types",$BZ1176=fPType),OR(fDefeased="Include",$CJ1176=0)),1,0)</f>
        <v/>
      </c>
      <c r="DF1176" s="83">
        <f>$DE1176*N($I1176)</f>
        <v/>
      </c>
      <c r="DG1176" s="78">
        <f>IF($DE1176=1,IF(COUNTIFS($F$8:$F1176,$F1176,$DE$8:$DE1176,1)=1,1,0),0)</f>
        <v/>
      </c>
      <c r="DH1176" s="83">
        <f>IF($DG1176=1,SUMIFS($DF$8:$DF$1600,$F$8:$F$1600,$F1176),0)</f>
        <v/>
      </c>
      <c r="DI1176" s="78">
        <f>IF($DG1176=1,COUNTIFS($F$8:$F$1600,$F1176,$DE$8:$DE$1600,1),0)</f>
        <v/>
      </c>
      <c r="DJ1176" s="84">
        <f>IF($DG1176=1,$DH1176+(100000-ROW())/mTieBreak,0)</f>
        <v/>
      </c>
    </row>
    <row r="1177">
      <c r="B1177" s="68" t="n">
        <v>56</v>
      </c>
      <c r="C1177" s="69" t="inlineStr">
        <is>
          <t>LCC17L26</t>
        </is>
      </c>
      <c r="D1177" s="69" t="inlineStr">
        <is>
          <t>56.000</t>
        </is>
      </c>
      <c r="E1177" s="69" t="inlineStr">
        <is>
          <t>Dollar General Shelbyville</t>
        </is>
      </c>
      <c r="F1177" s="69" t="inlineStr">
        <is>
          <t>LNLCC17L26-56.000</t>
        </is>
      </c>
      <c r="G1177" s="70" t="n"/>
      <c r="H1177" s="71" t="n">
        <v>850000</v>
      </c>
      <c r="I1177" s="71" t="n">
        <v>850000</v>
      </c>
      <c r="J1177" s="72" t="n">
        <v>5.8</v>
      </c>
      <c r="K1177" s="69" t="inlineStr">
        <is>
          <t>Fixed rate</t>
        </is>
      </c>
      <c r="L1177" s="68" t="n">
        <v>120</v>
      </c>
      <c r="M1177" s="68" t="n">
        <v>9</v>
      </c>
      <c r="N1177" s="68" t="n">
        <v>120</v>
      </c>
      <c r="O1177" s="68" t="n">
        <v>120</v>
      </c>
      <c r="P1177" s="68" t="n">
        <v>9</v>
      </c>
      <c r="Q1177" s="68" t="n">
        <v>111</v>
      </c>
      <c r="R1177" s="69" t="inlineStr">
        <is>
          <t>IO</t>
        </is>
      </c>
      <c r="S1177" s="69" t="inlineStr">
        <is>
          <t>Yes</t>
        </is>
      </c>
      <c r="T1177" s="73" t="n">
        <v>42887</v>
      </c>
      <c r="U1177" s="73" t="n">
        <v>48371</v>
      </c>
      <c r="V1177" s="73" t="n">
        <v>46544</v>
      </c>
      <c r="W1177" s="69" t="n"/>
      <c r="X1177" s="69" t="inlineStr">
        <is>
          <t>Current</t>
        </is>
      </c>
      <c r="Y1177" s="68" t="n"/>
      <c r="Z1177" s="69" t="inlineStr">
        <is>
          <t>No Defeasance Occurred</t>
        </is>
      </c>
      <c r="AA1177" s="69" t="n"/>
      <c r="AB1177" s="69" t="inlineStr">
        <is>
          <t>Never special serv</t>
        </is>
      </c>
      <c r="AC1177" s="73" t="n"/>
      <c r="AD1177" s="69" t="n"/>
      <c r="AE1177" s="69" t="n"/>
      <c r="AF1177" s="69" t="inlineStr">
        <is>
          <t>IL</t>
        </is>
      </c>
      <c r="AG1177" s="69" t="inlineStr">
        <is>
          <t>Shelbyville</t>
        </is>
      </c>
      <c r="AH1177" s="69" t="n"/>
      <c r="AI1177" s="69" t="inlineStr">
        <is>
          <t>Midwest / Central East</t>
        </is>
      </c>
      <c r="AJ1177" s="69" t="inlineStr">
        <is>
          <t>RT</t>
        </is>
      </c>
      <c r="AK1177" s="69" t="inlineStr">
        <is>
          <t>Single Tenant</t>
        </is>
      </c>
      <c r="AL1177" s="68" t="n">
        <v>1</v>
      </c>
      <c r="AM1177" s="68" t="n"/>
      <c r="AN1177" s="68" t="n">
        <v>9026</v>
      </c>
      <c r="AO1177" s="69" t="inlineStr">
        <is>
          <t>2017</t>
        </is>
      </c>
      <c r="AP1177" s="70" t="n">
        <v>2017</v>
      </c>
      <c r="AQ1177" s="74" t="n">
        <v>1.51</v>
      </c>
      <c r="AR1177" s="74" t="n">
        <v>1.57</v>
      </c>
      <c r="AS1177" s="74" t="n">
        <v>69.7</v>
      </c>
      <c r="AT1177" s="74" t="n">
        <v>69.67</v>
      </c>
      <c r="AU1177" s="74" t="n">
        <v>69.7</v>
      </c>
      <c r="AV1177" s="74" t="n">
        <v>8.883657647</v>
      </c>
      <c r="AW1177" s="74" t="n">
        <v>9.205085882000001</v>
      </c>
      <c r="AX1177" s="75" t="n">
        <v>100</v>
      </c>
      <c r="AY1177" s="71" t="n">
        <v>1220000</v>
      </c>
      <c r="AZ1177" s="71" t="n">
        <v>1220000</v>
      </c>
      <c r="BA1177" s="71" t="n">
        <v>75511.09</v>
      </c>
      <c r="BB1177" s="71" t="n">
        <v>78243.23</v>
      </c>
      <c r="BC1177" s="69" t="inlineStr">
        <is>
          <t>Acquisition</t>
        </is>
      </c>
      <c r="BD1177" s="69" t="inlineStr">
        <is>
          <t>N</t>
        </is>
      </c>
      <c r="BE1177" s="71" t="n"/>
      <c r="BF1177" s="71" t="n"/>
      <c r="BG1177" s="71" t="n"/>
      <c r="BH1177" s="71" t="n">
        <v>0</v>
      </c>
      <c r="BI1177" s="71" t="n">
        <v>0</v>
      </c>
      <c r="BJ1177" s="69" t="inlineStr">
        <is>
          <t>N</t>
        </is>
      </c>
      <c r="BK1177" s="69" t="inlineStr">
        <is>
          <t>Dollar General</t>
        </is>
      </c>
      <c r="BL1177" s="75" t="n">
        <v>100</v>
      </c>
      <c r="BM1177" s="73" t="n">
        <v>47879</v>
      </c>
      <c r="BN1177" s="69" t="inlineStr">
        <is>
          <t>Ladder Capital Finance Holdings LLLP</t>
        </is>
      </c>
      <c r="BO1177" s="69" t="inlineStr">
        <is>
          <t>Ladder Capital Finance</t>
        </is>
      </c>
      <c r="BP1177" s="69" t="inlineStr">
        <is>
          <t>TriMont Real Estate Advisors</t>
        </is>
      </c>
      <c r="BQ1177" s="69" t="inlineStr">
        <is>
          <t>K-Star Asset Management LLC</t>
        </is>
      </c>
      <c r="BR1177" s="69" t="n"/>
      <c r="BS1177" s="73" t="n">
        <v>46273</v>
      </c>
      <c r="BU1177" s="76">
        <f>IF($C1177="","",IFERROR(INDEX(dmName,MATCH($C1177,dmID,0)),"Unmapped"))</f>
        <v/>
      </c>
      <c r="BV1177" s="76">
        <f>IF($C1177="","",IFERROR(INDEX(dmEntity,MATCH($C1177,dmID,0)),"Unmapped"))</f>
        <v/>
      </c>
      <c r="BW1177" s="77">
        <f>IF($C1177="","",IFERROR(INDEX(dmVintage,MATCH($C1177,dmID,0)),""))</f>
        <v/>
      </c>
      <c r="BX1177" s="78">
        <f>IFERROR(INDEX(dmInclude,MATCH($C1177,dmID,0)),0)</f>
        <v/>
      </c>
      <c r="BY1177" s="78">
        <f>IF(N($I1177)&gt;0,1,0)</f>
        <v/>
      </c>
      <c r="BZ1177" s="76">
        <f>IF($AJ1177="","Other / Leased Fee",IFERROR(INDEX(mapPTGroup,MATCH(LEFT(TRIM($AJ1177),2),mapPTCode,0)),"Other / Leased Fee"))</f>
        <v/>
      </c>
      <c r="CA1177" s="76">
        <f>IF(TRIM($AF1177&amp;"")="","NR",LEFT(TRIM($AF1177),2))</f>
        <v/>
      </c>
      <c r="CB1177" s="76">
        <f>IFERROR(LOOKUP(2,1/(LEFT(TRIM($AI1177&amp;""),LEN(mapRegion))=mapRegion),mapRegion),"Not Reported")</f>
        <v/>
      </c>
      <c r="CC1177" s="76">
        <f>IF($BY1177=0,"",IF(TRIM($W1177&amp;"")="REO","REO",IF(TRIM($W1177&amp;"")="FC","Foreclosure",IF(TRIM($W1177&amp;"")="90+","90+ Days Delinquent",IF(TRIM($W1177&amp;"")="60","60 Days Delinquent",IF(TRIM($W1177&amp;"")="30","30 Days Delinquent",IF($X1177="Non-Performing Matured Balloon","Non-Performing Matured Balloon",IF(OR($X1177="Late Payment But Less Than 30 Days Delinquent",LEFT($X1177&amp;"",20)="Payment Not Received"),"Late / In Grace (&lt;30 Days)",IF($X1177="Performing Matured Balloon","Performing Matured Balloon","Current")))))))))</f>
        <v/>
      </c>
      <c r="CD1177" s="78">
        <f>IF(OR($CC1177="REO",$CC1177="Foreclosure",$CC1177="90+ Days Delinquent",$CC1177="60 Days Delinquent",$CC1177="30 Days Delinquent",$CC1177="Non-Performing Matured Balloon"),1,0)</f>
        <v/>
      </c>
      <c r="CE1177" s="76">
        <f>IF($AB1177="Currently special serv","Currently Specially Serviced",IF($AB1177="Returned to master serv","Previously Specially Serviced","Never Specially Serviced"))</f>
        <v/>
      </c>
      <c r="CF1177" s="78">
        <f>IF($CE1177="Currently Specially Serviced",1,0)</f>
        <v/>
      </c>
      <c r="CG1177" s="76">
        <f>IF($AA1177="Yes","Currently on Watchlist",IF($AA1177="Previously","Previously on Watchlist","Never on Watchlist"))</f>
        <v/>
      </c>
      <c r="CH1177" s="78">
        <f>IF($CG1177="Currently on Watchlist",1,0)</f>
        <v/>
      </c>
      <c r="CI1177" s="76">
        <f>IF($Z1177="Full Defeasance","Fully Defeased",IF($Z1177="Portion Of Loan Previously Defeased","Partially Defeased",IF($Z1177="Defeasance Not Allowable","Not Defeased (Not Permitted)","Not Defeased")))</f>
        <v/>
      </c>
      <c r="CJ1177" s="78">
        <f>IF($CI1177="Fully Defeased",1,0)</f>
        <v/>
      </c>
      <c r="CK1177" s="76">
        <f>IF($R1177="IO","Full IO",IF(LEFT($R1177&amp;"",7)="IO then","Partial IO","Amortizing"))</f>
        <v/>
      </c>
      <c r="CL1177" s="78">
        <f>IF($CK1177="Full IO",1,0)</f>
        <v/>
      </c>
      <c r="CM1177" s="78">
        <f>IF($CK1177="Partial IO",1,0)</f>
        <v/>
      </c>
      <c r="CN1177" s="76">
        <f>IF(LEFT($F1177&amp;"",10)="SPLIT_LOAN","Pari Passu Split","Standalone")</f>
        <v/>
      </c>
      <c r="CO1177" s="78">
        <f>IF($CN1177="Pari Passu Split",1,0)</f>
        <v/>
      </c>
      <c r="CP1177" s="77">
        <f>IF(ISNUMBER($T1177),YEAR($T1177),"")</f>
        <v/>
      </c>
      <c r="CQ1177" s="79">
        <f>IF(ISNUMBER($V1177),$V1177,IF(ISNUMBER($U1177),$U1177,""))</f>
        <v/>
      </c>
      <c r="CR1177" s="77">
        <f>IF(ISNUMBER($CQ1177),YEAR($CQ1177),"")</f>
        <v/>
      </c>
      <c r="CS1177" s="78">
        <f>IF(ISNUMBER($M1177),MAX(0,$M1177),IF(TRIM($M1177&amp;"")="matured",0,""))</f>
        <v/>
      </c>
      <c r="CT1177" s="78">
        <f>IF(AND(ISNUMBER($CS1177),N($CS1177)&lt;=mMatWindow),1,0)</f>
        <v/>
      </c>
      <c r="CU1177" s="80">
        <f>IF(ISNUMBER($J1177),$J1177/100,"")</f>
        <v/>
      </c>
      <c r="CV1177" s="81">
        <f>IF(ISNUMBER($AQ1177),$AQ1177,"")</f>
        <v/>
      </c>
      <c r="CW1177" s="81">
        <f>IF(ISNUMBER($AR1177),$AR1177,"")</f>
        <v/>
      </c>
      <c r="CX1177" s="82">
        <f>IF(ISNUMBER($AS1177),$AS1177/100,"")</f>
        <v/>
      </c>
      <c r="CY1177" s="82">
        <f>IF(ISNUMBER($AT1177),$AT1177/100,"")</f>
        <v/>
      </c>
      <c r="CZ1177" s="82">
        <f>IF(ISNUMBER($AU1177),$AU1177/100,"")</f>
        <v/>
      </c>
      <c r="DA1177" s="82">
        <f>IF(ISNUMBER($AV1177),$AV1177/100,"")</f>
        <v/>
      </c>
      <c r="DB1177" s="82">
        <f>IF(ISNUMBER($AW1177),$AW1177/100,"")</f>
        <v/>
      </c>
      <c r="DC1177" s="82">
        <f>IF(ISNUMBER($AX1177),$AX1177/100,"")</f>
        <v/>
      </c>
      <c r="DD1177" s="77">
        <f>IFERROR(VALUE(LEFT(TRIM($AO1177&amp;""),4)),"")</f>
        <v/>
      </c>
      <c r="DE1177" s="78">
        <f>IF(AND($BY1177=1,$BX1177=1,OR(fDeal="All Deals",$BU1177=fDeal),OR(fEntity="All Entities",$BV1177=fEntity),OR(fPType="All Property Types",$BZ1177=fPType),OR(fDefeased="Include",$CJ1177=0)),1,0)</f>
        <v/>
      </c>
      <c r="DF1177" s="83">
        <f>$DE1177*N($I1177)</f>
        <v/>
      </c>
      <c r="DG1177" s="78">
        <f>IF($DE1177=1,IF(COUNTIFS($F$8:$F1177,$F1177,$DE$8:$DE1177,1)=1,1,0),0)</f>
        <v/>
      </c>
      <c r="DH1177" s="83">
        <f>IF($DG1177=1,SUMIFS($DF$8:$DF$1600,$F$8:$F$1600,$F1177),0)</f>
        <v/>
      </c>
      <c r="DI1177" s="78">
        <f>IF($DG1177=1,COUNTIFS($F$8:$F$1600,$F1177,$DE$8:$DE$1600,1),0)</f>
        <v/>
      </c>
      <c r="DJ1177" s="84">
        <f>IF($DG1177=1,$DH1177+(100000-ROW())/mTieBreak,0)</f>
        <v/>
      </c>
    </row>
    <row r="1178">
      <c r="B1178" s="68" t="n">
        <v>57</v>
      </c>
      <c r="C1178" s="69" t="inlineStr">
        <is>
          <t>LCC17L26</t>
        </is>
      </c>
      <c r="D1178" s="69" t="inlineStr">
        <is>
          <t>57.000</t>
        </is>
      </c>
      <c r="E1178" s="69" t="inlineStr">
        <is>
          <t>Dollar General Linn</t>
        </is>
      </c>
      <c r="F1178" s="69" t="inlineStr">
        <is>
          <t>LNLCC17L26-57.000</t>
        </is>
      </c>
      <c r="G1178" s="70" t="n"/>
      <c r="H1178" s="71" t="n">
        <v>846000</v>
      </c>
      <c r="I1178" s="71" t="n">
        <v>846000</v>
      </c>
      <c r="J1178" s="72" t="n">
        <v>5.9</v>
      </c>
      <c r="K1178" s="69" t="inlineStr">
        <is>
          <t>Fixed rate</t>
        </is>
      </c>
      <c r="L1178" s="68" t="n">
        <v>120</v>
      </c>
      <c r="M1178" s="68" t="n">
        <v>9</v>
      </c>
      <c r="N1178" s="68" t="n">
        <v>120</v>
      </c>
      <c r="O1178" s="68" t="n">
        <v>120</v>
      </c>
      <c r="P1178" s="68" t="n">
        <v>9</v>
      </c>
      <c r="Q1178" s="68" t="n">
        <v>111</v>
      </c>
      <c r="R1178" s="69" t="inlineStr">
        <is>
          <t>IO</t>
        </is>
      </c>
      <c r="S1178" s="69" t="inlineStr">
        <is>
          <t>Yes</t>
        </is>
      </c>
      <c r="T1178" s="73" t="n">
        <v>42887</v>
      </c>
      <c r="U1178" s="73" t="n">
        <v>48371</v>
      </c>
      <c r="V1178" s="73" t="n">
        <v>46544</v>
      </c>
      <c r="W1178" s="69" t="n"/>
      <c r="X1178" s="69" t="inlineStr">
        <is>
          <t>Current</t>
        </is>
      </c>
      <c r="Y1178" s="68" t="n"/>
      <c r="Z1178" s="69" t="inlineStr">
        <is>
          <t>No Defeasance Occurred</t>
        </is>
      </c>
      <c r="AA1178" s="69" t="n"/>
      <c r="AB1178" s="69" t="inlineStr">
        <is>
          <t>Never special serv</t>
        </is>
      </c>
      <c r="AC1178" s="73" t="n"/>
      <c r="AD1178" s="69" t="n"/>
      <c r="AE1178" s="69" t="n"/>
      <c r="AF1178" s="69" t="inlineStr">
        <is>
          <t>MO</t>
        </is>
      </c>
      <c r="AG1178" s="69" t="inlineStr">
        <is>
          <t>Linn</t>
        </is>
      </c>
      <c r="AH1178" s="69" t="inlineStr">
        <is>
          <t>Jefferson City, MO</t>
        </is>
      </c>
      <c r="AI1178" s="69" t="inlineStr">
        <is>
          <t>Midwest / Central West</t>
        </is>
      </c>
      <c r="AJ1178" s="69" t="inlineStr">
        <is>
          <t>RT</t>
        </is>
      </c>
      <c r="AK1178" s="69" t="inlineStr">
        <is>
          <t>Single Tenant</t>
        </is>
      </c>
      <c r="AL1178" s="68" t="n">
        <v>1</v>
      </c>
      <c r="AM1178" s="68" t="n"/>
      <c r="AN1178" s="68" t="n">
        <v>9002</v>
      </c>
      <c r="AO1178" s="69" t="inlineStr">
        <is>
          <t>2016</t>
        </is>
      </c>
      <c r="AP1178" s="70" t="n">
        <v>2016</v>
      </c>
      <c r="AQ1178" s="74" t="n">
        <v>1.49</v>
      </c>
      <c r="AR1178" s="74" t="n">
        <v>1.54</v>
      </c>
      <c r="AS1178" s="74" t="n">
        <v>69.90000000000001</v>
      </c>
      <c r="AT1178" s="74" t="n">
        <v>69.92</v>
      </c>
      <c r="AU1178" s="74" t="n">
        <v>69.90000000000001</v>
      </c>
      <c r="AV1178" s="74" t="n">
        <v>8.911943261999999</v>
      </c>
      <c r="AW1178" s="74" t="n">
        <v>9.234634752</v>
      </c>
      <c r="AX1178" s="75" t="n">
        <v>100</v>
      </c>
      <c r="AY1178" s="71" t="n">
        <v>1210000</v>
      </c>
      <c r="AZ1178" s="71" t="n">
        <v>1210000</v>
      </c>
      <c r="BA1178" s="71" t="n">
        <v>75395.03999999999</v>
      </c>
      <c r="BB1178" s="71" t="n">
        <v>78125.00999999999</v>
      </c>
      <c r="BC1178" s="69" t="inlineStr">
        <is>
          <t>Acquisition</t>
        </is>
      </c>
      <c r="BD1178" s="69" t="inlineStr">
        <is>
          <t>N</t>
        </is>
      </c>
      <c r="BE1178" s="71" t="n"/>
      <c r="BF1178" s="71" t="n"/>
      <c r="BG1178" s="71" t="n"/>
      <c r="BH1178" s="71" t="n">
        <v>0</v>
      </c>
      <c r="BI1178" s="71" t="n">
        <v>0</v>
      </c>
      <c r="BJ1178" s="69" t="inlineStr">
        <is>
          <t>N</t>
        </is>
      </c>
      <c r="BK1178" s="69" t="inlineStr">
        <is>
          <t>Dollar General</t>
        </is>
      </c>
      <c r="BL1178" s="75" t="n">
        <v>100</v>
      </c>
      <c r="BM1178" s="73" t="n">
        <v>47999</v>
      </c>
      <c r="BN1178" s="69" t="inlineStr">
        <is>
          <t>Ladder Capital Finance Holdings LLLP</t>
        </is>
      </c>
      <c r="BO1178" s="69" t="inlineStr">
        <is>
          <t>Ladder Capital Finance</t>
        </is>
      </c>
      <c r="BP1178" s="69" t="inlineStr">
        <is>
          <t>TriMont Real Estate Advisors</t>
        </is>
      </c>
      <c r="BQ1178" s="69" t="inlineStr">
        <is>
          <t>K-Star Asset Management LLC</t>
        </is>
      </c>
      <c r="BR1178" s="69" t="n"/>
      <c r="BS1178" s="73" t="n">
        <v>46273</v>
      </c>
      <c r="BU1178" s="76">
        <f>IF($C1178="","",IFERROR(INDEX(dmName,MATCH($C1178,dmID,0)),"Unmapped"))</f>
        <v/>
      </c>
      <c r="BV1178" s="76">
        <f>IF($C1178="","",IFERROR(INDEX(dmEntity,MATCH($C1178,dmID,0)),"Unmapped"))</f>
        <v/>
      </c>
      <c r="BW1178" s="77">
        <f>IF($C1178="","",IFERROR(INDEX(dmVintage,MATCH($C1178,dmID,0)),""))</f>
        <v/>
      </c>
      <c r="BX1178" s="78">
        <f>IFERROR(INDEX(dmInclude,MATCH($C1178,dmID,0)),0)</f>
        <v/>
      </c>
      <c r="BY1178" s="78">
        <f>IF(N($I1178)&gt;0,1,0)</f>
        <v/>
      </c>
      <c r="BZ1178" s="76">
        <f>IF($AJ1178="","Other / Leased Fee",IFERROR(INDEX(mapPTGroup,MATCH(LEFT(TRIM($AJ1178),2),mapPTCode,0)),"Other / Leased Fee"))</f>
        <v/>
      </c>
      <c r="CA1178" s="76">
        <f>IF(TRIM($AF1178&amp;"")="","NR",LEFT(TRIM($AF1178),2))</f>
        <v/>
      </c>
      <c r="CB1178" s="76">
        <f>IFERROR(LOOKUP(2,1/(LEFT(TRIM($AI1178&amp;""),LEN(mapRegion))=mapRegion),mapRegion),"Not Reported")</f>
        <v/>
      </c>
      <c r="CC1178" s="76">
        <f>IF($BY1178=0,"",IF(TRIM($W1178&amp;"")="REO","REO",IF(TRIM($W1178&amp;"")="FC","Foreclosure",IF(TRIM($W1178&amp;"")="90+","90+ Days Delinquent",IF(TRIM($W1178&amp;"")="60","60 Days Delinquent",IF(TRIM($W1178&amp;"")="30","30 Days Delinquent",IF($X1178="Non-Performing Matured Balloon","Non-Performing Matured Balloon",IF(OR($X1178="Late Payment But Less Than 30 Days Delinquent",LEFT($X1178&amp;"",20)="Payment Not Received"),"Late / In Grace (&lt;30 Days)",IF($X1178="Performing Matured Balloon","Performing Matured Balloon","Current")))))))))</f>
        <v/>
      </c>
      <c r="CD1178" s="78">
        <f>IF(OR($CC1178="REO",$CC1178="Foreclosure",$CC1178="90+ Days Delinquent",$CC1178="60 Days Delinquent",$CC1178="30 Days Delinquent",$CC1178="Non-Performing Matured Balloon"),1,0)</f>
        <v/>
      </c>
      <c r="CE1178" s="76">
        <f>IF($AB1178="Currently special serv","Currently Specially Serviced",IF($AB1178="Returned to master serv","Previously Specially Serviced","Never Specially Serviced"))</f>
        <v/>
      </c>
      <c r="CF1178" s="78">
        <f>IF($CE1178="Currently Specially Serviced",1,0)</f>
        <v/>
      </c>
      <c r="CG1178" s="76">
        <f>IF($AA1178="Yes","Currently on Watchlist",IF($AA1178="Previously","Previously on Watchlist","Never on Watchlist"))</f>
        <v/>
      </c>
      <c r="CH1178" s="78">
        <f>IF($CG1178="Currently on Watchlist",1,0)</f>
        <v/>
      </c>
      <c r="CI1178" s="76">
        <f>IF($Z1178="Full Defeasance","Fully Defeased",IF($Z1178="Portion Of Loan Previously Defeased","Partially Defeased",IF($Z1178="Defeasance Not Allowable","Not Defeased (Not Permitted)","Not Defeased")))</f>
        <v/>
      </c>
      <c r="CJ1178" s="78">
        <f>IF($CI1178="Fully Defeased",1,0)</f>
        <v/>
      </c>
      <c r="CK1178" s="76">
        <f>IF($R1178="IO","Full IO",IF(LEFT($R1178&amp;"",7)="IO then","Partial IO","Amortizing"))</f>
        <v/>
      </c>
      <c r="CL1178" s="78">
        <f>IF($CK1178="Full IO",1,0)</f>
        <v/>
      </c>
      <c r="CM1178" s="78">
        <f>IF($CK1178="Partial IO",1,0)</f>
        <v/>
      </c>
      <c r="CN1178" s="76">
        <f>IF(LEFT($F1178&amp;"",10)="SPLIT_LOAN","Pari Passu Split","Standalone")</f>
        <v/>
      </c>
      <c r="CO1178" s="78">
        <f>IF($CN1178="Pari Passu Split",1,0)</f>
        <v/>
      </c>
      <c r="CP1178" s="77">
        <f>IF(ISNUMBER($T1178),YEAR($T1178),"")</f>
        <v/>
      </c>
      <c r="CQ1178" s="79">
        <f>IF(ISNUMBER($V1178),$V1178,IF(ISNUMBER($U1178),$U1178,""))</f>
        <v/>
      </c>
      <c r="CR1178" s="77">
        <f>IF(ISNUMBER($CQ1178),YEAR($CQ1178),"")</f>
        <v/>
      </c>
      <c r="CS1178" s="78">
        <f>IF(ISNUMBER($M1178),MAX(0,$M1178),IF(TRIM($M1178&amp;"")="matured",0,""))</f>
        <v/>
      </c>
      <c r="CT1178" s="78">
        <f>IF(AND(ISNUMBER($CS1178),N($CS1178)&lt;=mMatWindow),1,0)</f>
        <v/>
      </c>
      <c r="CU1178" s="80">
        <f>IF(ISNUMBER($J1178),$J1178/100,"")</f>
        <v/>
      </c>
      <c r="CV1178" s="81">
        <f>IF(ISNUMBER($AQ1178),$AQ1178,"")</f>
        <v/>
      </c>
      <c r="CW1178" s="81">
        <f>IF(ISNUMBER($AR1178),$AR1178,"")</f>
        <v/>
      </c>
      <c r="CX1178" s="82">
        <f>IF(ISNUMBER($AS1178),$AS1178/100,"")</f>
        <v/>
      </c>
      <c r="CY1178" s="82">
        <f>IF(ISNUMBER($AT1178),$AT1178/100,"")</f>
        <v/>
      </c>
      <c r="CZ1178" s="82">
        <f>IF(ISNUMBER($AU1178),$AU1178/100,"")</f>
        <v/>
      </c>
      <c r="DA1178" s="82">
        <f>IF(ISNUMBER($AV1178),$AV1178/100,"")</f>
        <v/>
      </c>
      <c r="DB1178" s="82">
        <f>IF(ISNUMBER($AW1178),$AW1178/100,"")</f>
        <v/>
      </c>
      <c r="DC1178" s="82">
        <f>IF(ISNUMBER($AX1178),$AX1178/100,"")</f>
        <v/>
      </c>
      <c r="DD1178" s="77">
        <f>IFERROR(VALUE(LEFT(TRIM($AO1178&amp;""),4)),"")</f>
        <v/>
      </c>
      <c r="DE1178" s="78">
        <f>IF(AND($BY1178=1,$BX1178=1,OR(fDeal="All Deals",$BU1178=fDeal),OR(fEntity="All Entities",$BV1178=fEntity),OR(fPType="All Property Types",$BZ1178=fPType),OR(fDefeased="Include",$CJ1178=0)),1,0)</f>
        <v/>
      </c>
      <c r="DF1178" s="83">
        <f>$DE1178*N($I1178)</f>
        <v/>
      </c>
      <c r="DG1178" s="78">
        <f>IF($DE1178=1,IF(COUNTIFS($F$8:$F1178,$F1178,$DE$8:$DE1178,1)=1,1,0),0)</f>
        <v/>
      </c>
      <c r="DH1178" s="83">
        <f>IF($DG1178=1,SUMIFS($DF$8:$DF$1600,$F$8:$F$1600,$F1178),0)</f>
        <v/>
      </c>
      <c r="DI1178" s="78">
        <f>IF($DG1178=1,COUNTIFS($F$8:$F$1600,$F1178,$DE$8:$DE$1600,1),0)</f>
        <v/>
      </c>
      <c r="DJ1178" s="84">
        <f>IF($DG1178=1,$DH1178+(100000-ROW())/mTieBreak,0)</f>
        <v/>
      </c>
    </row>
    <row r="1179">
      <c r="B1179" s="68" t="n">
        <v>1</v>
      </c>
      <c r="C1179" s="69" t="inlineStr">
        <is>
          <t>BCMK18B6</t>
        </is>
      </c>
      <c r="D1179" s="69" t="inlineStr">
        <is>
          <t>1.TR</t>
        </is>
      </c>
      <c r="E1179" s="69" t="inlineStr">
        <is>
          <t>Aventura Mall - Trust</t>
        </is>
      </c>
      <c r="F1179" s="69" t="inlineStr">
        <is>
          <t>SPLIT_LOAN_01301</t>
        </is>
      </c>
      <c r="G1179" s="70" t="n">
        <v>1301</v>
      </c>
      <c r="H1179" s="71" t="n">
        <v>110000000</v>
      </c>
      <c r="I1179" s="71" t="n">
        <v>110000000</v>
      </c>
      <c r="J1179" s="72" t="n">
        <v>4.12125</v>
      </c>
      <c r="K1179" s="69" t="inlineStr">
        <is>
          <t>Fixed rate</t>
        </is>
      </c>
      <c r="L1179" s="68" t="n">
        <v>120</v>
      </c>
      <c r="M1179" s="68" t="n">
        <v>22</v>
      </c>
      <c r="N1179" s="68" t="n">
        <v>120</v>
      </c>
      <c r="O1179" s="68" t="n">
        <v>120</v>
      </c>
      <c r="P1179" s="68" t="n">
        <v>22</v>
      </c>
      <c r="Q1179" s="68" t="n">
        <v>98</v>
      </c>
      <c r="R1179" s="69" t="inlineStr">
        <is>
          <t>IO</t>
        </is>
      </c>
      <c r="S1179" s="69" t="inlineStr">
        <is>
          <t>Yes</t>
        </is>
      </c>
      <c r="T1179" s="73" t="n">
        <v>43282</v>
      </c>
      <c r="U1179" s="73" t="n">
        <v>46935</v>
      </c>
      <c r="V1179" s="73" t="n"/>
      <c r="W1179" s="69" t="n"/>
      <c r="X1179" s="69" t="inlineStr">
        <is>
          <t>Current</t>
        </is>
      </c>
      <c r="Y1179" s="68" t="n"/>
      <c r="Z1179" s="69" t="inlineStr">
        <is>
          <t>No Defeasance Occurred</t>
        </is>
      </c>
      <c r="AA1179" s="69" t="n"/>
      <c r="AB1179" s="69" t="inlineStr">
        <is>
          <t>Never special serv</t>
        </is>
      </c>
      <c r="AC1179" s="73" t="n"/>
      <c r="AD1179" s="69" t="n"/>
      <c r="AE1179" s="69" t="n"/>
      <c r="AF1179" s="69" t="inlineStr">
        <is>
          <t>FL</t>
        </is>
      </c>
      <c r="AG1179" s="69" t="inlineStr">
        <is>
          <t>Aventura</t>
        </is>
      </c>
      <c r="AH1179" s="69" t="inlineStr">
        <is>
          <t>Miami-Fort Lauderdale-West Palm Beach, FL</t>
        </is>
      </c>
      <c r="AI1179" s="69" t="inlineStr">
        <is>
          <t>South / Atlantic</t>
        </is>
      </c>
      <c r="AJ1179" s="69" t="inlineStr">
        <is>
          <t>RT</t>
        </is>
      </c>
      <c r="AK1179" s="69" t="inlineStr">
        <is>
          <t>Super Regional Mall</t>
        </is>
      </c>
      <c r="AL1179" s="68" t="n">
        <v>1</v>
      </c>
      <c r="AM1179" s="68" t="n"/>
      <c r="AN1179" s="68" t="n">
        <v>1217508</v>
      </c>
      <c r="AO1179" s="69" t="inlineStr">
        <is>
          <t>1983</t>
        </is>
      </c>
      <c r="AP1179" s="70" t="n">
        <v>2017</v>
      </c>
      <c r="AQ1179" s="74" t="n">
        <v>2.58</v>
      </c>
      <c r="AR1179" s="74" t="n">
        <v>2.96</v>
      </c>
      <c r="AS1179" s="74" t="n">
        <v>40.8</v>
      </c>
      <c r="AT1179" s="74" t="n">
        <v>40.77</v>
      </c>
      <c r="AU1179" s="74" t="n">
        <v>40.8</v>
      </c>
      <c r="AV1179" s="74" t="n">
        <v>10.774984574</v>
      </c>
      <c r="AW1179" s="74" t="n">
        <v>11.3981045</v>
      </c>
      <c r="AX1179" s="75" t="n">
        <v>99</v>
      </c>
      <c r="AY1179" s="71" t="n">
        <v>3450000000</v>
      </c>
      <c r="AZ1179" s="71" t="n">
        <v>3450000000</v>
      </c>
      <c r="BA1179" s="71" t="n">
        <v>151571708</v>
      </c>
      <c r="BB1179" s="71" t="n">
        <v>174169113.5</v>
      </c>
      <c r="BC1179" s="69" t="inlineStr">
        <is>
          <t>Refinance</t>
        </is>
      </c>
      <c r="BD1179" s="69" t="n"/>
      <c r="BE1179" s="71" t="n">
        <v>1296700000</v>
      </c>
      <c r="BF1179" s="71" t="n">
        <v>343300000</v>
      </c>
      <c r="BG1179" s="71" t="n"/>
      <c r="BH1179" s="71" t="n">
        <v>0</v>
      </c>
      <c r="BI1179" s="71" t="n">
        <v>0</v>
      </c>
      <c r="BJ1179" s="69" t="inlineStr">
        <is>
          <t>N</t>
        </is>
      </c>
      <c r="BK1179" s="69" t="inlineStr">
        <is>
          <t>J.C . PENNY</t>
        </is>
      </c>
      <c r="BL1179" s="75" t="n">
        <v>15.91</v>
      </c>
      <c r="BM1179" s="73" t="n">
        <v>46873</v>
      </c>
      <c r="BN1179" s="69" t="inlineStr">
        <is>
          <t>Simon Property Group, L.P., Jacquelyn Soffer and Jeffrey Soffer</t>
        </is>
      </c>
      <c r="BO1179" s="69" t="inlineStr">
        <is>
          <t>JPMorgan Chase / GACC</t>
        </is>
      </c>
      <c r="BP1179" s="69" t="inlineStr">
        <is>
          <t>KeyBank National Association</t>
        </is>
      </c>
      <c r="BQ1179" s="69" t="inlineStr">
        <is>
          <t>K-Star Asset Management LLC</t>
        </is>
      </c>
      <c r="BR1179" s="69" t="n"/>
      <c r="BS1179" s="73" t="n">
        <v>46273</v>
      </c>
      <c r="BU1179" s="76">
        <f>IF($C1179="","",IFERROR(INDEX(dmName,MATCH($C1179,dmID,0)),"Unmapped"))</f>
        <v/>
      </c>
      <c r="BV1179" s="76">
        <f>IF($C1179="","",IFERROR(INDEX(dmEntity,MATCH($C1179,dmID,0)),"Unmapped"))</f>
        <v/>
      </c>
      <c r="BW1179" s="77">
        <f>IF($C1179="","",IFERROR(INDEX(dmVintage,MATCH($C1179,dmID,0)),""))</f>
        <v/>
      </c>
      <c r="BX1179" s="78">
        <f>IFERROR(INDEX(dmInclude,MATCH($C1179,dmID,0)),0)</f>
        <v/>
      </c>
      <c r="BY1179" s="78">
        <f>IF(N($I1179)&gt;0,1,0)</f>
        <v/>
      </c>
      <c r="BZ1179" s="76">
        <f>IF($AJ1179="","Other / Leased Fee",IFERROR(INDEX(mapPTGroup,MATCH(LEFT(TRIM($AJ1179),2),mapPTCode,0)),"Other / Leased Fee"))</f>
        <v/>
      </c>
      <c r="CA1179" s="76">
        <f>IF(TRIM($AF1179&amp;"")="","NR",LEFT(TRIM($AF1179),2))</f>
        <v/>
      </c>
      <c r="CB1179" s="76">
        <f>IFERROR(LOOKUP(2,1/(LEFT(TRIM($AI1179&amp;""),LEN(mapRegion))=mapRegion),mapRegion),"Not Reported")</f>
        <v/>
      </c>
      <c r="CC1179" s="76">
        <f>IF($BY1179=0,"",IF(TRIM($W1179&amp;"")="REO","REO",IF(TRIM($W1179&amp;"")="FC","Foreclosure",IF(TRIM($W1179&amp;"")="90+","90+ Days Delinquent",IF(TRIM($W1179&amp;"")="60","60 Days Delinquent",IF(TRIM($W1179&amp;"")="30","30 Days Delinquent",IF($X1179="Non-Performing Matured Balloon","Non-Performing Matured Balloon",IF(OR($X1179="Late Payment But Less Than 30 Days Delinquent",LEFT($X1179&amp;"",20)="Payment Not Received"),"Late / In Grace (&lt;30 Days)",IF($X1179="Performing Matured Balloon","Performing Matured Balloon","Current")))))))))</f>
        <v/>
      </c>
      <c r="CD1179" s="78">
        <f>IF(OR($CC1179="REO",$CC1179="Foreclosure",$CC1179="90+ Days Delinquent",$CC1179="60 Days Delinquent",$CC1179="30 Days Delinquent",$CC1179="Non-Performing Matured Balloon"),1,0)</f>
        <v/>
      </c>
      <c r="CE1179" s="76">
        <f>IF($AB1179="Currently special serv","Currently Specially Serviced",IF($AB1179="Returned to master serv","Previously Specially Serviced","Never Specially Serviced"))</f>
        <v/>
      </c>
      <c r="CF1179" s="78">
        <f>IF($CE1179="Currently Specially Serviced",1,0)</f>
        <v/>
      </c>
      <c r="CG1179" s="76">
        <f>IF($AA1179="Yes","Currently on Watchlist",IF($AA1179="Previously","Previously on Watchlist","Never on Watchlist"))</f>
        <v/>
      </c>
      <c r="CH1179" s="78">
        <f>IF($CG1179="Currently on Watchlist",1,0)</f>
        <v/>
      </c>
      <c r="CI1179" s="76">
        <f>IF($Z1179="Full Defeasance","Fully Defeased",IF($Z1179="Portion Of Loan Previously Defeased","Partially Defeased",IF($Z1179="Defeasance Not Allowable","Not Defeased (Not Permitted)","Not Defeased")))</f>
        <v/>
      </c>
      <c r="CJ1179" s="78">
        <f>IF($CI1179="Fully Defeased",1,0)</f>
        <v/>
      </c>
      <c r="CK1179" s="76">
        <f>IF($R1179="IO","Full IO",IF(LEFT($R1179&amp;"",7)="IO then","Partial IO","Amortizing"))</f>
        <v/>
      </c>
      <c r="CL1179" s="78">
        <f>IF($CK1179="Full IO",1,0)</f>
        <v/>
      </c>
      <c r="CM1179" s="78">
        <f>IF($CK1179="Partial IO",1,0)</f>
        <v/>
      </c>
      <c r="CN1179" s="76">
        <f>IF(LEFT($F1179&amp;"",10)="SPLIT_LOAN","Pari Passu Split","Standalone")</f>
        <v/>
      </c>
      <c r="CO1179" s="78">
        <f>IF($CN1179="Pari Passu Split",1,0)</f>
        <v/>
      </c>
      <c r="CP1179" s="77">
        <f>IF(ISNUMBER($T1179),YEAR($T1179),"")</f>
        <v/>
      </c>
      <c r="CQ1179" s="79">
        <f>IF(ISNUMBER($V1179),$V1179,IF(ISNUMBER($U1179),$U1179,""))</f>
        <v/>
      </c>
      <c r="CR1179" s="77">
        <f>IF(ISNUMBER($CQ1179),YEAR($CQ1179),"")</f>
        <v/>
      </c>
      <c r="CS1179" s="78">
        <f>IF(ISNUMBER($M1179),MAX(0,$M1179),IF(TRIM($M1179&amp;"")="matured",0,""))</f>
        <v/>
      </c>
      <c r="CT1179" s="78">
        <f>IF(AND(ISNUMBER($CS1179),N($CS1179)&lt;=mMatWindow),1,0)</f>
        <v/>
      </c>
      <c r="CU1179" s="80">
        <f>IF(ISNUMBER($J1179),$J1179/100,"")</f>
        <v/>
      </c>
      <c r="CV1179" s="81">
        <f>IF(ISNUMBER($AQ1179),$AQ1179,"")</f>
        <v/>
      </c>
      <c r="CW1179" s="81">
        <f>IF(ISNUMBER($AR1179),$AR1179,"")</f>
        <v/>
      </c>
      <c r="CX1179" s="82">
        <f>IF(ISNUMBER($AS1179),$AS1179/100,"")</f>
        <v/>
      </c>
      <c r="CY1179" s="82">
        <f>IF(ISNUMBER($AT1179),$AT1179/100,"")</f>
        <v/>
      </c>
      <c r="CZ1179" s="82">
        <f>IF(ISNUMBER($AU1179),$AU1179/100,"")</f>
        <v/>
      </c>
      <c r="DA1179" s="82">
        <f>IF(ISNUMBER($AV1179),$AV1179/100,"")</f>
        <v/>
      </c>
      <c r="DB1179" s="82">
        <f>IF(ISNUMBER($AW1179),$AW1179/100,"")</f>
        <v/>
      </c>
      <c r="DC1179" s="82">
        <f>IF(ISNUMBER($AX1179),$AX1179/100,"")</f>
        <v/>
      </c>
      <c r="DD1179" s="77">
        <f>IFERROR(VALUE(LEFT(TRIM($AO1179&amp;""),4)),"")</f>
        <v/>
      </c>
      <c r="DE1179" s="78">
        <f>IF(AND($BY1179=1,$BX1179=1,OR(fDeal="All Deals",$BU1179=fDeal),OR(fEntity="All Entities",$BV1179=fEntity),OR(fPType="All Property Types",$BZ1179=fPType),OR(fDefeased="Include",$CJ1179=0)),1,0)</f>
        <v/>
      </c>
      <c r="DF1179" s="83">
        <f>$DE1179*N($I1179)</f>
        <v/>
      </c>
      <c r="DG1179" s="78">
        <f>IF($DE1179=1,IF(COUNTIFS($F$8:$F1179,$F1179,$DE$8:$DE1179,1)=1,1,0),0)</f>
        <v/>
      </c>
      <c r="DH1179" s="83">
        <f>IF($DG1179=1,SUMIFS($DF$8:$DF$1600,$F$8:$F$1600,$F1179),0)</f>
        <v/>
      </c>
      <c r="DI1179" s="78">
        <f>IF($DG1179=1,COUNTIFS($F$8:$F$1600,$F1179,$DE$8:$DE$1600,1),0)</f>
        <v/>
      </c>
      <c r="DJ1179" s="84">
        <f>IF($DG1179=1,$DH1179+(100000-ROW())/mTieBreak,0)</f>
        <v/>
      </c>
    </row>
    <row r="1180">
      <c r="B1180" s="68" t="n">
        <v>2</v>
      </c>
      <c r="C1180" s="69" t="inlineStr">
        <is>
          <t>BCMK18B6</t>
        </is>
      </c>
      <c r="D1180" s="69" t="inlineStr">
        <is>
          <t>2.000</t>
        </is>
      </c>
      <c r="E1180" s="69" t="inlineStr">
        <is>
          <t>Moffett Towers II - Building 1</t>
        </is>
      </c>
      <c r="F1180" s="69" t="inlineStr">
        <is>
          <t>SPLIT_LOAN_01336</t>
        </is>
      </c>
      <c r="G1180" s="70" t="n">
        <v>1336</v>
      </c>
      <c r="H1180" s="71" t="n">
        <v>76000000</v>
      </c>
      <c r="I1180" s="71" t="n">
        <v>71765356.32003601</v>
      </c>
      <c r="J1180" s="72" t="n">
        <v>3.89396667</v>
      </c>
      <c r="K1180" s="69" t="inlineStr">
        <is>
          <t>Fixed rate</t>
        </is>
      </c>
      <c r="L1180" s="68" t="n">
        <v>116</v>
      </c>
      <c r="M1180" s="68" t="n">
        <v>19</v>
      </c>
      <c r="N1180" s="68" t="n">
        <v>420</v>
      </c>
      <c r="O1180" s="68" t="n">
        <v>60</v>
      </c>
      <c r="P1180" s="68" t="n">
        <v>0</v>
      </c>
      <c r="Q1180" s="68" t="n">
        <v>97</v>
      </c>
      <c r="R1180" s="69" t="inlineStr">
        <is>
          <t>IO then Amort</t>
        </is>
      </c>
      <c r="S1180" s="69" t="inlineStr">
        <is>
          <t>No</t>
        </is>
      </c>
      <c r="T1180" s="73" t="n">
        <v>43313</v>
      </c>
      <c r="U1180" s="73" t="n">
        <v>46849</v>
      </c>
      <c r="V1180" s="73" t="n"/>
      <c r="W1180" s="69" t="n"/>
      <c r="X1180" s="69" t="inlineStr">
        <is>
          <t>Current</t>
        </is>
      </c>
      <c r="Y1180" s="68" t="n"/>
      <c r="Z1180" s="69" t="inlineStr">
        <is>
          <t>No Defeasance Occurred</t>
        </is>
      </c>
      <c r="AA1180" s="69" t="n"/>
      <c r="AB1180" s="69" t="inlineStr">
        <is>
          <t>Never special serv</t>
        </is>
      </c>
      <c r="AC1180" s="73" t="n"/>
      <c r="AD1180" s="69" t="n"/>
      <c r="AE1180" s="69" t="n"/>
      <c r="AF1180" s="69" t="inlineStr">
        <is>
          <t>CA</t>
        </is>
      </c>
      <c r="AG1180" s="69" t="inlineStr">
        <is>
          <t>Sunnyvale</t>
        </is>
      </c>
      <c r="AH1180" s="69" t="inlineStr">
        <is>
          <t>San Jose-Sunnyvale-Santa Clara, CA</t>
        </is>
      </c>
      <c r="AI1180" s="69" t="inlineStr">
        <is>
          <t>West / Pacific North</t>
        </is>
      </c>
      <c r="AJ1180" s="69" t="inlineStr">
        <is>
          <t>OF</t>
        </is>
      </c>
      <c r="AK1180" s="69" t="inlineStr">
        <is>
          <t>CBD</t>
        </is>
      </c>
      <c r="AL1180" s="68" t="n">
        <v>1</v>
      </c>
      <c r="AM1180" s="68" t="n"/>
      <c r="AN1180" s="68" t="n">
        <v>350633</v>
      </c>
      <c r="AO1180" s="69" t="inlineStr">
        <is>
          <t>2018</t>
        </is>
      </c>
      <c r="AP1180" s="70" t="n">
        <v>2018</v>
      </c>
      <c r="AQ1180" s="74" t="n">
        <v>2</v>
      </c>
      <c r="AR1180" s="74" t="n">
        <v>1.28</v>
      </c>
      <c r="AS1180" s="74" t="n">
        <v>46.8</v>
      </c>
      <c r="AT1180" s="74" t="n">
        <v>44.24</v>
      </c>
      <c r="AU1180" s="74" t="n">
        <v>42.8</v>
      </c>
      <c r="AV1180" s="74" t="n">
        <v>11.328314881</v>
      </c>
      <c r="AW1180" s="74" t="n">
        <v>13.201645527</v>
      </c>
      <c r="AX1180" s="75" t="n">
        <v>100</v>
      </c>
      <c r="AY1180" s="71" t="n">
        <v>358600000</v>
      </c>
      <c r="AZ1180" s="71" t="n">
        <v>358600000</v>
      </c>
      <c r="BA1180" s="71" t="n">
        <v>19031569</v>
      </c>
      <c r="BB1180" s="71" t="n">
        <v>20942985.88</v>
      </c>
      <c r="BC1180" s="69" t="inlineStr">
        <is>
          <t>Recapitalization</t>
        </is>
      </c>
      <c r="BD1180" s="69" t="inlineStr">
        <is>
          <t>N</t>
        </is>
      </c>
      <c r="BE1180" s="71" t="n">
        <v>86873852.39</v>
      </c>
      <c r="BF1180" s="71" t="n"/>
      <c r="BG1180" s="71" t="n">
        <v>112000000</v>
      </c>
      <c r="BH1180" s="71" t="n">
        <v>0</v>
      </c>
      <c r="BI1180" s="71" t="n">
        <v>0</v>
      </c>
      <c r="BJ1180" s="69" t="inlineStr">
        <is>
          <t>N</t>
        </is>
      </c>
      <c r="BK1180" s="69" t="inlineStr">
        <is>
          <t>Amazon.com</t>
        </is>
      </c>
      <c r="BL1180" s="75" t="n">
        <v>100</v>
      </c>
      <c r="BM1180" s="73" t="n">
        <v>46873</v>
      </c>
      <c r="BN1180" s="69" t="inlineStr">
        <is>
          <t>Joseph K. Paul</t>
        </is>
      </c>
      <c r="BO1180" s="69" t="inlineStr">
        <is>
          <t>GACC</t>
        </is>
      </c>
      <c r="BP1180" s="69" t="inlineStr">
        <is>
          <t>KeyBank National Association</t>
        </is>
      </c>
      <c r="BQ1180" s="69" t="inlineStr">
        <is>
          <t>K-Star Asset Management LLC</t>
        </is>
      </c>
      <c r="BR1180" s="69" t="n"/>
      <c r="BS1180" s="73" t="n">
        <v>46273</v>
      </c>
      <c r="BU1180" s="76">
        <f>IF($C1180="","",IFERROR(INDEX(dmName,MATCH($C1180,dmID,0)),"Unmapped"))</f>
        <v/>
      </c>
      <c r="BV1180" s="76">
        <f>IF($C1180="","",IFERROR(INDEX(dmEntity,MATCH($C1180,dmID,0)),"Unmapped"))</f>
        <v/>
      </c>
      <c r="BW1180" s="77">
        <f>IF($C1180="","",IFERROR(INDEX(dmVintage,MATCH($C1180,dmID,0)),""))</f>
        <v/>
      </c>
      <c r="BX1180" s="78">
        <f>IFERROR(INDEX(dmInclude,MATCH($C1180,dmID,0)),0)</f>
        <v/>
      </c>
      <c r="BY1180" s="78">
        <f>IF(N($I1180)&gt;0,1,0)</f>
        <v/>
      </c>
      <c r="BZ1180" s="76">
        <f>IF($AJ1180="","Other / Leased Fee",IFERROR(INDEX(mapPTGroup,MATCH(LEFT(TRIM($AJ1180),2),mapPTCode,0)),"Other / Leased Fee"))</f>
        <v/>
      </c>
      <c r="CA1180" s="76">
        <f>IF(TRIM($AF1180&amp;"")="","NR",LEFT(TRIM($AF1180),2))</f>
        <v/>
      </c>
      <c r="CB1180" s="76">
        <f>IFERROR(LOOKUP(2,1/(LEFT(TRIM($AI1180&amp;""),LEN(mapRegion))=mapRegion),mapRegion),"Not Reported")</f>
        <v/>
      </c>
      <c r="CC1180" s="76">
        <f>IF($BY1180=0,"",IF(TRIM($W1180&amp;"")="REO","REO",IF(TRIM($W1180&amp;"")="FC","Foreclosure",IF(TRIM($W1180&amp;"")="90+","90+ Days Delinquent",IF(TRIM($W1180&amp;"")="60","60 Days Delinquent",IF(TRIM($W1180&amp;"")="30","30 Days Delinquent",IF($X1180="Non-Performing Matured Balloon","Non-Performing Matured Balloon",IF(OR($X1180="Late Payment But Less Than 30 Days Delinquent",LEFT($X1180&amp;"",20)="Payment Not Received"),"Late / In Grace (&lt;30 Days)",IF($X1180="Performing Matured Balloon","Performing Matured Balloon","Current")))))))))</f>
        <v/>
      </c>
      <c r="CD1180" s="78">
        <f>IF(OR($CC1180="REO",$CC1180="Foreclosure",$CC1180="90+ Days Delinquent",$CC1180="60 Days Delinquent",$CC1180="30 Days Delinquent",$CC1180="Non-Performing Matured Balloon"),1,0)</f>
        <v/>
      </c>
      <c r="CE1180" s="76">
        <f>IF($AB1180="Currently special serv","Currently Specially Serviced",IF($AB1180="Returned to master serv","Previously Specially Serviced","Never Specially Serviced"))</f>
        <v/>
      </c>
      <c r="CF1180" s="78">
        <f>IF($CE1180="Currently Specially Serviced",1,0)</f>
        <v/>
      </c>
      <c r="CG1180" s="76">
        <f>IF($AA1180="Yes","Currently on Watchlist",IF($AA1180="Previously","Previously on Watchlist","Never on Watchlist"))</f>
        <v/>
      </c>
      <c r="CH1180" s="78">
        <f>IF($CG1180="Currently on Watchlist",1,0)</f>
        <v/>
      </c>
      <c r="CI1180" s="76">
        <f>IF($Z1180="Full Defeasance","Fully Defeased",IF($Z1180="Portion Of Loan Previously Defeased","Partially Defeased",IF($Z1180="Defeasance Not Allowable","Not Defeased (Not Permitted)","Not Defeased")))</f>
        <v/>
      </c>
      <c r="CJ1180" s="78">
        <f>IF($CI1180="Fully Defeased",1,0)</f>
        <v/>
      </c>
      <c r="CK1180" s="76">
        <f>IF($R1180="IO","Full IO",IF(LEFT($R1180&amp;"",7)="IO then","Partial IO","Amortizing"))</f>
        <v/>
      </c>
      <c r="CL1180" s="78">
        <f>IF($CK1180="Full IO",1,0)</f>
        <v/>
      </c>
      <c r="CM1180" s="78">
        <f>IF($CK1180="Partial IO",1,0)</f>
        <v/>
      </c>
      <c r="CN1180" s="76">
        <f>IF(LEFT($F1180&amp;"",10)="SPLIT_LOAN","Pari Passu Split","Standalone")</f>
        <v/>
      </c>
      <c r="CO1180" s="78">
        <f>IF($CN1180="Pari Passu Split",1,0)</f>
        <v/>
      </c>
      <c r="CP1180" s="77">
        <f>IF(ISNUMBER($T1180),YEAR($T1180),"")</f>
        <v/>
      </c>
      <c r="CQ1180" s="79">
        <f>IF(ISNUMBER($V1180),$V1180,IF(ISNUMBER($U1180),$U1180,""))</f>
        <v/>
      </c>
      <c r="CR1180" s="77">
        <f>IF(ISNUMBER($CQ1180),YEAR($CQ1180),"")</f>
        <v/>
      </c>
      <c r="CS1180" s="78">
        <f>IF(ISNUMBER($M1180),MAX(0,$M1180),IF(TRIM($M1180&amp;"")="matured",0,""))</f>
        <v/>
      </c>
      <c r="CT1180" s="78">
        <f>IF(AND(ISNUMBER($CS1180),N($CS1180)&lt;=mMatWindow),1,0)</f>
        <v/>
      </c>
      <c r="CU1180" s="80">
        <f>IF(ISNUMBER($J1180),$J1180/100,"")</f>
        <v/>
      </c>
      <c r="CV1180" s="81">
        <f>IF(ISNUMBER($AQ1180),$AQ1180,"")</f>
        <v/>
      </c>
      <c r="CW1180" s="81">
        <f>IF(ISNUMBER($AR1180),$AR1180,"")</f>
        <v/>
      </c>
      <c r="CX1180" s="82">
        <f>IF(ISNUMBER($AS1180),$AS1180/100,"")</f>
        <v/>
      </c>
      <c r="CY1180" s="82">
        <f>IF(ISNUMBER($AT1180),$AT1180/100,"")</f>
        <v/>
      </c>
      <c r="CZ1180" s="82">
        <f>IF(ISNUMBER($AU1180),$AU1180/100,"")</f>
        <v/>
      </c>
      <c r="DA1180" s="82">
        <f>IF(ISNUMBER($AV1180),$AV1180/100,"")</f>
        <v/>
      </c>
      <c r="DB1180" s="82">
        <f>IF(ISNUMBER($AW1180),$AW1180/100,"")</f>
        <v/>
      </c>
      <c r="DC1180" s="82">
        <f>IF(ISNUMBER($AX1180),$AX1180/100,"")</f>
        <v/>
      </c>
      <c r="DD1180" s="77">
        <f>IFERROR(VALUE(LEFT(TRIM($AO1180&amp;""),4)),"")</f>
        <v/>
      </c>
      <c r="DE1180" s="78">
        <f>IF(AND($BY1180=1,$BX1180=1,OR(fDeal="All Deals",$BU1180=fDeal),OR(fEntity="All Entities",$BV1180=fEntity),OR(fPType="All Property Types",$BZ1180=fPType),OR(fDefeased="Include",$CJ1180=0)),1,0)</f>
        <v/>
      </c>
      <c r="DF1180" s="83">
        <f>$DE1180*N($I1180)</f>
        <v/>
      </c>
      <c r="DG1180" s="78">
        <f>IF($DE1180=1,IF(COUNTIFS($F$8:$F1180,$F1180,$DE$8:$DE1180,1)=1,1,0),0)</f>
        <v/>
      </c>
      <c r="DH1180" s="83">
        <f>IF($DG1180=1,SUMIFS($DF$8:$DF$1600,$F$8:$F$1600,$F1180),0)</f>
        <v/>
      </c>
      <c r="DI1180" s="78">
        <f>IF($DG1180=1,COUNTIFS($F$8:$F$1600,$F1180,$DE$8:$DE$1600,1),0)</f>
        <v/>
      </c>
      <c r="DJ1180" s="84">
        <f>IF($DG1180=1,$DH1180+(100000-ROW())/mTieBreak,0)</f>
        <v/>
      </c>
    </row>
    <row r="1181">
      <c r="B1181" s="68" t="n">
        <v>3</v>
      </c>
      <c r="C1181" s="69" t="inlineStr">
        <is>
          <t>BCMK18B6</t>
        </is>
      </c>
      <c r="D1181" s="69" t="inlineStr">
        <is>
          <t>3.000</t>
        </is>
      </c>
      <c r="E1181" s="69" t="inlineStr">
        <is>
          <t>The Delmar</t>
        </is>
      </c>
      <c r="F1181" s="69" t="inlineStr">
        <is>
          <t>LNBCMK18B6-3.000</t>
        </is>
      </c>
      <c r="G1181" s="70" t="n"/>
      <c r="H1181" s="71" t="n">
        <v>74000000</v>
      </c>
      <c r="I1181" s="71" t="n">
        <v>74000000</v>
      </c>
      <c r="J1181" s="72" t="n">
        <v>4.768</v>
      </c>
      <c r="K1181" s="69" t="inlineStr">
        <is>
          <t>Fixed rate</t>
        </is>
      </c>
      <c r="L1181" s="68" t="n">
        <v>120</v>
      </c>
      <c r="M1181" s="68" t="n">
        <v>23</v>
      </c>
      <c r="N1181" s="68" t="n">
        <v>120</v>
      </c>
      <c r="O1181" s="68" t="n">
        <v>120</v>
      </c>
      <c r="P1181" s="68" t="n">
        <v>23</v>
      </c>
      <c r="Q1181" s="68" t="n">
        <v>97</v>
      </c>
      <c r="R1181" s="69" t="inlineStr">
        <is>
          <t>IO</t>
        </is>
      </c>
      <c r="S1181" s="69" t="inlineStr">
        <is>
          <t>Yes</t>
        </is>
      </c>
      <c r="T1181" s="73" t="n">
        <v>43313</v>
      </c>
      <c r="U1181" s="73" t="n">
        <v>46971</v>
      </c>
      <c r="V1181" s="73" t="n"/>
      <c r="W1181" s="69" t="n"/>
      <c r="X1181" s="69" t="inlineStr">
        <is>
          <t>Current</t>
        </is>
      </c>
      <c r="Y1181" s="68" t="n"/>
      <c r="Z1181" s="69" t="inlineStr">
        <is>
          <t>No Defeasance Occurred</t>
        </is>
      </c>
      <c r="AA1181" s="69" t="inlineStr">
        <is>
          <t>Previously</t>
        </is>
      </c>
      <c r="AB1181" s="69" t="inlineStr">
        <is>
          <t>Never special serv</t>
        </is>
      </c>
      <c r="AC1181" s="73" t="n"/>
      <c r="AD1181" s="69" t="n"/>
      <c r="AE1181" s="69" t="n"/>
      <c r="AF1181" s="69" t="inlineStr">
        <is>
          <t>NY</t>
        </is>
      </c>
      <c r="AG1181" s="69" t="inlineStr">
        <is>
          <t>Long Island City</t>
        </is>
      </c>
      <c r="AH1181" s="69" t="inlineStr">
        <is>
          <t>New York-Newark-Jersey City, NY-NJ</t>
        </is>
      </c>
      <c r="AI1181" s="69" t="inlineStr">
        <is>
          <t>Northeast / Mid-Atlantic</t>
        </is>
      </c>
      <c r="AJ1181" s="69" t="inlineStr">
        <is>
          <t>MF</t>
        </is>
      </c>
      <c r="AK1181" s="69" t="inlineStr">
        <is>
          <t>High Rise</t>
        </is>
      </c>
      <c r="AL1181" s="68" t="n">
        <v>1</v>
      </c>
      <c r="AM1181" s="68" t="n">
        <v>188</v>
      </c>
      <c r="AN1181" s="68" t="n"/>
      <c r="AO1181" s="69" t="inlineStr">
        <is>
          <t>2018</t>
        </is>
      </c>
      <c r="AP1181" s="70" t="n">
        <v>2018</v>
      </c>
      <c r="AQ1181" s="74" t="n">
        <v>1.69</v>
      </c>
      <c r="AR1181" s="74" t="n">
        <v>1.97</v>
      </c>
      <c r="AS1181" s="74" t="n">
        <v>62.1</v>
      </c>
      <c r="AT1181" s="74" t="n">
        <v>62.13</v>
      </c>
      <c r="AU1181" s="74" t="n">
        <v>62.13</v>
      </c>
      <c r="AV1181" s="74" t="n">
        <v>8.173745946</v>
      </c>
      <c r="AW1181" s="74" t="n">
        <v>8.880850635</v>
      </c>
      <c r="AX1181" s="75" t="n">
        <v>99</v>
      </c>
      <c r="AY1181" s="71" t="n">
        <v>119100000</v>
      </c>
      <c r="AZ1181" s="71" t="n">
        <v>119100000</v>
      </c>
      <c r="BA1181" s="71" t="n">
        <v>6048572</v>
      </c>
      <c r="BB1181" s="71" t="n">
        <v>5303201.61</v>
      </c>
      <c r="BC1181" s="69" t="inlineStr">
        <is>
          <t>Refinance</t>
        </is>
      </c>
      <c r="BD1181" s="69" t="inlineStr">
        <is>
          <t>N</t>
        </is>
      </c>
      <c r="BE1181" s="71" t="n"/>
      <c r="BF1181" s="71" t="n"/>
      <c r="BG1181" s="71" t="n"/>
      <c r="BH1181" s="71" t="n">
        <v>0</v>
      </c>
      <c r="BI1181" s="71" t="n">
        <v>0</v>
      </c>
      <c r="BJ1181" s="69" t="inlineStr">
        <is>
          <t>N</t>
        </is>
      </c>
      <c r="BK1181" s="69" t="n"/>
      <c r="BL1181" s="75" t="n"/>
      <c r="BM1181" s="73" t="n"/>
      <c r="BN1181" s="69" t="inlineStr">
        <is>
          <t>Joel Gluck and Yoel Goldman</t>
        </is>
      </c>
      <c r="BO1181" s="69" t="inlineStr">
        <is>
          <t>Citigroup Global Markets</t>
        </is>
      </c>
      <c r="BP1181" s="69" t="inlineStr">
        <is>
          <t>KeyBank National Association</t>
        </is>
      </c>
      <c r="BQ1181" s="69" t="inlineStr">
        <is>
          <t>K-Star Asset Management LLC</t>
        </is>
      </c>
      <c r="BR1181" s="69" t="n"/>
      <c r="BS1181" s="73" t="n">
        <v>46273</v>
      </c>
      <c r="BU1181" s="76">
        <f>IF($C1181="","",IFERROR(INDEX(dmName,MATCH($C1181,dmID,0)),"Unmapped"))</f>
        <v/>
      </c>
      <c r="BV1181" s="76">
        <f>IF($C1181="","",IFERROR(INDEX(dmEntity,MATCH($C1181,dmID,0)),"Unmapped"))</f>
        <v/>
      </c>
      <c r="BW1181" s="77">
        <f>IF($C1181="","",IFERROR(INDEX(dmVintage,MATCH($C1181,dmID,0)),""))</f>
        <v/>
      </c>
      <c r="BX1181" s="78">
        <f>IFERROR(INDEX(dmInclude,MATCH($C1181,dmID,0)),0)</f>
        <v/>
      </c>
      <c r="BY1181" s="78">
        <f>IF(N($I1181)&gt;0,1,0)</f>
        <v/>
      </c>
      <c r="BZ1181" s="76">
        <f>IF($AJ1181="","Other / Leased Fee",IFERROR(INDEX(mapPTGroup,MATCH(LEFT(TRIM($AJ1181),2),mapPTCode,0)),"Other / Leased Fee"))</f>
        <v/>
      </c>
      <c r="CA1181" s="76">
        <f>IF(TRIM($AF1181&amp;"")="","NR",LEFT(TRIM($AF1181),2))</f>
        <v/>
      </c>
      <c r="CB1181" s="76">
        <f>IFERROR(LOOKUP(2,1/(LEFT(TRIM($AI1181&amp;""),LEN(mapRegion))=mapRegion),mapRegion),"Not Reported")</f>
        <v/>
      </c>
      <c r="CC1181" s="76">
        <f>IF($BY1181=0,"",IF(TRIM($W1181&amp;"")="REO","REO",IF(TRIM($W1181&amp;"")="FC","Foreclosure",IF(TRIM($W1181&amp;"")="90+","90+ Days Delinquent",IF(TRIM($W1181&amp;"")="60","60 Days Delinquent",IF(TRIM($W1181&amp;"")="30","30 Days Delinquent",IF($X1181="Non-Performing Matured Balloon","Non-Performing Matured Balloon",IF(OR($X1181="Late Payment But Less Than 30 Days Delinquent",LEFT($X1181&amp;"",20)="Payment Not Received"),"Late / In Grace (&lt;30 Days)",IF($X1181="Performing Matured Balloon","Performing Matured Balloon","Current")))))))))</f>
        <v/>
      </c>
      <c r="CD1181" s="78">
        <f>IF(OR($CC1181="REO",$CC1181="Foreclosure",$CC1181="90+ Days Delinquent",$CC1181="60 Days Delinquent",$CC1181="30 Days Delinquent",$CC1181="Non-Performing Matured Balloon"),1,0)</f>
        <v/>
      </c>
      <c r="CE1181" s="76">
        <f>IF($AB1181="Currently special serv","Currently Specially Serviced",IF($AB1181="Returned to master serv","Previously Specially Serviced","Never Specially Serviced"))</f>
        <v/>
      </c>
      <c r="CF1181" s="78">
        <f>IF($CE1181="Currently Specially Serviced",1,0)</f>
        <v/>
      </c>
      <c r="CG1181" s="76">
        <f>IF($AA1181="Yes","Currently on Watchlist",IF($AA1181="Previously","Previously on Watchlist","Never on Watchlist"))</f>
        <v/>
      </c>
      <c r="CH1181" s="78">
        <f>IF($CG1181="Currently on Watchlist",1,0)</f>
        <v/>
      </c>
      <c r="CI1181" s="76">
        <f>IF($Z1181="Full Defeasance","Fully Defeased",IF($Z1181="Portion Of Loan Previously Defeased","Partially Defeased",IF($Z1181="Defeasance Not Allowable","Not Defeased (Not Permitted)","Not Defeased")))</f>
        <v/>
      </c>
      <c r="CJ1181" s="78">
        <f>IF($CI1181="Fully Defeased",1,0)</f>
        <v/>
      </c>
      <c r="CK1181" s="76">
        <f>IF($R1181="IO","Full IO",IF(LEFT($R1181&amp;"",7)="IO then","Partial IO","Amortizing"))</f>
        <v/>
      </c>
      <c r="CL1181" s="78">
        <f>IF($CK1181="Full IO",1,0)</f>
        <v/>
      </c>
      <c r="CM1181" s="78">
        <f>IF($CK1181="Partial IO",1,0)</f>
        <v/>
      </c>
      <c r="CN1181" s="76">
        <f>IF(LEFT($F1181&amp;"",10)="SPLIT_LOAN","Pari Passu Split","Standalone")</f>
        <v/>
      </c>
      <c r="CO1181" s="78">
        <f>IF($CN1181="Pari Passu Split",1,0)</f>
        <v/>
      </c>
      <c r="CP1181" s="77">
        <f>IF(ISNUMBER($T1181),YEAR($T1181),"")</f>
        <v/>
      </c>
      <c r="CQ1181" s="79">
        <f>IF(ISNUMBER($V1181),$V1181,IF(ISNUMBER($U1181),$U1181,""))</f>
        <v/>
      </c>
      <c r="CR1181" s="77">
        <f>IF(ISNUMBER($CQ1181),YEAR($CQ1181),"")</f>
        <v/>
      </c>
      <c r="CS1181" s="78">
        <f>IF(ISNUMBER($M1181),MAX(0,$M1181),IF(TRIM($M1181&amp;"")="matured",0,""))</f>
        <v/>
      </c>
      <c r="CT1181" s="78">
        <f>IF(AND(ISNUMBER($CS1181),N($CS1181)&lt;=mMatWindow),1,0)</f>
        <v/>
      </c>
      <c r="CU1181" s="80">
        <f>IF(ISNUMBER($J1181),$J1181/100,"")</f>
        <v/>
      </c>
      <c r="CV1181" s="81">
        <f>IF(ISNUMBER($AQ1181),$AQ1181,"")</f>
        <v/>
      </c>
      <c r="CW1181" s="81">
        <f>IF(ISNUMBER($AR1181),$AR1181,"")</f>
        <v/>
      </c>
      <c r="CX1181" s="82">
        <f>IF(ISNUMBER($AS1181),$AS1181/100,"")</f>
        <v/>
      </c>
      <c r="CY1181" s="82">
        <f>IF(ISNUMBER($AT1181),$AT1181/100,"")</f>
        <v/>
      </c>
      <c r="CZ1181" s="82">
        <f>IF(ISNUMBER($AU1181),$AU1181/100,"")</f>
        <v/>
      </c>
      <c r="DA1181" s="82">
        <f>IF(ISNUMBER($AV1181),$AV1181/100,"")</f>
        <v/>
      </c>
      <c r="DB1181" s="82">
        <f>IF(ISNUMBER($AW1181),$AW1181/100,"")</f>
        <v/>
      </c>
      <c r="DC1181" s="82">
        <f>IF(ISNUMBER($AX1181),$AX1181/100,"")</f>
        <v/>
      </c>
      <c r="DD1181" s="77">
        <f>IFERROR(VALUE(LEFT(TRIM($AO1181&amp;""),4)),"")</f>
        <v/>
      </c>
      <c r="DE1181" s="78">
        <f>IF(AND($BY1181=1,$BX1181=1,OR(fDeal="All Deals",$BU1181=fDeal),OR(fEntity="All Entities",$BV1181=fEntity),OR(fPType="All Property Types",$BZ1181=fPType),OR(fDefeased="Include",$CJ1181=0)),1,0)</f>
        <v/>
      </c>
      <c r="DF1181" s="83">
        <f>$DE1181*N($I1181)</f>
        <v/>
      </c>
      <c r="DG1181" s="78">
        <f>IF($DE1181=1,IF(COUNTIFS($F$8:$F1181,$F1181,$DE$8:$DE1181,1)=1,1,0),0)</f>
        <v/>
      </c>
      <c r="DH1181" s="83">
        <f>IF($DG1181=1,SUMIFS($DF$8:$DF$1600,$F$8:$F$1600,$F1181),0)</f>
        <v/>
      </c>
      <c r="DI1181" s="78">
        <f>IF($DG1181=1,COUNTIFS($F$8:$F$1600,$F1181,$DE$8:$DE$1600,1),0)</f>
        <v/>
      </c>
      <c r="DJ1181" s="84">
        <f>IF($DG1181=1,$DH1181+(100000-ROW())/mTieBreak,0)</f>
        <v/>
      </c>
    </row>
    <row r="1182">
      <c r="B1182" s="68" t="n">
        <v>4</v>
      </c>
      <c r="C1182" s="69" t="inlineStr">
        <is>
          <t>BCMK18B6</t>
        </is>
      </c>
      <c r="D1182" s="69" t="inlineStr">
        <is>
          <t>4.000</t>
        </is>
      </c>
      <c r="E1182" s="69" t="inlineStr">
        <is>
          <t>Willow Creek Corporate Center</t>
        </is>
      </c>
      <c r="F1182" s="69" t="inlineStr">
        <is>
          <t>SPLIT_LOAN_01355</t>
        </is>
      </c>
      <c r="G1182" s="70" t="n">
        <v>1355</v>
      </c>
      <c r="H1182" s="71" t="n">
        <v>72500000</v>
      </c>
      <c r="I1182" s="71" t="n">
        <v>72500000</v>
      </c>
      <c r="J1182" s="72" t="n">
        <v>4.659</v>
      </c>
      <c r="K1182" s="69" t="inlineStr">
        <is>
          <t>Fixed rate</t>
        </is>
      </c>
      <c r="L1182" s="68" t="n">
        <v>120</v>
      </c>
      <c r="M1182" s="68" t="n">
        <v>23</v>
      </c>
      <c r="N1182" s="68" t="n">
        <v>120</v>
      </c>
      <c r="O1182" s="68" t="n">
        <v>120</v>
      </c>
      <c r="P1182" s="68" t="n">
        <v>23</v>
      </c>
      <c r="Q1182" s="68" t="n">
        <v>97</v>
      </c>
      <c r="R1182" s="69" t="inlineStr">
        <is>
          <t>IO</t>
        </is>
      </c>
      <c r="S1182" s="69" t="inlineStr">
        <is>
          <t>Yes</t>
        </is>
      </c>
      <c r="T1182" s="73" t="n">
        <v>43313</v>
      </c>
      <c r="U1182" s="73" t="n">
        <v>46971</v>
      </c>
      <c r="V1182" s="73" t="n"/>
      <c r="W1182" s="69" t="n"/>
      <c r="X1182" s="69" t="inlineStr">
        <is>
          <t>Current</t>
        </is>
      </c>
      <c r="Y1182" s="68" t="n"/>
      <c r="Z1182" s="69" t="inlineStr">
        <is>
          <t>No Defeasance Occurred</t>
        </is>
      </c>
      <c r="AA1182" s="69" t="inlineStr">
        <is>
          <t>Previously</t>
        </is>
      </c>
      <c r="AB1182" s="69" t="inlineStr">
        <is>
          <t>Never special serv</t>
        </is>
      </c>
      <c r="AC1182" s="73" t="n"/>
      <c r="AD1182" s="69" t="n"/>
      <c r="AE1182" s="69" t="n"/>
      <c r="AF1182" s="69" t="inlineStr">
        <is>
          <t>WA</t>
        </is>
      </c>
      <c r="AG1182" s="69" t="inlineStr">
        <is>
          <t>Redmond</t>
        </is>
      </c>
      <c r="AH1182" s="69" t="inlineStr">
        <is>
          <t>Seattle-Tacoma-Bellevue, WA</t>
        </is>
      </c>
      <c r="AI1182" s="69" t="inlineStr">
        <is>
          <t>West / Pacific North</t>
        </is>
      </c>
      <c r="AJ1182" s="69" t="inlineStr">
        <is>
          <t>OF</t>
        </is>
      </c>
      <c r="AK1182" s="69" t="inlineStr">
        <is>
          <t>Suburban</t>
        </is>
      </c>
      <c r="AL1182" s="68" t="n">
        <v>1</v>
      </c>
      <c r="AM1182" s="68" t="n"/>
      <c r="AN1182" s="68" t="n">
        <v>421785</v>
      </c>
      <c r="AO1182" s="69" t="inlineStr">
        <is>
          <t>1981, 1998</t>
        </is>
      </c>
      <c r="AP1182" s="70" t="n">
        <v>2018</v>
      </c>
      <c r="AQ1182" s="74" t="n">
        <v>1.92</v>
      </c>
      <c r="AR1182" s="74" t="n">
        <v>2.91</v>
      </c>
      <c r="AS1182" s="74" t="n">
        <v>65</v>
      </c>
      <c r="AT1182" s="74" t="n">
        <v>65</v>
      </c>
      <c r="AU1182" s="74" t="n">
        <v>65</v>
      </c>
      <c r="AV1182" s="74" t="n">
        <v>9.063563821000001</v>
      </c>
      <c r="AW1182" s="74" t="n">
        <v>12.780841747</v>
      </c>
      <c r="AX1182" s="75" t="n">
        <v>100</v>
      </c>
      <c r="AY1182" s="71" t="n">
        <v>136500000</v>
      </c>
      <c r="AZ1182" s="71" t="n">
        <v>136500000</v>
      </c>
      <c r="BA1182" s="71" t="n">
        <v>8041647</v>
      </c>
      <c r="BB1182" s="71" t="n">
        <v>12175400.69</v>
      </c>
      <c r="BC1182" s="69" t="inlineStr">
        <is>
          <t>Acquisition</t>
        </is>
      </c>
      <c r="BD1182" s="69" t="inlineStr">
        <is>
          <t>N</t>
        </is>
      </c>
      <c r="BE1182" s="71" t="n">
        <v>16225000</v>
      </c>
      <c r="BF1182" s="71" t="n"/>
      <c r="BG1182" s="71" t="n"/>
      <c r="BH1182" s="71" t="n">
        <v>0</v>
      </c>
      <c r="BI1182" s="71" t="n">
        <v>0</v>
      </c>
      <c r="BJ1182" s="69" t="inlineStr">
        <is>
          <t>N</t>
        </is>
      </c>
      <c r="BK1182" s="69" t="inlineStr">
        <is>
          <t>Meta Platforms  Inc.</t>
        </is>
      </c>
      <c r="BL1182" s="75" t="n">
        <v>22.34</v>
      </c>
      <c r="BM1182" s="73" t="n">
        <v>47999</v>
      </c>
      <c r="BN1182" s="69" t="inlineStr">
        <is>
          <t>Farshid Steve Shokouhi and Brett Michael Lipman</t>
        </is>
      </c>
      <c r="BO1182" s="69" t="inlineStr">
        <is>
          <t>GACC</t>
        </is>
      </c>
      <c r="BP1182" s="69" t="inlineStr">
        <is>
          <t>KeyBank National Association</t>
        </is>
      </c>
      <c r="BQ1182" s="69" t="inlineStr">
        <is>
          <t>K-Star Asset Management LLC</t>
        </is>
      </c>
      <c r="BR1182" s="69" t="n"/>
      <c r="BS1182" s="73" t="n">
        <v>46273</v>
      </c>
      <c r="BU1182" s="76">
        <f>IF($C1182="","",IFERROR(INDEX(dmName,MATCH($C1182,dmID,0)),"Unmapped"))</f>
        <v/>
      </c>
      <c r="BV1182" s="76">
        <f>IF($C1182="","",IFERROR(INDEX(dmEntity,MATCH($C1182,dmID,0)),"Unmapped"))</f>
        <v/>
      </c>
      <c r="BW1182" s="77">
        <f>IF($C1182="","",IFERROR(INDEX(dmVintage,MATCH($C1182,dmID,0)),""))</f>
        <v/>
      </c>
      <c r="BX1182" s="78">
        <f>IFERROR(INDEX(dmInclude,MATCH($C1182,dmID,0)),0)</f>
        <v/>
      </c>
      <c r="BY1182" s="78">
        <f>IF(N($I1182)&gt;0,1,0)</f>
        <v/>
      </c>
      <c r="BZ1182" s="76">
        <f>IF($AJ1182="","Other / Leased Fee",IFERROR(INDEX(mapPTGroup,MATCH(LEFT(TRIM($AJ1182),2),mapPTCode,0)),"Other / Leased Fee"))</f>
        <v/>
      </c>
      <c r="CA1182" s="76">
        <f>IF(TRIM($AF1182&amp;"")="","NR",LEFT(TRIM($AF1182),2))</f>
        <v/>
      </c>
      <c r="CB1182" s="76">
        <f>IFERROR(LOOKUP(2,1/(LEFT(TRIM($AI1182&amp;""),LEN(mapRegion))=mapRegion),mapRegion),"Not Reported")</f>
        <v/>
      </c>
      <c r="CC1182" s="76">
        <f>IF($BY1182=0,"",IF(TRIM($W1182&amp;"")="REO","REO",IF(TRIM($W1182&amp;"")="FC","Foreclosure",IF(TRIM($W1182&amp;"")="90+","90+ Days Delinquent",IF(TRIM($W1182&amp;"")="60","60 Days Delinquent",IF(TRIM($W1182&amp;"")="30","30 Days Delinquent",IF($X1182="Non-Performing Matured Balloon","Non-Performing Matured Balloon",IF(OR($X1182="Late Payment But Less Than 30 Days Delinquent",LEFT($X1182&amp;"",20)="Payment Not Received"),"Late / In Grace (&lt;30 Days)",IF($X1182="Performing Matured Balloon","Performing Matured Balloon","Current")))))))))</f>
        <v/>
      </c>
      <c r="CD1182" s="78">
        <f>IF(OR($CC1182="REO",$CC1182="Foreclosure",$CC1182="90+ Days Delinquent",$CC1182="60 Days Delinquent",$CC1182="30 Days Delinquent",$CC1182="Non-Performing Matured Balloon"),1,0)</f>
        <v/>
      </c>
      <c r="CE1182" s="76">
        <f>IF($AB1182="Currently special serv","Currently Specially Serviced",IF($AB1182="Returned to master serv","Previously Specially Serviced","Never Specially Serviced"))</f>
        <v/>
      </c>
      <c r="CF1182" s="78">
        <f>IF($CE1182="Currently Specially Serviced",1,0)</f>
        <v/>
      </c>
      <c r="CG1182" s="76">
        <f>IF($AA1182="Yes","Currently on Watchlist",IF($AA1182="Previously","Previously on Watchlist","Never on Watchlist"))</f>
        <v/>
      </c>
      <c r="CH1182" s="78">
        <f>IF($CG1182="Currently on Watchlist",1,0)</f>
        <v/>
      </c>
      <c r="CI1182" s="76">
        <f>IF($Z1182="Full Defeasance","Fully Defeased",IF($Z1182="Portion Of Loan Previously Defeased","Partially Defeased",IF($Z1182="Defeasance Not Allowable","Not Defeased (Not Permitted)","Not Defeased")))</f>
        <v/>
      </c>
      <c r="CJ1182" s="78">
        <f>IF($CI1182="Fully Defeased",1,0)</f>
        <v/>
      </c>
      <c r="CK1182" s="76">
        <f>IF($R1182="IO","Full IO",IF(LEFT($R1182&amp;"",7)="IO then","Partial IO","Amortizing"))</f>
        <v/>
      </c>
      <c r="CL1182" s="78">
        <f>IF($CK1182="Full IO",1,0)</f>
        <v/>
      </c>
      <c r="CM1182" s="78">
        <f>IF($CK1182="Partial IO",1,0)</f>
        <v/>
      </c>
      <c r="CN1182" s="76">
        <f>IF(LEFT($F1182&amp;"",10)="SPLIT_LOAN","Pari Passu Split","Standalone")</f>
        <v/>
      </c>
      <c r="CO1182" s="78">
        <f>IF($CN1182="Pari Passu Split",1,0)</f>
        <v/>
      </c>
      <c r="CP1182" s="77">
        <f>IF(ISNUMBER($T1182),YEAR($T1182),"")</f>
        <v/>
      </c>
      <c r="CQ1182" s="79">
        <f>IF(ISNUMBER($V1182),$V1182,IF(ISNUMBER($U1182),$U1182,""))</f>
        <v/>
      </c>
      <c r="CR1182" s="77">
        <f>IF(ISNUMBER($CQ1182),YEAR($CQ1182),"")</f>
        <v/>
      </c>
      <c r="CS1182" s="78">
        <f>IF(ISNUMBER($M1182),MAX(0,$M1182),IF(TRIM($M1182&amp;"")="matured",0,""))</f>
        <v/>
      </c>
      <c r="CT1182" s="78">
        <f>IF(AND(ISNUMBER($CS1182),N($CS1182)&lt;=mMatWindow),1,0)</f>
        <v/>
      </c>
      <c r="CU1182" s="80">
        <f>IF(ISNUMBER($J1182),$J1182/100,"")</f>
        <v/>
      </c>
      <c r="CV1182" s="81">
        <f>IF(ISNUMBER($AQ1182),$AQ1182,"")</f>
        <v/>
      </c>
      <c r="CW1182" s="81">
        <f>IF(ISNUMBER($AR1182),$AR1182,"")</f>
        <v/>
      </c>
      <c r="CX1182" s="82">
        <f>IF(ISNUMBER($AS1182),$AS1182/100,"")</f>
        <v/>
      </c>
      <c r="CY1182" s="82">
        <f>IF(ISNUMBER($AT1182),$AT1182/100,"")</f>
        <v/>
      </c>
      <c r="CZ1182" s="82">
        <f>IF(ISNUMBER($AU1182),$AU1182/100,"")</f>
        <v/>
      </c>
      <c r="DA1182" s="82">
        <f>IF(ISNUMBER($AV1182),$AV1182/100,"")</f>
        <v/>
      </c>
      <c r="DB1182" s="82">
        <f>IF(ISNUMBER($AW1182),$AW1182/100,"")</f>
        <v/>
      </c>
      <c r="DC1182" s="82">
        <f>IF(ISNUMBER($AX1182),$AX1182/100,"")</f>
        <v/>
      </c>
      <c r="DD1182" s="77">
        <f>IFERROR(VALUE(LEFT(TRIM($AO1182&amp;""),4)),"")</f>
        <v/>
      </c>
      <c r="DE1182" s="78">
        <f>IF(AND($BY1182=1,$BX1182=1,OR(fDeal="All Deals",$BU1182=fDeal),OR(fEntity="All Entities",$BV1182=fEntity),OR(fPType="All Property Types",$BZ1182=fPType),OR(fDefeased="Include",$CJ1182=0)),1,0)</f>
        <v/>
      </c>
      <c r="DF1182" s="83">
        <f>$DE1182*N($I1182)</f>
        <v/>
      </c>
      <c r="DG1182" s="78">
        <f>IF($DE1182=1,IF(COUNTIFS($F$8:$F1182,$F1182,$DE$8:$DE1182,1)=1,1,0),0)</f>
        <v/>
      </c>
      <c r="DH1182" s="83">
        <f>IF($DG1182=1,SUMIFS($DF$8:$DF$1600,$F$8:$F$1600,$F1182),0)</f>
        <v/>
      </c>
      <c r="DI1182" s="78">
        <f>IF($DG1182=1,COUNTIFS($F$8:$F$1600,$F1182,$DE$8:$DE$1600,1),0)</f>
        <v/>
      </c>
      <c r="DJ1182" s="84">
        <f>IF($DG1182=1,$DH1182+(100000-ROW())/mTieBreak,0)</f>
        <v/>
      </c>
    </row>
    <row r="1183">
      <c r="B1183" s="68" t="n">
        <v>5</v>
      </c>
      <c r="C1183" s="69" t="inlineStr">
        <is>
          <t>BCMK18B6</t>
        </is>
      </c>
      <c r="D1183" s="69" t="inlineStr">
        <is>
          <t>5.000</t>
        </is>
      </c>
      <c r="E1183" s="69" t="inlineStr">
        <is>
          <t>West Coast Albertsons Portfolio</t>
        </is>
      </c>
      <c r="F1183" s="69" t="inlineStr">
        <is>
          <t>SPLIT_LOAN_01356</t>
        </is>
      </c>
      <c r="G1183" s="70" t="n">
        <v>1356</v>
      </c>
      <c r="H1183" s="71" t="n">
        <v>65000000</v>
      </c>
      <c r="I1183" s="71" t="n">
        <v>65000000</v>
      </c>
      <c r="J1183" s="72" t="n">
        <v>4.047340426</v>
      </c>
      <c r="K1183" s="69" t="inlineStr">
        <is>
          <t>Fixed rate</t>
        </is>
      </c>
      <c r="L1183" s="68" t="n">
        <v>120</v>
      </c>
      <c r="M1183" s="68" t="n">
        <v>24</v>
      </c>
      <c r="N1183" s="68" t="n">
        <v>120</v>
      </c>
      <c r="O1183" s="68" t="n">
        <v>120</v>
      </c>
      <c r="P1183" s="68" t="n">
        <v>24</v>
      </c>
      <c r="Q1183" s="68" t="n">
        <v>96</v>
      </c>
      <c r="R1183" s="69" t="inlineStr">
        <is>
          <t>IO</t>
        </is>
      </c>
      <c r="S1183" s="69" t="inlineStr">
        <is>
          <t>Yes</t>
        </is>
      </c>
      <c r="T1183" s="73" t="n">
        <v>43344</v>
      </c>
      <c r="U1183" s="73" t="n">
        <v>48828</v>
      </c>
      <c r="V1183" s="73" t="n">
        <v>47002</v>
      </c>
      <c r="W1183" s="69" t="n"/>
      <c r="X1183" s="69" t="inlineStr">
        <is>
          <t>Current</t>
        </is>
      </c>
      <c r="Y1183" s="68" t="n"/>
      <c r="Z1183" s="69" t="inlineStr">
        <is>
          <t>No Defeasance Occurred</t>
        </is>
      </c>
      <c r="AA1183" s="69" t="inlineStr">
        <is>
          <t>Previously</t>
        </is>
      </c>
      <c r="AB1183" s="69" t="inlineStr">
        <is>
          <t>Never special serv</t>
        </is>
      </c>
      <c r="AC1183" s="73" t="n"/>
      <c r="AD1183" s="69" t="n"/>
      <c r="AE1183" s="69" t="n"/>
      <c r="AF1183" s="69" t="inlineStr">
        <is>
          <t>CA-71.523800000% AZ-28.476200000%</t>
        </is>
      </c>
      <c r="AG1183" s="69" t="n"/>
      <c r="AH1183" s="69" t="inlineStr">
        <is>
          <t>Stockton-Lodi, CA-71.523800000% Phoenix-Mesa-Chandler, AZ-28.476200000%</t>
        </is>
      </c>
      <c r="AI1183" s="69" t="inlineStr">
        <is>
          <t>West / Pacific North-71.523800000% West / Mountain-28.476200000%</t>
        </is>
      </c>
      <c r="AJ1183" s="69" t="inlineStr">
        <is>
          <t>IN</t>
        </is>
      </c>
      <c r="AK1183" s="69" t="inlineStr">
        <is>
          <t>Warehouse/Distribution</t>
        </is>
      </c>
      <c r="AL1183" s="68" t="n">
        <v>2</v>
      </c>
      <c r="AM1183" s="68" t="n"/>
      <c r="AN1183" s="68" t="n">
        <v>2798877</v>
      </c>
      <c r="AO1183" s="69" t="n"/>
      <c r="AP1183" s="70" t="n">
        <v>2018</v>
      </c>
      <c r="AQ1183" s="74" t="n">
        <v>4.17</v>
      </c>
      <c r="AR1183" s="74" t="n">
        <v>1.92</v>
      </c>
      <c r="AS1183" s="74" t="n">
        <v>31.6</v>
      </c>
      <c r="AT1183" s="74" t="n">
        <v>31.65</v>
      </c>
      <c r="AU1183" s="74" t="n">
        <v>31.6</v>
      </c>
      <c r="AV1183" s="74" t="n">
        <v>17.104281915</v>
      </c>
      <c r="AW1183" s="74" t="n">
        <v>19.798351819</v>
      </c>
      <c r="AX1183" s="75" t="n">
        <v>100</v>
      </c>
      <c r="AY1183" s="71" t="n">
        <v>297000000</v>
      </c>
      <c r="AZ1183" s="71" t="n">
        <v>297000000</v>
      </c>
      <c r="BA1183" s="71" t="n">
        <v>16078025</v>
      </c>
      <c r="BB1183" s="71" t="n">
        <v>18595974.36</v>
      </c>
      <c r="BC1183" s="69" t="inlineStr">
        <is>
          <t>Acquisition</t>
        </is>
      </c>
      <c r="BD1183" s="69" t="inlineStr">
        <is>
          <t>N</t>
        </is>
      </c>
      <c r="BE1183" s="71" t="n">
        <v>29000000</v>
      </c>
      <c r="BF1183" s="71" t="n"/>
      <c r="BG1183" s="71" t="n">
        <v>106000000</v>
      </c>
      <c r="BH1183" s="71" t="n">
        <v>0</v>
      </c>
      <c r="BI1183" s="71" t="n">
        <v>0</v>
      </c>
      <c r="BJ1183" s="69" t="inlineStr">
        <is>
          <t>N</t>
        </is>
      </c>
      <c r="BK1183" s="69" t="inlineStr">
        <is>
          <t>Safeway</t>
        </is>
      </c>
      <c r="BL1183" s="75" t="n">
        <v>67.48</v>
      </c>
      <c r="BM1183" s="73" t="n">
        <v>50633</v>
      </c>
      <c r="BN1183" s="69" t="inlineStr">
        <is>
          <t>Credit RE Operating Company, LLC</t>
        </is>
      </c>
      <c r="BO1183" s="69" t="inlineStr">
        <is>
          <t>GACC</t>
        </is>
      </c>
      <c r="BP1183" s="69" t="inlineStr">
        <is>
          <t>KeyBank National Association</t>
        </is>
      </c>
      <c r="BQ1183" s="69" t="inlineStr">
        <is>
          <t>K-Star Asset Management LLC</t>
        </is>
      </c>
      <c r="BR1183" s="69" t="n"/>
      <c r="BS1183" s="73" t="n">
        <v>46273</v>
      </c>
      <c r="BU1183" s="76">
        <f>IF($C1183="","",IFERROR(INDEX(dmName,MATCH($C1183,dmID,0)),"Unmapped"))</f>
        <v/>
      </c>
      <c r="BV1183" s="76">
        <f>IF($C1183="","",IFERROR(INDEX(dmEntity,MATCH($C1183,dmID,0)),"Unmapped"))</f>
        <v/>
      </c>
      <c r="BW1183" s="77">
        <f>IF($C1183="","",IFERROR(INDEX(dmVintage,MATCH($C1183,dmID,0)),""))</f>
        <v/>
      </c>
      <c r="BX1183" s="78">
        <f>IFERROR(INDEX(dmInclude,MATCH($C1183,dmID,0)),0)</f>
        <v/>
      </c>
      <c r="BY1183" s="78">
        <f>IF(N($I1183)&gt;0,1,0)</f>
        <v/>
      </c>
      <c r="BZ1183" s="76">
        <f>IF($AJ1183="","Other / Leased Fee",IFERROR(INDEX(mapPTGroup,MATCH(LEFT(TRIM($AJ1183),2),mapPTCode,0)),"Other / Leased Fee"))</f>
        <v/>
      </c>
      <c r="CA1183" s="76">
        <f>IF(TRIM($AF1183&amp;"")="","NR",LEFT(TRIM($AF1183),2))</f>
        <v/>
      </c>
      <c r="CB1183" s="76">
        <f>IFERROR(LOOKUP(2,1/(LEFT(TRIM($AI1183&amp;""),LEN(mapRegion))=mapRegion),mapRegion),"Not Reported")</f>
        <v/>
      </c>
      <c r="CC1183" s="76">
        <f>IF($BY1183=0,"",IF(TRIM($W1183&amp;"")="REO","REO",IF(TRIM($W1183&amp;"")="FC","Foreclosure",IF(TRIM($W1183&amp;"")="90+","90+ Days Delinquent",IF(TRIM($W1183&amp;"")="60","60 Days Delinquent",IF(TRIM($W1183&amp;"")="30","30 Days Delinquent",IF($X1183="Non-Performing Matured Balloon","Non-Performing Matured Balloon",IF(OR($X1183="Late Payment But Less Than 30 Days Delinquent",LEFT($X1183&amp;"",20)="Payment Not Received"),"Late / In Grace (&lt;30 Days)",IF($X1183="Performing Matured Balloon","Performing Matured Balloon","Current")))))))))</f>
        <v/>
      </c>
      <c r="CD1183" s="78">
        <f>IF(OR($CC1183="REO",$CC1183="Foreclosure",$CC1183="90+ Days Delinquent",$CC1183="60 Days Delinquent",$CC1183="30 Days Delinquent",$CC1183="Non-Performing Matured Balloon"),1,0)</f>
        <v/>
      </c>
      <c r="CE1183" s="76">
        <f>IF($AB1183="Currently special serv","Currently Specially Serviced",IF($AB1183="Returned to master serv","Previously Specially Serviced","Never Specially Serviced"))</f>
        <v/>
      </c>
      <c r="CF1183" s="78">
        <f>IF($CE1183="Currently Specially Serviced",1,0)</f>
        <v/>
      </c>
      <c r="CG1183" s="76">
        <f>IF($AA1183="Yes","Currently on Watchlist",IF($AA1183="Previously","Previously on Watchlist","Never on Watchlist"))</f>
        <v/>
      </c>
      <c r="CH1183" s="78">
        <f>IF($CG1183="Currently on Watchlist",1,0)</f>
        <v/>
      </c>
      <c r="CI1183" s="76">
        <f>IF($Z1183="Full Defeasance","Fully Defeased",IF($Z1183="Portion Of Loan Previously Defeased","Partially Defeased",IF($Z1183="Defeasance Not Allowable","Not Defeased (Not Permitted)","Not Defeased")))</f>
        <v/>
      </c>
      <c r="CJ1183" s="78">
        <f>IF($CI1183="Fully Defeased",1,0)</f>
        <v/>
      </c>
      <c r="CK1183" s="76">
        <f>IF($R1183="IO","Full IO",IF(LEFT($R1183&amp;"",7)="IO then","Partial IO","Amortizing"))</f>
        <v/>
      </c>
      <c r="CL1183" s="78">
        <f>IF($CK1183="Full IO",1,0)</f>
        <v/>
      </c>
      <c r="CM1183" s="78">
        <f>IF($CK1183="Partial IO",1,0)</f>
        <v/>
      </c>
      <c r="CN1183" s="76">
        <f>IF(LEFT($F1183&amp;"",10)="SPLIT_LOAN","Pari Passu Split","Standalone")</f>
        <v/>
      </c>
      <c r="CO1183" s="78">
        <f>IF($CN1183="Pari Passu Split",1,0)</f>
        <v/>
      </c>
      <c r="CP1183" s="77">
        <f>IF(ISNUMBER($T1183),YEAR($T1183),"")</f>
        <v/>
      </c>
      <c r="CQ1183" s="79">
        <f>IF(ISNUMBER($V1183),$V1183,IF(ISNUMBER($U1183),$U1183,""))</f>
        <v/>
      </c>
      <c r="CR1183" s="77">
        <f>IF(ISNUMBER($CQ1183),YEAR($CQ1183),"")</f>
        <v/>
      </c>
      <c r="CS1183" s="78">
        <f>IF(ISNUMBER($M1183),MAX(0,$M1183),IF(TRIM($M1183&amp;"")="matured",0,""))</f>
        <v/>
      </c>
      <c r="CT1183" s="78">
        <f>IF(AND(ISNUMBER($CS1183),N($CS1183)&lt;=mMatWindow),1,0)</f>
        <v/>
      </c>
      <c r="CU1183" s="80">
        <f>IF(ISNUMBER($J1183),$J1183/100,"")</f>
        <v/>
      </c>
      <c r="CV1183" s="81">
        <f>IF(ISNUMBER($AQ1183),$AQ1183,"")</f>
        <v/>
      </c>
      <c r="CW1183" s="81">
        <f>IF(ISNUMBER($AR1183),$AR1183,"")</f>
        <v/>
      </c>
      <c r="CX1183" s="82">
        <f>IF(ISNUMBER($AS1183),$AS1183/100,"")</f>
        <v/>
      </c>
      <c r="CY1183" s="82">
        <f>IF(ISNUMBER($AT1183),$AT1183/100,"")</f>
        <v/>
      </c>
      <c r="CZ1183" s="82">
        <f>IF(ISNUMBER($AU1183),$AU1183/100,"")</f>
        <v/>
      </c>
      <c r="DA1183" s="82">
        <f>IF(ISNUMBER($AV1183),$AV1183/100,"")</f>
        <v/>
      </c>
      <c r="DB1183" s="82">
        <f>IF(ISNUMBER($AW1183),$AW1183/100,"")</f>
        <v/>
      </c>
      <c r="DC1183" s="82">
        <f>IF(ISNUMBER($AX1183),$AX1183/100,"")</f>
        <v/>
      </c>
      <c r="DD1183" s="77">
        <f>IFERROR(VALUE(LEFT(TRIM($AO1183&amp;""),4)),"")</f>
        <v/>
      </c>
      <c r="DE1183" s="78">
        <f>IF(AND($BY1183=1,$BX1183=1,OR(fDeal="All Deals",$BU1183=fDeal),OR(fEntity="All Entities",$BV1183=fEntity),OR(fPType="All Property Types",$BZ1183=fPType),OR(fDefeased="Include",$CJ1183=0)),1,0)</f>
        <v/>
      </c>
      <c r="DF1183" s="83">
        <f>$DE1183*N($I1183)</f>
        <v/>
      </c>
      <c r="DG1183" s="78">
        <f>IF($DE1183=1,IF(COUNTIFS($F$8:$F1183,$F1183,$DE$8:$DE1183,1)=1,1,0),0)</f>
        <v/>
      </c>
      <c r="DH1183" s="83">
        <f>IF($DG1183=1,SUMIFS($DF$8:$DF$1600,$F$8:$F$1600,$F1183),0)</f>
        <v/>
      </c>
      <c r="DI1183" s="78">
        <f>IF($DG1183=1,COUNTIFS($F$8:$F$1600,$F1183,$DE$8:$DE$1600,1),0)</f>
        <v/>
      </c>
      <c r="DJ1183" s="84">
        <f>IF($DG1183=1,$DH1183+(100000-ROW())/mTieBreak,0)</f>
        <v/>
      </c>
    </row>
    <row r="1184">
      <c r="B1184" s="68" t="n">
        <v>6</v>
      </c>
      <c r="C1184" s="69" t="inlineStr">
        <is>
          <t>BCMK18B6</t>
        </is>
      </c>
      <c r="D1184" s="69" t="inlineStr">
        <is>
          <t>6.000</t>
        </is>
      </c>
      <c r="E1184" s="69" t="inlineStr">
        <is>
          <t>636 11th Avenue</t>
        </is>
      </c>
      <c r="F1184" s="69" t="inlineStr">
        <is>
          <t>SPLIT_LOAN_01289</t>
        </is>
      </c>
      <c r="G1184" s="70" t="n">
        <v>1289</v>
      </c>
      <c r="H1184" s="71" t="n">
        <v>50000000</v>
      </c>
      <c r="I1184" s="71" t="n">
        <v>50000000</v>
      </c>
      <c r="J1184" s="72" t="n">
        <v>4.073</v>
      </c>
      <c r="K1184" s="69" t="inlineStr">
        <is>
          <t>Fixed rate</t>
        </is>
      </c>
      <c r="L1184" s="68" t="n">
        <v>120</v>
      </c>
      <c r="M1184" s="68" t="n">
        <v>21</v>
      </c>
      <c r="N1184" s="68" t="n">
        <v>120</v>
      </c>
      <c r="O1184" s="68" t="n">
        <v>120</v>
      </c>
      <c r="P1184" s="68" t="n">
        <v>21</v>
      </c>
      <c r="Q1184" s="68" t="n">
        <v>99</v>
      </c>
      <c r="R1184" s="69" t="inlineStr">
        <is>
          <t>IO</t>
        </is>
      </c>
      <c r="S1184" s="69" t="inlineStr">
        <is>
          <t>Yes</t>
        </is>
      </c>
      <c r="T1184" s="73" t="n">
        <v>43252</v>
      </c>
      <c r="U1184" s="73" t="n">
        <v>47270</v>
      </c>
      <c r="V1184" s="73" t="n">
        <v>46905</v>
      </c>
      <c r="W1184" s="69" t="n"/>
      <c r="X1184" s="69" t="inlineStr">
        <is>
          <t>Current</t>
        </is>
      </c>
      <c r="Y1184" s="68" t="n"/>
      <c r="Z1184" s="69" t="inlineStr">
        <is>
          <t>No Defeasance Occurred</t>
        </is>
      </c>
      <c r="AA1184" s="69" t="n"/>
      <c r="AB1184" s="69" t="inlineStr">
        <is>
          <t>Never special serv</t>
        </is>
      </c>
      <c r="AC1184" s="73" t="n"/>
      <c r="AD1184" s="69" t="n"/>
      <c r="AE1184" s="69" t="n"/>
      <c r="AF1184" s="69" t="inlineStr">
        <is>
          <t>NY</t>
        </is>
      </c>
      <c r="AG1184" s="69" t="inlineStr">
        <is>
          <t>New York</t>
        </is>
      </c>
      <c r="AH1184" s="69" t="inlineStr">
        <is>
          <t>New York-Newark-Jersey City, NY-NJ</t>
        </is>
      </c>
      <c r="AI1184" s="69" t="inlineStr">
        <is>
          <t>Northeast / Mid-Atlantic</t>
        </is>
      </c>
      <c r="AJ1184" s="69" t="inlineStr">
        <is>
          <t>OF</t>
        </is>
      </c>
      <c r="AK1184" s="69" t="inlineStr">
        <is>
          <t>CBD</t>
        </is>
      </c>
      <c r="AL1184" s="68" t="n">
        <v>1</v>
      </c>
      <c r="AM1184" s="68" t="n"/>
      <c r="AN1184" s="68" t="n">
        <v>564004</v>
      </c>
      <c r="AO1184" s="69" t="inlineStr">
        <is>
          <t>1917</t>
        </is>
      </c>
      <c r="AP1184" s="70" t="n">
        <v>2009</v>
      </c>
      <c r="AQ1184" s="74" t="n">
        <v>2.39</v>
      </c>
      <c r="AR1184" s="74" t="n">
        <v>2.71</v>
      </c>
      <c r="AS1184" s="74" t="n">
        <v>56.1</v>
      </c>
      <c r="AT1184" s="74" t="n">
        <v>56.07</v>
      </c>
      <c r="AU1184" s="74" t="n">
        <v>56.1</v>
      </c>
      <c r="AV1184" s="74" t="n">
        <v>9.850150417</v>
      </c>
      <c r="AW1184" s="74" t="n">
        <v>11.824947512</v>
      </c>
      <c r="AX1184" s="75" t="n">
        <v>99</v>
      </c>
      <c r="AY1184" s="71" t="n">
        <v>428000000</v>
      </c>
      <c r="AZ1184" s="71" t="n">
        <v>428000000</v>
      </c>
      <c r="BA1184" s="71" t="n">
        <v>23640361</v>
      </c>
      <c r="BB1184" s="71" t="n">
        <v>13340771.81</v>
      </c>
      <c r="BC1184" s="69" t="inlineStr">
        <is>
          <t>Refinance</t>
        </is>
      </c>
      <c r="BD1184" s="69" t="inlineStr">
        <is>
          <t>N</t>
        </is>
      </c>
      <c r="BE1184" s="71" t="n">
        <v>190000000</v>
      </c>
      <c r="BF1184" s="71" t="n"/>
      <c r="BG1184" s="71" t="n"/>
      <c r="BH1184" s="71" t="n">
        <v>0</v>
      </c>
      <c r="BI1184" s="71" t="n">
        <v>0</v>
      </c>
      <c r="BJ1184" s="69" t="inlineStr">
        <is>
          <t>N</t>
        </is>
      </c>
      <c r="BK1184" s="69" t="inlineStr">
        <is>
          <t>The Ogilvy Group  Inc</t>
        </is>
      </c>
      <c r="BL1184" s="75" t="n">
        <v>99.18000000000001</v>
      </c>
      <c r="BM1184" s="73" t="n">
        <v>47299</v>
      </c>
      <c r="BN1184" s="69" t="inlineStr">
        <is>
          <t>Behrouz Ben Hakimian and Joe Hakimian</t>
        </is>
      </c>
      <c r="BO1184" s="69" t="inlineStr">
        <is>
          <t>JPMorgan Chase</t>
        </is>
      </c>
      <c r="BP1184" s="69" t="inlineStr">
        <is>
          <t>KeyBank National Association</t>
        </is>
      </c>
      <c r="BQ1184" s="69" t="inlineStr">
        <is>
          <t>K-Star Asset Management LLC</t>
        </is>
      </c>
      <c r="BR1184" s="69" t="n"/>
      <c r="BS1184" s="73" t="n">
        <v>46273</v>
      </c>
      <c r="BU1184" s="76">
        <f>IF($C1184="","",IFERROR(INDEX(dmName,MATCH($C1184,dmID,0)),"Unmapped"))</f>
        <v/>
      </c>
      <c r="BV1184" s="76">
        <f>IF($C1184="","",IFERROR(INDEX(dmEntity,MATCH($C1184,dmID,0)),"Unmapped"))</f>
        <v/>
      </c>
      <c r="BW1184" s="77">
        <f>IF($C1184="","",IFERROR(INDEX(dmVintage,MATCH($C1184,dmID,0)),""))</f>
        <v/>
      </c>
      <c r="BX1184" s="78">
        <f>IFERROR(INDEX(dmInclude,MATCH($C1184,dmID,0)),0)</f>
        <v/>
      </c>
      <c r="BY1184" s="78">
        <f>IF(N($I1184)&gt;0,1,0)</f>
        <v/>
      </c>
      <c r="BZ1184" s="76">
        <f>IF($AJ1184="","Other / Leased Fee",IFERROR(INDEX(mapPTGroup,MATCH(LEFT(TRIM($AJ1184),2),mapPTCode,0)),"Other / Leased Fee"))</f>
        <v/>
      </c>
      <c r="CA1184" s="76">
        <f>IF(TRIM($AF1184&amp;"")="","NR",LEFT(TRIM($AF1184),2))</f>
        <v/>
      </c>
      <c r="CB1184" s="76">
        <f>IFERROR(LOOKUP(2,1/(LEFT(TRIM($AI1184&amp;""),LEN(mapRegion))=mapRegion),mapRegion),"Not Reported")</f>
        <v/>
      </c>
      <c r="CC1184" s="76">
        <f>IF($BY1184=0,"",IF(TRIM($W1184&amp;"")="REO","REO",IF(TRIM($W1184&amp;"")="FC","Foreclosure",IF(TRIM($W1184&amp;"")="90+","90+ Days Delinquent",IF(TRIM($W1184&amp;"")="60","60 Days Delinquent",IF(TRIM($W1184&amp;"")="30","30 Days Delinquent",IF($X1184="Non-Performing Matured Balloon","Non-Performing Matured Balloon",IF(OR($X1184="Late Payment But Less Than 30 Days Delinquent",LEFT($X1184&amp;"",20)="Payment Not Received"),"Late / In Grace (&lt;30 Days)",IF($X1184="Performing Matured Balloon","Performing Matured Balloon","Current")))))))))</f>
        <v/>
      </c>
      <c r="CD1184" s="78">
        <f>IF(OR($CC1184="REO",$CC1184="Foreclosure",$CC1184="90+ Days Delinquent",$CC1184="60 Days Delinquent",$CC1184="30 Days Delinquent",$CC1184="Non-Performing Matured Balloon"),1,0)</f>
        <v/>
      </c>
      <c r="CE1184" s="76">
        <f>IF($AB1184="Currently special serv","Currently Specially Serviced",IF($AB1184="Returned to master serv","Previously Specially Serviced","Never Specially Serviced"))</f>
        <v/>
      </c>
      <c r="CF1184" s="78">
        <f>IF($CE1184="Currently Specially Serviced",1,0)</f>
        <v/>
      </c>
      <c r="CG1184" s="76">
        <f>IF($AA1184="Yes","Currently on Watchlist",IF($AA1184="Previously","Previously on Watchlist","Never on Watchlist"))</f>
        <v/>
      </c>
      <c r="CH1184" s="78">
        <f>IF($CG1184="Currently on Watchlist",1,0)</f>
        <v/>
      </c>
      <c r="CI1184" s="76">
        <f>IF($Z1184="Full Defeasance","Fully Defeased",IF($Z1184="Portion Of Loan Previously Defeased","Partially Defeased",IF($Z1184="Defeasance Not Allowable","Not Defeased (Not Permitted)","Not Defeased")))</f>
        <v/>
      </c>
      <c r="CJ1184" s="78">
        <f>IF($CI1184="Fully Defeased",1,0)</f>
        <v/>
      </c>
      <c r="CK1184" s="76">
        <f>IF($R1184="IO","Full IO",IF(LEFT($R1184&amp;"",7)="IO then","Partial IO","Amortizing"))</f>
        <v/>
      </c>
      <c r="CL1184" s="78">
        <f>IF($CK1184="Full IO",1,0)</f>
        <v/>
      </c>
      <c r="CM1184" s="78">
        <f>IF($CK1184="Partial IO",1,0)</f>
        <v/>
      </c>
      <c r="CN1184" s="76">
        <f>IF(LEFT($F1184&amp;"",10)="SPLIT_LOAN","Pari Passu Split","Standalone")</f>
        <v/>
      </c>
      <c r="CO1184" s="78">
        <f>IF($CN1184="Pari Passu Split",1,0)</f>
        <v/>
      </c>
      <c r="CP1184" s="77">
        <f>IF(ISNUMBER($T1184),YEAR($T1184),"")</f>
        <v/>
      </c>
      <c r="CQ1184" s="79">
        <f>IF(ISNUMBER($V1184),$V1184,IF(ISNUMBER($U1184),$U1184,""))</f>
        <v/>
      </c>
      <c r="CR1184" s="77">
        <f>IF(ISNUMBER($CQ1184),YEAR($CQ1184),"")</f>
        <v/>
      </c>
      <c r="CS1184" s="78">
        <f>IF(ISNUMBER($M1184),MAX(0,$M1184),IF(TRIM($M1184&amp;"")="matured",0,""))</f>
        <v/>
      </c>
      <c r="CT1184" s="78">
        <f>IF(AND(ISNUMBER($CS1184),N($CS1184)&lt;=mMatWindow),1,0)</f>
        <v/>
      </c>
      <c r="CU1184" s="80">
        <f>IF(ISNUMBER($J1184),$J1184/100,"")</f>
        <v/>
      </c>
      <c r="CV1184" s="81">
        <f>IF(ISNUMBER($AQ1184),$AQ1184,"")</f>
        <v/>
      </c>
      <c r="CW1184" s="81">
        <f>IF(ISNUMBER($AR1184),$AR1184,"")</f>
        <v/>
      </c>
      <c r="CX1184" s="82">
        <f>IF(ISNUMBER($AS1184),$AS1184/100,"")</f>
        <v/>
      </c>
      <c r="CY1184" s="82">
        <f>IF(ISNUMBER($AT1184),$AT1184/100,"")</f>
        <v/>
      </c>
      <c r="CZ1184" s="82">
        <f>IF(ISNUMBER($AU1184),$AU1184/100,"")</f>
        <v/>
      </c>
      <c r="DA1184" s="82">
        <f>IF(ISNUMBER($AV1184),$AV1184/100,"")</f>
        <v/>
      </c>
      <c r="DB1184" s="82">
        <f>IF(ISNUMBER($AW1184),$AW1184/100,"")</f>
        <v/>
      </c>
      <c r="DC1184" s="82">
        <f>IF(ISNUMBER($AX1184),$AX1184/100,"")</f>
        <v/>
      </c>
      <c r="DD1184" s="77">
        <f>IFERROR(VALUE(LEFT(TRIM($AO1184&amp;""),4)),"")</f>
        <v/>
      </c>
      <c r="DE1184" s="78">
        <f>IF(AND($BY1184=1,$BX1184=1,OR(fDeal="All Deals",$BU1184=fDeal),OR(fEntity="All Entities",$BV1184=fEntity),OR(fPType="All Property Types",$BZ1184=fPType),OR(fDefeased="Include",$CJ1184=0)),1,0)</f>
        <v/>
      </c>
      <c r="DF1184" s="83">
        <f>$DE1184*N($I1184)</f>
        <v/>
      </c>
      <c r="DG1184" s="78">
        <f>IF($DE1184=1,IF(COUNTIFS($F$8:$F1184,$F1184,$DE$8:$DE1184,1)=1,1,0),0)</f>
        <v/>
      </c>
      <c r="DH1184" s="83">
        <f>IF($DG1184=1,SUMIFS($DF$8:$DF$1600,$F$8:$F$1600,$F1184),0)</f>
        <v/>
      </c>
      <c r="DI1184" s="78">
        <f>IF($DG1184=1,COUNTIFS($F$8:$F$1600,$F1184,$DE$8:$DE$1600,1),0)</f>
        <v/>
      </c>
      <c r="DJ1184" s="84">
        <f>IF($DG1184=1,$DH1184+(100000-ROW())/mTieBreak,0)</f>
        <v/>
      </c>
    </row>
    <row r="1185">
      <c r="B1185" s="68" t="n">
        <v>7</v>
      </c>
      <c r="C1185" s="69" t="inlineStr">
        <is>
          <t>BCMK18B6</t>
        </is>
      </c>
      <c r="D1185" s="69" t="inlineStr">
        <is>
          <t>7.000</t>
        </is>
      </c>
      <c r="E1185" s="69" t="inlineStr">
        <is>
          <t>Town Park Commons</t>
        </is>
      </c>
      <c r="F1185" s="69" t="inlineStr">
        <is>
          <t>LNBCMK18B6-7.000</t>
        </is>
      </c>
      <c r="G1185" s="70" t="n"/>
      <c r="H1185" s="71" t="n">
        <v>47610000</v>
      </c>
      <c r="I1185" s="71" t="n">
        <v>0</v>
      </c>
      <c r="J1185" s="72" t="n">
        <v>4.861</v>
      </c>
      <c r="K1185" s="69" t="inlineStr">
        <is>
          <t>Fixed rate</t>
        </is>
      </c>
      <c r="L1185" s="68" t="n">
        <v>60</v>
      </c>
      <c r="M1185" s="68" t="n"/>
      <c r="N1185" s="68" t="n">
        <v>60</v>
      </c>
      <c r="O1185" s="68" t="n">
        <v>60</v>
      </c>
      <c r="P1185" s="68" t="n"/>
      <c r="Q1185" s="68" t="n"/>
      <c r="R1185" s="69" t="inlineStr">
        <is>
          <t>IO</t>
        </is>
      </c>
      <c r="S1185" s="69" t="inlineStr">
        <is>
          <t>Yes</t>
        </is>
      </c>
      <c r="T1185" s="73" t="n">
        <v>43344</v>
      </c>
      <c r="U1185" s="73" t="n">
        <v>45170</v>
      </c>
      <c r="V1185" s="73" t="n"/>
      <c r="W1185" s="69" t="n"/>
      <c r="X1185" s="69" t="inlineStr">
        <is>
          <t>Current</t>
        </is>
      </c>
      <c r="Y1185" s="68" t="n"/>
      <c r="Z1185" s="69" t="inlineStr">
        <is>
          <t>No Defeasance Occurred</t>
        </is>
      </c>
      <c r="AA1185" s="69" t="n"/>
      <c r="AB1185" s="69" t="inlineStr">
        <is>
          <t>Never special serv</t>
        </is>
      </c>
      <c r="AC1185" s="73" t="n"/>
      <c r="AD1185" s="69" t="n"/>
      <c r="AE1185" s="69" t="n"/>
      <c r="AF1185" s="69" t="inlineStr">
        <is>
          <t>GA</t>
        </is>
      </c>
      <c r="AG1185" s="69" t="inlineStr">
        <is>
          <t>Kennesaw</t>
        </is>
      </c>
      <c r="AH1185" s="69" t="inlineStr">
        <is>
          <t>Atlanta-Sandy Springs-Roswell, GA</t>
        </is>
      </c>
      <c r="AI1185" s="69" t="inlineStr">
        <is>
          <t>South / Atlantic</t>
        </is>
      </c>
      <c r="AJ1185" s="69" t="inlineStr">
        <is>
          <t>OF</t>
        </is>
      </c>
      <c r="AK1185" s="69" t="inlineStr">
        <is>
          <t>Suburban</t>
        </is>
      </c>
      <c r="AL1185" s="68" t="n">
        <v>1</v>
      </c>
      <c r="AM1185" s="68" t="n"/>
      <c r="AN1185" s="68" t="n">
        <v>350012</v>
      </c>
      <c r="AO1185" s="69" t="inlineStr">
        <is>
          <t>1996, 1998</t>
        </is>
      </c>
      <c r="AP1185" s="70" t="n">
        <v>1998</v>
      </c>
      <c r="AQ1185" s="74" t="n">
        <v>2.05</v>
      </c>
      <c r="AR1185" s="74" t="n">
        <v>2.13</v>
      </c>
      <c r="AS1185" s="74" t="n">
        <v>64.8</v>
      </c>
      <c r="AT1185" s="74" t="n"/>
      <c r="AU1185" s="74" t="n">
        <v>64.8</v>
      </c>
      <c r="AV1185" s="74" t="n">
        <v>10.097233774</v>
      </c>
      <c r="AW1185" s="74" t="n"/>
      <c r="AX1185" s="75" t="n">
        <v>97.28</v>
      </c>
      <c r="AY1185" s="71" t="n">
        <v>73500000</v>
      </c>
      <c r="AZ1185" s="71" t="n">
        <v>73500000</v>
      </c>
      <c r="BA1185" s="71" t="n">
        <v>4807293</v>
      </c>
      <c r="BB1185" s="71" t="n">
        <v>5000876.34</v>
      </c>
      <c r="BC1185" s="69" t="inlineStr">
        <is>
          <t>Acquisition</t>
        </is>
      </c>
      <c r="BD1185" s="69" t="inlineStr">
        <is>
          <t>N</t>
        </is>
      </c>
      <c r="BE1185" s="71" t="n"/>
      <c r="BF1185" s="71" t="n"/>
      <c r="BG1185" s="71" t="n"/>
      <c r="BH1185" s="71" t="n">
        <v>0</v>
      </c>
      <c r="BI1185" s="71" t="n">
        <v>0</v>
      </c>
      <c r="BJ1185" s="69" t="inlineStr">
        <is>
          <t>N</t>
        </is>
      </c>
      <c r="BK1185" s="69" t="inlineStr">
        <is>
          <t>Enercon Services, Inc.</t>
        </is>
      </c>
      <c r="BL1185" s="75" t="n">
        <v>24.87</v>
      </c>
      <c r="BM1185" s="73" t="n">
        <v>47756</v>
      </c>
      <c r="BN1185" s="69" t="inlineStr">
        <is>
          <t>Adventus US Opportunity LP</t>
        </is>
      </c>
      <c r="BO1185" s="69" t="inlineStr">
        <is>
          <t>JPMorgan Chase</t>
        </is>
      </c>
      <c r="BP1185" s="69" t="inlineStr">
        <is>
          <t>KeyBank National Association</t>
        </is>
      </c>
      <c r="BQ1185" s="69" t="inlineStr">
        <is>
          <t>Midland Loan Services</t>
        </is>
      </c>
      <c r="BR1185" s="69" t="inlineStr">
        <is>
          <t>Payoff With Yield Maintenance</t>
        </is>
      </c>
      <c r="BS1185" s="73" t="n">
        <v>44383</v>
      </c>
      <c r="BU1185" s="76">
        <f>IF($C1185="","",IFERROR(INDEX(dmName,MATCH($C1185,dmID,0)),"Unmapped"))</f>
        <v/>
      </c>
      <c r="BV1185" s="76">
        <f>IF($C1185="","",IFERROR(INDEX(dmEntity,MATCH($C1185,dmID,0)),"Unmapped"))</f>
        <v/>
      </c>
      <c r="BW1185" s="77">
        <f>IF($C1185="","",IFERROR(INDEX(dmVintage,MATCH($C1185,dmID,0)),""))</f>
        <v/>
      </c>
      <c r="BX1185" s="78">
        <f>IFERROR(INDEX(dmInclude,MATCH($C1185,dmID,0)),0)</f>
        <v/>
      </c>
      <c r="BY1185" s="78">
        <f>IF(N($I1185)&gt;0,1,0)</f>
        <v/>
      </c>
      <c r="BZ1185" s="76">
        <f>IF($AJ1185="","Other / Leased Fee",IFERROR(INDEX(mapPTGroup,MATCH(LEFT(TRIM($AJ1185),2),mapPTCode,0)),"Other / Leased Fee"))</f>
        <v/>
      </c>
      <c r="CA1185" s="76">
        <f>IF(TRIM($AF1185&amp;"")="","NR",LEFT(TRIM($AF1185),2))</f>
        <v/>
      </c>
      <c r="CB1185" s="76">
        <f>IFERROR(LOOKUP(2,1/(LEFT(TRIM($AI1185&amp;""),LEN(mapRegion))=mapRegion),mapRegion),"Not Reported")</f>
        <v/>
      </c>
      <c r="CC1185" s="76">
        <f>IF($BY1185=0,"",IF(TRIM($W1185&amp;"")="REO","REO",IF(TRIM($W1185&amp;"")="FC","Foreclosure",IF(TRIM($W1185&amp;"")="90+","90+ Days Delinquent",IF(TRIM($W1185&amp;"")="60","60 Days Delinquent",IF(TRIM($W1185&amp;"")="30","30 Days Delinquent",IF($X1185="Non-Performing Matured Balloon","Non-Performing Matured Balloon",IF(OR($X1185="Late Payment But Less Than 30 Days Delinquent",LEFT($X1185&amp;"",20)="Payment Not Received"),"Late / In Grace (&lt;30 Days)",IF($X1185="Performing Matured Balloon","Performing Matured Balloon","Current")))))))))</f>
        <v/>
      </c>
      <c r="CD1185" s="78">
        <f>IF(OR($CC1185="REO",$CC1185="Foreclosure",$CC1185="90+ Days Delinquent",$CC1185="60 Days Delinquent",$CC1185="30 Days Delinquent",$CC1185="Non-Performing Matured Balloon"),1,0)</f>
        <v/>
      </c>
      <c r="CE1185" s="76">
        <f>IF($AB1185="Currently special serv","Currently Specially Serviced",IF($AB1185="Returned to master serv","Previously Specially Serviced","Never Specially Serviced"))</f>
        <v/>
      </c>
      <c r="CF1185" s="78">
        <f>IF($CE1185="Currently Specially Serviced",1,0)</f>
        <v/>
      </c>
      <c r="CG1185" s="76">
        <f>IF($AA1185="Yes","Currently on Watchlist",IF($AA1185="Previously","Previously on Watchlist","Never on Watchlist"))</f>
        <v/>
      </c>
      <c r="CH1185" s="78">
        <f>IF($CG1185="Currently on Watchlist",1,0)</f>
        <v/>
      </c>
      <c r="CI1185" s="76">
        <f>IF($Z1185="Full Defeasance","Fully Defeased",IF($Z1185="Portion Of Loan Previously Defeased","Partially Defeased",IF($Z1185="Defeasance Not Allowable","Not Defeased (Not Permitted)","Not Defeased")))</f>
        <v/>
      </c>
      <c r="CJ1185" s="78">
        <f>IF($CI1185="Fully Defeased",1,0)</f>
        <v/>
      </c>
      <c r="CK1185" s="76">
        <f>IF($R1185="IO","Full IO",IF(LEFT($R1185&amp;"",7)="IO then","Partial IO","Amortizing"))</f>
        <v/>
      </c>
      <c r="CL1185" s="78">
        <f>IF($CK1185="Full IO",1,0)</f>
        <v/>
      </c>
      <c r="CM1185" s="78">
        <f>IF($CK1185="Partial IO",1,0)</f>
        <v/>
      </c>
      <c r="CN1185" s="76">
        <f>IF(LEFT($F1185&amp;"",10)="SPLIT_LOAN","Pari Passu Split","Standalone")</f>
        <v/>
      </c>
      <c r="CO1185" s="78">
        <f>IF($CN1185="Pari Passu Split",1,0)</f>
        <v/>
      </c>
      <c r="CP1185" s="77">
        <f>IF(ISNUMBER($T1185),YEAR($T1185),"")</f>
        <v/>
      </c>
      <c r="CQ1185" s="79">
        <f>IF(ISNUMBER($V1185),$V1185,IF(ISNUMBER($U1185),$U1185,""))</f>
        <v/>
      </c>
      <c r="CR1185" s="77">
        <f>IF(ISNUMBER($CQ1185),YEAR($CQ1185),"")</f>
        <v/>
      </c>
      <c r="CS1185" s="78">
        <f>IF(ISNUMBER($M1185),MAX(0,$M1185),IF(TRIM($M1185&amp;"")="matured",0,""))</f>
        <v/>
      </c>
      <c r="CT1185" s="78">
        <f>IF(AND(ISNUMBER($CS1185),N($CS1185)&lt;=mMatWindow),1,0)</f>
        <v/>
      </c>
      <c r="CU1185" s="80">
        <f>IF(ISNUMBER($J1185),$J1185/100,"")</f>
        <v/>
      </c>
      <c r="CV1185" s="81">
        <f>IF(ISNUMBER($AQ1185),$AQ1185,"")</f>
        <v/>
      </c>
      <c r="CW1185" s="81">
        <f>IF(ISNUMBER($AR1185),$AR1185,"")</f>
        <v/>
      </c>
      <c r="CX1185" s="82">
        <f>IF(ISNUMBER($AS1185),$AS1185/100,"")</f>
        <v/>
      </c>
      <c r="CY1185" s="82">
        <f>IF(ISNUMBER($AT1185),$AT1185/100,"")</f>
        <v/>
      </c>
      <c r="CZ1185" s="82">
        <f>IF(ISNUMBER($AU1185),$AU1185/100,"")</f>
        <v/>
      </c>
      <c r="DA1185" s="82">
        <f>IF(ISNUMBER($AV1185),$AV1185/100,"")</f>
        <v/>
      </c>
      <c r="DB1185" s="82">
        <f>IF(ISNUMBER($AW1185),$AW1185/100,"")</f>
        <v/>
      </c>
      <c r="DC1185" s="82">
        <f>IF(ISNUMBER($AX1185),$AX1185/100,"")</f>
        <v/>
      </c>
      <c r="DD1185" s="77">
        <f>IFERROR(VALUE(LEFT(TRIM($AO1185&amp;""),4)),"")</f>
        <v/>
      </c>
      <c r="DE1185" s="78">
        <f>IF(AND($BY1185=1,$BX1185=1,OR(fDeal="All Deals",$BU1185=fDeal),OR(fEntity="All Entities",$BV1185=fEntity),OR(fPType="All Property Types",$BZ1185=fPType),OR(fDefeased="Include",$CJ1185=0)),1,0)</f>
        <v/>
      </c>
      <c r="DF1185" s="83">
        <f>$DE1185*N($I1185)</f>
        <v/>
      </c>
      <c r="DG1185" s="78">
        <f>IF($DE1185=1,IF(COUNTIFS($F$8:$F1185,$F1185,$DE$8:$DE1185,1)=1,1,0),0)</f>
        <v/>
      </c>
      <c r="DH1185" s="83">
        <f>IF($DG1185=1,SUMIFS($DF$8:$DF$1600,$F$8:$F$1600,$F1185),0)</f>
        <v/>
      </c>
      <c r="DI1185" s="78">
        <f>IF($DG1185=1,COUNTIFS($F$8:$F$1600,$F1185,$DE$8:$DE$1600,1),0)</f>
        <v/>
      </c>
      <c r="DJ1185" s="84">
        <f>IF($DG1185=1,$DH1185+(100000-ROW())/mTieBreak,0)</f>
        <v/>
      </c>
    </row>
    <row r="1186">
      <c r="B1186" s="68" t="n">
        <v>8</v>
      </c>
      <c r="C1186" s="69" t="inlineStr">
        <is>
          <t>BCMK18B6</t>
        </is>
      </c>
      <c r="D1186" s="69" t="inlineStr">
        <is>
          <t>8.TR</t>
        </is>
      </c>
      <c r="E1186" s="69" t="inlineStr">
        <is>
          <t>Workspace - Trust</t>
        </is>
      </c>
      <c r="F1186" s="69" t="inlineStr">
        <is>
          <t>SPLIT_LOAN_01317</t>
        </is>
      </c>
      <c r="G1186" s="70" t="n">
        <v>1317</v>
      </c>
      <c r="H1186" s="71" t="n">
        <v>40000000</v>
      </c>
      <c r="I1186" s="71" t="n">
        <v>40000000</v>
      </c>
      <c r="J1186" s="72" t="n">
        <v>5.372</v>
      </c>
      <c r="K1186" s="69" t="inlineStr">
        <is>
          <t>Fixed rate</t>
        </is>
      </c>
      <c r="L1186" s="68" t="n">
        <v>86</v>
      </c>
      <c r="M1186" s="68" t="inlineStr">
        <is>
          <t>matured</t>
        </is>
      </c>
      <c r="N1186" s="68" t="n">
        <v>86</v>
      </c>
      <c r="O1186" s="68" t="n">
        <v>86</v>
      </c>
      <c r="P1186" s="68" t="n">
        <v>0</v>
      </c>
      <c r="Q1186" s="68" t="n">
        <v>100</v>
      </c>
      <c r="R1186" s="69" t="inlineStr">
        <is>
          <t>IO</t>
        </is>
      </c>
      <c r="S1186" s="69" t="inlineStr">
        <is>
          <t>Yes</t>
        </is>
      </c>
      <c r="T1186" s="73" t="n">
        <v>43221</v>
      </c>
      <c r="U1186" s="73" t="n">
        <v>45839</v>
      </c>
      <c r="V1186" s="73" t="n"/>
      <c r="W1186" s="69" t="inlineStr">
        <is>
          <t>FC</t>
        </is>
      </c>
      <c r="X1186" s="69" t="inlineStr">
        <is>
          <t>Non-Performing Matured Balloon</t>
        </is>
      </c>
      <c r="Y1186" s="68" t="n">
        <v>11</v>
      </c>
      <c r="Z1186" s="69" t="inlineStr">
        <is>
          <t>Defeasance Not Allowable</t>
        </is>
      </c>
      <c r="AA1186" s="69" t="inlineStr">
        <is>
          <t>Previously</t>
        </is>
      </c>
      <c r="AB1186" s="69" t="inlineStr">
        <is>
          <t>Currently special serv</t>
        </is>
      </c>
      <c r="AC1186" s="73" t="n">
        <v>45610</v>
      </c>
      <c r="AD1186" s="69" t="inlineStr">
        <is>
          <t>Imminent Monetary Default (Balloon/Maturity Default)</t>
        </is>
      </c>
      <c r="AE1186" s="69" t="inlineStr">
        <is>
          <t>Foreclosure</t>
        </is>
      </c>
      <c r="AF1186" s="69" t="inlineStr">
        <is>
          <t>PA-39.868081597% FL-34.349299663% MN-13.387679742% AZ-12.394938998%</t>
        </is>
      </c>
      <c r="AG1186" s="69" t="n"/>
      <c r="AH1186" s="69" t="inlineStr">
        <is>
          <t>Philadelphia-Camden-Wilmington, PA-NJ-DE-MD-39.868081597% Miami-Fort Lauderdale-West Palm Beach, FL-17.594589214% Tampa-St. Petersburg-Clearwater, FL-16.754710448% Minneapolis-St. Paul-Bloomington, MN-WI-13.387679742% Phoenix-Mesa-Chandler, AZ-12.394938998%</t>
        </is>
      </c>
      <c r="AI1186" s="69" t="inlineStr">
        <is>
          <t>Northeast / Mid-Atlantic-39.868081597% South / Atlantic-34.349299663% Midwest / Central West-13.387679742% West / Mountain-12.394938998%</t>
        </is>
      </c>
      <c r="AJ1186" s="69" t="inlineStr">
        <is>
          <t>MX</t>
        </is>
      </c>
      <c r="AK1186" s="69" t="n"/>
      <c r="AL1186" s="68" t="n">
        <v>1</v>
      </c>
      <c r="AM1186" s="68" t="n"/>
      <c r="AN1186" s="68" t="n">
        <v>9884763</v>
      </c>
      <c r="AO1186" s="69" t="n"/>
      <c r="AP1186" s="70" t="n">
        <v>2018</v>
      </c>
      <c r="AQ1186" s="74" t="n">
        <v>3.6</v>
      </c>
      <c r="AR1186" s="74" t="n">
        <v>1.81</v>
      </c>
      <c r="AS1186" s="74" t="n">
        <v>35.4</v>
      </c>
      <c r="AT1186" s="74" t="n">
        <v>40.36</v>
      </c>
      <c r="AU1186" s="74" t="n">
        <v>35.4</v>
      </c>
      <c r="AV1186" s="74" t="n">
        <v>19.510044076</v>
      </c>
      <c r="AW1186" s="74" t="n">
        <v>14.702248258</v>
      </c>
      <c r="AX1186" s="75" t="n">
        <v>75</v>
      </c>
      <c r="AY1186" s="71" t="n">
        <v>1634285000</v>
      </c>
      <c r="AZ1186" s="71" t="n">
        <v>1322445000</v>
      </c>
      <c r="BA1186" s="71" t="n">
        <v>112963155.2</v>
      </c>
      <c r="BB1186" s="71" t="n">
        <v>58728905.43</v>
      </c>
      <c r="BC1186" s="69" t="inlineStr">
        <is>
          <t>Refinance</t>
        </is>
      </c>
      <c r="BD1186" s="69" t="inlineStr">
        <is>
          <t>Y</t>
        </is>
      </c>
      <c r="BE1186" s="71" t="n">
        <v>493758349.97</v>
      </c>
      <c r="BF1186" s="71" t="n">
        <v>696000000</v>
      </c>
      <c r="BG1186" s="71" t="n"/>
      <c r="BH1186" s="71" t="n">
        <v>0</v>
      </c>
      <c r="BI1186" s="71" t="n">
        <v>2177630.63</v>
      </c>
      <c r="BJ1186" s="69" t="inlineStr">
        <is>
          <t>Y</t>
        </is>
      </c>
      <c r="BK1186" s="69" t="inlineStr">
        <is>
          <t>United HealthCare</t>
        </is>
      </c>
      <c r="BL1186" s="75" t="n">
        <v>4.24</v>
      </c>
      <c r="BM1186" s="73" t="n">
        <v>45747</v>
      </c>
      <c r="BN1186" s="69" t="inlineStr">
        <is>
          <t>Workspace Property Trust, L.P.</t>
        </is>
      </c>
      <c r="BO1186" s="69" t="inlineStr">
        <is>
          <t>JPMorgan Chase</t>
        </is>
      </c>
      <c r="BP1186" s="69" t="inlineStr">
        <is>
          <t>KeyBank National Association</t>
        </is>
      </c>
      <c r="BQ1186" s="69" t="inlineStr">
        <is>
          <t>KeyBank National Association</t>
        </is>
      </c>
      <c r="BR1186" s="69" t="n"/>
      <c r="BS1186" s="73" t="n">
        <v>46273</v>
      </c>
      <c r="BU1186" s="76">
        <f>IF($C1186="","",IFERROR(INDEX(dmName,MATCH($C1186,dmID,0)),"Unmapped"))</f>
        <v/>
      </c>
      <c r="BV1186" s="76">
        <f>IF($C1186="","",IFERROR(INDEX(dmEntity,MATCH($C1186,dmID,0)),"Unmapped"))</f>
        <v/>
      </c>
      <c r="BW1186" s="77">
        <f>IF($C1186="","",IFERROR(INDEX(dmVintage,MATCH($C1186,dmID,0)),""))</f>
        <v/>
      </c>
      <c r="BX1186" s="78">
        <f>IFERROR(INDEX(dmInclude,MATCH($C1186,dmID,0)),0)</f>
        <v/>
      </c>
      <c r="BY1186" s="78">
        <f>IF(N($I1186)&gt;0,1,0)</f>
        <v/>
      </c>
      <c r="BZ1186" s="76">
        <f>IF($AJ1186="","Other / Leased Fee",IFERROR(INDEX(mapPTGroup,MATCH(LEFT(TRIM($AJ1186),2),mapPTCode,0)),"Other / Leased Fee"))</f>
        <v/>
      </c>
      <c r="CA1186" s="76">
        <f>IF(TRIM($AF1186&amp;"")="","NR",LEFT(TRIM($AF1186),2))</f>
        <v/>
      </c>
      <c r="CB1186" s="76">
        <f>IFERROR(LOOKUP(2,1/(LEFT(TRIM($AI1186&amp;""),LEN(mapRegion))=mapRegion),mapRegion),"Not Reported")</f>
        <v/>
      </c>
      <c r="CC1186" s="76">
        <f>IF($BY1186=0,"",IF(TRIM($W1186&amp;"")="REO","REO",IF(TRIM($W1186&amp;"")="FC","Foreclosure",IF(TRIM($W1186&amp;"")="90+","90+ Days Delinquent",IF(TRIM($W1186&amp;"")="60","60 Days Delinquent",IF(TRIM($W1186&amp;"")="30","30 Days Delinquent",IF($X1186="Non-Performing Matured Balloon","Non-Performing Matured Balloon",IF(OR($X1186="Late Payment But Less Than 30 Days Delinquent",LEFT($X1186&amp;"",20)="Payment Not Received"),"Late / In Grace (&lt;30 Days)",IF($X1186="Performing Matured Balloon","Performing Matured Balloon","Current")))))))))</f>
        <v/>
      </c>
      <c r="CD1186" s="78">
        <f>IF(OR($CC1186="REO",$CC1186="Foreclosure",$CC1186="90+ Days Delinquent",$CC1186="60 Days Delinquent",$CC1186="30 Days Delinquent",$CC1186="Non-Performing Matured Balloon"),1,0)</f>
        <v/>
      </c>
      <c r="CE1186" s="76">
        <f>IF($AB1186="Currently special serv","Currently Specially Serviced",IF($AB1186="Returned to master serv","Previously Specially Serviced","Never Specially Serviced"))</f>
        <v/>
      </c>
      <c r="CF1186" s="78">
        <f>IF($CE1186="Currently Specially Serviced",1,0)</f>
        <v/>
      </c>
      <c r="CG1186" s="76">
        <f>IF($AA1186="Yes","Currently on Watchlist",IF($AA1186="Previously","Previously on Watchlist","Never on Watchlist"))</f>
        <v/>
      </c>
      <c r="CH1186" s="78">
        <f>IF($CG1186="Currently on Watchlist",1,0)</f>
        <v/>
      </c>
      <c r="CI1186" s="76">
        <f>IF($Z1186="Full Defeasance","Fully Defeased",IF($Z1186="Portion Of Loan Previously Defeased","Partially Defeased",IF($Z1186="Defeasance Not Allowable","Not Defeased (Not Permitted)","Not Defeased")))</f>
        <v/>
      </c>
      <c r="CJ1186" s="78">
        <f>IF($CI1186="Fully Defeased",1,0)</f>
        <v/>
      </c>
      <c r="CK1186" s="76">
        <f>IF($R1186="IO","Full IO",IF(LEFT($R1186&amp;"",7)="IO then","Partial IO","Amortizing"))</f>
        <v/>
      </c>
      <c r="CL1186" s="78">
        <f>IF($CK1186="Full IO",1,0)</f>
        <v/>
      </c>
      <c r="CM1186" s="78">
        <f>IF($CK1186="Partial IO",1,0)</f>
        <v/>
      </c>
      <c r="CN1186" s="76">
        <f>IF(LEFT($F1186&amp;"",10)="SPLIT_LOAN","Pari Passu Split","Standalone")</f>
        <v/>
      </c>
      <c r="CO1186" s="78">
        <f>IF($CN1186="Pari Passu Split",1,0)</f>
        <v/>
      </c>
      <c r="CP1186" s="77">
        <f>IF(ISNUMBER($T1186),YEAR($T1186),"")</f>
        <v/>
      </c>
      <c r="CQ1186" s="79">
        <f>IF(ISNUMBER($V1186),$V1186,IF(ISNUMBER($U1186),$U1186,""))</f>
        <v/>
      </c>
      <c r="CR1186" s="77">
        <f>IF(ISNUMBER($CQ1186),YEAR($CQ1186),"")</f>
        <v/>
      </c>
      <c r="CS1186" s="78">
        <f>IF(ISNUMBER($M1186),MAX(0,$M1186),IF(TRIM($M1186&amp;"")="matured",0,""))</f>
        <v/>
      </c>
      <c r="CT1186" s="78">
        <f>IF(AND(ISNUMBER($CS1186),N($CS1186)&lt;=mMatWindow),1,0)</f>
        <v/>
      </c>
      <c r="CU1186" s="80">
        <f>IF(ISNUMBER($J1186),$J1186/100,"")</f>
        <v/>
      </c>
      <c r="CV1186" s="81">
        <f>IF(ISNUMBER($AQ1186),$AQ1186,"")</f>
        <v/>
      </c>
      <c r="CW1186" s="81">
        <f>IF(ISNUMBER($AR1186),$AR1186,"")</f>
        <v/>
      </c>
      <c r="CX1186" s="82">
        <f>IF(ISNUMBER($AS1186),$AS1186/100,"")</f>
        <v/>
      </c>
      <c r="CY1186" s="82">
        <f>IF(ISNUMBER($AT1186),$AT1186/100,"")</f>
        <v/>
      </c>
      <c r="CZ1186" s="82">
        <f>IF(ISNUMBER($AU1186),$AU1186/100,"")</f>
        <v/>
      </c>
      <c r="DA1186" s="82">
        <f>IF(ISNUMBER($AV1186),$AV1186/100,"")</f>
        <v/>
      </c>
      <c r="DB1186" s="82">
        <f>IF(ISNUMBER($AW1186),$AW1186/100,"")</f>
        <v/>
      </c>
      <c r="DC1186" s="82">
        <f>IF(ISNUMBER($AX1186),$AX1186/100,"")</f>
        <v/>
      </c>
      <c r="DD1186" s="77">
        <f>IFERROR(VALUE(LEFT(TRIM($AO1186&amp;""),4)),"")</f>
        <v/>
      </c>
      <c r="DE1186" s="78">
        <f>IF(AND($BY1186=1,$BX1186=1,OR(fDeal="All Deals",$BU1186=fDeal),OR(fEntity="All Entities",$BV1186=fEntity),OR(fPType="All Property Types",$BZ1186=fPType),OR(fDefeased="Include",$CJ1186=0)),1,0)</f>
        <v/>
      </c>
      <c r="DF1186" s="83">
        <f>$DE1186*N($I1186)</f>
        <v/>
      </c>
      <c r="DG1186" s="78">
        <f>IF($DE1186=1,IF(COUNTIFS($F$8:$F1186,$F1186,$DE$8:$DE1186,1)=1,1,0),0)</f>
        <v/>
      </c>
      <c r="DH1186" s="83">
        <f>IF($DG1186=1,SUMIFS($DF$8:$DF$1600,$F$8:$F$1600,$F1186),0)</f>
        <v/>
      </c>
      <c r="DI1186" s="78">
        <f>IF($DG1186=1,COUNTIFS($F$8:$F$1600,$F1186,$DE$8:$DE$1600,1),0)</f>
        <v/>
      </c>
      <c r="DJ1186" s="84">
        <f>IF($DG1186=1,$DH1186+(100000-ROW())/mTieBreak,0)</f>
        <v/>
      </c>
    </row>
    <row r="1187">
      <c r="B1187" s="68" t="n">
        <v>9</v>
      </c>
      <c r="C1187" s="69" t="inlineStr">
        <is>
          <t>BCMK18B6</t>
        </is>
      </c>
      <c r="D1187" s="69" t="inlineStr">
        <is>
          <t>9.000</t>
        </is>
      </c>
      <c r="E1187" s="69" t="inlineStr">
        <is>
          <t>1800 Vine Street</t>
        </is>
      </c>
      <c r="F1187" s="69" t="inlineStr">
        <is>
          <t>LNBCMK18B6-9.000</t>
        </is>
      </c>
      <c r="G1187" s="70" t="n"/>
      <c r="H1187" s="71" t="n">
        <v>34900000</v>
      </c>
      <c r="I1187" s="71" t="n">
        <v>34900000</v>
      </c>
      <c r="J1187" s="72" t="n">
        <v>4.785</v>
      </c>
      <c r="K1187" s="69" t="inlineStr">
        <is>
          <t>Fixed rate</t>
        </is>
      </c>
      <c r="L1187" s="68" t="n">
        <v>120</v>
      </c>
      <c r="M1187" s="68" t="n">
        <v>22</v>
      </c>
      <c r="N1187" s="68" t="n">
        <v>120</v>
      </c>
      <c r="O1187" s="68" t="n">
        <v>120</v>
      </c>
      <c r="P1187" s="68" t="n">
        <v>22</v>
      </c>
      <c r="Q1187" s="68" t="n">
        <v>98</v>
      </c>
      <c r="R1187" s="69" t="inlineStr">
        <is>
          <t>IO</t>
        </is>
      </c>
      <c r="S1187" s="69" t="inlineStr">
        <is>
          <t>Yes</t>
        </is>
      </c>
      <c r="T1187" s="73" t="n">
        <v>43282</v>
      </c>
      <c r="U1187" s="73" t="n">
        <v>46940</v>
      </c>
      <c r="V1187" s="73" t="n"/>
      <c r="W1187" s="69" t="n"/>
      <c r="X1187" s="69" t="inlineStr">
        <is>
          <t>Current</t>
        </is>
      </c>
      <c r="Y1187" s="68" t="n"/>
      <c r="Z1187" s="69" t="inlineStr">
        <is>
          <t>No Defeasance Occurred</t>
        </is>
      </c>
      <c r="AA1187" s="69" t="inlineStr">
        <is>
          <t>Previously</t>
        </is>
      </c>
      <c r="AB1187" s="69" t="inlineStr">
        <is>
          <t>Never special serv</t>
        </is>
      </c>
      <c r="AC1187" s="73" t="n"/>
      <c r="AD1187" s="69" t="n"/>
      <c r="AE1187" s="69" t="n"/>
      <c r="AF1187" s="69" t="inlineStr">
        <is>
          <t>CA</t>
        </is>
      </c>
      <c r="AG1187" s="69" t="inlineStr">
        <is>
          <t>Los Angeles</t>
        </is>
      </c>
      <c r="AH1187" s="69" t="inlineStr">
        <is>
          <t>Los Angeles-Long Beach-Anaheim, CA</t>
        </is>
      </c>
      <c r="AI1187" s="69" t="inlineStr">
        <is>
          <t>West / Pacific South</t>
        </is>
      </c>
      <c r="AJ1187" s="69" t="inlineStr">
        <is>
          <t>OF</t>
        </is>
      </c>
      <c r="AK1187" s="69" t="inlineStr">
        <is>
          <t>Single Tenant</t>
        </is>
      </c>
      <c r="AL1187" s="68" t="n">
        <v>1</v>
      </c>
      <c r="AM1187" s="68" t="n"/>
      <c r="AN1187" s="68" t="n">
        <v>60684</v>
      </c>
      <c r="AO1187" s="69" t="inlineStr">
        <is>
          <t>1982</t>
        </is>
      </c>
      <c r="AP1187" s="70" t="n">
        <v>2018</v>
      </c>
      <c r="AQ1187" s="74" t="n">
        <v>1.85</v>
      </c>
      <c r="AR1187" s="74" t="n">
        <v>2.36</v>
      </c>
      <c r="AS1187" s="74" t="n">
        <v>72</v>
      </c>
      <c r="AT1187" s="74" t="n">
        <v>60.85</v>
      </c>
      <c r="AU1187" s="74" t="n">
        <v>72</v>
      </c>
      <c r="AV1187" s="74" t="n">
        <v>8.988905444</v>
      </c>
      <c r="AW1187" s="74" t="n">
        <v>11.097686476</v>
      </c>
      <c r="AX1187" s="75" t="n">
        <v>70</v>
      </c>
      <c r="AY1187" s="71" t="n">
        <v>48500000</v>
      </c>
      <c r="AZ1187" s="71" t="n">
        <v>57350000</v>
      </c>
      <c r="BA1187" s="71" t="n">
        <v>3137128</v>
      </c>
      <c r="BB1187" s="71" t="n">
        <v>4002084.37</v>
      </c>
      <c r="BC1187" s="69" t="inlineStr">
        <is>
          <t>Refinance</t>
        </is>
      </c>
      <c r="BD1187" s="69" t="inlineStr">
        <is>
          <t>N</t>
        </is>
      </c>
      <c r="BE1187" s="71" t="n"/>
      <c r="BF1187" s="71" t="n"/>
      <c r="BG1187" s="71" t="n"/>
      <c r="BH1187" s="71" t="n">
        <v>0</v>
      </c>
      <c r="BI1187" s="71" t="n">
        <v>0</v>
      </c>
      <c r="BJ1187" s="69" t="inlineStr">
        <is>
          <t>N</t>
        </is>
      </c>
      <c r="BK1187" s="69" t="inlineStr">
        <is>
          <t>Spaces</t>
        </is>
      </c>
      <c r="BL1187" s="75" t="n">
        <v>69.88</v>
      </c>
      <c r="BM1187" s="73" t="n">
        <v>51317</v>
      </c>
      <c r="BN1187" s="69" t="inlineStr">
        <is>
          <t>Sean Moghavem</t>
        </is>
      </c>
      <c r="BO1187" s="69" t="inlineStr">
        <is>
          <t>GACC</t>
        </is>
      </c>
      <c r="BP1187" s="69" t="inlineStr">
        <is>
          <t>KeyBank National Association</t>
        </is>
      </c>
      <c r="BQ1187" s="69" t="inlineStr">
        <is>
          <t>K-Star Asset Management LLC</t>
        </is>
      </c>
      <c r="BR1187" s="69" t="n"/>
      <c r="BS1187" s="73" t="n">
        <v>46273</v>
      </c>
      <c r="BU1187" s="76">
        <f>IF($C1187="","",IFERROR(INDEX(dmName,MATCH($C1187,dmID,0)),"Unmapped"))</f>
        <v/>
      </c>
      <c r="BV1187" s="76">
        <f>IF($C1187="","",IFERROR(INDEX(dmEntity,MATCH($C1187,dmID,0)),"Unmapped"))</f>
        <v/>
      </c>
      <c r="BW1187" s="77">
        <f>IF($C1187="","",IFERROR(INDEX(dmVintage,MATCH($C1187,dmID,0)),""))</f>
        <v/>
      </c>
      <c r="BX1187" s="78">
        <f>IFERROR(INDEX(dmInclude,MATCH($C1187,dmID,0)),0)</f>
        <v/>
      </c>
      <c r="BY1187" s="78">
        <f>IF(N($I1187)&gt;0,1,0)</f>
        <v/>
      </c>
      <c r="BZ1187" s="76">
        <f>IF($AJ1187="","Other / Leased Fee",IFERROR(INDEX(mapPTGroup,MATCH(LEFT(TRIM($AJ1187),2),mapPTCode,0)),"Other / Leased Fee"))</f>
        <v/>
      </c>
      <c r="CA1187" s="76">
        <f>IF(TRIM($AF1187&amp;"")="","NR",LEFT(TRIM($AF1187),2))</f>
        <v/>
      </c>
      <c r="CB1187" s="76">
        <f>IFERROR(LOOKUP(2,1/(LEFT(TRIM($AI1187&amp;""),LEN(mapRegion))=mapRegion),mapRegion),"Not Reported")</f>
        <v/>
      </c>
      <c r="CC1187" s="76">
        <f>IF($BY1187=0,"",IF(TRIM($W1187&amp;"")="REO","REO",IF(TRIM($W1187&amp;"")="FC","Foreclosure",IF(TRIM($W1187&amp;"")="90+","90+ Days Delinquent",IF(TRIM($W1187&amp;"")="60","60 Days Delinquent",IF(TRIM($W1187&amp;"")="30","30 Days Delinquent",IF($X1187="Non-Performing Matured Balloon","Non-Performing Matured Balloon",IF(OR($X1187="Late Payment But Less Than 30 Days Delinquent",LEFT($X1187&amp;"",20)="Payment Not Received"),"Late / In Grace (&lt;30 Days)",IF($X1187="Performing Matured Balloon","Performing Matured Balloon","Current")))))))))</f>
        <v/>
      </c>
      <c r="CD1187" s="78">
        <f>IF(OR($CC1187="REO",$CC1187="Foreclosure",$CC1187="90+ Days Delinquent",$CC1187="60 Days Delinquent",$CC1187="30 Days Delinquent",$CC1187="Non-Performing Matured Balloon"),1,0)</f>
        <v/>
      </c>
      <c r="CE1187" s="76">
        <f>IF($AB1187="Currently special serv","Currently Specially Serviced",IF($AB1187="Returned to master serv","Previously Specially Serviced","Never Specially Serviced"))</f>
        <v/>
      </c>
      <c r="CF1187" s="78">
        <f>IF($CE1187="Currently Specially Serviced",1,0)</f>
        <v/>
      </c>
      <c r="CG1187" s="76">
        <f>IF($AA1187="Yes","Currently on Watchlist",IF($AA1187="Previously","Previously on Watchlist","Never on Watchlist"))</f>
        <v/>
      </c>
      <c r="CH1187" s="78">
        <f>IF($CG1187="Currently on Watchlist",1,0)</f>
        <v/>
      </c>
      <c r="CI1187" s="76">
        <f>IF($Z1187="Full Defeasance","Fully Defeased",IF($Z1187="Portion Of Loan Previously Defeased","Partially Defeased",IF($Z1187="Defeasance Not Allowable","Not Defeased (Not Permitted)","Not Defeased")))</f>
        <v/>
      </c>
      <c r="CJ1187" s="78">
        <f>IF($CI1187="Fully Defeased",1,0)</f>
        <v/>
      </c>
      <c r="CK1187" s="76">
        <f>IF($R1187="IO","Full IO",IF(LEFT($R1187&amp;"",7)="IO then","Partial IO","Amortizing"))</f>
        <v/>
      </c>
      <c r="CL1187" s="78">
        <f>IF($CK1187="Full IO",1,0)</f>
        <v/>
      </c>
      <c r="CM1187" s="78">
        <f>IF($CK1187="Partial IO",1,0)</f>
        <v/>
      </c>
      <c r="CN1187" s="76">
        <f>IF(LEFT($F1187&amp;"",10)="SPLIT_LOAN","Pari Passu Split","Standalone")</f>
        <v/>
      </c>
      <c r="CO1187" s="78">
        <f>IF($CN1187="Pari Passu Split",1,0)</f>
        <v/>
      </c>
      <c r="CP1187" s="77">
        <f>IF(ISNUMBER($T1187),YEAR($T1187),"")</f>
        <v/>
      </c>
      <c r="CQ1187" s="79">
        <f>IF(ISNUMBER($V1187),$V1187,IF(ISNUMBER($U1187),$U1187,""))</f>
        <v/>
      </c>
      <c r="CR1187" s="77">
        <f>IF(ISNUMBER($CQ1187),YEAR($CQ1187),"")</f>
        <v/>
      </c>
      <c r="CS1187" s="78">
        <f>IF(ISNUMBER($M1187),MAX(0,$M1187),IF(TRIM($M1187&amp;"")="matured",0,""))</f>
        <v/>
      </c>
      <c r="CT1187" s="78">
        <f>IF(AND(ISNUMBER($CS1187),N($CS1187)&lt;=mMatWindow),1,0)</f>
        <v/>
      </c>
      <c r="CU1187" s="80">
        <f>IF(ISNUMBER($J1187),$J1187/100,"")</f>
        <v/>
      </c>
      <c r="CV1187" s="81">
        <f>IF(ISNUMBER($AQ1187),$AQ1187,"")</f>
        <v/>
      </c>
      <c r="CW1187" s="81">
        <f>IF(ISNUMBER($AR1187),$AR1187,"")</f>
        <v/>
      </c>
      <c r="CX1187" s="82">
        <f>IF(ISNUMBER($AS1187),$AS1187/100,"")</f>
        <v/>
      </c>
      <c r="CY1187" s="82">
        <f>IF(ISNUMBER($AT1187),$AT1187/100,"")</f>
        <v/>
      </c>
      <c r="CZ1187" s="82">
        <f>IF(ISNUMBER($AU1187),$AU1187/100,"")</f>
        <v/>
      </c>
      <c r="DA1187" s="82">
        <f>IF(ISNUMBER($AV1187),$AV1187/100,"")</f>
        <v/>
      </c>
      <c r="DB1187" s="82">
        <f>IF(ISNUMBER($AW1187),$AW1187/100,"")</f>
        <v/>
      </c>
      <c r="DC1187" s="82">
        <f>IF(ISNUMBER($AX1187),$AX1187/100,"")</f>
        <v/>
      </c>
      <c r="DD1187" s="77">
        <f>IFERROR(VALUE(LEFT(TRIM($AO1187&amp;""),4)),"")</f>
        <v/>
      </c>
      <c r="DE1187" s="78">
        <f>IF(AND($BY1187=1,$BX1187=1,OR(fDeal="All Deals",$BU1187=fDeal),OR(fEntity="All Entities",$BV1187=fEntity),OR(fPType="All Property Types",$BZ1187=fPType),OR(fDefeased="Include",$CJ1187=0)),1,0)</f>
        <v/>
      </c>
      <c r="DF1187" s="83">
        <f>$DE1187*N($I1187)</f>
        <v/>
      </c>
      <c r="DG1187" s="78">
        <f>IF($DE1187=1,IF(COUNTIFS($F$8:$F1187,$F1187,$DE$8:$DE1187,1)=1,1,0),0)</f>
        <v/>
      </c>
      <c r="DH1187" s="83">
        <f>IF($DG1187=1,SUMIFS($DF$8:$DF$1600,$F$8:$F$1600,$F1187),0)</f>
        <v/>
      </c>
      <c r="DI1187" s="78">
        <f>IF($DG1187=1,COUNTIFS($F$8:$F$1600,$F1187,$DE$8:$DE$1600,1),0)</f>
        <v/>
      </c>
      <c r="DJ1187" s="84">
        <f>IF($DG1187=1,$DH1187+(100000-ROW())/mTieBreak,0)</f>
        <v/>
      </c>
    </row>
    <row r="1188">
      <c r="B1188" s="68" t="n">
        <v>10</v>
      </c>
      <c r="C1188" s="69" t="inlineStr">
        <is>
          <t>BCMK18B6</t>
        </is>
      </c>
      <c r="D1188" s="69" t="inlineStr">
        <is>
          <t>10.000</t>
        </is>
      </c>
      <c r="E1188" s="69" t="inlineStr">
        <is>
          <t>One American Place</t>
        </is>
      </c>
      <c r="F1188" s="69" t="inlineStr">
        <is>
          <t>LNBCMK18B6-10.000</t>
        </is>
      </c>
      <c r="G1188" s="70" t="n"/>
      <c r="H1188" s="71" t="n">
        <v>31500000</v>
      </c>
      <c r="I1188" s="71" t="n">
        <v>21861720.8900055</v>
      </c>
      <c r="J1188" s="72" t="n">
        <v>5.342</v>
      </c>
      <c r="K1188" s="69" t="inlineStr">
        <is>
          <t>Fixed rate</t>
        </is>
      </c>
      <c r="L1188" s="68" t="n">
        <v>60</v>
      </c>
      <c r="M1188" s="68" t="inlineStr">
        <is>
          <t>matured</t>
        </is>
      </c>
      <c r="N1188" s="68" t="n">
        <v>360</v>
      </c>
      <c r="O1188" s="68" t="n"/>
      <c r="P1188" s="68" t="n"/>
      <c r="Q1188" s="68" t="n">
        <v>96</v>
      </c>
      <c r="R1188" s="69" t="n"/>
      <c r="S1188" s="69" t="inlineStr">
        <is>
          <t>No</t>
        </is>
      </c>
      <c r="T1188" s="73" t="n">
        <v>43344</v>
      </c>
      <c r="U1188" s="73" t="n">
        <v>45170</v>
      </c>
      <c r="V1188" s="73" t="n"/>
      <c r="W1188" s="69" t="inlineStr">
        <is>
          <t>REO</t>
        </is>
      </c>
      <c r="X1188" s="69" t="inlineStr">
        <is>
          <t>Non-Performing Matured Balloon</t>
        </is>
      </c>
      <c r="Y1188" s="68" t="n">
        <v>24</v>
      </c>
      <c r="Z1188" s="69" t="inlineStr">
        <is>
          <t>No Defeasance Occurred</t>
        </is>
      </c>
      <c r="AA1188" s="69" t="inlineStr">
        <is>
          <t>Previously</t>
        </is>
      </c>
      <c r="AB1188" s="69" t="inlineStr">
        <is>
          <t>Currently special serv</t>
        </is>
      </c>
      <c r="AC1188" s="73" t="n">
        <v>45160</v>
      </c>
      <c r="AD1188" s="69" t="inlineStr">
        <is>
          <t>Balloon Payment/Maturity Default</t>
        </is>
      </c>
      <c r="AE1188" s="69" t="inlineStr">
        <is>
          <t>REO</t>
        </is>
      </c>
      <c r="AF1188" s="69" t="inlineStr">
        <is>
          <t>LA</t>
        </is>
      </c>
      <c r="AG1188" s="69" t="inlineStr">
        <is>
          <t>Baton Rouge</t>
        </is>
      </c>
      <c r="AH1188" s="69" t="inlineStr">
        <is>
          <t>Baton Rouge, LA</t>
        </is>
      </c>
      <c r="AI1188" s="69" t="inlineStr">
        <is>
          <t>South / Central West</t>
        </is>
      </c>
      <c r="AJ1188" s="69" t="inlineStr">
        <is>
          <t>OF</t>
        </is>
      </c>
      <c r="AK1188" s="69" t="inlineStr">
        <is>
          <t>CBD</t>
        </is>
      </c>
      <c r="AL1188" s="68" t="n">
        <v>1</v>
      </c>
      <c r="AM1188" s="68" t="n"/>
      <c r="AN1188" s="68" t="n">
        <v>333084</v>
      </c>
      <c r="AO1188" s="69" t="inlineStr">
        <is>
          <t>1974</t>
        </is>
      </c>
      <c r="AP1188" s="70" t="n">
        <v>2003</v>
      </c>
      <c r="AQ1188" s="74" t="n">
        <v>1.55</v>
      </c>
      <c r="AR1188" s="74" t="n">
        <v>1.32</v>
      </c>
      <c r="AS1188" s="74" t="n">
        <v>72.3</v>
      </c>
      <c r="AT1188" s="74" t="n">
        <v>81.88</v>
      </c>
      <c r="AU1188" s="74" t="n">
        <v>67.09999999999999</v>
      </c>
      <c r="AV1188" s="74" t="n">
        <v>10.385161905</v>
      </c>
      <c r="AW1188" s="74" t="n">
        <v>12.988000461</v>
      </c>
      <c r="AX1188" s="75" t="n">
        <v>74</v>
      </c>
      <c r="AY1188" s="71" t="n">
        <v>43500000</v>
      </c>
      <c r="AZ1188" s="71" t="n">
        <v>26700000</v>
      </c>
      <c r="BA1188" s="71" t="n">
        <v>3271326</v>
      </c>
      <c r="BB1188" s="71" t="n">
        <v>2088857.9</v>
      </c>
      <c r="BC1188" s="69" t="inlineStr">
        <is>
          <t>Refinance</t>
        </is>
      </c>
      <c r="BD1188" s="69" t="inlineStr">
        <is>
          <t>N</t>
        </is>
      </c>
      <c r="BE1188" s="71" t="n"/>
      <c r="BF1188" s="71" t="n"/>
      <c r="BG1188" s="71" t="n"/>
      <c r="BH1188" s="71" t="n">
        <v>168207.04</v>
      </c>
      <c r="BI1188" s="71" t="n">
        <v>4383051.99</v>
      </c>
      <c r="BJ1188" s="69" t="inlineStr">
        <is>
          <t>N</t>
        </is>
      </c>
      <c r="BK1188" s="69" t="inlineStr">
        <is>
          <t>Breazeale</t>
        </is>
      </c>
      <c r="BL1188" s="75" t="n">
        <v>11.56</v>
      </c>
      <c r="BM1188" s="73" t="n">
        <v>47452</v>
      </c>
      <c r="BN1188" s="69" t="inlineStr">
        <is>
          <t>Gemini-Rosemont Realty LLC</t>
        </is>
      </c>
      <c r="BO1188" s="69" t="inlineStr">
        <is>
          <t>JPMorgan Chase</t>
        </is>
      </c>
      <c r="BP1188" s="69" t="inlineStr">
        <is>
          <t>KeyBank National Association</t>
        </is>
      </c>
      <c r="BQ1188" s="69" t="inlineStr">
        <is>
          <t>K-Star Asset Management LLC</t>
        </is>
      </c>
      <c r="BR1188" s="69" t="inlineStr">
        <is>
          <t>Partial Liquidation (Curtailment)</t>
        </is>
      </c>
      <c r="BS1188" s="73" t="n">
        <v>46273</v>
      </c>
      <c r="BU1188" s="76">
        <f>IF($C1188="","",IFERROR(INDEX(dmName,MATCH($C1188,dmID,0)),"Unmapped"))</f>
        <v/>
      </c>
      <c r="BV1188" s="76">
        <f>IF($C1188="","",IFERROR(INDEX(dmEntity,MATCH($C1188,dmID,0)),"Unmapped"))</f>
        <v/>
      </c>
      <c r="BW1188" s="77">
        <f>IF($C1188="","",IFERROR(INDEX(dmVintage,MATCH($C1188,dmID,0)),""))</f>
        <v/>
      </c>
      <c r="BX1188" s="78">
        <f>IFERROR(INDEX(dmInclude,MATCH($C1188,dmID,0)),0)</f>
        <v/>
      </c>
      <c r="BY1188" s="78">
        <f>IF(N($I1188)&gt;0,1,0)</f>
        <v/>
      </c>
      <c r="BZ1188" s="76">
        <f>IF($AJ1188="","Other / Leased Fee",IFERROR(INDEX(mapPTGroup,MATCH(LEFT(TRIM($AJ1188),2),mapPTCode,0)),"Other / Leased Fee"))</f>
        <v/>
      </c>
      <c r="CA1188" s="76">
        <f>IF(TRIM($AF1188&amp;"")="","NR",LEFT(TRIM($AF1188),2))</f>
        <v/>
      </c>
      <c r="CB1188" s="76">
        <f>IFERROR(LOOKUP(2,1/(LEFT(TRIM($AI1188&amp;""),LEN(mapRegion))=mapRegion),mapRegion),"Not Reported")</f>
        <v/>
      </c>
      <c r="CC1188" s="76">
        <f>IF($BY1188=0,"",IF(TRIM($W1188&amp;"")="REO","REO",IF(TRIM($W1188&amp;"")="FC","Foreclosure",IF(TRIM($W1188&amp;"")="90+","90+ Days Delinquent",IF(TRIM($W1188&amp;"")="60","60 Days Delinquent",IF(TRIM($W1188&amp;"")="30","30 Days Delinquent",IF($X1188="Non-Performing Matured Balloon","Non-Performing Matured Balloon",IF(OR($X1188="Late Payment But Less Than 30 Days Delinquent",LEFT($X1188&amp;"",20)="Payment Not Received"),"Late / In Grace (&lt;30 Days)",IF($X1188="Performing Matured Balloon","Performing Matured Balloon","Current")))))))))</f>
        <v/>
      </c>
      <c r="CD1188" s="78">
        <f>IF(OR($CC1188="REO",$CC1188="Foreclosure",$CC1188="90+ Days Delinquent",$CC1188="60 Days Delinquent",$CC1188="30 Days Delinquent",$CC1188="Non-Performing Matured Balloon"),1,0)</f>
        <v/>
      </c>
      <c r="CE1188" s="76">
        <f>IF($AB1188="Currently special serv","Currently Specially Serviced",IF($AB1188="Returned to master serv","Previously Specially Serviced","Never Specially Serviced"))</f>
        <v/>
      </c>
      <c r="CF1188" s="78">
        <f>IF($CE1188="Currently Specially Serviced",1,0)</f>
        <v/>
      </c>
      <c r="CG1188" s="76">
        <f>IF($AA1188="Yes","Currently on Watchlist",IF($AA1188="Previously","Previously on Watchlist","Never on Watchlist"))</f>
        <v/>
      </c>
      <c r="CH1188" s="78">
        <f>IF($CG1188="Currently on Watchlist",1,0)</f>
        <v/>
      </c>
      <c r="CI1188" s="76">
        <f>IF($Z1188="Full Defeasance","Fully Defeased",IF($Z1188="Portion Of Loan Previously Defeased","Partially Defeased",IF($Z1188="Defeasance Not Allowable","Not Defeased (Not Permitted)","Not Defeased")))</f>
        <v/>
      </c>
      <c r="CJ1188" s="78">
        <f>IF($CI1188="Fully Defeased",1,0)</f>
        <v/>
      </c>
      <c r="CK1188" s="76">
        <f>IF($R1188="IO","Full IO",IF(LEFT($R1188&amp;"",7)="IO then","Partial IO","Amortizing"))</f>
        <v/>
      </c>
      <c r="CL1188" s="78">
        <f>IF($CK1188="Full IO",1,0)</f>
        <v/>
      </c>
      <c r="CM1188" s="78">
        <f>IF($CK1188="Partial IO",1,0)</f>
        <v/>
      </c>
      <c r="CN1188" s="76">
        <f>IF(LEFT($F1188&amp;"",10)="SPLIT_LOAN","Pari Passu Split","Standalone")</f>
        <v/>
      </c>
      <c r="CO1188" s="78">
        <f>IF($CN1188="Pari Passu Split",1,0)</f>
        <v/>
      </c>
      <c r="CP1188" s="77">
        <f>IF(ISNUMBER($T1188),YEAR($T1188),"")</f>
        <v/>
      </c>
      <c r="CQ1188" s="79">
        <f>IF(ISNUMBER($V1188),$V1188,IF(ISNUMBER($U1188),$U1188,""))</f>
        <v/>
      </c>
      <c r="CR1188" s="77">
        <f>IF(ISNUMBER($CQ1188),YEAR($CQ1188),"")</f>
        <v/>
      </c>
      <c r="CS1188" s="78">
        <f>IF(ISNUMBER($M1188),MAX(0,$M1188),IF(TRIM($M1188&amp;"")="matured",0,""))</f>
        <v/>
      </c>
      <c r="CT1188" s="78">
        <f>IF(AND(ISNUMBER($CS1188),N($CS1188)&lt;=mMatWindow),1,0)</f>
        <v/>
      </c>
      <c r="CU1188" s="80">
        <f>IF(ISNUMBER($J1188),$J1188/100,"")</f>
        <v/>
      </c>
      <c r="CV1188" s="81">
        <f>IF(ISNUMBER($AQ1188),$AQ1188,"")</f>
        <v/>
      </c>
      <c r="CW1188" s="81">
        <f>IF(ISNUMBER($AR1188),$AR1188,"")</f>
        <v/>
      </c>
      <c r="CX1188" s="82">
        <f>IF(ISNUMBER($AS1188),$AS1188/100,"")</f>
        <v/>
      </c>
      <c r="CY1188" s="82">
        <f>IF(ISNUMBER($AT1188),$AT1188/100,"")</f>
        <v/>
      </c>
      <c r="CZ1188" s="82">
        <f>IF(ISNUMBER($AU1188),$AU1188/100,"")</f>
        <v/>
      </c>
      <c r="DA1188" s="82">
        <f>IF(ISNUMBER($AV1188),$AV1188/100,"")</f>
        <v/>
      </c>
      <c r="DB1188" s="82">
        <f>IF(ISNUMBER($AW1188),$AW1188/100,"")</f>
        <v/>
      </c>
      <c r="DC1188" s="82">
        <f>IF(ISNUMBER($AX1188),$AX1188/100,"")</f>
        <v/>
      </c>
      <c r="DD1188" s="77">
        <f>IFERROR(VALUE(LEFT(TRIM($AO1188&amp;""),4)),"")</f>
        <v/>
      </c>
      <c r="DE1188" s="78">
        <f>IF(AND($BY1188=1,$BX1188=1,OR(fDeal="All Deals",$BU1188=fDeal),OR(fEntity="All Entities",$BV1188=fEntity),OR(fPType="All Property Types",$BZ1188=fPType),OR(fDefeased="Include",$CJ1188=0)),1,0)</f>
        <v/>
      </c>
      <c r="DF1188" s="83">
        <f>$DE1188*N($I1188)</f>
        <v/>
      </c>
      <c r="DG1188" s="78">
        <f>IF($DE1188=1,IF(COUNTIFS($F$8:$F1188,$F1188,$DE$8:$DE1188,1)=1,1,0),0)</f>
        <v/>
      </c>
      <c r="DH1188" s="83">
        <f>IF($DG1188=1,SUMIFS($DF$8:$DF$1600,$F$8:$F$1600,$F1188),0)</f>
        <v/>
      </c>
      <c r="DI1188" s="78">
        <f>IF($DG1188=1,COUNTIFS($F$8:$F$1600,$F1188,$DE$8:$DE$1600,1),0)</f>
        <v/>
      </c>
      <c r="DJ1188" s="84">
        <f>IF($DG1188=1,$DH1188+(100000-ROW())/mTieBreak,0)</f>
        <v/>
      </c>
    </row>
    <row r="1189">
      <c r="B1189" s="68" t="n">
        <v>11</v>
      </c>
      <c r="C1189" s="69" t="inlineStr">
        <is>
          <t>BCMK18B6</t>
        </is>
      </c>
      <c r="D1189" s="69" t="inlineStr">
        <is>
          <t>11.TR</t>
        </is>
      </c>
      <c r="E1189" s="69" t="inlineStr">
        <is>
          <t>TriBeCa House - Trust</t>
        </is>
      </c>
      <c r="F1189" s="69" t="inlineStr">
        <is>
          <t>SPLIT_LOAN_01288</t>
        </is>
      </c>
      <c r="G1189" s="70" t="n">
        <v>1288</v>
      </c>
      <c r="H1189" s="71" t="n">
        <v>30000000</v>
      </c>
      <c r="I1189" s="71" t="n">
        <v>30000000</v>
      </c>
      <c r="J1189" s="72" t="n">
        <v>3.919</v>
      </c>
      <c r="K1189" s="69" t="inlineStr">
        <is>
          <t>Fixed rate</t>
        </is>
      </c>
      <c r="L1189" s="68" t="n">
        <v>120</v>
      </c>
      <c r="M1189" s="68" t="n">
        <v>18</v>
      </c>
      <c r="N1189" s="68" t="n">
        <v>120</v>
      </c>
      <c r="O1189" s="68" t="n">
        <v>120</v>
      </c>
      <c r="P1189" s="68" t="n">
        <v>18</v>
      </c>
      <c r="Q1189" s="68" t="n">
        <v>102</v>
      </c>
      <c r="R1189" s="69" t="inlineStr">
        <is>
          <t>IO</t>
        </is>
      </c>
      <c r="S1189" s="69" t="inlineStr">
        <is>
          <t>Yes</t>
        </is>
      </c>
      <c r="T1189" s="73" t="n">
        <v>43160</v>
      </c>
      <c r="U1189" s="73" t="n">
        <v>46818</v>
      </c>
      <c r="V1189" s="73" t="n"/>
      <c r="W1189" s="69" t="n"/>
      <c r="X1189" s="69" t="inlineStr">
        <is>
          <t>Current</t>
        </is>
      </c>
      <c r="Y1189" s="68" t="n"/>
      <c r="Z1189" s="69" t="inlineStr">
        <is>
          <t>No Defeasance Occurred</t>
        </is>
      </c>
      <c r="AA1189" s="69" t="n"/>
      <c r="AB1189" s="69" t="inlineStr">
        <is>
          <t>Never special serv</t>
        </is>
      </c>
      <c r="AC1189" s="73" t="n"/>
      <c r="AD1189" s="69" t="n"/>
      <c r="AE1189" s="69" t="n"/>
      <c r="AF1189" s="69" t="inlineStr">
        <is>
          <t>NY</t>
        </is>
      </c>
      <c r="AG1189" s="69" t="n"/>
      <c r="AH1189" s="69" t="inlineStr">
        <is>
          <t>New York-Newark-Jersey City, NY-NJ</t>
        </is>
      </c>
      <c r="AI1189" s="69" t="inlineStr">
        <is>
          <t>Northeast / Mid-Atlantic</t>
        </is>
      </c>
      <c r="AJ1189" s="69" t="inlineStr">
        <is>
          <t>MF</t>
        </is>
      </c>
      <c r="AK1189" s="69" t="inlineStr">
        <is>
          <t>High Rise</t>
        </is>
      </c>
      <c r="AL1189" s="68" t="n">
        <v>1</v>
      </c>
      <c r="AM1189" s="68" t="n">
        <v>503</v>
      </c>
      <c r="AN1189" s="68" t="n"/>
      <c r="AO1189" s="69" t="n"/>
      <c r="AP1189" s="70" t="n">
        <v>2017</v>
      </c>
      <c r="AQ1189" s="74" t="n">
        <v>2.43</v>
      </c>
      <c r="AR1189" s="74" t="n">
        <v>3.04</v>
      </c>
      <c r="AS1189" s="74" t="n">
        <v>32.8</v>
      </c>
      <c r="AT1189" s="74" t="n">
        <v>32.76</v>
      </c>
      <c r="AU1189" s="74" t="n">
        <v>32.8</v>
      </c>
      <c r="AV1189" s="74" t="n">
        <v>9.674960526</v>
      </c>
      <c r="AW1189" s="74" t="n">
        <v>11.206781537</v>
      </c>
      <c r="AX1189" s="75" t="n">
        <v>97</v>
      </c>
      <c r="AY1189" s="71" t="n">
        <v>580000000</v>
      </c>
      <c r="AZ1189" s="71" t="n">
        <v>580000000</v>
      </c>
      <c r="BA1189" s="71" t="n">
        <v>18382425</v>
      </c>
      <c r="BB1189" s="71" t="n">
        <v>24584156.78</v>
      </c>
      <c r="BC1189" s="69" t="inlineStr">
        <is>
          <t>Refinance</t>
        </is>
      </c>
      <c r="BD1189" s="69" t="inlineStr">
        <is>
          <t>N</t>
        </is>
      </c>
      <c r="BE1189" s="71" t="n">
        <v>160000000</v>
      </c>
      <c r="BF1189" s="71" t="n">
        <v>67000000</v>
      </c>
      <c r="BG1189" s="71" t="n">
        <v>103000000</v>
      </c>
      <c r="BH1189" s="71" t="n">
        <v>0</v>
      </c>
      <c r="BI1189" s="71" t="n">
        <v>0</v>
      </c>
      <c r="BJ1189" s="69" t="inlineStr">
        <is>
          <t>N</t>
        </is>
      </c>
      <c r="BK1189" s="69" t="n"/>
      <c r="BL1189" s="75" t="n"/>
      <c r="BM1189" s="73" t="n"/>
      <c r="BN1189" s="69" t="inlineStr">
        <is>
          <t>Clipper Realty Inc.</t>
        </is>
      </c>
      <c r="BO1189" s="69" t="inlineStr">
        <is>
          <t>GACC</t>
        </is>
      </c>
      <c r="BP1189" s="69" t="inlineStr">
        <is>
          <t>KeyBank National Association</t>
        </is>
      </c>
      <c r="BQ1189" s="69" t="inlineStr">
        <is>
          <t>K-Star Asset Management LLC</t>
        </is>
      </c>
      <c r="BR1189" s="69" t="n"/>
      <c r="BS1189" s="73" t="n">
        <v>46273</v>
      </c>
      <c r="BU1189" s="76">
        <f>IF($C1189="","",IFERROR(INDEX(dmName,MATCH($C1189,dmID,0)),"Unmapped"))</f>
        <v/>
      </c>
      <c r="BV1189" s="76">
        <f>IF($C1189="","",IFERROR(INDEX(dmEntity,MATCH($C1189,dmID,0)),"Unmapped"))</f>
        <v/>
      </c>
      <c r="BW1189" s="77">
        <f>IF($C1189="","",IFERROR(INDEX(dmVintage,MATCH($C1189,dmID,0)),""))</f>
        <v/>
      </c>
      <c r="BX1189" s="78">
        <f>IFERROR(INDEX(dmInclude,MATCH($C1189,dmID,0)),0)</f>
        <v/>
      </c>
      <c r="BY1189" s="78">
        <f>IF(N($I1189)&gt;0,1,0)</f>
        <v/>
      </c>
      <c r="BZ1189" s="76">
        <f>IF($AJ1189="","Other / Leased Fee",IFERROR(INDEX(mapPTGroup,MATCH(LEFT(TRIM($AJ1189),2),mapPTCode,0)),"Other / Leased Fee"))</f>
        <v/>
      </c>
      <c r="CA1189" s="76">
        <f>IF(TRIM($AF1189&amp;"")="","NR",LEFT(TRIM($AF1189),2))</f>
        <v/>
      </c>
      <c r="CB1189" s="76">
        <f>IFERROR(LOOKUP(2,1/(LEFT(TRIM($AI1189&amp;""),LEN(mapRegion))=mapRegion),mapRegion),"Not Reported")</f>
        <v/>
      </c>
      <c r="CC1189" s="76">
        <f>IF($BY1189=0,"",IF(TRIM($W1189&amp;"")="REO","REO",IF(TRIM($W1189&amp;"")="FC","Foreclosure",IF(TRIM($W1189&amp;"")="90+","90+ Days Delinquent",IF(TRIM($W1189&amp;"")="60","60 Days Delinquent",IF(TRIM($W1189&amp;"")="30","30 Days Delinquent",IF($X1189="Non-Performing Matured Balloon","Non-Performing Matured Balloon",IF(OR($X1189="Late Payment But Less Than 30 Days Delinquent",LEFT($X1189&amp;"",20)="Payment Not Received"),"Late / In Grace (&lt;30 Days)",IF($X1189="Performing Matured Balloon","Performing Matured Balloon","Current")))))))))</f>
        <v/>
      </c>
      <c r="CD1189" s="78">
        <f>IF(OR($CC1189="REO",$CC1189="Foreclosure",$CC1189="90+ Days Delinquent",$CC1189="60 Days Delinquent",$CC1189="30 Days Delinquent",$CC1189="Non-Performing Matured Balloon"),1,0)</f>
        <v/>
      </c>
      <c r="CE1189" s="76">
        <f>IF($AB1189="Currently special serv","Currently Specially Serviced",IF($AB1189="Returned to master serv","Previously Specially Serviced","Never Specially Serviced"))</f>
        <v/>
      </c>
      <c r="CF1189" s="78">
        <f>IF($CE1189="Currently Specially Serviced",1,0)</f>
        <v/>
      </c>
      <c r="CG1189" s="76">
        <f>IF($AA1189="Yes","Currently on Watchlist",IF($AA1189="Previously","Previously on Watchlist","Never on Watchlist"))</f>
        <v/>
      </c>
      <c r="CH1189" s="78">
        <f>IF($CG1189="Currently on Watchlist",1,0)</f>
        <v/>
      </c>
      <c r="CI1189" s="76">
        <f>IF($Z1189="Full Defeasance","Fully Defeased",IF($Z1189="Portion Of Loan Previously Defeased","Partially Defeased",IF($Z1189="Defeasance Not Allowable","Not Defeased (Not Permitted)","Not Defeased")))</f>
        <v/>
      </c>
      <c r="CJ1189" s="78">
        <f>IF($CI1189="Fully Defeased",1,0)</f>
        <v/>
      </c>
      <c r="CK1189" s="76">
        <f>IF($R1189="IO","Full IO",IF(LEFT($R1189&amp;"",7)="IO then","Partial IO","Amortizing"))</f>
        <v/>
      </c>
      <c r="CL1189" s="78">
        <f>IF($CK1189="Full IO",1,0)</f>
        <v/>
      </c>
      <c r="CM1189" s="78">
        <f>IF($CK1189="Partial IO",1,0)</f>
        <v/>
      </c>
      <c r="CN1189" s="76">
        <f>IF(LEFT($F1189&amp;"",10)="SPLIT_LOAN","Pari Passu Split","Standalone")</f>
        <v/>
      </c>
      <c r="CO1189" s="78">
        <f>IF($CN1189="Pari Passu Split",1,0)</f>
        <v/>
      </c>
      <c r="CP1189" s="77">
        <f>IF(ISNUMBER($T1189),YEAR($T1189),"")</f>
        <v/>
      </c>
      <c r="CQ1189" s="79">
        <f>IF(ISNUMBER($V1189),$V1189,IF(ISNUMBER($U1189),$U1189,""))</f>
        <v/>
      </c>
      <c r="CR1189" s="77">
        <f>IF(ISNUMBER($CQ1189),YEAR($CQ1189),"")</f>
        <v/>
      </c>
      <c r="CS1189" s="78">
        <f>IF(ISNUMBER($M1189),MAX(0,$M1189),IF(TRIM($M1189&amp;"")="matured",0,""))</f>
        <v/>
      </c>
      <c r="CT1189" s="78">
        <f>IF(AND(ISNUMBER($CS1189),N($CS1189)&lt;=mMatWindow),1,0)</f>
        <v/>
      </c>
      <c r="CU1189" s="80">
        <f>IF(ISNUMBER($J1189),$J1189/100,"")</f>
        <v/>
      </c>
      <c r="CV1189" s="81">
        <f>IF(ISNUMBER($AQ1189),$AQ1189,"")</f>
        <v/>
      </c>
      <c r="CW1189" s="81">
        <f>IF(ISNUMBER($AR1189),$AR1189,"")</f>
        <v/>
      </c>
      <c r="CX1189" s="82">
        <f>IF(ISNUMBER($AS1189),$AS1189/100,"")</f>
        <v/>
      </c>
      <c r="CY1189" s="82">
        <f>IF(ISNUMBER($AT1189),$AT1189/100,"")</f>
        <v/>
      </c>
      <c r="CZ1189" s="82">
        <f>IF(ISNUMBER($AU1189),$AU1189/100,"")</f>
        <v/>
      </c>
      <c r="DA1189" s="82">
        <f>IF(ISNUMBER($AV1189),$AV1189/100,"")</f>
        <v/>
      </c>
      <c r="DB1189" s="82">
        <f>IF(ISNUMBER($AW1189),$AW1189/100,"")</f>
        <v/>
      </c>
      <c r="DC1189" s="82">
        <f>IF(ISNUMBER($AX1189),$AX1189/100,"")</f>
        <v/>
      </c>
      <c r="DD1189" s="77">
        <f>IFERROR(VALUE(LEFT(TRIM($AO1189&amp;""),4)),"")</f>
        <v/>
      </c>
      <c r="DE1189" s="78">
        <f>IF(AND($BY1189=1,$BX1189=1,OR(fDeal="All Deals",$BU1189=fDeal),OR(fEntity="All Entities",$BV1189=fEntity),OR(fPType="All Property Types",$BZ1189=fPType),OR(fDefeased="Include",$CJ1189=0)),1,0)</f>
        <v/>
      </c>
      <c r="DF1189" s="83">
        <f>$DE1189*N($I1189)</f>
        <v/>
      </c>
      <c r="DG1189" s="78">
        <f>IF($DE1189=1,IF(COUNTIFS($F$8:$F1189,$F1189,$DE$8:$DE1189,1)=1,1,0),0)</f>
        <v/>
      </c>
      <c r="DH1189" s="83">
        <f>IF($DG1189=1,SUMIFS($DF$8:$DF$1600,$F$8:$F$1600,$F1189),0)</f>
        <v/>
      </c>
      <c r="DI1189" s="78">
        <f>IF($DG1189=1,COUNTIFS($F$8:$F$1600,$F1189,$DE$8:$DE$1600,1),0)</f>
        <v/>
      </c>
      <c r="DJ1189" s="84">
        <f>IF($DG1189=1,$DH1189+(100000-ROW())/mTieBreak,0)</f>
        <v/>
      </c>
    </row>
    <row r="1190">
      <c r="B1190" s="68" t="n">
        <v>12</v>
      </c>
      <c r="C1190" s="69" t="inlineStr">
        <is>
          <t>BCMK18B6</t>
        </is>
      </c>
      <c r="D1190" s="69" t="inlineStr">
        <is>
          <t>12.000</t>
        </is>
      </c>
      <c r="E1190" s="69" t="inlineStr">
        <is>
          <t>Overland Park Xchange</t>
        </is>
      </c>
      <c r="F1190" s="69" t="inlineStr">
        <is>
          <t>SPLIT_LOAN_01325</t>
        </is>
      </c>
      <c r="G1190" s="70" t="n">
        <v>1325</v>
      </c>
      <c r="H1190" s="71" t="n">
        <v>28000000</v>
      </c>
      <c r="I1190" s="71" t="n">
        <v>28000000</v>
      </c>
      <c r="J1190" s="72" t="n">
        <v>4.7</v>
      </c>
      <c r="K1190" s="69" t="inlineStr">
        <is>
          <t>Fixed rate</t>
        </is>
      </c>
      <c r="L1190" s="68" t="n">
        <v>120</v>
      </c>
      <c r="M1190" s="68" t="n">
        <v>22</v>
      </c>
      <c r="N1190" s="68" t="n">
        <v>120</v>
      </c>
      <c r="O1190" s="68" t="n">
        <v>120</v>
      </c>
      <c r="P1190" s="68" t="n">
        <v>22</v>
      </c>
      <c r="Q1190" s="68" t="n">
        <v>98</v>
      </c>
      <c r="R1190" s="69" t="inlineStr">
        <is>
          <t>IO</t>
        </is>
      </c>
      <c r="S1190" s="69" t="inlineStr">
        <is>
          <t>Yes</t>
        </is>
      </c>
      <c r="T1190" s="73" t="n">
        <v>43282</v>
      </c>
      <c r="U1190" s="73" t="n">
        <v>46935</v>
      </c>
      <c r="V1190" s="73" t="n"/>
      <c r="W1190" s="69" t="n"/>
      <c r="X1190" s="69" t="inlineStr">
        <is>
          <t>Current</t>
        </is>
      </c>
      <c r="Y1190" s="68" t="n"/>
      <c r="Z1190" s="69" t="inlineStr">
        <is>
          <t>Defeasance Not Allowable</t>
        </is>
      </c>
      <c r="AA1190" s="69" t="inlineStr">
        <is>
          <t>Yes</t>
        </is>
      </c>
      <c r="AB1190" s="69" t="inlineStr">
        <is>
          <t>Never special serv</t>
        </is>
      </c>
      <c r="AC1190" s="73" t="n"/>
      <c r="AD1190" s="69" t="n"/>
      <c r="AE1190" s="69" t="n"/>
      <c r="AF1190" s="69" t="inlineStr">
        <is>
          <t>KS</t>
        </is>
      </c>
      <c r="AG1190" s="69" t="inlineStr">
        <is>
          <t>Overland Park</t>
        </is>
      </c>
      <c r="AH1190" s="69" t="inlineStr">
        <is>
          <t>Kansas City, MO-KS</t>
        </is>
      </c>
      <c r="AI1190" s="69" t="inlineStr">
        <is>
          <t>Midwest / Central West</t>
        </is>
      </c>
      <c r="AJ1190" s="69" t="inlineStr">
        <is>
          <t>OF</t>
        </is>
      </c>
      <c r="AK1190" s="69" t="inlineStr">
        <is>
          <t>Suburban</t>
        </is>
      </c>
      <c r="AL1190" s="68" t="n">
        <v>1</v>
      </c>
      <c r="AM1190" s="68" t="n"/>
      <c r="AN1190" s="68" t="n">
        <v>733400</v>
      </c>
      <c r="AO1190" s="69" t="inlineStr">
        <is>
          <t>1986</t>
        </is>
      </c>
      <c r="AP1190" s="70" t="n">
        <v>2015</v>
      </c>
      <c r="AQ1190" s="74" t="n">
        <v>2.1</v>
      </c>
      <c r="AR1190" s="74" t="n">
        <v>1.06</v>
      </c>
      <c r="AS1190" s="74" t="n">
        <v>65.2</v>
      </c>
      <c r="AT1190" s="74" t="n">
        <v>66.27</v>
      </c>
      <c r="AU1190" s="74" t="n">
        <v>65.2</v>
      </c>
      <c r="AV1190" s="74" t="n">
        <v>9.994350000000001</v>
      </c>
      <c r="AW1190" s="74" t="n">
        <v>5.539608436</v>
      </c>
      <c r="AX1190" s="75" t="n">
        <v>62</v>
      </c>
      <c r="AY1190" s="71" t="n">
        <v>119700000</v>
      </c>
      <c r="AZ1190" s="71" t="n">
        <v>117700000</v>
      </c>
      <c r="BA1190" s="71" t="n">
        <v>7795593</v>
      </c>
      <c r="BB1190" s="71" t="n">
        <v>1971948.74</v>
      </c>
      <c r="BC1190" s="69" t="inlineStr">
        <is>
          <t>Refinance</t>
        </is>
      </c>
      <c r="BD1190" s="69" t="inlineStr">
        <is>
          <t>Y</t>
        </is>
      </c>
      <c r="BE1190" s="71" t="n">
        <v>50000000</v>
      </c>
      <c r="BF1190" s="71" t="n"/>
      <c r="BG1190" s="71" t="n"/>
      <c r="BH1190" s="71" t="n">
        <v>0</v>
      </c>
      <c r="BI1190" s="71" t="n">
        <v>0</v>
      </c>
      <c r="BJ1190" s="69" t="inlineStr">
        <is>
          <t>N</t>
        </is>
      </c>
      <c r="BK1190" s="69" t="inlineStr">
        <is>
          <t>Select Quote Insurance Services</t>
        </is>
      </c>
      <c r="BL1190" s="75" t="n">
        <v>27.87</v>
      </c>
      <c r="BM1190" s="73" t="n">
        <v>48060</v>
      </c>
      <c r="BN1190" s="69" t="inlineStr">
        <is>
          <t>Gary L. Oborny</t>
        </is>
      </c>
      <c r="BO1190" s="69" t="inlineStr">
        <is>
          <t>JPMorgan Chase</t>
        </is>
      </c>
      <c r="BP1190" s="69" t="inlineStr">
        <is>
          <t>KeyBank National Association</t>
        </is>
      </c>
      <c r="BQ1190" s="69" t="inlineStr">
        <is>
          <t>K-Star Asset Management LLC</t>
        </is>
      </c>
      <c r="BR1190" s="69" t="n"/>
      <c r="BS1190" s="73" t="n">
        <v>46273</v>
      </c>
      <c r="BU1190" s="76">
        <f>IF($C1190="","",IFERROR(INDEX(dmName,MATCH($C1190,dmID,0)),"Unmapped"))</f>
        <v/>
      </c>
      <c r="BV1190" s="76">
        <f>IF($C1190="","",IFERROR(INDEX(dmEntity,MATCH($C1190,dmID,0)),"Unmapped"))</f>
        <v/>
      </c>
      <c r="BW1190" s="77">
        <f>IF($C1190="","",IFERROR(INDEX(dmVintage,MATCH($C1190,dmID,0)),""))</f>
        <v/>
      </c>
      <c r="BX1190" s="78">
        <f>IFERROR(INDEX(dmInclude,MATCH($C1190,dmID,0)),0)</f>
        <v/>
      </c>
      <c r="BY1190" s="78">
        <f>IF(N($I1190)&gt;0,1,0)</f>
        <v/>
      </c>
      <c r="BZ1190" s="76">
        <f>IF($AJ1190="","Other / Leased Fee",IFERROR(INDEX(mapPTGroup,MATCH(LEFT(TRIM($AJ1190),2),mapPTCode,0)),"Other / Leased Fee"))</f>
        <v/>
      </c>
      <c r="CA1190" s="76">
        <f>IF(TRIM($AF1190&amp;"")="","NR",LEFT(TRIM($AF1190),2))</f>
        <v/>
      </c>
      <c r="CB1190" s="76">
        <f>IFERROR(LOOKUP(2,1/(LEFT(TRIM($AI1190&amp;""),LEN(mapRegion))=mapRegion),mapRegion),"Not Reported")</f>
        <v/>
      </c>
      <c r="CC1190" s="76">
        <f>IF($BY1190=0,"",IF(TRIM($W1190&amp;"")="REO","REO",IF(TRIM($W1190&amp;"")="FC","Foreclosure",IF(TRIM($W1190&amp;"")="90+","90+ Days Delinquent",IF(TRIM($W1190&amp;"")="60","60 Days Delinquent",IF(TRIM($W1190&amp;"")="30","30 Days Delinquent",IF($X1190="Non-Performing Matured Balloon","Non-Performing Matured Balloon",IF(OR($X1190="Late Payment But Less Than 30 Days Delinquent",LEFT($X1190&amp;"",20)="Payment Not Received"),"Late / In Grace (&lt;30 Days)",IF($X1190="Performing Matured Balloon","Performing Matured Balloon","Current")))))))))</f>
        <v/>
      </c>
      <c r="CD1190" s="78">
        <f>IF(OR($CC1190="REO",$CC1190="Foreclosure",$CC1190="90+ Days Delinquent",$CC1190="60 Days Delinquent",$CC1190="30 Days Delinquent",$CC1190="Non-Performing Matured Balloon"),1,0)</f>
        <v/>
      </c>
      <c r="CE1190" s="76">
        <f>IF($AB1190="Currently special serv","Currently Specially Serviced",IF($AB1190="Returned to master serv","Previously Specially Serviced","Never Specially Serviced"))</f>
        <v/>
      </c>
      <c r="CF1190" s="78">
        <f>IF($CE1190="Currently Specially Serviced",1,0)</f>
        <v/>
      </c>
      <c r="CG1190" s="76">
        <f>IF($AA1190="Yes","Currently on Watchlist",IF($AA1190="Previously","Previously on Watchlist","Never on Watchlist"))</f>
        <v/>
      </c>
      <c r="CH1190" s="78">
        <f>IF($CG1190="Currently on Watchlist",1,0)</f>
        <v/>
      </c>
      <c r="CI1190" s="76">
        <f>IF($Z1190="Full Defeasance","Fully Defeased",IF($Z1190="Portion Of Loan Previously Defeased","Partially Defeased",IF($Z1190="Defeasance Not Allowable","Not Defeased (Not Permitted)","Not Defeased")))</f>
        <v/>
      </c>
      <c r="CJ1190" s="78">
        <f>IF($CI1190="Fully Defeased",1,0)</f>
        <v/>
      </c>
      <c r="CK1190" s="76">
        <f>IF($R1190="IO","Full IO",IF(LEFT($R1190&amp;"",7)="IO then","Partial IO","Amortizing"))</f>
        <v/>
      </c>
      <c r="CL1190" s="78">
        <f>IF($CK1190="Full IO",1,0)</f>
        <v/>
      </c>
      <c r="CM1190" s="78">
        <f>IF($CK1190="Partial IO",1,0)</f>
        <v/>
      </c>
      <c r="CN1190" s="76">
        <f>IF(LEFT($F1190&amp;"",10)="SPLIT_LOAN","Pari Passu Split","Standalone")</f>
        <v/>
      </c>
      <c r="CO1190" s="78">
        <f>IF($CN1190="Pari Passu Split",1,0)</f>
        <v/>
      </c>
      <c r="CP1190" s="77">
        <f>IF(ISNUMBER($T1190),YEAR($T1190),"")</f>
        <v/>
      </c>
      <c r="CQ1190" s="79">
        <f>IF(ISNUMBER($V1190),$V1190,IF(ISNUMBER($U1190),$U1190,""))</f>
        <v/>
      </c>
      <c r="CR1190" s="77">
        <f>IF(ISNUMBER($CQ1190),YEAR($CQ1190),"")</f>
        <v/>
      </c>
      <c r="CS1190" s="78">
        <f>IF(ISNUMBER($M1190),MAX(0,$M1190),IF(TRIM($M1190&amp;"")="matured",0,""))</f>
        <v/>
      </c>
      <c r="CT1190" s="78">
        <f>IF(AND(ISNUMBER($CS1190),N($CS1190)&lt;=mMatWindow),1,0)</f>
        <v/>
      </c>
      <c r="CU1190" s="80">
        <f>IF(ISNUMBER($J1190),$J1190/100,"")</f>
        <v/>
      </c>
      <c r="CV1190" s="81">
        <f>IF(ISNUMBER($AQ1190),$AQ1190,"")</f>
        <v/>
      </c>
      <c r="CW1190" s="81">
        <f>IF(ISNUMBER($AR1190),$AR1190,"")</f>
        <v/>
      </c>
      <c r="CX1190" s="82">
        <f>IF(ISNUMBER($AS1190),$AS1190/100,"")</f>
        <v/>
      </c>
      <c r="CY1190" s="82">
        <f>IF(ISNUMBER($AT1190),$AT1190/100,"")</f>
        <v/>
      </c>
      <c r="CZ1190" s="82">
        <f>IF(ISNUMBER($AU1190),$AU1190/100,"")</f>
        <v/>
      </c>
      <c r="DA1190" s="82">
        <f>IF(ISNUMBER($AV1190),$AV1190/100,"")</f>
        <v/>
      </c>
      <c r="DB1190" s="82">
        <f>IF(ISNUMBER($AW1190),$AW1190/100,"")</f>
        <v/>
      </c>
      <c r="DC1190" s="82">
        <f>IF(ISNUMBER($AX1190),$AX1190/100,"")</f>
        <v/>
      </c>
      <c r="DD1190" s="77">
        <f>IFERROR(VALUE(LEFT(TRIM($AO1190&amp;""),4)),"")</f>
        <v/>
      </c>
      <c r="DE1190" s="78">
        <f>IF(AND($BY1190=1,$BX1190=1,OR(fDeal="All Deals",$BU1190=fDeal),OR(fEntity="All Entities",$BV1190=fEntity),OR(fPType="All Property Types",$BZ1190=fPType),OR(fDefeased="Include",$CJ1190=0)),1,0)</f>
        <v/>
      </c>
      <c r="DF1190" s="83">
        <f>$DE1190*N($I1190)</f>
        <v/>
      </c>
      <c r="DG1190" s="78">
        <f>IF($DE1190=1,IF(COUNTIFS($F$8:$F1190,$F1190,$DE$8:$DE1190,1)=1,1,0),0)</f>
        <v/>
      </c>
      <c r="DH1190" s="83">
        <f>IF($DG1190=1,SUMIFS($DF$8:$DF$1600,$F$8:$F$1600,$F1190),0)</f>
        <v/>
      </c>
      <c r="DI1190" s="78">
        <f>IF($DG1190=1,COUNTIFS($F$8:$F$1600,$F1190,$DE$8:$DE$1600,1),0)</f>
        <v/>
      </c>
      <c r="DJ1190" s="84">
        <f>IF($DG1190=1,$DH1190+(100000-ROW())/mTieBreak,0)</f>
        <v/>
      </c>
    </row>
    <row r="1191">
      <c r="B1191" s="68" t="n">
        <v>13</v>
      </c>
      <c r="C1191" s="69" t="inlineStr">
        <is>
          <t>BCMK18B6</t>
        </is>
      </c>
      <c r="D1191" s="69" t="inlineStr">
        <is>
          <t>13.000</t>
        </is>
      </c>
      <c r="E1191" s="69" t="inlineStr">
        <is>
          <t>Aloft Portland Airport</t>
        </is>
      </c>
      <c r="F1191" s="69" t="inlineStr">
        <is>
          <t>LNBCMK18B6-13.000</t>
        </is>
      </c>
      <c r="G1191" s="70" t="n"/>
      <c r="H1191" s="71" t="n">
        <v>25000000</v>
      </c>
      <c r="I1191" s="71" t="n">
        <v>21570495.49000001</v>
      </c>
      <c r="J1191" s="72" t="n">
        <v>4.89</v>
      </c>
      <c r="K1191" s="69" t="inlineStr">
        <is>
          <t>Fixed rate</t>
        </is>
      </c>
      <c r="L1191" s="68" t="n">
        <v>120</v>
      </c>
      <c r="M1191" s="68" t="n">
        <v>24</v>
      </c>
      <c r="N1191" s="68" t="n">
        <v>360</v>
      </c>
      <c r="O1191" s="68" t="n"/>
      <c r="P1191" s="68" t="n"/>
      <c r="Q1191" s="68" t="n">
        <v>96</v>
      </c>
      <c r="R1191" s="69" t="n"/>
      <c r="S1191" s="69" t="inlineStr">
        <is>
          <t>No</t>
        </is>
      </c>
      <c r="T1191" s="73" t="n">
        <v>43344</v>
      </c>
      <c r="U1191" s="73" t="n">
        <v>47002</v>
      </c>
      <c r="V1191" s="73" t="n"/>
      <c r="W1191" s="69" t="n"/>
      <c r="X1191" s="69" t="inlineStr">
        <is>
          <t>Current</t>
        </is>
      </c>
      <c r="Y1191" s="68" t="n"/>
      <c r="Z1191" s="69" t="inlineStr">
        <is>
          <t>No Defeasance Occurred</t>
        </is>
      </c>
      <c r="AA1191" s="69" t="inlineStr">
        <is>
          <t>Yes</t>
        </is>
      </c>
      <c r="AB1191" s="69" t="inlineStr">
        <is>
          <t>Returned to master serv</t>
        </is>
      </c>
      <c r="AC1191" s="73" t="n"/>
      <c r="AD1191" s="69" t="inlineStr">
        <is>
          <t>Payment Default (all payments excluding Balloon/Maturity Payment)</t>
        </is>
      </c>
      <c r="AE1191" s="69" t="inlineStr">
        <is>
          <t>Resolved</t>
        </is>
      </c>
      <c r="AF1191" s="69" t="inlineStr">
        <is>
          <t>OR</t>
        </is>
      </c>
      <c r="AG1191" s="69" t="inlineStr">
        <is>
          <t>Portland</t>
        </is>
      </c>
      <c r="AH1191" s="69" t="inlineStr">
        <is>
          <t>Portland-Vancouver-Hillsboro, OR-WA</t>
        </is>
      </c>
      <c r="AI1191" s="69" t="inlineStr">
        <is>
          <t>West / Pacific North</t>
        </is>
      </c>
      <c r="AJ1191" s="69" t="inlineStr">
        <is>
          <t>HT</t>
        </is>
      </c>
      <c r="AK1191" s="69" t="inlineStr">
        <is>
          <t>Select Service</t>
        </is>
      </c>
      <c r="AL1191" s="68" t="n">
        <v>1</v>
      </c>
      <c r="AM1191" s="68" t="n">
        <v>136</v>
      </c>
      <c r="AN1191" s="68" t="n"/>
      <c r="AO1191" s="69" t="inlineStr">
        <is>
          <t>2008</t>
        </is>
      </c>
      <c r="AP1191" s="70" t="n">
        <v>2015</v>
      </c>
      <c r="AQ1191" s="74" t="n">
        <v>1.82</v>
      </c>
      <c r="AR1191" s="74" t="n">
        <v>1.15</v>
      </c>
      <c r="AS1191" s="74" t="n">
        <v>62.6</v>
      </c>
      <c r="AT1191" s="74" t="n">
        <v>71.19</v>
      </c>
      <c r="AU1191" s="74" t="n">
        <v>51.33</v>
      </c>
      <c r="AV1191" s="74" t="n">
        <v>11.55904</v>
      </c>
      <c r="AW1191" s="74" t="n">
        <v>8.532310771000001</v>
      </c>
      <c r="AX1191" s="75" t="n">
        <v>76</v>
      </c>
      <c r="AY1191" s="71" t="n">
        <v>39900000</v>
      </c>
      <c r="AZ1191" s="71" t="n">
        <v>30300000</v>
      </c>
      <c r="BA1191" s="71" t="n">
        <v>2889760</v>
      </c>
      <c r="BB1191" s="71" t="n">
        <v>1827177.91</v>
      </c>
      <c r="BC1191" s="69" t="inlineStr">
        <is>
          <t>Refinance</t>
        </is>
      </c>
      <c r="BD1191" s="69" t="inlineStr">
        <is>
          <t>Y</t>
        </is>
      </c>
      <c r="BE1191" s="71" t="n"/>
      <c r="BF1191" s="71" t="n"/>
      <c r="BG1191" s="71" t="n"/>
      <c r="BH1191" s="71" t="n">
        <v>0</v>
      </c>
      <c r="BI1191" s="71" t="n">
        <v>0</v>
      </c>
      <c r="BJ1191" s="69" t="inlineStr">
        <is>
          <t>Y</t>
        </is>
      </c>
      <c r="BK1191" s="69" t="n"/>
      <c r="BL1191" s="75" t="n"/>
      <c r="BM1191" s="73" t="n"/>
      <c r="BN1191" s="69" t="inlineStr">
        <is>
          <t>Harold Pollin and David B. Pollin</t>
        </is>
      </c>
      <c r="BO1191" s="69" t="inlineStr">
        <is>
          <t>Citigroup Global Markets</t>
        </is>
      </c>
      <c r="BP1191" s="69" t="inlineStr">
        <is>
          <t>KeyBank National Association</t>
        </is>
      </c>
      <c r="BQ1191" s="69" t="inlineStr">
        <is>
          <t>K-Star Asset Management LLC</t>
        </is>
      </c>
      <c r="BR1191" s="69" t="n"/>
      <c r="BS1191" s="73" t="n">
        <v>46273</v>
      </c>
      <c r="BU1191" s="76">
        <f>IF($C1191="","",IFERROR(INDEX(dmName,MATCH($C1191,dmID,0)),"Unmapped"))</f>
        <v/>
      </c>
      <c r="BV1191" s="76">
        <f>IF($C1191="","",IFERROR(INDEX(dmEntity,MATCH($C1191,dmID,0)),"Unmapped"))</f>
        <v/>
      </c>
      <c r="BW1191" s="77">
        <f>IF($C1191="","",IFERROR(INDEX(dmVintage,MATCH($C1191,dmID,0)),""))</f>
        <v/>
      </c>
      <c r="BX1191" s="78">
        <f>IFERROR(INDEX(dmInclude,MATCH($C1191,dmID,0)),0)</f>
        <v/>
      </c>
      <c r="BY1191" s="78">
        <f>IF(N($I1191)&gt;0,1,0)</f>
        <v/>
      </c>
      <c r="BZ1191" s="76">
        <f>IF($AJ1191="","Other / Leased Fee",IFERROR(INDEX(mapPTGroup,MATCH(LEFT(TRIM($AJ1191),2),mapPTCode,0)),"Other / Leased Fee"))</f>
        <v/>
      </c>
      <c r="CA1191" s="76">
        <f>IF(TRIM($AF1191&amp;"")="","NR",LEFT(TRIM($AF1191),2))</f>
        <v/>
      </c>
      <c r="CB1191" s="76">
        <f>IFERROR(LOOKUP(2,1/(LEFT(TRIM($AI1191&amp;""),LEN(mapRegion))=mapRegion),mapRegion),"Not Reported")</f>
        <v/>
      </c>
      <c r="CC1191" s="76">
        <f>IF($BY1191=0,"",IF(TRIM($W1191&amp;"")="REO","REO",IF(TRIM($W1191&amp;"")="FC","Foreclosure",IF(TRIM($W1191&amp;"")="90+","90+ Days Delinquent",IF(TRIM($W1191&amp;"")="60","60 Days Delinquent",IF(TRIM($W1191&amp;"")="30","30 Days Delinquent",IF($X1191="Non-Performing Matured Balloon","Non-Performing Matured Balloon",IF(OR($X1191="Late Payment But Less Than 30 Days Delinquent",LEFT($X1191&amp;"",20)="Payment Not Received"),"Late / In Grace (&lt;30 Days)",IF($X1191="Performing Matured Balloon","Performing Matured Balloon","Current")))))))))</f>
        <v/>
      </c>
      <c r="CD1191" s="78">
        <f>IF(OR($CC1191="REO",$CC1191="Foreclosure",$CC1191="90+ Days Delinquent",$CC1191="60 Days Delinquent",$CC1191="30 Days Delinquent",$CC1191="Non-Performing Matured Balloon"),1,0)</f>
        <v/>
      </c>
      <c r="CE1191" s="76">
        <f>IF($AB1191="Currently special serv","Currently Specially Serviced",IF($AB1191="Returned to master serv","Previously Specially Serviced","Never Specially Serviced"))</f>
        <v/>
      </c>
      <c r="CF1191" s="78">
        <f>IF($CE1191="Currently Specially Serviced",1,0)</f>
        <v/>
      </c>
      <c r="CG1191" s="76">
        <f>IF($AA1191="Yes","Currently on Watchlist",IF($AA1191="Previously","Previously on Watchlist","Never on Watchlist"))</f>
        <v/>
      </c>
      <c r="CH1191" s="78">
        <f>IF($CG1191="Currently on Watchlist",1,0)</f>
        <v/>
      </c>
      <c r="CI1191" s="76">
        <f>IF($Z1191="Full Defeasance","Fully Defeased",IF($Z1191="Portion Of Loan Previously Defeased","Partially Defeased",IF($Z1191="Defeasance Not Allowable","Not Defeased (Not Permitted)","Not Defeased")))</f>
        <v/>
      </c>
      <c r="CJ1191" s="78">
        <f>IF($CI1191="Fully Defeased",1,0)</f>
        <v/>
      </c>
      <c r="CK1191" s="76">
        <f>IF($R1191="IO","Full IO",IF(LEFT($R1191&amp;"",7)="IO then","Partial IO","Amortizing"))</f>
        <v/>
      </c>
      <c r="CL1191" s="78">
        <f>IF($CK1191="Full IO",1,0)</f>
        <v/>
      </c>
      <c r="CM1191" s="78">
        <f>IF($CK1191="Partial IO",1,0)</f>
        <v/>
      </c>
      <c r="CN1191" s="76">
        <f>IF(LEFT($F1191&amp;"",10)="SPLIT_LOAN","Pari Passu Split","Standalone")</f>
        <v/>
      </c>
      <c r="CO1191" s="78">
        <f>IF($CN1191="Pari Passu Split",1,0)</f>
        <v/>
      </c>
      <c r="CP1191" s="77">
        <f>IF(ISNUMBER($T1191),YEAR($T1191),"")</f>
        <v/>
      </c>
      <c r="CQ1191" s="79">
        <f>IF(ISNUMBER($V1191),$V1191,IF(ISNUMBER($U1191),$U1191,""))</f>
        <v/>
      </c>
      <c r="CR1191" s="77">
        <f>IF(ISNUMBER($CQ1191),YEAR($CQ1191),"")</f>
        <v/>
      </c>
      <c r="CS1191" s="78">
        <f>IF(ISNUMBER($M1191),MAX(0,$M1191),IF(TRIM($M1191&amp;"")="matured",0,""))</f>
        <v/>
      </c>
      <c r="CT1191" s="78">
        <f>IF(AND(ISNUMBER($CS1191),N($CS1191)&lt;=mMatWindow),1,0)</f>
        <v/>
      </c>
      <c r="CU1191" s="80">
        <f>IF(ISNUMBER($J1191),$J1191/100,"")</f>
        <v/>
      </c>
      <c r="CV1191" s="81">
        <f>IF(ISNUMBER($AQ1191),$AQ1191,"")</f>
        <v/>
      </c>
      <c r="CW1191" s="81">
        <f>IF(ISNUMBER($AR1191),$AR1191,"")</f>
        <v/>
      </c>
      <c r="CX1191" s="82">
        <f>IF(ISNUMBER($AS1191),$AS1191/100,"")</f>
        <v/>
      </c>
      <c r="CY1191" s="82">
        <f>IF(ISNUMBER($AT1191),$AT1191/100,"")</f>
        <v/>
      </c>
      <c r="CZ1191" s="82">
        <f>IF(ISNUMBER($AU1191),$AU1191/100,"")</f>
        <v/>
      </c>
      <c r="DA1191" s="82">
        <f>IF(ISNUMBER($AV1191),$AV1191/100,"")</f>
        <v/>
      </c>
      <c r="DB1191" s="82">
        <f>IF(ISNUMBER($AW1191),$AW1191/100,"")</f>
        <v/>
      </c>
      <c r="DC1191" s="82">
        <f>IF(ISNUMBER($AX1191),$AX1191/100,"")</f>
        <v/>
      </c>
      <c r="DD1191" s="77">
        <f>IFERROR(VALUE(LEFT(TRIM($AO1191&amp;""),4)),"")</f>
        <v/>
      </c>
      <c r="DE1191" s="78">
        <f>IF(AND($BY1191=1,$BX1191=1,OR(fDeal="All Deals",$BU1191=fDeal),OR(fEntity="All Entities",$BV1191=fEntity),OR(fPType="All Property Types",$BZ1191=fPType),OR(fDefeased="Include",$CJ1191=0)),1,0)</f>
        <v/>
      </c>
      <c r="DF1191" s="83">
        <f>$DE1191*N($I1191)</f>
        <v/>
      </c>
      <c r="DG1191" s="78">
        <f>IF($DE1191=1,IF(COUNTIFS($F$8:$F1191,$F1191,$DE$8:$DE1191,1)=1,1,0),0)</f>
        <v/>
      </c>
      <c r="DH1191" s="83">
        <f>IF($DG1191=1,SUMIFS($DF$8:$DF$1600,$F$8:$F$1600,$F1191),0)</f>
        <v/>
      </c>
      <c r="DI1191" s="78">
        <f>IF($DG1191=1,COUNTIFS($F$8:$F$1600,$F1191,$DE$8:$DE$1600,1),0)</f>
        <v/>
      </c>
      <c r="DJ1191" s="84">
        <f>IF($DG1191=1,$DH1191+(100000-ROW())/mTieBreak,0)</f>
        <v/>
      </c>
    </row>
    <row r="1192">
      <c r="B1192" s="68" t="n">
        <v>14</v>
      </c>
      <c r="C1192" s="69" t="inlineStr">
        <is>
          <t>BCMK18B6</t>
        </is>
      </c>
      <c r="D1192" s="69" t="inlineStr">
        <is>
          <t>14.000</t>
        </is>
      </c>
      <c r="E1192" s="69" t="inlineStr">
        <is>
          <t>Carlton Plaza</t>
        </is>
      </c>
      <c r="F1192" s="69" t="inlineStr">
        <is>
          <t>LNBCMK18B6-14.000</t>
        </is>
      </c>
      <c r="G1192" s="70" t="n"/>
      <c r="H1192" s="71" t="n">
        <v>22500000</v>
      </c>
      <c r="I1192" s="71" t="n">
        <v>22500000</v>
      </c>
      <c r="J1192" s="72" t="n">
        <v>4.496</v>
      </c>
      <c r="K1192" s="69" t="inlineStr">
        <is>
          <t>Fixed rate</t>
        </is>
      </c>
      <c r="L1192" s="68" t="n">
        <v>120</v>
      </c>
      <c r="M1192" s="68" t="n">
        <v>25</v>
      </c>
      <c r="N1192" s="68" t="n">
        <v>120</v>
      </c>
      <c r="O1192" s="68" t="n">
        <v>120</v>
      </c>
      <c r="P1192" s="68" t="n">
        <v>25</v>
      </c>
      <c r="Q1192" s="68" t="n">
        <v>95</v>
      </c>
      <c r="R1192" s="69" t="inlineStr">
        <is>
          <t>IO</t>
        </is>
      </c>
      <c r="S1192" s="69" t="inlineStr">
        <is>
          <t>Yes</t>
        </is>
      </c>
      <c r="T1192" s="73" t="n">
        <v>43374</v>
      </c>
      <c r="U1192" s="73" t="n">
        <v>47027</v>
      </c>
      <c r="V1192" s="73" t="n"/>
      <c r="W1192" s="69" t="inlineStr">
        <is>
          <t>FC</t>
        </is>
      </c>
      <c r="X1192" s="69" t="inlineStr">
        <is>
          <t>121+ Days Delinquent</t>
        </is>
      </c>
      <c r="Y1192" s="68" t="n">
        <v>13</v>
      </c>
      <c r="Z1192" s="69" t="inlineStr">
        <is>
          <t>No Defeasance Occurred</t>
        </is>
      </c>
      <c r="AA1192" s="69" t="inlineStr">
        <is>
          <t>Previously</t>
        </is>
      </c>
      <c r="AB1192" s="69" t="inlineStr">
        <is>
          <t>Currently special serv</t>
        </is>
      </c>
      <c r="AC1192" s="73" t="n">
        <v>45659</v>
      </c>
      <c r="AD1192" s="69" t="inlineStr">
        <is>
          <t>Imminent Monetary Default (excluding Balloon/Maturity Default &amp; Single Tenant Bankruptcy/Vacate)</t>
        </is>
      </c>
      <c r="AE1192" s="69" t="inlineStr">
        <is>
          <t>Foreclosure</t>
        </is>
      </c>
      <c r="AF1192" s="69" t="inlineStr">
        <is>
          <t>CA</t>
        </is>
      </c>
      <c r="AG1192" s="69" t="inlineStr">
        <is>
          <t>Woodland Hills</t>
        </is>
      </c>
      <c r="AH1192" s="69" t="inlineStr">
        <is>
          <t>Los Angeles-Long Beach-Anaheim, CA</t>
        </is>
      </c>
      <c r="AI1192" s="69" t="inlineStr">
        <is>
          <t>West / Pacific South</t>
        </is>
      </c>
      <c r="AJ1192" s="69" t="inlineStr">
        <is>
          <t>OF</t>
        </is>
      </c>
      <c r="AK1192" s="69" t="inlineStr">
        <is>
          <t>Suburban</t>
        </is>
      </c>
      <c r="AL1192" s="68" t="n">
        <v>1</v>
      </c>
      <c r="AM1192" s="68" t="n"/>
      <c r="AN1192" s="68" t="n">
        <v>154933</v>
      </c>
      <c r="AO1192" s="69" t="inlineStr">
        <is>
          <t>1986</t>
        </is>
      </c>
      <c r="AP1192" s="70" t="n">
        <v>1986</v>
      </c>
      <c r="AQ1192" s="74" t="n">
        <v>1.99</v>
      </c>
      <c r="AR1192" s="74" t="n">
        <v>1.11</v>
      </c>
      <c r="AS1192" s="74" t="n">
        <v>65</v>
      </c>
      <c r="AT1192" s="74" t="n">
        <v>200</v>
      </c>
      <c r="AU1192" s="74" t="n">
        <v>65</v>
      </c>
      <c r="AV1192" s="74" t="n">
        <v>9.091177778</v>
      </c>
      <c r="AW1192" s="74" t="n">
        <v>6.996118978</v>
      </c>
      <c r="AX1192" s="75" t="n">
        <v>71</v>
      </c>
      <c r="AY1192" s="71" t="n">
        <v>34620000</v>
      </c>
      <c r="AZ1192" s="71" t="n">
        <v>11250000</v>
      </c>
      <c r="BA1192" s="71" t="n">
        <v>2045515</v>
      </c>
      <c r="BB1192" s="71" t="n">
        <v>1139445.21</v>
      </c>
      <c r="BC1192" s="69" t="inlineStr">
        <is>
          <t>Acquisition</t>
        </is>
      </c>
      <c r="BD1192" s="69" t="inlineStr">
        <is>
          <t>N</t>
        </is>
      </c>
      <c r="BE1192" s="71" t="n"/>
      <c r="BF1192" s="71" t="n"/>
      <c r="BG1192" s="71" t="n"/>
      <c r="BH1192" s="71" t="n">
        <v>13338247.35</v>
      </c>
      <c r="BI1192" s="71" t="n">
        <v>606434.92</v>
      </c>
      <c r="BJ1192" s="69" t="inlineStr">
        <is>
          <t>N</t>
        </is>
      </c>
      <c r="BK1192" s="69" t="inlineStr">
        <is>
          <t>Lewis  Marenstein  Wicke  Sherwin</t>
        </is>
      </c>
      <c r="BL1192" s="75" t="n">
        <v>13.01</v>
      </c>
      <c r="BM1192" s="73" t="n">
        <v>47118</v>
      </c>
      <c r="BN1192" s="69" t="inlineStr">
        <is>
          <t>Stephen M. Zotovich and Bradley E. Lofgren</t>
        </is>
      </c>
      <c r="BO1192" s="69" t="inlineStr">
        <is>
          <t>JPMorgan Chase</t>
        </is>
      </c>
      <c r="BP1192" s="69" t="inlineStr">
        <is>
          <t>KeyBank National Association</t>
        </is>
      </c>
      <c r="BQ1192" s="69" t="inlineStr">
        <is>
          <t>K-Star Asset Management LLC</t>
        </is>
      </c>
      <c r="BR1192" s="69" t="n"/>
      <c r="BS1192" s="73" t="n">
        <v>46273</v>
      </c>
      <c r="BU1192" s="76">
        <f>IF($C1192="","",IFERROR(INDEX(dmName,MATCH($C1192,dmID,0)),"Unmapped"))</f>
        <v/>
      </c>
      <c r="BV1192" s="76">
        <f>IF($C1192="","",IFERROR(INDEX(dmEntity,MATCH($C1192,dmID,0)),"Unmapped"))</f>
        <v/>
      </c>
      <c r="BW1192" s="77">
        <f>IF($C1192="","",IFERROR(INDEX(dmVintage,MATCH($C1192,dmID,0)),""))</f>
        <v/>
      </c>
      <c r="BX1192" s="78">
        <f>IFERROR(INDEX(dmInclude,MATCH($C1192,dmID,0)),0)</f>
        <v/>
      </c>
      <c r="BY1192" s="78">
        <f>IF(N($I1192)&gt;0,1,0)</f>
        <v/>
      </c>
      <c r="BZ1192" s="76">
        <f>IF($AJ1192="","Other / Leased Fee",IFERROR(INDEX(mapPTGroup,MATCH(LEFT(TRIM($AJ1192),2),mapPTCode,0)),"Other / Leased Fee"))</f>
        <v/>
      </c>
      <c r="CA1192" s="76">
        <f>IF(TRIM($AF1192&amp;"")="","NR",LEFT(TRIM($AF1192),2))</f>
        <v/>
      </c>
      <c r="CB1192" s="76">
        <f>IFERROR(LOOKUP(2,1/(LEFT(TRIM($AI1192&amp;""),LEN(mapRegion))=mapRegion),mapRegion),"Not Reported")</f>
        <v/>
      </c>
      <c r="CC1192" s="76">
        <f>IF($BY1192=0,"",IF(TRIM($W1192&amp;"")="REO","REO",IF(TRIM($W1192&amp;"")="FC","Foreclosure",IF(TRIM($W1192&amp;"")="90+","90+ Days Delinquent",IF(TRIM($W1192&amp;"")="60","60 Days Delinquent",IF(TRIM($W1192&amp;"")="30","30 Days Delinquent",IF($X1192="Non-Performing Matured Balloon","Non-Performing Matured Balloon",IF(OR($X1192="Late Payment But Less Than 30 Days Delinquent",LEFT($X1192&amp;"",20)="Payment Not Received"),"Late / In Grace (&lt;30 Days)",IF($X1192="Performing Matured Balloon","Performing Matured Balloon","Current")))))))))</f>
        <v/>
      </c>
      <c r="CD1192" s="78">
        <f>IF(OR($CC1192="REO",$CC1192="Foreclosure",$CC1192="90+ Days Delinquent",$CC1192="60 Days Delinquent",$CC1192="30 Days Delinquent",$CC1192="Non-Performing Matured Balloon"),1,0)</f>
        <v/>
      </c>
      <c r="CE1192" s="76">
        <f>IF($AB1192="Currently special serv","Currently Specially Serviced",IF($AB1192="Returned to master serv","Previously Specially Serviced","Never Specially Serviced"))</f>
        <v/>
      </c>
      <c r="CF1192" s="78">
        <f>IF($CE1192="Currently Specially Serviced",1,0)</f>
        <v/>
      </c>
      <c r="CG1192" s="76">
        <f>IF($AA1192="Yes","Currently on Watchlist",IF($AA1192="Previously","Previously on Watchlist","Never on Watchlist"))</f>
        <v/>
      </c>
      <c r="CH1192" s="78">
        <f>IF($CG1192="Currently on Watchlist",1,0)</f>
        <v/>
      </c>
      <c r="CI1192" s="76">
        <f>IF($Z1192="Full Defeasance","Fully Defeased",IF($Z1192="Portion Of Loan Previously Defeased","Partially Defeased",IF($Z1192="Defeasance Not Allowable","Not Defeased (Not Permitted)","Not Defeased")))</f>
        <v/>
      </c>
      <c r="CJ1192" s="78">
        <f>IF($CI1192="Fully Defeased",1,0)</f>
        <v/>
      </c>
      <c r="CK1192" s="76">
        <f>IF($R1192="IO","Full IO",IF(LEFT($R1192&amp;"",7)="IO then","Partial IO","Amortizing"))</f>
        <v/>
      </c>
      <c r="CL1192" s="78">
        <f>IF($CK1192="Full IO",1,0)</f>
        <v/>
      </c>
      <c r="CM1192" s="78">
        <f>IF($CK1192="Partial IO",1,0)</f>
        <v/>
      </c>
      <c r="CN1192" s="76">
        <f>IF(LEFT($F1192&amp;"",10)="SPLIT_LOAN","Pari Passu Split","Standalone")</f>
        <v/>
      </c>
      <c r="CO1192" s="78">
        <f>IF($CN1192="Pari Passu Split",1,0)</f>
        <v/>
      </c>
      <c r="CP1192" s="77">
        <f>IF(ISNUMBER($T1192),YEAR($T1192),"")</f>
        <v/>
      </c>
      <c r="CQ1192" s="79">
        <f>IF(ISNUMBER($V1192),$V1192,IF(ISNUMBER($U1192),$U1192,""))</f>
        <v/>
      </c>
      <c r="CR1192" s="77">
        <f>IF(ISNUMBER($CQ1192),YEAR($CQ1192),"")</f>
        <v/>
      </c>
      <c r="CS1192" s="78">
        <f>IF(ISNUMBER($M1192),MAX(0,$M1192),IF(TRIM($M1192&amp;"")="matured",0,""))</f>
        <v/>
      </c>
      <c r="CT1192" s="78">
        <f>IF(AND(ISNUMBER($CS1192),N($CS1192)&lt;=mMatWindow),1,0)</f>
        <v/>
      </c>
      <c r="CU1192" s="80">
        <f>IF(ISNUMBER($J1192),$J1192/100,"")</f>
        <v/>
      </c>
      <c r="CV1192" s="81">
        <f>IF(ISNUMBER($AQ1192),$AQ1192,"")</f>
        <v/>
      </c>
      <c r="CW1192" s="81">
        <f>IF(ISNUMBER($AR1192),$AR1192,"")</f>
        <v/>
      </c>
      <c r="CX1192" s="82">
        <f>IF(ISNUMBER($AS1192),$AS1192/100,"")</f>
        <v/>
      </c>
      <c r="CY1192" s="82">
        <f>IF(ISNUMBER($AT1192),$AT1192/100,"")</f>
        <v/>
      </c>
      <c r="CZ1192" s="82">
        <f>IF(ISNUMBER($AU1192),$AU1192/100,"")</f>
        <v/>
      </c>
      <c r="DA1192" s="82">
        <f>IF(ISNUMBER($AV1192),$AV1192/100,"")</f>
        <v/>
      </c>
      <c r="DB1192" s="82">
        <f>IF(ISNUMBER($AW1192),$AW1192/100,"")</f>
        <v/>
      </c>
      <c r="DC1192" s="82">
        <f>IF(ISNUMBER($AX1192),$AX1192/100,"")</f>
        <v/>
      </c>
      <c r="DD1192" s="77">
        <f>IFERROR(VALUE(LEFT(TRIM($AO1192&amp;""),4)),"")</f>
        <v/>
      </c>
      <c r="DE1192" s="78">
        <f>IF(AND($BY1192=1,$BX1192=1,OR(fDeal="All Deals",$BU1192=fDeal),OR(fEntity="All Entities",$BV1192=fEntity),OR(fPType="All Property Types",$BZ1192=fPType),OR(fDefeased="Include",$CJ1192=0)),1,0)</f>
        <v/>
      </c>
      <c r="DF1192" s="83">
        <f>$DE1192*N($I1192)</f>
        <v/>
      </c>
      <c r="DG1192" s="78">
        <f>IF($DE1192=1,IF(COUNTIFS($F$8:$F1192,$F1192,$DE$8:$DE1192,1)=1,1,0),0)</f>
        <v/>
      </c>
      <c r="DH1192" s="83">
        <f>IF($DG1192=1,SUMIFS($DF$8:$DF$1600,$F$8:$F$1600,$F1192),0)</f>
        <v/>
      </c>
      <c r="DI1192" s="78">
        <f>IF($DG1192=1,COUNTIFS($F$8:$F$1600,$F1192,$DE$8:$DE$1600,1),0)</f>
        <v/>
      </c>
      <c r="DJ1192" s="84">
        <f>IF($DG1192=1,$DH1192+(100000-ROW())/mTieBreak,0)</f>
        <v/>
      </c>
    </row>
    <row r="1193">
      <c r="B1193" s="68" t="n">
        <v>15</v>
      </c>
      <c r="C1193" s="69" t="inlineStr">
        <is>
          <t>BCMK18B6</t>
        </is>
      </c>
      <c r="D1193" s="69" t="inlineStr">
        <is>
          <t>15.000</t>
        </is>
      </c>
      <c r="E1193" s="69" t="inlineStr">
        <is>
          <t>Creekside Oaks</t>
        </is>
      </c>
      <c r="F1193" s="69" t="inlineStr">
        <is>
          <t>LNBCMK18B6-15.000</t>
        </is>
      </c>
      <c r="G1193" s="70" t="n"/>
      <c r="H1193" s="71" t="n">
        <v>21000000</v>
      </c>
      <c r="I1193" s="71" t="n">
        <v>20389950</v>
      </c>
      <c r="J1193" s="72" t="n">
        <v>4.55</v>
      </c>
      <c r="K1193" s="69" t="inlineStr">
        <is>
          <t>Fixed rate</t>
        </is>
      </c>
      <c r="L1193" s="68" t="n">
        <v>120</v>
      </c>
      <c r="M1193" s="68" t="n">
        <v>23</v>
      </c>
      <c r="N1193" s="68" t="n">
        <v>120</v>
      </c>
      <c r="O1193" s="68" t="n">
        <v>120</v>
      </c>
      <c r="P1193" s="68" t="n">
        <v>23</v>
      </c>
      <c r="Q1193" s="68" t="n">
        <v>97</v>
      </c>
      <c r="R1193" s="69" t="inlineStr">
        <is>
          <t>IO</t>
        </is>
      </c>
      <c r="S1193" s="69" t="inlineStr">
        <is>
          <t>Yes</t>
        </is>
      </c>
      <c r="T1193" s="73" t="n">
        <v>43313</v>
      </c>
      <c r="U1193" s="73" t="n">
        <v>46971</v>
      </c>
      <c r="V1193" s="73" t="n"/>
      <c r="W1193" s="69" t="n"/>
      <c r="X1193" s="69" t="inlineStr">
        <is>
          <t>Current</t>
        </is>
      </c>
      <c r="Y1193" s="68" t="n"/>
      <c r="Z1193" s="69" t="inlineStr">
        <is>
          <t>No Defeasance Occurred</t>
        </is>
      </c>
      <c r="AA1193" s="69" t="inlineStr">
        <is>
          <t>Yes</t>
        </is>
      </c>
      <c r="AB1193" s="69" t="inlineStr">
        <is>
          <t>Never special serv</t>
        </is>
      </c>
      <c r="AC1193" s="73" t="n"/>
      <c r="AD1193" s="69" t="n"/>
      <c r="AE1193" s="69" t="n"/>
      <c r="AF1193" s="69" t="inlineStr">
        <is>
          <t>CA</t>
        </is>
      </c>
      <c r="AG1193" s="69" t="inlineStr">
        <is>
          <t>Sacramento</t>
        </is>
      </c>
      <c r="AH1193" s="69" t="inlineStr">
        <is>
          <t>Sacramento-Roseville-Folsom, CA</t>
        </is>
      </c>
      <c r="AI1193" s="69" t="inlineStr">
        <is>
          <t>West / Pacific North</t>
        </is>
      </c>
      <c r="AJ1193" s="69" t="inlineStr">
        <is>
          <t>OF</t>
        </is>
      </c>
      <c r="AK1193" s="69" t="inlineStr">
        <is>
          <t>Suburban</t>
        </is>
      </c>
      <c r="AL1193" s="68" t="n">
        <v>1</v>
      </c>
      <c r="AM1193" s="68" t="n"/>
      <c r="AN1193" s="68" t="n">
        <v>178694</v>
      </c>
      <c r="AO1193" s="69" t="inlineStr">
        <is>
          <t>1989-1991</t>
        </is>
      </c>
      <c r="AP1193" s="70" t="n">
        <v>2017</v>
      </c>
      <c r="AQ1193" s="74" t="n">
        <v>2.6</v>
      </c>
      <c r="AR1193" s="74" t="n">
        <v>0.79</v>
      </c>
      <c r="AS1193" s="74" t="n">
        <v>64.59999999999999</v>
      </c>
      <c r="AT1193" s="74" t="n">
        <v>62.74</v>
      </c>
      <c r="AU1193" s="74" t="n">
        <v>64.62</v>
      </c>
      <c r="AV1193" s="74" t="n">
        <v>11.973285714</v>
      </c>
      <c r="AW1193" s="74" t="n">
        <v>5.270992818</v>
      </c>
      <c r="AX1193" s="75" t="n">
        <v>58</v>
      </c>
      <c r="AY1193" s="71" t="n">
        <v>32500000</v>
      </c>
      <c r="AZ1193" s="71" t="n">
        <v>32500000</v>
      </c>
      <c r="BA1193" s="71" t="n">
        <v>2514390</v>
      </c>
      <c r="BB1193" s="71" t="n">
        <v>372546.49</v>
      </c>
      <c r="BC1193" s="69" t="inlineStr">
        <is>
          <t>Acquisition</t>
        </is>
      </c>
      <c r="BD1193" s="69" t="inlineStr">
        <is>
          <t>N</t>
        </is>
      </c>
      <c r="BE1193" s="71" t="n"/>
      <c r="BF1193" s="71" t="n"/>
      <c r="BG1193" s="71" t="n"/>
      <c r="BH1193" s="71" t="n">
        <v>0</v>
      </c>
      <c r="BI1193" s="71" t="n">
        <v>0</v>
      </c>
      <c r="BJ1193" s="69" t="inlineStr">
        <is>
          <t>N</t>
        </is>
      </c>
      <c r="BK1193" s="69" t="inlineStr">
        <is>
          <t>ADAMS GROUP  INC</t>
        </is>
      </c>
      <c r="BL1193" s="75" t="n">
        <v>6.75</v>
      </c>
      <c r="BM1193" s="73" t="n">
        <v>48944</v>
      </c>
      <c r="BN1193" s="69" t="inlineStr">
        <is>
          <t>Mark B. Polite, Willis K. Polite, Dennis P. Fisco, Trent R. Isgrig, Deborah M. Dedomenico, Gregory W. Kunz, Mark Engstrom and James G. Engstrom</t>
        </is>
      </c>
      <c r="BO1193" s="69" t="inlineStr">
        <is>
          <t>Citigroup Global Markets</t>
        </is>
      </c>
      <c r="BP1193" s="69" t="inlineStr">
        <is>
          <t>KeyBank National Association</t>
        </is>
      </c>
      <c r="BQ1193" s="69" t="inlineStr">
        <is>
          <t>K-Star Asset Management LLC</t>
        </is>
      </c>
      <c r="BR1193" s="69" t="inlineStr">
        <is>
          <t>Partial Liquidation (Curtailment)</t>
        </is>
      </c>
      <c r="BS1193" s="73" t="n">
        <v>46273</v>
      </c>
      <c r="BU1193" s="76">
        <f>IF($C1193="","",IFERROR(INDEX(dmName,MATCH($C1193,dmID,0)),"Unmapped"))</f>
        <v/>
      </c>
      <c r="BV1193" s="76">
        <f>IF($C1193="","",IFERROR(INDEX(dmEntity,MATCH($C1193,dmID,0)),"Unmapped"))</f>
        <v/>
      </c>
      <c r="BW1193" s="77">
        <f>IF($C1193="","",IFERROR(INDEX(dmVintage,MATCH($C1193,dmID,0)),""))</f>
        <v/>
      </c>
      <c r="BX1193" s="78">
        <f>IFERROR(INDEX(dmInclude,MATCH($C1193,dmID,0)),0)</f>
        <v/>
      </c>
      <c r="BY1193" s="78">
        <f>IF(N($I1193)&gt;0,1,0)</f>
        <v/>
      </c>
      <c r="BZ1193" s="76">
        <f>IF($AJ1193="","Other / Leased Fee",IFERROR(INDEX(mapPTGroup,MATCH(LEFT(TRIM($AJ1193),2),mapPTCode,0)),"Other / Leased Fee"))</f>
        <v/>
      </c>
      <c r="CA1193" s="76">
        <f>IF(TRIM($AF1193&amp;"")="","NR",LEFT(TRIM($AF1193),2))</f>
        <v/>
      </c>
      <c r="CB1193" s="76">
        <f>IFERROR(LOOKUP(2,1/(LEFT(TRIM($AI1193&amp;""),LEN(mapRegion))=mapRegion),mapRegion),"Not Reported")</f>
        <v/>
      </c>
      <c r="CC1193" s="76">
        <f>IF($BY1193=0,"",IF(TRIM($W1193&amp;"")="REO","REO",IF(TRIM($W1193&amp;"")="FC","Foreclosure",IF(TRIM($W1193&amp;"")="90+","90+ Days Delinquent",IF(TRIM($W1193&amp;"")="60","60 Days Delinquent",IF(TRIM($W1193&amp;"")="30","30 Days Delinquent",IF($X1193="Non-Performing Matured Balloon","Non-Performing Matured Balloon",IF(OR($X1193="Late Payment But Less Than 30 Days Delinquent",LEFT($X1193&amp;"",20)="Payment Not Received"),"Late / In Grace (&lt;30 Days)",IF($X1193="Performing Matured Balloon","Performing Matured Balloon","Current")))))))))</f>
        <v/>
      </c>
      <c r="CD1193" s="78">
        <f>IF(OR($CC1193="REO",$CC1193="Foreclosure",$CC1193="90+ Days Delinquent",$CC1193="60 Days Delinquent",$CC1193="30 Days Delinquent",$CC1193="Non-Performing Matured Balloon"),1,0)</f>
        <v/>
      </c>
      <c r="CE1193" s="76">
        <f>IF($AB1193="Currently special serv","Currently Specially Serviced",IF($AB1193="Returned to master serv","Previously Specially Serviced","Never Specially Serviced"))</f>
        <v/>
      </c>
      <c r="CF1193" s="78">
        <f>IF($CE1193="Currently Specially Serviced",1,0)</f>
        <v/>
      </c>
      <c r="CG1193" s="76">
        <f>IF($AA1193="Yes","Currently on Watchlist",IF($AA1193="Previously","Previously on Watchlist","Never on Watchlist"))</f>
        <v/>
      </c>
      <c r="CH1193" s="78">
        <f>IF($CG1193="Currently on Watchlist",1,0)</f>
        <v/>
      </c>
      <c r="CI1193" s="76">
        <f>IF($Z1193="Full Defeasance","Fully Defeased",IF($Z1193="Portion Of Loan Previously Defeased","Partially Defeased",IF($Z1193="Defeasance Not Allowable","Not Defeased (Not Permitted)","Not Defeased")))</f>
        <v/>
      </c>
      <c r="CJ1193" s="78">
        <f>IF($CI1193="Fully Defeased",1,0)</f>
        <v/>
      </c>
      <c r="CK1193" s="76">
        <f>IF($R1193="IO","Full IO",IF(LEFT($R1193&amp;"",7)="IO then","Partial IO","Amortizing"))</f>
        <v/>
      </c>
      <c r="CL1193" s="78">
        <f>IF($CK1193="Full IO",1,0)</f>
        <v/>
      </c>
      <c r="CM1193" s="78">
        <f>IF($CK1193="Partial IO",1,0)</f>
        <v/>
      </c>
      <c r="CN1193" s="76">
        <f>IF(LEFT($F1193&amp;"",10)="SPLIT_LOAN","Pari Passu Split","Standalone")</f>
        <v/>
      </c>
      <c r="CO1193" s="78">
        <f>IF($CN1193="Pari Passu Split",1,0)</f>
        <v/>
      </c>
      <c r="CP1193" s="77">
        <f>IF(ISNUMBER($T1193),YEAR($T1193),"")</f>
        <v/>
      </c>
      <c r="CQ1193" s="79">
        <f>IF(ISNUMBER($V1193),$V1193,IF(ISNUMBER($U1193),$U1193,""))</f>
        <v/>
      </c>
      <c r="CR1193" s="77">
        <f>IF(ISNUMBER($CQ1193),YEAR($CQ1193),"")</f>
        <v/>
      </c>
      <c r="CS1193" s="78">
        <f>IF(ISNUMBER($M1193),MAX(0,$M1193),IF(TRIM($M1193&amp;"")="matured",0,""))</f>
        <v/>
      </c>
      <c r="CT1193" s="78">
        <f>IF(AND(ISNUMBER($CS1193),N($CS1193)&lt;=mMatWindow),1,0)</f>
        <v/>
      </c>
      <c r="CU1193" s="80">
        <f>IF(ISNUMBER($J1193),$J1193/100,"")</f>
        <v/>
      </c>
      <c r="CV1193" s="81">
        <f>IF(ISNUMBER($AQ1193),$AQ1193,"")</f>
        <v/>
      </c>
      <c r="CW1193" s="81">
        <f>IF(ISNUMBER($AR1193),$AR1193,"")</f>
        <v/>
      </c>
      <c r="CX1193" s="82">
        <f>IF(ISNUMBER($AS1193),$AS1193/100,"")</f>
        <v/>
      </c>
      <c r="CY1193" s="82">
        <f>IF(ISNUMBER($AT1193),$AT1193/100,"")</f>
        <v/>
      </c>
      <c r="CZ1193" s="82">
        <f>IF(ISNUMBER($AU1193),$AU1193/100,"")</f>
        <v/>
      </c>
      <c r="DA1193" s="82">
        <f>IF(ISNUMBER($AV1193),$AV1193/100,"")</f>
        <v/>
      </c>
      <c r="DB1193" s="82">
        <f>IF(ISNUMBER($AW1193),$AW1193/100,"")</f>
        <v/>
      </c>
      <c r="DC1193" s="82">
        <f>IF(ISNUMBER($AX1193),$AX1193/100,"")</f>
        <v/>
      </c>
      <c r="DD1193" s="77">
        <f>IFERROR(VALUE(LEFT(TRIM($AO1193&amp;""),4)),"")</f>
        <v/>
      </c>
      <c r="DE1193" s="78">
        <f>IF(AND($BY1193=1,$BX1193=1,OR(fDeal="All Deals",$BU1193=fDeal),OR(fEntity="All Entities",$BV1193=fEntity),OR(fPType="All Property Types",$BZ1193=fPType),OR(fDefeased="Include",$CJ1193=0)),1,0)</f>
        <v/>
      </c>
      <c r="DF1193" s="83">
        <f>$DE1193*N($I1193)</f>
        <v/>
      </c>
      <c r="DG1193" s="78">
        <f>IF($DE1193=1,IF(COUNTIFS($F$8:$F1193,$F1193,$DE$8:$DE1193,1)=1,1,0),0)</f>
        <v/>
      </c>
      <c r="DH1193" s="83">
        <f>IF($DG1193=1,SUMIFS($DF$8:$DF$1600,$F$8:$F$1600,$F1193),0)</f>
        <v/>
      </c>
      <c r="DI1193" s="78">
        <f>IF($DG1193=1,COUNTIFS($F$8:$F$1600,$F1193,$DE$8:$DE$1600,1),0)</f>
        <v/>
      </c>
      <c r="DJ1193" s="84">
        <f>IF($DG1193=1,$DH1193+(100000-ROW())/mTieBreak,0)</f>
        <v/>
      </c>
    </row>
    <row r="1194">
      <c r="B1194" s="68" t="n">
        <v>16</v>
      </c>
      <c r="C1194" s="69" t="inlineStr">
        <is>
          <t>BCMK18B6</t>
        </is>
      </c>
      <c r="D1194" s="69" t="inlineStr">
        <is>
          <t>16.000</t>
        </is>
      </c>
      <c r="E1194" s="69" t="inlineStr">
        <is>
          <t>445 Hutchinson</t>
        </is>
      </c>
      <c r="F1194" s="69" t="inlineStr">
        <is>
          <t>LNBCMK18B6-16.000</t>
        </is>
      </c>
      <c r="G1194" s="70" t="n"/>
      <c r="H1194" s="71" t="n">
        <v>21000000</v>
      </c>
      <c r="I1194" s="71" t="n">
        <v>18142389.490008</v>
      </c>
      <c r="J1194" s="72" t="n">
        <v>4.94</v>
      </c>
      <c r="K1194" s="69" t="inlineStr">
        <is>
          <t>Fixed rate</t>
        </is>
      </c>
      <c r="L1194" s="68" t="n">
        <v>120</v>
      </c>
      <c r="M1194" s="68" t="n">
        <v>24</v>
      </c>
      <c r="N1194" s="68" t="n">
        <v>360</v>
      </c>
      <c r="O1194" s="68" t="n"/>
      <c r="P1194" s="68" t="n"/>
      <c r="Q1194" s="68" t="n">
        <v>96</v>
      </c>
      <c r="R1194" s="69" t="n"/>
      <c r="S1194" s="69" t="inlineStr">
        <is>
          <t>No</t>
        </is>
      </c>
      <c r="T1194" s="73" t="n">
        <v>43344</v>
      </c>
      <c r="U1194" s="73" t="n">
        <v>47002</v>
      </c>
      <c r="V1194" s="73" t="n"/>
      <c r="W1194" s="69" t="n"/>
      <c r="X1194" s="69" t="inlineStr">
        <is>
          <t>Current</t>
        </is>
      </c>
      <c r="Y1194" s="68" t="n"/>
      <c r="Z1194" s="69" t="inlineStr">
        <is>
          <t>No Defeasance Occurred</t>
        </is>
      </c>
      <c r="AA1194" s="69" t="inlineStr">
        <is>
          <t>Yes</t>
        </is>
      </c>
      <c r="AB1194" s="69" t="inlineStr">
        <is>
          <t>Never special serv</t>
        </is>
      </c>
      <c r="AC1194" s="73" t="n"/>
      <c r="AD1194" s="69" t="n"/>
      <c r="AE1194" s="69" t="n"/>
      <c r="AF1194" s="69" t="inlineStr">
        <is>
          <t>OH</t>
        </is>
      </c>
      <c r="AG1194" s="69" t="inlineStr">
        <is>
          <t>Columbus</t>
        </is>
      </c>
      <c r="AH1194" s="69" t="inlineStr">
        <is>
          <t>Columbus, OH</t>
        </is>
      </c>
      <c r="AI1194" s="69" t="inlineStr">
        <is>
          <t>Midwest / Central East</t>
        </is>
      </c>
      <c r="AJ1194" s="69" t="inlineStr">
        <is>
          <t>OF</t>
        </is>
      </c>
      <c r="AK1194" s="69" t="inlineStr">
        <is>
          <t>Suburban</t>
        </is>
      </c>
      <c r="AL1194" s="68" t="n">
        <v>1</v>
      </c>
      <c r="AM1194" s="68" t="n"/>
      <c r="AN1194" s="68" t="n">
        <v>256495</v>
      </c>
      <c r="AO1194" s="69" t="inlineStr">
        <is>
          <t>1988</t>
        </is>
      </c>
      <c r="AP1194" s="70" t="n">
        <v>1988</v>
      </c>
      <c r="AQ1194" s="74" t="n">
        <v>1.58</v>
      </c>
      <c r="AR1194" s="74" t="n">
        <v>0.96</v>
      </c>
      <c r="AS1194" s="74" t="n">
        <v>68.09999999999999</v>
      </c>
      <c r="AT1194" s="74" t="n">
        <v>58.9</v>
      </c>
      <c r="AU1194" s="74" t="n">
        <v>55.95</v>
      </c>
      <c r="AV1194" s="74" t="n">
        <v>10.138166667</v>
      </c>
      <c r="AW1194" s="74" t="n">
        <v>6.655733417</v>
      </c>
      <c r="AX1194" s="75" t="n">
        <v>75</v>
      </c>
      <c r="AY1194" s="71" t="n">
        <v>30800000</v>
      </c>
      <c r="AZ1194" s="71" t="n">
        <v>30800000</v>
      </c>
      <c r="BA1194" s="71" t="n">
        <v>2129015</v>
      </c>
      <c r="BB1194" s="71" t="n">
        <v>642209.89</v>
      </c>
      <c r="BC1194" s="69" t="inlineStr">
        <is>
          <t>Refinance</t>
        </is>
      </c>
      <c r="BD1194" s="69" t="inlineStr">
        <is>
          <t>N</t>
        </is>
      </c>
      <c r="BE1194" s="71" t="n"/>
      <c r="BF1194" s="71" t="n"/>
      <c r="BG1194" s="71" t="n"/>
      <c r="BH1194" s="71" t="n">
        <v>0</v>
      </c>
      <c r="BI1194" s="71" t="n">
        <v>0</v>
      </c>
      <c r="BJ1194" s="69" t="inlineStr">
        <is>
          <t>N</t>
        </is>
      </c>
      <c r="BK1194" s="69" t="inlineStr">
        <is>
          <t>Arizona College of Nursing</t>
        </is>
      </c>
      <c r="BL1194" s="75" t="n">
        <v>8.039999999999999</v>
      </c>
      <c r="BM1194" s="73" t="n">
        <v>48913</v>
      </c>
      <c r="BN1194" s="69" t="inlineStr">
        <is>
          <t>Raymond Massa</t>
        </is>
      </c>
      <c r="BO1194" s="69" t="inlineStr">
        <is>
          <t>Citigroup Global Markets</t>
        </is>
      </c>
      <c r="BP1194" s="69" t="inlineStr">
        <is>
          <t>KeyBank National Association</t>
        </is>
      </c>
      <c r="BQ1194" s="69" t="inlineStr">
        <is>
          <t>K-Star Asset Management LLC</t>
        </is>
      </c>
      <c r="BR1194" s="69" t="n"/>
      <c r="BS1194" s="73" t="n">
        <v>46273</v>
      </c>
      <c r="BU1194" s="76">
        <f>IF($C1194="","",IFERROR(INDEX(dmName,MATCH($C1194,dmID,0)),"Unmapped"))</f>
        <v/>
      </c>
      <c r="BV1194" s="76">
        <f>IF($C1194="","",IFERROR(INDEX(dmEntity,MATCH($C1194,dmID,0)),"Unmapped"))</f>
        <v/>
      </c>
      <c r="BW1194" s="77">
        <f>IF($C1194="","",IFERROR(INDEX(dmVintage,MATCH($C1194,dmID,0)),""))</f>
        <v/>
      </c>
      <c r="BX1194" s="78">
        <f>IFERROR(INDEX(dmInclude,MATCH($C1194,dmID,0)),0)</f>
        <v/>
      </c>
      <c r="BY1194" s="78">
        <f>IF(N($I1194)&gt;0,1,0)</f>
        <v/>
      </c>
      <c r="BZ1194" s="76">
        <f>IF($AJ1194="","Other / Leased Fee",IFERROR(INDEX(mapPTGroup,MATCH(LEFT(TRIM($AJ1194),2),mapPTCode,0)),"Other / Leased Fee"))</f>
        <v/>
      </c>
      <c r="CA1194" s="76">
        <f>IF(TRIM($AF1194&amp;"")="","NR",LEFT(TRIM($AF1194),2))</f>
        <v/>
      </c>
      <c r="CB1194" s="76">
        <f>IFERROR(LOOKUP(2,1/(LEFT(TRIM($AI1194&amp;""),LEN(mapRegion))=mapRegion),mapRegion),"Not Reported")</f>
        <v/>
      </c>
      <c r="CC1194" s="76">
        <f>IF($BY1194=0,"",IF(TRIM($W1194&amp;"")="REO","REO",IF(TRIM($W1194&amp;"")="FC","Foreclosure",IF(TRIM($W1194&amp;"")="90+","90+ Days Delinquent",IF(TRIM($W1194&amp;"")="60","60 Days Delinquent",IF(TRIM($W1194&amp;"")="30","30 Days Delinquent",IF($X1194="Non-Performing Matured Balloon","Non-Performing Matured Balloon",IF(OR($X1194="Late Payment But Less Than 30 Days Delinquent",LEFT($X1194&amp;"",20)="Payment Not Received"),"Late / In Grace (&lt;30 Days)",IF($X1194="Performing Matured Balloon","Performing Matured Balloon","Current")))))))))</f>
        <v/>
      </c>
      <c r="CD1194" s="78">
        <f>IF(OR($CC1194="REO",$CC1194="Foreclosure",$CC1194="90+ Days Delinquent",$CC1194="60 Days Delinquent",$CC1194="30 Days Delinquent",$CC1194="Non-Performing Matured Balloon"),1,0)</f>
        <v/>
      </c>
      <c r="CE1194" s="76">
        <f>IF($AB1194="Currently special serv","Currently Specially Serviced",IF($AB1194="Returned to master serv","Previously Specially Serviced","Never Specially Serviced"))</f>
        <v/>
      </c>
      <c r="CF1194" s="78">
        <f>IF($CE1194="Currently Specially Serviced",1,0)</f>
        <v/>
      </c>
      <c r="CG1194" s="76">
        <f>IF($AA1194="Yes","Currently on Watchlist",IF($AA1194="Previously","Previously on Watchlist","Never on Watchlist"))</f>
        <v/>
      </c>
      <c r="CH1194" s="78">
        <f>IF($CG1194="Currently on Watchlist",1,0)</f>
        <v/>
      </c>
      <c r="CI1194" s="76">
        <f>IF($Z1194="Full Defeasance","Fully Defeased",IF($Z1194="Portion Of Loan Previously Defeased","Partially Defeased",IF($Z1194="Defeasance Not Allowable","Not Defeased (Not Permitted)","Not Defeased")))</f>
        <v/>
      </c>
      <c r="CJ1194" s="78">
        <f>IF($CI1194="Fully Defeased",1,0)</f>
        <v/>
      </c>
      <c r="CK1194" s="76">
        <f>IF($R1194="IO","Full IO",IF(LEFT($R1194&amp;"",7)="IO then","Partial IO","Amortizing"))</f>
        <v/>
      </c>
      <c r="CL1194" s="78">
        <f>IF($CK1194="Full IO",1,0)</f>
        <v/>
      </c>
      <c r="CM1194" s="78">
        <f>IF($CK1194="Partial IO",1,0)</f>
        <v/>
      </c>
      <c r="CN1194" s="76">
        <f>IF(LEFT($F1194&amp;"",10)="SPLIT_LOAN","Pari Passu Split","Standalone")</f>
        <v/>
      </c>
      <c r="CO1194" s="78">
        <f>IF($CN1194="Pari Passu Split",1,0)</f>
        <v/>
      </c>
      <c r="CP1194" s="77">
        <f>IF(ISNUMBER($T1194),YEAR($T1194),"")</f>
        <v/>
      </c>
      <c r="CQ1194" s="79">
        <f>IF(ISNUMBER($V1194),$V1194,IF(ISNUMBER($U1194),$U1194,""))</f>
        <v/>
      </c>
      <c r="CR1194" s="77">
        <f>IF(ISNUMBER($CQ1194),YEAR($CQ1194),"")</f>
        <v/>
      </c>
      <c r="CS1194" s="78">
        <f>IF(ISNUMBER($M1194),MAX(0,$M1194),IF(TRIM($M1194&amp;"")="matured",0,""))</f>
        <v/>
      </c>
      <c r="CT1194" s="78">
        <f>IF(AND(ISNUMBER($CS1194),N($CS1194)&lt;=mMatWindow),1,0)</f>
        <v/>
      </c>
      <c r="CU1194" s="80">
        <f>IF(ISNUMBER($J1194),$J1194/100,"")</f>
        <v/>
      </c>
      <c r="CV1194" s="81">
        <f>IF(ISNUMBER($AQ1194),$AQ1194,"")</f>
        <v/>
      </c>
      <c r="CW1194" s="81">
        <f>IF(ISNUMBER($AR1194),$AR1194,"")</f>
        <v/>
      </c>
      <c r="CX1194" s="82">
        <f>IF(ISNUMBER($AS1194),$AS1194/100,"")</f>
        <v/>
      </c>
      <c r="CY1194" s="82">
        <f>IF(ISNUMBER($AT1194),$AT1194/100,"")</f>
        <v/>
      </c>
      <c r="CZ1194" s="82">
        <f>IF(ISNUMBER($AU1194),$AU1194/100,"")</f>
        <v/>
      </c>
      <c r="DA1194" s="82">
        <f>IF(ISNUMBER($AV1194),$AV1194/100,"")</f>
        <v/>
      </c>
      <c r="DB1194" s="82">
        <f>IF(ISNUMBER($AW1194),$AW1194/100,"")</f>
        <v/>
      </c>
      <c r="DC1194" s="82">
        <f>IF(ISNUMBER($AX1194),$AX1194/100,"")</f>
        <v/>
      </c>
      <c r="DD1194" s="77">
        <f>IFERROR(VALUE(LEFT(TRIM($AO1194&amp;""),4)),"")</f>
        <v/>
      </c>
      <c r="DE1194" s="78">
        <f>IF(AND($BY1194=1,$BX1194=1,OR(fDeal="All Deals",$BU1194=fDeal),OR(fEntity="All Entities",$BV1194=fEntity),OR(fPType="All Property Types",$BZ1194=fPType),OR(fDefeased="Include",$CJ1194=0)),1,0)</f>
        <v/>
      </c>
      <c r="DF1194" s="83">
        <f>$DE1194*N($I1194)</f>
        <v/>
      </c>
      <c r="DG1194" s="78">
        <f>IF($DE1194=1,IF(COUNTIFS($F$8:$F1194,$F1194,$DE$8:$DE1194,1)=1,1,0),0)</f>
        <v/>
      </c>
      <c r="DH1194" s="83">
        <f>IF($DG1194=1,SUMIFS($DF$8:$DF$1600,$F$8:$F$1600,$F1194),0)</f>
        <v/>
      </c>
      <c r="DI1194" s="78">
        <f>IF($DG1194=1,COUNTIFS($F$8:$F$1600,$F1194,$DE$8:$DE$1600,1),0)</f>
        <v/>
      </c>
      <c r="DJ1194" s="84">
        <f>IF($DG1194=1,$DH1194+(100000-ROW())/mTieBreak,0)</f>
        <v/>
      </c>
    </row>
    <row r="1195">
      <c r="B1195" s="68" t="n">
        <v>17</v>
      </c>
      <c r="C1195" s="69" t="inlineStr">
        <is>
          <t>BCMK18B6</t>
        </is>
      </c>
      <c r="D1195" s="69" t="inlineStr">
        <is>
          <t>17.000</t>
        </is>
      </c>
      <c r="E1195" s="69" t="inlineStr">
        <is>
          <t>Elgin Office Campus</t>
        </is>
      </c>
      <c r="F1195" s="69" t="inlineStr">
        <is>
          <t>LNBCMK18B6-17.000</t>
        </is>
      </c>
      <c r="G1195" s="70" t="n"/>
      <c r="H1195" s="71" t="n">
        <v>20750000</v>
      </c>
      <c r="I1195" s="71" t="n">
        <v>11233964.66000175</v>
      </c>
      <c r="J1195" s="72" t="n">
        <v>5.128</v>
      </c>
      <c r="K1195" s="69" t="inlineStr">
        <is>
          <t>Fixed rate</t>
        </is>
      </c>
      <c r="L1195" s="68" t="n">
        <v>120</v>
      </c>
      <c r="M1195" s="68" t="n">
        <v>23</v>
      </c>
      <c r="N1195" s="68" t="n">
        <v>312</v>
      </c>
      <c r="O1195" s="68" t="n">
        <v>12</v>
      </c>
      <c r="P1195" s="68" t="n">
        <v>0</v>
      </c>
      <c r="Q1195" s="68" t="n">
        <v>97</v>
      </c>
      <c r="R1195" s="69" t="inlineStr">
        <is>
          <t>IO then Amort</t>
        </is>
      </c>
      <c r="S1195" s="69" t="inlineStr">
        <is>
          <t>No</t>
        </is>
      </c>
      <c r="T1195" s="73" t="n">
        <v>43313</v>
      </c>
      <c r="U1195" s="73" t="n">
        <v>46966</v>
      </c>
      <c r="V1195" s="73" t="n"/>
      <c r="W1195" s="69" t="inlineStr">
        <is>
          <t>REO</t>
        </is>
      </c>
      <c r="X1195" s="69" t="inlineStr">
        <is>
          <t>Late Payment But Less Than 30 Days Delinquent</t>
        </is>
      </c>
      <c r="Y1195" s="68" t="n"/>
      <c r="Z1195" s="69" t="inlineStr">
        <is>
          <t>Defeasance Not Allowable</t>
        </is>
      </c>
      <c r="AA1195" s="69" t="n"/>
      <c r="AB1195" s="69" t="inlineStr">
        <is>
          <t>Currently special serv</t>
        </is>
      </c>
      <c r="AC1195" s="73" t="n">
        <v>45216</v>
      </c>
      <c r="AD1195" s="69" t="inlineStr">
        <is>
          <t>Imminent Monetary Default (excluding Balloon/Maturity Default &amp; Single Tenant Bankruptcy/Vacate)</t>
        </is>
      </c>
      <c r="AE1195" s="69" t="inlineStr">
        <is>
          <t>REO</t>
        </is>
      </c>
      <c r="AF1195" s="69" t="inlineStr">
        <is>
          <t>IL</t>
        </is>
      </c>
      <c r="AG1195" s="69" t="inlineStr">
        <is>
          <t>Elgin</t>
        </is>
      </c>
      <c r="AH1195" s="69" t="inlineStr">
        <is>
          <t>Chicago-Naperville-Elgin, IL-IN</t>
        </is>
      </c>
      <c r="AI1195" s="69" t="inlineStr">
        <is>
          <t>Midwest / Central East</t>
        </is>
      </c>
      <c r="AJ1195" s="69" t="inlineStr">
        <is>
          <t>OF</t>
        </is>
      </c>
      <c r="AK1195" s="69" t="inlineStr">
        <is>
          <t>Suburban</t>
        </is>
      </c>
      <c r="AL1195" s="68" t="n">
        <v>1</v>
      </c>
      <c r="AM1195" s="68" t="n"/>
      <c r="AN1195" s="68" t="n">
        <v>514313</v>
      </c>
      <c r="AO1195" s="69" t="inlineStr">
        <is>
          <t>1990-1994</t>
        </is>
      </c>
      <c r="AP1195" s="70" t="n">
        <v>1994</v>
      </c>
      <c r="AQ1195" s="74" t="n">
        <v>2.07</v>
      </c>
      <c r="AR1195" s="74" t="n">
        <v>2.08</v>
      </c>
      <c r="AS1195" s="74" t="n">
        <v>49.4</v>
      </c>
      <c r="AT1195" s="74" t="n">
        <v>104.02</v>
      </c>
      <c r="AU1195" s="74" t="n">
        <v>38.7</v>
      </c>
      <c r="AV1195" s="74" t="n">
        <v>14.718766265</v>
      </c>
      <c r="AW1195" s="74" t="n">
        <v>35.286058484</v>
      </c>
      <c r="AX1195" s="75" t="n">
        <v>87</v>
      </c>
      <c r="AY1195" s="71" t="n">
        <v>42000000</v>
      </c>
      <c r="AZ1195" s="71" t="n">
        <v>10800000</v>
      </c>
      <c r="BA1195" s="71" t="n">
        <v>3054144</v>
      </c>
      <c r="BB1195" s="71" t="n">
        <v>2297105.45</v>
      </c>
      <c r="BC1195" s="69" t="inlineStr">
        <is>
          <t>Refinance</t>
        </is>
      </c>
      <c r="BD1195" s="69" t="inlineStr">
        <is>
          <t>N</t>
        </is>
      </c>
      <c r="BE1195" s="71" t="n"/>
      <c r="BF1195" s="71" t="n"/>
      <c r="BG1195" s="71" t="n"/>
      <c r="BH1195" s="71" t="n">
        <v>0</v>
      </c>
      <c r="BI1195" s="71" t="n">
        <v>122830.57</v>
      </c>
      <c r="BJ1195" s="69" t="inlineStr">
        <is>
          <t>N</t>
        </is>
      </c>
      <c r="BK1195" s="69" t="inlineStr">
        <is>
          <t>JPMorgan Chase</t>
        </is>
      </c>
      <c r="BL1195" s="75" t="n">
        <v>82.92</v>
      </c>
      <c r="BM1195" s="73" t="n">
        <v>46630</v>
      </c>
      <c r="BN1195" s="69" t="inlineStr">
        <is>
          <t>Adventus Holdings LP</t>
        </is>
      </c>
      <c r="BO1195" s="69" t="inlineStr">
        <is>
          <t>JPMorgan Chase</t>
        </is>
      </c>
      <c r="BP1195" s="69" t="inlineStr">
        <is>
          <t>KeyBank National Association</t>
        </is>
      </c>
      <c r="BQ1195" s="69" t="inlineStr">
        <is>
          <t>K-Star Asset Management LLC</t>
        </is>
      </c>
      <c r="BR1195" s="69" t="inlineStr">
        <is>
          <t>Partial Liquidation (Curtailment)</t>
        </is>
      </c>
      <c r="BS1195" s="73" t="n">
        <v>46273</v>
      </c>
      <c r="BU1195" s="76">
        <f>IF($C1195="","",IFERROR(INDEX(dmName,MATCH($C1195,dmID,0)),"Unmapped"))</f>
        <v/>
      </c>
      <c r="BV1195" s="76">
        <f>IF($C1195="","",IFERROR(INDEX(dmEntity,MATCH($C1195,dmID,0)),"Unmapped"))</f>
        <v/>
      </c>
      <c r="BW1195" s="77">
        <f>IF($C1195="","",IFERROR(INDEX(dmVintage,MATCH($C1195,dmID,0)),""))</f>
        <v/>
      </c>
      <c r="BX1195" s="78">
        <f>IFERROR(INDEX(dmInclude,MATCH($C1195,dmID,0)),0)</f>
        <v/>
      </c>
      <c r="BY1195" s="78">
        <f>IF(N($I1195)&gt;0,1,0)</f>
        <v/>
      </c>
      <c r="BZ1195" s="76">
        <f>IF($AJ1195="","Other / Leased Fee",IFERROR(INDEX(mapPTGroup,MATCH(LEFT(TRIM($AJ1195),2),mapPTCode,0)),"Other / Leased Fee"))</f>
        <v/>
      </c>
      <c r="CA1195" s="76">
        <f>IF(TRIM($AF1195&amp;"")="","NR",LEFT(TRIM($AF1195),2))</f>
        <v/>
      </c>
      <c r="CB1195" s="76">
        <f>IFERROR(LOOKUP(2,1/(LEFT(TRIM($AI1195&amp;""),LEN(mapRegion))=mapRegion),mapRegion),"Not Reported")</f>
        <v/>
      </c>
      <c r="CC1195" s="76">
        <f>IF($BY1195=0,"",IF(TRIM($W1195&amp;"")="REO","REO",IF(TRIM($W1195&amp;"")="FC","Foreclosure",IF(TRIM($W1195&amp;"")="90+","90+ Days Delinquent",IF(TRIM($W1195&amp;"")="60","60 Days Delinquent",IF(TRIM($W1195&amp;"")="30","30 Days Delinquent",IF($X1195="Non-Performing Matured Balloon","Non-Performing Matured Balloon",IF(OR($X1195="Late Payment But Less Than 30 Days Delinquent",LEFT($X1195&amp;"",20)="Payment Not Received"),"Late / In Grace (&lt;30 Days)",IF($X1195="Performing Matured Balloon","Performing Matured Balloon","Current")))))))))</f>
        <v/>
      </c>
      <c r="CD1195" s="78">
        <f>IF(OR($CC1195="REO",$CC1195="Foreclosure",$CC1195="90+ Days Delinquent",$CC1195="60 Days Delinquent",$CC1195="30 Days Delinquent",$CC1195="Non-Performing Matured Balloon"),1,0)</f>
        <v/>
      </c>
      <c r="CE1195" s="76">
        <f>IF($AB1195="Currently special serv","Currently Specially Serviced",IF($AB1195="Returned to master serv","Previously Specially Serviced","Never Specially Serviced"))</f>
        <v/>
      </c>
      <c r="CF1195" s="78">
        <f>IF($CE1195="Currently Specially Serviced",1,0)</f>
        <v/>
      </c>
      <c r="CG1195" s="76">
        <f>IF($AA1195="Yes","Currently on Watchlist",IF($AA1195="Previously","Previously on Watchlist","Never on Watchlist"))</f>
        <v/>
      </c>
      <c r="CH1195" s="78">
        <f>IF($CG1195="Currently on Watchlist",1,0)</f>
        <v/>
      </c>
      <c r="CI1195" s="76">
        <f>IF($Z1195="Full Defeasance","Fully Defeased",IF($Z1195="Portion Of Loan Previously Defeased","Partially Defeased",IF($Z1195="Defeasance Not Allowable","Not Defeased (Not Permitted)","Not Defeased")))</f>
        <v/>
      </c>
      <c r="CJ1195" s="78">
        <f>IF($CI1195="Fully Defeased",1,0)</f>
        <v/>
      </c>
      <c r="CK1195" s="76">
        <f>IF($R1195="IO","Full IO",IF(LEFT($R1195&amp;"",7)="IO then","Partial IO","Amortizing"))</f>
        <v/>
      </c>
      <c r="CL1195" s="78">
        <f>IF($CK1195="Full IO",1,0)</f>
        <v/>
      </c>
      <c r="CM1195" s="78">
        <f>IF($CK1195="Partial IO",1,0)</f>
        <v/>
      </c>
      <c r="CN1195" s="76">
        <f>IF(LEFT($F1195&amp;"",10)="SPLIT_LOAN","Pari Passu Split","Standalone")</f>
        <v/>
      </c>
      <c r="CO1195" s="78">
        <f>IF($CN1195="Pari Passu Split",1,0)</f>
        <v/>
      </c>
      <c r="CP1195" s="77">
        <f>IF(ISNUMBER($T1195),YEAR($T1195),"")</f>
        <v/>
      </c>
      <c r="CQ1195" s="79">
        <f>IF(ISNUMBER($V1195),$V1195,IF(ISNUMBER($U1195),$U1195,""))</f>
        <v/>
      </c>
      <c r="CR1195" s="77">
        <f>IF(ISNUMBER($CQ1195),YEAR($CQ1195),"")</f>
        <v/>
      </c>
      <c r="CS1195" s="78">
        <f>IF(ISNUMBER($M1195),MAX(0,$M1195),IF(TRIM($M1195&amp;"")="matured",0,""))</f>
        <v/>
      </c>
      <c r="CT1195" s="78">
        <f>IF(AND(ISNUMBER($CS1195),N($CS1195)&lt;=mMatWindow),1,0)</f>
        <v/>
      </c>
      <c r="CU1195" s="80">
        <f>IF(ISNUMBER($J1195),$J1195/100,"")</f>
        <v/>
      </c>
      <c r="CV1195" s="81">
        <f>IF(ISNUMBER($AQ1195),$AQ1195,"")</f>
        <v/>
      </c>
      <c r="CW1195" s="81">
        <f>IF(ISNUMBER($AR1195),$AR1195,"")</f>
        <v/>
      </c>
      <c r="CX1195" s="82">
        <f>IF(ISNUMBER($AS1195),$AS1195/100,"")</f>
        <v/>
      </c>
      <c r="CY1195" s="82">
        <f>IF(ISNUMBER($AT1195),$AT1195/100,"")</f>
        <v/>
      </c>
      <c r="CZ1195" s="82">
        <f>IF(ISNUMBER($AU1195),$AU1195/100,"")</f>
        <v/>
      </c>
      <c r="DA1195" s="82">
        <f>IF(ISNUMBER($AV1195),$AV1195/100,"")</f>
        <v/>
      </c>
      <c r="DB1195" s="82">
        <f>IF(ISNUMBER($AW1195),$AW1195/100,"")</f>
        <v/>
      </c>
      <c r="DC1195" s="82">
        <f>IF(ISNUMBER($AX1195),$AX1195/100,"")</f>
        <v/>
      </c>
      <c r="DD1195" s="77">
        <f>IFERROR(VALUE(LEFT(TRIM($AO1195&amp;""),4)),"")</f>
        <v/>
      </c>
      <c r="DE1195" s="78">
        <f>IF(AND($BY1195=1,$BX1195=1,OR(fDeal="All Deals",$BU1195=fDeal),OR(fEntity="All Entities",$BV1195=fEntity),OR(fPType="All Property Types",$BZ1195=fPType),OR(fDefeased="Include",$CJ1195=0)),1,0)</f>
        <v/>
      </c>
      <c r="DF1195" s="83">
        <f>$DE1195*N($I1195)</f>
        <v/>
      </c>
      <c r="DG1195" s="78">
        <f>IF($DE1195=1,IF(COUNTIFS($F$8:$F1195,$F1195,$DE$8:$DE1195,1)=1,1,0),0)</f>
        <v/>
      </c>
      <c r="DH1195" s="83">
        <f>IF($DG1195=1,SUMIFS($DF$8:$DF$1600,$F$8:$F$1600,$F1195),0)</f>
        <v/>
      </c>
      <c r="DI1195" s="78">
        <f>IF($DG1195=1,COUNTIFS($F$8:$F$1600,$F1195,$DE$8:$DE$1600,1),0)</f>
        <v/>
      </c>
      <c r="DJ1195" s="84">
        <f>IF($DG1195=1,$DH1195+(100000-ROW())/mTieBreak,0)</f>
        <v/>
      </c>
    </row>
    <row r="1196">
      <c r="B1196" s="68" t="n">
        <v>18</v>
      </c>
      <c r="C1196" s="69" t="inlineStr">
        <is>
          <t>BCMK18B6</t>
        </is>
      </c>
      <c r="D1196" s="69" t="inlineStr">
        <is>
          <t>18.000</t>
        </is>
      </c>
      <c r="E1196" s="69" t="inlineStr">
        <is>
          <t>JAGR Hotel Portfolio</t>
        </is>
      </c>
      <c r="F1196" s="69" t="inlineStr">
        <is>
          <t>SPLIT_LOAN_01306</t>
        </is>
      </c>
      <c r="G1196" s="70" t="n">
        <v>1306</v>
      </c>
      <c r="H1196" s="71" t="n">
        <v>20000000</v>
      </c>
      <c r="I1196" s="71" t="n">
        <v>18838659.68</v>
      </c>
      <c r="J1196" s="72" t="n">
        <v>5.096</v>
      </c>
      <c r="K1196" s="69" t="inlineStr">
        <is>
          <t>Fixed rate</t>
        </is>
      </c>
      <c r="L1196" s="68" t="n">
        <v>72</v>
      </c>
      <c r="M1196" s="68" t="inlineStr">
        <is>
          <t>matured</t>
        </is>
      </c>
      <c r="N1196" s="68" t="n">
        <v>396</v>
      </c>
      <c r="O1196" s="68" t="n">
        <v>53</v>
      </c>
      <c r="P1196" s="68" t="n">
        <v>0</v>
      </c>
      <c r="Q1196" s="68" t="n">
        <v>100</v>
      </c>
      <c r="R1196" s="69" t="inlineStr">
        <is>
          <t>IO then Amort</t>
        </is>
      </c>
      <c r="S1196" s="69" t="inlineStr">
        <is>
          <t>No</t>
        </is>
      </c>
      <c r="T1196" s="73" t="n">
        <v>43221</v>
      </c>
      <c r="U1196" s="73" t="n">
        <v>45413</v>
      </c>
      <c r="V1196" s="73" t="n"/>
      <c r="W1196" s="69" t="inlineStr">
        <is>
          <t>90+</t>
        </is>
      </c>
      <c r="X1196" s="69" t="inlineStr">
        <is>
          <t>Non-Performing Matured Balloon</t>
        </is>
      </c>
      <c r="Y1196" s="68" t="n">
        <v>43</v>
      </c>
      <c r="Z1196" s="69" t="inlineStr">
        <is>
          <t>Defeasance Not Allowable</t>
        </is>
      </c>
      <c r="AA1196" s="69" t="inlineStr">
        <is>
          <t>Previously</t>
        </is>
      </c>
      <c r="AB1196" s="69" t="inlineStr">
        <is>
          <t>Currently special serv</t>
        </is>
      </c>
      <c r="AC1196" s="73" t="n">
        <v>45009</v>
      </c>
      <c r="AD1196" s="69" t="inlineStr">
        <is>
          <t>Imminent Monetary Default (Balloon/Maturity Default)</t>
        </is>
      </c>
      <c r="AE1196" s="69" t="inlineStr">
        <is>
          <t>Other</t>
        </is>
      </c>
      <c r="AF1196" s="69" t="inlineStr">
        <is>
          <t>MD-33.334000012% MI-33.332999994% MS-33.332999994%</t>
        </is>
      </c>
      <c r="AG1196" s="69" t="n"/>
      <c r="AH1196" s="69" t="inlineStr">
        <is>
          <t>Baltimore-Columbia-Towson, MD-33.334000012% Grand Rapids-Wyoming-Kentwood, MI-33.332999994% Jackson, MS-33.332999994%</t>
        </is>
      </c>
      <c r="AI1196" s="69" t="inlineStr">
        <is>
          <t>South / Atlantic-33.334000012% Midwest / Central East-33.332999994% South / Central East-33.332999994%</t>
        </is>
      </c>
      <c r="AJ1196" s="69" t="inlineStr">
        <is>
          <t>HT</t>
        </is>
      </c>
      <c r="AK1196" s="69" t="inlineStr">
        <is>
          <t>Full Service</t>
        </is>
      </c>
      <c r="AL1196" s="68" t="n">
        <v>3</v>
      </c>
      <c r="AM1196" s="68" t="n">
        <v>721</v>
      </c>
      <c r="AN1196" s="68" t="n"/>
      <c r="AO1196" s="69" t="n"/>
      <c r="AP1196" s="70" t="n">
        <v>2015</v>
      </c>
      <c r="AQ1196" s="74" t="n">
        <v>1.8</v>
      </c>
      <c r="AR1196" s="74" t="n">
        <v>-0.29</v>
      </c>
      <c r="AS1196" s="74" t="n">
        <v>66.7</v>
      </c>
      <c r="AT1196" s="74" t="n">
        <v>110.15</v>
      </c>
      <c r="AU1196" s="74" t="n">
        <v>64.8</v>
      </c>
      <c r="AV1196" s="74" t="n">
        <v>11.695283673</v>
      </c>
      <c r="AW1196" s="74" t="n">
        <v>2.385431068</v>
      </c>
      <c r="AX1196" s="75" t="n">
        <v>54</v>
      </c>
      <c r="AY1196" s="71" t="n">
        <v>73500000</v>
      </c>
      <c r="AZ1196" s="71" t="n">
        <v>41900000</v>
      </c>
      <c r="BA1196" s="71" t="n">
        <v>5730689</v>
      </c>
      <c r="BB1196" s="71" t="n">
        <v>-877125.47</v>
      </c>
      <c r="BC1196" s="69" t="inlineStr">
        <is>
          <t>Refinance</t>
        </is>
      </c>
      <c r="BD1196" s="69" t="inlineStr">
        <is>
          <t>N</t>
        </is>
      </c>
      <c r="BE1196" s="71" t="n">
        <v>27316056.54</v>
      </c>
      <c r="BF1196" s="71" t="n"/>
      <c r="BG1196" s="71" t="n">
        <v>5000000</v>
      </c>
      <c r="BH1196" s="71" t="n">
        <v>3057713.69</v>
      </c>
      <c r="BI1196" s="71" t="n">
        <v>4301242.23</v>
      </c>
      <c r="BJ1196" s="69" t="inlineStr">
        <is>
          <t>Y</t>
        </is>
      </c>
      <c r="BK1196" s="69" t="n"/>
      <c r="BL1196" s="75" t="n"/>
      <c r="BM1196" s="73" t="n"/>
      <c r="BN1196" s="69" t="inlineStr">
        <is>
          <t>Chad Cooley, Russell Flicker, Jonathan Rosenfeld and Bernard Michael</t>
        </is>
      </c>
      <c r="BO1196" s="69" t="inlineStr">
        <is>
          <t>JPMorgan Chase</t>
        </is>
      </c>
      <c r="BP1196" s="69" t="inlineStr">
        <is>
          <t>KeyBank National Association</t>
        </is>
      </c>
      <c r="BQ1196" s="69" t="inlineStr">
        <is>
          <t>CWCapital</t>
        </is>
      </c>
      <c r="BR1196" s="69" t="n"/>
      <c r="BS1196" s="73" t="n">
        <v>46273</v>
      </c>
      <c r="BU1196" s="76">
        <f>IF($C1196="","",IFERROR(INDEX(dmName,MATCH($C1196,dmID,0)),"Unmapped"))</f>
        <v/>
      </c>
      <c r="BV1196" s="76">
        <f>IF($C1196="","",IFERROR(INDEX(dmEntity,MATCH($C1196,dmID,0)),"Unmapped"))</f>
        <v/>
      </c>
      <c r="BW1196" s="77">
        <f>IF($C1196="","",IFERROR(INDEX(dmVintage,MATCH($C1196,dmID,0)),""))</f>
        <v/>
      </c>
      <c r="BX1196" s="78">
        <f>IFERROR(INDEX(dmInclude,MATCH($C1196,dmID,0)),0)</f>
        <v/>
      </c>
      <c r="BY1196" s="78">
        <f>IF(N($I1196)&gt;0,1,0)</f>
        <v/>
      </c>
      <c r="BZ1196" s="76">
        <f>IF($AJ1196="","Other / Leased Fee",IFERROR(INDEX(mapPTGroup,MATCH(LEFT(TRIM($AJ1196),2),mapPTCode,0)),"Other / Leased Fee"))</f>
        <v/>
      </c>
      <c r="CA1196" s="76">
        <f>IF(TRIM($AF1196&amp;"")="","NR",LEFT(TRIM($AF1196),2))</f>
        <v/>
      </c>
      <c r="CB1196" s="76">
        <f>IFERROR(LOOKUP(2,1/(LEFT(TRIM($AI1196&amp;""),LEN(mapRegion))=mapRegion),mapRegion),"Not Reported")</f>
        <v/>
      </c>
      <c r="CC1196" s="76">
        <f>IF($BY1196=0,"",IF(TRIM($W1196&amp;"")="REO","REO",IF(TRIM($W1196&amp;"")="FC","Foreclosure",IF(TRIM($W1196&amp;"")="90+","90+ Days Delinquent",IF(TRIM($W1196&amp;"")="60","60 Days Delinquent",IF(TRIM($W1196&amp;"")="30","30 Days Delinquent",IF($X1196="Non-Performing Matured Balloon","Non-Performing Matured Balloon",IF(OR($X1196="Late Payment But Less Than 30 Days Delinquent",LEFT($X1196&amp;"",20)="Payment Not Received"),"Late / In Grace (&lt;30 Days)",IF($X1196="Performing Matured Balloon","Performing Matured Balloon","Current")))))))))</f>
        <v/>
      </c>
      <c r="CD1196" s="78">
        <f>IF(OR($CC1196="REO",$CC1196="Foreclosure",$CC1196="90+ Days Delinquent",$CC1196="60 Days Delinquent",$CC1196="30 Days Delinquent",$CC1196="Non-Performing Matured Balloon"),1,0)</f>
        <v/>
      </c>
      <c r="CE1196" s="76">
        <f>IF($AB1196="Currently special serv","Currently Specially Serviced",IF($AB1196="Returned to master serv","Previously Specially Serviced","Never Specially Serviced"))</f>
        <v/>
      </c>
      <c r="CF1196" s="78">
        <f>IF($CE1196="Currently Specially Serviced",1,0)</f>
        <v/>
      </c>
      <c r="CG1196" s="76">
        <f>IF($AA1196="Yes","Currently on Watchlist",IF($AA1196="Previously","Previously on Watchlist","Never on Watchlist"))</f>
        <v/>
      </c>
      <c r="CH1196" s="78">
        <f>IF($CG1196="Currently on Watchlist",1,0)</f>
        <v/>
      </c>
      <c r="CI1196" s="76">
        <f>IF($Z1196="Full Defeasance","Fully Defeased",IF($Z1196="Portion Of Loan Previously Defeased","Partially Defeased",IF($Z1196="Defeasance Not Allowable","Not Defeased (Not Permitted)","Not Defeased")))</f>
        <v/>
      </c>
      <c r="CJ1196" s="78">
        <f>IF($CI1196="Fully Defeased",1,0)</f>
        <v/>
      </c>
      <c r="CK1196" s="76">
        <f>IF($R1196="IO","Full IO",IF(LEFT($R1196&amp;"",7)="IO then","Partial IO","Amortizing"))</f>
        <v/>
      </c>
      <c r="CL1196" s="78">
        <f>IF($CK1196="Full IO",1,0)</f>
        <v/>
      </c>
      <c r="CM1196" s="78">
        <f>IF($CK1196="Partial IO",1,0)</f>
        <v/>
      </c>
      <c r="CN1196" s="76">
        <f>IF(LEFT($F1196&amp;"",10)="SPLIT_LOAN","Pari Passu Split","Standalone")</f>
        <v/>
      </c>
      <c r="CO1196" s="78">
        <f>IF($CN1196="Pari Passu Split",1,0)</f>
        <v/>
      </c>
      <c r="CP1196" s="77">
        <f>IF(ISNUMBER($T1196),YEAR($T1196),"")</f>
        <v/>
      </c>
      <c r="CQ1196" s="79">
        <f>IF(ISNUMBER($V1196),$V1196,IF(ISNUMBER($U1196),$U1196,""))</f>
        <v/>
      </c>
      <c r="CR1196" s="77">
        <f>IF(ISNUMBER($CQ1196),YEAR($CQ1196),"")</f>
        <v/>
      </c>
      <c r="CS1196" s="78">
        <f>IF(ISNUMBER($M1196),MAX(0,$M1196),IF(TRIM($M1196&amp;"")="matured",0,""))</f>
        <v/>
      </c>
      <c r="CT1196" s="78">
        <f>IF(AND(ISNUMBER($CS1196),N($CS1196)&lt;=mMatWindow),1,0)</f>
        <v/>
      </c>
      <c r="CU1196" s="80">
        <f>IF(ISNUMBER($J1196),$J1196/100,"")</f>
        <v/>
      </c>
      <c r="CV1196" s="81">
        <f>IF(ISNUMBER($AQ1196),$AQ1196,"")</f>
        <v/>
      </c>
      <c r="CW1196" s="81">
        <f>IF(ISNUMBER($AR1196),$AR1196,"")</f>
        <v/>
      </c>
      <c r="CX1196" s="82">
        <f>IF(ISNUMBER($AS1196),$AS1196/100,"")</f>
        <v/>
      </c>
      <c r="CY1196" s="82">
        <f>IF(ISNUMBER($AT1196),$AT1196/100,"")</f>
        <v/>
      </c>
      <c r="CZ1196" s="82">
        <f>IF(ISNUMBER($AU1196),$AU1196/100,"")</f>
        <v/>
      </c>
      <c r="DA1196" s="82">
        <f>IF(ISNUMBER($AV1196),$AV1196/100,"")</f>
        <v/>
      </c>
      <c r="DB1196" s="82">
        <f>IF(ISNUMBER($AW1196),$AW1196/100,"")</f>
        <v/>
      </c>
      <c r="DC1196" s="82">
        <f>IF(ISNUMBER($AX1196),$AX1196/100,"")</f>
        <v/>
      </c>
      <c r="DD1196" s="77">
        <f>IFERROR(VALUE(LEFT(TRIM($AO1196&amp;""),4)),"")</f>
        <v/>
      </c>
      <c r="DE1196" s="78">
        <f>IF(AND($BY1196=1,$BX1196=1,OR(fDeal="All Deals",$BU1196=fDeal),OR(fEntity="All Entities",$BV1196=fEntity),OR(fPType="All Property Types",$BZ1196=fPType),OR(fDefeased="Include",$CJ1196=0)),1,0)</f>
        <v/>
      </c>
      <c r="DF1196" s="83">
        <f>$DE1196*N($I1196)</f>
        <v/>
      </c>
      <c r="DG1196" s="78">
        <f>IF($DE1196=1,IF(COUNTIFS($F$8:$F1196,$F1196,$DE$8:$DE1196,1)=1,1,0),0)</f>
        <v/>
      </c>
      <c r="DH1196" s="83">
        <f>IF($DG1196=1,SUMIFS($DF$8:$DF$1600,$F$8:$F$1600,$F1196),0)</f>
        <v/>
      </c>
      <c r="DI1196" s="78">
        <f>IF($DG1196=1,COUNTIFS($F$8:$F$1600,$F1196,$DE$8:$DE$1600,1),0)</f>
        <v/>
      </c>
      <c r="DJ1196" s="84">
        <f>IF($DG1196=1,$DH1196+(100000-ROW())/mTieBreak,0)</f>
        <v/>
      </c>
    </row>
    <row r="1197">
      <c r="B1197" s="68" t="n">
        <v>19</v>
      </c>
      <c r="C1197" s="69" t="inlineStr">
        <is>
          <t>BCMK18B6</t>
        </is>
      </c>
      <c r="D1197" s="69" t="inlineStr">
        <is>
          <t>19.000</t>
        </is>
      </c>
      <c r="E1197" s="69" t="inlineStr">
        <is>
          <t>Concord Plaza</t>
        </is>
      </c>
      <c r="F1197" s="69" t="inlineStr">
        <is>
          <t>SPLIT_LOAN_01357</t>
        </is>
      </c>
      <c r="G1197" s="70" t="n">
        <v>1357</v>
      </c>
      <c r="H1197" s="71" t="n">
        <v>20000000</v>
      </c>
      <c r="I1197" s="71" t="n">
        <v>17660902.78</v>
      </c>
      <c r="J1197" s="72" t="n">
        <v>5.24</v>
      </c>
      <c r="K1197" s="69" t="inlineStr">
        <is>
          <t>Fixed rate</t>
        </is>
      </c>
      <c r="L1197" s="68" t="n">
        <v>96</v>
      </c>
      <c r="M1197" s="68" t="inlineStr">
        <is>
          <t>matured</t>
        </is>
      </c>
      <c r="N1197" s="68" t="n">
        <v>396</v>
      </c>
      <c r="O1197" s="68" t="n">
        <v>36</v>
      </c>
      <c r="P1197" s="68" t="n">
        <v>0</v>
      </c>
      <c r="Q1197" s="68" t="n">
        <v>96</v>
      </c>
      <c r="R1197" s="69" t="inlineStr">
        <is>
          <t>IO then Amort</t>
        </is>
      </c>
      <c r="S1197" s="69" t="inlineStr">
        <is>
          <t>No</t>
        </is>
      </c>
      <c r="T1197" s="73" t="n">
        <v>43344</v>
      </c>
      <c r="U1197" s="73" t="n">
        <v>46270</v>
      </c>
      <c r="V1197" s="73" t="n"/>
      <c r="W1197" s="69" t="n"/>
      <c r="X1197" s="69" t="inlineStr">
        <is>
          <t>Current</t>
        </is>
      </c>
      <c r="Y1197" s="68" t="n"/>
      <c r="Z1197" s="69" t="inlineStr">
        <is>
          <t>No Defeasance Occurred</t>
        </is>
      </c>
      <c r="AA1197" s="69" t="inlineStr">
        <is>
          <t>Yes</t>
        </is>
      </c>
      <c r="AB1197" s="69" t="inlineStr">
        <is>
          <t>Returned to master serv</t>
        </is>
      </c>
      <c r="AC1197" s="73" t="n"/>
      <c r="AD1197" s="69" t="inlineStr">
        <is>
          <t>Imminent Monetary Default (excluding Balloon/Maturity Default &amp; Single Tenant Bankruptcy/Vacate)</t>
        </is>
      </c>
      <c r="AE1197" s="69" t="inlineStr">
        <is>
          <t>Resolved</t>
        </is>
      </c>
      <c r="AF1197" s="69" t="inlineStr">
        <is>
          <t>DE</t>
        </is>
      </c>
      <c r="AG1197" s="69" t="inlineStr">
        <is>
          <t>Wilmington</t>
        </is>
      </c>
      <c r="AH1197" s="69" t="inlineStr">
        <is>
          <t>Philadelphia-Camden-Wilmington, PA-NJ-DE-MD</t>
        </is>
      </c>
      <c r="AI1197" s="69" t="inlineStr">
        <is>
          <t>Northeast / Mid-Atlantic</t>
        </is>
      </c>
      <c r="AJ1197" s="69" t="inlineStr">
        <is>
          <t>OF</t>
        </is>
      </c>
      <c r="AK1197" s="69" t="inlineStr">
        <is>
          <t>CBD</t>
        </is>
      </c>
      <c r="AL1197" s="68" t="n">
        <v>1</v>
      </c>
      <c r="AM1197" s="68" t="n"/>
      <c r="AN1197" s="68" t="n">
        <v>358740</v>
      </c>
      <c r="AO1197" s="69" t="inlineStr">
        <is>
          <t>1968</t>
        </is>
      </c>
      <c r="AP1197" s="70" t="n">
        <v>2005</v>
      </c>
      <c r="AQ1197" s="74" t="n">
        <v>1.36</v>
      </c>
      <c r="AR1197" s="74" t="n">
        <v>1.37</v>
      </c>
      <c r="AS1197" s="74" t="n">
        <v>74.14</v>
      </c>
      <c r="AT1197" s="74" t="n">
        <v>80.94</v>
      </c>
      <c r="AU1197" s="74" t="n">
        <v>72.09999999999999</v>
      </c>
      <c r="AV1197" s="74" t="n">
        <v>9.011866667</v>
      </c>
      <c r="AW1197" s="74" t="n">
        <v>8.350711538000001</v>
      </c>
      <c r="AX1197" s="75" t="n">
        <v>72</v>
      </c>
      <c r="AY1197" s="71" t="n">
        <v>52600000</v>
      </c>
      <c r="AZ1197" s="71" t="n">
        <v>42550000</v>
      </c>
      <c r="BA1197" s="71" t="n">
        <v>3514628</v>
      </c>
      <c r="BB1197" s="71" t="n">
        <v>1692948.76</v>
      </c>
      <c r="BC1197" s="69" t="inlineStr">
        <is>
          <t>Refinance</t>
        </is>
      </c>
      <c r="BD1197" s="69" t="inlineStr">
        <is>
          <t>N</t>
        </is>
      </c>
      <c r="BE1197" s="71" t="n">
        <v>16777857.64</v>
      </c>
      <c r="BF1197" s="71" t="n"/>
      <c r="BG1197" s="71" t="n"/>
      <c r="BH1197" s="71" t="n">
        <v>0</v>
      </c>
      <c r="BI1197" s="71" t="n">
        <v>0</v>
      </c>
      <c r="BJ1197" s="69" t="inlineStr">
        <is>
          <t>Y</t>
        </is>
      </c>
      <c r="BK1197" s="69" t="inlineStr">
        <is>
          <t>Advanced Materials Technology</t>
        </is>
      </c>
      <c r="BL1197" s="75" t="n">
        <v>8.35</v>
      </c>
      <c r="BM1197" s="73" t="n">
        <v>46387</v>
      </c>
      <c r="BN1197" s="69" t="inlineStr">
        <is>
          <t>Robert E. Buccini, Christopher F. Buccini and David B. Pollin</t>
        </is>
      </c>
      <c r="BO1197" s="69" t="inlineStr">
        <is>
          <t>Citigroup Global Markets</t>
        </is>
      </c>
      <c r="BP1197" s="69" t="inlineStr">
        <is>
          <t>KeyBank National Association</t>
        </is>
      </c>
      <c r="BQ1197" s="69" t="inlineStr">
        <is>
          <t>K-Star Asset Management LLC</t>
        </is>
      </c>
      <c r="BR1197" s="69" t="inlineStr">
        <is>
          <t>Partial Liquidation (Curtailment)</t>
        </is>
      </c>
      <c r="BS1197" s="73" t="n">
        <v>46273</v>
      </c>
      <c r="BU1197" s="76">
        <f>IF($C1197="","",IFERROR(INDEX(dmName,MATCH($C1197,dmID,0)),"Unmapped"))</f>
        <v/>
      </c>
      <c r="BV1197" s="76">
        <f>IF($C1197="","",IFERROR(INDEX(dmEntity,MATCH($C1197,dmID,0)),"Unmapped"))</f>
        <v/>
      </c>
      <c r="BW1197" s="77">
        <f>IF($C1197="","",IFERROR(INDEX(dmVintage,MATCH($C1197,dmID,0)),""))</f>
        <v/>
      </c>
      <c r="BX1197" s="78">
        <f>IFERROR(INDEX(dmInclude,MATCH($C1197,dmID,0)),0)</f>
        <v/>
      </c>
      <c r="BY1197" s="78">
        <f>IF(N($I1197)&gt;0,1,0)</f>
        <v/>
      </c>
      <c r="BZ1197" s="76">
        <f>IF($AJ1197="","Other / Leased Fee",IFERROR(INDEX(mapPTGroup,MATCH(LEFT(TRIM($AJ1197),2),mapPTCode,0)),"Other / Leased Fee"))</f>
        <v/>
      </c>
      <c r="CA1197" s="76">
        <f>IF(TRIM($AF1197&amp;"")="","NR",LEFT(TRIM($AF1197),2))</f>
        <v/>
      </c>
      <c r="CB1197" s="76">
        <f>IFERROR(LOOKUP(2,1/(LEFT(TRIM($AI1197&amp;""),LEN(mapRegion))=mapRegion),mapRegion),"Not Reported")</f>
        <v/>
      </c>
      <c r="CC1197" s="76">
        <f>IF($BY1197=0,"",IF(TRIM($W1197&amp;"")="REO","REO",IF(TRIM($W1197&amp;"")="FC","Foreclosure",IF(TRIM($W1197&amp;"")="90+","90+ Days Delinquent",IF(TRIM($W1197&amp;"")="60","60 Days Delinquent",IF(TRIM($W1197&amp;"")="30","30 Days Delinquent",IF($X1197="Non-Performing Matured Balloon","Non-Performing Matured Balloon",IF(OR($X1197="Late Payment But Less Than 30 Days Delinquent",LEFT($X1197&amp;"",20)="Payment Not Received"),"Late / In Grace (&lt;30 Days)",IF($X1197="Performing Matured Balloon","Performing Matured Balloon","Current")))))))))</f>
        <v/>
      </c>
      <c r="CD1197" s="78">
        <f>IF(OR($CC1197="REO",$CC1197="Foreclosure",$CC1197="90+ Days Delinquent",$CC1197="60 Days Delinquent",$CC1197="30 Days Delinquent",$CC1197="Non-Performing Matured Balloon"),1,0)</f>
        <v/>
      </c>
      <c r="CE1197" s="76">
        <f>IF($AB1197="Currently special serv","Currently Specially Serviced",IF($AB1197="Returned to master serv","Previously Specially Serviced","Never Specially Serviced"))</f>
        <v/>
      </c>
      <c r="CF1197" s="78">
        <f>IF($CE1197="Currently Specially Serviced",1,0)</f>
        <v/>
      </c>
      <c r="CG1197" s="76">
        <f>IF($AA1197="Yes","Currently on Watchlist",IF($AA1197="Previously","Previously on Watchlist","Never on Watchlist"))</f>
        <v/>
      </c>
      <c r="CH1197" s="78">
        <f>IF($CG1197="Currently on Watchlist",1,0)</f>
        <v/>
      </c>
      <c r="CI1197" s="76">
        <f>IF($Z1197="Full Defeasance","Fully Defeased",IF($Z1197="Portion Of Loan Previously Defeased","Partially Defeased",IF($Z1197="Defeasance Not Allowable","Not Defeased (Not Permitted)","Not Defeased")))</f>
        <v/>
      </c>
      <c r="CJ1197" s="78">
        <f>IF($CI1197="Fully Defeased",1,0)</f>
        <v/>
      </c>
      <c r="CK1197" s="76">
        <f>IF($R1197="IO","Full IO",IF(LEFT($R1197&amp;"",7)="IO then","Partial IO","Amortizing"))</f>
        <v/>
      </c>
      <c r="CL1197" s="78">
        <f>IF($CK1197="Full IO",1,0)</f>
        <v/>
      </c>
      <c r="CM1197" s="78">
        <f>IF($CK1197="Partial IO",1,0)</f>
        <v/>
      </c>
      <c r="CN1197" s="76">
        <f>IF(LEFT($F1197&amp;"",10)="SPLIT_LOAN","Pari Passu Split","Standalone")</f>
        <v/>
      </c>
      <c r="CO1197" s="78">
        <f>IF($CN1197="Pari Passu Split",1,0)</f>
        <v/>
      </c>
      <c r="CP1197" s="77">
        <f>IF(ISNUMBER($T1197),YEAR($T1197),"")</f>
        <v/>
      </c>
      <c r="CQ1197" s="79">
        <f>IF(ISNUMBER($V1197),$V1197,IF(ISNUMBER($U1197),$U1197,""))</f>
        <v/>
      </c>
      <c r="CR1197" s="77">
        <f>IF(ISNUMBER($CQ1197),YEAR($CQ1197),"")</f>
        <v/>
      </c>
      <c r="CS1197" s="78">
        <f>IF(ISNUMBER($M1197),MAX(0,$M1197),IF(TRIM($M1197&amp;"")="matured",0,""))</f>
        <v/>
      </c>
      <c r="CT1197" s="78">
        <f>IF(AND(ISNUMBER($CS1197),N($CS1197)&lt;=mMatWindow),1,0)</f>
        <v/>
      </c>
      <c r="CU1197" s="80">
        <f>IF(ISNUMBER($J1197),$J1197/100,"")</f>
        <v/>
      </c>
      <c r="CV1197" s="81">
        <f>IF(ISNUMBER($AQ1197),$AQ1197,"")</f>
        <v/>
      </c>
      <c r="CW1197" s="81">
        <f>IF(ISNUMBER($AR1197),$AR1197,"")</f>
        <v/>
      </c>
      <c r="CX1197" s="82">
        <f>IF(ISNUMBER($AS1197),$AS1197/100,"")</f>
        <v/>
      </c>
      <c r="CY1197" s="82">
        <f>IF(ISNUMBER($AT1197),$AT1197/100,"")</f>
        <v/>
      </c>
      <c r="CZ1197" s="82">
        <f>IF(ISNUMBER($AU1197),$AU1197/100,"")</f>
        <v/>
      </c>
      <c r="DA1197" s="82">
        <f>IF(ISNUMBER($AV1197),$AV1197/100,"")</f>
        <v/>
      </c>
      <c r="DB1197" s="82">
        <f>IF(ISNUMBER($AW1197),$AW1197/100,"")</f>
        <v/>
      </c>
      <c r="DC1197" s="82">
        <f>IF(ISNUMBER($AX1197),$AX1197/100,"")</f>
        <v/>
      </c>
      <c r="DD1197" s="77">
        <f>IFERROR(VALUE(LEFT(TRIM($AO1197&amp;""),4)),"")</f>
        <v/>
      </c>
      <c r="DE1197" s="78">
        <f>IF(AND($BY1197=1,$BX1197=1,OR(fDeal="All Deals",$BU1197=fDeal),OR(fEntity="All Entities",$BV1197=fEntity),OR(fPType="All Property Types",$BZ1197=fPType),OR(fDefeased="Include",$CJ1197=0)),1,0)</f>
        <v/>
      </c>
      <c r="DF1197" s="83">
        <f>$DE1197*N($I1197)</f>
        <v/>
      </c>
      <c r="DG1197" s="78">
        <f>IF($DE1197=1,IF(COUNTIFS($F$8:$F1197,$F1197,$DE$8:$DE1197,1)=1,1,0),0)</f>
        <v/>
      </c>
      <c r="DH1197" s="83">
        <f>IF($DG1197=1,SUMIFS($DF$8:$DF$1600,$F$8:$F$1600,$F1197),0)</f>
        <v/>
      </c>
      <c r="DI1197" s="78">
        <f>IF($DG1197=1,COUNTIFS($F$8:$F$1600,$F1197,$DE$8:$DE$1600,1),0)</f>
        <v/>
      </c>
      <c r="DJ1197" s="84">
        <f>IF($DG1197=1,$DH1197+(100000-ROW())/mTieBreak,0)</f>
        <v/>
      </c>
    </row>
    <row r="1198">
      <c r="B1198" s="68" t="n">
        <v>20</v>
      </c>
      <c r="C1198" s="69" t="inlineStr">
        <is>
          <t>BCMK18B6</t>
        </is>
      </c>
      <c r="D1198" s="69" t="inlineStr">
        <is>
          <t>20.000</t>
        </is>
      </c>
      <c r="E1198" s="69" t="inlineStr">
        <is>
          <t>El Paso &amp; Las Cruces Hilton Portfolio</t>
        </is>
      </c>
      <c r="F1198" s="69" t="inlineStr">
        <is>
          <t>LNBCMK18B6-20.000</t>
        </is>
      </c>
      <c r="G1198" s="70" t="n"/>
      <c r="H1198" s="71" t="n">
        <v>16100000</v>
      </c>
      <c r="I1198" s="71" t="n">
        <v>13703969.02</v>
      </c>
      <c r="J1198" s="72" t="n">
        <v>4.45</v>
      </c>
      <c r="K1198" s="69" t="inlineStr">
        <is>
          <t>Fixed rate</t>
        </is>
      </c>
      <c r="L1198" s="68" t="n">
        <v>120</v>
      </c>
      <c r="M1198" s="68" t="n">
        <v>23</v>
      </c>
      <c r="N1198" s="68" t="n">
        <v>360</v>
      </c>
      <c r="O1198" s="68" t="n"/>
      <c r="P1198" s="68" t="n"/>
      <c r="Q1198" s="68" t="n">
        <v>97</v>
      </c>
      <c r="R1198" s="69" t="n"/>
      <c r="S1198" s="69" t="inlineStr">
        <is>
          <t>No</t>
        </is>
      </c>
      <c r="T1198" s="73" t="n">
        <v>43313</v>
      </c>
      <c r="U1198" s="73" t="n">
        <v>46971</v>
      </c>
      <c r="V1198" s="73" t="n"/>
      <c r="W1198" s="69" t="n"/>
      <c r="X1198" s="69" t="inlineStr">
        <is>
          <t>Current</t>
        </is>
      </c>
      <c r="Y1198" s="68" t="n"/>
      <c r="Z1198" s="69" t="inlineStr">
        <is>
          <t>No Defeasance Occurred</t>
        </is>
      </c>
      <c r="AA1198" s="69" t="n"/>
      <c r="AB1198" s="69" t="inlineStr">
        <is>
          <t>Never special serv</t>
        </is>
      </c>
      <c r="AC1198" s="73" t="n"/>
      <c r="AD1198" s="69" t="n"/>
      <c r="AE1198" s="69" t="n"/>
      <c r="AF1198" s="69" t="inlineStr">
        <is>
          <t>TX-52.173909979% NM-47.826090021%</t>
        </is>
      </c>
      <c r="AG1198" s="69" t="n"/>
      <c r="AH1198" s="69" t="inlineStr">
        <is>
          <t>El Paso, TX-52.173909979% Las Cruces, NM-47.826090021%</t>
        </is>
      </c>
      <c r="AI1198" s="69" t="inlineStr">
        <is>
          <t>South / Central West-52.173909979% West / Mountain-47.826090021%</t>
        </is>
      </c>
      <c r="AJ1198" s="69" t="inlineStr">
        <is>
          <t>HT</t>
        </is>
      </c>
      <c r="AK1198" s="69" t="n"/>
      <c r="AL1198" s="68" t="n">
        <v>2</v>
      </c>
      <c r="AM1198" s="68" t="n">
        <v>192</v>
      </c>
      <c r="AN1198" s="68" t="n"/>
      <c r="AO1198" s="69" t="n"/>
      <c r="AP1198" s="70" t="n">
        <v>2017</v>
      </c>
      <c r="AQ1198" s="74" t="n">
        <v>2.2</v>
      </c>
      <c r="AR1198" s="74" t="n">
        <v>3.99</v>
      </c>
      <c r="AS1198" s="74" t="n">
        <v>58.4</v>
      </c>
      <c r="AT1198" s="74" t="n">
        <v>49.83</v>
      </c>
      <c r="AU1198" s="74" t="n">
        <v>47.26</v>
      </c>
      <c r="AV1198" s="74" t="n">
        <v>13.317012422</v>
      </c>
      <c r="AW1198" s="74" t="n">
        <v>22.233299021</v>
      </c>
      <c r="AX1198" s="75" t="n">
        <v>87</v>
      </c>
      <c r="AY1198" s="71" t="n">
        <v>27500000</v>
      </c>
      <c r="AZ1198" s="71" t="n">
        <v>27500000</v>
      </c>
      <c r="BA1198" s="71" t="n">
        <v>2144039</v>
      </c>
      <c r="BB1198" s="71" t="n">
        <v>1942574.56</v>
      </c>
      <c r="BC1198" s="69" t="inlineStr">
        <is>
          <t>Refinance</t>
        </is>
      </c>
      <c r="BD1198" s="69" t="inlineStr">
        <is>
          <t>N</t>
        </is>
      </c>
      <c r="BE1198" s="71" t="n"/>
      <c r="BF1198" s="71" t="n"/>
      <c r="BG1198" s="71" t="n"/>
      <c r="BH1198" s="71" t="n">
        <v>0</v>
      </c>
      <c r="BI1198" s="71" t="n">
        <v>0</v>
      </c>
      <c r="BJ1198" s="69" t="inlineStr">
        <is>
          <t>N</t>
        </is>
      </c>
      <c r="BK1198" s="69" t="n"/>
      <c r="BL1198" s="75" t="n"/>
      <c r="BM1198" s="73" t="n"/>
      <c r="BN1198" s="69" t="inlineStr">
        <is>
          <t>Dhirendra Patel</t>
        </is>
      </c>
      <c r="BO1198" s="69" t="inlineStr">
        <is>
          <t>Citigroup Global Markets</t>
        </is>
      </c>
      <c r="BP1198" s="69" t="inlineStr">
        <is>
          <t>KeyBank National Association</t>
        </is>
      </c>
      <c r="BQ1198" s="69" t="inlineStr">
        <is>
          <t>K-Star Asset Management LLC</t>
        </is>
      </c>
      <c r="BR1198" s="69" t="n"/>
      <c r="BS1198" s="73" t="n">
        <v>46273</v>
      </c>
      <c r="BU1198" s="76">
        <f>IF($C1198="","",IFERROR(INDEX(dmName,MATCH($C1198,dmID,0)),"Unmapped"))</f>
        <v/>
      </c>
      <c r="BV1198" s="76">
        <f>IF($C1198="","",IFERROR(INDEX(dmEntity,MATCH($C1198,dmID,0)),"Unmapped"))</f>
        <v/>
      </c>
      <c r="BW1198" s="77">
        <f>IF($C1198="","",IFERROR(INDEX(dmVintage,MATCH($C1198,dmID,0)),""))</f>
        <v/>
      </c>
      <c r="BX1198" s="78">
        <f>IFERROR(INDEX(dmInclude,MATCH($C1198,dmID,0)),0)</f>
        <v/>
      </c>
      <c r="BY1198" s="78">
        <f>IF(N($I1198)&gt;0,1,0)</f>
        <v/>
      </c>
      <c r="BZ1198" s="76">
        <f>IF($AJ1198="","Other / Leased Fee",IFERROR(INDEX(mapPTGroup,MATCH(LEFT(TRIM($AJ1198),2),mapPTCode,0)),"Other / Leased Fee"))</f>
        <v/>
      </c>
      <c r="CA1198" s="76">
        <f>IF(TRIM($AF1198&amp;"")="","NR",LEFT(TRIM($AF1198),2))</f>
        <v/>
      </c>
      <c r="CB1198" s="76">
        <f>IFERROR(LOOKUP(2,1/(LEFT(TRIM($AI1198&amp;""),LEN(mapRegion))=mapRegion),mapRegion),"Not Reported")</f>
        <v/>
      </c>
      <c r="CC1198" s="76">
        <f>IF($BY1198=0,"",IF(TRIM($W1198&amp;"")="REO","REO",IF(TRIM($W1198&amp;"")="FC","Foreclosure",IF(TRIM($W1198&amp;"")="90+","90+ Days Delinquent",IF(TRIM($W1198&amp;"")="60","60 Days Delinquent",IF(TRIM($W1198&amp;"")="30","30 Days Delinquent",IF($X1198="Non-Performing Matured Balloon","Non-Performing Matured Balloon",IF(OR($X1198="Late Payment But Less Than 30 Days Delinquent",LEFT($X1198&amp;"",20)="Payment Not Received"),"Late / In Grace (&lt;30 Days)",IF($X1198="Performing Matured Balloon","Performing Matured Balloon","Current")))))))))</f>
        <v/>
      </c>
      <c r="CD1198" s="78">
        <f>IF(OR($CC1198="REO",$CC1198="Foreclosure",$CC1198="90+ Days Delinquent",$CC1198="60 Days Delinquent",$CC1198="30 Days Delinquent",$CC1198="Non-Performing Matured Balloon"),1,0)</f>
        <v/>
      </c>
      <c r="CE1198" s="76">
        <f>IF($AB1198="Currently special serv","Currently Specially Serviced",IF($AB1198="Returned to master serv","Previously Specially Serviced","Never Specially Serviced"))</f>
        <v/>
      </c>
      <c r="CF1198" s="78">
        <f>IF($CE1198="Currently Specially Serviced",1,0)</f>
        <v/>
      </c>
      <c r="CG1198" s="76">
        <f>IF($AA1198="Yes","Currently on Watchlist",IF($AA1198="Previously","Previously on Watchlist","Never on Watchlist"))</f>
        <v/>
      </c>
      <c r="CH1198" s="78">
        <f>IF($CG1198="Currently on Watchlist",1,0)</f>
        <v/>
      </c>
      <c r="CI1198" s="76">
        <f>IF($Z1198="Full Defeasance","Fully Defeased",IF($Z1198="Portion Of Loan Previously Defeased","Partially Defeased",IF($Z1198="Defeasance Not Allowable","Not Defeased (Not Permitted)","Not Defeased")))</f>
        <v/>
      </c>
      <c r="CJ1198" s="78">
        <f>IF($CI1198="Fully Defeased",1,0)</f>
        <v/>
      </c>
      <c r="CK1198" s="76">
        <f>IF($R1198="IO","Full IO",IF(LEFT($R1198&amp;"",7)="IO then","Partial IO","Amortizing"))</f>
        <v/>
      </c>
      <c r="CL1198" s="78">
        <f>IF($CK1198="Full IO",1,0)</f>
        <v/>
      </c>
      <c r="CM1198" s="78">
        <f>IF($CK1198="Partial IO",1,0)</f>
        <v/>
      </c>
      <c r="CN1198" s="76">
        <f>IF(LEFT($F1198&amp;"",10)="SPLIT_LOAN","Pari Passu Split","Standalone")</f>
        <v/>
      </c>
      <c r="CO1198" s="78">
        <f>IF($CN1198="Pari Passu Split",1,0)</f>
        <v/>
      </c>
      <c r="CP1198" s="77">
        <f>IF(ISNUMBER($T1198),YEAR($T1198),"")</f>
        <v/>
      </c>
      <c r="CQ1198" s="79">
        <f>IF(ISNUMBER($V1198),$V1198,IF(ISNUMBER($U1198),$U1198,""))</f>
        <v/>
      </c>
      <c r="CR1198" s="77">
        <f>IF(ISNUMBER($CQ1198),YEAR($CQ1198),"")</f>
        <v/>
      </c>
      <c r="CS1198" s="78">
        <f>IF(ISNUMBER($M1198),MAX(0,$M1198),IF(TRIM($M1198&amp;"")="matured",0,""))</f>
        <v/>
      </c>
      <c r="CT1198" s="78">
        <f>IF(AND(ISNUMBER($CS1198),N($CS1198)&lt;=mMatWindow),1,0)</f>
        <v/>
      </c>
      <c r="CU1198" s="80">
        <f>IF(ISNUMBER($J1198),$J1198/100,"")</f>
        <v/>
      </c>
      <c r="CV1198" s="81">
        <f>IF(ISNUMBER($AQ1198),$AQ1198,"")</f>
        <v/>
      </c>
      <c r="CW1198" s="81">
        <f>IF(ISNUMBER($AR1198),$AR1198,"")</f>
        <v/>
      </c>
      <c r="CX1198" s="82">
        <f>IF(ISNUMBER($AS1198),$AS1198/100,"")</f>
        <v/>
      </c>
      <c r="CY1198" s="82">
        <f>IF(ISNUMBER($AT1198),$AT1198/100,"")</f>
        <v/>
      </c>
      <c r="CZ1198" s="82">
        <f>IF(ISNUMBER($AU1198),$AU1198/100,"")</f>
        <v/>
      </c>
      <c r="DA1198" s="82">
        <f>IF(ISNUMBER($AV1198),$AV1198/100,"")</f>
        <v/>
      </c>
      <c r="DB1198" s="82">
        <f>IF(ISNUMBER($AW1198),$AW1198/100,"")</f>
        <v/>
      </c>
      <c r="DC1198" s="82">
        <f>IF(ISNUMBER($AX1198),$AX1198/100,"")</f>
        <v/>
      </c>
      <c r="DD1198" s="77">
        <f>IFERROR(VALUE(LEFT(TRIM($AO1198&amp;""),4)),"")</f>
        <v/>
      </c>
      <c r="DE1198" s="78">
        <f>IF(AND($BY1198=1,$BX1198=1,OR(fDeal="All Deals",$BU1198=fDeal),OR(fEntity="All Entities",$BV1198=fEntity),OR(fPType="All Property Types",$BZ1198=fPType),OR(fDefeased="Include",$CJ1198=0)),1,0)</f>
        <v/>
      </c>
      <c r="DF1198" s="83">
        <f>$DE1198*N($I1198)</f>
        <v/>
      </c>
      <c r="DG1198" s="78">
        <f>IF($DE1198=1,IF(COUNTIFS($F$8:$F1198,$F1198,$DE$8:$DE1198,1)=1,1,0),0)</f>
        <v/>
      </c>
      <c r="DH1198" s="83">
        <f>IF($DG1198=1,SUMIFS($DF$8:$DF$1600,$F$8:$F$1600,$F1198),0)</f>
        <v/>
      </c>
      <c r="DI1198" s="78">
        <f>IF($DG1198=1,COUNTIFS($F$8:$F$1600,$F1198,$DE$8:$DE$1600,1),0)</f>
        <v/>
      </c>
      <c r="DJ1198" s="84">
        <f>IF($DG1198=1,$DH1198+(100000-ROW())/mTieBreak,0)</f>
        <v/>
      </c>
    </row>
    <row r="1199">
      <c r="B1199" s="68" t="n">
        <v>21</v>
      </c>
      <c r="C1199" s="69" t="inlineStr">
        <is>
          <t>BCMK18B6</t>
        </is>
      </c>
      <c r="D1199" s="69" t="inlineStr">
        <is>
          <t>21.000</t>
        </is>
      </c>
      <c r="E1199" s="69" t="inlineStr">
        <is>
          <t>LA Arts District Retail</t>
        </is>
      </c>
      <c r="F1199" s="69" t="inlineStr">
        <is>
          <t>LNBCMK18B6-21.000</t>
        </is>
      </c>
      <c r="G1199" s="70" t="n"/>
      <c r="H1199" s="71" t="n">
        <v>16000000</v>
      </c>
      <c r="I1199" s="71" t="n">
        <v>16000000</v>
      </c>
      <c r="J1199" s="72" t="n">
        <v>4.612</v>
      </c>
      <c r="K1199" s="69" t="inlineStr">
        <is>
          <t>Fixed rate</t>
        </is>
      </c>
      <c r="L1199" s="68" t="n">
        <v>120</v>
      </c>
      <c r="M1199" s="68" t="n">
        <v>24</v>
      </c>
      <c r="N1199" s="68" t="n">
        <v>120</v>
      </c>
      <c r="O1199" s="68" t="n">
        <v>120</v>
      </c>
      <c r="P1199" s="68" t="n">
        <v>24</v>
      </c>
      <c r="Q1199" s="68" t="n">
        <v>96</v>
      </c>
      <c r="R1199" s="69" t="inlineStr">
        <is>
          <t>IO</t>
        </is>
      </c>
      <c r="S1199" s="69" t="inlineStr">
        <is>
          <t>Yes</t>
        </is>
      </c>
      <c r="T1199" s="73" t="n">
        <v>43344</v>
      </c>
      <c r="U1199" s="73" t="n">
        <v>47002</v>
      </c>
      <c r="V1199" s="73" t="n"/>
      <c r="W1199" s="69" t="n"/>
      <c r="X1199" s="69" t="inlineStr">
        <is>
          <t>Current</t>
        </is>
      </c>
      <c r="Y1199" s="68" t="n"/>
      <c r="Z1199" s="69" t="inlineStr">
        <is>
          <t>No Defeasance Occurred</t>
        </is>
      </c>
      <c r="AA1199" s="69" t="inlineStr">
        <is>
          <t>Yes</t>
        </is>
      </c>
      <c r="AB1199" s="69" t="inlineStr">
        <is>
          <t>Never special serv</t>
        </is>
      </c>
      <c r="AC1199" s="73" t="n"/>
      <c r="AD1199" s="69" t="n"/>
      <c r="AE1199" s="69" t="n"/>
      <c r="AF1199" s="69" t="inlineStr">
        <is>
          <t>CA</t>
        </is>
      </c>
      <c r="AG1199" s="69" t="inlineStr">
        <is>
          <t>Los Angeles</t>
        </is>
      </c>
      <c r="AH1199" s="69" t="inlineStr">
        <is>
          <t>Los Angeles-Long Beach-Anaheim, CA</t>
        </is>
      </c>
      <c r="AI1199" s="69" t="inlineStr">
        <is>
          <t>West / Pacific South</t>
        </is>
      </c>
      <c r="AJ1199" s="69" t="inlineStr">
        <is>
          <t>RT</t>
        </is>
      </c>
      <c r="AK1199" s="69" t="inlineStr">
        <is>
          <t>Unanchored</t>
        </is>
      </c>
      <c r="AL1199" s="68" t="n">
        <v>1</v>
      </c>
      <c r="AM1199" s="68" t="n"/>
      <c r="AN1199" s="68" t="n">
        <v>26938</v>
      </c>
      <c r="AO1199" s="69" t="inlineStr">
        <is>
          <t>1930</t>
        </is>
      </c>
      <c r="AP1199" s="70" t="n">
        <v>2017</v>
      </c>
      <c r="AQ1199" s="74" t="n">
        <v>2.04</v>
      </c>
      <c r="AR1199" s="74" t="n">
        <v>1.22</v>
      </c>
      <c r="AS1199" s="74" t="n">
        <v>51.6</v>
      </c>
      <c r="AT1199" s="74" t="n">
        <v>51.61</v>
      </c>
      <c r="AU1199" s="74" t="n">
        <v>51.6</v>
      </c>
      <c r="AV1199" s="74" t="n">
        <v>9.531912500000001</v>
      </c>
      <c r="AW1199" s="74" t="n">
        <v>5.3558465</v>
      </c>
      <c r="AX1199" s="75" t="n">
        <v>50</v>
      </c>
      <c r="AY1199" s="71" t="n">
        <v>31000000</v>
      </c>
      <c r="AZ1199" s="71" t="n">
        <v>31000000</v>
      </c>
      <c r="BA1199" s="71" t="n">
        <v>1525106</v>
      </c>
      <c r="BB1199" s="71" t="n">
        <v>912948.8100000001</v>
      </c>
      <c r="BC1199" s="69" t="inlineStr">
        <is>
          <t>Refinance</t>
        </is>
      </c>
      <c r="BD1199" s="69" t="inlineStr">
        <is>
          <t>N</t>
        </is>
      </c>
      <c r="BE1199" s="71" t="n"/>
      <c r="BF1199" s="71" t="n"/>
      <c r="BG1199" s="71" t="n"/>
      <c r="BH1199" s="71" t="n">
        <v>0</v>
      </c>
      <c r="BI1199" s="71" t="n">
        <v>0</v>
      </c>
      <c r="BJ1199" s="69" t="inlineStr">
        <is>
          <t>N</t>
        </is>
      </c>
      <c r="BK1199" s="69" t="inlineStr">
        <is>
          <t>Heart &amp; Flame</t>
        </is>
      </c>
      <c r="BL1199" s="75" t="n">
        <v>21.44</v>
      </c>
      <c r="BM1199" s="73" t="n">
        <v>46752</v>
      </c>
      <c r="BN1199" s="69" t="inlineStr">
        <is>
          <t>Pouya Abdi, Michael Shabani and Lorenzo Hadar</t>
        </is>
      </c>
      <c r="BO1199" s="69" t="inlineStr">
        <is>
          <t>GACC</t>
        </is>
      </c>
      <c r="BP1199" s="69" t="inlineStr">
        <is>
          <t>KeyBank National Association</t>
        </is>
      </c>
      <c r="BQ1199" s="69" t="inlineStr">
        <is>
          <t>K-Star Asset Management LLC</t>
        </is>
      </c>
      <c r="BR1199" s="69" t="n"/>
      <c r="BS1199" s="73" t="n">
        <v>46273</v>
      </c>
      <c r="BU1199" s="76">
        <f>IF($C1199="","",IFERROR(INDEX(dmName,MATCH($C1199,dmID,0)),"Unmapped"))</f>
        <v/>
      </c>
      <c r="BV1199" s="76">
        <f>IF($C1199="","",IFERROR(INDEX(dmEntity,MATCH($C1199,dmID,0)),"Unmapped"))</f>
        <v/>
      </c>
      <c r="BW1199" s="77">
        <f>IF($C1199="","",IFERROR(INDEX(dmVintage,MATCH($C1199,dmID,0)),""))</f>
        <v/>
      </c>
      <c r="BX1199" s="78">
        <f>IFERROR(INDEX(dmInclude,MATCH($C1199,dmID,0)),0)</f>
        <v/>
      </c>
      <c r="BY1199" s="78">
        <f>IF(N($I1199)&gt;0,1,0)</f>
        <v/>
      </c>
      <c r="BZ1199" s="76">
        <f>IF($AJ1199="","Other / Leased Fee",IFERROR(INDEX(mapPTGroup,MATCH(LEFT(TRIM($AJ1199),2),mapPTCode,0)),"Other / Leased Fee"))</f>
        <v/>
      </c>
      <c r="CA1199" s="76">
        <f>IF(TRIM($AF1199&amp;"")="","NR",LEFT(TRIM($AF1199),2))</f>
        <v/>
      </c>
      <c r="CB1199" s="76">
        <f>IFERROR(LOOKUP(2,1/(LEFT(TRIM($AI1199&amp;""),LEN(mapRegion))=mapRegion),mapRegion),"Not Reported")</f>
        <v/>
      </c>
      <c r="CC1199" s="76">
        <f>IF($BY1199=0,"",IF(TRIM($W1199&amp;"")="REO","REO",IF(TRIM($W1199&amp;"")="FC","Foreclosure",IF(TRIM($W1199&amp;"")="90+","90+ Days Delinquent",IF(TRIM($W1199&amp;"")="60","60 Days Delinquent",IF(TRIM($W1199&amp;"")="30","30 Days Delinquent",IF($X1199="Non-Performing Matured Balloon","Non-Performing Matured Balloon",IF(OR($X1199="Late Payment But Less Than 30 Days Delinquent",LEFT($X1199&amp;"",20)="Payment Not Received"),"Late / In Grace (&lt;30 Days)",IF($X1199="Performing Matured Balloon","Performing Matured Balloon","Current")))))))))</f>
        <v/>
      </c>
      <c r="CD1199" s="78">
        <f>IF(OR($CC1199="REO",$CC1199="Foreclosure",$CC1199="90+ Days Delinquent",$CC1199="60 Days Delinquent",$CC1199="30 Days Delinquent",$CC1199="Non-Performing Matured Balloon"),1,0)</f>
        <v/>
      </c>
      <c r="CE1199" s="76">
        <f>IF($AB1199="Currently special serv","Currently Specially Serviced",IF($AB1199="Returned to master serv","Previously Specially Serviced","Never Specially Serviced"))</f>
        <v/>
      </c>
      <c r="CF1199" s="78">
        <f>IF($CE1199="Currently Specially Serviced",1,0)</f>
        <v/>
      </c>
      <c r="CG1199" s="76">
        <f>IF($AA1199="Yes","Currently on Watchlist",IF($AA1199="Previously","Previously on Watchlist","Never on Watchlist"))</f>
        <v/>
      </c>
      <c r="CH1199" s="78">
        <f>IF($CG1199="Currently on Watchlist",1,0)</f>
        <v/>
      </c>
      <c r="CI1199" s="76">
        <f>IF($Z1199="Full Defeasance","Fully Defeased",IF($Z1199="Portion Of Loan Previously Defeased","Partially Defeased",IF($Z1199="Defeasance Not Allowable","Not Defeased (Not Permitted)","Not Defeased")))</f>
        <v/>
      </c>
      <c r="CJ1199" s="78">
        <f>IF($CI1199="Fully Defeased",1,0)</f>
        <v/>
      </c>
      <c r="CK1199" s="76">
        <f>IF($R1199="IO","Full IO",IF(LEFT($R1199&amp;"",7)="IO then","Partial IO","Amortizing"))</f>
        <v/>
      </c>
      <c r="CL1199" s="78">
        <f>IF($CK1199="Full IO",1,0)</f>
        <v/>
      </c>
      <c r="CM1199" s="78">
        <f>IF($CK1199="Partial IO",1,0)</f>
        <v/>
      </c>
      <c r="CN1199" s="76">
        <f>IF(LEFT($F1199&amp;"",10)="SPLIT_LOAN","Pari Passu Split","Standalone")</f>
        <v/>
      </c>
      <c r="CO1199" s="78">
        <f>IF($CN1199="Pari Passu Split",1,0)</f>
        <v/>
      </c>
      <c r="CP1199" s="77">
        <f>IF(ISNUMBER($T1199),YEAR($T1199),"")</f>
        <v/>
      </c>
      <c r="CQ1199" s="79">
        <f>IF(ISNUMBER($V1199),$V1199,IF(ISNUMBER($U1199),$U1199,""))</f>
        <v/>
      </c>
      <c r="CR1199" s="77">
        <f>IF(ISNUMBER($CQ1199),YEAR($CQ1199),"")</f>
        <v/>
      </c>
      <c r="CS1199" s="78">
        <f>IF(ISNUMBER($M1199),MAX(0,$M1199),IF(TRIM($M1199&amp;"")="matured",0,""))</f>
        <v/>
      </c>
      <c r="CT1199" s="78">
        <f>IF(AND(ISNUMBER($CS1199),N($CS1199)&lt;=mMatWindow),1,0)</f>
        <v/>
      </c>
      <c r="CU1199" s="80">
        <f>IF(ISNUMBER($J1199),$J1199/100,"")</f>
        <v/>
      </c>
      <c r="CV1199" s="81">
        <f>IF(ISNUMBER($AQ1199),$AQ1199,"")</f>
        <v/>
      </c>
      <c r="CW1199" s="81">
        <f>IF(ISNUMBER($AR1199),$AR1199,"")</f>
        <v/>
      </c>
      <c r="CX1199" s="82">
        <f>IF(ISNUMBER($AS1199),$AS1199/100,"")</f>
        <v/>
      </c>
      <c r="CY1199" s="82">
        <f>IF(ISNUMBER($AT1199),$AT1199/100,"")</f>
        <v/>
      </c>
      <c r="CZ1199" s="82">
        <f>IF(ISNUMBER($AU1199),$AU1199/100,"")</f>
        <v/>
      </c>
      <c r="DA1199" s="82">
        <f>IF(ISNUMBER($AV1199),$AV1199/100,"")</f>
        <v/>
      </c>
      <c r="DB1199" s="82">
        <f>IF(ISNUMBER($AW1199),$AW1199/100,"")</f>
        <v/>
      </c>
      <c r="DC1199" s="82">
        <f>IF(ISNUMBER($AX1199),$AX1199/100,"")</f>
        <v/>
      </c>
      <c r="DD1199" s="77">
        <f>IFERROR(VALUE(LEFT(TRIM($AO1199&amp;""),4)),"")</f>
        <v/>
      </c>
      <c r="DE1199" s="78">
        <f>IF(AND($BY1199=1,$BX1199=1,OR(fDeal="All Deals",$BU1199=fDeal),OR(fEntity="All Entities",$BV1199=fEntity),OR(fPType="All Property Types",$BZ1199=fPType),OR(fDefeased="Include",$CJ1199=0)),1,0)</f>
        <v/>
      </c>
      <c r="DF1199" s="83">
        <f>$DE1199*N($I1199)</f>
        <v/>
      </c>
      <c r="DG1199" s="78">
        <f>IF($DE1199=1,IF(COUNTIFS($F$8:$F1199,$F1199,$DE$8:$DE1199,1)=1,1,0),0)</f>
        <v/>
      </c>
      <c r="DH1199" s="83">
        <f>IF($DG1199=1,SUMIFS($DF$8:$DF$1600,$F$8:$F$1600,$F1199),0)</f>
        <v/>
      </c>
      <c r="DI1199" s="78">
        <f>IF($DG1199=1,COUNTIFS($F$8:$F$1600,$F1199,$DE$8:$DE$1600,1),0)</f>
        <v/>
      </c>
      <c r="DJ1199" s="84">
        <f>IF($DG1199=1,$DH1199+(100000-ROW())/mTieBreak,0)</f>
        <v/>
      </c>
    </row>
    <row r="1200">
      <c r="B1200" s="68" t="n">
        <v>22</v>
      </c>
      <c r="C1200" s="69" t="inlineStr">
        <is>
          <t>BCMK18B6</t>
        </is>
      </c>
      <c r="D1200" s="69" t="inlineStr">
        <is>
          <t>22.000</t>
        </is>
      </c>
      <c r="E1200" s="69" t="inlineStr">
        <is>
          <t>One Hamden Center</t>
        </is>
      </c>
      <c r="F1200" s="69" t="inlineStr">
        <is>
          <t>LNBCMK18B6-22.000</t>
        </is>
      </c>
      <c r="G1200" s="70" t="n"/>
      <c r="H1200" s="71" t="n">
        <v>15600000</v>
      </c>
      <c r="I1200" s="71" t="n">
        <v>13525013.7399936</v>
      </c>
      <c r="J1200" s="72" t="n">
        <v>5.08</v>
      </c>
      <c r="K1200" s="69" t="inlineStr">
        <is>
          <t>Fixed rate</t>
        </is>
      </c>
      <c r="L1200" s="68" t="n">
        <v>120</v>
      </c>
      <c r="M1200" s="68" t="n">
        <v>24</v>
      </c>
      <c r="N1200" s="68" t="n">
        <v>360</v>
      </c>
      <c r="O1200" s="68" t="n"/>
      <c r="P1200" s="68" t="n"/>
      <c r="Q1200" s="68" t="n">
        <v>96</v>
      </c>
      <c r="R1200" s="69" t="n"/>
      <c r="S1200" s="69" t="inlineStr">
        <is>
          <t>No</t>
        </is>
      </c>
      <c r="T1200" s="73" t="n">
        <v>43344</v>
      </c>
      <c r="U1200" s="73" t="n">
        <v>47002</v>
      </c>
      <c r="V1200" s="73" t="n"/>
      <c r="W1200" s="69" t="n"/>
      <c r="X1200" s="69" t="inlineStr">
        <is>
          <t>Current</t>
        </is>
      </c>
      <c r="Y1200" s="68" t="n"/>
      <c r="Z1200" s="69" t="inlineStr">
        <is>
          <t>No Defeasance Occurred</t>
        </is>
      </c>
      <c r="AA1200" s="69" t="inlineStr">
        <is>
          <t>Yes</t>
        </is>
      </c>
      <c r="AB1200" s="69" t="inlineStr">
        <is>
          <t>Never special serv</t>
        </is>
      </c>
      <c r="AC1200" s="73" t="n"/>
      <c r="AD1200" s="69" t="n"/>
      <c r="AE1200" s="69" t="n"/>
      <c r="AF1200" s="69" t="inlineStr">
        <is>
          <t>CT</t>
        </is>
      </c>
      <c r="AG1200" s="69" t="inlineStr">
        <is>
          <t>Hamden</t>
        </is>
      </c>
      <c r="AH1200" s="69" t="inlineStr">
        <is>
          <t>New Haven, CT</t>
        </is>
      </c>
      <c r="AI1200" s="69" t="inlineStr">
        <is>
          <t>Northeast / New England</t>
        </is>
      </c>
      <c r="AJ1200" s="69" t="inlineStr">
        <is>
          <t>OF</t>
        </is>
      </c>
      <c r="AK1200" s="69" t="inlineStr">
        <is>
          <t>Suburban</t>
        </is>
      </c>
      <c r="AL1200" s="68" t="n">
        <v>1</v>
      </c>
      <c r="AM1200" s="68" t="n"/>
      <c r="AN1200" s="68" t="n">
        <v>113364</v>
      </c>
      <c r="AO1200" s="69" t="inlineStr">
        <is>
          <t>1985</t>
        </is>
      </c>
      <c r="AP1200" s="70" t="n">
        <v>2014</v>
      </c>
      <c r="AQ1200" s="74" t="n">
        <v>1.42</v>
      </c>
      <c r="AR1200" s="74" t="n">
        <v>1.03</v>
      </c>
      <c r="AS1200" s="74" t="n">
        <v>60.2</v>
      </c>
      <c r="AT1200" s="74" t="n">
        <v>52.22</v>
      </c>
      <c r="AU1200" s="74" t="n">
        <v>49.65</v>
      </c>
      <c r="AV1200" s="74" t="n">
        <v>9.258019231</v>
      </c>
      <c r="AW1200" s="74" t="n">
        <v>7.772891475</v>
      </c>
      <c r="AX1200" s="75" t="n">
        <v>99</v>
      </c>
      <c r="AY1200" s="71" t="n">
        <v>25900000</v>
      </c>
      <c r="AZ1200" s="71" t="n">
        <v>25900000</v>
      </c>
      <c r="BA1200" s="71" t="n">
        <v>1444251</v>
      </c>
      <c r="BB1200" s="71" t="n">
        <v>1045506.82</v>
      </c>
      <c r="BC1200" s="69" t="inlineStr">
        <is>
          <t>Refinance</t>
        </is>
      </c>
      <c r="BD1200" s="69" t="inlineStr">
        <is>
          <t>N</t>
        </is>
      </c>
      <c r="BE1200" s="71" t="n"/>
      <c r="BF1200" s="71" t="n"/>
      <c r="BG1200" s="71" t="n"/>
      <c r="BH1200" s="71" t="n">
        <v>0</v>
      </c>
      <c r="BI1200" s="71" t="n">
        <v>0</v>
      </c>
      <c r="BJ1200" s="69" t="inlineStr">
        <is>
          <t>N</t>
        </is>
      </c>
      <c r="BK1200" s="69" t="inlineStr">
        <is>
          <t>The Innovative COA Group LLC</t>
        </is>
      </c>
      <c r="BL1200" s="75" t="n">
        <v>8.449999999999999</v>
      </c>
      <c r="BM1200" s="73" t="n">
        <v>48548</v>
      </c>
      <c r="BN1200" s="69" t="inlineStr">
        <is>
          <t>Michael Belfonti and The Constance E. Belfonti Irrevocable Trust</t>
        </is>
      </c>
      <c r="BO1200" s="69" t="inlineStr">
        <is>
          <t>Citigroup Global Markets</t>
        </is>
      </c>
      <c r="BP1200" s="69" t="inlineStr">
        <is>
          <t>KeyBank National Association</t>
        </is>
      </c>
      <c r="BQ1200" s="69" t="inlineStr">
        <is>
          <t>K-Star Asset Management LLC</t>
        </is>
      </c>
      <c r="BR1200" s="69" t="n"/>
      <c r="BS1200" s="73" t="n">
        <v>46273</v>
      </c>
      <c r="BU1200" s="76">
        <f>IF($C1200="","",IFERROR(INDEX(dmName,MATCH($C1200,dmID,0)),"Unmapped"))</f>
        <v/>
      </c>
      <c r="BV1200" s="76">
        <f>IF($C1200="","",IFERROR(INDEX(dmEntity,MATCH($C1200,dmID,0)),"Unmapped"))</f>
        <v/>
      </c>
      <c r="BW1200" s="77">
        <f>IF($C1200="","",IFERROR(INDEX(dmVintage,MATCH($C1200,dmID,0)),""))</f>
        <v/>
      </c>
      <c r="BX1200" s="78">
        <f>IFERROR(INDEX(dmInclude,MATCH($C1200,dmID,0)),0)</f>
        <v/>
      </c>
      <c r="BY1200" s="78">
        <f>IF(N($I1200)&gt;0,1,0)</f>
        <v/>
      </c>
      <c r="BZ1200" s="76">
        <f>IF($AJ1200="","Other / Leased Fee",IFERROR(INDEX(mapPTGroup,MATCH(LEFT(TRIM($AJ1200),2),mapPTCode,0)),"Other / Leased Fee"))</f>
        <v/>
      </c>
      <c r="CA1200" s="76">
        <f>IF(TRIM($AF1200&amp;"")="","NR",LEFT(TRIM($AF1200),2))</f>
        <v/>
      </c>
      <c r="CB1200" s="76">
        <f>IFERROR(LOOKUP(2,1/(LEFT(TRIM($AI1200&amp;""),LEN(mapRegion))=mapRegion),mapRegion),"Not Reported")</f>
        <v/>
      </c>
      <c r="CC1200" s="76">
        <f>IF($BY1200=0,"",IF(TRIM($W1200&amp;"")="REO","REO",IF(TRIM($W1200&amp;"")="FC","Foreclosure",IF(TRIM($W1200&amp;"")="90+","90+ Days Delinquent",IF(TRIM($W1200&amp;"")="60","60 Days Delinquent",IF(TRIM($W1200&amp;"")="30","30 Days Delinquent",IF($X1200="Non-Performing Matured Balloon","Non-Performing Matured Balloon",IF(OR($X1200="Late Payment But Less Than 30 Days Delinquent",LEFT($X1200&amp;"",20)="Payment Not Received"),"Late / In Grace (&lt;30 Days)",IF($X1200="Performing Matured Balloon","Performing Matured Balloon","Current")))))))))</f>
        <v/>
      </c>
      <c r="CD1200" s="78">
        <f>IF(OR($CC1200="REO",$CC1200="Foreclosure",$CC1200="90+ Days Delinquent",$CC1200="60 Days Delinquent",$CC1200="30 Days Delinquent",$CC1200="Non-Performing Matured Balloon"),1,0)</f>
        <v/>
      </c>
      <c r="CE1200" s="76">
        <f>IF($AB1200="Currently special serv","Currently Specially Serviced",IF($AB1200="Returned to master serv","Previously Specially Serviced","Never Specially Serviced"))</f>
        <v/>
      </c>
      <c r="CF1200" s="78">
        <f>IF($CE1200="Currently Specially Serviced",1,0)</f>
        <v/>
      </c>
      <c r="CG1200" s="76">
        <f>IF($AA1200="Yes","Currently on Watchlist",IF($AA1200="Previously","Previously on Watchlist","Never on Watchlist"))</f>
        <v/>
      </c>
      <c r="CH1200" s="78">
        <f>IF($CG1200="Currently on Watchlist",1,0)</f>
        <v/>
      </c>
      <c r="CI1200" s="76">
        <f>IF($Z1200="Full Defeasance","Fully Defeased",IF($Z1200="Portion Of Loan Previously Defeased","Partially Defeased",IF($Z1200="Defeasance Not Allowable","Not Defeased (Not Permitted)","Not Defeased")))</f>
        <v/>
      </c>
      <c r="CJ1200" s="78">
        <f>IF($CI1200="Fully Defeased",1,0)</f>
        <v/>
      </c>
      <c r="CK1200" s="76">
        <f>IF($R1200="IO","Full IO",IF(LEFT($R1200&amp;"",7)="IO then","Partial IO","Amortizing"))</f>
        <v/>
      </c>
      <c r="CL1200" s="78">
        <f>IF($CK1200="Full IO",1,0)</f>
        <v/>
      </c>
      <c r="CM1200" s="78">
        <f>IF($CK1200="Partial IO",1,0)</f>
        <v/>
      </c>
      <c r="CN1200" s="76">
        <f>IF(LEFT($F1200&amp;"",10)="SPLIT_LOAN","Pari Passu Split","Standalone")</f>
        <v/>
      </c>
      <c r="CO1200" s="78">
        <f>IF($CN1200="Pari Passu Split",1,0)</f>
        <v/>
      </c>
      <c r="CP1200" s="77">
        <f>IF(ISNUMBER($T1200),YEAR($T1200),"")</f>
        <v/>
      </c>
      <c r="CQ1200" s="79">
        <f>IF(ISNUMBER($V1200),$V1200,IF(ISNUMBER($U1200),$U1200,""))</f>
        <v/>
      </c>
      <c r="CR1200" s="77">
        <f>IF(ISNUMBER($CQ1200),YEAR($CQ1200),"")</f>
        <v/>
      </c>
      <c r="CS1200" s="78">
        <f>IF(ISNUMBER($M1200),MAX(0,$M1200),IF(TRIM($M1200&amp;"")="matured",0,""))</f>
        <v/>
      </c>
      <c r="CT1200" s="78">
        <f>IF(AND(ISNUMBER($CS1200),N($CS1200)&lt;=mMatWindow),1,0)</f>
        <v/>
      </c>
      <c r="CU1200" s="80">
        <f>IF(ISNUMBER($J1200),$J1200/100,"")</f>
        <v/>
      </c>
      <c r="CV1200" s="81">
        <f>IF(ISNUMBER($AQ1200),$AQ1200,"")</f>
        <v/>
      </c>
      <c r="CW1200" s="81">
        <f>IF(ISNUMBER($AR1200),$AR1200,"")</f>
        <v/>
      </c>
      <c r="CX1200" s="82">
        <f>IF(ISNUMBER($AS1200),$AS1200/100,"")</f>
        <v/>
      </c>
      <c r="CY1200" s="82">
        <f>IF(ISNUMBER($AT1200),$AT1200/100,"")</f>
        <v/>
      </c>
      <c r="CZ1200" s="82">
        <f>IF(ISNUMBER($AU1200),$AU1200/100,"")</f>
        <v/>
      </c>
      <c r="DA1200" s="82">
        <f>IF(ISNUMBER($AV1200),$AV1200/100,"")</f>
        <v/>
      </c>
      <c r="DB1200" s="82">
        <f>IF(ISNUMBER($AW1200),$AW1200/100,"")</f>
        <v/>
      </c>
      <c r="DC1200" s="82">
        <f>IF(ISNUMBER($AX1200),$AX1200/100,"")</f>
        <v/>
      </c>
      <c r="DD1200" s="77">
        <f>IFERROR(VALUE(LEFT(TRIM($AO1200&amp;""),4)),"")</f>
        <v/>
      </c>
      <c r="DE1200" s="78">
        <f>IF(AND($BY1200=1,$BX1200=1,OR(fDeal="All Deals",$BU1200=fDeal),OR(fEntity="All Entities",$BV1200=fEntity),OR(fPType="All Property Types",$BZ1200=fPType),OR(fDefeased="Include",$CJ1200=0)),1,0)</f>
        <v/>
      </c>
      <c r="DF1200" s="83">
        <f>$DE1200*N($I1200)</f>
        <v/>
      </c>
      <c r="DG1200" s="78">
        <f>IF($DE1200=1,IF(COUNTIFS($F$8:$F1200,$F1200,$DE$8:$DE1200,1)=1,1,0),0)</f>
        <v/>
      </c>
      <c r="DH1200" s="83">
        <f>IF($DG1200=1,SUMIFS($DF$8:$DF$1600,$F$8:$F$1600,$F1200),0)</f>
        <v/>
      </c>
      <c r="DI1200" s="78">
        <f>IF($DG1200=1,COUNTIFS($F$8:$F$1600,$F1200,$DE$8:$DE$1600,1),0)</f>
        <v/>
      </c>
      <c r="DJ1200" s="84">
        <f>IF($DG1200=1,$DH1200+(100000-ROW())/mTieBreak,0)</f>
        <v/>
      </c>
    </row>
    <row r="1201">
      <c r="B1201" s="68" t="n">
        <v>23</v>
      </c>
      <c r="C1201" s="69" t="inlineStr">
        <is>
          <t>BCMK18B6</t>
        </is>
      </c>
      <c r="D1201" s="69" t="inlineStr">
        <is>
          <t>23.000</t>
        </is>
      </c>
      <c r="E1201" s="69" t="inlineStr">
        <is>
          <t>Magnolia Shoppes</t>
        </is>
      </c>
      <c r="F1201" s="69" t="inlineStr">
        <is>
          <t>LNBCMK18B6-23.000</t>
        </is>
      </c>
      <c r="G1201" s="70" t="n"/>
      <c r="H1201" s="71" t="n">
        <v>15500000</v>
      </c>
      <c r="I1201" s="71" t="n">
        <v>14190105.020006</v>
      </c>
      <c r="J1201" s="72" t="n">
        <v>4.63</v>
      </c>
      <c r="K1201" s="69" t="inlineStr">
        <is>
          <t>Fixed rate</t>
        </is>
      </c>
      <c r="L1201" s="68" t="n">
        <v>120</v>
      </c>
      <c r="M1201" s="68" t="n">
        <v>23</v>
      </c>
      <c r="N1201" s="68" t="n">
        <v>396</v>
      </c>
      <c r="O1201" s="68" t="n">
        <v>36</v>
      </c>
      <c r="P1201" s="68" t="n">
        <v>0</v>
      </c>
      <c r="Q1201" s="68" t="n">
        <v>97</v>
      </c>
      <c r="R1201" s="69" t="inlineStr">
        <is>
          <t>IO then Amort</t>
        </is>
      </c>
      <c r="S1201" s="69" t="inlineStr">
        <is>
          <t>No</t>
        </is>
      </c>
      <c r="T1201" s="73" t="n">
        <v>43313</v>
      </c>
      <c r="U1201" s="73" t="n">
        <v>46971</v>
      </c>
      <c r="V1201" s="73" t="n"/>
      <c r="W1201" s="69" t="n"/>
      <c r="X1201" s="69" t="inlineStr">
        <is>
          <t>Current</t>
        </is>
      </c>
      <c r="Y1201" s="68" t="n"/>
      <c r="Z1201" s="69" t="inlineStr">
        <is>
          <t>Full Defeasance</t>
        </is>
      </c>
      <c r="AA1201" s="69" t="inlineStr">
        <is>
          <t>Previously</t>
        </is>
      </c>
      <c r="AB1201" s="69" t="inlineStr">
        <is>
          <t>Never special serv</t>
        </is>
      </c>
      <c r="AC1201" s="73" t="n"/>
      <c r="AD1201" s="69" t="n"/>
      <c r="AE1201" s="69" t="n"/>
      <c r="AF1201" s="69" t="inlineStr">
        <is>
          <t>FL</t>
        </is>
      </c>
      <c r="AG1201" s="69" t="inlineStr">
        <is>
          <t>Coral Springs</t>
        </is>
      </c>
      <c r="AH1201" s="69" t="inlineStr">
        <is>
          <t>Miami-Fort Lauderdale-West Palm Beach, FL</t>
        </is>
      </c>
      <c r="AI1201" s="69" t="inlineStr">
        <is>
          <t>South / Atlantic</t>
        </is>
      </c>
      <c r="AJ1201" s="69" t="inlineStr">
        <is>
          <t>RT</t>
        </is>
      </c>
      <c r="AK1201" s="69" t="inlineStr">
        <is>
          <t>Anchored</t>
        </is>
      </c>
      <c r="AL1201" s="68" t="n">
        <v>1</v>
      </c>
      <c r="AM1201" s="68" t="n"/>
      <c r="AN1201" s="68" t="n">
        <v>114118</v>
      </c>
      <c r="AO1201" s="69" t="inlineStr">
        <is>
          <t>1999</t>
        </is>
      </c>
      <c r="AP1201" s="70" t="n">
        <v>2016</v>
      </c>
      <c r="AQ1201" s="74" t="n">
        <v>1.79</v>
      </c>
      <c r="AR1201" s="74" t="n">
        <v>2.13</v>
      </c>
      <c r="AS1201" s="74" t="n">
        <v>65.09999999999999</v>
      </c>
      <c r="AT1201" s="74" t="n">
        <v>59.62</v>
      </c>
      <c r="AU1201" s="74" t="n">
        <v>57.18</v>
      </c>
      <c r="AV1201" s="74" t="n">
        <v>11.0386</v>
      </c>
      <c r="AW1201" s="74" t="n">
        <v>14.346100801</v>
      </c>
      <c r="AX1201" s="75" t="n">
        <v>100</v>
      </c>
      <c r="AY1201" s="71" t="n">
        <v>23800000</v>
      </c>
      <c r="AZ1201" s="71" t="n">
        <v>23800000</v>
      </c>
      <c r="BA1201" s="71" t="n">
        <v>1710983</v>
      </c>
      <c r="BB1201" s="71" t="n">
        <v>2035726.77</v>
      </c>
      <c r="BC1201" s="69" t="inlineStr">
        <is>
          <t>Acquisition</t>
        </is>
      </c>
      <c r="BD1201" s="69" t="inlineStr">
        <is>
          <t>N</t>
        </is>
      </c>
      <c r="BE1201" s="71" t="n"/>
      <c r="BF1201" s="71" t="n"/>
      <c r="BG1201" s="71" t="n"/>
      <c r="BH1201" s="71" t="n">
        <v>0</v>
      </c>
      <c r="BI1201" s="71" t="n">
        <v>0</v>
      </c>
      <c r="BJ1201" s="69" t="inlineStr">
        <is>
          <t>N</t>
        </is>
      </c>
      <c r="BK1201" s="69" t="inlineStr">
        <is>
          <t>Regal Cinemas</t>
        </is>
      </c>
      <c r="BL1201" s="75" t="n">
        <v>53.11</v>
      </c>
      <c r="BM1201" s="73" t="n">
        <v>45991</v>
      </c>
      <c r="BN1201" s="69" t="inlineStr">
        <is>
          <t>Jimmy L. Williams</t>
        </is>
      </c>
      <c r="BO1201" s="69" t="inlineStr">
        <is>
          <t>Citigroup Global Markets</t>
        </is>
      </c>
      <c r="BP1201" s="69" t="inlineStr">
        <is>
          <t>KeyBank National Association</t>
        </is>
      </c>
      <c r="BQ1201" s="69" t="inlineStr">
        <is>
          <t>K-Star Asset Management LLC</t>
        </is>
      </c>
      <c r="BR1201" s="69" t="n"/>
      <c r="BS1201" s="73" t="n">
        <v>46273</v>
      </c>
      <c r="BU1201" s="76">
        <f>IF($C1201="","",IFERROR(INDEX(dmName,MATCH($C1201,dmID,0)),"Unmapped"))</f>
        <v/>
      </c>
      <c r="BV1201" s="76">
        <f>IF($C1201="","",IFERROR(INDEX(dmEntity,MATCH($C1201,dmID,0)),"Unmapped"))</f>
        <v/>
      </c>
      <c r="BW1201" s="77">
        <f>IF($C1201="","",IFERROR(INDEX(dmVintage,MATCH($C1201,dmID,0)),""))</f>
        <v/>
      </c>
      <c r="BX1201" s="78">
        <f>IFERROR(INDEX(dmInclude,MATCH($C1201,dmID,0)),0)</f>
        <v/>
      </c>
      <c r="BY1201" s="78">
        <f>IF(N($I1201)&gt;0,1,0)</f>
        <v/>
      </c>
      <c r="BZ1201" s="76">
        <f>IF($AJ1201="","Other / Leased Fee",IFERROR(INDEX(mapPTGroup,MATCH(LEFT(TRIM($AJ1201),2),mapPTCode,0)),"Other / Leased Fee"))</f>
        <v/>
      </c>
      <c r="CA1201" s="76">
        <f>IF(TRIM($AF1201&amp;"")="","NR",LEFT(TRIM($AF1201),2))</f>
        <v/>
      </c>
      <c r="CB1201" s="76">
        <f>IFERROR(LOOKUP(2,1/(LEFT(TRIM($AI1201&amp;""),LEN(mapRegion))=mapRegion),mapRegion),"Not Reported")</f>
        <v/>
      </c>
      <c r="CC1201" s="76">
        <f>IF($BY1201=0,"",IF(TRIM($W1201&amp;"")="REO","REO",IF(TRIM($W1201&amp;"")="FC","Foreclosure",IF(TRIM($W1201&amp;"")="90+","90+ Days Delinquent",IF(TRIM($W1201&amp;"")="60","60 Days Delinquent",IF(TRIM($W1201&amp;"")="30","30 Days Delinquent",IF($X1201="Non-Performing Matured Balloon","Non-Performing Matured Balloon",IF(OR($X1201="Late Payment But Less Than 30 Days Delinquent",LEFT($X1201&amp;"",20)="Payment Not Received"),"Late / In Grace (&lt;30 Days)",IF($X1201="Performing Matured Balloon","Performing Matured Balloon","Current")))))))))</f>
        <v/>
      </c>
      <c r="CD1201" s="78">
        <f>IF(OR($CC1201="REO",$CC1201="Foreclosure",$CC1201="90+ Days Delinquent",$CC1201="60 Days Delinquent",$CC1201="30 Days Delinquent",$CC1201="Non-Performing Matured Balloon"),1,0)</f>
        <v/>
      </c>
      <c r="CE1201" s="76">
        <f>IF($AB1201="Currently special serv","Currently Specially Serviced",IF($AB1201="Returned to master serv","Previously Specially Serviced","Never Specially Serviced"))</f>
        <v/>
      </c>
      <c r="CF1201" s="78">
        <f>IF($CE1201="Currently Specially Serviced",1,0)</f>
        <v/>
      </c>
      <c r="CG1201" s="76">
        <f>IF($AA1201="Yes","Currently on Watchlist",IF($AA1201="Previously","Previously on Watchlist","Never on Watchlist"))</f>
        <v/>
      </c>
      <c r="CH1201" s="78">
        <f>IF($CG1201="Currently on Watchlist",1,0)</f>
        <v/>
      </c>
      <c r="CI1201" s="76">
        <f>IF($Z1201="Full Defeasance","Fully Defeased",IF($Z1201="Portion Of Loan Previously Defeased","Partially Defeased",IF($Z1201="Defeasance Not Allowable","Not Defeased (Not Permitted)","Not Defeased")))</f>
        <v/>
      </c>
      <c r="CJ1201" s="78">
        <f>IF($CI1201="Fully Defeased",1,0)</f>
        <v/>
      </c>
      <c r="CK1201" s="76">
        <f>IF($R1201="IO","Full IO",IF(LEFT($R1201&amp;"",7)="IO then","Partial IO","Amortizing"))</f>
        <v/>
      </c>
      <c r="CL1201" s="78">
        <f>IF($CK1201="Full IO",1,0)</f>
        <v/>
      </c>
      <c r="CM1201" s="78">
        <f>IF($CK1201="Partial IO",1,0)</f>
        <v/>
      </c>
      <c r="CN1201" s="76">
        <f>IF(LEFT($F1201&amp;"",10)="SPLIT_LOAN","Pari Passu Split","Standalone")</f>
        <v/>
      </c>
      <c r="CO1201" s="78">
        <f>IF($CN1201="Pari Passu Split",1,0)</f>
        <v/>
      </c>
      <c r="CP1201" s="77">
        <f>IF(ISNUMBER($T1201),YEAR($T1201),"")</f>
        <v/>
      </c>
      <c r="CQ1201" s="79">
        <f>IF(ISNUMBER($V1201),$V1201,IF(ISNUMBER($U1201),$U1201,""))</f>
        <v/>
      </c>
      <c r="CR1201" s="77">
        <f>IF(ISNUMBER($CQ1201),YEAR($CQ1201),"")</f>
        <v/>
      </c>
      <c r="CS1201" s="78">
        <f>IF(ISNUMBER($M1201),MAX(0,$M1201),IF(TRIM($M1201&amp;"")="matured",0,""))</f>
        <v/>
      </c>
      <c r="CT1201" s="78">
        <f>IF(AND(ISNUMBER($CS1201),N($CS1201)&lt;=mMatWindow),1,0)</f>
        <v/>
      </c>
      <c r="CU1201" s="80">
        <f>IF(ISNUMBER($J1201),$J1201/100,"")</f>
        <v/>
      </c>
      <c r="CV1201" s="81">
        <f>IF(ISNUMBER($AQ1201),$AQ1201,"")</f>
        <v/>
      </c>
      <c r="CW1201" s="81">
        <f>IF(ISNUMBER($AR1201),$AR1201,"")</f>
        <v/>
      </c>
      <c r="CX1201" s="82">
        <f>IF(ISNUMBER($AS1201),$AS1201/100,"")</f>
        <v/>
      </c>
      <c r="CY1201" s="82">
        <f>IF(ISNUMBER($AT1201),$AT1201/100,"")</f>
        <v/>
      </c>
      <c r="CZ1201" s="82">
        <f>IF(ISNUMBER($AU1201),$AU1201/100,"")</f>
        <v/>
      </c>
      <c r="DA1201" s="82">
        <f>IF(ISNUMBER($AV1201),$AV1201/100,"")</f>
        <v/>
      </c>
      <c r="DB1201" s="82">
        <f>IF(ISNUMBER($AW1201),$AW1201/100,"")</f>
        <v/>
      </c>
      <c r="DC1201" s="82">
        <f>IF(ISNUMBER($AX1201),$AX1201/100,"")</f>
        <v/>
      </c>
      <c r="DD1201" s="77">
        <f>IFERROR(VALUE(LEFT(TRIM($AO1201&amp;""),4)),"")</f>
        <v/>
      </c>
      <c r="DE1201" s="78">
        <f>IF(AND($BY1201=1,$BX1201=1,OR(fDeal="All Deals",$BU1201=fDeal),OR(fEntity="All Entities",$BV1201=fEntity),OR(fPType="All Property Types",$BZ1201=fPType),OR(fDefeased="Include",$CJ1201=0)),1,0)</f>
        <v/>
      </c>
      <c r="DF1201" s="83">
        <f>$DE1201*N($I1201)</f>
        <v/>
      </c>
      <c r="DG1201" s="78">
        <f>IF($DE1201=1,IF(COUNTIFS($F$8:$F1201,$F1201,$DE$8:$DE1201,1)=1,1,0),0)</f>
        <v/>
      </c>
      <c r="DH1201" s="83">
        <f>IF($DG1201=1,SUMIFS($DF$8:$DF$1600,$F$8:$F$1600,$F1201),0)</f>
        <v/>
      </c>
      <c r="DI1201" s="78">
        <f>IF($DG1201=1,COUNTIFS($F$8:$F$1600,$F1201,$DE$8:$DE$1600,1),0)</f>
        <v/>
      </c>
      <c r="DJ1201" s="84">
        <f>IF($DG1201=1,$DH1201+(100000-ROW())/mTieBreak,0)</f>
        <v/>
      </c>
    </row>
    <row r="1202">
      <c r="B1202" s="68" t="n">
        <v>24</v>
      </c>
      <c r="C1202" s="69" t="inlineStr">
        <is>
          <t>BCMK18B6</t>
        </is>
      </c>
      <c r="D1202" s="69" t="inlineStr">
        <is>
          <t>24.000</t>
        </is>
      </c>
      <c r="E1202" s="69" t="inlineStr">
        <is>
          <t>Hampton Inn Portland Airport</t>
        </is>
      </c>
      <c r="F1202" s="69" t="inlineStr">
        <is>
          <t>LNBCMK18B6-24.000</t>
        </is>
      </c>
      <c r="G1202" s="70" t="n"/>
      <c r="H1202" s="71" t="n">
        <v>15000000</v>
      </c>
      <c r="I1202" s="71" t="n">
        <v>12094494.970005</v>
      </c>
      <c r="J1202" s="72" t="n">
        <v>4.89</v>
      </c>
      <c r="K1202" s="69" t="inlineStr">
        <is>
          <t>Fixed rate</t>
        </is>
      </c>
      <c r="L1202" s="68" t="n">
        <v>120</v>
      </c>
      <c r="M1202" s="68" t="n">
        <v>24</v>
      </c>
      <c r="N1202" s="68" t="n">
        <v>300</v>
      </c>
      <c r="O1202" s="68" t="n"/>
      <c r="P1202" s="68" t="n"/>
      <c r="Q1202" s="68" t="n">
        <v>96</v>
      </c>
      <c r="R1202" s="69" t="n"/>
      <c r="S1202" s="69" t="inlineStr">
        <is>
          <t>No</t>
        </is>
      </c>
      <c r="T1202" s="73" t="n">
        <v>43344</v>
      </c>
      <c r="U1202" s="73" t="n">
        <v>47002</v>
      </c>
      <c r="V1202" s="73" t="n"/>
      <c r="W1202" s="69" t="n"/>
      <c r="X1202" s="69" t="inlineStr">
        <is>
          <t>Current</t>
        </is>
      </c>
      <c r="Y1202" s="68" t="n"/>
      <c r="Z1202" s="69" t="inlineStr">
        <is>
          <t>No Defeasance Occurred</t>
        </is>
      </c>
      <c r="AA1202" s="69" t="inlineStr">
        <is>
          <t>Yes</t>
        </is>
      </c>
      <c r="AB1202" s="69" t="inlineStr">
        <is>
          <t>Returned to master serv</t>
        </is>
      </c>
      <c r="AC1202" s="73" t="n"/>
      <c r="AD1202" s="69" t="inlineStr">
        <is>
          <t>Payment Default (all payments excluding Balloon/Maturity Payment)</t>
        </is>
      </c>
      <c r="AE1202" s="69" t="inlineStr">
        <is>
          <t>Resolved</t>
        </is>
      </c>
      <c r="AF1202" s="69" t="inlineStr">
        <is>
          <t>OR</t>
        </is>
      </c>
      <c r="AG1202" s="69" t="inlineStr">
        <is>
          <t>Portland</t>
        </is>
      </c>
      <c r="AH1202" s="69" t="inlineStr">
        <is>
          <t>Portland-Vancouver-Hillsboro, OR-WA</t>
        </is>
      </c>
      <c r="AI1202" s="69" t="inlineStr">
        <is>
          <t>West / Pacific North</t>
        </is>
      </c>
      <c r="AJ1202" s="69" t="inlineStr">
        <is>
          <t>HT</t>
        </is>
      </c>
      <c r="AK1202" s="69" t="inlineStr">
        <is>
          <t>Limited Service</t>
        </is>
      </c>
      <c r="AL1202" s="68" t="n">
        <v>1</v>
      </c>
      <c r="AM1202" s="68" t="n">
        <v>129</v>
      </c>
      <c r="AN1202" s="68" t="n"/>
      <c r="AO1202" s="69" t="inlineStr">
        <is>
          <t>1996</t>
        </is>
      </c>
      <c r="AP1202" s="70" t="n">
        <v>2018</v>
      </c>
      <c r="AQ1202" s="74" t="n">
        <v>1.79</v>
      </c>
      <c r="AR1202" s="74" t="n">
        <v>1.14</v>
      </c>
      <c r="AS1202" s="74" t="n">
        <v>58.7</v>
      </c>
      <c r="AT1202" s="74" t="n">
        <v>56.78</v>
      </c>
      <c r="AU1202" s="74" t="n">
        <v>43.81</v>
      </c>
      <c r="AV1202" s="74" t="n">
        <v>12.420053333</v>
      </c>
      <c r="AW1202" s="74" t="n">
        <v>8.958890161999999</v>
      </c>
      <c r="AX1202" s="75" t="n">
        <v>71</v>
      </c>
      <c r="AY1202" s="71" t="n">
        <v>25500000</v>
      </c>
      <c r="AZ1202" s="71" t="n">
        <v>21300000</v>
      </c>
      <c r="BA1202" s="71" t="n">
        <v>1863008</v>
      </c>
      <c r="BB1202" s="71" t="n">
        <v>1189561.09</v>
      </c>
      <c r="BC1202" s="69" t="inlineStr">
        <is>
          <t>Refinance</t>
        </is>
      </c>
      <c r="BD1202" s="69" t="inlineStr">
        <is>
          <t>Y</t>
        </is>
      </c>
      <c r="BE1202" s="71" t="n"/>
      <c r="BF1202" s="71" t="n"/>
      <c r="BG1202" s="71" t="n"/>
      <c r="BH1202" s="71" t="n">
        <v>0</v>
      </c>
      <c r="BI1202" s="71" t="n">
        <v>0</v>
      </c>
      <c r="BJ1202" s="69" t="inlineStr">
        <is>
          <t>Y</t>
        </is>
      </c>
      <c r="BK1202" s="69" t="n"/>
      <c r="BL1202" s="75" t="n"/>
      <c r="BM1202" s="73" t="n"/>
      <c r="BN1202" s="69" t="inlineStr">
        <is>
          <t>Harold Pollin</t>
        </is>
      </c>
      <c r="BO1202" s="69" t="inlineStr">
        <is>
          <t>Citigroup Global Markets</t>
        </is>
      </c>
      <c r="BP1202" s="69" t="inlineStr">
        <is>
          <t>KeyBank National Association</t>
        </is>
      </c>
      <c r="BQ1202" s="69" t="inlineStr">
        <is>
          <t>K-Star Asset Management LLC</t>
        </is>
      </c>
      <c r="BR1202" s="69" t="n"/>
      <c r="BS1202" s="73" t="n">
        <v>46273</v>
      </c>
      <c r="BU1202" s="76">
        <f>IF($C1202="","",IFERROR(INDEX(dmName,MATCH($C1202,dmID,0)),"Unmapped"))</f>
        <v/>
      </c>
      <c r="BV1202" s="76">
        <f>IF($C1202="","",IFERROR(INDEX(dmEntity,MATCH($C1202,dmID,0)),"Unmapped"))</f>
        <v/>
      </c>
      <c r="BW1202" s="77">
        <f>IF($C1202="","",IFERROR(INDEX(dmVintage,MATCH($C1202,dmID,0)),""))</f>
        <v/>
      </c>
      <c r="BX1202" s="78">
        <f>IFERROR(INDEX(dmInclude,MATCH($C1202,dmID,0)),0)</f>
        <v/>
      </c>
      <c r="BY1202" s="78">
        <f>IF(N($I1202)&gt;0,1,0)</f>
        <v/>
      </c>
      <c r="BZ1202" s="76">
        <f>IF($AJ1202="","Other / Leased Fee",IFERROR(INDEX(mapPTGroup,MATCH(LEFT(TRIM($AJ1202),2),mapPTCode,0)),"Other / Leased Fee"))</f>
        <v/>
      </c>
      <c r="CA1202" s="76">
        <f>IF(TRIM($AF1202&amp;"")="","NR",LEFT(TRIM($AF1202),2))</f>
        <v/>
      </c>
      <c r="CB1202" s="76">
        <f>IFERROR(LOOKUP(2,1/(LEFT(TRIM($AI1202&amp;""),LEN(mapRegion))=mapRegion),mapRegion),"Not Reported")</f>
        <v/>
      </c>
      <c r="CC1202" s="76">
        <f>IF($BY1202=0,"",IF(TRIM($W1202&amp;"")="REO","REO",IF(TRIM($W1202&amp;"")="FC","Foreclosure",IF(TRIM($W1202&amp;"")="90+","90+ Days Delinquent",IF(TRIM($W1202&amp;"")="60","60 Days Delinquent",IF(TRIM($W1202&amp;"")="30","30 Days Delinquent",IF($X1202="Non-Performing Matured Balloon","Non-Performing Matured Balloon",IF(OR($X1202="Late Payment But Less Than 30 Days Delinquent",LEFT($X1202&amp;"",20)="Payment Not Received"),"Late / In Grace (&lt;30 Days)",IF($X1202="Performing Matured Balloon","Performing Matured Balloon","Current")))))))))</f>
        <v/>
      </c>
      <c r="CD1202" s="78">
        <f>IF(OR($CC1202="REO",$CC1202="Foreclosure",$CC1202="90+ Days Delinquent",$CC1202="60 Days Delinquent",$CC1202="30 Days Delinquent",$CC1202="Non-Performing Matured Balloon"),1,0)</f>
        <v/>
      </c>
      <c r="CE1202" s="76">
        <f>IF($AB1202="Currently special serv","Currently Specially Serviced",IF($AB1202="Returned to master serv","Previously Specially Serviced","Never Specially Serviced"))</f>
        <v/>
      </c>
      <c r="CF1202" s="78">
        <f>IF($CE1202="Currently Specially Serviced",1,0)</f>
        <v/>
      </c>
      <c r="CG1202" s="76">
        <f>IF($AA1202="Yes","Currently on Watchlist",IF($AA1202="Previously","Previously on Watchlist","Never on Watchlist"))</f>
        <v/>
      </c>
      <c r="CH1202" s="78">
        <f>IF($CG1202="Currently on Watchlist",1,0)</f>
        <v/>
      </c>
      <c r="CI1202" s="76">
        <f>IF($Z1202="Full Defeasance","Fully Defeased",IF($Z1202="Portion Of Loan Previously Defeased","Partially Defeased",IF($Z1202="Defeasance Not Allowable","Not Defeased (Not Permitted)","Not Defeased")))</f>
        <v/>
      </c>
      <c r="CJ1202" s="78">
        <f>IF($CI1202="Fully Defeased",1,0)</f>
        <v/>
      </c>
      <c r="CK1202" s="76">
        <f>IF($R1202="IO","Full IO",IF(LEFT($R1202&amp;"",7)="IO then","Partial IO","Amortizing"))</f>
        <v/>
      </c>
      <c r="CL1202" s="78">
        <f>IF($CK1202="Full IO",1,0)</f>
        <v/>
      </c>
      <c r="CM1202" s="78">
        <f>IF($CK1202="Partial IO",1,0)</f>
        <v/>
      </c>
      <c r="CN1202" s="76">
        <f>IF(LEFT($F1202&amp;"",10)="SPLIT_LOAN","Pari Passu Split","Standalone")</f>
        <v/>
      </c>
      <c r="CO1202" s="78">
        <f>IF($CN1202="Pari Passu Split",1,0)</f>
        <v/>
      </c>
      <c r="CP1202" s="77">
        <f>IF(ISNUMBER($T1202),YEAR($T1202),"")</f>
        <v/>
      </c>
      <c r="CQ1202" s="79">
        <f>IF(ISNUMBER($V1202),$V1202,IF(ISNUMBER($U1202),$U1202,""))</f>
        <v/>
      </c>
      <c r="CR1202" s="77">
        <f>IF(ISNUMBER($CQ1202),YEAR($CQ1202),"")</f>
        <v/>
      </c>
      <c r="CS1202" s="78">
        <f>IF(ISNUMBER($M1202),MAX(0,$M1202),IF(TRIM($M1202&amp;"")="matured",0,""))</f>
        <v/>
      </c>
      <c r="CT1202" s="78">
        <f>IF(AND(ISNUMBER($CS1202),N($CS1202)&lt;=mMatWindow),1,0)</f>
        <v/>
      </c>
      <c r="CU1202" s="80">
        <f>IF(ISNUMBER($J1202),$J1202/100,"")</f>
        <v/>
      </c>
      <c r="CV1202" s="81">
        <f>IF(ISNUMBER($AQ1202),$AQ1202,"")</f>
        <v/>
      </c>
      <c r="CW1202" s="81">
        <f>IF(ISNUMBER($AR1202),$AR1202,"")</f>
        <v/>
      </c>
      <c r="CX1202" s="82">
        <f>IF(ISNUMBER($AS1202),$AS1202/100,"")</f>
        <v/>
      </c>
      <c r="CY1202" s="82">
        <f>IF(ISNUMBER($AT1202),$AT1202/100,"")</f>
        <v/>
      </c>
      <c r="CZ1202" s="82">
        <f>IF(ISNUMBER($AU1202),$AU1202/100,"")</f>
        <v/>
      </c>
      <c r="DA1202" s="82">
        <f>IF(ISNUMBER($AV1202),$AV1202/100,"")</f>
        <v/>
      </c>
      <c r="DB1202" s="82">
        <f>IF(ISNUMBER($AW1202),$AW1202/100,"")</f>
        <v/>
      </c>
      <c r="DC1202" s="82">
        <f>IF(ISNUMBER($AX1202),$AX1202/100,"")</f>
        <v/>
      </c>
      <c r="DD1202" s="77">
        <f>IFERROR(VALUE(LEFT(TRIM($AO1202&amp;""),4)),"")</f>
        <v/>
      </c>
      <c r="DE1202" s="78">
        <f>IF(AND($BY1202=1,$BX1202=1,OR(fDeal="All Deals",$BU1202=fDeal),OR(fEntity="All Entities",$BV1202=fEntity),OR(fPType="All Property Types",$BZ1202=fPType),OR(fDefeased="Include",$CJ1202=0)),1,0)</f>
        <v/>
      </c>
      <c r="DF1202" s="83">
        <f>$DE1202*N($I1202)</f>
        <v/>
      </c>
      <c r="DG1202" s="78">
        <f>IF($DE1202=1,IF(COUNTIFS($F$8:$F1202,$F1202,$DE$8:$DE1202,1)=1,1,0),0)</f>
        <v/>
      </c>
      <c r="DH1202" s="83">
        <f>IF($DG1202=1,SUMIFS($DF$8:$DF$1600,$F$8:$F$1600,$F1202),0)</f>
        <v/>
      </c>
      <c r="DI1202" s="78">
        <f>IF($DG1202=1,COUNTIFS($F$8:$F$1600,$F1202,$DE$8:$DE$1600,1),0)</f>
        <v/>
      </c>
      <c r="DJ1202" s="84">
        <f>IF($DG1202=1,$DH1202+(100000-ROW())/mTieBreak,0)</f>
        <v/>
      </c>
    </row>
    <row r="1203">
      <c r="B1203" s="68" t="n">
        <v>25</v>
      </c>
      <c r="C1203" s="69" t="inlineStr">
        <is>
          <t>BCMK18B6</t>
        </is>
      </c>
      <c r="D1203" s="69" t="inlineStr">
        <is>
          <t>25.000</t>
        </is>
      </c>
      <c r="E1203" s="69" t="inlineStr">
        <is>
          <t>Embassy Suites - Columbus, OH</t>
        </is>
      </c>
      <c r="F1203" s="69" t="inlineStr">
        <is>
          <t>LNBCMK18B6-25.000</t>
        </is>
      </c>
      <c r="G1203" s="70" t="n"/>
      <c r="H1203" s="71" t="n">
        <v>14700000</v>
      </c>
      <c r="I1203" s="71" t="n">
        <v>12508909.9400034</v>
      </c>
      <c r="J1203" s="72" t="n">
        <v>4.44</v>
      </c>
      <c r="K1203" s="69" t="inlineStr">
        <is>
          <t>Fixed rate</t>
        </is>
      </c>
      <c r="L1203" s="68" t="n">
        <v>120</v>
      </c>
      <c r="M1203" s="68" t="n">
        <v>23</v>
      </c>
      <c r="N1203" s="68" t="n">
        <v>360</v>
      </c>
      <c r="O1203" s="68" t="n"/>
      <c r="P1203" s="68" t="n"/>
      <c r="Q1203" s="68" t="n">
        <v>97</v>
      </c>
      <c r="R1203" s="69" t="n"/>
      <c r="S1203" s="69" t="inlineStr">
        <is>
          <t>No</t>
        </is>
      </c>
      <c r="T1203" s="73" t="n">
        <v>43313</v>
      </c>
      <c r="U1203" s="73" t="n">
        <v>46971</v>
      </c>
      <c r="V1203" s="73" t="n"/>
      <c r="W1203" s="69" t="n"/>
      <c r="X1203" s="69" t="inlineStr">
        <is>
          <t>Current</t>
        </is>
      </c>
      <c r="Y1203" s="68" t="n"/>
      <c r="Z1203" s="69" t="inlineStr">
        <is>
          <t>No Defeasance Occurred</t>
        </is>
      </c>
      <c r="AA1203" s="69" t="inlineStr">
        <is>
          <t>Previously</t>
        </is>
      </c>
      <c r="AB1203" s="69" t="inlineStr">
        <is>
          <t>Never special serv</t>
        </is>
      </c>
      <c r="AC1203" s="73" t="n"/>
      <c r="AD1203" s="69" t="n"/>
      <c r="AE1203" s="69" t="n"/>
      <c r="AF1203" s="69" t="inlineStr">
        <is>
          <t>OH</t>
        </is>
      </c>
      <c r="AG1203" s="69" t="inlineStr">
        <is>
          <t>Columbus</t>
        </is>
      </c>
      <c r="AH1203" s="69" t="inlineStr">
        <is>
          <t>Columbus, OH</t>
        </is>
      </c>
      <c r="AI1203" s="69" t="inlineStr">
        <is>
          <t>Midwest / Central East</t>
        </is>
      </c>
      <c r="AJ1203" s="69" t="inlineStr">
        <is>
          <t>HT</t>
        </is>
      </c>
      <c r="AK1203" s="69" t="inlineStr">
        <is>
          <t>Full Service</t>
        </is>
      </c>
      <c r="AL1203" s="68" t="n">
        <v>1</v>
      </c>
      <c r="AM1203" s="68" t="n">
        <v>224</v>
      </c>
      <c r="AN1203" s="68" t="n"/>
      <c r="AO1203" s="69" t="inlineStr">
        <is>
          <t>1984</t>
        </is>
      </c>
      <c r="AP1203" s="70" t="n">
        <v>2016</v>
      </c>
      <c r="AQ1203" s="74" t="n">
        <v>2.37</v>
      </c>
      <c r="AR1203" s="74" t="n">
        <v>1.99</v>
      </c>
      <c r="AS1203" s="74" t="n">
        <v>52.4</v>
      </c>
      <c r="AT1203" s="74" t="n">
        <v>44.67</v>
      </c>
      <c r="AU1203" s="74" t="n">
        <v>42.36</v>
      </c>
      <c r="AV1203" s="74" t="n">
        <v>14.31992517</v>
      </c>
      <c r="AW1203" s="74" t="n">
        <v>8.97520012</v>
      </c>
      <c r="AX1203" s="75" t="n">
        <v>67</v>
      </c>
      <c r="AY1203" s="71" t="n">
        <v>28000000</v>
      </c>
      <c r="AZ1203" s="71" t="n">
        <v>28000000</v>
      </c>
      <c r="BA1203" s="71" t="n">
        <v>2105029</v>
      </c>
      <c r="BB1203" s="71" t="n">
        <v>1768264.56</v>
      </c>
      <c r="BC1203" s="69" t="inlineStr">
        <is>
          <t>Refinance</t>
        </is>
      </c>
      <c r="BD1203" s="69" t="inlineStr">
        <is>
          <t>N</t>
        </is>
      </c>
      <c r="BE1203" s="71" t="n"/>
      <c r="BF1203" s="71" t="n"/>
      <c r="BG1203" s="71" t="n"/>
      <c r="BH1203" s="71" t="n">
        <v>0</v>
      </c>
      <c r="BI1203" s="71" t="n">
        <v>0</v>
      </c>
      <c r="BJ1203" s="69" t="inlineStr">
        <is>
          <t>N</t>
        </is>
      </c>
      <c r="BK1203" s="69" t="n"/>
      <c r="BL1203" s="75" t="n"/>
      <c r="BM1203" s="73" t="n"/>
      <c r="BN1203" s="69" t="inlineStr">
        <is>
          <t>Alpesh Patel</t>
        </is>
      </c>
      <c r="BO1203" s="69" t="inlineStr">
        <is>
          <t>Citigroup Global Markets</t>
        </is>
      </c>
      <c r="BP1203" s="69" t="inlineStr">
        <is>
          <t>KeyBank National Association</t>
        </is>
      </c>
      <c r="BQ1203" s="69" t="inlineStr">
        <is>
          <t>K-Star Asset Management LLC</t>
        </is>
      </c>
      <c r="BR1203" s="69" t="n"/>
      <c r="BS1203" s="73" t="n">
        <v>46273</v>
      </c>
      <c r="BU1203" s="76">
        <f>IF($C1203="","",IFERROR(INDEX(dmName,MATCH($C1203,dmID,0)),"Unmapped"))</f>
        <v/>
      </c>
      <c r="BV1203" s="76">
        <f>IF($C1203="","",IFERROR(INDEX(dmEntity,MATCH($C1203,dmID,0)),"Unmapped"))</f>
        <v/>
      </c>
      <c r="BW1203" s="77">
        <f>IF($C1203="","",IFERROR(INDEX(dmVintage,MATCH($C1203,dmID,0)),""))</f>
        <v/>
      </c>
      <c r="BX1203" s="78">
        <f>IFERROR(INDEX(dmInclude,MATCH($C1203,dmID,0)),0)</f>
        <v/>
      </c>
      <c r="BY1203" s="78">
        <f>IF(N($I1203)&gt;0,1,0)</f>
        <v/>
      </c>
      <c r="BZ1203" s="76">
        <f>IF($AJ1203="","Other / Leased Fee",IFERROR(INDEX(mapPTGroup,MATCH(LEFT(TRIM($AJ1203),2),mapPTCode,0)),"Other / Leased Fee"))</f>
        <v/>
      </c>
      <c r="CA1203" s="76">
        <f>IF(TRIM($AF1203&amp;"")="","NR",LEFT(TRIM($AF1203),2))</f>
        <v/>
      </c>
      <c r="CB1203" s="76">
        <f>IFERROR(LOOKUP(2,1/(LEFT(TRIM($AI1203&amp;""),LEN(mapRegion))=mapRegion),mapRegion),"Not Reported")</f>
        <v/>
      </c>
      <c r="CC1203" s="76">
        <f>IF($BY1203=0,"",IF(TRIM($W1203&amp;"")="REO","REO",IF(TRIM($W1203&amp;"")="FC","Foreclosure",IF(TRIM($W1203&amp;"")="90+","90+ Days Delinquent",IF(TRIM($W1203&amp;"")="60","60 Days Delinquent",IF(TRIM($W1203&amp;"")="30","30 Days Delinquent",IF($X1203="Non-Performing Matured Balloon","Non-Performing Matured Balloon",IF(OR($X1203="Late Payment But Less Than 30 Days Delinquent",LEFT($X1203&amp;"",20)="Payment Not Received"),"Late / In Grace (&lt;30 Days)",IF($X1203="Performing Matured Balloon","Performing Matured Balloon","Current")))))))))</f>
        <v/>
      </c>
      <c r="CD1203" s="78">
        <f>IF(OR($CC1203="REO",$CC1203="Foreclosure",$CC1203="90+ Days Delinquent",$CC1203="60 Days Delinquent",$CC1203="30 Days Delinquent",$CC1203="Non-Performing Matured Balloon"),1,0)</f>
        <v/>
      </c>
      <c r="CE1203" s="76">
        <f>IF($AB1203="Currently special serv","Currently Specially Serviced",IF($AB1203="Returned to master serv","Previously Specially Serviced","Never Specially Serviced"))</f>
        <v/>
      </c>
      <c r="CF1203" s="78">
        <f>IF($CE1203="Currently Specially Serviced",1,0)</f>
        <v/>
      </c>
      <c r="CG1203" s="76">
        <f>IF($AA1203="Yes","Currently on Watchlist",IF($AA1203="Previously","Previously on Watchlist","Never on Watchlist"))</f>
        <v/>
      </c>
      <c r="CH1203" s="78">
        <f>IF($CG1203="Currently on Watchlist",1,0)</f>
        <v/>
      </c>
      <c r="CI1203" s="76">
        <f>IF($Z1203="Full Defeasance","Fully Defeased",IF($Z1203="Portion Of Loan Previously Defeased","Partially Defeased",IF($Z1203="Defeasance Not Allowable","Not Defeased (Not Permitted)","Not Defeased")))</f>
        <v/>
      </c>
      <c r="CJ1203" s="78">
        <f>IF($CI1203="Fully Defeased",1,0)</f>
        <v/>
      </c>
      <c r="CK1203" s="76">
        <f>IF($R1203="IO","Full IO",IF(LEFT($R1203&amp;"",7)="IO then","Partial IO","Amortizing"))</f>
        <v/>
      </c>
      <c r="CL1203" s="78">
        <f>IF($CK1203="Full IO",1,0)</f>
        <v/>
      </c>
      <c r="CM1203" s="78">
        <f>IF($CK1203="Partial IO",1,0)</f>
        <v/>
      </c>
      <c r="CN1203" s="76">
        <f>IF(LEFT($F1203&amp;"",10)="SPLIT_LOAN","Pari Passu Split","Standalone")</f>
        <v/>
      </c>
      <c r="CO1203" s="78">
        <f>IF($CN1203="Pari Passu Split",1,0)</f>
        <v/>
      </c>
      <c r="CP1203" s="77">
        <f>IF(ISNUMBER($T1203),YEAR($T1203),"")</f>
        <v/>
      </c>
      <c r="CQ1203" s="79">
        <f>IF(ISNUMBER($V1203),$V1203,IF(ISNUMBER($U1203),$U1203,""))</f>
        <v/>
      </c>
      <c r="CR1203" s="77">
        <f>IF(ISNUMBER($CQ1203),YEAR($CQ1203),"")</f>
        <v/>
      </c>
      <c r="CS1203" s="78">
        <f>IF(ISNUMBER($M1203),MAX(0,$M1203),IF(TRIM($M1203&amp;"")="matured",0,""))</f>
        <v/>
      </c>
      <c r="CT1203" s="78">
        <f>IF(AND(ISNUMBER($CS1203),N($CS1203)&lt;=mMatWindow),1,0)</f>
        <v/>
      </c>
      <c r="CU1203" s="80">
        <f>IF(ISNUMBER($J1203),$J1203/100,"")</f>
        <v/>
      </c>
      <c r="CV1203" s="81">
        <f>IF(ISNUMBER($AQ1203),$AQ1203,"")</f>
        <v/>
      </c>
      <c r="CW1203" s="81">
        <f>IF(ISNUMBER($AR1203),$AR1203,"")</f>
        <v/>
      </c>
      <c r="CX1203" s="82">
        <f>IF(ISNUMBER($AS1203),$AS1203/100,"")</f>
        <v/>
      </c>
      <c r="CY1203" s="82">
        <f>IF(ISNUMBER($AT1203),$AT1203/100,"")</f>
        <v/>
      </c>
      <c r="CZ1203" s="82">
        <f>IF(ISNUMBER($AU1203),$AU1203/100,"")</f>
        <v/>
      </c>
      <c r="DA1203" s="82">
        <f>IF(ISNUMBER($AV1203),$AV1203/100,"")</f>
        <v/>
      </c>
      <c r="DB1203" s="82">
        <f>IF(ISNUMBER($AW1203),$AW1203/100,"")</f>
        <v/>
      </c>
      <c r="DC1203" s="82">
        <f>IF(ISNUMBER($AX1203),$AX1203/100,"")</f>
        <v/>
      </c>
      <c r="DD1203" s="77">
        <f>IFERROR(VALUE(LEFT(TRIM($AO1203&amp;""),4)),"")</f>
        <v/>
      </c>
      <c r="DE1203" s="78">
        <f>IF(AND($BY1203=1,$BX1203=1,OR(fDeal="All Deals",$BU1203=fDeal),OR(fEntity="All Entities",$BV1203=fEntity),OR(fPType="All Property Types",$BZ1203=fPType),OR(fDefeased="Include",$CJ1203=0)),1,0)</f>
        <v/>
      </c>
      <c r="DF1203" s="83">
        <f>$DE1203*N($I1203)</f>
        <v/>
      </c>
      <c r="DG1203" s="78">
        <f>IF($DE1203=1,IF(COUNTIFS($F$8:$F1203,$F1203,$DE$8:$DE1203,1)=1,1,0),0)</f>
        <v/>
      </c>
      <c r="DH1203" s="83">
        <f>IF($DG1203=1,SUMIFS($DF$8:$DF$1600,$F$8:$F$1600,$F1203),0)</f>
        <v/>
      </c>
      <c r="DI1203" s="78">
        <f>IF($DG1203=1,COUNTIFS($F$8:$F$1600,$F1203,$DE$8:$DE$1600,1),0)</f>
        <v/>
      </c>
      <c r="DJ1203" s="84">
        <f>IF($DG1203=1,$DH1203+(100000-ROW())/mTieBreak,0)</f>
        <v/>
      </c>
    </row>
    <row r="1204">
      <c r="B1204" s="68" t="n">
        <v>26</v>
      </c>
      <c r="C1204" s="69" t="inlineStr">
        <is>
          <t>BCMK18B6</t>
        </is>
      </c>
      <c r="D1204" s="69" t="inlineStr">
        <is>
          <t>26.000</t>
        </is>
      </c>
      <c r="E1204" s="69" t="inlineStr">
        <is>
          <t>Woodland Commons SC</t>
        </is>
      </c>
      <c r="F1204" s="69" t="inlineStr">
        <is>
          <t>LNBCMK18B6-26.000</t>
        </is>
      </c>
      <c r="G1204" s="70" t="n"/>
      <c r="H1204" s="71" t="n">
        <v>14000000</v>
      </c>
      <c r="I1204" s="71" t="n">
        <v>12964792.029994</v>
      </c>
      <c r="J1204" s="72" t="n">
        <v>5.28</v>
      </c>
      <c r="K1204" s="69" t="inlineStr">
        <is>
          <t>Fixed rate</t>
        </is>
      </c>
      <c r="L1204" s="68" t="n">
        <v>120</v>
      </c>
      <c r="M1204" s="68" t="n">
        <v>24</v>
      </c>
      <c r="N1204" s="68" t="n">
        <v>396</v>
      </c>
      <c r="O1204" s="68" t="n">
        <v>36</v>
      </c>
      <c r="P1204" s="68" t="n">
        <v>0</v>
      </c>
      <c r="Q1204" s="68" t="n">
        <v>96</v>
      </c>
      <c r="R1204" s="69" t="inlineStr">
        <is>
          <t>IO then Amort</t>
        </is>
      </c>
      <c r="S1204" s="69" t="inlineStr">
        <is>
          <t>No</t>
        </is>
      </c>
      <c r="T1204" s="73" t="n">
        <v>43344</v>
      </c>
      <c r="U1204" s="73" t="n">
        <v>47002</v>
      </c>
      <c r="V1204" s="73" t="n"/>
      <c r="W1204" s="69" t="n"/>
      <c r="X1204" s="69" t="inlineStr">
        <is>
          <t>Current</t>
        </is>
      </c>
      <c r="Y1204" s="68" t="n"/>
      <c r="Z1204" s="69" t="inlineStr">
        <is>
          <t>No Defeasance Occurred</t>
        </is>
      </c>
      <c r="AA1204" s="69" t="inlineStr">
        <is>
          <t>Previously</t>
        </is>
      </c>
      <c r="AB1204" s="69" t="inlineStr">
        <is>
          <t>Never special serv</t>
        </is>
      </c>
      <c r="AC1204" s="73" t="n"/>
      <c r="AD1204" s="69" t="n"/>
      <c r="AE1204" s="69" t="n"/>
      <c r="AF1204" s="69" t="inlineStr">
        <is>
          <t>KY</t>
        </is>
      </c>
      <c r="AG1204" s="69" t="inlineStr">
        <is>
          <t>Elizabethtown</t>
        </is>
      </c>
      <c r="AH1204" s="69" t="inlineStr">
        <is>
          <t>Elizabethtown, KY</t>
        </is>
      </c>
      <c r="AI1204" s="69" t="inlineStr">
        <is>
          <t>South / Central East</t>
        </is>
      </c>
      <c r="AJ1204" s="69" t="inlineStr">
        <is>
          <t>RT</t>
        </is>
      </c>
      <c r="AK1204" s="69" t="inlineStr">
        <is>
          <t>Anchored</t>
        </is>
      </c>
      <c r="AL1204" s="68" t="n">
        <v>1</v>
      </c>
      <c r="AM1204" s="68" t="n"/>
      <c r="AN1204" s="68" t="n">
        <v>126124</v>
      </c>
      <c r="AO1204" s="69" t="inlineStr">
        <is>
          <t>2015</t>
        </is>
      </c>
      <c r="AP1204" s="70" t="n">
        <v>2015</v>
      </c>
      <c r="AQ1204" s="74" t="n">
        <v>1.2</v>
      </c>
      <c r="AR1204" s="74" t="n">
        <v>1.3</v>
      </c>
      <c r="AS1204" s="74" t="n">
        <v>67.5</v>
      </c>
      <c r="AT1204" s="74" t="n">
        <v>62.48</v>
      </c>
      <c r="AU1204" s="74" t="n">
        <v>60.09</v>
      </c>
      <c r="AV1204" s="74" t="n">
        <v>8.011307143</v>
      </c>
      <c r="AW1204" s="74" t="n">
        <v>8.854492284999999</v>
      </c>
      <c r="AX1204" s="75" t="n">
        <v>100</v>
      </c>
      <c r="AY1204" s="71" t="n">
        <v>20750000</v>
      </c>
      <c r="AZ1204" s="71" t="n">
        <v>20750000</v>
      </c>
      <c r="BA1204" s="71" t="n">
        <v>1121583</v>
      </c>
      <c r="BB1204" s="71" t="n">
        <v>1207785.65</v>
      </c>
      <c r="BC1204" s="69" t="inlineStr">
        <is>
          <t>Refinance</t>
        </is>
      </c>
      <c r="BD1204" s="69" t="inlineStr">
        <is>
          <t>N</t>
        </is>
      </c>
      <c r="BE1204" s="71" t="n"/>
      <c r="BF1204" s="71" t="n"/>
      <c r="BG1204" s="71" t="n"/>
      <c r="BH1204" s="71" t="n">
        <v>0</v>
      </c>
      <c r="BI1204" s="71" t="n">
        <v>0</v>
      </c>
      <c r="BJ1204" s="69" t="inlineStr">
        <is>
          <t>N</t>
        </is>
      </c>
      <c r="BK1204" s="69" t="inlineStr">
        <is>
          <t>Academy Sports + Outdoors</t>
        </is>
      </c>
      <c r="BL1204" s="75" t="n">
        <v>49.77</v>
      </c>
      <c r="BM1204" s="73" t="n">
        <v>47514</v>
      </c>
      <c r="BN1204" s="69" t="inlineStr">
        <is>
          <t>George B. Tomlin</t>
        </is>
      </c>
      <c r="BO1204" s="69" t="inlineStr">
        <is>
          <t>Citigroup Global Markets</t>
        </is>
      </c>
      <c r="BP1204" s="69" t="inlineStr">
        <is>
          <t>KeyBank National Association</t>
        </is>
      </c>
      <c r="BQ1204" s="69" t="inlineStr">
        <is>
          <t>K-Star Asset Management LLC</t>
        </is>
      </c>
      <c r="BR1204" s="69" t="n"/>
      <c r="BS1204" s="73" t="n">
        <v>46273</v>
      </c>
      <c r="BU1204" s="76">
        <f>IF($C1204="","",IFERROR(INDEX(dmName,MATCH($C1204,dmID,0)),"Unmapped"))</f>
        <v/>
      </c>
      <c r="BV1204" s="76">
        <f>IF($C1204="","",IFERROR(INDEX(dmEntity,MATCH($C1204,dmID,0)),"Unmapped"))</f>
        <v/>
      </c>
      <c r="BW1204" s="77">
        <f>IF($C1204="","",IFERROR(INDEX(dmVintage,MATCH($C1204,dmID,0)),""))</f>
        <v/>
      </c>
      <c r="BX1204" s="78">
        <f>IFERROR(INDEX(dmInclude,MATCH($C1204,dmID,0)),0)</f>
        <v/>
      </c>
      <c r="BY1204" s="78">
        <f>IF(N($I1204)&gt;0,1,0)</f>
        <v/>
      </c>
      <c r="BZ1204" s="76">
        <f>IF($AJ1204="","Other / Leased Fee",IFERROR(INDEX(mapPTGroup,MATCH(LEFT(TRIM($AJ1204),2),mapPTCode,0)),"Other / Leased Fee"))</f>
        <v/>
      </c>
      <c r="CA1204" s="76">
        <f>IF(TRIM($AF1204&amp;"")="","NR",LEFT(TRIM($AF1204),2))</f>
        <v/>
      </c>
      <c r="CB1204" s="76">
        <f>IFERROR(LOOKUP(2,1/(LEFT(TRIM($AI1204&amp;""),LEN(mapRegion))=mapRegion),mapRegion),"Not Reported")</f>
        <v/>
      </c>
      <c r="CC1204" s="76">
        <f>IF($BY1204=0,"",IF(TRIM($W1204&amp;"")="REO","REO",IF(TRIM($W1204&amp;"")="FC","Foreclosure",IF(TRIM($W1204&amp;"")="90+","90+ Days Delinquent",IF(TRIM($W1204&amp;"")="60","60 Days Delinquent",IF(TRIM($W1204&amp;"")="30","30 Days Delinquent",IF($X1204="Non-Performing Matured Balloon","Non-Performing Matured Balloon",IF(OR($X1204="Late Payment But Less Than 30 Days Delinquent",LEFT($X1204&amp;"",20)="Payment Not Received"),"Late / In Grace (&lt;30 Days)",IF($X1204="Performing Matured Balloon","Performing Matured Balloon","Current")))))))))</f>
        <v/>
      </c>
      <c r="CD1204" s="78">
        <f>IF(OR($CC1204="REO",$CC1204="Foreclosure",$CC1204="90+ Days Delinquent",$CC1204="60 Days Delinquent",$CC1204="30 Days Delinquent",$CC1204="Non-Performing Matured Balloon"),1,0)</f>
        <v/>
      </c>
      <c r="CE1204" s="76">
        <f>IF($AB1204="Currently special serv","Currently Specially Serviced",IF($AB1204="Returned to master serv","Previously Specially Serviced","Never Specially Serviced"))</f>
        <v/>
      </c>
      <c r="CF1204" s="78">
        <f>IF($CE1204="Currently Specially Serviced",1,0)</f>
        <v/>
      </c>
      <c r="CG1204" s="76">
        <f>IF($AA1204="Yes","Currently on Watchlist",IF($AA1204="Previously","Previously on Watchlist","Never on Watchlist"))</f>
        <v/>
      </c>
      <c r="CH1204" s="78">
        <f>IF($CG1204="Currently on Watchlist",1,0)</f>
        <v/>
      </c>
      <c r="CI1204" s="76">
        <f>IF($Z1204="Full Defeasance","Fully Defeased",IF($Z1204="Portion Of Loan Previously Defeased","Partially Defeased",IF($Z1204="Defeasance Not Allowable","Not Defeased (Not Permitted)","Not Defeased")))</f>
        <v/>
      </c>
      <c r="CJ1204" s="78">
        <f>IF($CI1204="Fully Defeased",1,0)</f>
        <v/>
      </c>
      <c r="CK1204" s="76">
        <f>IF($R1204="IO","Full IO",IF(LEFT($R1204&amp;"",7)="IO then","Partial IO","Amortizing"))</f>
        <v/>
      </c>
      <c r="CL1204" s="78">
        <f>IF($CK1204="Full IO",1,0)</f>
        <v/>
      </c>
      <c r="CM1204" s="78">
        <f>IF($CK1204="Partial IO",1,0)</f>
        <v/>
      </c>
      <c r="CN1204" s="76">
        <f>IF(LEFT($F1204&amp;"",10)="SPLIT_LOAN","Pari Passu Split","Standalone")</f>
        <v/>
      </c>
      <c r="CO1204" s="78">
        <f>IF($CN1204="Pari Passu Split",1,0)</f>
        <v/>
      </c>
      <c r="CP1204" s="77">
        <f>IF(ISNUMBER($T1204),YEAR($T1204),"")</f>
        <v/>
      </c>
      <c r="CQ1204" s="79">
        <f>IF(ISNUMBER($V1204),$V1204,IF(ISNUMBER($U1204),$U1204,""))</f>
        <v/>
      </c>
      <c r="CR1204" s="77">
        <f>IF(ISNUMBER($CQ1204),YEAR($CQ1204),"")</f>
        <v/>
      </c>
      <c r="CS1204" s="78">
        <f>IF(ISNUMBER($M1204),MAX(0,$M1204),IF(TRIM($M1204&amp;"")="matured",0,""))</f>
        <v/>
      </c>
      <c r="CT1204" s="78">
        <f>IF(AND(ISNUMBER($CS1204),N($CS1204)&lt;=mMatWindow),1,0)</f>
        <v/>
      </c>
      <c r="CU1204" s="80">
        <f>IF(ISNUMBER($J1204),$J1204/100,"")</f>
        <v/>
      </c>
      <c r="CV1204" s="81">
        <f>IF(ISNUMBER($AQ1204),$AQ1204,"")</f>
        <v/>
      </c>
      <c r="CW1204" s="81">
        <f>IF(ISNUMBER($AR1204),$AR1204,"")</f>
        <v/>
      </c>
      <c r="CX1204" s="82">
        <f>IF(ISNUMBER($AS1204),$AS1204/100,"")</f>
        <v/>
      </c>
      <c r="CY1204" s="82">
        <f>IF(ISNUMBER($AT1204),$AT1204/100,"")</f>
        <v/>
      </c>
      <c r="CZ1204" s="82">
        <f>IF(ISNUMBER($AU1204),$AU1204/100,"")</f>
        <v/>
      </c>
      <c r="DA1204" s="82">
        <f>IF(ISNUMBER($AV1204),$AV1204/100,"")</f>
        <v/>
      </c>
      <c r="DB1204" s="82">
        <f>IF(ISNUMBER($AW1204),$AW1204/100,"")</f>
        <v/>
      </c>
      <c r="DC1204" s="82">
        <f>IF(ISNUMBER($AX1204),$AX1204/100,"")</f>
        <v/>
      </c>
      <c r="DD1204" s="77">
        <f>IFERROR(VALUE(LEFT(TRIM($AO1204&amp;""),4)),"")</f>
        <v/>
      </c>
      <c r="DE1204" s="78">
        <f>IF(AND($BY1204=1,$BX1204=1,OR(fDeal="All Deals",$BU1204=fDeal),OR(fEntity="All Entities",$BV1204=fEntity),OR(fPType="All Property Types",$BZ1204=fPType),OR(fDefeased="Include",$CJ1204=0)),1,0)</f>
        <v/>
      </c>
      <c r="DF1204" s="83">
        <f>$DE1204*N($I1204)</f>
        <v/>
      </c>
      <c r="DG1204" s="78">
        <f>IF($DE1204=1,IF(COUNTIFS($F$8:$F1204,$F1204,$DE$8:$DE1204,1)=1,1,0),0)</f>
        <v/>
      </c>
      <c r="DH1204" s="83">
        <f>IF($DG1204=1,SUMIFS($DF$8:$DF$1600,$F$8:$F$1600,$F1204),0)</f>
        <v/>
      </c>
      <c r="DI1204" s="78">
        <f>IF($DG1204=1,COUNTIFS($F$8:$F$1600,$F1204,$DE$8:$DE$1600,1),0)</f>
        <v/>
      </c>
      <c r="DJ1204" s="84">
        <f>IF($DG1204=1,$DH1204+(100000-ROW())/mTieBreak,0)</f>
        <v/>
      </c>
    </row>
    <row r="1205">
      <c r="B1205" s="68" t="n">
        <v>27</v>
      </c>
      <c r="C1205" s="69" t="inlineStr">
        <is>
          <t>BCMK18B6</t>
        </is>
      </c>
      <c r="D1205" s="69" t="inlineStr">
        <is>
          <t>27.000</t>
        </is>
      </c>
      <c r="E1205" s="69" t="inlineStr">
        <is>
          <t>Gold Standard Baking HQ</t>
        </is>
      </c>
      <c r="F1205" s="69" t="inlineStr">
        <is>
          <t>LNBCMK18B6-27.000</t>
        </is>
      </c>
      <c r="G1205" s="70" t="n"/>
      <c r="H1205" s="71" t="n">
        <v>13700000</v>
      </c>
      <c r="I1205" s="71" t="n">
        <v>0</v>
      </c>
      <c r="J1205" s="72" t="n">
        <v>4.71</v>
      </c>
      <c r="K1205" s="69" t="inlineStr">
        <is>
          <t>Fixed rate</t>
        </is>
      </c>
      <c r="L1205" s="68" t="n">
        <v>120</v>
      </c>
      <c r="M1205" s="68" t="n"/>
      <c r="N1205" s="68" t="n">
        <v>420</v>
      </c>
      <c r="O1205" s="68" t="n">
        <v>60</v>
      </c>
      <c r="P1205" s="68" t="n"/>
      <c r="Q1205" s="68" t="n"/>
      <c r="R1205" s="69" t="inlineStr">
        <is>
          <t>IO then Amort</t>
        </is>
      </c>
      <c r="S1205" s="69" t="inlineStr">
        <is>
          <t>No</t>
        </is>
      </c>
      <c r="T1205" s="73" t="n">
        <v>43313</v>
      </c>
      <c r="U1205" s="73" t="n">
        <v>46971</v>
      </c>
      <c r="V1205" s="73" t="n"/>
      <c r="W1205" s="69" t="n"/>
      <c r="X1205" s="69" t="inlineStr">
        <is>
          <t>Current</t>
        </is>
      </c>
      <c r="Y1205" s="68" t="n"/>
      <c r="Z1205" s="69" t="inlineStr">
        <is>
          <t>No Defeasance Occurred</t>
        </is>
      </c>
      <c r="AA1205" s="69" t="inlineStr">
        <is>
          <t>Previously</t>
        </is>
      </c>
      <c r="AB1205" s="69" t="inlineStr">
        <is>
          <t>Never special serv</t>
        </is>
      </c>
      <c r="AC1205" s="73" t="n"/>
      <c r="AD1205" s="69" t="n"/>
      <c r="AE1205" s="69" t="n"/>
      <c r="AF1205" s="69" t="inlineStr">
        <is>
          <t>IL</t>
        </is>
      </c>
      <c r="AG1205" s="69" t="inlineStr">
        <is>
          <t>Chicago</t>
        </is>
      </c>
      <c r="AH1205" s="69" t="inlineStr">
        <is>
          <t>Chicago-Naperville-Elgin, IL-IN</t>
        </is>
      </c>
      <c r="AI1205" s="69" t="inlineStr">
        <is>
          <t>Midwest / Central East</t>
        </is>
      </c>
      <c r="AJ1205" s="69" t="inlineStr">
        <is>
          <t>IN</t>
        </is>
      </c>
      <c r="AK1205" s="69" t="inlineStr">
        <is>
          <t>Manufacturing</t>
        </is>
      </c>
      <c r="AL1205" s="68" t="n">
        <v>1</v>
      </c>
      <c r="AM1205" s="68" t="n"/>
      <c r="AN1205" s="68" t="n">
        <v>189000</v>
      </c>
      <c r="AO1205" s="69" t="inlineStr">
        <is>
          <t>1976</t>
        </is>
      </c>
      <c r="AP1205" s="70" t="n">
        <v>2016</v>
      </c>
      <c r="AQ1205" s="74" t="n">
        <v>1.45</v>
      </c>
      <c r="AR1205" s="74" t="n">
        <v>1.51</v>
      </c>
      <c r="AS1205" s="74" t="n">
        <v>67.2</v>
      </c>
      <c r="AT1205" s="74" t="n"/>
      <c r="AU1205" s="74" t="n">
        <v>61.67</v>
      </c>
      <c r="AV1205" s="74" t="n">
        <v>9.035065693</v>
      </c>
      <c r="AW1205" s="74" t="n"/>
      <c r="AX1205" s="75" t="n">
        <v>100</v>
      </c>
      <c r="AY1205" s="71" t="n">
        <v>20400000</v>
      </c>
      <c r="AZ1205" s="71" t="n">
        <v>20400000</v>
      </c>
      <c r="BA1205" s="71" t="n">
        <v>1237804</v>
      </c>
      <c r="BB1205" s="71" t="n">
        <v>1391780.44</v>
      </c>
      <c r="BC1205" s="69" t="inlineStr">
        <is>
          <t>Acquisition</t>
        </is>
      </c>
      <c r="BD1205" s="69" t="inlineStr">
        <is>
          <t>N</t>
        </is>
      </c>
      <c r="BE1205" s="71" t="n"/>
      <c r="BF1205" s="71" t="n"/>
      <c r="BG1205" s="71" t="n"/>
      <c r="BH1205" s="71" t="n">
        <v>0</v>
      </c>
      <c r="BI1205" s="71" t="n">
        <v>0</v>
      </c>
      <c r="BJ1205" s="69" t="inlineStr">
        <is>
          <t>N</t>
        </is>
      </c>
      <c r="BK1205" s="69" t="inlineStr">
        <is>
          <t>37 Baking Holdings LLC</t>
        </is>
      </c>
      <c r="BL1205" s="75" t="n">
        <v>100</v>
      </c>
      <c r="BM1205" s="73" t="n">
        <v>50617</v>
      </c>
      <c r="BN1205" s="69" t="inlineStr">
        <is>
          <t>AG Net Lease III Corp. and AG Net Lease III (SO) Corp.</t>
        </is>
      </c>
      <c r="BO1205" s="69" t="inlineStr">
        <is>
          <t>Citigroup Global Markets</t>
        </is>
      </c>
      <c r="BP1205" s="69" t="inlineStr">
        <is>
          <t>KeyBank National Association</t>
        </is>
      </c>
      <c r="BQ1205" s="69" t="inlineStr">
        <is>
          <t>K-Star Asset Management LLC</t>
        </is>
      </c>
      <c r="BR1205" s="69" t="inlineStr">
        <is>
          <t>Payoff With Yield Maintenance</t>
        </is>
      </c>
      <c r="BS1205" s="73" t="n">
        <v>46181</v>
      </c>
      <c r="BU1205" s="76">
        <f>IF($C1205="","",IFERROR(INDEX(dmName,MATCH($C1205,dmID,0)),"Unmapped"))</f>
        <v/>
      </c>
      <c r="BV1205" s="76">
        <f>IF($C1205="","",IFERROR(INDEX(dmEntity,MATCH($C1205,dmID,0)),"Unmapped"))</f>
        <v/>
      </c>
      <c r="BW1205" s="77">
        <f>IF($C1205="","",IFERROR(INDEX(dmVintage,MATCH($C1205,dmID,0)),""))</f>
        <v/>
      </c>
      <c r="BX1205" s="78">
        <f>IFERROR(INDEX(dmInclude,MATCH($C1205,dmID,0)),0)</f>
        <v/>
      </c>
      <c r="BY1205" s="78">
        <f>IF(N($I1205)&gt;0,1,0)</f>
        <v/>
      </c>
      <c r="BZ1205" s="76">
        <f>IF($AJ1205="","Other / Leased Fee",IFERROR(INDEX(mapPTGroup,MATCH(LEFT(TRIM($AJ1205),2),mapPTCode,0)),"Other / Leased Fee"))</f>
        <v/>
      </c>
      <c r="CA1205" s="76">
        <f>IF(TRIM($AF1205&amp;"")="","NR",LEFT(TRIM($AF1205),2))</f>
        <v/>
      </c>
      <c r="CB1205" s="76">
        <f>IFERROR(LOOKUP(2,1/(LEFT(TRIM($AI1205&amp;""),LEN(mapRegion))=mapRegion),mapRegion),"Not Reported")</f>
        <v/>
      </c>
      <c r="CC1205" s="76">
        <f>IF($BY1205=0,"",IF(TRIM($W1205&amp;"")="REO","REO",IF(TRIM($W1205&amp;"")="FC","Foreclosure",IF(TRIM($W1205&amp;"")="90+","90+ Days Delinquent",IF(TRIM($W1205&amp;"")="60","60 Days Delinquent",IF(TRIM($W1205&amp;"")="30","30 Days Delinquent",IF($X1205="Non-Performing Matured Balloon","Non-Performing Matured Balloon",IF(OR($X1205="Late Payment But Less Than 30 Days Delinquent",LEFT($X1205&amp;"",20)="Payment Not Received"),"Late / In Grace (&lt;30 Days)",IF($X1205="Performing Matured Balloon","Performing Matured Balloon","Current")))))))))</f>
        <v/>
      </c>
      <c r="CD1205" s="78">
        <f>IF(OR($CC1205="REO",$CC1205="Foreclosure",$CC1205="90+ Days Delinquent",$CC1205="60 Days Delinquent",$CC1205="30 Days Delinquent",$CC1205="Non-Performing Matured Balloon"),1,0)</f>
        <v/>
      </c>
      <c r="CE1205" s="76">
        <f>IF($AB1205="Currently special serv","Currently Specially Serviced",IF($AB1205="Returned to master serv","Previously Specially Serviced","Never Specially Serviced"))</f>
        <v/>
      </c>
      <c r="CF1205" s="78">
        <f>IF($CE1205="Currently Specially Serviced",1,0)</f>
        <v/>
      </c>
      <c r="CG1205" s="76">
        <f>IF($AA1205="Yes","Currently on Watchlist",IF($AA1205="Previously","Previously on Watchlist","Never on Watchlist"))</f>
        <v/>
      </c>
      <c r="CH1205" s="78">
        <f>IF($CG1205="Currently on Watchlist",1,0)</f>
        <v/>
      </c>
      <c r="CI1205" s="76">
        <f>IF($Z1205="Full Defeasance","Fully Defeased",IF($Z1205="Portion Of Loan Previously Defeased","Partially Defeased",IF($Z1205="Defeasance Not Allowable","Not Defeased (Not Permitted)","Not Defeased")))</f>
        <v/>
      </c>
      <c r="CJ1205" s="78">
        <f>IF($CI1205="Fully Defeased",1,0)</f>
        <v/>
      </c>
      <c r="CK1205" s="76">
        <f>IF($R1205="IO","Full IO",IF(LEFT($R1205&amp;"",7)="IO then","Partial IO","Amortizing"))</f>
        <v/>
      </c>
      <c r="CL1205" s="78">
        <f>IF($CK1205="Full IO",1,0)</f>
        <v/>
      </c>
      <c r="CM1205" s="78">
        <f>IF($CK1205="Partial IO",1,0)</f>
        <v/>
      </c>
      <c r="CN1205" s="76">
        <f>IF(LEFT($F1205&amp;"",10)="SPLIT_LOAN","Pari Passu Split","Standalone")</f>
        <v/>
      </c>
      <c r="CO1205" s="78">
        <f>IF($CN1205="Pari Passu Split",1,0)</f>
        <v/>
      </c>
      <c r="CP1205" s="77">
        <f>IF(ISNUMBER($T1205),YEAR($T1205),"")</f>
        <v/>
      </c>
      <c r="CQ1205" s="79">
        <f>IF(ISNUMBER($V1205),$V1205,IF(ISNUMBER($U1205),$U1205,""))</f>
        <v/>
      </c>
      <c r="CR1205" s="77">
        <f>IF(ISNUMBER($CQ1205),YEAR($CQ1205),"")</f>
        <v/>
      </c>
      <c r="CS1205" s="78">
        <f>IF(ISNUMBER($M1205),MAX(0,$M1205),IF(TRIM($M1205&amp;"")="matured",0,""))</f>
        <v/>
      </c>
      <c r="CT1205" s="78">
        <f>IF(AND(ISNUMBER($CS1205),N($CS1205)&lt;=mMatWindow),1,0)</f>
        <v/>
      </c>
      <c r="CU1205" s="80">
        <f>IF(ISNUMBER($J1205),$J1205/100,"")</f>
        <v/>
      </c>
      <c r="CV1205" s="81">
        <f>IF(ISNUMBER($AQ1205),$AQ1205,"")</f>
        <v/>
      </c>
      <c r="CW1205" s="81">
        <f>IF(ISNUMBER($AR1205),$AR1205,"")</f>
        <v/>
      </c>
      <c r="CX1205" s="82">
        <f>IF(ISNUMBER($AS1205),$AS1205/100,"")</f>
        <v/>
      </c>
      <c r="CY1205" s="82">
        <f>IF(ISNUMBER($AT1205),$AT1205/100,"")</f>
        <v/>
      </c>
      <c r="CZ1205" s="82">
        <f>IF(ISNUMBER($AU1205),$AU1205/100,"")</f>
        <v/>
      </c>
      <c r="DA1205" s="82">
        <f>IF(ISNUMBER($AV1205),$AV1205/100,"")</f>
        <v/>
      </c>
      <c r="DB1205" s="82">
        <f>IF(ISNUMBER($AW1205),$AW1205/100,"")</f>
        <v/>
      </c>
      <c r="DC1205" s="82">
        <f>IF(ISNUMBER($AX1205),$AX1205/100,"")</f>
        <v/>
      </c>
      <c r="DD1205" s="77">
        <f>IFERROR(VALUE(LEFT(TRIM($AO1205&amp;""),4)),"")</f>
        <v/>
      </c>
      <c r="DE1205" s="78">
        <f>IF(AND($BY1205=1,$BX1205=1,OR(fDeal="All Deals",$BU1205=fDeal),OR(fEntity="All Entities",$BV1205=fEntity),OR(fPType="All Property Types",$BZ1205=fPType),OR(fDefeased="Include",$CJ1205=0)),1,0)</f>
        <v/>
      </c>
      <c r="DF1205" s="83">
        <f>$DE1205*N($I1205)</f>
        <v/>
      </c>
      <c r="DG1205" s="78">
        <f>IF($DE1205=1,IF(COUNTIFS($F$8:$F1205,$F1205,$DE$8:$DE1205,1)=1,1,0),0)</f>
        <v/>
      </c>
      <c r="DH1205" s="83">
        <f>IF($DG1205=1,SUMIFS($DF$8:$DF$1600,$F$8:$F$1600,$F1205),0)</f>
        <v/>
      </c>
      <c r="DI1205" s="78">
        <f>IF($DG1205=1,COUNTIFS($F$8:$F$1600,$F1205,$DE$8:$DE$1600,1),0)</f>
        <v/>
      </c>
      <c r="DJ1205" s="84">
        <f>IF($DG1205=1,$DH1205+(100000-ROW())/mTieBreak,0)</f>
        <v/>
      </c>
    </row>
    <row r="1206">
      <c r="B1206" s="68" t="n">
        <v>28</v>
      </c>
      <c r="C1206" s="69" t="inlineStr">
        <is>
          <t>BCMK18B6</t>
        </is>
      </c>
      <c r="D1206" s="69" t="inlineStr">
        <is>
          <t>28.000</t>
        </is>
      </c>
      <c r="E1206" s="69" t="inlineStr">
        <is>
          <t>Belcan Building</t>
        </is>
      </c>
      <c r="F1206" s="69" t="inlineStr">
        <is>
          <t>LNBCMK18B6-28.000</t>
        </is>
      </c>
      <c r="G1206" s="70" t="n"/>
      <c r="H1206" s="71" t="n">
        <v>13500000</v>
      </c>
      <c r="I1206" s="71" t="n">
        <v>13500000</v>
      </c>
      <c r="J1206" s="72" t="n">
        <v>4.75</v>
      </c>
      <c r="K1206" s="69" t="inlineStr">
        <is>
          <t>Fixed rate</t>
        </is>
      </c>
      <c r="L1206" s="68" t="n">
        <v>120</v>
      </c>
      <c r="M1206" s="68" t="n">
        <v>24</v>
      </c>
      <c r="N1206" s="68" t="n">
        <v>120</v>
      </c>
      <c r="O1206" s="68" t="n">
        <v>120</v>
      </c>
      <c r="P1206" s="68" t="n">
        <v>24</v>
      </c>
      <c r="Q1206" s="68" t="n">
        <v>96</v>
      </c>
      <c r="R1206" s="69" t="inlineStr">
        <is>
          <t>IO</t>
        </is>
      </c>
      <c r="S1206" s="69" t="inlineStr">
        <is>
          <t>Yes</t>
        </is>
      </c>
      <c r="T1206" s="73" t="n">
        <v>43344</v>
      </c>
      <c r="U1206" s="73" t="n">
        <v>46997</v>
      </c>
      <c r="V1206" s="73" t="n"/>
      <c r="W1206" s="69" t="n"/>
      <c r="X1206" s="69" t="inlineStr">
        <is>
          <t>Current</t>
        </is>
      </c>
      <c r="Y1206" s="68" t="n"/>
      <c r="Z1206" s="69" t="inlineStr">
        <is>
          <t>No Defeasance Occurred</t>
        </is>
      </c>
      <c r="AA1206" s="69" t="inlineStr">
        <is>
          <t>Previously</t>
        </is>
      </c>
      <c r="AB1206" s="69" t="inlineStr">
        <is>
          <t>Never special serv</t>
        </is>
      </c>
      <c r="AC1206" s="73" t="n"/>
      <c r="AD1206" s="69" t="n"/>
      <c r="AE1206" s="69" t="n"/>
      <c r="AF1206" s="69" t="inlineStr">
        <is>
          <t>FL</t>
        </is>
      </c>
      <c r="AG1206" s="69" t="inlineStr">
        <is>
          <t>West Palm Beach</t>
        </is>
      </c>
      <c r="AH1206" s="69" t="inlineStr">
        <is>
          <t>Miami-Fort Lauderdale-West Palm Beach, FL</t>
        </is>
      </c>
      <c r="AI1206" s="69" t="inlineStr">
        <is>
          <t>South / Atlantic</t>
        </is>
      </c>
      <c r="AJ1206" s="69" t="inlineStr">
        <is>
          <t>OF</t>
        </is>
      </c>
      <c r="AK1206" s="69" t="inlineStr">
        <is>
          <t>Suburban</t>
        </is>
      </c>
      <c r="AL1206" s="68" t="n">
        <v>1</v>
      </c>
      <c r="AM1206" s="68" t="n"/>
      <c r="AN1206" s="68" t="n">
        <v>65770</v>
      </c>
      <c r="AO1206" s="69" t="inlineStr">
        <is>
          <t>2001</t>
        </is>
      </c>
      <c r="AP1206" s="70" t="n">
        <v>2018</v>
      </c>
      <c r="AQ1206" s="74" t="n">
        <v>1.78</v>
      </c>
      <c r="AR1206" s="74" t="n">
        <v>2.21</v>
      </c>
      <c r="AS1206" s="74" t="n">
        <v>60.5</v>
      </c>
      <c r="AT1206" s="74" t="n">
        <v>60.54</v>
      </c>
      <c r="AU1206" s="74" t="n">
        <v>60.5</v>
      </c>
      <c r="AV1206" s="74" t="n">
        <v>8.568644444</v>
      </c>
      <c r="AW1206" s="74" t="n">
        <v>10.322044815</v>
      </c>
      <c r="AX1206" s="75" t="n">
        <v>100</v>
      </c>
      <c r="AY1206" s="71" t="n">
        <v>22300000</v>
      </c>
      <c r="AZ1206" s="71" t="n">
        <v>22300000</v>
      </c>
      <c r="BA1206" s="71" t="n">
        <v>1156767</v>
      </c>
      <c r="BB1206" s="71" t="n">
        <v>715240.23</v>
      </c>
      <c r="BC1206" s="69" t="inlineStr">
        <is>
          <t>Acquisition</t>
        </is>
      </c>
      <c r="BD1206" s="69" t="inlineStr">
        <is>
          <t>N</t>
        </is>
      </c>
      <c r="BE1206" s="71" t="n"/>
      <c r="BF1206" s="71" t="n"/>
      <c r="BG1206" s="71" t="n"/>
      <c r="BH1206" s="71" t="n">
        <v>0</v>
      </c>
      <c r="BI1206" s="71" t="n">
        <v>0</v>
      </c>
      <c r="BJ1206" s="69" t="inlineStr">
        <is>
          <t>N</t>
        </is>
      </c>
      <c r="BK1206" s="69" t="inlineStr">
        <is>
          <t>Belcan Engineering Group  LLC</t>
        </is>
      </c>
      <c r="BL1206" s="75" t="n">
        <v>100</v>
      </c>
      <c r="BM1206" s="73" t="n">
        <v>47848</v>
      </c>
      <c r="BN1206" s="69" t="inlineStr">
        <is>
          <t>I.C.P. Group s.r.o.</t>
        </is>
      </c>
      <c r="BO1206" s="69" t="inlineStr">
        <is>
          <t>JPMorgan Chase</t>
        </is>
      </c>
      <c r="BP1206" s="69" t="inlineStr">
        <is>
          <t>KeyBank National Association</t>
        </is>
      </c>
      <c r="BQ1206" s="69" t="inlineStr">
        <is>
          <t>K-Star Asset Management LLC</t>
        </is>
      </c>
      <c r="BR1206" s="69" t="n"/>
      <c r="BS1206" s="73" t="n">
        <v>46273</v>
      </c>
      <c r="BU1206" s="76">
        <f>IF($C1206="","",IFERROR(INDEX(dmName,MATCH($C1206,dmID,0)),"Unmapped"))</f>
        <v/>
      </c>
      <c r="BV1206" s="76">
        <f>IF($C1206="","",IFERROR(INDEX(dmEntity,MATCH($C1206,dmID,0)),"Unmapped"))</f>
        <v/>
      </c>
      <c r="BW1206" s="77">
        <f>IF($C1206="","",IFERROR(INDEX(dmVintage,MATCH($C1206,dmID,0)),""))</f>
        <v/>
      </c>
      <c r="BX1206" s="78">
        <f>IFERROR(INDEX(dmInclude,MATCH($C1206,dmID,0)),0)</f>
        <v/>
      </c>
      <c r="BY1206" s="78">
        <f>IF(N($I1206)&gt;0,1,0)</f>
        <v/>
      </c>
      <c r="BZ1206" s="76">
        <f>IF($AJ1206="","Other / Leased Fee",IFERROR(INDEX(mapPTGroup,MATCH(LEFT(TRIM($AJ1206),2),mapPTCode,0)),"Other / Leased Fee"))</f>
        <v/>
      </c>
      <c r="CA1206" s="76">
        <f>IF(TRIM($AF1206&amp;"")="","NR",LEFT(TRIM($AF1206),2))</f>
        <v/>
      </c>
      <c r="CB1206" s="76">
        <f>IFERROR(LOOKUP(2,1/(LEFT(TRIM($AI1206&amp;""),LEN(mapRegion))=mapRegion),mapRegion),"Not Reported")</f>
        <v/>
      </c>
      <c r="CC1206" s="76">
        <f>IF($BY1206=0,"",IF(TRIM($W1206&amp;"")="REO","REO",IF(TRIM($W1206&amp;"")="FC","Foreclosure",IF(TRIM($W1206&amp;"")="90+","90+ Days Delinquent",IF(TRIM($W1206&amp;"")="60","60 Days Delinquent",IF(TRIM($W1206&amp;"")="30","30 Days Delinquent",IF($X1206="Non-Performing Matured Balloon","Non-Performing Matured Balloon",IF(OR($X1206="Late Payment But Less Than 30 Days Delinquent",LEFT($X1206&amp;"",20)="Payment Not Received"),"Late / In Grace (&lt;30 Days)",IF($X1206="Performing Matured Balloon","Performing Matured Balloon","Current")))))))))</f>
        <v/>
      </c>
      <c r="CD1206" s="78">
        <f>IF(OR($CC1206="REO",$CC1206="Foreclosure",$CC1206="90+ Days Delinquent",$CC1206="60 Days Delinquent",$CC1206="30 Days Delinquent",$CC1206="Non-Performing Matured Balloon"),1,0)</f>
        <v/>
      </c>
      <c r="CE1206" s="76">
        <f>IF($AB1206="Currently special serv","Currently Specially Serviced",IF($AB1206="Returned to master serv","Previously Specially Serviced","Never Specially Serviced"))</f>
        <v/>
      </c>
      <c r="CF1206" s="78">
        <f>IF($CE1206="Currently Specially Serviced",1,0)</f>
        <v/>
      </c>
      <c r="CG1206" s="76">
        <f>IF($AA1206="Yes","Currently on Watchlist",IF($AA1206="Previously","Previously on Watchlist","Never on Watchlist"))</f>
        <v/>
      </c>
      <c r="CH1206" s="78">
        <f>IF($CG1206="Currently on Watchlist",1,0)</f>
        <v/>
      </c>
      <c r="CI1206" s="76">
        <f>IF($Z1206="Full Defeasance","Fully Defeased",IF($Z1206="Portion Of Loan Previously Defeased","Partially Defeased",IF($Z1206="Defeasance Not Allowable","Not Defeased (Not Permitted)","Not Defeased")))</f>
        <v/>
      </c>
      <c r="CJ1206" s="78">
        <f>IF($CI1206="Fully Defeased",1,0)</f>
        <v/>
      </c>
      <c r="CK1206" s="76">
        <f>IF($R1206="IO","Full IO",IF(LEFT($R1206&amp;"",7)="IO then","Partial IO","Amortizing"))</f>
        <v/>
      </c>
      <c r="CL1206" s="78">
        <f>IF($CK1206="Full IO",1,0)</f>
        <v/>
      </c>
      <c r="CM1206" s="78">
        <f>IF($CK1206="Partial IO",1,0)</f>
        <v/>
      </c>
      <c r="CN1206" s="76">
        <f>IF(LEFT($F1206&amp;"",10)="SPLIT_LOAN","Pari Passu Split","Standalone")</f>
        <v/>
      </c>
      <c r="CO1206" s="78">
        <f>IF($CN1206="Pari Passu Split",1,0)</f>
        <v/>
      </c>
      <c r="CP1206" s="77">
        <f>IF(ISNUMBER($T1206),YEAR($T1206),"")</f>
        <v/>
      </c>
      <c r="CQ1206" s="79">
        <f>IF(ISNUMBER($V1206),$V1206,IF(ISNUMBER($U1206),$U1206,""))</f>
        <v/>
      </c>
      <c r="CR1206" s="77">
        <f>IF(ISNUMBER($CQ1206),YEAR($CQ1206),"")</f>
        <v/>
      </c>
      <c r="CS1206" s="78">
        <f>IF(ISNUMBER($M1206),MAX(0,$M1206),IF(TRIM($M1206&amp;"")="matured",0,""))</f>
        <v/>
      </c>
      <c r="CT1206" s="78">
        <f>IF(AND(ISNUMBER($CS1206),N($CS1206)&lt;=mMatWindow),1,0)</f>
        <v/>
      </c>
      <c r="CU1206" s="80">
        <f>IF(ISNUMBER($J1206),$J1206/100,"")</f>
        <v/>
      </c>
      <c r="CV1206" s="81">
        <f>IF(ISNUMBER($AQ1206),$AQ1206,"")</f>
        <v/>
      </c>
      <c r="CW1206" s="81">
        <f>IF(ISNUMBER($AR1206),$AR1206,"")</f>
        <v/>
      </c>
      <c r="CX1206" s="82">
        <f>IF(ISNUMBER($AS1206),$AS1206/100,"")</f>
        <v/>
      </c>
      <c r="CY1206" s="82">
        <f>IF(ISNUMBER($AT1206),$AT1206/100,"")</f>
        <v/>
      </c>
      <c r="CZ1206" s="82">
        <f>IF(ISNUMBER($AU1206),$AU1206/100,"")</f>
        <v/>
      </c>
      <c r="DA1206" s="82">
        <f>IF(ISNUMBER($AV1206),$AV1206/100,"")</f>
        <v/>
      </c>
      <c r="DB1206" s="82">
        <f>IF(ISNUMBER($AW1206),$AW1206/100,"")</f>
        <v/>
      </c>
      <c r="DC1206" s="82">
        <f>IF(ISNUMBER($AX1206),$AX1206/100,"")</f>
        <v/>
      </c>
      <c r="DD1206" s="77">
        <f>IFERROR(VALUE(LEFT(TRIM($AO1206&amp;""),4)),"")</f>
        <v/>
      </c>
      <c r="DE1206" s="78">
        <f>IF(AND($BY1206=1,$BX1206=1,OR(fDeal="All Deals",$BU1206=fDeal),OR(fEntity="All Entities",$BV1206=fEntity),OR(fPType="All Property Types",$BZ1206=fPType),OR(fDefeased="Include",$CJ1206=0)),1,0)</f>
        <v/>
      </c>
      <c r="DF1206" s="83">
        <f>$DE1206*N($I1206)</f>
        <v/>
      </c>
      <c r="DG1206" s="78">
        <f>IF($DE1206=1,IF(COUNTIFS($F$8:$F1206,$F1206,$DE$8:$DE1206,1)=1,1,0),0)</f>
        <v/>
      </c>
      <c r="DH1206" s="83">
        <f>IF($DG1206=1,SUMIFS($DF$8:$DF$1600,$F$8:$F$1600,$F1206),0)</f>
        <v/>
      </c>
      <c r="DI1206" s="78">
        <f>IF($DG1206=1,COUNTIFS($F$8:$F$1600,$F1206,$DE$8:$DE$1600,1),0)</f>
        <v/>
      </c>
      <c r="DJ1206" s="84">
        <f>IF($DG1206=1,$DH1206+(100000-ROW())/mTieBreak,0)</f>
        <v/>
      </c>
    </row>
    <row r="1207">
      <c r="B1207" s="68" t="n">
        <v>29</v>
      </c>
      <c r="C1207" s="69" t="inlineStr">
        <is>
          <t>BCMK18B6</t>
        </is>
      </c>
      <c r="D1207" s="69" t="inlineStr">
        <is>
          <t>29.000</t>
        </is>
      </c>
      <c r="E1207" s="69" t="inlineStr">
        <is>
          <t>The Sebastian</t>
        </is>
      </c>
      <c r="F1207" s="69" t="inlineStr">
        <is>
          <t>LNBCMK18B6-29.000</t>
        </is>
      </c>
      <c r="G1207" s="70" t="n"/>
      <c r="H1207" s="71" t="n">
        <v>13500000</v>
      </c>
      <c r="I1207" s="71" t="n">
        <v>11797900.2499995</v>
      </c>
      <c r="J1207" s="72" t="n">
        <v>5.403</v>
      </c>
      <c r="K1207" s="69" t="inlineStr">
        <is>
          <t>Fixed rate</t>
        </is>
      </c>
      <c r="L1207" s="68" t="n">
        <v>120</v>
      </c>
      <c r="M1207" s="68" t="n">
        <v>24</v>
      </c>
      <c r="N1207" s="68" t="n">
        <v>360</v>
      </c>
      <c r="O1207" s="68" t="n"/>
      <c r="P1207" s="68" t="n"/>
      <c r="Q1207" s="68" t="n">
        <v>96</v>
      </c>
      <c r="R1207" s="69" t="n"/>
      <c r="S1207" s="69" t="inlineStr">
        <is>
          <t>No</t>
        </is>
      </c>
      <c r="T1207" s="73" t="n">
        <v>43344</v>
      </c>
      <c r="U1207" s="73" t="n">
        <v>46997</v>
      </c>
      <c r="V1207" s="73" t="n"/>
      <c r="W1207" s="69" t="n"/>
      <c r="X1207" s="69" t="inlineStr">
        <is>
          <t>Current</t>
        </is>
      </c>
      <c r="Y1207" s="68" t="n"/>
      <c r="Z1207" s="69" t="inlineStr">
        <is>
          <t>No Defeasance Occurred</t>
        </is>
      </c>
      <c r="AA1207" s="69" t="inlineStr">
        <is>
          <t>Previously</t>
        </is>
      </c>
      <c r="AB1207" s="69" t="inlineStr">
        <is>
          <t>Never special serv</t>
        </is>
      </c>
      <c r="AC1207" s="73" t="n"/>
      <c r="AD1207" s="69" t="n"/>
      <c r="AE1207" s="69" t="n"/>
      <c r="AF1207" s="69" t="inlineStr">
        <is>
          <t>CO</t>
        </is>
      </c>
      <c r="AG1207" s="69" t="inlineStr">
        <is>
          <t>Vail</t>
        </is>
      </c>
      <c r="AH1207" s="69" t="inlineStr">
        <is>
          <t>Edwards, CO</t>
        </is>
      </c>
      <c r="AI1207" s="69" t="inlineStr">
        <is>
          <t>West / Mountain</t>
        </is>
      </c>
      <c r="AJ1207" s="69" t="inlineStr">
        <is>
          <t>HT</t>
        </is>
      </c>
      <c r="AK1207" s="69" t="inlineStr">
        <is>
          <t>Full Service</t>
        </is>
      </c>
      <c r="AL1207" s="68" t="n">
        <v>1</v>
      </c>
      <c r="AM1207" s="68" t="n">
        <v>84</v>
      </c>
      <c r="AN1207" s="68" t="n"/>
      <c r="AO1207" s="69" t="inlineStr">
        <is>
          <t>2007</t>
        </is>
      </c>
      <c r="AP1207" s="70" t="n">
        <v>2014</v>
      </c>
      <c r="AQ1207" s="74" t="n">
        <v>1.75</v>
      </c>
      <c r="AR1207" s="74" t="n">
        <v>1.9</v>
      </c>
      <c r="AS1207" s="74" t="n">
        <v>51.7</v>
      </c>
      <c r="AT1207" s="74" t="n">
        <v>45.2</v>
      </c>
      <c r="AU1207" s="74" t="n">
        <v>43.1</v>
      </c>
      <c r="AV1207" s="74" t="n">
        <v>11.820518519</v>
      </c>
      <c r="AW1207" s="74" t="n">
        <v>25.067145825</v>
      </c>
      <c r="AX1207" s="75" t="n">
        <v>52</v>
      </c>
      <c r="AY1207" s="71" t="n">
        <v>26100000</v>
      </c>
      <c r="AZ1207" s="71" t="n">
        <v>26100000</v>
      </c>
      <c r="BA1207" s="71" t="n">
        <v>1595770</v>
      </c>
      <c r="BB1207" s="71" t="n">
        <v>1725724.33</v>
      </c>
      <c r="BC1207" s="69" t="inlineStr">
        <is>
          <t>Recapitalization</t>
        </is>
      </c>
      <c r="BD1207" s="69" t="inlineStr">
        <is>
          <t>N</t>
        </is>
      </c>
      <c r="BE1207" s="71" t="n"/>
      <c r="BF1207" s="71" t="n"/>
      <c r="BG1207" s="71" t="n"/>
      <c r="BH1207" s="71" t="n">
        <v>0</v>
      </c>
      <c r="BI1207" s="71" t="n">
        <v>0</v>
      </c>
      <c r="BJ1207" s="69" t="inlineStr">
        <is>
          <t>N</t>
        </is>
      </c>
      <c r="BK1207" s="69" t="n"/>
      <c r="BL1207" s="75" t="n"/>
      <c r="BM1207" s="73" t="n"/>
      <c r="BN1207" s="69" t="inlineStr">
        <is>
          <t>Ferruco Vail Ventures, LLC</t>
        </is>
      </c>
      <c r="BO1207" s="69" t="inlineStr">
        <is>
          <t>JPMorgan Chase</t>
        </is>
      </c>
      <c r="BP1207" s="69" t="inlineStr">
        <is>
          <t>KeyBank National Association</t>
        </is>
      </c>
      <c r="BQ1207" s="69" t="inlineStr">
        <is>
          <t>K-Star Asset Management LLC</t>
        </is>
      </c>
      <c r="BR1207" s="69" t="n"/>
      <c r="BS1207" s="73" t="n">
        <v>46273</v>
      </c>
      <c r="BU1207" s="76">
        <f>IF($C1207="","",IFERROR(INDEX(dmName,MATCH($C1207,dmID,0)),"Unmapped"))</f>
        <v/>
      </c>
      <c r="BV1207" s="76">
        <f>IF($C1207="","",IFERROR(INDEX(dmEntity,MATCH($C1207,dmID,0)),"Unmapped"))</f>
        <v/>
      </c>
      <c r="BW1207" s="77">
        <f>IF($C1207="","",IFERROR(INDEX(dmVintage,MATCH($C1207,dmID,0)),""))</f>
        <v/>
      </c>
      <c r="BX1207" s="78">
        <f>IFERROR(INDEX(dmInclude,MATCH($C1207,dmID,0)),0)</f>
        <v/>
      </c>
      <c r="BY1207" s="78">
        <f>IF(N($I1207)&gt;0,1,0)</f>
        <v/>
      </c>
      <c r="BZ1207" s="76">
        <f>IF($AJ1207="","Other / Leased Fee",IFERROR(INDEX(mapPTGroup,MATCH(LEFT(TRIM($AJ1207),2),mapPTCode,0)),"Other / Leased Fee"))</f>
        <v/>
      </c>
      <c r="CA1207" s="76">
        <f>IF(TRIM($AF1207&amp;"")="","NR",LEFT(TRIM($AF1207),2))</f>
        <v/>
      </c>
      <c r="CB1207" s="76">
        <f>IFERROR(LOOKUP(2,1/(LEFT(TRIM($AI1207&amp;""),LEN(mapRegion))=mapRegion),mapRegion),"Not Reported")</f>
        <v/>
      </c>
      <c r="CC1207" s="76">
        <f>IF($BY1207=0,"",IF(TRIM($W1207&amp;"")="REO","REO",IF(TRIM($W1207&amp;"")="FC","Foreclosure",IF(TRIM($W1207&amp;"")="90+","90+ Days Delinquent",IF(TRIM($W1207&amp;"")="60","60 Days Delinquent",IF(TRIM($W1207&amp;"")="30","30 Days Delinquent",IF($X1207="Non-Performing Matured Balloon","Non-Performing Matured Balloon",IF(OR($X1207="Late Payment But Less Than 30 Days Delinquent",LEFT($X1207&amp;"",20)="Payment Not Received"),"Late / In Grace (&lt;30 Days)",IF($X1207="Performing Matured Balloon","Performing Matured Balloon","Current")))))))))</f>
        <v/>
      </c>
      <c r="CD1207" s="78">
        <f>IF(OR($CC1207="REO",$CC1207="Foreclosure",$CC1207="90+ Days Delinquent",$CC1207="60 Days Delinquent",$CC1207="30 Days Delinquent",$CC1207="Non-Performing Matured Balloon"),1,0)</f>
        <v/>
      </c>
      <c r="CE1207" s="76">
        <f>IF($AB1207="Currently special serv","Currently Specially Serviced",IF($AB1207="Returned to master serv","Previously Specially Serviced","Never Specially Serviced"))</f>
        <v/>
      </c>
      <c r="CF1207" s="78">
        <f>IF($CE1207="Currently Specially Serviced",1,0)</f>
        <v/>
      </c>
      <c r="CG1207" s="76">
        <f>IF($AA1207="Yes","Currently on Watchlist",IF($AA1207="Previously","Previously on Watchlist","Never on Watchlist"))</f>
        <v/>
      </c>
      <c r="CH1207" s="78">
        <f>IF($CG1207="Currently on Watchlist",1,0)</f>
        <v/>
      </c>
      <c r="CI1207" s="76">
        <f>IF($Z1207="Full Defeasance","Fully Defeased",IF($Z1207="Portion Of Loan Previously Defeased","Partially Defeased",IF($Z1207="Defeasance Not Allowable","Not Defeased (Not Permitted)","Not Defeased")))</f>
        <v/>
      </c>
      <c r="CJ1207" s="78">
        <f>IF($CI1207="Fully Defeased",1,0)</f>
        <v/>
      </c>
      <c r="CK1207" s="76">
        <f>IF($R1207="IO","Full IO",IF(LEFT($R1207&amp;"",7)="IO then","Partial IO","Amortizing"))</f>
        <v/>
      </c>
      <c r="CL1207" s="78">
        <f>IF($CK1207="Full IO",1,0)</f>
        <v/>
      </c>
      <c r="CM1207" s="78">
        <f>IF($CK1207="Partial IO",1,0)</f>
        <v/>
      </c>
      <c r="CN1207" s="76">
        <f>IF(LEFT($F1207&amp;"",10)="SPLIT_LOAN","Pari Passu Split","Standalone")</f>
        <v/>
      </c>
      <c r="CO1207" s="78">
        <f>IF($CN1207="Pari Passu Split",1,0)</f>
        <v/>
      </c>
      <c r="CP1207" s="77">
        <f>IF(ISNUMBER($T1207),YEAR($T1207),"")</f>
        <v/>
      </c>
      <c r="CQ1207" s="79">
        <f>IF(ISNUMBER($V1207),$V1207,IF(ISNUMBER($U1207),$U1207,""))</f>
        <v/>
      </c>
      <c r="CR1207" s="77">
        <f>IF(ISNUMBER($CQ1207),YEAR($CQ1207),"")</f>
        <v/>
      </c>
      <c r="CS1207" s="78">
        <f>IF(ISNUMBER($M1207),MAX(0,$M1207),IF(TRIM($M1207&amp;"")="matured",0,""))</f>
        <v/>
      </c>
      <c r="CT1207" s="78">
        <f>IF(AND(ISNUMBER($CS1207),N($CS1207)&lt;=mMatWindow),1,0)</f>
        <v/>
      </c>
      <c r="CU1207" s="80">
        <f>IF(ISNUMBER($J1207),$J1207/100,"")</f>
        <v/>
      </c>
      <c r="CV1207" s="81">
        <f>IF(ISNUMBER($AQ1207),$AQ1207,"")</f>
        <v/>
      </c>
      <c r="CW1207" s="81">
        <f>IF(ISNUMBER($AR1207),$AR1207,"")</f>
        <v/>
      </c>
      <c r="CX1207" s="82">
        <f>IF(ISNUMBER($AS1207),$AS1207/100,"")</f>
        <v/>
      </c>
      <c r="CY1207" s="82">
        <f>IF(ISNUMBER($AT1207),$AT1207/100,"")</f>
        <v/>
      </c>
      <c r="CZ1207" s="82">
        <f>IF(ISNUMBER($AU1207),$AU1207/100,"")</f>
        <v/>
      </c>
      <c r="DA1207" s="82">
        <f>IF(ISNUMBER($AV1207),$AV1207/100,"")</f>
        <v/>
      </c>
      <c r="DB1207" s="82">
        <f>IF(ISNUMBER($AW1207),$AW1207/100,"")</f>
        <v/>
      </c>
      <c r="DC1207" s="82">
        <f>IF(ISNUMBER($AX1207),$AX1207/100,"")</f>
        <v/>
      </c>
      <c r="DD1207" s="77">
        <f>IFERROR(VALUE(LEFT(TRIM($AO1207&amp;""),4)),"")</f>
        <v/>
      </c>
      <c r="DE1207" s="78">
        <f>IF(AND($BY1207=1,$BX1207=1,OR(fDeal="All Deals",$BU1207=fDeal),OR(fEntity="All Entities",$BV1207=fEntity),OR(fPType="All Property Types",$BZ1207=fPType),OR(fDefeased="Include",$CJ1207=0)),1,0)</f>
        <v/>
      </c>
      <c r="DF1207" s="83">
        <f>$DE1207*N($I1207)</f>
        <v/>
      </c>
      <c r="DG1207" s="78">
        <f>IF($DE1207=1,IF(COUNTIFS($F$8:$F1207,$F1207,$DE$8:$DE1207,1)=1,1,0),0)</f>
        <v/>
      </c>
      <c r="DH1207" s="83">
        <f>IF($DG1207=1,SUMIFS($DF$8:$DF$1600,$F$8:$F$1600,$F1207),0)</f>
        <v/>
      </c>
      <c r="DI1207" s="78">
        <f>IF($DG1207=1,COUNTIFS($F$8:$F$1600,$F1207,$DE$8:$DE$1600,1),0)</f>
        <v/>
      </c>
      <c r="DJ1207" s="84">
        <f>IF($DG1207=1,$DH1207+(100000-ROW())/mTieBreak,0)</f>
        <v/>
      </c>
    </row>
    <row r="1208">
      <c r="B1208" s="68" t="n">
        <v>30</v>
      </c>
      <c r="C1208" s="69" t="inlineStr">
        <is>
          <t>BCMK18B6</t>
        </is>
      </c>
      <c r="D1208" s="69" t="inlineStr">
        <is>
          <t>30.000</t>
        </is>
      </c>
      <c r="E1208" s="69" t="inlineStr">
        <is>
          <t>Sprouts Tampa</t>
        </is>
      </c>
      <c r="F1208" s="69" t="inlineStr">
        <is>
          <t>LNBCMK18B6-30.000</t>
        </is>
      </c>
      <c r="G1208" s="70" t="n"/>
      <c r="H1208" s="71" t="n">
        <v>12240000</v>
      </c>
      <c r="I1208" s="71" t="n">
        <v>11709972.559998</v>
      </c>
      <c r="J1208" s="72" t="n">
        <v>5.11</v>
      </c>
      <c r="K1208" s="69" t="inlineStr">
        <is>
          <t>Fixed rate</t>
        </is>
      </c>
      <c r="L1208" s="68" t="n">
        <v>120</v>
      </c>
      <c r="M1208" s="68" t="n">
        <v>24</v>
      </c>
      <c r="N1208" s="68" t="n">
        <v>420</v>
      </c>
      <c r="O1208" s="68" t="n">
        <v>60</v>
      </c>
      <c r="P1208" s="68" t="n">
        <v>0</v>
      </c>
      <c r="Q1208" s="68" t="n">
        <v>96</v>
      </c>
      <c r="R1208" s="69" t="inlineStr">
        <is>
          <t>IO then Amort</t>
        </is>
      </c>
      <c r="S1208" s="69" t="inlineStr">
        <is>
          <t>No</t>
        </is>
      </c>
      <c r="T1208" s="73" t="n">
        <v>43344</v>
      </c>
      <c r="U1208" s="73" t="n">
        <v>47002</v>
      </c>
      <c r="V1208" s="73" t="n"/>
      <c r="W1208" s="69" t="n"/>
      <c r="X1208" s="69" t="inlineStr">
        <is>
          <t>Current</t>
        </is>
      </c>
      <c r="Y1208" s="68" t="n"/>
      <c r="Z1208" s="69" t="inlineStr">
        <is>
          <t>No Defeasance Occurred</t>
        </is>
      </c>
      <c r="AA1208" s="69" t="inlineStr">
        <is>
          <t>Yes</t>
        </is>
      </c>
      <c r="AB1208" s="69" t="inlineStr">
        <is>
          <t>Never special serv</t>
        </is>
      </c>
      <c r="AC1208" s="73" t="n"/>
      <c r="AD1208" s="69" t="n"/>
      <c r="AE1208" s="69" t="n"/>
      <c r="AF1208" s="69" t="inlineStr">
        <is>
          <t>FL</t>
        </is>
      </c>
      <c r="AG1208" s="69" t="inlineStr">
        <is>
          <t>Tampa</t>
        </is>
      </c>
      <c r="AH1208" s="69" t="inlineStr">
        <is>
          <t>Tampa-St. Petersburg-Clearwater, FL</t>
        </is>
      </c>
      <c r="AI1208" s="69" t="inlineStr">
        <is>
          <t>South / Atlantic</t>
        </is>
      </c>
      <c r="AJ1208" s="69" t="inlineStr">
        <is>
          <t>RT</t>
        </is>
      </c>
      <c r="AK1208" s="69" t="inlineStr">
        <is>
          <t>Anchored</t>
        </is>
      </c>
      <c r="AL1208" s="68" t="n">
        <v>1</v>
      </c>
      <c r="AM1208" s="68" t="n"/>
      <c r="AN1208" s="68" t="n">
        <v>36329</v>
      </c>
      <c r="AO1208" s="69" t="inlineStr">
        <is>
          <t>2017</t>
        </is>
      </c>
      <c r="AP1208" s="70" t="n">
        <v>2017</v>
      </c>
      <c r="AQ1208" s="74" t="n">
        <v>1.23</v>
      </c>
      <c r="AR1208" s="74" t="n">
        <v>1.29</v>
      </c>
      <c r="AS1208" s="74" t="n">
        <v>68</v>
      </c>
      <c r="AT1208" s="74" t="n">
        <v>65.06</v>
      </c>
      <c r="AU1208" s="74" t="n">
        <v>62.82</v>
      </c>
      <c r="AV1208" s="74" t="n">
        <v>8.011519608</v>
      </c>
      <c r="AW1208" s="74" t="n">
        <v>8.591093402</v>
      </c>
      <c r="AX1208" s="75" t="n">
        <v>100</v>
      </c>
      <c r="AY1208" s="71" t="n">
        <v>18000000</v>
      </c>
      <c r="AZ1208" s="71" t="n">
        <v>18000000</v>
      </c>
      <c r="BA1208" s="71" t="n">
        <v>980610</v>
      </c>
      <c r="BB1208" s="71" t="n">
        <v>1030263.99</v>
      </c>
      <c r="BC1208" s="69" t="inlineStr">
        <is>
          <t>Acquisition</t>
        </is>
      </c>
      <c r="BD1208" s="69" t="inlineStr">
        <is>
          <t>N</t>
        </is>
      </c>
      <c r="BE1208" s="71" t="n"/>
      <c r="BF1208" s="71" t="n"/>
      <c r="BG1208" s="71" t="n"/>
      <c r="BH1208" s="71" t="n">
        <v>0</v>
      </c>
      <c r="BI1208" s="71" t="n">
        <v>0</v>
      </c>
      <c r="BJ1208" s="69" t="inlineStr">
        <is>
          <t>N</t>
        </is>
      </c>
      <c r="BK1208" s="69" t="inlineStr">
        <is>
          <t>Sprouts Farmer's Market</t>
        </is>
      </c>
      <c r="BL1208" s="75" t="n">
        <v>82.38</v>
      </c>
      <c r="BM1208" s="73" t="n">
        <v>48365</v>
      </c>
      <c r="BN1208" s="69" t="inlineStr">
        <is>
          <t>John E. Young</t>
        </is>
      </c>
      <c r="BO1208" s="69" t="inlineStr">
        <is>
          <t>Citigroup Global Markets</t>
        </is>
      </c>
      <c r="BP1208" s="69" t="inlineStr">
        <is>
          <t>KeyBank National Association</t>
        </is>
      </c>
      <c r="BQ1208" s="69" t="inlineStr">
        <is>
          <t>K-Star Asset Management LLC</t>
        </is>
      </c>
      <c r="BR1208" s="69" t="n"/>
      <c r="BS1208" s="73" t="n">
        <v>46273</v>
      </c>
      <c r="BU1208" s="76">
        <f>IF($C1208="","",IFERROR(INDEX(dmName,MATCH($C1208,dmID,0)),"Unmapped"))</f>
        <v/>
      </c>
      <c r="BV1208" s="76">
        <f>IF($C1208="","",IFERROR(INDEX(dmEntity,MATCH($C1208,dmID,0)),"Unmapped"))</f>
        <v/>
      </c>
      <c r="BW1208" s="77">
        <f>IF($C1208="","",IFERROR(INDEX(dmVintage,MATCH($C1208,dmID,0)),""))</f>
        <v/>
      </c>
      <c r="BX1208" s="78">
        <f>IFERROR(INDEX(dmInclude,MATCH($C1208,dmID,0)),0)</f>
        <v/>
      </c>
      <c r="BY1208" s="78">
        <f>IF(N($I1208)&gt;0,1,0)</f>
        <v/>
      </c>
      <c r="BZ1208" s="76">
        <f>IF($AJ1208="","Other / Leased Fee",IFERROR(INDEX(mapPTGroup,MATCH(LEFT(TRIM($AJ1208),2),mapPTCode,0)),"Other / Leased Fee"))</f>
        <v/>
      </c>
      <c r="CA1208" s="76">
        <f>IF(TRIM($AF1208&amp;"")="","NR",LEFT(TRIM($AF1208),2))</f>
        <v/>
      </c>
      <c r="CB1208" s="76">
        <f>IFERROR(LOOKUP(2,1/(LEFT(TRIM($AI1208&amp;""),LEN(mapRegion))=mapRegion),mapRegion),"Not Reported")</f>
        <v/>
      </c>
      <c r="CC1208" s="76">
        <f>IF($BY1208=0,"",IF(TRIM($W1208&amp;"")="REO","REO",IF(TRIM($W1208&amp;"")="FC","Foreclosure",IF(TRIM($W1208&amp;"")="90+","90+ Days Delinquent",IF(TRIM($W1208&amp;"")="60","60 Days Delinquent",IF(TRIM($W1208&amp;"")="30","30 Days Delinquent",IF($X1208="Non-Performing Matured Balloon","Non-Performing Matured Balloon",IF(OR($X1208="Late Payment But Less Than 30 Days Delinquent",LEFT($X1208&amp;"",20)="Payment Not Received"),"Late / In Grace (&lt;30 Days)",IF($X1208="Performing Matured Balloon","Performing Matured Balloon","Current")))))))))</f>
        <v/>
      </c>
      <c r="CD1208" s="78">
        <f>IF(OR($CC1208="REO",$CC1208="Foreclosure",$CC1208="90+ Days Delinquent",$CC1208="60 Days Delinquent",$CC1208="30 Days Delinquent",$CC1208="Non-Performing Matured Balloon"),1,0)</f>
        <v/>
      </c>
      <c r="CE1208" s="76">
        <f>IF($AB1208="Currently special serv","Currently Specially Serviced",IF($AB1208="Returned to master serv","Previously Specially Serviced","Never Specially Serviced"))</f>
        <v/>
      </c>
      <c r="CF1208" s="78">
        <f>IF($CE1208="Currently Specially Serviced",1,0)</f>
        <v/>
      </c>
      <c r="CG1208" s="76">
        <f>IF($AA1208="Yes","Currently on Watchlist",IF($AA1208="Previously","Previously on Watchlist","Never on Watchlist"))</f>
        <v/>
      </c>
      <c r="CH1208" s="78">
        <f>IF($CG1208="Currently on Watchlist",1,0)</f>
        <v/>
      </c>
      <c r="CI1208" s="76">
        <f>IF($Z1208="Full Defeasance","Fully Defeased",IF($Z1208="Portion Of Loan Previously Defeased","Partially Defeased",IF($Z1208="Defeasance Not Allowable","Not Defeased (Not Permitted)","Not Defeased")))</f>
        <v/>
      </c>
      <c r="CJ1208" s="78">
        <f>IF($CI1208="Fully Defeased",1,0)</f>
        <v/>
      </c>
      <c r="CK1208" s="76">
        <f>IF($R1208="IO","Full IO",IF(LEFT($R1208&amp;"",7)="IO then","Partial IO","Amortizing"))</f>
        <v/>
      </c>
      <c r="CL1208" s="78">
        <f>IF($CK1208="Full IO",1,0)</f>
        <v/>
      </c>
      <c r="CM1208" s="78">
        <f>IF($CK1208="Partial IO",1,0)</f>
        <v/>
      </c>
      <c r="CN1208" s="76">
        <f>IF(LEFT($F1208&amp;"",10)="SPLIT_LOAN","Pari Passu Split","Standalone")</f>
        <v/>
      </c>
      <c r="CO1208" s="78">
        <f>IF($CN1208="Pari Passu Split",1,0)</f>
        <v/>
      </c>
      <c r="CP1208" s="77">
        <f>IF(ISNUMBER($T1208),YEAR($T1208),"")</f>
        <v/>
      </c>
      <c r="CQ1208" s="79">
        <f>IF(ISNUMBER($V1208),$V1208,IF(ISNUMBER($U1208),$U1208,""))</f>
        <v/>
      </c>
      <c r="CR1208" s="77">
        <f>IF(ISNUMBER($CQ1208),YEAR($CQ1208),"")</f>
        <v/>
      </c>
      <c r="CS1208" s="78">
        <f>IF(ISNUMBER($M1208),MAX(0,$M1208),IF(TRIM($M1208&amp;"")="matured",0,""))</f>
        <v/>
      </c>
      <c r="CT1208" s="78">
        <f>IF(AND(ISNUMBER($CS1208),N($CS1208)&lt;=mMatWindow),1,0)</f>
        <v/>
      </c>
      <c r="CU1208" s="80">
        <f>IF(ISNUMBER($J1208),$J1208/100,"")</f>
        <v/>
      </c>
      <c r="CV1208" s="81">
        <f>IF(ISNUMBER($AQ1208),$AQ1208,"")</f>
        <v/>
      </c>
      <c r="CW1208" s="81">
        <f>IF(ISNUMBER($AR1208),$AR1208,"")</f>
        <v/>
      </c>
      <c r="CX1208" s="82">
        <f>IF(ISNUMBER($AS1208),$AS1208/100,"")</f>
        <v/>
      </c>
      <c r="CY1208" s="82">
        <f>IF(ISNUMBER($AT1208),$AT1208/100,"")</f>
        <v/>
      </c>
      <c r="CZ1208" s="82">
        <f>IF(ISNUMBER($AU1208),$AU1208/100,"")</f>
        <v/>
      </c>
      <c r="DA1208" s="82">
        <f>IF(ISNUMBER($AV1208),$AV1208/100,"")</f>
        <v/>
      </c>
      <c r="DB1208" s="82">
        <f>IF(ISNUMBER($AW1208),$AW1208/100,"")</f>
        <v/>
      </c>
      <c r="DC1208" s="82">
        <f>IF(ISNUMBER($AX1208),$AX1208/100,"")</f>
        <v/>
      </c>
      <c r="DD1208" s="77">
        <f>IFERROR(VALUE(LEFT(TRIM($AO1208&amp;""),4)),"")</f>
        <v/>
      </c>
      <c r="DE1208" s="78">
        <f>IF(AND($BY1208=1,$BX1208=1,OR(fDeal="All Deals",$BU1208=fDeal),OR(fEntity="All Entities",$BV1208=fEntity),OR(fPType="All Property Types",$BZ1208=fPType),OR(fDefeased="Include",$CJ1208=0)),1,0)</f>
        <v/>
      </c>
      <c r="DF1208" s="83">
        <f>$DE1208*N($I1208)</f>
        <v/>
      </c>
      <c r="DG1208" s="78">
        <f>IF($DE1208=1,IF(COUNTIFS($F$8:$F1208,$F1208,$DE$8:$DE1208,1)=1,1,0),0)</f>
        <v/>
      </c>
      <c r="DH1208" s="83">
        <f>IF($DG1208=1,SUMIFS($DF$8:$DF$1600,$F$8:$F$1600,$F1208),0)</f>
        <v/>
      </c>
      <c r="DI1208" s="78">
        <f>IF($DG1208=1,COUNTIFS($F$8:$F$1600,$F1208,$DE$8:$DE$1600,1),0)</f>
        <v/>
      </c>
      <c r="DJ1208" s="84">
        <f>IF($DG1208=1,$DH1208+(100000-ROW())/mTieBreak,0)</f>
        <v/>
      </c>
    </row>
    <row r="1209">
      <c r="B1209" s="68" t="n">
        <v>31</v>
      </c>
      <c r="C1209" s="69" t="inlineStr">
        <is>
          <t>BCMK18B6</t>
        </is>
      </c>
      <c r="D1209" s="69" t="inlineStr">
        <is>
          <t>31.000</t>
        </is>
      </c>
      <c r="E1209" s="69" t="inlineStr">
        <is>
          <t>Residence Inn by Marriott Newport News Airport</t>
        </is>
      </c>
      <c r="F1209" s="69" t="inlineStr">
        <is>
          <t>LNBCMK18B6-31.000</t>
        </is>
      </c>
      <c r="G1209" s="70" t="n"/>
      <c r="H1209" s="71" t="n">
        <v>11250000</v>
      </c>
      <c r="I1209" s="71" t="n">
        <v>9697003.449997501</v>
      </c>
      <c r="J1209" s="72" t="n">
        <v>4.851</v>
      </c>
      <c r="K1209" s="69" t="inlineStr">
        <is>
          <t>Fixed rate</t>
        </is>
      </c>
      <c r="L1209" s="68" t="n">
        <v>120</v>
      </c>
      <c r="M1209" s="68" t="n">
        <v>24</v>
      </c>
      <c r="N1209" s="68" t="n">
        <v>360</v>
      </c>
      <c r="O1209" s="68" t="n"/>
      <c r="P1209" s="68" t="n"/>
      <c r="Q1209" s="68" t="n">
        <v>96</v>
      </c>
      <c r="R1209" s="69" t="n"/>
      <c r="S1209" s="69" t="inlineStr">
        <is>
          <t>No</t>
        </is>
      </c>
      <c r="T1209" s="73" t="n">
        <v>43344</v>
      </c>
      <c r="U1209" s="73" t="n">
        <v>46997</v>
      </c>
      <c r="V1209" s="73" t="n"/>
      <c r="W1209" s="69" t="n"/>
      <c r="X1209" s="69" t="inlineStr">
        <is>
          <t>Current</t>
        </is>
      </c>
      <c r="Y1209" s="68" t="n"/>
      <c r="Z1209" s="69" t="inlineStr">
        <is>
          <t>No Defeasance Occurred</t>
        </is>
      </c>
      <c r="AA1209" s="69" t="inlineStr">
        <is>
          <t>Previously</t>
        </is>
      </c>
      <c r="AB1209" s="69" t="inlineStr">
        <is>
          <t>Never special serv</t>
        </is>
      </c>
      <c r="AC1209" s="73" t="n"/>
      <c r="AD1209" s="69" t="n"/>
      <c r="AE1209" s="69" t="n"/>
      <c r="AF1209" s="69" t="inlineStr">
        <is>
          <t>VA</t>
        </is>
      </c>
      <c r="AG1209" s="69" t="inlineStr">
        <is>
          <t>Newport News</t>
        </is>
      </c>
      <c r="AH1209" s="69" t="inlineStr">
        <is>
          <t>Virginia Beach-Chesapeake-Norfolk, VA-NC</t>
        </is>
      </c>
      <c r="AI1209" s="69" t="inlineStr">
        <is>
          <t>South / Atlantic</t>
        </is>
      </c>
      <c r="AJ1209" s="69" t="inlineStr">
        <is>
          <t>HT</t>
        </is>
      </c>
      <c r="AK1209" s="69" t="inlineStr">
        <is>
          <t>Extended Stay</t>
        </is>
      </c>
      <c r="AL1209" s="68" t="n">
        <v>1</v>
      </c>
      <c r="AM1209" s="68" t="n">
        <v>125</v>
      </c>
      <c r="AN1209" s="68" t="n"/>
      <c r="AO1209" s="69" t="inlineStr">
        <is>
          <t>2008</t>
        </is>
      </c>
      <c r="AP1209" s="70" t="n">
        <v>2016</v>
      </c>
      <c r="AQ1209" s="74" t="n">
        <v>2.05</v>
      </c>
      <c r="AR1209" s="74" t="n">
        <v>1.85</v>
      </c>
      <c r="AS1209" s="74" t="n">
        <v>64.2</v>
      </c>
      <c r="AT1209" s="74" t="n">
        <v>55.41</v>
      </c>
      <c r="AU1209" s="74" t="n">
        <v>52.6</v>
      </c>
      <c r="AV1209" s="74" t="n">
        <v>12.988622222</v>
      </c>
      <c r="AW1209" s="74" t="n">
        <v>14.105565261</v>
      </c>
      <c r="AX1209" s="75" t="n">
        <v>67</v>
      </c>
      <c r="AY1209" s="71" t="n">
        <v>17500000</v>
      </c>
      <c r="AZ1209" s="71" t="n">
        <v>17500000</v>
      </c>
      <c r="BA1209" s="71" t="n">
        <v>1461220</v>
      </c>
      <c r="BB1209" s="71" t="n">
        <v>1315661.94</v>
      </c>
      <c r="BC1209" s="69" t="inlineStr">
        <is>
          <t>Refinance</t>
        </is>
      </c>
      <c r="BD1209" s="69" t="inlineStr">
        <is>
          <t>N</t>
        </is>
      </c>
      <c r="BE1209" s="71" t="n"/>
      <c r="BF1209" s="71" t="n"/>
      <c r="BG1209" s="71" t="n"/>
      <c r="BH1209" s="71" t="n">
        <v>0</v>
      </c>
      <c r="BI1209" s="71" t="n">
        <v>0</v>
      </c>
      <c r="BJ1209" s="69" t="inlineStr">
        <is>
          <t>N</t>
        </is>
      </c>
      <c r="BK1209" s="69" t="n"/>
      <c r="BL1209" s="75" t="n"/>
      <c r="BM1209" s="73" t="n"/>
      <c r="BN1209" s="69" t="inlineStr">
        <is>
          <t>Neil Amin</t>
        </is>
      </c>
      <c r="BO1209" s="69" t="inlineStr">
        <is>
          <t>JPMorgan Chase</t>
        </is>
      </c>
      <c r="BP1209" s="69" t="inlineStr">
        <is>
          <t>KeyBank National Association</t>
        </is>
      </c>
      <c r="BQ1209" s="69" t="inlineStr">
        <is>
          <t>K-Star Asset Management LLC</t>
        </is>
      </c>
      <c r="BR1209" s="69" t="n"/>
      <c r="BS1209" s="73" t="n">
        <v>46273</v>
      </c>
      <c r="BU1209" s="76">
        <f>IF($C1209="","",IFERROR(INDEX(dmName,MATCH($C1209,dmID,0)),"Unmapped"))</f>
        <v/>
      </c>
      <c r="BV1209" s="76">
        <f>IF($C1209="","",IFERROR(INDEX(dmEntity,MATCH($C1209,dmID,0)),"Unmapped"))</f>
        <v/>
      </c>
      <c r="BW1209" s="77">
        <f>IF($C1209="","",IFERROR(INDEX(dmVintage,MATCH($C1209,dmID,0)),""))</f>
        <v/>
      </c>
      <c r="BX1209" s="78">
        <f>IFERROR(INDEX(dmInclude,MATCH($C1209,dmID,0)),0)</f>
        <v/>
      </c>
      <c r="BY1209" s="78">
        <f>IF(N($I1209)&gt;0,1,0)</f>
        <v/>
      </c>
      <c r="BZ1209" s="76">
        <f>IF($AJ1209="","Other / Leased Fee",IFERROR(INDEX(mapPTGroup,MATCH(LEFT(TRIM($AJ1209),2),mapPTCode,0)),"Other / Leased Fee"))</f>
        <v/>
      </c>
      <c r="CA1209" s="76">
        <f>IF(TRIM($AF1209&amp;"")="","NR",LEFT(TRIM($AF1209),2))</f>
        <v/>
      </c>
      <c r="CB1209" s="76">
        <f>IFERROR(LOOKUP(2,1/(LEFT(TRIM($AI1209&amp;""),LEN(mapRegion))=mapRegion),mapRegion),"Not Reported")</f>
        <v/>
      </c>
      <c r="CC1209" s="76">
        <f>IF($BY1209=0,"",IF(TRIM($W1209&amp;"")="REO","REO",IF(TRIM($W1209&amp;"")="FC","Foreclosure",IF(TRIM($W1209&amp;"")="90+","90+ Days Delinquent",IF(TRIM($W1209&amp;"")="60","60 Days Delinquent",IF(TRIM($W1209&amp;"")="30","30 Days Delinquent",IF($X1209="Non-Performing Matured Balloon","Non-Performing Matured Balloon",IF(OR($X1209="Late Payment But Less Than 30 Days Delinquent",LEFT($X1209&amp;"",20)="Payment Not Received"),"Late / In Grace (&lt;30 Days)",IF($X1209="Performing Matured Balloon","Performing Matured Balloon","Current")))))))))</f>
        <v/>
      </c>
      <c r="CD1209" s="78">
        <f>IF(OR($CC1209="REO",$CC1209="Foreclosure",$CC1209="90+ Days Delinquent",$CC1209="60 Days Delinquent",$CC1209="30 Days Delinquent",$CC1209="Non-Performing Matured Balloon"),1,0)</f>
        <v/>
      </c>
      <c r="CE1209" s="76">
        <f>IF($AB1209="Currently special serv","Currently Specially Serviced",IF($AB1209="Returned to master serv","Previously Specially Serviced","Never Specially Serviced"))</f>
        <v/>
      </c>
      <c r="CF1209" s="78">
        <f>IF($CE1209="Currently Specially Serviced",1,0)</f>
        <v/>
      </c>
      <c r="CG1209" s="76">
        <f>IF($AA1209="Yes","Currently on Watchlist",IF($AA1209="Previously","Previously on Watchlist","Never on Watchlist"))</f>
        <v/>
      </c>
      <c r="CH1209" s="78">
        <f>IF($CG1209="Currently on Watchlist",1,0)</f>
        <v/>
      </c>
      <c r="CI1209" s="76">
        <f>IF($Z1209="Full Defeasance","Fully Defeased",IF($Z1209="Portion Of Loan Previously Defeased","Partially Defeased",IF($Z1209="Defeasance Not Allowable","Not Defeased (Not Permitted)","Not Defeased")))</f>
        <v/>
      </c>
      <c r="CJ1209" s="78">
        <f>IF($CI1209="Fully Defeased",1,0)</f>
        <v/>
      </c>
      <c r="CK1209" s="76">
        <f>IF($R1209="IO","Full IO",IF(LEFT($R1209&amp;"",7)="IO then","Partial IO","Amortizing"))</f>
        <v/>
      </c>
      <c r="CL1209" s="78">
        <f>IF($CK1209="Full IO",1,0)</f>
        <v/>
      </c>
      <c r="CM1209" s="78">
        <f>IF($CK1209="Partial IO",1,0)</f>
        <v/>
      </c>
      <c r="CN1209" s="76">
        <f>IF(LEFT($F1209&amp;"",10)="SPLIT_LOAN","Pari Passu Split","Standalone")</f>
        <v/>
      </c>
      <c r="CO1209" s="78">
        <f>IF($CN1209="Pari Passu Split",1,0)</f>
        <v/>
      </c>
      <c r="CP1209" s="77">
        <f>IF(ISNUMBER($T1209),YEAR($T1209),"")</f>
        <v/>
      </c>
      <c r="CQ1209" s="79">
        <f>IF(ISNUMBER($V1209),$V1209,IF(ISNUMBER($U1209),$U1209,""))</f>
        <v/>
      </c>
      <c r="CR1209" s="77">
        <f>IF(ISNUMBER($CQ1209),YEAR($CQ1209),"")</f>
        <v/>
      </c>
      <c r="CS1209" s="78">
        <f>IF(ISNUMBER($M1209),MAX(0,$M1209),IF(TRIM($M1209&amp;"")="matured",0,""))</f>
        <v/>
      </c>
      <c r="CT1209" s="78">
        <f>IF(AND(ISNUMBER($CS1209),N($CS1209)&lt;=mMatWindow),1,0)</f>
        <v/>
      </c>
      <c r="CU1209" s="80">
        <f>IF(ISNUMBER($J1209),$J1209/100,"")</f>
        <v/>
      </c>
      <c r="CV1209" s="81">
        <f>IF(ISNUMBER($AQ1209),$AQ1209,"")</f>
        <v/>
      </c>
      <c r="CW1209" s="81">
        <f>IF(ISNUMBER($AR1209),$AR1209,"")</f>
        <v/>
      </c>
      <c r="CX1209" s="82">
        <f>IF(ISNUMBER($AS1209),$AS1209/100,"")</f>
        <v/>
      </c>
      <c r="CY1209" s="82">
        <f>IF(ISNUMBER($AT1209),$AT1209/100,"")</f>
        <v/>
      </c>
      <c r="CZ1209" s="82">
        <f>IF(ISNUMBER($AU1209),$AU1209/100,"")</f>
        <v/>
      </c>
      <c r="DA1209" s="82">
        <f>IF(ISNUMBER($AV1209),$AV1209/100,"")</f>
        <v/>
      </c>
      <c r="DB1209" s="82">
        <f>IF(ISNUMBER($AW1209),$AW1209/100,"")</f>
        <v/>
      </c>
      <c r="DC1209" s="82">
        <f>IF(ISNUMBER($AX1209),$AX1209/100,"")</f>
        <v/>
      </c>
      <c r="DD1209" s="77">
        <f>IFERROR(VALUE(LEFT(TRIM($AO1209&amp;""),4)),"")</f>
        <v/>
      </c>
      <c r="DE1209" s="78">
        <f>IF(AND($BY1209=1,$BX1209=1,OR(fDeal="All Deals",$BU1209=fDeal),OR(fEntity="All Entities",$BV1209=fEntity),OR(fPType="All Property Types",$BZ1209=fPType),OR(fDefeased="Include",$CJ1209=0)),1,0)</f>
        <v/>
      </c>
      <c r="DF1209" s="83">
        <f>$DE1209*N($I1209)</f>
        <v/>
      </c>
      <c r="DG1209" s="78">
        <f>IF($DE1209=1,IF(COUNTIFS($F$8:$F1209,$F1209,$DE$8:$DE1209,1)=1,1,0),0)</f>
        <v/>
      </c>
      <c r="DH1209" s="83">
        <f>IF($DG1209=1,SUMIFS($DF$8:$DF$1600,$F$8:$F$1600,$F1209),0)</f>
        <v/>
      </c>
      <c r="DI1209" s="78">
        <f>IF($DG1209=1,COUNTIFS($F$8:$F$1600,$F1209,$DE$8:$DE$1600,1),0)</f>
        <v/>
      </c>
      <c r="DJ1209" s="84">
        <f>IF($DG1209=1,$DH1209+(100000-ROW())/mTieBreak,0)</f>
        <v/>
      </c>
    </row>
    <row r="1210">
      <c r="B1210" s="68" t="n">
        <v>32</v>
      </c>
      <c r="C1210" s="69" t="inlineStr">
        <is>
          <t>BCMK18B6</t>
        </is>
      </c>
      <c r="D1210" s="69" t="inlineStr">
        <is>
          <t>32.000</t>
        </is>
      </c>
      <c r="E1210" s="69" t="inlineStr">
        <is>
          <t>Cardinal Point at Gateway</t>
        </is>
      </c>
      <c r="F1210" s="69" t="inlineStr">
        <is>
          <t>LNBCMK18B6-32.000</t>
        </is>
      </c>
      <c r="G1210" s="70" t="n"/>
      <c r="H1210" s="71" t="n">
        <v>10300000</v>
      </c>
      <c r="I1210" s="71" t="n">
        <v>10300000</v>
      </c>
      <c r="J1210" s="72" t="n">
        <v>4.742</v>
      </c>
      <c r="K1210" s="69" t="inlineStr">
        <is>
          <t>Fixed rate</t>
        </is>
      </c>
      <c r="L1210" s="68" t="n">
        <v>120</v>
      </c>
      <c r="M1210" s="68" t="n">
        <v>23</v>
      </c>
      <c r="N1210" s="68" t="n">
        <v>120</v>
      </c>
      <c r="O1210" s="68" t="n">
        <v>120</v>
      </c>
      <c r="P1210" s="68" t="n">
        <v>23</v>
      </c>
      <c r="Q1210" s="68" t="n">
        <v>97</v>
      </c>
      <c r="R1210" s="69" t="inlineStr">
        <is>
          <t>IO</t>
        </is>
      </c>
      <c r="S1210" s="69" t="inlineStr">
        <is>
          <t>Yes</t>
        </is>
      </c>
      <c r="T1210" s="73" t="n">
        <v>43313</v>
      </c>
      <c r="U1210" s="73" t="n">
        <v>46971</v>
      </c>
      <c r="V1210" s="73" t="n"/>
      <c r="W1210" s="69" t="inlineStr">
        <is>
          <t>FC</t>
        </is>
      </c>
      <c r="X1210" s="69" t="inlineStr">
        <is>
          <t>121+ Days Delinquent</t>
        </is>
      </c>
      <c r="Y1210" s="68" t="n">
        <v>9</v>
      </c>
      <c r="Z1210" s="69" t="inlineStr">
        <is>
          <t>No Defeasance Occurred</t>
        </is>
      </c>
      <c r="AA1210" s="69" t="inlineStr">
        <is>
          <t>Previously</t>
        </is>
      </c>
      <c r="AB1210" s="69" t="inlineStr">
        <is>
          <t>Currently special serv</t>
        </is>
      </c>
      <c r="AC1210" s="73" t="n">
        <v>46062</v>
      </c>
      <c r="AD1210" s="69" t="inlineStr">
        <is>
          <t>Payment Default (all payments excluding Balloon/Maturity Payment)</t>
        </is>
      </c>
      <c r="AE1210" s="69" t="inlineStr">
        <is>
          <t>Other</t>
        </is>
      </c>
      <c r="AF1210" s="69" t="inlineStr">
        <is>
          <t>FL</t>
        </is>
      </c>
      <c r="AG1210" s="69" t="inlineStr">
        <is>
          <t>St. Petersburg</t>
        </is>
      </c>
      <c r="AH1210" s="69" t="inlineStr">
        <is>
          <t>Tampa-St. Petersburg-Clearwater, FL</t>
        </is>
      </c>
      <c r="AI1210" s="69" t="inlineStr">
        <is>
          <t>South / Atlantic</t>
        </is>
      </c>
      <c r="AJ1210" s="69" t="inlineStr">
        <is>
          <t>OF</t>
        </is>
      </c>
      <c r="AK1210" s="69" t="inlineStr">
        <is>
          <t>Suburban</t>
        </is>
      </c>
      <c r="AL1210" s="68" t="n">
        <v>1</v>
      </c>
      <c r="AM1210" s="68" t="n"/>
      <c r="AN1210" s="68" t="n">
        <v>88447</v>
      </c>
      <c r="AO1210" s="69" t="inlineStr">
        <is>
          <t>1987</t>
        </is>
      </c>
      <c r="AP1210" s="70" t="n">
        <v>2018</v>
      </c>
      <c r="AQ1210" s="74" t="n">
        <v>2.96</v>
      </c>
      <c r="AR1210" s="74" t="n">
        <v>2.94</v>
      </c>
      <c r="AS1210" s="74" t="n">
        <v>58.2</v>
      </c>
      <c r="AT1210" s="74" t="n">
        <v>58.19</v>
      </c>
      <c r="AU1210" s="74" t="n">
        <v>58.2</v>
      </c>
      <c r="AV1210" s="74" t="n">
        <v>14.217814757</v>
      </c>
      <c r="AW1210" s="74" t="n">
        <v>17.391248544</v>
      </c>
      <c r="AX1210" s="75" t="n">
        <v>100</v>
      </c>
      <c r="AY1210" s="71" t="n">
        <v>17700000</v>
      </c>
      <c r="AZ1210" s="71" t="n">
        <v>17700000</v>
      </c>
      <c r="BA1210" s="71" t="n">
        <v>1464434.92</v>
      </c>
      <c r="BB1210" s="71" t="n">
        <v>1453531.6</v>
      </c>
      <c r="BC1210" s="69" t="inlineStr">
        <is>
          <t>Acquisition</t>
        </is>
      </c>
      <c r="BD1210" s="69" t="inlineStr">
        <is>
          <t>N</t>
        </is>
      </c>
      <c r="BE1210" s="71" t="n"/>
      <c r="BF1210" s="71" t="n"/>
      <c r="BG1210" s="71" t="n"/>
      <c r="BH1210" s="71" t="n">
        <v>0</v>
      </c>
      <c r="BI1210" s="71" t="n">
        <v>412231.23</v>
      </c>
      <c r="BJ1210" s="69" t="inlineStr">
        <is>
          <t>N</t>
        </is>
      </c>
      <c r="BK1210" s="69" t="inlineStr">
        <is>
          <t>SalonCentric Inc</t>
        </is>
      </c>
      <c r="BL1210" s="75" t="n">
        <v>76.13</v>
      </c>
      <c r="BM1210" s="73" t="n">
        <v>45930</v>
      </c>
      <c r="BN1210" s="69" t="inlineStr">
        <is>
          <t>Jeffrey J. Feil</t>
        </is>
      </c>
      <c r="BO1210" s="69" t="inlineStr">
        <is>
          <t>GACC</t>
        </is>
      </c>
      <c r="BP1210" s="69" t="inlineStr">
        <is>
          <t>KeyBank National Association</t>
        </is>
      </c>
      <c r="BQ1210" s="69" t="inlineStr">
        <is>
          <t>K-Star Asset Management LLC</t>
        </is>
      </c>
      <c r="BR1210" s="69" t="n"/>
      <c r="BS1210" s="73" t="n">
        <v>46273</v>
      </c>
      <c r="BU1210" s="76">
        <f>IF($C1210="","",IFERROR(INDEX(dmName,MATCH($C1210,dmID,0)),"Unmapped"))</f>
        <v/>
      </c>
      <c r="BV1210" s="76">
        <f>IF($C1210="","",IFERROR(INDEX(dmEntity,MATCH($C1210,dmID,0)),"Unmapped"))</f>
        <v/>
      </c>
      <c r="BW1210" s="77">
        <f>IF($C1210="","",IFERROR(INDEX(dmVintage,MATCH($C1210,dmID,0)),""))</f>
        <v/>
      </c>
      <c r="BX1210" s="78">
        <f>IFERROR(INDEX(dmInclude,MATCH($C1210,dmID,0)),0)</f>
        <v/>
      </c>
      <c r="BY1210" s="78">
        <f>IF(N($I1210)&gt;0,1,0)</f>
        <v/>
      </c>
      <c r="BZ1210" s="76">
        <f>IF($AJ1210="","Other / Leased Fee",IFERROR(INDEX(mapPTGroup,MATCH(LEFT(TRIM($AJ1210),2),mapPTCode,0)),"Other / Leased Fee"))</f>
        <v/>
      </c>
      <c r="CA1210" s="76">
        <f>IF(TRIM($AF1210&amp;"")="","NR",LEFT(TRIM($AF1210),2))</f>
        <v/>
      </c>
      <c r="CB1210" s="76">
        <f>IFERROR(LOOKUP(2,1/(LEFT(TRIM($AI1210&amp;""),LEN(mapRegion))=mapRegion),mapRegion),"Not Reported")</f>
        <v/>
      </c>
      <c r="CC1210" s="76">
        <f>IF($BY1210=0,"",IF(TRIM($W1210&amp;"")="REO","REO",IF(TRIM($W1210&amp;"")="FC","Foreclosure",IF(TRIM($W1210&amp;"")="90+","90+ Days Delinquent",IF(TRIM($W1210&amp;"")="60","60 Days Delinquent",IF(TRIM($W1210&amp;"")="30","30 Days Delinquent",IF($X1210="Non-Performing Matured Balloon","Non-Performing Matured Balloon",IF(OR($X1210="Late Payment But Less Than 30 Days Delinquent",LEFT($X1210&amp;"",20)="Payment Not Received"),"Late / In Grace (&lt;30 Days)",IF($X1210="Performing Matured Balloon","Performing Matured Balloon","Current")))))))))</f>
        <v/>
      </c>
      <c r="CD1210" s="78">
        <f>IF(OR($CC1210="REO",$CC1210="Foreclosure",$CC1210="90+ Days Delinquent",$CC1210="60 Days Delinquent",$CC1210="30 Days Delinquent",$CC1210="Non-Performing Matured Balloon"),1,0)</f>
        <v/>
      </c>
      <c r="CE1210" s="76">
        <f>IF($AB1210="Currently special serv","Currently Specially Serviced",IF($AB1210="Returned to master serv","Previously Specially Serviced","Never Specially Serviced"))</f>
        <v/>
      </c>
      <c r="CF1210" s="78">
        <f>IF($CE1210="Currently Specially Serviced",1,0)</f>
        <v/>
      </c>
      <c r="CG1210" s="76">
        <f>IF($AA1210="Yes","Currently on Watchlist",IF($AA1210="Previously","Previously on Watchlist","Never on Watchlist"))</f>
        <v/>
      </c>
      <c r="CH1210" s="78">
        <f>IF($CG1210="Currently on Watchlist",1,0)</f>
        <v/>
      </c>
      <c r="CI1210" s="76">
        <f>IF($Z1210="Full Defeasance","Fully Defeased",IF($Z1210="Portion Of Loan Previously Defeased","Partially Defeased",IF($Z1210="Defeasance Not Allowable","Not Defeased (Not Permitted)","Not Defeased")))</f>
        <v/>
      </c>
      <c r="CJ1210" s="78">
        <f>IF($CI1210="Fully Defeased",1,0)</f>
        <v/>
      </c>
      <c r="CK1210" s="76">
        <f>IF($R1210="IO","Full IO",IF(LEFT($R1210&amp;"",7)="IO then","Partial IO","Amortizing"))</f>
        <v/>
      </c>
      <c r="CL1210" s="78">
        <f>IF($CK1210="Full IO",1,0)</f>
        <v/>
      </c>
      <c r="CM1210" s="78">
        <f>IF($CK1210="Partial IO",1,0)</f>
        <v/>
      </c>
      <c r="CN1210" s="76">
        <f>IF(LEFT($F1210&amp;"",10)="SPLIT_LOAN","Pari Passu Split","Standalone")</f>
        <v/>
      </c>
      <c r="CO1210" s="78">
        <f>IF($CN1210="Pari Passu Split",1,0)</f>
        <v/>
      </c>
      <c r="CP1210" s="77">
        <f>IF(ISNUMBER($T1210),YEAR($T1210),"")</f>
        <v/>
      </c>
      <c r="CQ1210" s="79">
        <f>IF(ISNUMBER($V1210),$V1210,IF(ISNUMBER($U1210),$U1210,""))</f>
        <v/>
      </c>
      <c r="CR1210" s="77">
        <f>IF(ISNUMBER($CQ1210),YEAR($CQ1210),"")</f>
        <v/>
      </c>
      <c r="CS1210" s="78">
        <f>IF(ISNUMBER($M1210),MAX(0,$M1210),IF(TRIM($M1210&amp;"")="matured",0,""))</f>
        <v/>
      </c>
      <c r="CT1210" s="78">
        <f>IF(AND(ISNUMBER($CS1210),N($CS1210)&lt;=mMatWindow),1,0)</f>
        <v/>
      </c>
      <c r="CU1210" s="80">
        <f>IF(ISNUMBER($J1210),$J1210/100,"")</f>
        <v/>
      </c>
      <c r="CV1210" s="81">
        <f>IF(ISNUMBER($AQ1210),$AQ1210,"")</f>
        <v/>
      </c>
      <c r="CW1210" s="81">
        <f>IF(ISNUMBER($AR1210),$AR1210,"")</f>
        <v/>
      </c>
      <c r="CX1210" s="82">
        <f>IF(ISNUMBER($AS1210),$AS1210/100,"")</f>
        <v/>
      </c>
      <c r="CY1210" s="82">
        <f>IF(ISNUMBER($AT1210),$AT1210/100,"")</f>
        <v/>
      </c>
      <c r="CZ1210" s="82">
        <f>IF(ISNUMBER($AU1210),$AU1210/100,"")</f>
        <v/>
      </c>
      <c r="DA1210" s="82">
        <f>IF(ISNUMBER($AV1210),$AV1210/100,"")</f>
        <v/>
      </c>
      <c r="DB1210" s="82">
        <f>IF(ISNUMBER($AW1210),$AW1210/100,"")</f>
        <v/>
      </c>
      <c r="DC1210" s="82">
        <f>IF(ISNUMBER($AX1210),$AX1210/100,"")</f>
        <v/>
      </c>
      <c r="DD1210" s="77">
        <f>IFERROR(VALUE(LEFT(TRIM($AO1210&amp;""),4)),"")</f>
        <v/>
      </c>
      <c r="DE1210" s="78">
        <f>IF(AND($BY1210=1,$BX1210=1,OR(fDeal="All Deals",$BU1210=fDeal),OR(fEntity="All Entities",$BV1210=fEntity),OR(fPType="All Property Types",$BZ1210=fPType),OR(fDefeased="Include",$CJ1210=0)),1,0)</f>
        <v/>
      </c>
      <c r="DF1210" s="83">
        <f>$DE1210*N($I1210)</f>
        <v/>
      </c>
      <c r="DG1210" s="78">
        <f>IF($DE1210=1,IF(COUNTIFS($F$8:$F1210,$F1210,$DE$8:$DE1210,1)=1,1,0),0)</f>
        <v/>
      </c>
      <c r="DH1210" s="83">
        <f>IF($DG1210=1,SUMIFS($DF$8:$DF$1600,$F$8:$F$1600,$F1210),0)</f>
        <v/>
      </c>
      <c r="DI1210" s="78">
        <f>IF($DG1210=1,COUNTIFS($F$8:$F$1600,$F1210,$DE$8:$DE$1600,1),0)</f>
        <v/>
      </c>
      <c r="DJ1210" s="84">
        <f>IF($DG1210=1,$DH1210+(100000-ROW())/mTieBreak,0)</f>
        <v/>
      </c>
    </row>
    <row r="1211">
      <c r="B1211" s="68" t="n">
        <v>33</v>
      </c>
      <c r="C1211" s="69" t="inlineStr">
        <is>
          <t>BCMK18B6</t>
        </is>
      </c>
      <c r="D1211" s="69" t="inlineStr">
        <is>
          <t>33.000</t>
        </is>
      </c>
      <c r="E1211" s="69" t="inlineStr">
        <is>
          <t>Jefferson Plaza Albuquerque</t>
        </is>
      </c>
      <c r="F1211" s="69" t="inlineStr">
        <is>
          <t>LNBCMK18B6-33.000</t>
        </is>
      </c>
      <c r="G1211" s="70" t="n"/>
      <c r="H1211" s="71" t="n">
        <v>10125000</v>
      </c>
      <c r="I1211" s="71" t="n">
        <v>8662821.850001249</v>
      </c>
      <c r="J1211" s="72" t="n">
        <v>4.715</v>
      </c>
      <c r="K1211" s="69" t="inlineStr">
        <is>
          <t>Fixed rate</t>
        </is>
      </c>
      <c r="L1211" s="68" t="n">
        <v>120</v>
      </c>
      <c r="M1211" s="68" t="n">
        <v>22</v>
      </c>
      <c r="N1211" s="68" t="n">
        <v>360</v>
      </c>
      <c r="O1211" s="68" t="n"/>
      <c r="P1211" s="68" t="n"/>
      <c r="Q1211" s="68" t="n">
        <v>98</v>
      </c>
      <c r="R1211" s="69" t="n"/>
      <c r="S1211" s="69" t="inlineStr">
        <is>
          <t>No</t>
        </is>
      </c>
      <c r="T1211" s="73" t="n">
        <v>43282</v>
      </c>
      <c r="U1211" s="73" t="n">
        <v>46940</v>
      </c>
      <c r="V1211" s="73" t="n"/>
      <c r="W1211" s="69" t="n"/>
      <c r="X1211" s="69" t="inlineStr">
        <is>
          <t>Current</t>
        </is>
      </c>
      <c r="Y1211" s="68" t="n"/>
      <c r="Z1211" s="69" t="inlineStr">
        <is>
          <t>No Defeasance Occurred</t>
        </is>
      </c>
      <c r="AA1211" s="69" t="inlineStr">
        <is>
          <t>Yes</t>
        </is>
      </c>
      <c r="AB1211" s="69" t="inlineStr">
        <is>
          <t>Never special serv</t>
        </is>
      </c>
      <c r="AC1211" s="73" t="n"/>
      <c r="AD1211" s="69" t="n"/>
      <c r="AE1211" s="69" t="n"/>
      <c r="AF1211" s="69" t="inlineStr">
        <is>
          <t>NM</t>
        </is>
      </c>
      <c r="AG1211" s="69" t="inlineStr">
        <is>
          <t>Albuquerque</t>
        </is>
      </c>
      <c r="AH1211" s="69" t="inlineStr">
        <is>
          <t>Albuquerque, NM</t>
        </is>
      </c>
      <c r="AI1211" s="69" t="inlineStr">
        <is>
          <t>West / Mountain</t>
        </is>
      </c>
      <c r="AJ1211" s="69" t="inlineStr">
        <is>
          <t>OF</t>
        </is>
      </c>
      <c r="AK1211" s="69" t="inlineStr">
        <is>
          <t>Suburban</t>
        </is>
      </c>
      <c r="AL1211" s="68" t="n">
        <v>1</v>
      </c>
      <c r="AM1211" s="68" t="n"/>
      <c r="AN1211" s="68" t="n">
        <v>79901</v>
      </c>
      <c r="AO1211" s="69" t="inlineStr">
        <is>
          <t>2008</t>
        </is>
      </c>
      <c r="AP1211" s="70" t="n">
        <v>2008</v>
      </c>
      <c r="AQ1211" s="74" t="n">
        <v>1.6</v>
      </c>
      <c r="AR1211" s="74" t="n">
        <v>0.85</v>
      </c>
      <c r="AS1211" s="74" t="n">
        <v>74.7</v>
      </c>
      <c r="AT1211" s="74" t="n">
        <v>64.17</v>
      </c>
      <c r="AU1211" s="74" t="n">
        <v>61.1</v>
      </c>
      <c r="AV1211" s="74" t="n">
        <v>9.959792593</v>
      </c>
      <c r="AW1211" s="74" t="n">
        <v>5.263337835</v>
      </c>
      <c r="AX1211" s="75" t="n">
        <v>68</v>
      </c>
      <c r="AY1211" s="71" t="n">
        <v>13500000</v>
      </c>
      <c r="AZ1211" s="71" t="n">
        <v>13500000</v>
      </c>
      <c r="BA1211" s="71" t="n">
        <v>1008429</v>
      </c>
      <c r="BB1211" s="71" t="n">
        <v>269697.41</v>
      </c>
      <c r="BC1211" s="69" t="inlineStr">
        <is>
          <t>Refinance</t>
        </is>
      </c>
      <c r="BD1211" s="69" t="inlineStr">
        <is>
          <t>N</t>
        </is>
      </c>
      <c r="BE1211" s="71" t="n"/>
      <c r="BF1211" s="71" t="n"/>
      <c r="BG1211" s="71" t="n"/>
      <c r="BH1211" s="71" t="n">
        <v>0</v>
      </c>
      <c r="BI1211" s="71" t="n">
        <v>0</v>
      </c>
      <c r="BJ1211" s="69" t="inlineStr">
        <is>
          <t>N</t>
        </is>
      </c>
      <c r="BK1211" s="69" t="inlineStr">
        <is>
          <t>Giving Home Health Care  LLC</t>
        </is>
      </c>
      <c r="BL1211" s="75" t="n">
        <v>32.82</v>
      </c>
      <c r="BM1211" s="73" t="n">
        <v>47726</v>
      </c>
      <c r="BN1211" s="69" t="inlineStr">
        <is>
          <t>Kevin L. Reid, Ben F. Spencer and Scott W. Throckmorton</t>
        </is>
      </c>
      <c r="BO1211" s="69" t="inlineStr">
        <is>
          <t>GACC</t>
        </is>
      </c>
      <c r="BP1211" s="69" t="inlineStr">
        <is>
          <t>KeyBank National Association</t>
        </is>
      </c>
      <c r="BQ1211" s="69" t="inlineStr">
        <is>
          <t>K-Star Asset Management LLC</t>
        </is>
      </c>
      <c r="BR1211" s="69" t="n"/>
      <c r="BS1211" s="73" t="n">
        <v>46273</v>
      </c>
      <c r="BU1211" s="76">
        <f>IF($C1211="","",IFERROR(INDEX(dmName,MATCH($C1211,dmID,0)),"Unmapped"))</f>
        <v/>
      </c>
      <c r="BV1211" s="76">
        <f>IF($C1211="","",IFERROR(INDEX(dmEntity,MATCH($C1211,dmID,0)),"Unmapped"))</f>
        <v/>
      </c>
      <c r="BW1211" s="77">
        <f>IF($C1211="","",IFERROR(INDEX(dmVintage,MATCH($C1211,dmID,0)),""))</f>
        <v/>
      </c>
      <c r="BX1211" s="78">
        <f>IFERROR(INDEX(dmInclude,MATCH($C1211,dmID,0)),0)</f>
        <v/>
      </c>
      <c r="BY1211" s="78">
        <f>IF(N($I1211)&gt;0,1,0)</f>
        <v/>
      </c>
      <c r="BZ1211" s="76">
        <f>IF($AJ1211="","Other / Leased Fee",IFERROR(INDEX(mapPTGroup,MATCH(LEFT(TRIM($AJ1211),2),mapPTCode,0)),"Other / Leased Fee"))</f>
        <v/>
      </c>
      <c r="CA1211" s="76">
        <f>IF(TRIM($AF1211&amp;"")="","NR",LEFT(TRIM($AF1211),2))</f>
        <v/>
      </c>
      <c r="CB1211" s="76">
        <f>IFERROR(LOOKUP(2,1/(LEFT(TRIM($AI1211&amp;""),LEN(mapRegion))=mapRegion),mapRegion),"Not Reported")</f>
        <v/>
      </c>
      <c r="CC1211" s="76">
        <f>IF($BY1211=0,"",IF(TRIM($W1211&amp;"")="REO","REO",IF(TRIM($W1211&amp;"")="FC","Foreclosure",IF(TRIM($W1211&amp;"")="90+","90+ Days Delinquent",IF(TRIM($W1211&amp;"")="60","60 Days Delinquent",IF(TRIM($W1211&amp;"")="30","30 Days Delinquent",IF($X1211="Non-Performing Matured Balloon","Non-Performing Matured Balloon",IF(OR($X1211="Late Payment But Less Than 30 Days Delinquent",LEFT($X1211&amp;"",20)="Payment Not Received"),"Late / In Grace (&lt;30 Days)",IF($X1211="Performing Matured Balloon","Performing Matured Balloon","Current")))))))))</f>
        <v/>
      </c>
      <c r="CD1211" s="78">
        <f>IF(OR($CC1211="REO",$CC1211="Foreclosure",$CC1211="90+ Days Delinquent",$CC1211="60 Days Delinquent",$CC1211="30 Days Delinquent",$CC1211="Non-Performing Matured Balloon"),1,0)</f>
        <v/>
      </c>
      <c r="CE1211" s="76">
        <f>IF($AB1211="Currently special serv","Currently Specially Serviced",IF($AB1211="Returned to master serv","Previously Specially Serviced","Never Specially Serviced"))</f>
        <v/>
      </c>
      <c r="CF1211" s="78">
        <f>IF($CE1211="Currently Specially Serviced",1,0)</f>
        <v/>
      </c>
      <c r="CG1211" s="76">
        <f>IF($AA1211="Yes","Currently on Watchlist",IF($AA1211="Previously","Previously on Watchlist","Never on Watchlist"))</f>
        <v/>
      </c>
      <c r="CH1211" s="78">
        <f>IF($CG1211="Currently on Watchlist",1,0)</f>
        <v/>
      </c>
      <c r="CI1211" s="76">
        <f>IF($Z1211="Full Defeasance","Fully Defeased",IF($Z1211="Portion Of Loan Previously Defeased","Partially Defeased",IF($Z1211="Defeasance Not Allowable","Not Defeased (Not Permitted)","Not Defeased")))</f>
        <v/>
      </c>
      <c r="CJ1211" s="78">
        <f>IF($CI1211="Fully Defeased",1,0)</f>
        <v/>
      </c>
      <c r="CK1211" s="76">
        <f>IF($R1211="IO","Full IO",IF(LEFT($R1211&amp;"",7)="IO then","Partial IO","Amortizing"))</f>
        <v/>
      </c>
      <c r="CL1211" s="78">
        <f>IF($CK1211="Full IO",1,0)</f>
        <v/>
      </c>
      <c r="CM1211" s="78">
        <f>IF($CK1211="Partial IO",1,0)</f>
        <v/>
      </c>
      <c r="CN1211" s="76">
        <f>IF(LEFT($F1211&amp;"",10)="SPLIT_LOAN","Pari Passu Split","Standalone")</f>
        <v/>
      </c>
      <c r="CO1211" s="78">
        <f>IF($CN1211="Pari Passu Split",1,0)</f>
        <v/>
      </c>
      <c r="CP1211" s="77">
        <f>IF(ISNUMBER($T1211),YEAR($T1211),"")</f>
        <v/>
      </c>
      <c r="CQ1211" s="79">
        <f>IF(ISNUMBER($V1211),$V1211,IF(ISNUMBER($U1211),$U1211,""))</f>
        <v/>
      </c>
      <c r="CR1211" s="77">
        <f>IF(ISNUMBER($CQ1211),YEAR($CQ1211),"")</f>
        <v/>
      </c>
      <c r="CS1211" s="78">
        <f>IF(ISNUMBER($M1211),MAX(0,$M1211),IF(TRIM($M1211&amp;"")="matured",0,""))</f>
        <v/>
      </c>
      <c r="CT1211" s="78">
        <f>IF(AND(ISNUMBER($CS1211),N($CS1211)&lt;=mMatWindow),1,0)</f>
        <v/>
      </c>
      <c r="CU1211" s="80">
        <f>IF(ISNUMBER($J1211),$J1211/100,"")</f>
        <v/>
      </c>
      <c r="CV1211" s="81">
        <f>IF(ISNUMBER($AQ1211),$AQ1211,"")</f>
        <v/>
      </c>
      <c r="CW1211" s="81">
        <f>IF(ISNUMBER($AR1211),$AR1211,"")</f>
        <v/>
      </c>
      <c r="CX1211" s="82">
        <f>IF(ISNUMBER($AS1211),$AS1211/100,"")</f>
        <v/>
      </c>
      <c r="CY1211" s="82">
        <f>IF(ISNUMBER($AT1211),$AT1211/100,"")</f>
        <v/>
      </c>
      <c r="CZ1211" s="82">
        <f>IF(ISNUMBER($AU1211),$AU1211/100,"")</f>
        <v/>
      </c>
      <c r="DA1211" s="82">
        <f>IF(ISNUMBER($AV1211),$AV1211/100,"")</f>
        <v/>
      </c>
      <c r="DB1211" s="82">
        <f>IF(ISNUMBER($AW1211),$AW1211/100,"")</f>
        <v/>
      </c>
      <c r="DC1211" s="82">
        <f>IF(ISNUMBER($AX1211),$AX1211/100,"")</f>
        <v/>
      </c>
      <c r="DD1211" s="77">
        <f>IFERROR(VALUE(LEFT(TRIM($AO1211&amp;""),4)),"")</f>
        <v/>
      </c>
      <c r="DE1211" s="78">
        <f>IF(AND($BY1211=1,$BX1211=1,OR(fDeal="All Deals",$BU1211=fDeal),OR(fEntity="All Entities",$BV1211=fEntity),OR(fPType="All Property Types",$BZ1211=fPType),OR(fDefeased="Include",$CJ1211=0)),1,0)</f>
        <v/>
      </c>
      <c r="DF1211" s="83">
        <f>$DE1211*N($I1211)</f>
        <v/>
      </c>
      <c r="DG1211" s="78">
        <f>IF($DE1211=1,IF(COUNTIFS($F$8:$F1211,$F1211,$DE$8:$DE1211,1)=1,1,0),0)</f>
        <v/>
      </c>
      <c r="DH1211" s="83">
        <f>IF($DG1211=1,SUMIFS($DF$8:$DF$1600,$F$8:$F$1600,$F1211),0)</f>
        <v/>
      </c>
      <c r="DI1211" s="78">
        <f>IF($DG1211=1,COUNTIFS($F$8:$F$1600,$F1211,$DE$8:$DE$1600,1),0)</f>
        <v/>
      </c>
      <c r="DJ1211" s="84">
        <f>IF($DG1211=1,$DH1211+(100000-ROW())/mTieBreak,0)</f>
        <v/>
      </c>
    </row>
    <row r="1212">
      <c r="B1212" s="68" t="n">
        <v>34</v>
      </c>
      <c r="C1212" s="69" t="inlineStr">
        <is>
          <t>BCMK18B6</t>
        </is>
      </c>
      <c r="D1212" s="69" t="inlineStr">
        <is>
          <t>34.000</t>
        </is>
      </c>
      <c r="E1212" s="69" t="inlineStr">
        <is>
          <t>Dimond Crossing</t>
        </is>
      </c>
      <c r="F1212" s="69" t="inlineStr">
        <is>
          <t>LNBCMK18B6-34.000</t>
        </is>
      </c>
      <c r="G1212" s="70" t="n"/>
      <c r="H1212" s="71" t="n">
        <v>10000000</v>
      </c>
      <c r="I1212" s="71" t="n">
        <v>9531135.049999999</v>
      </c>
      <c r="J1212" s="72" t="n">
        <v>4.69</v>
      </c>
      <c r="K1212" s="69" t="inlineStr">
        <is>
          <t>Fixed rate</t>
        </is>
      </c>
      <c r="L1212" s="68" t="n">
        <v>120</v>
      </c>
      <c r="M1212" s="68" t="n">
        <v>24</v>
      </c>
      <c r="N1212" s="68" t="n">
        <v>420</v>
      </c>
      <c r="O1212" s="68" t="n">
        <v>60</v>
      </c>
      <c r="P1212" s="68" t="n">
        <v>0</v>
      </c>
      <c r="Q1212" s="68" t="n">
        <v>96</v>
      </c>
      <c r="R1212" s="69" t="inlineStr">
        <is>
          <t>IO then Amort</t>
        </is>
      </c>
      <c r="S1212" s="69" t="inlineStr">
        <is>
          <t>No</t>
        </is>
      </c>
      <c r="T1212" s="73" t="n">
        <v>43344</v>
      </c>
      <c r="U1212" s="73" t="n">
        <v>47002</v>
      </c>
      <c r="V1212" s="73" t="n"/>
      <c r="W1212" s="69" t="n"/>
      <c r="X1212" s="69" t="inlineStr">
        <is>
          <t>Current</t>
        </is>
      </c>
      <c r="Y1212" s="68" t="n"/>
      <c r="Z1212" s="69" t="inlineStr">
        <is>
          <t>No Defeasance Occurred</t>
        </is>
      </c>
      <c r="AA1212" s="69" t="inlineStr">
        <is>
          <t>Previously</t>
        </is>
      </c>
      <c r="AB1212" s="69" t="inlineStr">
        <is>
          <t>Never special serv</t>
        </is>
      </c>
      <c r="AC1212" s="73" t="n"/>
      <c r="AD1212" s="69" t="n"/>
      <c r="AE1212" s="69" t="n"/>
      <c r="AF1212" s="69" t="inlineStr">
        <is>
          <t>AK</t>
        </is>
      </c>
      <c r="AG1212" s="69" t="inlineStr">
        <is>
          <t>Anchorage</t>
        </is>
      </c>
      <c r="AH1212" s="69" t="inlineStr">
        <is>
          <t>Anchorage, AK</t>
        </is>
      </c>
      <c r="AI1212" s="69" t="inlineStr">
        <is>
          <t>West / Pacific North</t>
        </is>
      </c>
      <c r="AJ1212" s="69" t="inlineStr">
        <is>
          <t>RT</t>
        </is>
      </c>
      <c r="AK1212" s="69" t="inlineStr">
        <is>
          <t>Anchored</t>
        </is>
      </c>
      <c r="AL1212" s="68" t="n">
        <v>1</v>
      </c>
      <c r="AM1212" s="68" t="n"/>
      <c r="AN1212" s="68" t="n">
        <v>82310</v>
      </c>
      <c r="AO1212" s="69" t="inlineStr">
        <is>
          <t>1981</t>
        </is>
      </c>
      <c r="AP1212" s="70" t="n">
        <v>2011</v>
      </c>
      <c r="AQ1212" s="74" t="n">
        <v>1.84</v>
      </c>
      <c r="AR1212" s="74" t="n">
        <v>2.07</v>
      </c>
      <c r="AS1212" s="74" t="n">
        <v>69.7</v>
      </c>
      <c r="AT1212" s="74" t="n">
        <v>66.42</v>
      </c>
      <c r="AU1212" s="74" t="n">
        <v>63.97</v>
      </c>
      <c r="AV1212" s="74" t="n">
        <v>11.45638</v>
      </c>
      <c r="AW1212" s="74" t="n">
        <v>12.976772268</v>
      </c>
      <c r="AX1212" s="75" t="n">
        <v>91</v>
      </c>
      <c r="AY1212" s="71" t="n">
        <v>14350000</v>
      </c>
      <c r="AZ1212" s="71" t="n">
        <v>14350000</v>
      </c>
      <c r="BA1212" s="71" t="n">
        <v>1145638</v>
      </c>
      <c r="BB1212" s="71" t="n">
        <v>644081.74</v>
      </c>
      <c r="BC1212" s="69" t="inlineStr">
        <is>
          <t>Acquisition</t>
        </is>
      </c>
      <c r="BD1212" s="69" t="inlineStr">
        <is>
          <t>N</t>
        </is>
      </c>
      <c r="BE1212" s="71" t="n"/>
      <c r="BF1212" s="71" t="n"/>
      <c r="BG1212" s="71" t="n"/>
      <c r="BH1212" s="71" t="n">
        <v>0</v>
      </c>
      <c r="BI1212" s="71" t="n">
        <v>0</v>
      </c>
      <c r="BJ1212" s="69" t="inlineStr">
        <is>
          <t>N</t>
        </is>
      </c>
      <c r="BK1212" s="69" t="inlineStr">
        <is>
          <t>Petsmart</t>
        </is>
      </c>
      <c r="BL1212" s="75" t="n">
        <v>38.7</v>
      </c>
      <c r="BM1212" s="73" t="n">
        <v>47817</v>
      </c>
      <c r="BN1212" s="69" t="inlineStr">
        <is>
          <t>PVAM Argonaut Property Fund, L.P. and Stephen B. Jaeger</t>
        </is>
      </c>
      <c r="BO1212" s="69" t="inlineStr">
        <is>
          <t>Citigroup Global Markets</t>
        </is>
      </c>
      <c r="BP1212" s="69" t="inlineStr">
        <is>
          <t>KeyBank National Association</t>
        </is>
      </c>
      <c r="BQ1212" s="69" t="inlineStr">
        <is>
          <t>K-Star Asset Management LLC</t>
        </is>
      </c>
      <c r="BR1212" s="69" t="n"/>
      <c r="BS1212" s="73" t="n">
        <v>46273</v>
      </c>
      <c r="BU1212" s="76">
        <f>IF($C1212="","",IFERROR(INDEX(dmName,MATCH($C1212,dmID,0)),"Unmapped"))</f>
        <v/>
      </c>
      <c r="BV1212" s="76">
        <f>IF($C1212="","",IFERROR(INDEX(dmEntity,MATCH($C1212,dmID,0)),"Unmapped"))</f>
        <v/>
      </c>
      <c r="BW1212" s="77">
        <f>IF($C1212="","",IFERROR(INDEX(dmVintage,MATCH($C1212,dmID,0)),""))</f>
        <v/>
      </c>
      <c r="BX1212" s="78">
        <f>IFERROR(INDEX(dmInclude,MATCH($C1212,dmID,0)),0)</f>
        <v/>
      </c>
      <c r="BY1212" s="78">
        <f>IF(N($I1212)&gt;0,1,0)</f>
        <v/>
      </c>
      <c r="BZ1212" s="76">
        <f>IF($AJ1212="","Other / Leased Fee",IFERROR(INDEX(mapPTGroup,MATCH(LEFT(TRIM($AJ1212),2),mapPTCode,0)),"Other / Leased Fee"))</f>
        <v/>
      </c>
      <c r="CA1212" s="76">
        <f>IF(TRIM($AF1212&amp;"")="","NR",LEFT(TRIM($AF1212),2))</f>
        <v/>
      </c>
      <c r="CB1212" s="76">
        <f>IFERROR(LOOKUP(2,1/(LEFT(TRIM($AI1212&amp;""),LEN(mapRegion))=mapRegion),mapRegion),"Not Reported")</f>
        <v/>
      </c>
      <c r="CC1212" s="76">
        <f>IF($BY1212=0,"",IF(TRIM($W1212&amp;"")="REO","REO",IF(TRIM($W1212&amp;"")="FC","Foreclosure",IF(TRIM($W1212&amp;"")="90+","90+ Days Delinquent",IF(TRIM($W1212&amp;"")="60","60 Days Delinquent",IF(TRIM($W1212&amp;"")="30","30 Days Delinquent",IF($X1212="Non-Performing Matured Balloon","Non-Performing Matured Balloon",IF(OR($X1212="Late Payment But Less Than 30 Days Delinquent",LEFT($X1212&amp;"",20)="Payment Not Received"),"Late / In Grace (&lt;30 Days)",IF($X1212="Performing Matured Balloon","Performing Matured Balloon","Current")))))))))</f>
        <v/>
      </c>
      <c r="CD1212" s="78">
        <f>IF(OR($CC1212="REO",$CC1212="Foreclosure",$CC1212="90+ Days Delinquent",$CC1212="60 Days Delinquent",$CC1212="30 Days Delinquent",$CC1212="Non-Performing Matured Balloon"),1,0)</f>
        <v/>
      </c>
      <c r="CE1212" s="76">
        <f>IF($AB1212="Currently special serv","Currently Specially Serviced",IF($AB1212="Returned to master serv","Previously Specially Serviced","Never Specially Serviced"))</f>
        <v/>
      </c>
      <c r="CF1212" s="78">
        <f>IF($CE1212="Currently Specially Serviced",1,0)</f>
        <v/>
      </c>
      <c r="CG1212" s="76">
        <f>IF($AA1212="Yes","Currently on Watchlist",IF($AA1212="Previously","Previously on Watchlist","Never on Watchlist"))</f>
        <v/>
      </c>
      <c r="CH1212" s="78">
        <f>IF($CG1212="Currently on Watchlist",1,0)</f>
        <v/>
      </c>
      <c r="CI1212" s="76">
        <f>IF($Z1212="Full Defeasance","Fully Defeased",IF($Z1212="Portion Of Loan Previously Defeased","Partially Defeased",IF($Z1212="Defeasance Not Allowable","Not Defeased (Not Permitted)","Not Defeased")))</f>
        <v/>
      </c>
      <c r="CJ1212" s="78">
        <f>IF($CI1212="Fully Defeased",1,0)</f>
        <v/>
      </c>
      <c r="CK1212" s="76">
        <f>IF($R1212="IO","Full IO",IF(LEFT($R1212&amp;"",7)="IO then","Partial IO","Amortizing"))</f>
        <v/>
      </c>
      <c r="CL1212" s="78">
        <f>IF($CK1212="Full IO",1,0)</f>
        <v/>
      </c>
      <c r="CM1212" s="78">
        <f>IF($CK1212="Partial IO",1,0)</f>
        <v/>
      </c>
      <c r="CN1212" s="76">
        <f>IF(LEFT($F1212&amp;"",10)="SPLIT_LOAN","Pari Passu Split","Standalone")</f>
        <v/>
      </c>
      <c r="CO1212" s="78">
        <f>IF($CN1212="Pari Passu Split",1,0)</f>
        <v/>
      </c>
      <c r="CP1212" s="77">
        <f>IF(ISNUMBER($T1212),YEAR($T1212),"")</f>
        <v/>
      </c>
      <c r="CQ1212" s="79">
        <f>IF(ISNUMBER($V1212),$V1212,IF(ISNUMBER($U1212),$U1212,""))</f>
        <v/>
      </c>
      <c r="CR1212" s="77">
        <f>IF(ISNUMBER($CQ1212),YEAR($CQ1212),"")</f>
        <v/>
      </c>
      <c r="CS1212" s="78">
        <f>IF(ISNUMBER($M1212),MAX(0,$M1212),IF(TRIM($M1212&amp;"")="matured",0,""))</f>
        <v/>
      </c>
      <c r="CT1212" s="78">
        <f>IF(AND(ISNUMBER($CS1212),N($CS1212)&lt;=mMatWindow),1,0)</f>
        <v/>
      </c>
      <c r="CU1212" s="80">
        <f>IF(ISNUMBER($J1212),$J1212/100,"")</f>
        <v/>
      </c>
      <c r="CV1212" s="81">
        <f>IF(ISNUMBER($AQ1212),$AQ1212,"")</f>
        <v/>
      </c>
      <c r="CW1212" s="81">
        <f>IF(ISNUMBER($AR1212),$AR1212,"")</f>
        <v/>
      </c>
      <c r="CX1212" s="82">
        <f>IF(ISNUMBER($AS1212),$AS1212/100,"")</f>
        <v/>
      </c>
      <c r="CY1212" s="82">
        <f>IF(ISNUMBER($AT1212),$AT1212/100,"")</f>
        <v/>
      </c>
      <c r="CZ1212" s="82">
        <f>IF(ISNUMBER($AU1212),$AU1212/100,"")</f>
        <v/>
      </c>
      <c r="DA1212" s="82">
        <f>IF(ISNUMBER($AV1212),$AV1212/100,"")</f>
        <v/>
      </c>
      <c r="DB1212" s="82">
        <f>IF(ISNUMBER($AW1212),$AW1212/100,"")</f>
        <v/>
      </c>
      <c r="DC1212" s="82">
        <f>IF(ISNUMBER($AX1212),$AX1212/100,"")</f>
        <v/>
      </c>
      <c r="DD1212" s="77">
        <f>IFERROR(VALUE(LEFT(TRIM($AO1212&amp;""),4)),"")</f>
        <v/>
      </c>
      <c r="DE1212" s="78">
        <f>IF(AND($BY1212=1,$BX1212=1,OR(fDeal="All Deals",$BU1212=fDeal),OR(fEntity="All Entities",$BV1212=fEntity),OR(fPType="All Property Types",$BZ1212=fPType),OR(fDefeased="Include",$CJ1212=0)),1,0)</f>
        <v/>
      </c>
      <c r="DF1212" s="83">
        <f>$DE1212*N($I1212)</f>
        <v/>
      </c>
      <c r="DG1212" s="78">
        <f>IF($DE1212=1,IF(COUNTIFS($F$8:$F1212,$F1212,$DE$8:$DE1212,1)=1,1,0),0)</f>
        <v/>
      </c>
      <c r="DH1212" s="83">
        <f>IF($DG1212=1,SUMIFS($DF$8:$DF$1600,$F$8:$F$1600,$F1212),0)</f>
        <v/>
      </c>
      <c r="DI1212" s="78">
        <f>IF($DG1212=1,COUNTIFS($F$8:$F$1600,$F1212,$DE$8:$DE$1600,1),0)</f>
        <v/>
      </c>
      <c r="DJ1212" s="84">
        <f>IF($DG1212=1,$DH1212+(100000-ROW())/mTieBreak,0)</f>
        <v/>
      </c>
    </row>
    <row r="1213">
      <c r="B1213" s="68" t="n">
        <v>35</v>
      </c>
      <c r="C1213" s="69" t="inlineStr">
        <is>
          <t>BCMK18B6</t>
        </is>
      </c>
      <c r="D1213" s="69" t="inlineStr">
        <is>
          <t>35.000</t>
        </is>
      </c>
      <c r="E1213" s="69" t="inlineStr">
        <is>
          <t>CVS Portfolio</t>
        </is>
      </c>
      <c r="F1213" s="69" t="inlineStr">
        <is>
          <t>LNBCMK18B6-35.000</t>
        </is>
      </c>
      <c r="G1213" s="70" t="n"/>
      <c r="H1213" s="71" t="n">
        <v>9412000</v>
      </c>
      <c r="I1213" s="71" t="n">
        <v>8517338.930004166</v>
      </c>
      <c r="J1213" s="72" t="n">
        <v>5.05</v>
      </c>
      <c r="K1213" s="69" t="inlineStr">
        <is>
          <t>Fixed rate</t>
        </is>
      </c>
      <c r="L1213" s="68" t="n">
        <v>120</v>
      </c>
      <c r="M1213" s="68" t="n">
        <v>24</v>
      </c>
      <c r="N1213" s="68" t="n">
        <v>384</v>
      </c>
      <c r="O1213" s="68" t="n">
        <v>24</v>
      </c>
      <c r="P1213" s="68" t="n">
        <v>0</v>
      </c>
      <c r="Q1213" s="68" t="n">
        <v>96</v>
      </c>
      <c r="R1213" s="69" t="inlineStr">
        <is>
          <t>IO then Amort</t>
        </is>
      </c>
      <c r="S1213" s="69" t="inlineStr">
        <is>
          <t>No</t>
        </is>
      </c>
      <c r="T1213" s="73" t="n">
        <v>43344</v>
      </c>
      <c r="U1213" s="73" t="n">
        <v>47002</v>
      </c>
      <c r="V1213" s="73" t="n"/>
      <c r="W1213" s="69" t="n"/>
      <c r="X1213" s="69" t="inlineStr">
        <is>
          <t>Current</t>
        </is>
      </c>
      <c r="Y1213" s="68" t="n"/>
      <c r="Z1213" s="69" t="inlineStr">
        <is>
          <t>No Defeasance Occurred</t>
        </is>
      </c>
      <c r="AA1213" s="69" t="inlineStr">
        <is>
          <t>Previously</t>
        </is>
      </c>
      <c r="AB1213" s="69" t="inlineStr">
        <is>
          <t>Never special serv</t>
        </is>
      </c>
      <c r="AC1213" s="73" t="n"/>
      <c r="AD1213" s="69" t="n"/>
      <c r="AE1213" s="69" t="n"/>
      <c r="AF1213" s="69" t="inlineStr">
        <is>
          <t>VA-27.289999953% TX-26.430000009% NH-25.689999987% WV-20.590000051%</t>
        </is>
      </c>
      <c r="AG1213" s="69" t="n"/>
      <c r="AH1213" s="69" t="inlineStr">
        <is>
          <t>Lynchburg, VA-27.289999953% Dallas-Fort Worth-Arlington, TX-26.430000009% Laconia, NH-25.689999987% Charleston, WV-20.590000051%</t>
        </is>
      </c>
      <c r="AI1213" s="69" t="inlineStr">
        <is>
          <t>South / Atlantic-47.880000004% South / Central West-26.430000009% Northeast / New England-25.689999987%</t>
        </is>
      </c>
      <c r="AJ1213" s="69" t="inlineStr">
        <is>
          <t>RT</t>
        </is>
      </c>
      <c r="AK1213" s="69" t="inlineStr">
        <is>
          <t>Single Tenant</t>
        </is>
      </c>
      <c r="AL1213" s="68" t="n">
        <v>4</v>
      </c>
      <c r="AM1213" s="68" t="n"/>
      <c r="AN1213" s="68" t="n">
        <v>46246</v>
      </c>
      <c r="AO1213" s="69" t="n"/>
      <c r="AP1213" s="70" t="n">
        <v>2003</v>
      </c>
      <c r="AQ1213" s="74" t="n">
        <v>1.24</v>
      </c>
      <c r="AR1213" s="74" t="n">
        <v>1.16</v>
      </c>
      <c r="AS1213" s="74" t="n">
        <v>74.5</v>
      </c>
      <c r="AT1213" s="74" t="n">
        <v>67.38</v>
      </c>
      <c r="AU1213" s="74" t="n">
        <v>64.5</v>
      </c>
      <c r="AV1213" s="74" t="n">
        <v>8.013450914</v>
      </c>
      <c r="AW1213" s="74" t="n">
        <v>8.520095137</v>
      </c>
      <c r="AX1213" s="75" t="n">
        <v>100</v>
      </c>
      <c r="AY1213" s="71" t="n">
        <v>12640000</v>
      </c>
      <c r="AZ1213" s="71" t="n">
        <v>12640000</v>
      </c>
      <c r="BA1213" s="71" t="n">
        <v>754226</v>
      </c>
      <c r="BB1213" s="71" t="n">
        <v>353696.26</v>
      </c>
      <c r="BC1213" s="69" t="inlineStr">
        <is>
          <t>Refinance</t>
        </is>
      </c>
      <c r="BD1213" s="69" t="inlineStr">
        <is>
          <t>N</t>
        </is>
      </c>
      <c r="BE1213" s="71" t="n"/>
      <c r="BF1213" s="71" t="n"/>
      <c r="BG1213" s="71" t="n"/>
      <c r="BH1213" s="71" t="n">
        <v>0</v>
      </c>
      <c r="BI1213" s="71" t="n">
        <v>0</v>
      </c>
      <c r="BJ1213" s="69" t="inlineStr">
        <is>
          <t>N</t>
        </is>
      </c>
      <c r="BK1213" s="69" t="inlineStr">
        <is>
          <t>CVS  LLC</t>
        </is>
      </c>
      <c r="BL1213" s="75" t="n">
        <v>54.69</v>
      </c>
      <c r="BM1213" s="73" t="n">
        <v>50436</v>
      </c>
      <c r="BN1213" s="69" t="inlineStr">
        <is>
          <t>Moshe Rudich</t>
        </is>
      </c>
      <c r="BO1213" s="69" t="inlineStr">
        <is>
          <t>GACC</t>
        </is>
      </c>
      <c r="BP1213" s="69" t="inlineStr">
        <is>
          <t>KeyBank National Association</t>
        </is>
      </c>
      <c r="BQ1213" s="69" t="inlineStr">
        <is>
          <t>K-Star Asset Management LLC</t>
        </is>
      </c>
      <c r="BR1213" s="69" t="n"/>
      <c r="BS1213" s="73" t="n">
        <v>46273</v>
      </c>
      <c r="BU1213" s="76">
        <f>IF($C1213="","",IFERROR(INDEX(dmName,MATCH($C1213,dmID,0)),"Unmapped"))</f>
        <v/>
      </c>
      <c r="BV1213" s="76">
        <f>IF($C1213="","",IFERROR(INDEX(dmEntity,MATCH($C1213,dmID,0)),"Unmapped"))</f>
        <v/>
      </c>
      <c r="BW1213" s="77">
        <f>IF($C1213="","",IFERROR(INDEX(dmVintage,MATCH($C1213,dmID,0)),""))</f>
        <v/>
      </c>
      <c r="BX1213" s="78">
        <f>IFERROR(INDEX(dmInclude,MATCH($C1213,dmID,0)),0)</f>
        <v/>
      </c>
      <c r="BY1213" s="78">
        <f>IF(N($I1213)&gt;0,1,0)</f>
        <v/>
      </c>
      <c r="BZ1213" s="76">
        <f>IF($AJ1213="","Other / Leased Fee",IFERROR(INDEX(mapPTGroup,MATCH(LEFT(TRIM($AJ1213),2),mapPTCode,0)),"Other / Leased Fee"))</f>
        <v/>
      </c>
      <c r="CA1213" s="76">
        <f>IF(TRIM($AF1213&amp;"")="","NR",LEFT(TRIM($AF1213),2))</f>
        <v/>
      </c>
      <c r="CB1213" s="76">
        <f>IFERROR(LOOKUP(2,1/(LEFT(TRIM($AI1213&amp;""),LEN(mapRegion))=mapRegion),mapRegion),"Not Reported")</f>
        <v/>
      </c>
      <c r="CC1213" s="76">
        <f>IF($BY1213=0,"",IF(TRIM($W1213&amp;"")="REO","REO",IF(TRIM($W1213&amp;"")="FC","Foreclosure",IF(TRIM($W1213&amp;"")="90+","90+ Days Delinquent",IF(TRIM($W1213&amp;"")="60","60 Days Delinquent",IF(TRIM($W1213&amp;"")="30","30 Days Delinquent",IF($X1213="Non-Performing Matured Balloon","Non-Performing Matured Balloon",IF(OR($X1213="Late Payment But Less Than 30 Days Delinquent",LEFT($X1213&amp;"",20)="Payment Not Received"),"Late / In Grace (&lt;30 Days)",IF($X1213="Performing Matured Balloon","Performing Matured Balloon","Current")))))))))</f>
        <v/>
      </c>
      <c r="CD1213" s="78">
        <f>IF(OR($CC1213="REO",$CC1213="Foreclosure",$CC1213="90+ Days Delinquent",$CC1213="60 Days Delinquent",$CC1213="30 Days Delinquent",$CC1213="Non-Performing Matured Balloon"),1,0)</f>
        <v/>
      </c>
      <c r="CE1213" s="76">
        <f>IF($AB1213="Currently special serv","Currently Specially Serviced",IF($AB1213="Returned to master serv","Previously Specially Serviced","Never Specially Serviced"))</f>
        <v/>
      </c>
      <c r="CF1213" s="78">
        <f>IF($CE1213="Currently Specially Serviced",1,0)</f>
        <v/>
      </c>
      <c r="CG1213" s="76">
        <f>IF($AA1213="Yes","Currently on Watchlist",IF($AA1213="Previously","Previously on Watchlist","Never on Watchlist"))</f>
        <v/>
      </c>
      <c r="CH1213" s="78">
        <f>IF($CG1213="Currently on Watchlist",1,0)</f>
        <v/>
      </c>
      <c r="CI1213" s="76">
        <f>IF($Z1213="Full Defeasance","Fully Defeased",IF($Z1213="Portion Of Loan Previously Defeased","Partially Defeased",IF($Z1213="Defeasance Not Allowable","Not Defeased (Not Permitted)","Not Defeased")))</f>
        <v/>
      </c>
      <c r="CJ1213" s="78">
        <f>IF($CI1213="Fully Defeased",1,0)</f>
        <v/>
      </c>
      <c r="CK1213" s="76">
        <f>IF($R1213="IO","Full IO",IF(LEFT($R1213&amp;"",7)="IO then","Partial IO","Amortizing"))</f>
        <v/>
      </c>
      <c r="CL1213" s="78">
        <f>IF($CK1213="Full IO",1,0)</f>
        <v/>
      </c>
      <c r="CM1213" s="78">
        <f>IF($CK1213="Partial IO",1,0)</f>
        <v/>
      </c>
      <c r="CN1213" s="76">
        <f>IF(LEFT($F1213&amp;"",10)="SPLIT_LOAN","Pari Passu Split","Standalone")</f>
        <v/>
      </c>
      <c r="CO1213" s="78">
        <f>IF($CN1213="Pari Passu Split",1,0)</f>
        <v/>
      </c>
      <c r="CP1213" s="77">
        <f>IF(ISNUMBER($T1213),YEAR($T1213),"")</f>
        <v/>
      </c>
      <c r="CQ1213" s="79">
        <f>IF(ISNUMBER($V1213),$V1213,IF(ISNUMBER($U1213),$U1213,""))</f>
        <v/>
      </c>
      <c r="CR1213" s="77">
        <f>IF(ISNUMBER($CQ1213),YEAR($CQ1213),"")</f>
        <v/>
      </c>
      <c r="CS1213" s="78">
        <f>IF(ISNUMBER($M1213),MAX(0,$M1213),IF(TRIM($M1213&amp;"")="matured",0,""))</f>
        <v/>
      </c>
      <c r="CT1213" s="78">
        <f>IF(AND(ISNUMBER($CS1213),N($CS1213)&lt;=mMatWindow),1,0)</f>
        <v/>
      </c>
      <c r="CU1213" s="80">
        <f>IF(ISNUMBER($J1213),$J1213/100,"")</f>
        <v/>
      </c>
      <c r="CV1213" s="81">
        <f>IF(ISNUMBER($AQ1213),$AQ1213,"")</f>
        <v/>
      </c>
      <c r="CW1213" s="81">
        <f>IF(ISNUMBER($AR1213),$AR1213,"")</f>
        <v/>
      </c>
      <c r="CX1213" s="82">
        <f>IF(ISNUMBER($AS1213),$AS1213/100,"")</f>
        <v/>
      </c>
      <c r="CY1213" s="82">
        <f>IF(ISNUMBER($AT1213),$AT1213/100,"")</f>
        <v/>
      </c>
      <c r="CZ1213" s="82">
        <f>IF(ISNUMBER($AU1213),$AU1213/100,"")</f>
        <v/>
      </c>
      <c r="DA1213" s="82">
        <f>IF(ISNUMBER($AV1213),$AV1213/100,"")</f>
        <v/>
      </c>
      <c r="DB1213" s="82">
        <f>IF(ISNUMBER($AW1213),$AW1213/100,"")</f>
        <v/>
      </c>
      <c r="DC1213" s="82">
        <f>IF(ISNUMBER($AX1213),$AX1213/100,"")</f>
        <v/>
      </c>
      <c r="DD1213" s="77">
        <f>IFERROR(VALUE(LEFT(TRIM($AO1213&amp;""),4)),"")</f>
        <v/>
      </c>
      <c r="DE1213" s="78">
        <f>IF(AND($BY1213=1,$BX1213=1,OR(fDeal="All Deals",$BU1213=fDeal),OR(fEntity="All Entities",$BV1213=fEntity),OR(fPType="All Property Types",$BZ1213=fPType),OR(fDefeased="Include",$CJ1213=0)),1,0)</f>
        <v/>
      </c>
      <c r="DF1213" s="83">
        <f>$DE1213*N($I1213)</f>
        <v/>
      </c>
      <c r="DG1213" s="78">
        <f>IF($DE1213=1,IF(COUNTIFS($F$8:$F1213,$F1213,$DE$8:$DE1213,1)=1,1,0),0)</f>
        <v/>
      </c>
      <c r="DH1213" s="83">
        <f>IF($DG1213=1,SUMIFS($DF$8:$DF$1600,$F$8:$F$1600,$F1213),0)</f>
        <v/>
      </c>
      <c r="DI1213" s="78">
        <f>IF($DG1213=1,COUNTIFS($F$8:$F$1600,$F1213,$DE$8:$DE$1600,1),0)</f>
        <v/>
      </c>
      <c r="DJ1213" s="84">
        <f>IF($DG1213=1,$DH1213+(100000-ROW())/mTieBreak,0)</f>
        <v/>
      </c>
    </row>
    <row r="1214">
      <c r="B1214" s="68" t="n">
        <v>36</v>
      </c>
      <c r="C1214" s="69" t="inlineStr">
        <is>
          <t>BCMK18B6</t>
        </is>
      </c>
      <c r="D1214" s="69" t="inlineStr">
        <is>
          <t>36.000</t>
        </is>
      </c>
      <c r="E1214" s="69" t="inlineStr">
        <is>
          <t>1411 6th Avenue</t>
        </is>
      </c>
      <c r="F1214" s="69" t="inlineStr">
        <is>
          <t>LNBCMK18B6-36.000</t>
        </is>
      </c>
      <c r="G1214" s="70" t="n"/>
      <c r="H1214" s="71" t="n">
        <v>9000000</v>
      </c>
      <c r="I1214" s="71" t="n">
        <v>9000000</v>
      </c>
      <c r="J1214" s="72" t="n">
        <v>4.5</v>
      </c>
      <c r="K1214" s="69" t="inlineStr">
        <is>
          <t>Fixed rate</t>
        </is>
      </c>
      <c r="L1214" s="68" t="n">
        <v>120</v>
      </c>
      <c r="M1214" s="68" t="n">
        <v>24</v>
      </c>
      <c r="N1214" s="68" t="n">
        <v>120</v>
      </c>
      <c r="O1214" s="68" t="n">
        <v>120</v>
      </c>
      <c r="P1214" s="68" t="n">
        <v>24</v>
      </c>
      <c r="Q1214" s="68" t="n">
        <v>96</v>
      </c>
      <c r="R1214" s="69" t="inlineStr">
        <is>
          <t>IO</t>
        </is>
      </c>
      <c r="S1214" s="69" t="inlineStr">
        <is>
          <t>Yes</t>
        </is>
      </c>
      <c r="T1214" s="73" t="n">
        <v>43344</v>
      </c>
      <c r="U1214" s="73" t="n">
        <v>47002</v>
      </c>
      <c r="V1214" s="73" t="n"/>
      <c r="W1214" s="69" t="n"/>
      <c r="X1214" s="69" t="inlineStr">
        <is>
          <t>Current</t>
        </is>
      </c>
      <c r="Y1214" s="68" t="n"/>
      <c r="Z1214" s="69" t="inlineStr">
        <is>
          <t>No Defeasance Occurred</t>
        </is>
      </c>
      <c r="AA1214" s="69" t="inlineStr">
        <is>
          <t>Previously</t>
        </is>
      </c>
      <c r="AB1214" s="69" t="inlineStr">
        <is>
          <t>Never special serv</t>
        </is>
      </c>
      <c r="AC1214" s="73" t="n"/>
      <c r="AD1214" s="69" t="n"/>
      <c r="AE1214" s="69" t="n"/>
      <c r="AF1214" s="69" t="inlineStr">
        <is>
          <t>NY</t>
        </is>
      </c>
      <c r="AG1214" s="69" t="inlineStr">
        <is>
          <t>New York</t>
        </is>
      </c>
      <c r="AH1214" s="69" t="inlineStr">
        <is>
          <t>New York-Newark-Jersey City, NY-NJ</t>
        </is>
      </c>
      <c r="AI1214" s="69" t="inlineStr">
        <is>
          <t>Northeast / Mid-Atlantic</t>
        </is>
      </c>
      <c r="AJ1214" s="69" t="inlineStr">
        <is>
          <t>RT</t>
        </is>
      </c>
      <c r="AK1214" s="69" t="inlineStr">
        <is>
          <t>Unanchored</t>
        </is>
      </c>
      <c r="AL1214" s="68" t="n">
        <v>1</v>
      </c>
      <c r="AM1214" s="68" t="n"/>
      <c r="AN1214" s="68" t="n">
        <v>11037</v>
      </c>
      <c r="AO1214" s="69" t="inlineStr">
        <is>
          <t>1926</t>
        </is>
      </c>
      <c r="AP1214" s="70" t="n">
        <v>2008</v>
      </c>
      <c r="AQ1214" s="74" t="n">
        <v>2.2</v>
      </c>
      <c r="AR1214" s="74" t="n">
        <v>2.4</v>
      </c>
      <c r="AS1214" s="74" t="n">
        <v>39.1</v>
      </c>
      <c r="AT1214" s="74" t="n">
        <v>39.13</v>
      </c>
      <c r="AU1214" s="74" t="n">
        <v>39.13</v>
      </c>
      <c r="AV1214" s="74" t="n">
        <v>10.032038333</v>
      </c>
      <c r="AW1214" s="74" t="n">
        <v>12.318074222</v>
      </c>
      <c r="AX1214" s="75" t="n">
        <v>100</v>
      </c>
      <c r="AY1214" s="71" t="n">
        <v>23000000</v>
      </c>
      <c r="AZ1214" s="71" t="n">
        <v>23000000</v>
      </c>
      <c r="BA1214" s="71" t="n">
        <v>902883.45</v>
      </c>
      <c r="BB1214" s="71" t="n">
        <v>492284.41</v>
      </c>
      <c r="BC1214" s="69" t="inlineStr">
        <is>
          <t>Refinance</t>
        </is>
      </c>
      <c r="BD1214" s="69" t="inlineStr">
        <is>
          <t>N</t>
        </is>
      </c>
      <c r="BE1214" s="71" t="n"/>
      <c r="BF1214" s="71" t="n"/>
      <c r="BG1214" s="71" t="n"/>
      <c r="BH1214" s="71" t="n">
        <v>0</v>
      </c>
      <c r="BI1214" s="71" t="n">
        <v>0</v>
      </c>
      <c r="BJ1214" s="69" t="inlineStr">
        <is>
          <t>N</t>
        </is>
      </c>
      <c r="BK1214" s="69" t="inlineStr">
        <is>
          <t>1411-6 Fruit &amp; Vegetable Corp.</t>
        </is>
      </c>
      <c r="BL1214" s="75" t="n">
        <v>55.39</v>
      </c>
      <c r="BM1214" s="73" t="n">
        <v>46752</v>
      </c>
      <c r="BN1214" s="69" t="inlineStr">
        <is>
          <t>Juda Chetrit</t>
        </is>
      </c>
      <c r="BO1214" s="69" t="inlineStr">
        <is>
          <t>Citigroup Global Markets</t>
        </is>
      </c>
      <c r="BP1214" s="69" t="inlineStr">
        <is>
          <t>KeyBank National Association</t>
        </is>
      </c>
      <c r="BQ1214" s="69" t="inlineStr">
        <is>
          <t>K-Star Asset Management LLC</t>
        </is>
      </c>
      <c r="BR1214" s="69" t="n"/>
      <c r="BS1214" s="73" t="n">
        <v>46273</v>
      </c>
      <c r="BU1214" s="76">
        <f>IF($C1214="","",IFERROR(INDEX(dmName,MATCH($C1214,dmID,0)),"Unmapped"))</f>
        <v/>
      </c>
      <c r="BV1214" s="76">
        <f>IF($C1214="","",IFERROR(INDEX(dmEntity,MATCH($C1214,dmID,0)),"Unmapped"))</f>
        <v/>
      </c>
      <c r="BW1214" s="77">
        <f>IF($C1214="","",IFERROR(INDEX(dmVintage,MATCH($C1214,dmID,0)),""))</f>
        <v/>
      </c>
      <c r="BX1214" s="78">
        <f>IFERROR(INDEX(dmInclude,MATCH($C1214,dmID,0)),0)</f>
        <v/>
      </c>
      <c r="BY1214" s="78">
        <f>IF(N($I1214)&gt;0,1,0)</f>
        <v/>
      </c>
      <c r="BZ1214" s="76">
        <f>IF($AJ1214="","Other / Leased Fee",IFERROR(INDEX(mapPTGroup,MATCH(LEFT(TRIM($AJ1214),2),mapPTCode,0)),"Other / Leased Fee"))</f>
        <v/>
      </c>
      <c r="CA1214" s="76">
        <f>IF(TRIM($AF1214&amp;"")="","NR",LEFT(TRIM($AF1214),2))</f>
        <v/>
      </c>
      <c r="CB1214" s="76">
        <f>IFERROR(LOOKUP(2,1/(LEFT(TRIM($AI1214&amp;""),LEN(mapRegion))=mapRegion),mapRegion),"Not Reported")</f>
        <v/>
      </c>
      <c r="CC1214" s="76">
        <f>IF($BY1214=0,"",IF(TRIM($W1214&amp;"")="REO","REO",IF(TRIM($W1214&amp;"")="FC","Foreclosure",IF(TRIM($W1214&amp;"")="90+","90+ Days Delinquent",IF(TRIM($W1214&amp;"")="60","60 Days Delinquent",IF(TRIM($W1214&amp;"")="30","30 Days Delinquent",IF($X1214="Non-Performing Matured Balloon","Non-Performing Matured Balloon",IF(OR($X1214="Late Payment But Less Than 30 Days Delinquent",LEFT($X1214&amp;"",20)="Payment Not Received"),"Late / In Grace (&lt;30 Days)",IF($X1214="Performing Matured Balloon","Performing Matured Balloon","Current")))))))))</f>
        <v/>
      </c>
      <c r="CD1214" s="78">
        <f>IF(OR($CC1214="REO",$CC1214="Foreclosure",$CC1214="90+ Days Delinquent",$CC1214="60 Days Delinquent",$CC1214="30 Days Delinquent",$CC1214="Non-Performing Matured Balloon"),1,0)</f>
        <v/>
      </c>
      <c r="CE1214" s="76">
        <f>IF($AB1214="Currently special serv","Currently Specially Serviced",IF($AB1214="Returned to master serv","Previously Specially Serviced","Never Specially Serviced"))</f>
        <v/>
      </c>
      <c r="CF1214" s="78">
        <f>IF($CE1214="Currently Specially Serviced",1,0)</f>
        <v/>
      </c>
      <c r="CG1214" s="76">
        <f>IF($AA1214="Yes","Currently on Watchlist",IF($AA1214="Previously","Previously on Watchlist","Never on Watchlist"))</f>
        <v/>
      </c>
      <c r="CH1214" s="78">
        <f>IF($CG1214="Currently on Watchlist",1,0)</f>
        <v/>
      </c>
      <c r="CI1214" s="76">
        <f>IF($Z1214="Full Defeasance","Fully Defeased",IF($Z1214="Portion Of Loan Previously Defeased","Partially Defeased",IF($Z1214="Defeasance Not Allowable","Not Defeased (Not Permitted)","Not Defeased")))</f>
        <v/>
      </c>
      <c r="CJ1214" s="78">
        <f>IF($CI1214="Fully Defeased",1,0)</f>
        <v/>
      </c>
      <c r="CK1214" s="76">
        <f>IF($R1214="IO","Full IO",IF(LEFT($R1214&amp;"",7)="IO then","Partial IO","Amortizing"))</f>
        <v/>
      </c>
      <c r="CL1214" s="78">
        <f>IF($CK1214="Full IO",1,0)</f>
        <v/>
      </c>
      <c r="CM1214" s="78">
        <f>IF($CK1214="Partial IO",1,0)</f>
        <v/>
      </c>
      <c r="CN1214" s="76">
        <f>IF(LEFT($F1214&amp;"",10)="SPLIT_LOAN","Pari Passu Split","Standalone")</f>
        <v/>
      </c>
      <c r="CO1214" s="78">
        <f>IF($CN1214="Pari Passu Split",1,0)</f>
        <v/>
      </c>
      <c r="CP1214" s="77">
        <f>IF(ISNUMBER($T1214),YEAR($T1214),"")</f>
        <v/>
      </c>
      <c r="CQ1214" s="79">
        <f>IF(ISNUMBER($V1214),$V1214,IF(ISNUMBER($U1214),$U1214,""))</f>
        <v/>
      </c>
      <c r="CR1214" s="77">
        <f>IF(ISNUMBER($CQ1214),YEAR($CQ1214),"")</f>
        <v/>
      </c>
      <c r="CS1214" s="78">
        <f>IF(ISNUMBER($M1214),MAX(0,$M1214),IF(TRIM($M1214&amp;"")="matured",0,""))</f>
        <v/>
      </c>
      <c r="CT1214" s="78">
        <f>IF(AND(ISNUMBER($CS1214),N($CS1214)&lt;=mMatWindow),1,0)</f>
        <v/>
      </c>
      <c r="CU1214" s="80">
        <f>IF(ISNUMBER($J1214),$J1214/100,"")</f>
        <v/>
      </c>
      <c r="CV1214" s="81">
        <f>IF(ISNUMBER($AQ1214),$AQ1214,"")</f>
        <v/>
      </c>
      <c r="CW1214" s="81">
        <f>IF(ISNUMBER($AR1214),$AR1214,"")</f>
        <v/>
      </c>
      <c r="CX1214" s="82">
        <f>IF(ISNUMBER($AS1214),$AS1214/100,"")</f>
        <v/>
      </c>
      <c r="CY1214" s="82">
        <f>IF(ISNUMBER($AT1214),$AT1214/100,"")</f>
        <v/>
      </c>
      <c r="CZ1214" s="82">
        <f>IF(ISNUMBER($AU1214),$AU1214/100,"")</f>
        <v/>
      </c>
      <c r="DA1214" s="82">
        <f>IF(ISNUMBER($AV1214),$AV1214/100,"")</f>
        <v/>
      </c>
      <c r="DB1214" s="82">
        <f>IF(ISNUMBER($AW1214),$AW1214/100,"")</f>
        <v/>
      </c>
      <c r="DC1214" s="82">
        <f>IF(ISNUMBER($AX1214),$AX1214/100,"")</f>
        <v/>
      </c>
      <c r="DD1214" s="77">
        <f>IFERROR(VALUE(LEFT(TRIM($AO1214&amp;""),4)),"")</f>
        <v/>
      </c>
      <c r="DE1214" s="78">
        <f>IF(AND($BY1214=1,$BX1214=1,OR(fDeal="All Deals",$BU1214=fDeal),OR(fEntity="All Entities",$BV1214=fEntity),OR(fPType="All Property Types",$BZ1214=fPType),OR(fDefeased="Include",$CJ1214=0)),1,0)</f>
        <v/>
      </c>
      <c r="DF1214" s="83">
        <f>$DE1214*N($I1214)</f>
        <v/>
      </c>
      <c r="DG1214" s="78">
        <f>IF($DE1214=1,IF(COUNTIFS($F$8:$F1214,$F1214,$DE$8:$DE1214,1)=1,1,0),0)</f>
        <v/>
      </c>
      <c r="DH1214" s="83">
        <f>IF($DG1214=1,SUMIFS($DF$8:$DF$1600,$F$8:$F$1600,$F1214),0)</f>
        <v/>
      </c>
      <c r="DI1214" s="78">
        <f>IF($DG1214=1,COUNTIFS($F$8:$F$1600,$F1214,$DE$8:$DE$1600,1),0)</f>
        <v/>
      </c>
      <c r="DJ1214" s="84">
        <f>IF($DG1214=1,$DH1214+(100000-ROW())/mTieBreak,0)</f>
        <v/>
      </c>
    </row>
    <row r="1215">
      <c r="B1215" s="68" t="n">
        <v>37</v>
      </c>
      <c r="C1215" s="69" t="inlineStr">
        <is>
          <t>BCMK18B6</t>
        </is>
      </c>
      <c r="D1215" s="69" t="inlineStr">
        <is>
          <t>37.000</t>
        </is>
      </c>
      <c r="E1215" s="69" t="inlineStr">
        <is>
          <t>Best Storage - Midtown</t>
        </is>
      </c>
      <c r="F1215" s="69" t="inlineStr">
        <is>
          <t>LNBCMK18B6-37.000</t>
        </is>
      </c>
      <c r="G1215" s="70" t="n"/>
      <c r="H1215" s="71" t="n">
        <v>9000000</v>
      </c>
      <c r="I1215" s="71" t="n">
        <v>9000000</v>
      </c>
      <c r="J1215" s="72" t="n">
        <v>4.56</v>
      </c>
      <c r="K1215" s="69" t="inlineStr">
        <is>
          <t>Fixed rate</t>
        </is>
      </c>
      <c r="L1215" s="68" t="n">
        <v>120</v>
      </c>
      <c r="M1215" s="68" t="n">
        <v>24</v>
      </c>
      <c r="N1215" s="68" t="n">
        <v>120</v>
      </c>
      <c r="O1215" s="68" t="n">
        <v>120</v>
      </c>
      <c r="P1215" s="68" t="n">
        <v>24</v>
      </c>
      <c r="Q1215" s="68" t="n">
        <v>96</v>
      </c>
      <c r="R1215" s="69" t="inlineStr">
        <is>
          <t>IO</t>
        </is>
      </c>
      <c r="S1215" s="69" t="inlineStr">
        <is>
          <t>Yes</t>
        </is>
      </c>
      <c r="T1215" s="73" t="n">
        <v>43344</v>
      </c>
      <c r="U1215" s="73" t="n">
        <v>47002</v>
      </c>
      <c r="V1215" s="73" t="n"/>
      <c r="W1215" s="69" t="n"/>
      <c r="X1215" s="69" t="inlineStr">
        <is>
          <t>Current</t>
        </is>
      </c>
      <c r="Y1215" s="68" t="n"/>
      <c r="Z1215" s="69" t="inlineStr">
        <is>
          <t>No Defeasance Occurred</t>
        </is>
      </c>
      <c r="AA1215" s="69" t="n"/>
      <c r="AB1215" s="69" t="inlineStr">
        <is>
          <t>Never special serv</t>
        </is>
      </c>
      <c r="AC1215" s="73" t="n"/>
      <c r="AD1215" s="69" t="n"/>
      <c r="AE1215" s="69" t="n"/>
      <c r="AF1215" s="69" t="inlineStr">
        <is>
          <t>AK</t>
        </is>
      </c>
      <c r="AG1215" s="69" t="inlineStr">
        <is>
          <t>Anchorage</t>
        </is>
      </c>
      <c r="AH1215" s="69" t="inlineStr">
        <is>
          <t>Anchorage, AK</t>
        </is>
      </c>
      <c r="AI1215" s="69" t="inlineStr">
        <is>
          <t>West / Pacific North</t>
        </is>
      </c>
      <c r="AJ1215" s="69" t="inlineStr">
        <is>
          <t>SS</t>
        </is>
      </c>
      <c r="AK1215" s="69" t="n"/>
      <c r="AL1215" s="68" t="n">
        <v>1</v>
      </c>
      <c r="AM1215" s="68" t="n"/>
      <c r="AN1215" s="68" t="n">
        <v>114176</v>
      </c>
      <c r="AO1215" s="69" t="inlineStr">
        <is>
          <t>1987</t>
        </is>
      </c>
      <c r="AP1215" s="70" t="n">
        <v>2017</v>
      </c>
      <c r="AQ1215" s="74" t="n">
        <v>2.57</v>
      </c>
      <c r="AR1215" s="74" t="n">
        <v>2.03</v>
      </c>
      <c r="AS1215" s="74" t="n">
        <v>51.6</v>
      </c>
      <c r="AT1215" s="74" t="n">
        <v>51.64</v>
      </c>
      <c r="AU1215" s="74" t="n">
        <v>51.64</v>
      </c>
      <c r="AV1215" s="74" t="n">
        <v>11.864711111</v>
      </c>
      <c r="AW1215" s="74" t="n">
        <v>9.659465333</v>
      </c>
      <c r="AX1215" s="75" t="n">
        <v>100</v>
      </c>
      <c r="AY1215" s="71" t="n">
        <v>17430000</v>
      </c>
      <c r="AZ1215" s="71" t="n">
        <v>17430000</v>
      </c>
      <c r="BA1215" s="71" t="n">
        <v>1067824</v>
      </c>
      <c r="BB1215" s="71" t="n">
        <v>845482.8100000001</v>
      </c>
      <c r="BC1215" s="69" t="inlineStr">
        <is>
          <t>Refinance</t>
        </is>
      </c>
      <c r="BD1215" s="69" t="inlineStr">
        <is>
          <t>N</t>
        </is>
      </c>
      <c r="BE1215" s="71" t="n"/>
      <c r="BF1215" s="71" t="n"/>
      <c r="BG1215" s="71" t="n"/>
      <c r="BH1215" s="71" t="n">
        <v>0</v>
      </c>
      <c r="BI1215" s="71" t="n">
        <v>0</v>
      </c>
      <c r="BJ1215" s="69" t="inlineStr">
        <is>
          <t>N</t>
        </is>
      </c>
      <c r="BK1215" s="69" t="n"/>
      <c r="BL1215" s="75" t="n"/>
      <c r="BM1215" s="73" t="n"/>
      <c r="BN1215" s="69" t="inlineStr">
        <is>
          <t>Arthur Lloyd Davidson, Jr.</t>
        </is>
      </c>
      <c r="BO1215" s="69" t="inlineStr">
        <is>
          <t>Citigroup Global Markets</t>
        </is>
      </c>
      <c r="BP1215" s="69" t="inlineStr">
        <is>
          <t>KeyBank National Association</t>
        </is>
      </c>
      <c r="BQ1215" s="69" t="inlineStr">
        <is>
          <t>K-Star Asset Management LLC</t>
        </is>
      </c>
      <c r="BR1215" s="69" t="n"/>
      <c r="BS1215" s="73" t="n">
        <v>46273</v>
      </c>
      <c r="BU1215" s="76">
        <f>IF($C1215="","",IFERROR(INDEX(dmName,MATCH($C1215,dmID,0)),"Unmapped"))</f>
        <v/>
      </c>
      <c r="BV1215" s="76">
        <f>IF($C1215="","",IFERROR(INDEX(dmEntity,MATCH($C1215,dmID,0)),"Unmapped"))</f>
        <v/>
      </c>
      <c r="BW1215" s="77">
        <f>IF($C1215="","",IFERROR(INDEX(dmVintage,MATCH($C1215,dmID,0)),""))</f>
        <v/>
      </c>
      <c r="BX1215" s="78">
        <f>IFERROR(INDEX(dmInclude,MATCH($C1215,dmID,0)),0)</f>
        <v/>
      </c>
      <c r="BY1215" s="78">
        <f>IF(N($I1215)&gt;0,1,0)</f>
        <v/>
      </c>
      <c r="BZ1215" s="76">
        <f>IF($AJ1215="","Other / Leased Fee",IFERROR(INDEX(mapPTGroup,MATCH(LEFT(TRIM($AJ1215),2),mapPTCode,0)),"Other / Leased Fee"))</f>
        <v/>
      </c>
      <c r="CA1215" s="76">
        <f>IF(TRIM($AF1215&amp;"")="","NR",LEFT(TRIM($AF1215),2))</f>
        <v/>
      </c>
      <c r="CB1215" s="76">
        <f>IFERROR(LOOKUP(2,1/(LEFT(TRIM($AI1215&amp;""),LEN(mapRegion))=mapRegion),mapRegion),"Not Reported")</f>
        <v/>
      </c>
      <c r="CC1215" s="76">
        <f>IF($BY1215=0,"",IF(TRIM($W1215&amp;"")="REO","REO",IF(TRIM($W1215&amp;"")="FC","Foreclosure",IF(TRIM($W1215&amp;"")="90+","90+ Days Delinquent",IF(TRIM($W1215&amp;"")="60","60 Days Delinquent",IF(TRIM($W1215&amp;"")="30","30 Days Delinquent",IF($X1215="Non-Performing Matured Balloon","Non-Performing Matured Balloon",IF(OR($X1215="Late Payment But Less Than 30 Days Delinquent",LEFT($X1215&amp;"",20)="Payment Not Received"),"Late / In Grace (&lt;30 Days)",IF($X1215="Performing Matured Balloon","Performing Matured Balloon","Current")))))))))</f>
        <v/>
      </c>
      <c r="CD1215" s="78">
        <f>IF(OR($CC1215="REO",$CC1215="Foreclosure",$CC1215="90+ Days Delinquent",$CC1215="60 Days Delinquent",$CC1215="30 Days Delinquent",$CC1215="Non-Performing Matured Balloon"),1,0)</f>
        <v/>
      </c>
      <c r="CE1215" s="76">
        <f>IF($AB1215="Currently special serv","Currently Specially Serviced",IF($AB1215="Returned to master serv","Previously Specially Serviced","Never Specially Serviced"))</f>
        <v/>
      </c>
      <c r="CF1215" s="78">
        <f>IF($CE1215="Currently Specially Serviced",1,0)</f>
        <v/>
      </c>
      <c r="CG1215" s="76">
        <f>IF($AA1215="Yes","Currently on Watchlist",IF($AA1215="Previously","Previously on Watchlist","Never on Watchlist"))</f>
        <v/>
      </c>
      <c r="CH1215" s="78">
        <f>IF($CG1215="Currently on Watchlist",1,0)</f>
        <v/>
      </c>
      <c r="CI1215" s="76">
        <f>IF($Z1215="Full Defeasance","Fully Defeased",IF($Z1215="Portion Of Loan Previously Defeased","Partially Defeased",IF($Z1215="Defeasance Not Allowable","Not Defeased (Not Permitted)","Not Defeased")))</f>
        <v/>
      </c>
      <c r="CJ1215" s="78">
        <f>IF($CI1215="Fully Defeased",1,0)</f>
        <v/>
      </c>
      <c r="CK1215" s="76">
        <f>IF($R1215="IO","Full IO",IF(LEFT($R1215&amp;"",7)="IO then","Partial IO","Amortizing"))</f>
        <v/>
      </c>
      <c r="CL1215" s="78">
        <f>IF($CK1215="Full IO",1,0)</f>
        <v/>
      </c>
      <c r="CM1215" s="78">
        <f>IF($CK1215="Partial IO",1,0)</f>
        <v/>
      </c>
      <c r="CN1215" s="76">
        <f>IF(LEFT($F1215&amp;"",10)="SPLIT_LOAN","Pari Passu Split","Standalone")</f>
        <v/>
      </c>
      <c r="CO1215" s="78">
        <f>IF($CN1215="Pari Passu Split",1,0)</f>
        <v/>
      </c>
      <c r="CP1215" s="77">
        <f>IF(ISNUMBER($T1215),YEAR($T1215),"")</f>
        <v/>
      </c>
      <c r="CQ1215" s="79">
        <f>IF(ISNUMBER($V1215),$V1215,IF(ISNUMBER($U1215),$U1215,""))</f>
        <v/>
      </c>
      <c r="CR1215" s="77">
        <f>IF(ISNUMBER($CQ1215),YEAR($CQ1215),"")</f>
        <v/>
      </c>
      <c r="CS1215" s="78">
        <f>IF(ISNUMBER($M1215),MAX(0,$M1215),IF(TRIM($M1215&amp;"")="matured",0,""))</f>
        <v/>
      </c>
      <c r="CT1215" s="78">
        <f>IF(AND(ISNUMBER($CS1215),N($CS1215)&lt;=mMatWindow),1,0)</f>
        <v/>
      </c>
      <c r="CU1215" s="80">
        <f>IF(ISNUMBER($J1215),$J1215/100,"")</f>
        <v/>
      </c>
      <c r="CV1215" s="81">
        <f>IF(ISNUMBER($AQ1215),$AQ1215,"")</f>
        <v/>
      </c>
      <c r="CW1215" s="81">
        <f>IF(ISNUMBER($AR1215),$AR1215,"")</f>
        <v/>
      </c>
      <c r="CX1215" s="82">
        <f>IF(ISNUMBER($AS1215),$AS1215/100,"")</f>
        <v/>
      </c>
      <c r="CY1215" s="82">
        <f>IF(ISNUMBER($AT1215),$AT1215/100,"")</f>
        <v/>
      </c>
      <c r="CZ1215" s="82">
        <f>IF(ISNUMBER($AU1215),$AU1215/100,"")</f>
        <v/>
      </c>
      <c r="DA1215" s="82">
        <f>IF(ISNUMBER($AV1215),$AV1215/100,"")</f>
        <v/>
      </c>
      <c r="DB1215" s="82">
        <f>IF(ISNUMBER($AW1215),$AW1215/100,"")</f>
        <v/>
      </c>
      <c r="DC1215" s="82">
        <f>IF(ISNUMBER($AX1215),$AX1215/100,"")</f>
        <v/>
      </c>
      <c r="DD1215" s="77">
        <f>IFERROR(VALUE(LEFT(TRIM($AO1215&amp;""),4)),"")</f>
        <v/>
      </c>
      <c r="DE1215" s="78">
        <f>IF(AND($BY1215=1,$BX1215=1,OR(fDeal="All Deals",$BU1215=fDeal),OR(fEntity="All Entities",$BV1215=fEntity),OR(fPType="All Property Types",$BZ1215=fPType),OR(fDefeased="Include",$CJ1215=0)),1,0)</f>
        <v/>
      </c>
      <c r="DF1215" s="83">
        <f>$DE1215*N($I1215)</f>
        <v/>
      </c>
      <c r="DG1215" s="78">
        <f>IF($DE1215=1,IF(COUNTIFS($F$8:$F1215,$F1215,$DE$8:$DE1215,1)=1,1,0),0)</f>
        <v/>
      </c>
      <c r="DH1215" s="83">
        <f>IF($DG1215=1,SUMIFS($DF$8:$DF$1600,$F$8:$F$1600,$F1215),0)</f>
        <v/>
      </c>
      <c r="DI1215" s="78">
        <f>IF($DG1215=1,COUNTIFS($F$8:$F$1600,$F1215,$DE$8:$DE$1600,1),0)</f>
        <v/>
      </c>
      <c r="DJ1215" s="84">
        <f>IF($DG1215=1,$DH1215+(100000-ROW())/mTieBreak,0)</f>
        <v/>
      </c>
    </row>
    <row r="1216">
      <c r="B1216" s="68" t="n">
        <v>38</v>
      </c>
      <c r="C1216" s="69" t="inlineStr">
        <is>
          <t>BCMK18B6</t>
        </is>
      </c>
      <c r="D1216" s="69" t="inlineStr">
        <is>
          <t>38.000</t>
        </is>
      </c>
      <c r="E1216" s="69" t="inlineStr">
        <is>
          <t>Parker Square Apartments</t>
        </is>
      </c>
      <c r="F1216" s="69" t="inlineStr">
        <is>
          <t>LNBCMK18B6-38.000</t>
        </is>
      </c>
      <c r="G1216" s="70" t="n"/>
      <c r="H1216" s="71" t="n">
        <v>8650000</v>
      </c>
      <c r="I1216" s="71" t="n">
        <v>7486787.040001751</v>
      </c>
      <c r="J1216" s="72" t="n">
        <v>5.085</v>
      </c>
      <c r="K1216" s="69" t="inlineStr">
        <is>
          <t>Fixed rate</t>
        </is>
      </c>
      <c r="L1216" s="68" t="n">
        <v>120</v>
      </c>
      <c r="M1216" s="68" t="n">
        <v>23</v>
      </c>
      <c r="N1216" s="68" t="n">
        <v>360</v>
      </c>
      <c r="O1216" s="68" t="n"/>
      <c r="P1216" s="68" t="n"/>
      <c r="Q1216" s="68" t="n">
        <v>97</v>
      </c>
      <c r="R1216" s="69" t="n"/>
      <c r="S1216" s="69" t="inlineStr">
        <is>
          <t>No</t>
        </is>
      </c>
      <c r="T1216" s="73" t="n">
        <v>43313</v>
      </c>
      <c r="U1216" s="73" t="n">
        <v>46971</v>
      </c>
      <c r="V1216" s="73" t="n"/>
      <c r="W1216" s="69" t="inlineStr">
        <is>
          <t>90+</t>
        </is>
      </c>
      <c r="X1216" s="69" t="inlineStr">
        <is>
          <t>121+ Days Delinquent</t>
        </is>
      </c>
      <c r="Y1216" s="68" t="n">
        <v>6</v>
      </c>
      <c r="Z1216" s="69" t="inlineStr">
        <is>
          <t>No Defeasance Occurred</t>
        </is>
      </c>
      <c r="AA1216" s="69" t="inlineStr">
        <is>
          <t>Previously</t>
        </is>
      </c>
      <c r="AB1216" s="69" t="inlineStr">
        <is>
          <t>Currently special serv</t>
        </is>
      </c>
      <c r="AC1216" s="73" t="n">
        <v>46141</v>
      </c>
      <c r="AD1216" s="69" t="inlineStr">
        <is>
          <t>Imminent Non Monetary Default</t>
        </is>
      </c>
      <c r="AE1216" s="69" t="inlineStr">
        <is>
          <t>Foreclosure</t>
        </is>
      </c>
      <c r="AF1216" s="69" t="inlineStr">
        <is>
          <t>TX</t>
        </is>
      </c>
      <c r="AG1216" s="69" t="inlineStr">
        <is>
          <t>Houston</t>
        </is>
      </c>
      <c r="AH1216" s="69" t="inlineStr">
        <is>
          <t>Houston-Pasadena-The Woodlands, TX</t>
        </is>
      </c>
      <c r="AI1216" s="69" t="inlineStr">
        <is>
          <t>South / Central West</t>
        </is>
      </c>
      <c r="AJ1216" s="69" t="inlineStr">
        <is>
          <t>MF</t>
        </is>
      </c>
      <c r="AK1216" s="69" t="inlineStr">
        <is>
          <t>Garden</t>
        </is>
      </c>
      <c r="AL1216" s="68" t="n">
        <v>1</v>
      </c>
      <c r="AM1216" s="68" t="n">
        <v>176</v>
      </c>
      <c r="AN1216" s="68" t="n"/>
      <c r="AO1216" s="69" t="inlineStr">
        <is>
          <t>1974</t>
        </is>
      </c>
      <c r="AP1216" s="70" t="n">
        <v>2012</v>
      </c>
      <c r="AQ1216" s="74" t="n">
        <v>1.44</v>
      </c>
      <c r="AR1216" s="74" t="n">
        <v>0.91</v>
      </c>
      <c r="AS1216" s="74" t="n">
        <v>72.8</v>
      </c>
      <c r="AT1216" s="74" t="n">
        <v>63.18</v>
      </c>
      <c r="AU1216" s="74" t="n">
        <v>60.2</v>
      </c>
      <c r="AV1216" s="74" t="n">
        <v>9.371526012</v>
      </c>
      <c r="AW1216" s="74" t="n">
        <v>0.180926076</v>
      </c>
      <c r="AX1216" s="75" t="n">
        <v>94</v>
      </c>
      <c r="AY1216" s="71" t="n">
        <v>11850000</v>
      </c>
      <c r="AZ1216" s="71" t="n">
        <v>11850000</v>
      </c>
      <c r="BA1216" s="71" t="n">
        <v>810637</v>
      </c>
      <c r="BB1216" s="71" t="n">
        <v>512801.89</v>
      </c>
      <c r="BC1216" s="69" t="inlineStr">
        <is>
          <t>Refinance</t>
        </is>
      </c>
      <c r="BD1216" s="69" t="inlineStr">
        <is>
          <t>N</t>
        </is>
      </c>
      <c r="BE1216" s="71" t="n"/>
      <c r="BF1216" s="71" t="n"/>
      <c r="BG1216" s="71" t="n"/>
      <c r="BH1216" s="71" t="n">
        <v>0</v>
      </c>
      <c r="BI1216" s="71" t="n">
        <v>328087.15</v>
      </c>
      <c r="BJ1216" s="69" t="inlineStr">
        <is>
          <t>N</t>
        </is>
      </c>
      <c r="BK1216" s="69" t="n"/>
      <c r="BL1216" s="75" t="n"/>
      <c r="BM1216" s="73" t="n"/>
      <c r="BN1216" s="69" t="inlineStr">
        <is>
          <t>Charles E. Goldsmith, Bernita M. Goldsmith and Javon L. Walker</t>
        </is>
      </c>
      <c r="BO1216" s="69" t="inlineStr">
        <is>
          <t>GACC</t>
        </is>
      </c>
      <c r="BP1216" s="69" t="inlineStr">
        <is>
          <t>KeyBank National Association</t>
        </is>
      </c>
      <c r="BQ1216" s="69" t="inlineStr">
        <is>
          <t>K-Star Asset Management LLC</t>
        </is>
      </c>
      <c r="BR1216" s="69" t="n"/>
      <c r="BS1216" s="73" t="n">
        <v>46273</v>
      </c>
      <c r="BU1216" s="76">
        <f>IF($C1216="","",IFERROR(INDEX(dmName,MATCH($C1216,dmID,0)),"Unmapped"))</f>
        <v/>
      </c>
      <c r="BV1216" s="76">
        <f>IF($C1216="","",IFERROR(INDEX(dmEntity,MATCH($C1216,dmID,0)),"Unmapped"))</f>
        <v/>
      </c>
      <c r="BW1216" s="77">
        <f>IF($C1216="","",IFERROR(INDEX(dmVintage,MATCH($C1216,dmID,0)),""))</f>
        <v/>
      </c>
      <c r="BX1216" s="78">
        <f>IFERROR(INDEX(dmInclude,MATCH($C1216,dmID,0)),0)</f>
        <v/>
      </c>
      <c r="BY1216" s="78">
        <f>IF(N($I1216)&gt;0,1,0)</f>
        <v/>
      </c>
      <c r="BZ1216" s="76">
        <f>IF($AJ1216="","Other / Leased Fee",IFERROR(INDEX(mapPTGroup,MATCH(LEFT(TRIM($AJ1216),2),mapPTCode,0)),"Other / Leased Fee"))</f>
        <v/>
      </c>
      <c r="CA1216" s="76">
        <f>IF(TRIM($AF1216&amp;"")="","NR",LEFT(TRIM($AF1216),2))</f>
        <v/>
      </c>
      <c r="CB1216" s="76">
        <f>IFERROR(LOOKUP(2,1/(LEFT(TRIM($AI1216&amp;""),LEN(mapRegion))=mapRegion),mapRegion),"Not Reported")</f>
        <v/>
      </c>
      <c r="CC1216" s="76">
        <f>IF($BY1216=0,"",IF(TRIM($W1216&amp;"")="REO","REO",IF(TRIM($W1216&amp;"")="FC","Foreclosure",IF(TRIM($W1216&amp;"")="90+","90+ Days Delinquent",IF(TRIM($W1216&amp;"")="60","60 Days Delinquent",IF(TRIM($W1216&amp;"")="30","30 Days Delinquent",IF($X1216="Non-Performing Matured Balloon","Non-Performing Matured Balloon",IF(OR($X1216="Late Payment But Less Than 30 Days Delinquent",LEFT($X1216&amp;"",20)="Payment Not Received"),"Late / In Grace (&lt;30 Days)",IF($X1216="Performing Matured Balloon","Performing Matured Balloon","Current")))))))))</f>
        <v/>
      </c>
      <c r="CD1216" s="78">
        <f>IF(OR($CC1216="REO",$CC1216="Foreclosure",$CC1216="90+ Days Delinquent",$CC1216="60 Days Delinquent",$CC1216="30 Days Delinquent",$CC1216="Non-Performing Matured Balloon"),1,0)</f>
        <v/>
      </c>
      <c r="CE1216" s="76">
        <f>IF($AB1216="Currently special serv","Currently Specially Serviced",IF($AB1216="Returned to master serv","Previously Specially Serviced","Never Specially Serviced"))</f>
        <v/>
      </c>
      <c r="CF1216" s="78">
        <f>IF($CE1216="Currently Specially Serviced",1,0)</f>
        <v/>
      </c>
      <c r="CG1216" s="76">
        <f>IF($AA1216="Yes","Currently on Watchlist",IF($AA1216="Previously","Previously on Watchlist","Never on Watchlist"))</f>
        <v/>
      </c>
      <c r="CH1216" s="78">
        <f>IF($CG1216="Currently on Watchlist",1,0)</f>
        <v/>
      </c>
      <c r="CI1216" s="76">
        <f>IF($Z1216="Full Defeasance","Fully Defeased",IF($Z1216="Portion Of Loan Previously Defeased","Partially Defeased",IF($Z1216="Defeasance Not Allowable","Not Defeased (Not Permitted)","Not Defeased")))</f>
        <v/>
      </c>
      <c r="CJ1216" s="78">
        <f>IF($CI1216="Fully Defeased",1,0)</f>
        <v/>
      </c>
      <c r="CK1216" s="76">
        <f>IF($R1216="IO","Full IO",IF(LEFT($R1216&amp;"",7)="IO then","Partial IO","Amortizing"))</f>
        <v/>
      </c>
      <c r="CL1216" s="78">
        <f>IF($CK1216="Full IO",1,0)</f>
        <v/>
      </c>
      <c r="CM1216" s="78">
        <f>IF($CK1216="Partial IO",1,0)</f>
        <v/>
      </c>
      <c r="CN1216" s="76">
        <f>IF(LEFT($F1216&amp;"",10)="SPLIT_LOAN","Pari Passu Split","Standalone")</f>
        <v/>
      </c>
      <c r="CO1216" s="78">
        <f>IF($CN1216="Pari Passu Split",1,0)</f>
        <v/>
      </c>
      <c r="CP1216" s="77">
        <f>IF(ISNUMBER($T1216),YEAR($T1216),"")</f>
        <v/>
      </c>
      <c r="CQ1216" s="79">
        <f>IF(ISNUMBER($V1216),$V1216,IF(ISNUMBER($U1216),$U1216,""))</f>
        <v/>
      </c>
      <c r="CR1216" s="77">
        <f>IF(ISNUMBER($CQ1216),YEAR($CQ1216),"")</f>
        <v/>
      </c>
      <c r="CS1216" s="78">
        <f>IF(ISNUMBER($M1216),MAX(0,$M1216),IF(TRIM($M1216&amp;"")="matured",0,""))</f>
        <v/>
      </c>
      <c r="CT1216" s="78">
        <f>IF(AND(ISNUMBER($CS1216),N($CS1216)&lt;=mMatWindow),1,0)</f>
        <v/>
      </c>
      <c r="CU1216" s="80">
        <f>IF(ISNUMBER($J1216),$J1216/100,"")</f>
        <v/>
      </c>
      <c r="CV1216" s="81">
        <f>IF(ISNUMBER($AQ1216),$AQ1216,"")</f>
        <v/>
      </c>
      <c r="CW1216" s="81">
        <f>IF(ISNUMBER($AR1216),$AR1216,"")</f>
        <v/>
      </c>
      <c r="CX1216" s="82">
        <f>IF(ISNUMBER($AS1216),$AS1216/100,"")</f>
        <v/>
      </c>
      <c r="CY1216" s="82">
        <f>IF(ISNUMBER($AT1216),$AT1216/100,"")</f>
        <v/>
      </c>
      <c r="CZ1216" s="82">
        <f>IF(ISNUMBER($AU1216),$AU1216/100,"")</f>
        <v/>
      </c>
      <c r="DA1216" s="82">
        <f>IF(ISNUMBER($AV1216),$AV1216/100,"")</f>
        <v/>
      </c>
      <c r="DB1216" s="82">
        <f>IF(ISNUMBER($AW1216),$AW1216/100,"")</f>
        <v/>
      </c>
      <c r="DC1216" s="82">
        <f>IF(ISNUMBER($AX1216),$AX1216/100,"")</f>
        <v/>
      </c>
      <c r="DD1216" s="77">
        <f>IFERROR(VALUE(LEFT(TRIM($AO1216&amp;""),4)),"")</f>
        <v/>
      </c>
      <c r="DE1216" s="78">
        <f>IF(AND($BY1216=1,$BX1216=1,OR(fDeal="All Deals",$BU1216=fDeal),OR(fEntity="All Entities",$BV1216=fEntity),OR(fPType="All Property Types",$BZ1216=fPType),OR(fDefeased="Include",$CJ1216=0)),1,0)</f>
        <v/>
      </c>
      <c r="DF1216" s="83">
        <f>$DE1216*N($I1216)</f>
        <v/>
      </c>
      <c r="DG1216" s="78">
        <f>IF($DE1216=1,IF(COUNTIFS($F$8:$F1216,$F1216,$DE$8:$DE1216,1)=1,1,0),0)</f>
        <v/>
      </c>
      <c r="DH1216" s="83">
        <f>IF($DG1216=1,SUMIFS($DF$8:$DF$1600,$F$8:$F$1600,$F1216),0)</f>
        <v/>
      </c>
      <c r="DI1216" s="78">
        <f>IF($DG1216=1,COUNTIFS($F$8:$F$1600,$F1216,$DE$8:$DE$1600,1),0)</f>
        <v/>
      </c>
      <c r="DJ1216" s="84">
        <f>IF($DG1216=1,$DH1216+(100000-ROW())/mTieBreak,0)</f>
        <v/>
      </c>
    </row>
    <row r="1217">
      <c r="B1217" s="68" t="n">
        <v>39</v>
      </c>
      <c r="C1217" s="69" t="inlineStr">
        <is>
          <t>BCMK18B6</t>
        </is>
      </c>
      <c r="D1217" s="69" t="inlineStr">
        <is>
          <t>39.000</t>
        </is>
      </c>
      <c r="E1217" s="69" t="inlineStr">
        <is>
          <t>1027-1031 West Madison Street</t>
        </is>
      </c>
      <c r="F1217" s="69" t="inlineStr">
        <is>
          <t>LNBCMK18B6-39.000</t>
        </is>
      </c>
      <c r="G1217" s="70" t="n"/>
      <c r="H1217" s="71" t="n">
        <v>8500000</v>
      </c>
      <c r="I1217" s="71" t="n">
        <v>8500000</v>
      </c>
      <c r="J1217" s="72" t="n">
        <v>4.75</v>
      </c>
      <c r="K1217" s="69" t="inlineStr">
        <is>
          <t>Fixed rate</t>
        </is>
      </c>
      <c r="L1217" s="68" t="n">
        <v>120</v>
      </c>
      <c r="M1217" s="68" t="n">
        <v>24</v>
      </c>
      <c r="N1217" s="68" t="n">
        <v>120</v>
      </c>
      <c r="O1217" s="68" t="n">
        <v>120</v>
      </c>
      <c r="P1217" s="68" t="n">
        <v>24</v>
      </c>
      <c r="Q1217" s="68" t="n">
        <v>96</v>
      </c>
      <c r="R1217" s="69" t="inlineStr">
        <is>
          <t>IO</t>
        </is>
      </c>
      <c r="S1217" s="69" t="inlineStr">
        <is>
          <t>Yes</t>
        </is>
      </c>
      <c r="T1217" s="73" t="n">
        <v>43344</v>
      </c>
      <c r="U1217" s="73" t="n">
        <v>47002</v>
      </c>
      <c r="V1217" s="73" t="n"/>
      <c r="W1217" s="69" t="inlineStr">
        <is>
          <t>FC</t>
        </is>
      </c>
      <c r="X1217" s="69" t="inlineStr">
        <is>
          <t>121+ Days Delinquent</t>
        </is>
      </c>
      <c r="Y1217" s="68" t="n">
        <v>14</v>
      </c>
      <c r="Z1217" s="69" t="inlineStr">
        <is>
          <t>No Defeasance Occurred</t>
        </is>
      </c>
      <c r="AA1217" s="69" t="inlineStr">
        <is>
          <t>Previously</t>
        </is>
      </c>
      <c r="AB1217" s="69" t="inlineStr">
        <is>
          <t>Currently special serv</t>
        </is>
      </c>
      <c r="AC1217" s="73" t="n">
        <v>45772</v>
      </c>
      <c r="AD1217" s="69" t="inlineStr">
        <is>
          <t>Imminent Non Monetary Default</t>
        </is>
      </c>
      <c r="AE1217" s="69" t="inlineStr">
        <is>
          <t>Other</t>
        </is>
      </c>
      <c r="AF1217" s="69" t="inlineStr">
        <is>
          <t>IL</t>
        </is>
      </c>
      <c r="AG1217" s="69" t="inlineStr">
        <is>
          <t>Chicago</t>
        </is>
      </c>
      <c r="AH1217" s="69" t="inlineStr">
        <is>
          <t>Chicago-Naperville-Elgin, IL-IN</t>
        </is>
      </c>
      <c r="AI1217" s="69" t="inlineStr">
        <is>
          <t>Midwest / Central East</t>
        </is>
      </c>
      <c r="AJ1217" s="69" t="inlineStr">
        <is>
          <t>MX</t>
        </is>
      </c>
      <c r="AK1217" s="69" t="inlineStr">
        <is>
          <t>Office/Retail</t>
        </is>
      </c>
      <c r="AL1217" s="68" t="n">
        <v>1</v>
      </c>
      <c r="AM1217" s="68" t="n"/>
      <c r="AN1217" s="68" t="n">
        <v>30170</v>
      </c>
      <c r="AO1217" s="69" t="inlineStr">
        <is>
          <t>1872</t>
        </is>
      </c>
      <c r="AP1217" s="70" t="n">
        <v>2005</v>
      </c>
      <c r="AQ1217" s="74" t="n">
        <v>1.88</v>
      </c>
      <c r="AR1217" s="74" t="n">
        <v>1.07</v>
      </c>
      <c r="AS1217" s="74" t="n">
        <v>63.4</v>
      </c>
      <c r="AT1217" s="74" t="n">
        <v>63.43</v>
      </c>
      <c r="AU1217" s="74" t="n">
        <v>63.43</v>
      </c>
      <c r="AV1217" s="74" t="n">
        <v>9.034129412</v>
      </c>
      <c r="AW1217" s="74" t="n">
        <v>9.124279765000001</v>
      </c>
      <c r="AX1217" s="75" t="n">
        <v>47</v>
      </c>
      <c r="AY1217" s="71" t="n">
        <v>13400000</v>
      </c>
      <c r="AZ1217" s="71" t="n">
        <v>13400000</v>
      </c>
      <c r="BA1217" s="71" t="n">
        <v>767901</v>
      </c>
      <c r="BB1217" s="71" t="n">
        <v>437367.81</v>
      </c>
      <c r="BC1217" s="69" t="inlineStr">
        <is>
          <t>Acquisition</t>
        </is>
      </c>
      <c r="BD1217" s="69" t="inlineStr">
        <is>
          <t>N</t>
        </is>
      </c>
      <c r="BE1217" s="71" t="n"/>
      <c r="BF1217" s="71" t="n"/>
      <c r="BG1217" s="71" t="n"/>
      <c r="BH1217" s="71" t="n">
        <v>2125000</v>
      </c>
      <c r="BI1217" s="71" t="n">
        <v>409982.89</v>
      </c>
      <c r="BJ1217" s="69" t="inlineStr">
        <is>
          <t>N</t>
        </is>
      </c>
      <c r="BK1217" s="69" t="inlineStr">
        <is>
          <t>XSell Technologies  Inc</t>
        </is>
      </c>
      <c r="BL1217" s="75" t="n">
        <v>26.52</v>
      </c>
      <c r="BM1217" s="73" t="n">
        <v>45900</v>
      </c>
      <c r="BN1217" s="69" t="inlineStr">
        <is>
          <t>Jeffrey J. Feil</t>
        </is>
      </c>
      <c r="BO1217" s="69" t="inlineStr">
        <is>
          <t>Citigroup Global Markets</t>
        </is>
      </c>
      <c r="BP1217" s="69" t="inlineStr">
        <is>
          <t>KeyBank National Association</t>
        </is>
      </c>
      <c r="BQ1217" s="69" t="inlineStr">
        <is>
          <t>K-Star Asset Management LLC</t>
        </is>
      </c>
      <c r="BR1217" s="69" t="n"/>
      <c r="BS1217" s="73" t="n">
        <v>46273</v>
      </c>
      <c r="BU1217" s="76">
        <f>IF($C1217="","",IFERROR(INDEX(dmName,MATCH($C1217,dmID,0)),"Unmapped"))</f>
        <v/>
      </c>
      <c r="BV1217" s="76">
        <f>IF($C1217="","",IFERROR(INDEX(dmEntity,MATCH($C1217,dmID,0)),"Unmapped"))</f>
        <v/>
      </c>
      <c r="BW1217" s="77">
        <f>IF($C1217="","",IFERROR(INDEX(dmVintage,MATCH($C1217,dmID,0)),""))</f>
        <v/>
      </c>
      <c r="BX1217" s="78">
        <f>IFERROR(INDEX(dmInclude,MATCH($C1217,dmID,0)),0)</f>
        <v/>
      </c>
      <c r="BY1217" s="78">
        <f>IF(N($I1217)&gt;0,1,0)</f>
        <v/>
      </c>
      <c r="BZ1217" s="76">
        <f>IF($AJ1217="","Other / Leased Fee",IFERROR(INDEX(mapPTGroup,MATCH(LEFT(TRIM($AJ1217),2),mapPTCode,0)),"Other / Leased Fee"))</f>
        <v/>
      </c>
      <c r="CA1217" s="76">
        <f>IF(TRIM($AF1217&amp;"")="","NR",LEFT(TRIM($AF1217),2))</f>
        <v/>
      </c>
      <c r="CB1217" s="76">
        <f>IFERROR(LOOKUP(2,1/(LEFT(TRIM($AI1217&amp;""),LEN(mapRegion))=mapRegion),mapRegion),"Not Reported")</f>
        <v/>
      </c>
      <c r="CC1217" s="76">
        <f>IF($BY1217=0,"",IF(TRIM($W1217&amp;"")="REO","REO",IF(TRIM($W1217&amp;"")="FC","Foreclosure",IF(TRIM($W1217&amp;"")="90+","90+ Days Delinquent",IF(TRIM($W1217&amp;"")="60","60 Days Delinquent",IF(TRIM($W1217&amp;"")="30","30 Days Delinquent",IF($X1217="Non-Performing Matured Balloon","Non-Performing Matured Balloon",IF(OR($X1217="Late Payment But Less Than 30 Days Delinquent",LEFT($X1217&amp;"",20)="Payment Not Received"),"Late / In Grace (&lt;30 Days)",IF($X1217="Performing Matured Balloon","Performing Matured Balloon","Current")))))))))</f>
        <v/>
      </c>
      <c r="CD1217" s="78">
        <f>IF(OR($CC1217="REO",$CC1217="Foreclosure",$CC1217="90+ Days Delinquent",$CC1217="60 Days Delinquent",$CC1217="30 Days Delinquent",$CC1217="Non-Performing Matured Balloon"),1,0)</f>
        <v/>
      </c>
      <c r="CE1217" s="76">
        <f>IF($AB1217="Currently special serv","Currently Specially Serviced",IF($AB1217="Returned to master serv","Previously Specially Serviced","Never Specially Serviced"))</f>
        <v/>
      </c>
      <c r="CF1217" s="78">
        <f>IF($CE1217="Currently Specially Serviced",1,0)</f>
        <v/>
      </c>
      <c r="CG1217" s="76">
        <f>IF($AA1217="Yes","Currently on Watchlist",IF($AA1217="Previously","Previously on Watchlist","Never on Watchlist"))</f>
        <v/>
      </c>
      <c r="CH1217" s="78">
        <f>IF($CG1217="Currently on Watchlist",1,0)</f>
        <v/>
      </c>
      <c r="CI1217" s="76">
        <f>IF($Z1217="Full Defeasance","Fully Defeased",IF($Z1217="Portion Of Loan Previously Defeased","Partially Defeased",IF($Z1217="Defeasance Not Allowable","Not Defeased (Not Permitted)","Not Defeased")))</f>
        <v/>
      </c>
      <c r="CJ1217" s="78">
        <f>IF($CI1217="Fully Defeased",1,0)</f>
        <v/>
      </c>
      <c r="CK1217" s="76">
        <f>IF($R1217="IO","Full IO",IF(LEFT($R1217&amp;"",7)="IO then","Partial IO","Amortizing"))</f>
        <v/>
      </c>
      <c r="CL1217" s="78">
        <f>IF($CK1217="Full IO",1,0)</f>
        <v/>
      </c>
      <c r="CM1217" s="78">
        <f>IF($CK1217="Partial IO",1,0)</f>
        <v/>
      </c>
      <c r="CN1217" s="76">
        <f>IF(LEFT($F1217&amp;"",10)="SPLIT_LOAN","Pari Passu Split","Standalone")</f>
        <v/>
      </c>
      <c r="CO1217" s="78">
        <f>IF($CN1217="Pari Passu Split",1,0)</f>
        <v/>
      </c>
      <c r="CP1217" s="77">
        <f>IF(ISNUMBER($T1217),YEAR($T1217),"")</f>
        <v/>
      </c>
      <c r="CQ1217" s="79">
        <f>IF(ISNUMBER($V1217),$V1217,IF(ISNUMBER($U1217),$U1217,""))</f>
        <v/>
      </c>
      <c r="CR1217" s="77">
        <f>IF(ISNUMBER($CQ1217),YEAR($CQ1217),"")</f>
        <v/>
      </c>
      <c r="CS1217" s="78">
        <f>IF(ISNUMBER($M1217),MAX(0,$M1217),IF(TRIM($M1217&amp;"")="matured",0,""))</f>
        <v/>
      </c>
      <c r="CT1217" s="78">
        <f>IF(AND(ISNUMBER($CS1217),N($CS1217)&lt;=mMatWindow),1,0)</f>
        <v/>
      </c>
      <c r="CU1217" s="80">
        <f>IF(ISNUMBER($J1217),$J1217/100,"")</f>
        <v/>
      </c>
      <c r="CV1217" s="81">
        <f>IF(ISNUMBER($AQ1217),$AQ1217,"")</f>
        <v/>
      </c>
      <c r="CW1217" s="81">
        <f>IF(ISNUMBER($AR1217),$AR1217,"")</f>
        <v/>
      </c>
      <c r="CX1217" s="82">
        <f>IF(ISNUMBER($AS1217),$AS1217/100,"")</f>
        <v/>
      </c>
      <c r="CY1217" s="82">
        <f>IF(ISNUMBER($AT1217),$AT1217/100,"")</f>
        <v/>
      </c>
      <c r="CZ1217" s="82">
        <f>IF(ISNUMBER($AU1217),$AU1217/100,"")</f>
        <v/>
      </c>
      <c r="DA1217" s="82">
        <f>IF(ISNUMBER($AV1217),$AV1217/100,"")</f>
        <v/>
      </c>
      <c r="DB1217" s="82">
        <f>IF(ISNUMBER($AW1217),$AW1217/100,"")</f>
        <v/>
      </c>
      <c r="DC1217" s="82">
        <f>IF(ISNUMBER($AX1217),$AX1217/100,"")</f>
        <v/>
      </c>
      <c r="DD1217" s="77">
        <f>IFERROR(VALUE(LEFT(TRIM($AO1217&amp;""),4)),"")</f>
        <v/>
      </c>
      <c r="DE1217" s="78">
        <f>IF(AND($BY1217=1,$BX1217=1,OR(fDeal="All Deals",$BU1217=fDeal),OR(fEntity="All Entities",$BV1217=fEntity),OR(fPType="All Property Types",$BZ1217=fPType),OR(fDefeased="Include",$CJ1217=0)),1,0)</f>
        <v/>
      </c>
      <c r="DF1217" s="83">
        <f>$DE1217*N($I1217)</f>
        <v/>
      </c>
      <c r="DG1217" s="78">
        <f>IF($DE1217=1,IF(COUNTIFS($F$8:$F1217,$F1217,$DE$8:$DE1217,1)=1,1,0),0)</f>
        <v/>
      </c>
      <c r="DH1217" s="83">
        <f>IF($DG1217=1,SUMIFS($DF$8:$DF$1600,$F$8:$F$1600,$F1217),0)</f>
        <v/>
      </c>
      <c r="DI1217" s="78">
        <f>IF($DG1217=1,COUNTIFS($F$8:$F$1600,$F1217,$DE$8:$DE$1600,1),0)</f>
        <v/>
      </c>
      <c r="DJ1217" s="84">
        <f>IF($DG1217=1,$DH1217+(100000-ROW())/mTieBreak,0)</f>
        <v/>
      </c>
    </row>
    <row r="1218">
      <c r="B1218" s="68" t="n">
        <v>40</v>
      </c>
      <c r="C1218" s="69" t="inlineStr">
        <is>
          <t>BCMK18B6</t>
        </is>
      </c>
      <c r="D1218" s="69" t="inlineStr">
        <is>
          <t>40.000</t>
        </is>
      </c>
      <c r="E1218" s="69" t="inlineStr">
        <is>
          <t>Amsdell TX &amp; OH Portfolio</t>
        </is>
      </c>
      <c r="F1218" s="69" t="inlineStr">
        <is>
          <t>LNBCMK18B6-40.000</t>
        </is>
      </c>
      <c r="G1218" s="70" t="n"/>
      <c r="H1218" s="71" t="n">
        <v>8450000</v>
      </c>
      <c r="I1218" s="71" t="n">
        <v>7813693.770000301</v>
      </c>
      <c r="J1218" s="72" t="n">
        <v>5.18</v>
      </c>
      <c r="K1218" s="69" t="inlineStr">
        <is>
          <t>Fixed rate</t>
        </is>
      </c>
      <c r="L1218" s="68" t="n">
        <v>120</v>
      </c>
      <c r="M1218" s="68" t="n">
        <v>24</v>
      </c>
      <c r="N1218" s="68" t="n">
        <v>396</v>
      </c>
      <c r="O1218" s="68" t="n">
        <v>36</v>
      </c>
      <c r="P1218" s="68" t="n">
        <v>0</v>
      </c>
      <c r="Q1218" s="68" t="n">
        <v>96</v>
      </c>
      <c r="R1218" s="69" t="inlineStr">
        <is>
          <t>IO then Amort</t>
        </is>
      </c>
      <c r="S1218" s="69" t="inlineStr">
        <is>
          <t>No</t>
        </is>
      </c>
      <c r="T1218" s="73" t="n">
        <v>43344</v>
      </c>
      <c r="U1218" s="73" t="n">
        <v>47002</v>
      </c>
      <c r="V1218" s="73" t="n"/>
      <c r="W1218" s="69" t="n"/>
      <c r="X1218" s="69" t="inlineStr">
        <is>
          <t>Current</t>
        </is>
      </c>
      <c r="Y1218" s="68" t="n"/>
      <c r="Z1218" s="69" t="inlineStr">
        <is>
          <t>No Defeasance Occurred</t>
        </is>
      </c>
      <c r="AA1218" s="69" t="n"/>
      <c r="AB1218" s="69" t="inlineStr">
        <is>
          <t>Never special serv</t>
        </is>
      </c>
      <c r="AC1218" s="73" t="n"/>
      <c r="AD1218" s="69" t="n"/>
      <c r="AE1218" s="69" t="n"/>
      <c r="AF1218" s="69" t="inlineStr">
        <is>
          <t>OH-59.171599964% TX-40.828400036%</t>
        </is>
      </c>
      <c r="AG1218" s="69" t="n"/>
      <c r="AH1218" s="69" t="inlineStr">
        <is>
          <t>Cleveland, OH-59.171599964% Dallas-Fort Worth-Arlington, TX-40.828400036%</t>
        </is>
      </c>
      <c r="AI1218" s="69" t="inlineStr">
        <is>
          <t>Midwest / Central East-59.171599964% South / Central West-40.828400036%</t>
        </is>
      </c>
      <c r="AJ1218" s="69" t="inlineStr">
        <is>
          <t>SS</t>
        </is>
      </c>
      <c r="AK1218" s="69" t="n"/>
      <c r="AL1218" s="68" t="n">
        <v>2</v>
      </c>
      <c r="AM1218" s="68" t="n"/>
      <c r="AN1218" s="68" t="n">
        <v>134805</v>
      </c>
      <c r="AO1218" s="69" t="n"/>
      <c r="AP1218" s="70" t="n">
        <v>2015</v>
      </c>
      <c r="AQ1218" s="74" t="n">
        <v>1.26</v>
      </c>
      <c r="AR1218" s="74" t="n">
        <v>2.37</v>
      </c>
      <c r="AS1218" s="74" t="n">
        <v>57.3</v>
      </c>
      <c r="AT1218" s="74" t="n">
        <v>55.93</v>
      </c>
      <c r="AU1218" s="74" t="n">
        <v>53.8</v>
      </c>
      <c r="AV1218" s="74" t="n">
        <v>8.300461538</v>
      </c>
      <c r="AW1218" s="74" t="n">
        <v>28.523873543</v>
      </c>
      <c r="AX1218" s="75" t="n">
        <v>93</v>
      </c>
      <c r="AY1218" s="71" t="n">
        <v>13970000</v>
      </c>
      <c r="AZ1218" s="71" t="n">
        <v>13970000</v>
      </c>
      <c r="BA1218" s="71" t="n">
        <v>701389</v>
      </c>
      <c r="BB1218" s="71" t="n">
        <v>926106.21</v>
      </c>
      <c r="BC1218" s="69" t="inlineStr">
        <is>
          <t>Refinance</t>
        </is>
      </c>
      <c r="BD1218" s="69" t="inlineStr">
        <is>
          <t>N</t>
        </is>
      </c>
      <c r="BE1218" s="71" t="n"/>
      <c r="BF1218" s="71" t="n"/>
      <c r="BG1218" s="71" t="n"/>
      <c r="BH1218" s="71" t="n">
        <v>0</v>
      </c>
      <c r="BI1218" s="71" t="n">
        <v>0</v>
      </c>
      <c r="BJ1218" s="69" t="inlineStr">
        <is>
          <t>N</t>
        </is>
      </c>
      <c r="BK1218" s="69" t="n"/>
      <c r="BL1218" s="75" t="n"/>
      <c r="BM1218" s="73" t="n"/>
      <c r="BN1218" s="69" t="inlineStr">
        <is>
          <t>Amsdell Group, LLC</t>
        </is>
      </c>
      <c r="BO1218" s="69" t="inlineStr">
        <is>
          <t>Citigroup Global Markets</t>
        </is>
      </c>
      <c r="BP1218" s="69" t="inlineStr">
        <is>
          <t>KeyBank National Association</t>
        </is>
      </c>
      <c r="BQ1218" s="69" t="inlineStr">
        <is>
          <t>K-Star Asset Management LLC</t>
        </is>
      </c>
      <c r="BR1218" s="69" t="n"/>
      <c r="BS1218" s="73" t="n">
        <v>46273</v>
      </c>
      <c r="BU1218" s="76">
        <f>IF($C1218="","",IFERROR(INDEX(dmName,MATCH($C1218,dmID,0)),"Unmapped"))</f>
        <v/>
      </c>
      <c r="BV1218" s="76">
        <f>IF($C1218="","",IFERROR(INDEX(dmEntity,MATCH($C1218,dmID,0)),"Unmapped"))</f>
        <v/>
      </c>
      <c r="BW1218" s="77">
        <f>IF($C1218="","",IFERROR(INDEX(dmVintage,MATCH($C1218,dmID,0)),""))</f>
        <v/>
      </c>
      <c r="BX1218" s="78">
        <f>IFERROR(INDEX(dmInclude,MATCH($C1218,dmID,0)),0)</f>
        <v/>
      </c>
      <c r="BY1218" s="78">
        <f>IF(N($I1218)&gt;0,1,0)</f>
        <v/>
      </c>
      <c r="BZ1218" s="76">
        <f>IF($AJ1218="","Other / Leased Fee",IFERROR(INDEX(mapPTGroup,MATCH(LEFT(TRIM($AJ1218),2),mapPTCode,0)),"Other / Leased Fee"))</f>
        <v/>
      </c>
      <c r="CA1218" s="76">
        <f>IF(TRIM($AF1218&amp;"")="","NR",LEFT(TRIM($AF1218),2))</f>
        <v/>
      </c>
      <c r="CB1218" s="76">
        <f>IFERROR(LOOKUP(2,1/(LEFT(TRIM($AI1218&amp;""),LEN(mapRegion))=mapRegion),mapRegion),"Not Reported")</f>
        <v/>
      </c>
      <c r="CC1218" s="76">
        <f>IF($BY1218=0,"",IF(TRIM($W1218&amp;"")="REO","REO",IF(TRIM($W1218&amp;"")="FC","Foreclosure",IF(TRIM($W1218&amp;"")="90+","90+ Days Delinquent",IF(TRIM($W1218&amp;"")="60","60 Days Delinquent",IF(TRIM($W1218&amp;"")="30","30 Days Delinquent",IF($X1218="Non-Performing Matured Balloon","Non-Performing Matured Balloon",IF(OR($X1218="Late Payment But Less Than 30 Days Delinquent",LEFT($X1218&amp;"",20)="Payment Not Received"),"Late / In Grace (&lt;30 Days)",IF($X1218="Performing Matured Balloon","Performing Matured Balloon","Current")))))))))</f>
        <v/>
      </c>
      <c r="CD1218" s="78">
        <f>IF(OR($CC1218="REO",$CC1218="Foreclosure",$CC1218="90+ Days Delinquent",$CC1218="60 Days Delinquent",$CC1218="30 Days Delinquent",$CC1218="Non-Performing Matured Balloon"),1,0)</f>
        <v/>
      </c>
      <c r="CE1218" s="76">
        <f>IF($AB1218="Currently special serv","Currently Specially Serviced",IF($AB1218="Returned to master serv","Previously Specially Serviced","Never Specially Serviced"))</f>
        <v/>
      </c>
      <c r="CF1218" s="78">
        <f>IF($CE1218="Currently Specially Serviced",1,0)</f>
        <v/>
      </c>
      <c r="CG1218" s="76">
        <f>IF($AA1218="Yes","Currently on Watchlist",IF($AA1218="Previously","Previously on Watchlist","Never on Watchlist"))</f>
        <v/>
      </c>
      <c r="CH1218" s="78">
        <f>IF($CG1218="Currently on Watchlist",1,0)</f>
        <v/>
      </c>
      <c r="CI1218" s="76">
        <f>IF($Z1218="Full Defeasance","Fully Defeased",IF($Z1218="Portion Of Loan Previously Defeased","Partially Defeased",IF($Z1218="Defeasance Not Allowable","Not Defeased (Not Permitted)","Not Defeased")))</f>
        <v/>
      </c>
      <c r="CJ1218" s="78">
        <f>IF($CI1218="Fully Defeased",1,0)</f>
        <v/>
      </c>
      <c r="CK1218" s="76">
        <f>IF($R1218="IO","Full IO",IF(LEFT($R1218&amp;"",7)="IO then","Partial IO","Amortizing"))</f>
        <v/>
      </c>
      <c r="CL1218" s="78">
        <f>IF($CK1218="Full IO",1,0)</f>
        <v/>
      </c>
      <c r="CM1218" s="78">
        <f>IF($CK1218="Partial IO",1,0)</f>
        <v/>
      </c>
      <c r="CN1218" s="76">
        <f>IF(LEFT($F1218&amp;"",10)="SPLIT_LOAN","Pari Passu Split","Standalone")</f>
        <v/>
      </c>
      <c r="CO1218" s="78">
        <f>IF($CN1218="Pari Passu Split",1,0)</f>
        <v/>
      </c>
      <c r="CP1218" s="77">
        <f>IF(ISNUMBER($T1218),YEAR($T1218),"")</f>
        <v/>
      </c>
      <c r="CQ1218" s="79">
        <f>IF(ISNUMBER($V1218),$V1218,IF(ISNUMBER($U1218),$U1218,""))</f>
        <v/>
      </c>
      <c r="CR1218" s="77">
        <f>IF(ISNUMBER($CQ1218),YEAR($CQ1218),"")</f>
        <v/>
      </c>
      <c r="CS1218" s="78">
        <f>IF(ISNUMBER($M1218),MAX(0,$M1218),IF(TRIM($M1218&amp;"")="matured",0,""))</f>
        <v/>
      </c>
      <c r="CT1218" s="78">
        <f>IF(AND(ISNUMBER($CS1218),N($CS1218)&lt;=mMatWindow),1,0)</f>
        <v/>
      </c>
      <c r="CU1218" s="80">
        <f>IF(ISNUMBER($J1218),$J1218/100,"")</f>
        <v/>
      </c>
      <c r="CV1218" s="81">
        <f>IF(ISNUMBER($AQ1218),$AQ1218,"")</f>
        <v/>
      </c>
      <c r="CW1218" s="81">
        <f>IF(ISNUMBER($AR1218),$AR1218,"")</f>
        <v/>
      </c>
      <c r="CX1218" s="82">
        <f>IF(ISNUMBER($AS1218),$AS1218/100,"")</f>
        <v/>
      </c>
      <c r="CY1218" s="82">
        <f>IF(ISNUMBER($AT1218),$AT1218/100,"")</f>
        <v/>
      </c>
      <c r="CZ1218" s="82">
        <f>IF(ISNUMBER($AU1218),$AU1218/100,"")</f>
        <v/>
      </c>
      <c r="DA1218" s="82">
        <f>IF(ISNUMBER($AV1218),$AV1218/100,"")</f>
        <v/>
      </c>
      <c r="DB1218" s="82">
        <f>IF(ISNUMBER($AW1218),$AW1218/100,"")</f>
        <v/>
      </c>
      <c r="DC1218" s="82">
        <f>IF(ISNUMBER($AX1218),$AX1218/100,"")</f>
        <v/>
      </c>
      <c r="DD1218" s="77">
        <f>IFERROR(VALUE(LEFT(TRIM($AO1218&amp;""),4)),"")</f>
        <v/>
      </c>
      <c r="DE1218" s="78">
        <f>IF(AND($BY1218=1,$BX1218=1,OR(fDeal="All Deals",$BU1218=fDeal),OR(fEntity="All Entities",$BV1218=fEntity),OR(fPType="All Property Types",$BZ1218=fPType),OR(fDefeased="Include",$CJ1218=0)),1,0)</f>
        <v/>
      </c>
      <c r="DF1218" s="83">
        <f>$DE1218*N($I1218)</f>
        <v/>
      </c>
      <c r="DG1218" s="78">
        <f>IF($DE1218=1,IF(COUNTIFS($F$8:$F1218,$F1218,$DE$8:$DE1218,1)=1,1,0),0)</f>
        <v/>
      </c>
      <c r="DH1218" s="83">
        <f>IF($DG1218=1,SUMIFS($DF$8:$DF$1600,$F$8:$F$1600,$F1218),0)</f>
        <v/>
      </c>
      <c r="DI1218" s="78">
        <f>IF($DG1218=1,COUNTIFS($F$8:$F$1600,$F1218,$DE$8:$DE$1600,1),0)</f>
        <v/>
      </c>
      <c r="DJ1218" s="84">
        <f>IF($DG1218=1,$DH1218+(100000-ROW())/mTieBreak,0)</f>
        <v/>
      </c>
    </row>
    <row r="1219">
      <c r="B1219" s="68" t="n">
        <v>41</v>
      </c>
      <c r="C1219" s="69" t="inlineStr">
        <is>
          <t>BCMK18B6</t>
        </is>
      </c>
      <c r="D1219" s="69" t="inlineStr">
        <is>
          <t>41.000</t>
        </is>
      </c>
      <c r="E1219" s="69" t="inlineStr">
        <is>
          <t>One Spa World Headquarters</t>
        </is>
      </c>
      <c r="F1219" s="69" t="inlineStr">
        <is>
          <t>LNBCMK18B6-41.000</t>
        </is>
      </c>
      <c r="G1219" s="70" t="n"/>
      <c r="H1219" s="71" t="n">
        <v>8112500</v>
      </c>
      <c r="I1219" s="71" t="n">
        <v>8112500</v>
      </c>
      <c r="J1219" s="72" t="n">
        <v>4.61</v>
      </c>
      <c r="K1219" s="69" t="inlineStr">
        <is>
          <t>Fixed rate</t>
        </is>
      </c>
      <c r="L1219" s="68" t="n">
        <v>120</v>
      </c>
      <c r="M1219" s="68" t="n">
        <v>23</v>
      </c>
      <c r="N1219" s="68" t="n">
        <v>120</v>
      </c>
      <c r="O1219" s="68" t="n">
        <v>120</v>
      </c>
      <c r="P1219" s="68" t="n">
        <v>23</v>
      </c>
      <c r="Q1219" s="68" t="n">
        <v>97</v>
      </c>
      <c r="R1219" s="69" t="inlineStr">
        <is>
          <t>IO</t>
        </is>
      </c>
      <c r="S1219" s="69" t="inlineStr">
        <is>
          <t>Yes</t>
        </is>
      </c>
      <c r="T1219" s="73" t="n">
        <v>43313</v>
      </c>
      <c r="U1219" s="73" t="n">
        <v>46971</v>
      </c>
      <c r="V1219" s="73" t="n"/>
      <c r="W1219" s="69" t="n"/>
      <c r="X1219" s="69" t="inlineStr">
        <is>
          <t>Current</t>
        </is>
      </c>
      <c r="Y1219" s="68" t="n"/>
      <c r="Z1219" s="69" t="inlineStr">
        <is>
          <t>No Defeasance Occurred</t>
        </is>
      </c>
      <c r="AA1219" s="69" t="inlineStr">
        <is>
          <t>Previously</t>
        </is>
      </c>
      <c r="AB1219" s="69" t="inlineStr">
        <is>
          <t>Never special serv</t>
        </is>
      </c>
      <c r="AC1219" s="73" t="n"/>
      <c r="AD1219" s="69" t="n"/>
      <c r="AE1219" s="69" t="n"/>
      <c r="AF1219" s="69" t="inlineStr">
        <is>
          <t>FL</t>
        </is>
      </c>
      <c r="AG1219" s="69" t="inlineStr">
        <is>
          <t>Coral Gables</t>
        </is>
      </c>
      <c r="AH1219" s="69" t="inlineStr">
        <is>
          <t>Miami-Fort Lauderdale-West Palm Beach, FL</t>
        </is>
      </c>
      <c r="AI1219" s="69" t="inlineStr">
        <is>
          <t>South / Atlantic</t>
        </is>
      </c>
      <c r="AJ1219" s="69" t="inlineStr">
        <is>
          <t>OF</t>
        </is>
      </c>
      <c r="AK1219" s="69" t="inlineStr">
        <is>
          <t>Suburban</t>
        </is>
      </c>
      <c r="AL1219" s="68" t="n">
        <v>1</v>
      </c>
      <c r="AM1219" s="68" t="n"/>
      <c r="AN1219" s="68" t="n">
        <v>35180</v>
      </c>
      <c r="AO1219" s="69" t="inlineStr">
        <is>
          <t>1990</t>
        </is>
      </c>
      <c r="AP1219" s="70" t="n">
        <v>1990</v>
      </c>
      <c r="AQ1219" s="74" t="n">
        <v>2.07</v>
      </c>
      <c r="AR1219" s="74" t="n">
        <v>2.03</v>
      </c>
      <c r="AS1219" s="74" t="n">
        <v>54.8</v>
      </c>
      <c r="AT1219" s="74" t="n">
        <v>54.81</v>
      </c>
      <c r="AU1219" s="74" t="n">
        <v>54.81</v>
      </c>
      <c r="AV1219" s="74" t="n">
        <v>9.695420647000001</v>
      </c>
      <c r="AW1219" s="74" t="n">
        <v>11.100839815</v>
      </c>
      <c r="AX1219" s="75" t="n">
        <v>100</v>
      </c>
      <c r="AY1219" s="71" t="n">
        <v>14800000</v>
      </c>
      <c r="AZ1219" s="71" t="n">
        <v>14800000</v>
      </c>
      <c r="BA1219" s="71" t="n">
        <v>786541</v>
      </c>
      <c r="BB1219" s="71" t="n">
        <v>383906.41</v>
      </c>
      <c r="BC1219" s="69" t="inlineStr">
        <is>
          <t>Acquisition</t>
        </is>
      </c>
      <c r="BD1219" s="69" t="inlineStr">
        <is>
          <t>N</t>
        </is>
      </c>
      <c r="BE1219" s="71" t="n"/>
      <c r="BF1219" s="71" t="n"/>
      <c r="BG1219" s="71" t="n"/>
      <c r="BH1219" s="71" t="n">
        <v>0</v>
      </c>
      <c r="BI1219" s="71" t="n">
        <v>0</v>
      </c>
      <c r="BJ1219" s="69" t="inlineStr">
        <is>
          <t>N</t>
        </is>
      </c>
      <c r="BK1219" s="69" t="inlineStr">
        <is>
          <t>One Spa World LLC</t>
        </is>
      </c>
      <c r="BL1219" s="75" t="n">
        <v>100</v>
      </c>
      <c r="BM1219" s="73" t="n">
        <v>47695</v>
      </c>
      <c r="BN1219" s="69" t="inlineStr">
        <is>
          <t>Alejandro Velez</t>
        </is>
      </c>
      <c r="BO1219" s="69" t="inlineStr">
        <is>
          <t>Citigroup Global Markets</t>
        </is>
      </c>
      <c r="BP1219" s="69" t="inlineStr">
        <is>
          <t>KeyBank National Association</t>
        </is>
      </c>
      <c r="BQ1219" s="69" t="inlineStr">
        <is>
          <t>K-Star Asset Management LLC</t>
        </is>
      </c>
      <c r="BR1219" s="69" t="n"/>
      <c r="BS1219" s="73" t="n">
        <v>46273</v>
      </c>
      <c r="BU1219" s="76">
        <f>IF($C1219="","",IFERROR(INDEX(dmName,MATCH($C1219,dmID,0)),"Unmapped"))</f>
        <v/>
      </c>
      <c r="BV1219" s="76">
        <f>IF($C1219="","",IFERROR(INDEX(dmEntity,MATCH($C1219,dmID,0)),"Unmapped"))</f>
        <v/>
      </c>
      <c r="BW1219" s="77">
        <f>IF($C1219="","",IFERROR(INDEX(dmVintage,MATCH($C1219,dmID,0)),""))</f>
        <v/>
      </c>
      <c r="BX1219" s="78">
        <f>IFERROR(INDEX(dmInclude,MATCH($C1219,dmID,0)),0)</f>
        <v/>
      </c>
      <c r="BY1219" s="78">
        <f>IF(N($I1219)&gt;0,1,0)</f>
        <v/>
      </c>
      <c r="BZ1219" s="76">
        <f>IF($AJ1219="","Other / Leased Fee",IFERROR(INDEX(mapPTGroup,MATCH(LEFT(TRIM($AJ1219),2),mapPTCode,0)),"Other / Leased Fee"))</f>
        <v/>
      </c>
      <c r="CA1219" s="76">
        <f>IF(TRIM($AF1219&amp;"")="","NR",LEFT(TRIM($AF1219),2))</f>
        <v/>
      </c>
      <c r="CB1219" s="76">
        <f>IFERROR(LOOKUP(2,1/(LEFT(TRIM($AI1219&amp;""),LEN(mapRegion))=mapRegion),mapRegion),"Not Reported")</f>
        <v/>
      </c>
      <c r="CC1219" s="76">
        <f>IF($BY1219=0,"",IF(TRIM($W1219&amp;"")="REO","REO",IF(TRIM($W1219&amp;"")="FC","Foreclosure",IF(TRIM($W1219&amp;"")="90+","90+ Days Delinquent",IF(TRIM($W1219&amp;"")="60","60 Days Delinquent",IF(TRIM($W1219&amp;"")="30","30 Days Delinquent",IF($X1219="Non-Performing Matured Balloon","Non-Performing Matured Balloon",IF(OR($X1219="Late Payment But Less Than 30 Days Delinquent",LEFT($X1219&amp;"",20)="Payment Not Received"),"Late / In Grace (&lt;30 Days)",IF($X1219="Performing Matured Balloon","Performing Matured Balloon","Current")))))))))</f>
        <v/>
      </c>
      <c r="CD1219" s="78">
        <f>IF(OR($CC1219="REO",$CC1219="Foreclosure",$CC1219="90+ Days Delinquent",$CC1219="60 Days Delinquent",$CC1219="30 Days Delinquent",$CC1219="Non-Performing Matured Balloon"),1,0)</f>
        <v/>
      </c>
      <c r="CE1219" s="76">
        <f>IF($AB1219="Currently special serv","Currently Specially Serviced",IF($AB1219="Returned to master serv","Previously Specially Serviced","Never Specially Serviced"))</f>
        <v/>
      </c>
      <c r="CF1219" s="78">
        <f>IF($CE1219="Currently Specially Serviced",1,0)</f>
        <v/>
      </c>
      <c r="CG1219" s="76">
        <f>IF($AA1219="Yes","Currently on Watchlist",IF($AA1219="Previously","Previously on Watchlist","Never on Watchlist"))</f>
        <v/>
      </c>
      <c r="CH1219" s="78">
        <f>IF($CG1219="Currently on Watchlist",1,0)</f>
        <v/>
      </c>
      <c r="CI1219" s="76">
        <f>IF($Z1219="Full Defeasance","Fully Defeased",IF($Z1219="Portion Of Loan Previously Defeased","Partially Defeased",IF($Z1219="Defeasance Not Allowable","Not Defeased (Not Permitted)","Not Defeased")))</f>
        <v/>
      </c>
      <c r="CJ1219" s="78">
        <f>IF($CI1219="Fully Defeased",1,0)</f>
        <v/>
      </c>
      <c r="CK1219" s="76">
        <f>IF($R1219="IO","Full IO",IF(LEFT($R1219&amp;"",7)="IO then","Partial IO","Amortizing"))</f>
        <v/>
      </c>
      <c r="CL1219" s="78">
        <f>IF($CK1219="Full IO",1,0)</f>
        <v/>
      </c>
      <c r="CM1219" s="78">
        <f>IF($CK1219="Partial IO",1,0)</f>
        <v/>
      </c>
      <c r="CN1219" s="76">
        <f>IF(LEFT($F1219&amp;"",10)="SPLIT_LOAN","Pari Passu Split","Standalone")</f>
        <v/>
      </c>
      <c r="CO1219" s="78">
        <f>IF($CN1219="Pari Passu Split",1,0)</f>
        <v/>
      </c>
      <c r="CP1219" s="77">
        <f>IF(ISNUMBER($T1219),YEAR($T1219),"")</f>
        <v/>
      </c>
      <c r="CQ1219" s="79">
        <f>IF(ISNUMBER($V1219),$V1219,IF(ISNUMBER($U1219),$U1219,""))</f>
        <v/>
      </c>
      <c r="CR1219" s="77">
        <f>IF(ISNUMBER($CQ1219),YEAR($CQ1219),"")</f>
        <v/>
      </c>
      <c r="CS1219" s="78">
        <f>IF(ISNUMBER($M1219),MAX(0,$M1219),IF(TRIM($M1219&amp;"")="matured",0,""))</f>
        <v/>
      </c>
      <c r="CT1219" s="78">
        <f>IF(AND(ISNUMBER($CS1219),N($CS1219)&lt;=mMatWindow),1,0)</f>
        <v/>
      </c>
      <c r="CU1219" s="80">
        <f>IF(ISNUMBER($J1219),$J1219/100,"")</f>
        <v/>
      </c>
      <c r="CV1219" s="81">
        <f>IF(ISNUMBER($AQ1219),$AQ1219,"")</f>
        <v/>
      </c>
      <c r="CW1219" s="81">
        <f>IF(ISNUMBER($AR1219),$AR1219,"")</f>
        <v/>
      </c>
      <c r="CX1219" s="82">
        <f>IF(ISNUMBER($AS1219),$AS1219/100,"")</f>
        <v/>
      </c>
      <c r="CY1219" s="82">
        <f>IF(ISNUMBER($AT1219),$AT1219/100,"")</f>
        <v/>
      </c>
      <c r="CZ1219" s="82">
        <f>IF(ISNUMBER($AU1219),$AU1219/100,"")</f>
        <v/>
      </c>
      <c r="DA1219" s="82">
        <f>IF(ISNUMBER($AV1219),$AV1219/100,"")</f>
        <v/>
      </c>
      <c r="DB1219" s="82">
        <f>IF(ISNUMBER($AW1219),$AW1219/100,"")</f>
        <v/>
      </c>
      <c r="DC1219" s="82">
        <f>IF(ISNUMBER($AX1219),$AX1219/100,"")</f>
        <v/>
      </c>
      <c r="DD1219" s="77">
        <f>IFERROR(VALUE(LEFT(TRIM($AO1219&amp;""),4)),"")</f>
        <v/>
      </c>
      <c r="DE1219" s="78">
        <f>IF(AND($BY1219=1,$BX1219=1,OR(fDeal="All Deals",$BU1219=fDeal),OR(fEntity="All Entities",$BV1219=fEntity),OR(fPType="All Property Types",$BZ1219=fPType),OR(fDefeased="Include",$CJ1219=0)),1,0)</f>
        <v/>
      </c>
      <c r="DF1219" s="83">
        <f>$DE1219*N($I1219)</f>
        <v/>
      </c>
      <c r="DG1219" s="78">
        <f>IF($DE1219=1,IF(COUNTIFS($F$8:$F1219,$F1219,$DE$8:$DE1219,1)=1,1,0),0)</f>
        <v/>
      </c>
      <c r="DH1219" s="83">
        <f>IF($DG1219=1,SUMIFS($DF$8:$DF$1600,$F$8:$F$1600,$F1219),0)</f>
        <v/>
      </c>
      <c r="DI1219" s="78">
        <f>IF($DG1219=1,COUNTIFS($F$8:$F$1600,$F1219,$DE$8:$DE$1600,1),0)</f>
        <v/>
      </c>
      <c r="DJ1219" s="84">
        <f>IF($DG1219=1,$DH1219+(100000-ROW())/mTieBreak,0)</f>
        <v/>
      </c>
    </row>
    <row r="1220">
      <c r="B1220" s="68" t="n">
        <v>42</v>
      </c>
      <c r="C1220" s="69" t="inlineStr">
        <is>
          <t>BCMK18B6</t>
        </is>
      </c>
      <c r="D1220" s="69" t="inlineStr">
        <is>
          <t>42.000</t>
        </is>
      </c>
      <c r="E1220" s="69" t="inlineStr">
        <is>
          <t>The Marketplace at Janesville</t>
        </is>
      </c>
      <c r="F1220" s="69" t="inlineStr">
        <is>
          <t>LNBCMK18B6-42.000</t>
        </is>
      </c>
      <c r="G1220" s="70" t="n"/>
      <c r="H1220" s="71" t="n">
        <v>8100000</v>
      </c>
      <c r="I1220" s="71" t="n">
        <v>7148937.4000038</v>
      </c>
      <c r="J1220" s="72" t="n">
        <v>4.862</v>
      </c>
      <c r="K1220" s="69" t="inlineStr">
        <is>
          <t>Fixed rate</t>
        </is>
      </c>
      <c r="L1220" s="68" t="n">
        <v>122</v>
      </c>
      <c r="M1220" s="68" t="n">
        <v>26</v>
      </c>
      <c r="N1220" s="68" t="n">
        <v>372</v>
      </c>
      <c r="O1220" s="68" t="n">
        <v>12</v>
      </c>
      <c r="P1220" s="68" t="n">
        <v>0</v>
      </c>
      <c r="Q1220" s="68" t="n">
        <v>96</v>
      </c>
      <c r="R1220" s="69" t="inlineStr">
        <is>
          <t>IO then Amort</t>
        </is>
      </c>
      <c r="S1220" s="69" t="inlineStr">
        <is>
          <t>No</t>
        </is>
      </c>
      <c r="T1220" s="73" t="n">
        <v>43344</v>
      </c>
      <c r="U1220" s="73" t="n">
        <v>47058</v>
      </c>
      <c r="V1220" s="73" t="n"/>
      <c r="W1220" s="69" t="n"/>
      <c r="X1220" s="69" t="inlineStr">
        <is>
          <t>Current</t>
        </is>
      </c>
      <c r="Y1220" s="68" t="n"/>
      <c r="Z1220" s="69" t="inlineStr">
        <is>
          <t>No Defeasance Occurred</t>
        </is>
      </c>
      <c r="AA1220" s="69" t="inlineStr">
        <is>
          <t>Yes</t>
        </is>
      </c>
      <c r="AB1220" s="69" t="inlineStr">
        <is>
          <t>Never special serv</t>
        </is>
      </c>
      <c r="AC1220" s="73" t="n"/>
      <c r="AD1220" s="69" t="n"/>
      <c r="AE1220" s="69" t="n"/>
      <c r="AF1220" s="69" t="inlineStr">
        <is>
          <t>WI</t>
        </is>
      </c>
      <c r="AG1220" s="69" t="inlineStr">
        <is>
          <t>Janesville</t>
        </is>
      </c>
      <c r="AH1220" s="69" t="inlineStr">
        <is>
          <t>Janesville-Beloit, WI</t>
        </is>
      </c>
      <c r="AI1220" s="69" t="inlineStr">
        <is>
          <t>Midwest / Central East</t>
        </is>
      </c>
      <c r="AJ1220" s="69" t="inlineStr">
        <is>
          <t>RT</t>
        </is>
      </c>
      <c r="AK1220" s="69" t="inlineStr">
        <is>
          <t>Anchored</t>
        </is>
      </c>
      <c r="AL1220" s="68" t="n">
        <v>1</v>
      </c>
      <c r="AM1220" s="68" t="n"/>
      <c r="AN1220" s="68" t="n">
        <v>71553</v>
      </c>
      <c r="AO1220" s="69" t="inlineStr">
        <is>
          <t>1984</t>
        </is>
      </c>
      <c r="AP1220" s="70" t="n">
        <v>2017</v>
      </c>
      <c r="AQ1220" s="74" t="n">
        <v>1.42</v>
      </c>
      <c r="AR1220" s="74" t="n">
        <v>0.8100000000000001</v>
      </c>
      <c r="AS1220" s="74" t="n">
        <v>69.8</v>
      </c>
      <c r="AT1220" s="74" t="n">
        <v>61.63</v>
      </c>
      <c r="AU1220" s="74" t="n">
        <v>58.5</v>
      </c>
      <c r="AV1220" s="74" t="n">
        <v>8.98854321</v>
      </c>
      <c r="AW1220" s="74" t="n">
        <v>7.042376815</v>
      </c>
      <c r="AX1220" s="75" t="n">
        <v>74</v>
      </c>
      <c r="AY1220" s="71" t="n">
        <v>11600000</v>
      </c>
      <c r="AZ1220" s="71" t="n">
        <v>11600000</v>
      </c>
      <c r="BA1220" s="71" t="n">
        <v>728072</v>
      </c>
      <c r="BB1220" s="71" t="n">
        <v>417316.89</v>
      </c>
      <c r="BC1220" s="69" t="inlineStr">
        <is>
          <t>Refinance</t>
        </is>
      </c>
      <c r="BD1220" s="69" t="inlineStr">
        <is>
          <t>N</t>
        </is>
      </c>
      <c r="BE1220" s="71" t="n"/>
      <c r="BF1220" s="71" t="n"/>
      <c r="BG1220" s="71" t="n"/>
      <c r="BH1220" s="71" t="n">
        <v>0</v>
      </c>
      <c r="BI1220" s="71" t="n">
        <v>0</v>
      </c>
      <c r="BJ1220" s="69" t="inlineStr">
        <is>
          <t>N</t>
        </is>
      </c>
      <c r="BK1220" s="69" t="inlineStr">
        <is>
          <t>Petsmart</t>
        </is>
      </c>
      <c r="BL1220" s="75" t="n">
        <v>30.87</v>
      </c>
      <c r="BM1220" s="73" t="n">
        <v>46812</v>
      </c>
      <c r="BN1220" s="69" t="inlineStr">
        <is>
          <t>Steven W. Doran</t>
        </is>
      </c>
      <c r="BO1220" s="69" t="inlineStr">
        <is>
          <t>JPMorgan Chase</t>
        </is>
      </c>
      <c r="BP1220" s="69" t="inlineStr">
        <is>
          <t>KeyBank National Association</t>
        </is>
      </c>
      <c r="BQ1220" s="69" t="inlineStr">
        <is>
          <t>K-Star Asset Management LLC</t>
        </is>
      </c>
      <c r="BR1220" s="69" t="n"/>
      <c r="BS1220" s="73" t="n">
        <v>46273</v>
      </c>
      <c r="BU1220" s="76">
        <f>IF($C1220="","",IFERROR(INDEX(dmName,MATCH($C1220,dmID,0)),"Unmapped"))</f>
        <v/>
      </c>
      <c r="BV1220" s="76">
        <f>IF($C1220="","",IFERROR(INDEX(dmEntity,MATCH($C1220,dmID,0)),"Unmapped"))</f>
        <v/>
      </c>
      <c r="BW1220" s="77">
        <f>IF($C1220="","",IFERROR(INDEX(dmVintage,MATCH($C1220,dmID,0)),""))</f>
        <v/>
      </c>
      <c r="BX1220" s="78">
        <f>IFERROR(INDEX(dmInclude,MATCH($C1220,dmID,0)),0)</f>
        <v/>
      </c>
      <c r="BY1220" s="78">
        <f>IF(N($I1220)&gt;0,1,0)</f>
        <v/>
      </c>
      <c r="BZ1220" s="76">
        <f>IF($AJ1220="","Other / Leased Fee",IFERROR(INDEX(mapPTGroup,MATCH(LEFT(TRIM($AJ1220),2),mapPTCode,0)),"Other / Leased Fee"))</f>
        <v/>
      </c>
      <c r="CA1220" s="76">
        <f>IF(TRIM($AF1220&amp;"")="","NR",LEFT(TRIM($AF1220),2))</f>
        <v/>
      </c>
      <c r="CB1220" s="76">
        <f>IFERROR(LOOKUP(2,1/(LEFT(TRIM($AI1220&amp;""),LEN(mapRegion))=mapRegion),mapRegion),"Not Reported")</f>
        <v/>
      </c>
      <c r="CC1220" s="76">
        <f>IF($BY1220=0,"",IF(TRIM($W1220&amp;"")="REO","REO",IF(TRIM($W1220&amp;"")="FC","Foreclosure",IF(TRIM($W1220&amp;"")="90+","90+ Days Delinquent",IF(TRIM($W1220&amp;"")="60","60 Days Delinquent",IF(TRIM($W1220&amp;"")="30","30 Days Delinquent",IF($X1220="Non-Performing Matured Balloon","Non-Performing Matured Balloon",IF(OR($X1220="Late Payment But Less Than 30 Days Delinquent",LEFT($X1220&amp;"",20)="Payment Not Received"),"Late / In Grace (&lt;30 Days)",IF($X1220="Performing Matured Balloon","Performing Matured Balloon","Current")))))))))</f>
        <v/>
      </c>
      <c r="CD1220" s="78">
        <f>IF(OR($CC1220="REO",$CC1220="Foreclosure",$CC1220="90+ Days Delinquent",$CC1220="60 Days Delinquent",$CC1220="30 Days Delinquent",$CC1220="Non-Performing Matured Balloon"),1,0)</f>
        <v/>
      </c>
      <c r="CE1220" s="76">
        <f>IF($AB1220="Currently special serv","Currently Specially Serviced",IF($AB1220="Returned to master serv","Previously Specially Serviced","Never Specially Serviced"))</f>
        <v/>
      </c>
      <c r="CF1220" s="78">
        <f>IF($CE1220="Currently Specially Serviced",1,0)</f>
        <v/>
      </c>
      <c r="CG1220" s="76">
        <f>IF($AA1220="Yes","Currently on Watchlist",IF($AA1220="Previously","Previously on Watchlist","Never on Watchlist"))</f>
        <v/>
      </c>
      <c r="CH1220" s="78">
        <f>IF($CG1220="Currently on Watchlist",1,0)</f>
        <v/>
      </c>
      <c r="CI1220" s="76">
        <f>IF($Z1220="Full Defeasance","Fully Defeased",IF($Z1220="Portion Of Loan Previously Defeased","Partially Defeased",IF($Z1220="Defeasance Not Allowable","Not Defeased (Not Permitted)","Not Defeased")))</f>
        <v/>
      </c>
      <c r="CJ1220" s="78">
        <f>IF($CI1220="Fully Defeased",1,0)</f>
        <v/>
      </c>
      <c r="CK1220" s="76">
        <f>IF($R1220="IO","Full IO",IF(LEFT($R1220&amp;"",7)="IO then","Partial IO","Amortizing"))</f>
        <v/>
      </c>
      <c r="CL1220" s="78">
        <f>IF($CK1220="Full IO",1,0)</f>
        <v/>
      </c>
      <c r="CM1220" s="78">
        <f>IF($CK1220="Partial IO",1,0)</f>
        <v/>
      </c>
      <c r="CN1220" s="76">
        <f>IF(LEFT($F1220&amp;"",10)="SPLIT_LOAN","Pari Passu Split","Standalone")</f>
        <v/>
      </c>
      <c r="CO1220" s="78">
        <f>IF($CN1220="Pari Passu Split",1,0)</f>
        <v/>
      </c>
      <c r="CP1220" s="77">
        <f>IF(ISNUMBER($T1220),YEAR($T1220),"")</f>
        <v/>
      </c>
      <c r="CQ1220" s="79">
        <f>IF(ISNUMBER($V1220),$V1220,IF(ISNUMBER($U1220),$U1220,""))</f>
        <v/>
      </c>
      <c r="CR1220" s="77">
        <f>IF(ISNUMBER($CQ1220),YEAR($CQ1220),"")</f>
        <v/>
      </c>
      <c r="CS1220" s="78">
        <f>IF(ISNUMBER($M1220),MAX(0,$M1220),IF(TRIM($M1220&amp;"")="matured",0,""))</f>
        <v/>
      </c>
      <c r="CT1220" s="78">
        <f>IF(AND(ISNUMBER($CS1220),N($CS1220)&lt;=mMatWindow),1,0)</f>
        <v/>
      </c>
      <c r="CU1220" s="80">
        <f>IF(ISNUMBER($J1220),$J1220/100,"")</f>
        <v/>
      </c>
      <c r="CV1220" s="81">
        <f>IF(ISNUMBER($AQ1220),$AQ1220,"")</f>
        <v/>
      </c>
      <c r="CW1220" s="81">
        <f>IF(ISNUMBER($AR1220),$AR1220,"")</f>
        <v/>
      </c>
      <c r="CX1220" s="82">
        <f>IF(ISNUMBER($AS1220),$AS1220/100,"")</f>
        <v/>
      </c>
      <c r="CY1220" s="82">
        <f>IF(ISNUMBER($AT1220),$AT1220/100,"")</f>
        <v/>
      </c>
      <c r="CZ1220" s="82">
        <f>IF(ISNUMBER($AU1220),$AU1220/100,"")</f>
        <v/>
      </c>
      <c r="DA1220" s="82">
        <f>IF(ISNUMBER($AV1220),$AV1220/100,"")</f>
        <v/>
      </c>
      <c r="DB1220" s="82">
        <f>IF(ISNUMBER($AW1220),$AW1220/100,"")</f>
        <v/>
      </c>
      <c r="DC1220" s="82">
        <f>IF(ISNUMBER($AX1220),$AX1220/100,"")</f>
        <v/>
      </c>
      <c r="DD1220" s="77">
        <f>IFERROR(VALUE(LEFT(TRIM($AO1220&amp;""),4)),"")</f>
        <v/>
      </c>
      <c r="DE1220" s="78">
        <f>IF(AND($BY1220=1,$BX1220=1,OR(fDeal="All Deals",$BU1220=fDeal),OR(fEntity="All Entities",$BV1220=fEntity),OR(fPType="All Property Types",$BZ1220=fPType),OR(fDefeased="Include",$CJ1220=0)),1,0)</f>
        <v/>
      </c>
      <c r="DF1220" s="83">
        <f>$DE1220*N($I1220)</f>
        <v/>
      </c>
      <c r="DG1220" s="78">
        <f>IF($DE1220=1,IF(COUNTIFS($F$8:$F1220,$F1220,$DE$8:$DE1220,1)=1,1,0),0)</f>
        <v/>
      </c>
      <c r="DH1220" s="83">
        <f>IF($DG1220=1,SUMIFS($DF$8:$DF$1600,$F$8:$F$1600,$F1220),0)</f>
        <v/>
      </c>
      <c r="DI1220" s="78">
        <f>IF($DG1220=1,COUNTIFS($F$8:$F$1600,$F1220,$DE$8:$DE$1600,1),0)</f>
        <v/>
      </c>
      <c r="DJ1220" s="84">
        <f>IF($DG1220=1,$DH1220+(100000-ROW())/mTieBreak,0)</f>
        <v/>
      </c>
    </row>
    <row r="1221">
      <c r="B1221" s="68" t="n">
        <v>43</v>
      </c>
      <c r="C1221" s="69" t="inlineStr">
        <is>
          <t>BCMK18B6</t>
        </is>
      </c>
      <c r="D1221" s="69" t="inlineStr">
        <is>
          <t>43.000</t>
        </is>
      </c>
      <c r="E1221" s="69" t="inlineStr">
        <is>
          <t>Kossman Retail Portfolio</t>
        </is>
      </c>
      <c r="F1221" s="69" t="inlineStr">
        <is>
          <t>LNBCMK18B6-43.000</t>
        </is>
      </c>
      <c r="G1221" s="70" t="n"/>
      <c r="H1221" s="71" t="n">
        <v>8000000</v>
      </c>
      <c r="I1221" s="71" t="n">
        <v>8000000</v>
      </c>
      <c r="J1221" s="72" t="n">
        <v>4.615</v>
      </c>
      <c r="K1221" s="69" t="inlineStr">
        <is>
          <t>Fixed rate</t>
        </is>
      </c>
      <c r="L1221" s="68" t="n">
        <v>120</v>
      </c>
      <c r="M1221" s="68" t="n">
        <v>23</v>
      </c>
      <c r="N1221" s="68" t="n">
        <v>120</v>
      </c>
      <c r="O1221" s="68" t="n">
        <v>120</v>
      </c>
      <c r="P1221" s="68" t="n">
        <v>23</v>
      </c>
      <c r="Q1221" s="68" t="n">
        <v>97</v>
      </c>
      <c r="R1221" s="69" t="inlineStr">
        <is>
          <t>IO</t>
        </is>
      </c>
      <c r="S1221" s="69" t="inlineStr">
        <is>
          <t>Yes</t>
        </is>
      </c>
      <c r="T1221" s="73" t="n">
        <v>43313</v>
      </c>
      <c r="U1221" s="73" t="n">
        <v>46971</v>
      </c>
      <c r="V1221" s="73" t="n"/>
      <c r="W1221" s="69" t="n"/>
      <c r="X1221" s="69" t="inlineStr">
        <is>
          <t>Current</t>
        </is>
      </c>
      <c r="Y1221" s="68" t="n"/>
      <c r="Z1221" s="69" t="inlineStr">
        <is>
          <t>No Defeasance Occurred</t>
        </is>
      </c>
      <c r="AA1221" s="69" t="inlineStr">
        <is>
          <t>Previously</t>
        </is>
      </c>
      <c r="AB1221" s="69" t="inlineStr">
        <is>
          <t>Never special serv</t>
        </is>
      </c>
      <c r="AC1221" s="73" t="n"/>
      <c r="AD1221" s="69" t="n"/>
      <c r="AE1221" s="69" t="n"/>
      <c r="AF1221" s="69" t="inlineStr">
        <is>
          <t>TX</t>
        </is>
      </c>
      <c r="AG1221" s="69" t="n"/>
      <c r="AH1221" s="69" t="inlineStr">
        <is>
          <t>Dallas-Fort Worth-Arlington, TX</t>
        </is>
      </c>
      <c r="AI1221" s="69" t="inlineStr">
        <is>
          <t>South / Central West</t>
        </is>
      </c>
      <c r="AJ1221" s="69" t="inlineStr">
        <is>
          <t>RT</t>
        </is>
      </c>
      <c r="AK1221" s="69" t="inlineStr">
        <is>
          <t>Anchored</t>
        </is>
      </c>
      <c r="AL1221" s="68" t="n">
        <v>2</v>
      </c>
      <c r="AM1221" s="68" t="n"/>
      <c r="AN1221" s="68" t="n">
        <v>102070</v>
      </c>
      <c r="AO1221" s="69" t="n"/>
      <c r="AP1221" s="70" t="n">
        <v>2005</v>
      </c>
      <c r="AQ1221" s="74" t="n">
        <v>3</v>
      </c>
      <c r="AR1221" s="74" t="n">
        <v>3.62</v>
      </c>
      <c r="AS1221" s="74" t="n">
        <v>44.4</v>
      </c>
      <c r="AT1221" s="74" t="n">
        <v>44.44</v>
      </c>
      <c r="AU1221" s="74" t="n">
        <v>44.4</v>
      </c>
      <c r="AV1221" s="74" t="n">
        <v>14.0539375</v>
      </c>
      <c r="AW1221" s="74" t="n">
        <v>15.736882875</v>
      </c>
      <c r="AX1221" s="75" t="n">
        <v>93</v>
      </c>
      <c r="AY1221" s="71" t="n">
        <v>18000000</v>
      </c>
      <c r="AZ1221" s="71" t="n">
        <v>18000000</v>
      </c>
      <c r="BA1221" s="71" t="n">
        <v>1124315</v>
      </c>
      <c r="BB1221" s="71" t="n">
        <v>674868.3100000001</v>
      </c>
      <c r="BC1221" s="69" t="inlineStr">
        <is>
          <t>Refinance</t>
        </is>
      </c>
      <c r="BD1221" s="69" t="inlineStr">
        <is>
          <t>N</t>
        </is>
      </c>
      <c r="BE1221" s="71" t="n"/>
      <c r="BF1221" s="71" t="n"/>
      <c r="BG1221" s="71" t="n"/>
      <c r="BH1221" s="71" t="n">
        <v>0</v>
      </c>
      <c r="BI1221" s="71" t="n">
        <v>0</v>
      </c>
      <c r="BJ1221" s="69" t="inlineStr">
        <is>
          <t>N</t>
        </is>
      </c>
      <c r="BK1221" s="69" t="inlineStr">
        <is>
          <t>Gold's Texas Holdings</t>
        </is>
      </c>
      <c r="BL1221" s="75" t="n">
        <v>33.91</v>
      </c>
      <c r="BM1221" s="73" t="n">
        <v>48213</v>
      </c>
      <c r="BN1221" s="69" t="inlineStr">
        <is>
          <t>Town Development Inc.</t>
        </is>
      </c>
      <c r="BO1221" s="69" t="inlineStr">
        <is>
          <t>GACC</t>
        </is>
      </c>
      <c r="BP1221" s="69" t="inlineStr">
        <is>
          <t>KeyBank National Association</t>
        </is>
      </c>
      <c r="BQ1221" s="69" t="inlineStr">
        <is>
          <t>K-Star Asset Management LLC</t>
        </is>
      </c>
      <c r="BR1221" s="69" t="n"/>
      <c r="BS1221" s="73" t="n">
        <v>46273</v>
      </c>
      <c r="BU1221" s="76">
        <f>IF($C1221="","",IFERROR(INDEX(dmName,MATCH($C1221,dmID,0)),"Unmapped"))</f>
        <v/>
      </c>
      <c r="BV1221" s="76">
        <f>IF($C1221="","",IFERROR(INDEX(dmEntity,MATCH($C1221,dmID,0)),"Unmapped"))</f>
        <v/>
      </c>
      <c r="BW1221" s="77">
        <f>IF($C1221="","",IFERROR(INDEX(dmVintage,MATCH($C1221,dmID,0)),""))</f>
        <v/>
      </c>
      <c r="BX1221" s="78">
        <f>IFERROR(INDEX(dmInclude,MATCH($C1221,dmID,0)),0)</f>
        <v/>
      </c>
      <c r="BY1221" s="78">
        <f>IF(N($I1221)&gt;0,1,0)</f>
        <v/>
      </c>
      <c r="BZ1221" s="76">
        <f>IF($AJ1221="","Other / Leased Fee",IFERROR(INDEX(mapPTGroup,MATCH(LEFT(TRIM($AJ1221),2),mapPTCode,0)),"Other / Leased Fee"))</f>
        <v/>
      </c>
      <c r="CA1221" s="76">
        <f>IF(TRIM($AF1221&amp;"")="","NR",LEFT(TRIM($AF1221),2))</f>
        <v/>
      </c>
      <c r="CB1221" s="76">
        <f>IFERROR(LOOKUP(2,1/(LEFT(TRIM($AI1221&amp;""),LEN(mapRegion))=mapRegion),mapRegion),"Not Reported")</f>
        <v/>
      </c>
      <c r="CC1221" s="76">
        <f>IF($BY1221=0,"",IF(TRIM($W1221&amp;"")="REO","REO",IF(TRIM($W1221&amp;"")="FC","Foreclosure",IF(TRIM($W1221&amp;"")="90+","90+ Days Delinquent",IF(TRIM($W1221&amp;"")="60","60 Days Delinquent",IF(TRIM($W1221&amp;"")="30","30 Days Delinquent",IF($X1221="Non-Performing Matured Balloon","Non-Performing Matured Balloon",IF(OR($X1221="Late Payment But Less Than 30 Days Delinquent",LEFT($X1221&amp;"",20)="Payment Not Received"),"Late / In Grace (&lt;30 Days)",IF($X1221="Performing Matured Balloon","Performing Matured Balloon","Current")))))))))</f>
        <v/>
      </c>
      <c r="CD1221" s="78">
        <f>IF(OR($CC1221="REO",$CC1221="Foreclosure",$CC1221="90+ Days Delinquent",$CC1221="60 Days Delinquent",$CC1221="30 Days Delinquent",$CC1221="Non-Performing Matured Balloon"),1,0)</f>
        <v/>
      </c>
      <c r="CE1221" s="76">
        <f>IF($AB1221="Currently special serv","Currently Specially Serviced",IF($AB1221="Returned to master serv","Previously Specially Serviced","Never Specially Serviced"))</f>
        <v/>
      </c>
      <c r="CF1221" s="78">
        <f>IF($CE1221="Currently Specially Serviced",1,0)</f>
        <v/>
      </c>
      <c r="CG1221" s="76">
        <f>IF($AA1221="Yes","Currently on Watchlist",IF($AA1221="Previously","Previously on Watchlist","Never on Watchlist"))</f>
        <v/>
      </c>
      <c r="CH1221" s="78">
        <f>IF($CG1221="Currently on Watchlist",1,0)</f>
        <v/>
      </c>
      <c r="CI1221" s="76">
        <f>IF($Z1221="Full Defeasance","Fully Defeased",IF($Z1221="Portion Of Loan Previously Defeased","Partially Defeased",IF($Z1221="Defeasance Not Allowable","Not Defeased (Not Permitted)","Not Defeased")))</f>
        <v/>
      </c>
      <c r="CJ1221" s="78">
        <f>IF($CI1221="Fully Defeased",1,0)</f>
        <v/>
      </c>
      <c r="CK1221" s="76">
        <f>IF($R1221="IO","Full IO",IF(LEFT($R1221&amp;"",7)="IO then","Partial IO","Amortizing"))</f>
        <v/>
      </c>
      <c r="CL1221" s="78">
        <f>IF($CK1221="Full IO",1,0)</f>
        <v/>
      </c>
      <c r="CM1221" s="78">
        <f>IF($CK1221="Partial IO",1,0)</f>
        <v/>
      </c>
      <c r="CN1221" s="76">
        <f>IF(LEFT($F1221&amp;"",10)="SPLIT_LOAN","Pari Passu Split","Standalone")</f>
        <v/>
      </c>
      <c r="CO1221" s="78">
        <f>IF($CN1221="Pari Passu Split",1,0)</f>
        <v/>
      </c>
      <c r="CP1221" s="77">
        <f>IF(ISNUMBER($T1221),YEAR($T1221),"")</f>
        <v/>
      </c>
      <c r="CQ1221" s="79">
        <f>IF(ISNUMBER($V1221),$V1221,IF(ISNUMBER($U1221),$U1221,""))</f>
        <v/>
      </c>
      <c r="CR1221" s="77">
        <f>IF(ISNUMBER($CQ1221),YEAR($CQ1221),"")</f>
        <v/>
      </c>
      <c r="CS1221" s="78">
        <f>IF(ISNUMBER($M1221),MAX(0,$M1221),IF(TRIM($M1221&amp;"")="matured",0,""))</f>
        <v/>
      </c>
      <c r="CT1221" s="78">
        <f>IF(AND(ISNUMBER($CS1221),N($CS1221)&lt;=mMatWindow),1,0)</f>
        <v/>
      </c>
      <c r="CU1221" s="80">
        <f>IF(ISNUMBER($J1221),$J1221/100,"")</f>
        <v/>
      </c>
      <c r="CV1221" s="81">
        <f>IF(ISNUMBER($AQ1221),$AQ1221,"")</f>
        <v/>
      </c>
      <c r="CW1221" s="81">
        <f>IF(ISNUMBER($AR1221),$AR1221,"")</f>
        <v/>
      </c>
      <c r="CX1221" s="82">
        <f>IF(ISNUMBER($AS1221),$AS1221/100,"")</f>
        <v/>
      </c>
      <c r="CY1221" s="82">
        <f>IF(ISNUMBER($AT1221),$AT1221/100,"")</f>
        <v/>
      </c>
      <c r="CZ1221" s="82">
        <f>IF(ISNUMBER($AU1221),$AU1221/100,"")</f>
        <v/>
      </c>
      <c r="DA1221" s="82">
        <f>IF(ISNUMBER($AV1221),$AV1221/100,"")</f>
        <v/>
      </c>
      <c r="DB1221" s="82">
        <f>IF(ISNUMBER($AW1221),$AW1221/100,"")</f>
        <v/>
      </c>
      <c r="DC1221" s="82">
        <f>IF(ISNUMBER($AX1221),$AX1221/100,"")</f>
        <v/>
      </c>
      <c r="DD1221" s="77">
        <f>IFERROR(VALUE(LEFT(TRIM($AO1221&amp;""),4)),"")</f>
        <v/>
      </c>
      <c r="DE1221" s="78">
        <f>IF(AND($BY1221=1,$BX1221=1,OR(fDeal="All Deals",$BU1221=fDeal),OR(fEntity="All Entities",$BV1221=fEntity),OR(fPType="All Property Types",$BZ1221=fPType),OR(fDefeased="Include",$CJ1221=0)),1,0)</f>
        <v/>
      </c>
      <c r="DF1221" s="83">
        <f>$DE1221*N($I1221)</f>
        <v/>
      </c>
      <c r="DG1221" s="78">
        <f>IF($DE1221=1,IF(COUNTIFS($F$8:$F1221,$F1221,$DE$8:$DE1221,1)=1,1,0),0)</f>
        <v/>
      </c>
      <c r="DH1221" s="83">
        <f>IF($DG1221=1,SUMIFS($DF$8:$DF$1600,$F$8:$F$1600,$F1221),0)</f>
        <v/>
      </c>
      <c r="DI1221" s="78">
        <f>IF($DG1221=1,COUNTIFS($F$8:$F$1600,$F1221,$DE$8:$DE$1600,1),0)</f>
        <v/>
      </c>
      <c r="DJ1221" s="84">
        <f>IF($DG1221=1,$DH1221+(100000-ROW())/mTieBreak,0)</f>
        <v/>
      </c>
    </row>
    <row r="1222">
      <c r="B1222" s="68" t="n">
        <v>44</v>
      </c>
      <c r="C1222" s="69" t="inlineStr">
        <is>
          <t>BCMK18B6</t>
        </is>
      </c>
      <c r="D1222" s="69" t="inlineStr">
        <is>
          <t>44.000</t>
        </is>
      </c>
      <c r="E1222" s="69" t="inlineStr">
        <is>
          <t>Comal Apartments</t>
        </is>
      </c>
      <c r="F1222" s="69" t="inlineStr">
        <is>
          <t>LNBCMK18B6-44.000</t>
        </is>
      </c>
      <c r="G1222" s="70" t="n"/>
      <c r="H1222" s="71" t="n">
        <v>7050000</v>
      </c>
      <c r="I1222" s="71" t="n">
        <v>6507424.10999955</v>
      </c>
      <c r="J1222" s="72" t="n">
        <v>4.948</v>
      </c>
      <c r="K1222" s="69" t="inlineStr">
        <is>
          <t>Fixed rate</t>
        </is>
      </c>
      <c r="L1222" s="68" t="n">
        <v>120</v>
      </c>
      <c r="M1222" s="68" t="n">
        <v>25</v>
      </c>
      <c r="N1222" s="68" t="n">
        <v>396</v>
      </c>
      <c r="O1222" s="68" t="n">
        <v>36</v>
      </c>
      <c r="P1222" s="68" t="n">
        <v>0</v>
      </c>
      <c r="Q1222" s="68" t="n">
        <v>95</v>
      </c>
      <c r="R1222" s="69" t="inlineStr">
        <is>
          <t>IO then Amort</t>
        </is>
      </c>
      <c r="S1222" s="69" t="inlineStr">
        <is>
          <t>No</t>
        </is>
      </c>
      <c r="T1222" s="73" t="n">
        <v>43374</v>
      </c>
      <c r="U1222" s="73" t="n">
        <v>47032</v>
      </c>
      <c r="V1222" s="73" t="n"/>
      <c r="W1222" s="69" t="n"/>
      <c r="X1222" s="69" t="inlineStr">
        <is>
          <t>Current</t>
        </is>
      </c>
      <c r="Y1222" s="68" t="n"/>
      <c r="Z1222" s="69" t="inlineStr">
        <is>
          <t>No Defeasance Occurred</t>
        </is>
      </c>
      <c r="AA1222" s="69" t="n"/>
      <c r="AB1222" s="69" t="inlineStr">
        <is>
          <t>Never special serv</t>
        </is>
      </c>
      <c r="AC1222" s="73" t="n"/>
      <c r="AD1222" s="69" t="n"/>
      <c r="AE1222" s="69" t="n"/>
      <c r="AF1222" s="69" t="inlineStr">
        <is>
          <t>TX</t>
        </is>
      </c>
      <c r="AG1222" s="69" t="inlineStr">
        <is>
          <t>New Braunfels</t>
        </is>
      </c>
      <c r="AH1222" s="69" t="inlineStr">
        <is>
          <t>San Antonio-New Braunfels, TX</t>
        </is>
      </c>
      <c r="AI1222" s="69" t="inlineStr">
        <is>
          <t>South / Central West</t>
        </is>
      </c>
      <c r="AJ1222" s="69" t="inlineStr">
        <is>
          <t>MF</t>
        </is>
      </c>
      <c r="AK1222" s="69" t="inlineStr">
        <is>
          <t>Garden</t>
        </is>
      </c>
      <c r="AL1222" s="68" t="n">
        <v>1</v>
      </c>
      <c r="AM1222" s="68" t="n">
        <v>171</v>
      </c>
      <c r="AN1222" s="68" t="n"/>
      <c r="AO1222" s="69" t="inlineStr">
        <is>
          <t>2008</t>
        </is>
      </c>
      <c r="AP1222" s="70" t="n">
        <v>2013</v>
      </c>
      <c r="AQ1222" s="74" t="n">
        <v>1.85</v>
      </c>
      <c r="AR1222" s="74" t="n">
        <v>1.98</v>
      </c>
      <c r="AS1222" s="74" t="n">
        <v>73.40000000000001</v>
      </c>
      <c r="AT1222" s="74" t="n">
        <v>67.79000000000001</v>
      </c>
      <c r="AU1222" s="74" t="n">
        <v>64.90000000000001</v>
      </c>
      <c r="AV1222" s="74" t="n">
        <v>11.815489362</v>
      </c>
      <c r="AW1222" s="74" t="n">
        <v>13.154779918</v>
      </c>
      <c r="AX1222" s="75" t="n">
        <v>92</v>
      </c>
      <c r="AY1222" s="71" t="n">
        <v>9600000</v>
      </c>
      <c r="AZ1222" s="71" t="n">
        <v>9600000</v>
      </c>
      <c r="BA1222" s="71" t="n">
        <v>832992</v>
      </c>
      <c r="BB1222" s="71" t="n">
        <v>447027.07</v>
      </c>
      <c r="BC1222" s="69" t="inlineStr">
        <is>
          <t>Refinance</t>
        </is>
      </c>
      <c r="BD1222" s="69" t="inlineStr">
        <is>
          <t>N</t>
        </is>
      </c>
      <c r="BE1222" s="71" t="n"/>
      <c r="BF1222" s="71" t="n"/>
      <c r="BG1222" s="71" t="n"/>
      <c r="BH1222" s="71" t="n">
        <v>0</v>
      </c>
      <c r="BI1222" s="71" t="n">
        <v>0</v>
      </c>
      <c r="BJ1222" s="69" t="inlineStr">
        <is>
          <t>N</t>
        </is>
      </c>
      <c r="BK1222" s="69" t="n"/>
      <c r="BL1222" s="75" t="n"/>
      <c r="BM1222" s="73" t="n"/>
      <c r="BN1222" s="69" t="inlineStr">
        <is>
          <t>Doyle Walsh</t>
        </is>
      </c>
      <c r="BO1222" s="69" t="inlineStr">
        <is>
          <t>GACC</t>
        </is>
      </c>
      <c r="BP1222" s="69" t="inlineStr">
        <is>
          <t>KeyBank National Association</t>
        </is>
      </c>
      <c r="BQ1222" s="69" t="inlineStr">
        <is>
          <t>K-Star Asset Management LLC</t>
        </is>
      </c>
      <c r="BR1222" s="69" t="n"/>
      <c r="BS1222" s="73" t="n">
        <v>46273</v>
      </c>
      <c r="BU1222" s="76">
        <f>IF($C1222="","",IFERROR(INDEX(dmName,MATCH($C1222,dmID,0)),"Unmapped"))</f>
        <v/>
      </c>
      <c r="BV1222" s="76">
        <f>IF($C1222="","",IFERROR(INDEX(dmEntity,MATCH($C1222,dmID,0)),"Unmapped"))</f>
        <v/>
      </c>
      <c r="BW1222" s="77">
        <f>IF($C1222="","",IFERROR(INDEX(dmVintage,MATCH($C1222,dmID,0)),""))</f>
        <v/>
      </c>
      <c r="BX1222" s="78">
        <f>IFERROR(INDEX(dmInclude,MATCH($C1222,dmID,0)),0)</f>
        <v/>
      </c>
      <c r="BY1222" s="78">
        <f>IF(N($I1222)&gt;0,1,0)</f>
        <v/>
      </c>
      <c r="BZ1222" s="76">
        <f>IF($AJ1222="","Other / Leased Fee",IFERROR(INDEX(mapPTGroup,MATCH(LEFT(TRIM($AJ1222),2),mapPTCode,0)),"Other / Leased Fee"))</f>
        <v/>
      </c>
      <c r="CA1222" s="76">
        <f>IF(TRIM($AF1222&amp;"")="","NR",LEFT(TRIM($AF1222),2))</f>
        <v/>
      </c>
      <c r="CB1222" s="76">
        <f>IFERROR(LOOKUP(2,1/(LEFT(TRIM($AI1222&amp;""),LEN(mapRegion))=mapRegion),mapRegion),"Not Reported")</f>
        <v/>
      </c>
      <c r="CC1222" s="76">
        <f>IF($BY1222=0,"",IF(TRIM($W1222&amp;"")="REO","REO",IF(TRIM($W1222&amp;"")="FC","Foreclosure",IF(TRIM($W1222&amp;"")="90+","90+ Days Delinquent",IF(TRIM($W1222&amp;"")="60","60 Days Delinquent",IF(TRIM($W1222&amp;"")="30","30 Days Delinquent",IF($X1222="Non-Performing Matured Balloon","Non-Performing Matured Balloon",IF(OR($X1222="Late Payment But Less Than 30 Days Delinquent",LEFT($X1222&amp;"",20)="Payment Not Received"),"Late / In Grace (&lt;30 Days)",IF($X1222="Performing Matured Balloon","Performing Matured Balloon","Current")))))))))</f>
        <v/>
      </c>
      <c r="CD1222" s="78">
        <f>IF(OR($CC1222="REO",$CC1222="Foreclosure",$CC1222="90+ Days Delinquent",$CC1222="60 Days Delinquent",$CC1222="30 Days Delinquent",$CC1222="Non-Performing Matured Balloon"),1,0)</f>
        <v/>
      </c>
      <c r="CE1222" s="76">
        <f>IF($AB1222="Currently special serv","Currently Specially Serviced",IF($AB1222="Returned to master serv","Previously Specially Serviced","Never Specially Serviced"))</f>
        <v/>
      </c>
      <c r="CF1222" s="78">
        <f>IF($CE1222="Currently Specially Serviced",1,0)</f>
        <v/>
      </c>
      <c r="CG1222" s="76">
        <f>IF($AA1222="Yes","Currently on Watchlist",IF($AA1222="Previously","Previously on Watchlist","Never on Watchlist"))</f>
        <v/>
      </c>
      <c r="CH1222" s="78">
        <f>IF($CG1222="Currently on Watchlist",1,0)</f>
        <v/>
      </c>
      <c r="CI1222" s="76">
        <f>IF($Z1222="Full Defeasance","Fully Defeased",IF($Z1222="Portion Of Loan Previously Defeased","Partially Defeased",IF($Z1222="Defeasance Not Allowable","Not Defeased (Not Permitted)","Not Defeased")))</f>
        <v/>
      </c>
      <c r="CJ1222" s="78">
        <f>IF($CI1222="Fully Defeased",1,0)</f>
        <v/>
      </c>
      <c r="CK1222" s="76">
        <f>IF($R1222="IO","Full IO",IF(LEFT($R1222&amp;"",7)="IO then","Partial IO","Amortizing"))</f>
        <v/>
      </c>
      <c r="CL1222" s="78">
        <f>IF($CK1222="Full IO",1,0)</f>
        <v/>
      </c>
      <c r="CM1222" s="78">
        <f>IF($CK1222="Partial IO",1,0)</f>
        <v/>
      </c>
      <c r="CN1222" s="76">
        <f>IF(LEFT($F1222&amp;"",10)="SPLIT_LOAN","Pari Passu Split","Standalone")</f>
        <v/>
      </c>
      <c r="CO1222" s="78">
        <f>IF($CN1222="Pari Passu Split",1,0)</f>
        <v/>
      </c>
      <c r="CP1222" s="77">
        <f>IF(ISNUMBER($T1222),YEAR($T1222),"")</f>
        <v/>
      </c>
      <c r="CQ1222" s="79">
        <f>IF(ISNUMBER($V1222),$V1222,IF(ISNUMBER($U1222),$U1222,""))</f>
        <v/>
      </c>
      <c r="CR1222" s="77">
        <f>IF(ISNUMBER($CQ1222),YEAR($CQ1222),"")</f>
        <v/>
      </c>
      <c r="CS1222" s="78">
        <f>IF(ISNUMBER($M1222),MAX(0,$M1222),IF(TRIM($M1222&amp;"")="matured",0,""))</f>
        <v/>
      </c>
      <c r="CT1222" s="78">
        <f>IF(AND(ISNUMBER($CS1222),N($CS1222)&lt;=mMatWindow),1,0)</f>
        <v/>
      </c>
      <c r="CU1222" s="80">
        <f>IF(ISNUMBER($J1222),$J1222/100,"")</f>
        <v/>
      </c>
      <c r="CV1222" s="81">
        <f>IF(ISNUMBER($AQ1222),$AQ1222,"")</f>
        <v/>
      </c>
      <c r="CW1222" s="81">
        <f>IF(ISNUMBER($AR1222),$AR1222,"")</f>
        <v/>
      </c>
      <c r="CX1222" s="82">
        <f>IF(ISNUMBER($AS1222),$AS1222/100,"")</f>
        <v/>
      </c>
      <c r="CY1222" s="82">
        <f>IF(ISNUMBER($AT1222),$AT1222/100,"")</f>
        <v/>
      </c>
      <c r="CZ1222" s="82">
        <f>IF(ISNUMBER($AU1222),$AU1222/100,"")</f>
        <v/>
      </c>
      <c r="DA1222" s="82">
        <f>IF(ISNUMBER($AV1222),$AV1222/100,"")</f>
        <v/>
      </c>
      <c r="DB1222" s="82">
        <f>IF(ISNUMBER($AW1222),$AW1222/100,"")</f>
        <v/>
      </c>
      <c r="DC1222" s="82">
        <f>IF(ISNUMBER($AX1222),$AX1222/100,"")</f>
        <v/>
      </c>
      <c r="DD1222" s="77">
        <f>IFERROR(VALUE(LEFT(TRIM($AO1222&amp;""),4)),"")</f>
        <v/>
      </c>
      <c r="DE1222" s="78">
        <f>IF(AND($BY1222=1,$BX1222=1,OR(fDeal="All Deals",$BU1222=fDeal),OR(fEntity="All Entities",$BV1222=fEntity),OR(fPType="All Property Types",$BZ1222=fPType),OR(fDefeased="Include",$CJ1222=0)),1,0)</f>
        <v/>
      </c>
      <c r="DF1222" s="83">
        <f>$DE1222*N($I1222)</f>
        <v/>
      </c>
      <c r="DG1222" s="78">
        <f>IF($DE1222=1,IF(COUNTIFS($F$8:$F1222,$F1222,$DE$8:$DE1222,1)=1,1,0),0)</f>
        <v/>
      </c>
      <c r="DH1222" s="83">
        <f>IF($DG1222=1,SUMIFS($DF$8:$DF$1600,$F$8:$F$1600,$F1222),0)</f>
        <v/>
      </c>
      <c r="DI1222" s="78">
        <f>IF($DG1222=1,COUNTIFS($F$8:$F$1600,$F1222,$DE$8:$DE$1600,1),0)</f>
        <v/>
      </c>
      <c r="DJ1222" s="84">
        <f>IF($DG1222=1,$DH1222+(100000-ROW())/mTieBreak,0)</f>
        <v/>
      </c>
    </row>
    <row r="1223">
      <c r="B1223" s="68" t="n">
        <v>45</v>
      </c>
      <c r="C1223" s="69" t="inlineStr">
        <is>
          <t>BCMK18B6</t>
        </is>
      </c>
      <c r="D1223" s="69" t="inlineStr">
        <is>
          <t>45.000</t>
        </is>
      </c>
      <c r="E1223" s="69" t="inlineStr">
        <is>
          <t>Constellation Commons</t>
        </is>
      </c>
      <c r="F1223" s="69" t="inlineStr">
        <is>
          <t>LNBCMK18B6-45.000</t>
        </is>
      </c>
      <c r="G1223" s="70" t="n"/>
      <c r="H1223" s="71" t="n">
        <v>6720000</v>
      </c>
      <c r="I1223" s="71" t="n">
        <v>6308601.52999776</v>
      </c>
      <c r="J1223" s="72" t="n">
        <v>5.058</v>
      </c>
      <c r="K1223" s="69" t="inlineStr">
        <is>
          <t>Fixed rate</t>
        </is>
      </c>
      <c r="L1223" s="68" t="n">
        <v>120</v>
      </c>
      <c r="M1223" s="68" t="n">
        <v>23</v>
      </c>
      <c r="N1223" s="68" t="n">
        <v>408</v>
      </c>
      <c r="O1223" s="68" t="n">
        <v>48</v>
      </c>
      <c r="P1223" s="68" t="n">
        <v>0</v>
      </c>
      <c r="Q1223" s="68" t="n">
        <v>97</v>
      </c>
      <c r="R1223" s="69" t="inlineStr">
        <is>
          <t>IO then Amort</t>
        </is>
      </c>
      <c r="S1223" s="69" t="inlineStr">
        <is>
          <t>No</t>
        </is>
      </c>
      <c r="T1223" s="73" t="n">
        <v>43313</v>
      </c>
      <c r="U1223" s="73" t="n">
        <v>46971</v>
      </c>
      <c r="V1223" s="73" t="n"/>
      <c r="W1223" s="69" t="n"/>
      <c r="X1223" s="69" t="inlineStr">
        <is>
          <t>Current</t>
        </is>
      </c>
      <c r="Y1223" s="68" t="n"/>
      <c r="Z1223" s="69" t="inlineStr">
        <is>
          <t>No Defeasance Occurred</t>
        </is>
      </c>
      <c r="AA1223" s="69" t="inlineStr">
        <is>
          <t>Previously</t>
        </is>
      </c>
      <c r="AB1223" s="69" t="inlineStr">
        <is>
          <t>Never special serv</t>
        </is>
      </c>
      <c r="AC1223" s="73" t="n"/>
      <c r="AD1223" s="69" t="n"/>
      <c r="AE1223" s="69" t="n"/>
      <c r="AF1223" s="69" t="inlineStr">
        <is>
          <t>FL</t>
        </is>
      </c>
      <c r="AG1223" s="69" t="inlineStr">
        <is>
          <t>Melbourne</t>
        </is>
      </c>
      <c r="AH1223" s="69" t="inlineStr">
        <is>
          <t>Palm Bay-Melbourne-Titusville, FL</t>
        </is>
      </c>
      <c r="AI1223" s="69" t="inlineStr">
        <is>
          <t>South / Atlantic</t>
        </is>
      </c>
      <c r="AJ1223" s="69" t="inlineStr">
        <is>
          <t>RT</t>
        </is>
      </c>
      <c r="AK1223" s="69" t="inlineStr">
        <is>
          <t>Anchored</t>
        </is>
      </c>
      <c r="AL1223" s="68" t="n">
        <v>1</v>
      </c>
      <c r="AM1223" s="68" t="n"/>
      <c r="AN1223" s="68" t="n">
        <v>42685</v>
      </c>
      <c r="AO1223" s="69" t="inlineStr">
        <is>
          <t>2016</t>
        </is>
      </c>
      <c r="AP1223" s="70" t="n">
        <v>2016</v>
      </c>
      <c r="AQ1223" s="74" t="n">
        <v>1.34</v>
      </c>
      <c r="AR1223" s="74" t="n">
        <v>1.5</v>
      </c>
      <c r="AS1223" s="74" t="n">
        <v>69.09999999999999</v>
      </c>
      <c r="AT1223" s="74" t="n">
        <v>65.04000000000001</v>
      </c>
      <c r="AU1223" s="74" t="n">
        <v>62.5</v>
      </c>
      <c r="AV1223" s="74" t="n">
        <v>8.676041667</v>
      </c>
      <c r="AW1223" s="74" t="n">
        <v>11.115762926</v>
      </c>
      <c r="AX1223" s="75" t="n">
        <v>100</v>
      </c>
      <c r="AY1223" s="71" t="n">
        <v>9730000</v>
      </c>
      <c r="AZ1223" s="71" t="n">
        <v>9700000</v>
      </c>
      <c r="BA1223" s="71" t="n">
        <v>583030</v>
      </c>
      <c r="BB1223" s="71" t="n">
        <v>326796.53</v>
      </c>
      <c r="BC1223" s="69" t="inlineStr">
        <is>
          <t>Acquisition</t>
        </is>
      </c>
      <c r="BD1223" s="69" t="inlineStr">
        <is>
          <t>N</t>
        </is>
      </c>
      <c r="BE1223" s="71" t="n"/>
      <c r="BF1223" s="71" t="n"/>
      <c r="BG1223" s="71" t="n"/>
      <c r="BH1223" s="71" t="n">
        <v>0</v>
      </c>
      <c r="BI1223" s="71" t="n">
        <v>0</v>
      </c>
      <c r="BJ1223" s="69" t="inlineStr">
        <is>
          <t>N</t>
        </is>
      </c>
      <c r="BK1223" s="69" t="inlineStr">
        <is>
          <t>Goodwill Industries of Houston Inc.</t>
        </is>
      </c>
      <c r="BL1223" s="75" t="n">
        <v>52.52</v>
      </c>
      <c r="BM1223" s="73" t="n">
        <v>48182</v>
      </c>
      <c r="BN1223" s="69" t="inlineStr">
        <is>
          <t>Michael K. Damboise and Elizabeth A. Damboise</t>
        </is>
      </c>
      <c r="BO1223" s="69" t="inlineStr">
        <is>
          <t>GACC</t>
        </is>
      </c>
      <c r="BP1223" s="69" t="inlineStr">
        <is>
          <t>KeyBank National Association</t>
        </is>
      </c>
      <c r="BQ1223" s="69" t="inlineStr">
        <is>
          <t>K-Star Asset Management LLC</t>
        </is>
      </c>
      <c r="BR1223" s="69" t="n"/>
      <c r="BS1223" s="73" t="n">
        <v>46273</v>
      </c>
      <c r="BU1223" s="76">
        <f>IF($C1223="","",IFERROR(INDEX(dmName,MATCH($C1223,dmID,0)),"Unmapped"))</f>
        <v/>
      </c>
      <c r="BV1223" s="76">
        <f>IF($C1223="","",IFERROR(INDEX(dmEntity,MATCH($C1223,dmID,0)),"Unmapped"))</f>
        <v/>
      </c>
      <c r="BW1223" s="77">
        <f>IF($C1223="","",IFERROR(INDEX(dmVintage,MATCH($C1223,dmID,0)),""))</f>
        <v/>
      </c>
      <c r="BX1223" s="78">
        <f>IFERROR(INDEX(dmInclude,MATCH($C1223,dmID,0)),0)</f>
        <v/>
      </c>
      <c r="BY1223" s="78">
        <f>IF(N($I1223)&gt;0,1,0)</f>
        <v/>
      </c>
      <c r="BZ1223" s="76">
        <f>IF($AJ1223="","Other / Leased Fee",IFERROR(INDEX(mapPTGroup,MATCH(LEFT(TRIM($AJ1223),2),mapPTCode,0)),"Other / Leased Fee"))</f>
        <v/>
      </c>
      <c r="CA1223" s="76">
        <f>IF(TRIM($AF1223&amp;"")="","NR",LEFT(TRIM($AF1223),2))</f>
        <v/>
      </c>
      <c r="CB1223" s="76">
        <f>IFERROR(LOOKUP(2,1/(LEFT(TRIM($AI1223&amp;""),LEN(mapRegion))=mapRegion),mapRegion),"Not Reported")</f>
        <v/>
      </c>
      <c r="CC1223" s="76">
        <f>IF($BY1223=0,"",IF(TRIM($W1223&amp;"")="REO","REO",IF(TRIM($W1223&amp;"")="FC","Foreclosure",IF(TRIM($W1223&amp;"")="90+","90+ Days Delinquent",IF(TRIM($W1223&amp;"")="60","60 Days Delinquent",IF(TRIM($W1223&amp;"")="30","30 Days Delinquent",IF($X1223="Non-Performing Matured Balloon","Non-Performing Matured Balloon",IF(OR($X1223="Late Payment But Less Than 30 Days Delinquent",LEFT($X1223&amp;"",20)="Payment Not Received"),"Late / In Grace (&lt;30 Days)",IF($X1223="Performing Matured Balloon","Performing Matured Balloon","Current")))))))))</f>
        <v/>
      </c>
      <c r="CD1223" s="78">
        <f>IF(OR($CC1223="REO",$CC1223="Foreclosure",$CC1223="90+ Days Delinquent",$CC1223="60 Days Delinquent",$CC1223="30 Days Delinquent",$CC1223="Non-Performing Matured Balloon"),1,0)</f>
        <v/>
      </c>
      <c r="CE1223" s="76">
        <f>IF($AB1223="Currently special serv","Currently Specially Serviced",IF($AB1223="Returned to master serv","Previously Specially Serviced","Never Specially Serviced"))</f>
        <v/>
      </c>
      <c r="CF1223" s="78">
        <f>IF($CE1223="Currently Specially Serviced",1,0)</f>
        <v/>
      </c>
      <c r="CG1223" s="76">
        <f>IF($AA1223="Yes","Currently on Watchlist",IF($AA1223="Previously","Previously on Watchlist","Never on Watchlist"))</f>
        <v/>
      </c>
      <c r="CH1223" s="78">
        <f>IF($CG1223="Currently on Watchlist",1,0)</f>
        <v/>
      </c>
      <c r="CI1223" s="76">
        <f>IF($Z1223="Full Defeasance","Fully Defeased",IF($Z1223="Portion Of Loan Previously Defeased","Partially Defeased",IF($Z1223="Defeasance Not Allowable","Not Defeased (Not Permitted)","Not Defeased")))</f>
        <v/>
      </c>
      <c r="CJ1223" s="78">
        <f>IF($CI1223="Fully Defeased",1,0)</f>
        <v/>
      </c>
      <c r="CK1223" s="76">
        <f>IF($R1223="IO","Full IO",IF(LEFT($R1223&amp;"",7)="IO then","Partial IO","Amortizing"))</f>
        <v/>
      </c>
      <c r="CL1223" s="78">
        <f>IF($CK1223="Full IO",1,0)</f>
        <v/>
      </c>
      <c r="CM1223" s="78">
        <f>IF($CK1223="Partial IO",1,0)</f>
        <v/>
      </c>
      <c r="CN1223" s="76">
        <f>IF(LEFT($F1223&amp;"",10)="SPLIT_LOAN","Pari Passu Split","Standalone")</f>
        <v/>
      </c>
      <c r="CO1223" s="78">
        <f>IF($CN1223="Pari Passu Split",1,0)</f>
        <v/>
      </c>
      <c r="CP1223" s="77">
        <f>IF(ISNUMBER($T1223),YEAR($T1223),"")</f>
        <v/>
      </c>
      <c r="CQ1223" s="79">
        <f>IF(ISNUMBER($V1223),$V1223,IF(ISNUMBER($U1223),$U1223,""))</f>
        <v/>
      </c>
      <c r="CR1223" s="77">
        <f>IF(ISNUMBER($CQ1223),YEAR($CQ1223),"")</f>
        <v/>
      </c>
      <c r="CS1223" s="78">
        <f>IF(ISNUMBER($M1223),MAX(0,$M1223),IF(TRIM($M1223&amp;"")="matured",0,""))</f>
        <v/>
      </c>
      <c r="CT1223" s="78">
        <f>IF(AND(ISNUMBER($CS1223),N($CS1223)&lt;=mMatWindow),1,0)</f>
        <v/>
      </c>
      <c r="CU1223" s="80">
        <f>IF(ISNUMBER($J1223),$J1223/100,"")</f>
        <v/>
      </c>
      <c r="CV1223" s="81">
        <f>IF(ISNUMBER($AQ1223),$AQ1223,"")</f>
        <v/>
      </c>
      <c r="CW1223" s="81">
        <f>IF(ISNUMBER($AR1223),$AR1223,"")</f>
        <v/>
      </c>
      <c r="CX1223" s="82">
        <f>IF(ISNUMBER($AS1223),$AS1223/100,"")</f>
        <v/>
      </c>
      <c r="CY1223" s="82">
        <f>IF(ISNUMBER($AT1223),$AT1223/100,"")</f>
        <v/>
      </c>
      <c r="CZ1223" s="82">
        <f>IF(ISNUMBER($AU1223),$AU1223/100,"")</f>
        <v/>
      </c>
      <c r="DA1223" s="82">
        <f>IF(ISNUMBER($AV1223),$AV1223/100,"")</f>
        <v/>
      </c>
      <c r="DB1223" s="82">
        <f>IF(ISNUMBER($AW1223),$AW1223/100,"")</f>
        <v/>
      </c>
      <c r="DC1223" s="82">
        <f>IF(ISNUMBER($AX1223),$AX1223/100,"")</f>
        <v/>
      </c>
      <c r="DD1223" s="77">
        <f>IFERROR(VALUE(LEFT(TRIM($AO1223&amp;""),4)),"")</f>
        <v/>
      </c>
      <c r="DE1223" s="78">
        <f>IF(AND($BY1223=1,$BX1223=1,OR(fDeal="All Deals",$BU1223=fDeal),OR(fEntity="All Entities",$BV1223=fEntity),OR(fPType="All Property Types",$BZ1223=fPType),OR(fDefeased="Include",$CJ1223=0)),1,0)</f>
        <v/>
      </c>
      <c r="DF1223" s="83">
        <f>$DE1223*N($I1223)</f>
        <v/>
      </c>
      <c r="DG1223" s="78">
        <f>IF($DE1223=1,IF(COUNTIFS($F$8:$F1223,$F1223,$DE$8:$DE1223,1)=1,1,0),0)</f>
        <v/>
      </c>
      <c r="DH1223" s="83">
        <f>IF($DG1223=1,SUMIFS($DF$8:$DF$1600,$F$8:$F$1600,$F1223),0)</f>
        <v/>
      </c>
      <c r="DI1223" s="78">
        <f>IF($DG1223=1,COUNTIFS($F$8:$F$1600,$F1223,$DE$8:$DE$1600,1),0)</f>
        <v/>
      </c>
      <c r="DJ1223" s="84">
        <f>IF($DG1223=1,$DH1223+(100000-ROW())/mTieBreak,0)</f>
        <v/>
      </c>
    </row>
    <row r="1224">
      <c r="B1224" s="68" t="n">
        <v>46</v>
      </c>
      <c r="C1224" s="69" t="inlineStr">
        <is>
          <t>BCMK18B6</t>
        </is>
      </c>
      <c r="D1224" s="69" t="inlineStr">
        <is>
          <t>46.000</t>
        </is>
      </c>
      <c r="E1224" s="69" t="inlineStr">
        <is>
          <t>Parkland Self Storage</t>
        </is>
      </c>
      <c r="F1224" s="69" t="inlineStr">
        <is>
          <t>LNBCMK18B6-46.000</t>
        </is>
      </c>
      <c r="G1224" s="70" t="n"/>
      <c r="H1224" s="71" t="n">
        <v>6670000</v>
      </c>
      <c r="I1224" s="71" t="n">
        <v>6165908.00000002</v>
      </c>
      <c r="J1224" s="72" t="n">
        <v>5.16</v>
      </c>
      <c r="K1224" s="69" t="inlineStr">
        <is>
          <t>Fixed rate</t>
        </is>
      </c>
      <c r="L1224" s="68" t="n">
        <v>120</v>
      </c>
      <c r="M1224" s="68" t="n">
        <v>24</v>
      </c>
      <c r="N1224" s="68" t="n">
        <v>396</v>
      </c>
      <c r="O1224" s="68" t="n">
        <v>36</v>
      </c>
      <c r="P1224" s="68" t="n">
        <v>0</v>
      </c>
      <c r="Q1224" s="68" t="n">
        <v>96</v>
      </c>
      <c r="R1224" s="69" t="inlineStr">
        <is>
          <t>IO then Amort</t>
        </is>
      </c>
      <c r="S1224" s="69" t="inlineStr">
        <is>
          <t>No</t>
        </is>
      </c>
      <c r="T1224" s="73" t="n">
        <v>43344</v>
      </c>
      <c r="U1224" s="73" t="n">
        <v>47002</v>
      </c>
      <c r="V1224" s="73" t="n"/>
      <c r="W1224" s="69" t="n"/>
      <c r="X1224" s="69" t="inlineStr">
        <is>
          <t>Current</t>
        </is>
      </c>
      <c r="Y1224" s="68" t="n"/>
      <c r="Z1224" s="69" t="inlineStr">
        <is>
          <t>Full Defeasance</t>
        </is>
      </c>
      <c r="AA1224" s="69" t="n"/>
      <c r="AB1224" s="69" t="inlineStr">
        <is>
          <t>Never special serv</t>
        </is>
      </c>
      <c r="AC1224" s="73" t="n"/>
      <c r="AD1224" s="69" t="n"/>
      <c r="AE1224" s="69" t="n"/>
      <c r="AF1224" s="69" t="inlineStr">
        <is>
          <t>WA</t>
        </is>
      </c>
      <c r="AG1224" s="69" t="inlineStr">
        <is>
          <t>Lakewood</t>
        </is>
      </c>
      <c r="AH1224" s="69" t="inlineStr">
        <is>
          <t>Seattle-Tacoma-Bellevue, WA</t>
        </is>
      </c>
      <c r="AI1224" s="69" t="inlineStr">
        <is>
          <t>West / Pacific North</t>
        </is>
      </c>
      <c r="AJ1224" s="69" t="inlineStr">
        <is>
          <t>SS</t>
        </is>
      </c>
      <c r="AK1224" s="69" t="n"/>
      <c r="AL1224" s="68" t="n">
        <v>1</v>
      </c>
      <c r="AM1224" s="68" t="n"/>
      <c r="AN1224" s="68" t="n">
        <v>50450</v>
      </c>
      <c r="AO1224" s="69" t="inlineStr">
        <is>
          <t>2000</t>
        </is>
      </c>
      <c r="AP1224" s="70" t="n">
        <v>2015</v>
      </c>
      <c r="AQ1224" s="74" t="n">
        <v>1.32</v>
      </c>
      <c r="AR1224" s="74" t="n">
        <v>1.24</v>
      </c>
      <c r="AS1224" s="74" t="n">
        <v>72.5</v>
      </c>
      <c r="AT1224" s="74" t="n">
        <v>67.02</v>
      </c>
      <c r="AU1224" s="74" t="n">
        <v>64.40000000000001</v>
      </c>
      <c r="AV1224" s="74" t="n">
        <v>8.638740629999999</v>
      </c>
      <c r="AW1224" s="74" t="n">
        <v>8.603319900000001</v>
      </c>
      <c r="AX1224" s="75" t="n">
        <v>82.45</v>
      </c>
      <c r="AY1224" s="71" t="n">
        <v>9200000</v>
      </c>
      <c r="AZ1224" s="71" t="n">
        <v>9200000</v>
      </c>
      <c r="BA1224" s="71" t="n">
        <v>576204</v>
      </c>
      <c r="BB1224" s="71" t="n">
        <v>271889.33</v>
      </c>
      <c r="BC1224" s="69" t="inlineStr">
        <is>
          <t>Acquisition</t>
        </is>
      </c>
      <c r="BD1224" s="69" t="inlineStr">
        <is>
          <t>N</t>
        </is>
      </c>
      <c r="BE1224" s="71" t="n"/>
      <c r="BF1224" s="71" t="n"/>
      <c r="BG1224" s="71" t="n"/>
      <c r="BH1224" s="71" t="n">
        <v>0</v>
      </c>
      <c r="BI1224" s="71" t="n">
        <v>0</v>
      </c>
      <c r="BJ1224" s="69" t="inlineStr">
        <is>
          <t>N</t>
        </is>
      </c>
      <c r="BK1224" s="69" t="n"/>
      <c r="BL1224" s="75" t="n"/>
      <c r="BM1224" s="73" t="n"/>
      <c r="BN1224" s="69" t="inlineStr">
        <is>
          <t>Jacob Ramage</t>
        </is>
      </c>
      <c r="BO1224" s="69" t="inlineStr">
        <is>
          <t>Citigroup Global Markets</t>
        </is>
      </c>
      <c r="BP1224" s="69" t="inlineStr">
        <is>
          <t>KeyBank National Association</t>
        </is>
      </c>
      <c r="BQ1224" s="69" t="inlineStr">
        <is>
          <t>K-Star Asset Management LLC</t>
        </is>
      </c>
      <c r="BR1224" s="69" t="n"/>
      <c r="BS1224" s="73" t="n">
        <v>46273</v>
      </c>
      <c r="BU1224" s="76">
        <f>IF($C1224="","",IFERROR(INDEX(dmName,MATCH($C1224,dmID,0)),"Unmapped"))</f>
        <v/>
      </c>
      <c r="BV1224" s="76">
        <f>IF($C1224="","",IFERROR(INDEX(dmEntity,MATCH($C1224,dmID,0)),"Unmapped"))</f>
        <v/>
      </c>
      <c r="BW1224" s="77">
        <f>IF($C1224="","",IFERROR(INDEX(dmVintage,MATCH($C1224,dmID,0)),""))</f>
        <v/>
      </c>
      <c r="BX1224" s="78">
        <f>IFERROR(INDEX(dmInclude,MATCH($C1224,dmID,0)),0)</f>
        <v/>
      </c>
      <c r="BY1224" s="78">
        <f>IF(N($I1224)&gt;0,1,0)</f>
        <v/>
      </c>
      <c r="BZ1224" s="76">
        <f>IF($AJ1224="","Other / Leased Fee",IFERROR(INDEX(mapPTGroup,MATCH(LEFT(TRIM($AJ1224),2),mapPTCode,0)),"Other / Leased Fee"))</f>
        <v/>
      </c>
      <c r="CA1224" s="76">
        <f>IF(TRIM($AF1224&amp;"")="","NR",LEFT(TRIM($AF1224),2))</f>
        <v/>
      </c>
      <c r="CB1224" s="76">
        <f>IFERROR(LOOKUP(2,1/(LEFT(TRIM($AI1224&amp;""),LEN(mapRegion))=mapRegion),mapRegion),"Not Reported")</f>
        <v/>
      </c>
      <c r="CC1224" s="76">
        <f>IF($BY1224=0,"",IF(TRIM($W1224&amp;"")="REO","REO",IF(TRIM($W1224&amp;"")="FC","Foreclosure",IF(TRIM($W1224&amp;"")="90+","90+ Days Delinquent",IF(TRIM($W1224&amp;"")="60","60 Days Delinquent",IF(TRIM($W1224&amp;"")="30","30 Days Delinquent",IF($X1224="Non-Performing Matured Balloon","Non-Performing Matured Balloon",IF(OR($X1224="Late Payment But Less Than 30 Days Delinquent",LEFT($X1224&amp;"",20)="Payment Not Received"),"Late / In Grace (&lt;30 Days)",IF($X1224="Performing Matured Balloon","Performing Matured Balloon","Current")))))))))</f>
        <v/>
      </c>
      <c r="CD1224" s="78">
        <f>IF(OR($CC1224="REO",$CC1224="Foreclosure",$CC1224="90+ Days Delinquent",$CC1224="60 Days Delinquent",$CC1224="30 Days Delinquent",$CC1224="Non-Performing Matured Balloon"),1,0)</f>
        <v/>
      </c>
      <c r="CE1224" s="76">
        <f>IF($AB1224="Currently special serv","Currently Specially Serviced",IF($AB1224="Returned to master serv","Previously Specially Serviced","Never Specially Serviced"))</f>
        <v/>
      </c>
      <c r="CF1224" s="78">
        <f>IF($CE1224="Currently Specially Serviced",1,0)</f>
        <v/>
      </c>
      <c r="CG1224" s="76">
        <f>IF($AA1224="Yes","Currently on Watchlist",IF($AA1224="Previously","Previously on Watchlist","Never on Watchlist"))</f>
        <v/>
      </c>
      <c r="CH1224" s="78">
        <f>IF($CG1224="Currently on Watchlist",1,0)</f>
        <v/>
      </c>
      <c r="CI1224" s="76">
        <f>IF($Z1224="Full Defeasance","Fully Defeased",IF($Z1224="Portion Of Loan Previously Defeased","Partially Defeased",IF($Z1224="Defeasance Not Allowable","Not Defeased (Not Permitted)","Not Defeased")))</f>
        <v/>
      </c>
      <c r="CJ1224" s="78">
        <f>IF($CI1224="Fully Defeased",1,0)</f>
        <v/>
      </c>
      <c r="CK1224" s="76">
        <f>IF($R1224="IO","Full IO",IF(LEFT($R1224&amp;"",7)="IO then","Partial IO","Amortizing"))</f>
        <v/>
      </c>
      <c r="CL1224" s="78">
        <f>IF($CK1224="Full IO",1,0)</f>
        <v/>
      </c>
      <c r="CM1224" s="78">
        <f>IF($CK1224="Partial IO",1,0)</f>
        <v/>
      </c>
      <c r="CN1224" s="76">
        <f>IF(LEFT($F1224&amp;"",10)="SPLIT_LOAN","Pari Passu Split","Standalone")</f>
        <v/>
      </c>
      <c r="CO1224" s="78">
        <f>IF($CN1224="Pari Passu Split",1,0)</f>
        <v/>
      </c>
      <c r="CP1224" s="77">
        <f>IF(ISNUMBER($T1224),YEAR($T1224),"")</f>
        <v/>
      </c>
      <c r="CQ1224" s="79">
        <f>IF(ISNUMBER($V1224),$V1224,IF(ISNUMBER($U1224),$U1224,""))</f>
        <v/>
      </c>
      <c r="CR1224" s="77">
        <f>IF(ISNUMBER($CQ1224),YEAR($CQ1224),"")</f>
        <v/>
      </c>
      <c r="CS1224" s="78">
        <f>IF(ISNUMBER($M1224),MAX(0,$M1224),IF(TRIM($M1224&amp;"")="matured",0,""))</f>
        <v/>
      </c>
      <c r="CT1224" s="78">
        <f>IF(AND(ISNUMBER($CS1224),N($CS1224)&lt;=mMatWindow),1,0)</f>
        <v/>
      </c>
      <c r="CU1224" s="80">
        <f>IF(ISNUMBER($J1224),$J1224/100,"")</f>
        <v/>
      </c>
      <c r="CV1224" s="81">
        <f>IF(ISNUMBER($AQ1224),$AQ1224,"")</f>
        <v/>
      </c>
      <c r="CW1224" s="81">
        <f>IF(ISNUMBER($AR1224),$AR1224,"")</f>
        <v/>
      </c>
      <c r="CX1224" s="82">
        <f>IF(ISNUMBER($AS1224),$AS1224/100,"")</f>
        <v/>
      </c>
      <c r="CY1224" s="82">
        <f>IF(ISNUMBER($AT1224),$AT1224/100,"")</f>
        <v/>
      </c>
      <c r="CZ1224" s="82">
        <f>IF(ISNUMBER($AU1224),$AU1224/100,"")</f>
        <v/>
      </c>
      <c r="DA1224" s="82">
        <f>IF(ISNUMBER($AV1224),$AV1224/100,"")</f>
        <v/>
      </c>
      <c r="DB1224" s="82">
        <f>IF(ISNUMBER($AW1224),$AW1224/100,"")</f>
        <v/>
      </c>
      <c r="DC1224" s="82">
        <f>IF(ISNUMBER($AX1224),$AX1224/100,"")</f>
        <v/>
      </c>
      <c r="DD1224" s="77">
        <f>IFERROR(VALUE(LEFT(TRIM($AO1224&amp;""),4)),"")</f>
        <v/>
      </c>
      <c r="DE1224" s="78">
        <f>IF(AND($BY1224=1,$BX1224=1,OR(fDeal="All Deals",$BU1224=fDeal),OR(fEntity="All Entities",$BV1224=fEntity),OR(fPType="All Property Types",$BZ1224=fPType),OR(fDefeased="Include",$CJ1224=0)),1,0)</f>
        <v/>
      </c>
      <c r="DF1224" s="83">
        <f>$DE1224*N($I1224)</f>
        <v/>
      </c>
      <c r="DG1224" s="78">
        <f>IF($DE1224=1,IF(COUNTIFS($F$8:$F1224,$F1224,$DE$8:$DE1224,1)=1,1,0),0)</f>
        <v/>
      </c>
      <c r="DH1224" s="83">
        <f>IF($DG1224=1,SUMIFS($DF$8:$DF$1600,$F$8:$F$1600,$F1224),0)</f>
        <v/>
      </c>
      <c r="DI1224" s="78">
        <f>IF($DG1224=1,COUNTIFS($F$8:$F$1600,$F1224,$DE$8:$DE$1600,1),0)</f>
        <v/>
      </c>
      <c r="DJ1224" s="84">
        <f>IF($DG1224=1,$DH1224+(100000-ROW())/mTieBreak,0)</f>
        <v/>
      </c>
    </row>
    <row r="1225">
      <c r="B1225" s="68" t="n">
        <v>47</v>
      </c>
      <c r="C1225" s="69" t="inlineStr">
        <is>
          <t>BCMK18B6</t>
        </is>
      </c>
      <c r="D1225" s="69" t="inlineStr">
        <is>
          <t>47.000</t>
        </is>
      </c>
      <c r="E1225" s="69" t="inlineStr">
        <is>
          <t>Timber Creek Apartments</t>
        </is>
      </c>
      <c r="F1225" s="69" t="inlineStr">
        <is>
          <t>LNBCMK18B6-47.000</t>
        </is>
      </c>
      <c r="G1225" s="70" t="n"/>
      <c r="H1225" s="71" t="n">
        <v>6420000</v>
      </c>
      <c r="I1225" s="71" t="n">
        <v>5770384.75000296</v>
      </c>
      <c r="J1225" s="72" t="n">
        <v>4.86</v>
      </c>
      <c r="K1225" s="69" t="inlineStr">
        <is>
          <t>Fixed rate</t>
        </is>
      </c>
      <c r="L1225" s="68" t="n">
        <v>120</v>
      </c>
      <c r="M1225" s="68" t="n">
        <v>22</v>
      </c>
      <c r="N1225" s="68" t="n">
        <v>384</v>
      </c>
      <c r="O1225" s="68" t="n">
        <v>24</v>
      </c>
      <c r="P1225" s="68" t="n">
        <v>0</v>
      </c>
      <c r="Q1225" s="68" t="n">
        <v>98</v>
      </c>
      <c r="R1225" s="69" t="inlineStr">
        <is>
          <t>IO then Amort</t>
        </is>
      </c>
      <c r="S1225" s="69" t="inlineStr">
        <is>
          <t>No</t>
        </is>
      </c>
      <c r="T1225" s="73" t="n">
        <v>43282</v>
      </c>
      <c r="U1225" s="73" t="n">
        <v>46940</v>
      </c>
      <c r="V1225" s="73" t="n"/>
      <c r="W1225" s="69" t="n"/>
      <c r="X1225" s="69" t="inlineStr">
        <is>
          <t>Current</t>
        </is>
      </c>
      <c r="Y1225" s="68" t="n"/>
      <c r="Z1225" s="69" t="inlineStr">
        <is>
          <t>Full Defeasance</t>
        </is>
      </c>
      <c r="AA1225" s="69" t="inlineStr">
        <is>
          <t>Previously</t>
        </is>
      </c>
      <c r="AB1225" s="69" t="inlineStr">
        <is>
          <t>Never special serv</t>
        </is>
      </c>
      <c r="AC1225" s="73" t="n"/>
      <c r="AD1225" s="69" t="n"/>
      <c r="AE1225" s="69" t="n"/>
      <c r="AF1225" s="69" t="inlineStr">
        <is>
          <t>OH</t>
        </is>
      </c>
      <c r="AG1225" s="69" t="inlineStr">
        <is>
          <t>Niles</t>
        </is>
      </c>
      <c r="AH1225" s="69" t="inlineStr">
        <is>
          <t>Youngstown-Warren, OH</t>
        </is>
      </c>
      <c r="AI1225" s="69" t="inlineStr">
        <is>
          <t>Midwest / Central East</t>
        </is>
      </c>
      <c r="AJ1225" s="69" t="inlineStr">
        <is>
          <t>MF</t>
        </is>
      </c>
      <c r="AK1225" s="69" t="inlineStr">
        <is>
          <t>Garden</t>
        </is>
      </c>
      <c r="AL1225" s="68" t="n">
        <v>1</v>
      </c>
      <c r="AM1225" s="68" t="n">
        <v>301</v>
      </c>
      <c r="AN1225" s="68" t="n"/>
      <c r="AO1225" s="69" t="inlineStr">
        <is>
          <t>1971-1972</t>
        </is>
      </c>
      <c r="AP1225" s="70" t="n">
        <v>2017</v>
      </c>
      <c r="AQ1225" s="74" t="n">
        <v>1.36</v>
      </c>
      <c r="AR1225" s="74" t="n">
        <v>1.22</v>
      </c>
      <c r="AS1225" s="74" t="n">
        <v>65.3</v>
      </c>
      <c r="AT1225" s="74" t="n">
        <v>58.7</v>
      </c>
      <c r="AU1225" s="74" t="n">
        <v>56.31</v>
      </c>
      <c r="AV1225" s="74" t="n">
        <v>8.606433021999999</v>
      </c>
      <c r="AW1225" s="74" t="n">
        <v>8.175091270999999</v>
      </c>
      <c r="AX1225" s="75" t="n">
        <v>73</v>
      </c>
      <c r="AY1225" s="71" t="n">
        <v>9830000</v>
      </c>
      <c r="AZ1225" s="71" t="n">
        <v>9830000</v>
      </c>
      <c r="BA1225" s="71" t="n">
        <v>552533</v>
      </c>
      <c r="BB1225" s="71" t="n">
        <v>494719.84</v>
      </c>
      <c r="BC1225" s="69" t="inlineStr">
        <is>
          <t>Acquisition</t>
        </is>
      </c>
      <c r="BD1225" s="69" t="inlineStr">
        <is>
          <t>N</t>
        </is>
      </c>
      <c r="BE1225" s="71" t="n"/>
      <c r="BF1225" s="71" t="n"/>
      <c r="BG1225" s="71" t="n"/>
      <c r="BH1225" s="71" t="n">
        <v>0</v>
      </c>
      <c r="BI1225" s="71" t="n">
        <v>0</v>
      </c>
      <c r="BJ1225" s="69" t="inlineStr">
        <is>
          <t>N</t>
        </is>
      </c>
      <c r="BK1225" s="69" t="n"/>
      <c r="BL1225" s="75" t="n"/>
      <c r="BM1225" s="73" t="n"/>
      <c r="BN1225" s="69" t="inlineStr">
        <is>
          <t>Tyler Ross, Michael Colman and David Colman</t>
        </is>
      </c>
      <c r="BO1225" s="69" t="inlineStr">
        <is>
          <t>Citigroup Global Markets</t>
        </is>
      </c>
      <c r="BP1225" s="69" t="inlineStr">
        <is>
          <t>KeyBank National Association</t>
        </is>
      </c>
      <c r="BQ1225" s="69" t="inlineStr">
        <is>
          <t>K-Star Asset Management LLC</t>
        </is>
      </c>
      <c r="BR1225" s="69" t="n"/>
      <c r="BS1225" s="73" t="n">
        <v>46273</v>
      </c>
      <c r="BU1225" s="76">
        <f>IF($C1225="","",IFERROR(INDEX(dmName,MATCH($C1225,dmID,0)),"Unmapped"))</f>
        <v/>
      </c>
      <c r="BV1225" s="76">
        <f>IF($C1225="","",IFERROR(INDEX(dmEntity,MATCH($C1225,dmID,0)),"Unmapped"))</f>
        <v/>
      </c>
      <c r="BW1225" s="77">
        <f>IF($C1225="","",IFERROR(INDEX(dmVintage,MATCH($C1225,dmID,0)),""))</f>
        <v/>
      </c>
      <c r="BX1225" s="78">
        <f>IFERROR(INDEX(dmInclude,MATCH($C1225,dmID,0)),0)</f>
        <v/>
      </c>
      <c r="BY1225" s="78">
        <f>IF(N($I1225)&gt;0,1,0)</f>
        <v/>
      </c>
      <c r="BZ1225" s="76">
        <f>IF($AJ1225="","Other / Leased Fee",IFERROR(INDEX(mapPTGroup,MATCH(LEFT(TRIM($AJ1225),2),mapPTCode,0)),"Other / Leased Fee"))</f>
        <v/>
      </c>
      <c r="CA1225" s="76">
        <f>IF(TRIM($AF1225&amp;"")="","NR",LEFT(TRIM($AF1225),2))</f>
        <v/>
      </c>
      <c r="CB1225" s="76">
        <f>IFERROR(LOOKUP(2,1/(LEFT(TRIM($AI1225&amp;""),LEN(mapRegion))=mapRegion),mapRegion),"Not Reported")</f>
        <v/>
      </c>
      <c r="CC1225" s="76">
        <f>IF($BY1225=0,"",IF(TRIM($W1225&amp;"")="REO","REO",IF(TRIM($W1225&amp;"")="FC","Foreclosure",IF(TRIM($W1225&amp;"")="90+","90+ Days Delinquent",IF(TRIM($W1225&amp;"")="60","60 Days Delinquent",IF(TRIM($W1225&amp;"")="30","30 Days Delinquent",IF($X1225="Non-Performing Matured Balloon","Non-Performing Matured Balloon",IF(OR($X1225="Late Payment But Less Than 30 Days Delinquent",LEFT($X1225&amp;"",20)="Payment Not Received"),"Late / In Grace (&lt;30 Days)",IF($X1225="Performing Matured Balloon","Performing Matured Balloon","Current")))))))))</f>
        <v/>
      </c>
      <c r="CD1225" s="78">
        <f>IF(OR($CC1225="REO",$CC1225="Foreclosure",$CC1225="90+ Days Delinquent",$CC1225="60 Days Delinquent",$CC1225="30 Days Delinquent",$CC1225="Non-Performing Matured Balloon"),1,0)</f>
        <v/>
      </c>
      <c r="CE1225" s="76">
        <f>IF($AB1225="Currently special serv","Currently Specially Serviced",IF($AB1225="Returned to master serv","Previously Specially Serviced","Never Specially Serviced"))</f>
        <v/>
      </c>
      <c r="CF1225" s="78">
        <f>IF($CE1225="Currently Specially Serviced",1,0)</f>
        <v/>
      </c>
      <c r="CG1225" s="76">
        <f>IF($AA1225="Yes","Currently on Watchlist",IF($AA1225="Previously","Previously on Watchlist","Never on Watchlist"))</f>
        <v/>
      </c>
      <c r="CH1225" s="78">
        <f>IF($CG1225="Currently on Watchlist",1,0)</f>
        <v/>
      </c>
      <c r="CI1225" s="76">
        <f>IF($Z1225="Full Defeasance","Fully Defeased",IF($Z1225="Portion Of Loan Previously Defeased","Partially Defeased",IF($Z1225="Defeasance Not Allowable","Not Defeased (Not Permitted)","Not Defeased")))</f>
        <v/>
      </c>
      <c r="CJ1225" s="78">
        <f>IF($CI1225="Fully Defeased",1,0)</f>
        <v/>
      </c>
      <c r="CK1225" s="76">
        <f>IF($R1225="IO","Full IO",IF(LEFT($R1225&amp;"",7)="IO then","Partial IO","Amortizing"))</f>
        <v/>
      </c>
      <c r="CL1225" s="78">
        <f>IF($CK1225="Full IO",1,0)</f>
        <v/>
      </c>
      <c r="CM1225" s="78">
        <f>IF($CK1225="Partial IO",1,0)</f>
        <v/>
      </c>
      <c r="CN1225" s="76">
        <f>IF(LEFT($F1225&amp;"",10)="SPLIT_LOAN","Pari Passu Split","Standalone")</f>
        <v/>
      </c>
      <c r="CO1225" s="78">
        <f>IF($CN1225="Pari Passu Split",1,0)</f>
        <v/>
      </c>
      <c r="CP1225" s="77">
        <f>IF(ISNUMBER($T1225),YEAR($T1225),"")</f>
        <v/>
      </c>
      <c r="CQ1225" s="79">
        <f>IF(ISNUMBER($V1225),$V1225,IF(ISNUMBER($U1225),$U1225,""))</f>
        <v/>
      </c>
      <c r="CR1225" s="77">
        <f>IF(ISNUMBER($CQ1225),YEAR($CQ1225),"")</f>
        <v/>
      </c>
      <c r="CS1225" s="78">
        <f>IF(ISNUMBER($M1225),MAX(0,$M1225),IF(TRIM($M1225&amp;"")="matured",0,""))</f>
        <v/>
      </c>
      <c r="CT1225" s="78">
        <f>IF(AND(ISNUMBER($CS1225),N($CS1225)&lt;=mMatWindow),1,0)</f>
        <v/>
      </c>
      <c r="CU1225" s="80">
        <f>IF(ISNUMBER($J1225),$J1225/100,"")</f>
        <v/>
      </c>
      <c r="CV1225" s="81">
        <f>IF(ISNUMBER($AQ1225),$AQ1225,"")</f>
        <v/>
      </c>
      <c r="CW1225" s="81">
        <f>IF(ISNUMBER($AR1225),$AR1225,"")</f>
        <v/>
      </c>
      <c r="CX1225" s="82">
        <f>IF(ISNUMBER($AS1225),$AS1225/100,"")</f>
        <v/>
      </c>
      <c r="CY1225" s="82">
        <f>IF(ISNUMBER($AT1225),$AT1225/100,"")</f>
        <v/>
      </c>
      <c r="CZ1225" s="82">
        <f>IF(ISNUMBER($AU1225),$AU1225/100,"")</f>
        <v/>
      </c>
      <c r="DA1225" s="82">
        <f>IF(ISNUMBER($AV1225),$AV1225/100,"")</f>
        <v/>
      </c>
      <c r="DB1225" s="82">
        <f>IF(ISNUMBER($AW1225),$AW1225/100,"")</f>
        <v/>
      </c>
      <c r="DC1225" s="82">
        <f>IF(ISNUMBER($AX1225),$AX1225/100,"")</f>
        <v/>
      </c>
      <c r="DD1225" s="77">
        <f>IFERROR(VALUE(LEFT(TRIM($AO1225&amp;""),4)),"")</f>
        <v/>
      </c>
      <c r="DE1225" s="78">
        <f>IF(AND($BY1225=1,$BX1225=1,OR(fDeal="All Deals",$BU1225=fDeal),OR(fEntity="All Entities",$BV1225=fEntity),OR(fPType="All Property Types",$BZ1225=fPType),OR(fDefeased="Include",$CJ1225=0)),1,0)</f>
        <v/>
      </c>
      <c r="DF1225" s="83">
        <f>$DE1225*N($I1225)</f>
        <v/>
      </c>
      <c r="DG1225" s="78">
        <f>IF($DE1225=1,IF(COUNTIFS($F$8:$F1225,$F1225,$DE$8:$DE1225,1)=1,1,0),0)</f>
        <v/>
      </c>
      <c r="DH1225" s="83">
        <f>IF($DG1225=1,SUMIFS($DF$8:$DF$1600,$F$8:$F$1600,$F1225),0)</f>
        <v/>
      </c>
      <c r="DI1225" s="78">
        <f>IF($DG1225=1,COUNTIFS($F$8:$F$1600,$F1225,$DE$8:$DE$1600,1),0)</f>
        <v/>
      </c>
      <c r="DJ1225" s="84">
        <f>IF($DG1225=1,$DH1225+(100000-ROW())/mTieBreak,0)</f>
        <v/>
      </c>
    </row>
    <row r="1226">
      <c r="B1226" s="68" t="n">
        <v>48</v>
      </c>
      <c r="C1226" s="69" t="inlineStr">
        <is>
          <t>BCMK18B6</t>
        </is>
      </c>
      <c r="D1226" s="69" t="inlineStr">
        <is>
          <t>48.000</t>
        </is>
      </c>
      <c r="E1226" s="69" t="inlineStr">
        <is>
          <t>420 and 433 Doughty Boulevard</t>
        </is>
      </c>
      <c r="F1226" s="69" t="inlineStr">
        <is>
          <t>LNBCMK18B6-48.000</t>
        </is>
      </c>
      <c r="G1226" s="70" t="n"/>
      <c r="H1226" s="71" t="n">
        <v>5050000</v>
      </c>
      <c r="I1226" s="71" t="n">
        <v>5050000</v>
      </c>
      <c r="J1226" s="72" t="n">
        <v>5.01</v>
      </c>
      <c r="K1226" s="69" t="inlineStr">
        <is>
          <t>Fixed rate</t>
        </is>
      </c>
      <c r="L1226" s="68" t="n">
        <v>120</v>
      </c>
      <c r="M1226" s="68" t="n">
        <v>23</v>
      </c>
      <c r="N1226" s="68" t="n">
        <v>120</v>
      </c>
      <c r="O1226" s="68" t="n">
        <v>120</v>
      </c>
      <c r="P1226" s="68" t="n">
        <v>23</v>
      </c>
      <c r="Q1226" s="68" t="n">
        <v>97</v>
      </c>
      <c r="R1226" s="69" t="inlineStr">
        <is>
          <t>IO</t>
        </is>
      </c>
      <c r="S1226" s="69" t="inlineStr">
        <is>
          <t>Yes</t>
        </is>
      </c>
      <c r="T1226" s="73" t="n">
        <v>43313</v>
      </c>
      <c r="U1226" s="73" t="n">
        <v>46971</v>
      </c>
      <c r="V1226" s="73" t="n"/>
      <c r="W1226" s="69" t="n"/>
      <c r="X1226" s="69" t="inlineStr">
        <is>
          <t>Current</t>
        </is>
      </c>
      <c r="Y1226" s="68" t="n"/>
      <c r="Z1226" s="69" t="inlineStr">
        <is>
          <t>Defeasance Not Allowable</t>
        </is>
      </c>
      <c r="AA1226" s="69" t="inlineStr">
        <is>
          <t>Previously</t>
        </is>
      </c>
      <c r="AB1226" s="69" t="inlineStr">
        <is>
          <t>Never special serv</t>
        </is>
      </c>
      <c r="AC1226" s="73" t="n"/>
      <c r="AD1226" s="69" t="n"/>
      <c r="AE1226" s="69" t="n"/>
      <c r="AF1226" s="69" t="inlineStr">
        <is>
          <t>NY</t>
        </is>
      </c>
      <c r="AG1226" s="69" t="inlineStr">
        <is>
          <t>Inwood</t>
        </is>
      </c>
      <c r="AH1226" s="69" t="inlineStr">
        <is>
          <t>New York-Newark-Jersey City, NY-NJ</t>
        </is>
      </c>
      <c r="AI1226" s="69" t="inlineStr">
        <is>
          <t>Northeast / Mid-Atlantic</t>
        </is>
      </c>
      <c r="AJ1226" s="69" t="inlineStr">
        <is>
          <t>IN</t>
        </is>
      </c>
      <c r="AK1226" s="69" t="inlineStr">
        <is>
          <t>Flex</t>
        </is>
      </c>
      <c r="AL1226" s="68" t="n">
        <v>1</v>
      </c>
      <c r="AM1226" s="68" t="n"/>
      <c r="AN1226" s="68" t="n">
        <v>48180</v>
      </c>
      <c r="AO1226" s="69" t="inlineStr">
        <is>
          <t>1959</t>
        </is>
      </c>
      <c r="AP1226" s="70" t="n">
        <v>2005</v>
      </c>
      <c r="AQ1226" s="74" t="n">
        <v>1.74</v>
      </c>
      <c r="AR1226" s="74" t="n">
        <v>2.16</v>
      </c>
      <c r="AS1226" s="74" t="n">
        <v>49.5</v>
      </c>
      <c r="AT1226" s="74" t="n">
        <v>49.51</v>
      </c>
      <c r="AU1226" s="74" t="n">
        <v>49.5</v>
      </c>
      <c r="AV1226" s="74" t="n">
        <v>8.831485149000001</v>
      </c>
      <c r="AW1226" s="74" t="n">
        <v>10.862221386</v>
      </c>
      <c r="AX1226" s="75" t="n">
        <v>97</v>
      </c>
      <c r="AY1226" s="71" t="n">
        <v>10200000</v>
      </c>
      <c r="AZ1226" s="71" t="n">
        <v>10200000</v>
      </c>
      <c r="BA1226" s="71" t="n">
        <v>445990</v>
      </c>
      <c r="BB1226" s="71" t="n">
        <v>553074.17</v>
      </c>
      <c r="BC1226" s="69" t="inlineStr">
        <is>
          <t>Refinance</t>
        </is>
      </c>
      <c r="BD1226" s="69" t="inlineStr">
        <is>
          <t>N</t>
        </is>
      </c>
      <c r="BE1226" s="71" t="n"/>
      <c r="BF1226" s="71" t="n"/>
      <c r="BG1226" s="71" t="n"/>
      <c r="BH1226" s="71" t="n">
        <v>0</v>
      </c>
      <c r="BI1226" s="71" t="n">
        <v>0</v>
      </c>
      <c r="BJ1226" s="69" t="inlineStr">
        <is>
          <t>N</t>
        </is>
      </c>
      <c r="BK1226" s="69" t="inlineStr">
        <is>
          <t>Rock-It-Cargo USA LLC</t>
        </is>
      </c>
      <c r="BL1226" s="75" t="n">
        <v>27.81</v>
      </c>
      <c r="BM1226" s="73" t="n">
        <v>46721</v>
      </c>
      <c r="BN1226" s="69" t="inlineStr">
        <is>
          <t>Sholom Jacobs</t>
        </is>
      </c>
      <c r="BO1226" s="69" t="inlineStr">
        <is>
          <t>GACC</t>
        </is>
      </c>
      <c r="BP1226" s="69" t="inlineStr">
        <is>
          <t>KeyBank National Association</t>
        </is>
      </c>
      <c r="BQ1226" s="69" t="inlineStr">
        <is>
          <t>K-Star Asset Management LLC</t>
        </is>
      </c>
      <c r="BR1226" s="69" t="n"/>
      <c r="BS1226" s="73" t="n">
        <v>46273</v>
      </c>
      <c r="BU1226" s="76">
        <f>IF($C1226="","",IFERROR(INDEX(dmName,MATCH($C1226,dmID,0)),"Unmapped"))</f>
        <v/>
      </c>
      <c r="BV1226" s="76">
        <f>IF($C1226="","",IFERROR(INDEX(dmEntity,MATCH($C1226,dmID,0)),"Unmapped"))</f>
        <v/>
      </c>
      <c r="BW1226" s="77">
        <f>IF($C1226="","",IFERROR(INDEX(dmVintage,MATCH($C1226,dmID,0)),""))</f>
        <v/>
      </c>
      <c r="BX1226" s="78">
        <f>IFERROR(INDEX(dmInclude,MATCH($C1226,dmID,0)),0)</f>
        <v/>
      </c>
      <c r="BY1226" s="78">
        <f>IF(N($I1226)&gt;0,1,0)</f>
        <v/>
      </c>
      <c r="BZ1226" s="76">
        <f>IF($AJ1226="","Other / Leased Fee",IFERROR(INDEX(mapPTGroup,MATCH(LEFT(TRIM($AJ1226),2),mapPTCode,0)),"Other / Leased Fee"))</f>
        <v/>
      </c>
      <c r="CA1226" s="76">
        <f>IF(TRIM($AF1226&amp;"")="","NR",LEFT(TRIM($AF1226),2))</f>
        <v/>
      </c>
      <c r="CB1226" s="76">
        <f>IFERROR(LOOKUP(2,1/(LEFT(TRIM($AI1226&amp;""),LEN(mapRegion))=mapRegion),mapRegion),"Not Reported")</f>
        <v/>
      </c>
      <c r="CC1226" s="76">
        <f>IF($BY1226=0,"",IF(TRIM($W1226&amp;"")="REO","REO",IF(TRIM($W1226&amp;"")="FC","Foreclosure",IF(TRIM($W1226&amp;"")="90+","90+ Days Delinquent",IF(TRIM($W1226&amp;"")="60","60 Days Delinquent",IF(TRIM($W1226&amp;"")="30","30 Days Delinquent",IF($X1226="Non-Performing Matured Balloon","Non-Performing Matured Balloon",IF(OR($X1226="Late Payment But Less Than 30 Days Delinquent",LEFT($X1226&amp;"",20)="Payment Not Received"),"Late / In Grace (&lt;30 Days)",IF($X1226="Performing Matured Balloon","Performing Matured Balloon","Current")))))))))</f>
        <v/>
      </c>
      <c r="CD1226" s="78">
        <f>IF(OR($CC1226="REO",$CC1226="Foreclosure",$CC1226="90+ Days Delinquent",$CC1226="60 Days Delinquent",$CC1226="30 Days Delinquent",$CC1226="Non-Performing Matured Balloon"),1,0)</f>
        <v/>
      </c>
      <c r="CE1226" s="76">
        <f>IF($AB1226="Currently special serv","Currently Specially Serviced",IF($AB1226="Returned to master serv","Previously Specially Serviced","Never Specially Serviced"))</f>
        <v/>
      </c>
      <c r="CF1226" s="78">
        <f>IF($CE1226="Currently Specially Serviced",1,0)</f>
        <v/>
      </c>
      <c r="CG1226" s="76">
        <f>IF($AA1226="Yes","Currently on Watchlist",IF($AA1226="Previously","Previously on Watchlist","Never on Watchlist"))</f>
        <v/>
      </c>
      <c r="CH1226" s="78">
        <f>IF($CG1226="Currently on Watchlist",1,0)</f>
        <v/>
      </c>
      <c r="CI1226" s="76">
        <f>IF($Z1226="Full Defeasance","Fully Defeased",IF($Z1226="Portion Of Loan Previously Defeased","Partially Defeased",IF($Z1226="Defeasance Not Allowable","Not Defeased (Not Permitted)","Not Defeased")))</f>
        <v/>
      </c>
      <c r="CJ1226" s="78">
        <f>IF($CI1226="Fully Defeased",1,0)</f>
        <v/>
      </c>
      <c r="CK1226" s="76">
        <f>IF($R1226="IO","Full IO",IF(LEFT($R1226&amp;"",7)="IO then","Partial IO","Amortizing"))</f>
        <v/>
      </c>
      <c r="CL1226" s="78">
        <f>IF($CK1226="Full IO",1,0)</f>
        <v/>
      </c>
      <c r="CM1226" s="78">
        <f>IF($CK1226="Partial IO",1,0)</f>
        <v/>
      </c>
      <c r="CN1226" s="76">
        <f>IF(LEFT($F1226&amp;"",10)="SPLIT_LOAN","Pari Passu Split","Standalone")</f>
        <v/>
      </c>
      <c r="CO1226" s="78">
        <f>IF($CN1226="Pari Passu Split",1,0)</f>
        <v/>
      </c>
      <c r="CP1226" s="77">
        <f>IF(ISNUMBER($T1226),YEAR($T1226),"")</f>
        <v/>
      </c>
      <c r="CQ1226" s="79">
        <f>IF(ISNUMBER($V1226),$V1226,IF(ISNUMBER($U1226),$U1226,""))</f>
        <v/>
      </c>
      <c r="CR1226" s="77">
        <f>IF(ISNUMBER($CQ1226),YEAR($CQ1226),"")</f>
        <v/>
      </c>
      <c r="CS1226" s="78">
        <f>IF(ISNUMBER($M1226),MAX(0,$M1226),IF(TRIM($M1226&amp;"")="matured",0,""))</f>
        <v/>
      </c>
      <c r="CT1226" s="78">
        <f>IF(AND(ISNUMBER($CS1226),N($CS1226)&lt;=mMatWindow),1,0)</f>
        <v/>
      </c>
      <c r="CU1226" s="80">
        <f>IF(ISNUMBER($J1226),$J1226/100,"")</f>
        <v/>
      </c>
      <c r="CV1226" s="81">
        <f>IF(ISNUMBER($AQ1226),$AQ1226,"")</f>
        <v/>
      </c>
      <c r="CW1226" s="81">
        <f>IF(ISNUMBER($AR1226),$AR1226,"")</f>
        <v/>
      </c>
      <c r="CX1226" s="82">
        <f>IF(ISNUMBER($AS1226),$AS1226/100,"")</f>
        <v/>
      </c>
      <c r="CY1226" s="82">
        <f>IF(ISNUMBER($AT1226),$AT1226/100,"")</f>
        <v/>
      </c>
      <c r="CZ1226" s="82">
        <f>IF(ISNUMBER($AU1226),$AU1226/100,"")</f>
        <v/>
      </c>
      <c r="DA1226" s="82">
        <f>IF(ISNUMBER($AV1226),$AV1226/100,"")</f>
        <v/>
      </c>
      <c r="DB1226" s="82">
        <f>IF(ISNUMBER($AW1226),$AW1226/100,"")</f>
        <v/>
      </c>
      <c r="DC1226" s="82">
        <f>IF(ISNUMBER($AX1226),$AX1226/100,"")</f>
        <v/>
      </c>
      <c r="DD1226" s="77">
        <f>IFERROR(VALUE(LEFT(TRIM($AO1226&amp;""),4)),"")</f>
        <v/>
      </c>
      <c r="DE1226" s="78">
        <f>IF(AND($BY1226=1,$BX1226=1,OR(fDeal="All Deals",$BU1226=fDeal),OR(fEntity="All Entities",$BV1226=fEntity),OR(fPType="All Property Types",$BZ1226=fPType),OR(fDefeased="Include",$CJ1226=0)),1,0)</f>
        <v/>
      </c>
      <c r="DF1226" s="83">
        <f>$DE1226*N($I1226)</f>
        <v/>
      </c>
      <c r="DG1226" s="78">
        <f>IF($DE1226=1,IF(COUNTIFS($F$8:$F1226,$F1226,$DE$8:$DE1226,1)=1,1,0),0)</f>
        <v/>
      </c>
      <c r="DH1226" s="83">
        <f>IF($DG1226=1,SUMIFS($DF$8:$DF$1600,$F$8:$F$1600,$F1226),0)</f>
        <v/>
      </c>
      <c r="DI1226" s="78">
        <f>IF($DG1226=1,COUNTIFS($F$8:$F$1600,$F1226,$DE$8:$DE$1600,1),0)</f>
        <v/>
      </c>
      <c r="DJ1226" s="84">
        <f>IF($DG1226=1,$DH1226+(100000-ROW())/mTieBreak,0)</f>
        <v/>
      </c>
    </row>
    <row r="1227">
      <c r="B1227" s="68" t="n">
        <v>49</v>
      </c>
      <c r="C1227" s="69" t="inlineStr">
        <is>
          <t>BCMK18B6</t>
        </is>
      </c>
      <c r="D1227" s="69" t="inlineStr">
        <is>
          <t>49.000</t>
        </is>
      </c>
      <c r="E1227" s="69" t="inlineStr">
        <is>
          <t>Bender Creek Apartments</t>
        </is>
      </c>
      <c r="F1227" s="69" t="inlineStr">
        <is>
          <t>LNBCMK18B6-49.000</t>
        </is>
      </c>
      <c r="G1227" s="70" t="n"/>
      <c r="H1227" s="71" t="n">
        <v>5000000</v>
      </c>
      <c r="I1227" s="71" t="n">
        <v>4326206.470000001</v>
      </c>
      <c r="J1227" s="72" t="n">
        <v>5</v>
      </c>
      <c r="K1227" s="69" t="inlineStr">
        <is>
          <t>Fixed rate</t>
        </is>
      </c>
      <c r="L1227" s="68" t="n">
        <v>120</v>
      </c>
      <c r="M1227" s="68" t="n">
        <v>24</v>
      </c>
      <c r="N1227" s="68" t="n">
        <v>360</v>
      </c>
      <c r="O1227" s="68" t="n"/>
      <c r="P1227" s="68" t="n"/>
      <c r="Q1227" s="68" t="n">
        <v>96</v>
      </c>
      <c r="R1227" s="69" t="n"/>
      <c r="S1227" s="69" t="inlineStr">
        <is>
          <t>No</t>
        </is>
      </c>
      <c r="T1227" s="73" t="n">
        <v>43344</v>
      </c>
      <c r="U1227" s="73" t="n">
        <v>47002</v>
      </c>
      <c r="V1227" s="73" t="n"/>
      <c r="W1227" s="69" t="inlineStr">
        <is>
          <t>90+</t>
        </is>
      </c>
      <c r="X1227" s="69" t="inlineStr">
        <is>
          <t>121+ Days Delinquent</t>
        </is>
      </c>
      <c r="Y1227" s="68" t="n">
        <v>6</v>
      </c>
      <c r="Z1227" s="69" t="inlineStr">
        <is>
          <t>No Defeasance Occurred</t>
        </is>
      </c>
      <c r="AA1227" s="69" t="inlineStr">
        <is>
          <t>Previously</t>
        </is>
      </c>
      <c r="AB1227" s="69" t="inlineStr">
        <is>
          <t>Currently special serv</t>
        </is>
      </c>
      <c r="AC1227" s="73" t="n">
        <v>46147</v>
      </c>
      <c r="AD1227" s="69" t="inlineStr">
        <is>
          <t>Payment Default (all payments excluding Balloon/Maturity Payment)</t>
        </is>
      </c>
      <c r="AE1227" s="69" t="inlineStr">
        <is>
          <t>Foreclosure</t>
        </is>
      </c>
      <c r="AF1227" s="69" t="inlineStr">
        <is>
          <t>TX</t>
        </is>
      </c>
      <c r="AG1227" s="69" t="inlineStr">
        <is>
          <t>Humble</t>
        </is>
      </c>
      <c r="AH1227" s="69" t="inlineStr">
        <is>
          <t>Houston-Pasadena-The Woodlands, TX</t>
        </is>
      </c>
      <c r="AI1227" s="69" t="inlineStr">
        <is>
          <t>South / Central West</t>
        </is>
      </c>
      <c r="AJ1227" s="69" t="inlineStr">
        <is>
          <t>MF</t>
        </is>
      </c>
      <c r="AK1227" s="69" t="inlineStr">
        <is>
          <t>Garden</t>
        </is>
      </c>
      <c r="AL1227" s="68" t="n">
        <v>1</v>
      </c>
      <c r="AM1227" s="68" t="n">
        <v>110</v>
      </c>
      <c r="AN1227" s="68" t="n"/>
      <c r="AO1227" s="69" t="inlineStr">
        <is>
          <t>1972</t>
        </is>
      </c>
      <c r="AP1227" s="70" t="n">
        <v>2012</v>
      </c>
      <c r="AQ1227" s="74" t="n">
        <v>1.64</v>
      </c>
      <c r="AR1227" s="74" t="n">
        <v>0.6899999999999999</v>
      </c>
      <c r="AS1227" s="74" t="n">
        <v>67.90000000000001</v>
      </c>
      <c r="AT1227" s="74" t="n">
        <v>58.78</v>
      </c>
      <c r="AU1227" s="74" t="n">
        <v>55.9</v>
      </c>
      <c r="AV1227" s="74" t="n">
        <v>10.57512</v>
      </c>
      <c r="AW1227" s="74" t="n">
        <v>-1.424821964</v>
      </c>
      <c r="AX1227" s="75" t="n">
        <v>81</v>
      </c>
      <c r="AY1227" s="71" t="n">
        <v>7360000</v>
      </c>
      <c r="AZ1227" s="71" t="n">
        <v>7360000</v>
      </c>
      <c r="BA1227" s="71" t="n">
        <v>528756</v>
      </c>
      <c r="BB1227" s="71" t="n">
        <v>221264.42</v>
      </c>
      <c r="BC1227" s="69" t="inlineStr">
        <is>
          <t>Refinance</t>
        </is>
      </c>
      <c r="BD1227" s="69" t="inlineStr">
        <is>
          <t>N</t>
        </is>
      </c>
      <c r="BE1227" s="71" t="n"/>
      <c r="BF1227" s="71" t="n"/>
      <c r="BG1227" s="71" t="n"/>
      <c r="BH1227" s="71" t="n">
        <v>0</v>
      </c>
      <c r="BI1227" s="71" t="n">
        <v>187823.38</v>
      </c>
      <c r="BJ1227" s="69" t="inlineStr">
        <is>
          <t>N</t>
        </is>
      </c>
      <c r="BK1227" s="69" t="n"/>
      <c r="BL1227" s="75" t="n"/>
      <c r="BM1227" s="73" t="n"/>
      <c r="BN1227" s="69" t="inlineStr">
        <is>
          <t>Charles E. Goldsmith, Bernita M. Goldsmith and Javon L. Walker</t>
        </is>
      </c>
      <c r="BO1227" s="69" t="inlineStr">
        <is>
          <t>GACC</t>
        </is>
      </c>
      <c r="BP1227" s="69" t="inlineStr">
        <is>
          <t>KeyBank National Association</t>
        </is>
      </c>
      <c r="BQ1227" s="69" t="inlineStr">
        <is>
          <t>K-Star Asset Management LLC</t>
        </is>
      </c>
      <c r="BR1227" s="69" t="n"/>
      <c r="BS1227" s="73" t="n">
        <v>46273</v>
      </c>
      <c r="BU1227" s="76">
        <f>IF($C1227="","",IFERROR(INDEX(dmName,MATCH($C1227,dmID,0)),"Unmapped"))</f>
        <v/>
      </c>
      <c r="BV1227" s="76">
        <f>IF($C1227="","",IFERROR(INDEX(dmEntity,MATCH($C1227,dmID,0)),"Unmapped"))</f>
        <v/>
      </c>
      <c r="BW1227" s="77">
        <f>IF($C1227="","",IFERROR(INDEX(dmVintage,MATCH($C1227,dmID,0)),""))</f>
        <v/>
      </c>
      <c r="BX1227" s="78">
        <f>IFERROR(INDEX(dmInclude,MATCH($C1227,dmID,0)),0)</f>
        <v/>
      </c>
      <c r="BY1227" s="78">
        <f>IF(N($I1227)&gt;0,1,0)</f>
        <v/>
      </c>
      <c r="BZ1227" s="76">
        <f>IF($AJ1227="","Other / Leased Fee",IFERROR(INDEX(mapPTGroup,MATCH(LEFT(TRIM($AJ1227),2),mapPTCode,0)),"Other / Leased Fee"))</f>
        <v/>
      </c>
      <c r="CA1227" s="76">
        <f>IF(TRIM($AF1227&amp;"")="","NR",LEFT(TRIM($AF1227),2))</f>
        <v/>
      </c>
      <c r="CB1227" s="76">
        <f>IFERROR(LOOKUP(2,1/(LEFT(TRIM($AI1227&amp;""),LEN(mapRegion))=mapRegion),mapRegion),"Not Reported")</f>
        <v/>
      </c>
      <c r="CC1227" s="76">
        <f>IF($BY1227=0,"",IF(TRIM($W1227&amp;"")="REO","REO",IF(TRIM($W1227&amp;"")="FC","Foreclosure",IF(TRIM($W1227&amp;"")="90+","90+ Days Delinquent",IF(TRIM($W1227&amp;"")="60","60 Days Delinquent",IF(TRIM($W1227&amp;"")="30","30 Days Delinquent",IF($X1227="Non-Performing Matured Balloon","Non-Performing Matured Balloon",IF(OR($X1227="Late Payment But Less Than 30 Days Delinquent",LEFT($X1227&amp;"",20)="Payment Not Received"),"Late / In Grace (&lt;30 Days)",IF($X1227="Performing Matured Balloon","Performing Matured Balloon","Current")))))))))</f>
        <v/>
      </c>
      <c r="CD1227" s="78">
        <f>IF(OR($CC1227="REO",$CC1227="Foreclosure",$CC1227="90+ Days Delinquent",$CC1227="60 Days Delinquent",$CC1227="30 Days Delinquent",$CC1227="Non-Performing Matured Balloon"),1,0)</f>
        <v/>
      </c>
      <c r="CE1227" s="76">
        <f>IF($AB1227="Currently special serv","Currently Specially Serviced",IF($AB1227="Returned to master serv","Previously Specially Serviced","Never Specially Serviced"))</f>
        <v/>
      </c>
      <c r="CF1227" s="78">
        <f>IF($CE1227="Currently Specially Serviced",1,0)</f>
        <v/>
      </c>
      <c r="CG1227" s="76">
        <f>IF($AA1227="Yes","Currently on Watchlist",IF($AA1227="Previously","Previously on Watchlist","Never on Watchlist"))</f>
        <v/>
      </c>
      <c r="CH1227" s="78">
        <f>IF($CG1227="Currently on Watchlist",1,0)</f>
        <v/>
      </c>
      <c r="CI1227" s="76">
        <f>IF($Z1227="Full Defeasance","Fully Defeased",IF($Z1227="Portion Of Loan Previously Defeased","Partially Defeased",IF($Z1227="Defeasance Not Allowable","Not Defeased (Not Permitted)","Not Defeased")))</f>
        <v/>
      </c>
      <c r="CJ1227" s="78">
        <f>IF($CI1227="Fully Defeased",1,0)</f>
        <v/>
      </c>
      <c r="CK1227" s="76">
        <f>IF($R1227="IO","Full IO",IF(LEFT($R1227&amp;"",7)="IO then","Partial IO","Amortizing"))</f>
        <v/>
      </c>
      <c r="CL1227" s="78">
        <f>IF($CK1227="Full IO",1,0)</f>
        <v/>
      </c>
      <c r="CM1227" s="78">
        <f>IF($CK1227="Partial IO",1,0)</f>
        <v/>
      </c>
      <c r="CN1227" s="76">
        <f>IF(LEFT($F1227&amp;"",10)="SPLIT_LOAN","Pari Passu Split","Standalone")</f>
        <v/>
      </c>
      <c r="CO1227" s="78">
        <f>IF($CN1227="Pari Passu Split",1,0)</f>
        <v/>
      </c>
      <c r="CP1227" s="77">
        <f>IF(ISNUMBER($T1227),YEAR($T1227),"")</f>
        <v/>
      </c>
      <c r="CQ1227" s="79">
        <f>IF(ISNUMBER($V1227),$V1227,IF(ISNUMBER($U1227),$U1227,""))</f>
        <v/>
      </c>
      <c r="CR1227" s="77">
        <f>IF(ISNUMBER($CQ1227),YEAR($CQ1227),"")</f>
        <v/>
      </c>
      <c r="CS1227" s="78">
        <f>IF(ISNUMBER($M1227),MAX(0,$M1227),IF(TRIM($M1227&amp;"")="matured",0,""))</f>
        <v/>
      </c>
      <c r="CT1227" s="78">
        <f>IF(AND(ISNUMBER($CS1227),N($CS1227)&lt;=mMatWindow),1,0)</f>
        <v/>
      </c>
      <c r="CU1227" s="80">
        <f>IF(ISNUMBER($J1227),$J1227/100,"")</f>
        <v/>
      </c>
      <c r="CV1227" s="81">
        <f>IF(ISNUMBER($AQ1227),$AQ1227,"")</f>
        <v/>
      </c>
      <c r="CW1227" s="81">
        <f>IF(ISNUMBER($AR1227),$AR1227,"")</f>
        <v/>
      </c>
      <c r="CX1227" s="82">
        <f>IF(ISNUMBER($AS1227),$AS1227/100,"")</f>
        <v/>
      </c>
      <c r="CY1227" s="82">
        <f>IF(ISNUMBER($AT1227),$AT1227/100,"")</f>
        <v/>
      </c>
      <c r="CZ1227" s="82">
        <f>IF(ISNUMBER($AU1227),$AU1227/100,"")</f>
        <v/>
      </c>
      <c r="DA1227" s="82">
        <f>IF(ISNUMBER($AV1227),$AV1227/100,"")</f>
        <v/>
      </c>
      <c r="DB1227" s="82">
        <f>IF(ISNUMBER($AW1227),$AW1227/100,"")</f>
        <v/>
      </c>
      <c r="DC1227" s="82">
        <f>IF(ISNUMBER($AX1227),$AX1227/100,"")</f>
        <v/>
      </c>
      <c r="DD1227" s="77">
        <f>IFERROR(VALUE(LEFT(TRIM($AO1227&amp;""),4)),"")</f>
        <v/>
      </c>
      <c r="DE1227" s="78">
        <f>IF(AND($BY1227=1,$BX1227=1,OR(fDeal="All Deals",$BU1227=fDeal),OR(fEntity="All Entities",$BV1227=fEntity),OR(fPType="All Property Types",$BZ1227=fPType),OR(fDefeased="Include",$CJ1227=0)),1,0)</f>
        <v/>
      </c>
      <c r="DF1227" s="83">
        <f>$DE1227*N($I1227)</f>
        <v/>
      </c>
      <c r="DG1227" s="78">
        <f>IF($DE1227=1,IF(COUNTIFS($F$8:$F1227,$F1227,$DE$8:$DE1227,1)=1,1,0),0)</f>
        <v/>
      </c>
      <c r="DH1227" s="83">
        <f>IF($DG1227=1,SUMIFS($DF$8:$DF$1600,$F$8:$F$1600,$F1227),0)</f>
        <v/>
      </c>
      <c r="DI1227" s="78">
        <f>IF($DG1227=1,COUNTIFS($F$8:$F$1600,$F1227,$DE$8:$DE$1600,1),0)</f>
        <v/>
      </c>
      <c r="DJ1227" s="84">
        <f>IF($DG1227=1,$DH1227+(100000-ROW())/mTieBreak,0)</f>
        <v/>
      </c>
    </row>
    <row r="1228">
      <c r="B1228" s="68" t="n">
        <v>50</v>
      </c>
      <c r="C1228" s="69" t="inlineStr">
        <is>
          <t>BCMK18B6</t>
        </is>
      </c>
      <c r="D1228" s="69" t="inlineStr">
        <is>
          <t>50.000</t>
        </is>
      </c>
      <c r="E1228" s="69" t="inlineStr">
        <is>
          <t>123 East 18th Street New York</t>
        </is>
      </c>
      <c r="F1228" s="69" t="inlineStr">
        <is>
          <t>LNBCMK18B6-50.000</t>
        </is>
      </c>
      <c r="G1228" s="70" t="n"/>
      <c r="H1228" s="71" t="n">
        <v>4500000</v>
      </c>
      <c r="I1228" s="71" t="n">
        <v>4500000</v>
      </c>
      <c r="J1228" s="72" t="n">
        <v>5.16</v>
      </c>
      <c r="K1228" s="69" t="inlineStr">
        <is>
          <t>Fixed rate</t>
        </is>
      </c>
      <c r="L1228" s="68" t="n">
        <v>120</v>
      </c>
      <c r="M1228" s="68" t="n">
        <v>25</v>
      </c>
      <c r="N1228" s="68" t="n">
        <v>120</v>
      </c>
      <c r="O1228" s="68" t="n">
        <v>120</v>
      </c>
      <c r="P1228" s="68" t="n">
        <v>25</v>
      </c>
      <c r="Q1228" s="68" t="n">
        <v>95</v>
      </c>
      <c r="R1228" s="69" t="inlineStr">
        <is>
          <t>IO</t>
        </is>
      </c>
      <c r="S1228" s="69" t="inlineStr">
        <is>
          <t>Yes</t>
        </is>
      </c>
      <c r="T1228" s="73" t="n">
        <v>43374</v>
      </c>
      <c r="U1228" s="73" t="n">
        <v>47032</v>
      </c>
      <c r="V1228" s="73" t="n"/>
      <c r="W1228" s="69" t="n"/>
      <c r="X1228" s="69" t="inlineStr">
        <is>
          <t>Current</t>
        </is>
      </c>
      <c r="Y1228" s="68" t="n"/>
      <c r="Z1228" s="69" t="inlineStr">
        <is>
          <t>No Defeasance Occurred</t>
        </is>
      </c>
      <c r="AA1228" s="69" t="inlineStr">
        <is>
          <t>Previously</t>
        </is>
      </c>
      <c r="AB1228" s="69" t="inlineStr">
        <is>
          <t>Never special serv</t>
        </is>
      </c>
      <c r="AC1228" s="73" t="n"/>
      <c r="AD1228" s="69" t="n"/>
      <c r="AE1228" s="69" t="n"/>
      <c r="AF1228" s="69" t="inlineStr">
        <is>
          <t>NY</t>
        </is>
      </c>
      <c r="AG1228" s="69" t="inlineStr">
        <is>
          <t>New York</t>
        </is>
      </c>
      <c r="AH1228" s="69" t="inlineStr">
        <is>
          <t>New York-Newark-Jersey City, NY-NJ</t>
        </is>
      </c>
      <c r="AI1228" s="69" t="inlineStr">
        <is>
          <t>Northeast / Mid-Atlantic</t>
        </is>
      </c>
      <c r="AJ1228" s="69" t="inlineStr">
        <is>
          <t>MX</t>
        </is>
      </c>
      <c r="AK1228" s="69" t="inlineStr">
        <is>
          <t>Multifamily/Retail</t>
        </is>
      </c>
      <c r="AL1228" s="68" t="n">
        <v>1</v>
      </c>
      <c r="AM1228" s="68" t="n">
        <v>7</v>
      </c>
      <c r="AN1228" s="68" t="n"/>
      <c r="AO1228" s="69" t="inlineStr">
        <is>
          <t>1960</t>
        </is>
      </c>
      <c r="AP1228" s="70" t="n">
        <v>2018</v>
      </c>
      <c r="AQ1228" s="74" t="n">
        <v>1.41</v>
      </c>
      <c r="AR1228" s="74" t="n">
        <v>1.24</v>
      </c>
      <c r="AS1228" s="74" t="n">
        <v>60</v>
      </c>
      <c r="AT1228" s="74" t="n">
        <v>60</v>
      </c>
      <c r="AU1228" s="74" t="n">
        <v>60</v>
      </c>
      <c r="AV1228" s="74" t="n">
        <v>7.375862222</v>
      </c>
      <c r="AW1228" s="74" t="n">
        <v>6.682243778</v>
      </c>
      <c r="AX1228" s="75" t="n">
        <v>100</v>
      </c>
      <c r="AY1228" s="71" t="n">
        <v>7500000</v>
      </c>
      <c r="AZ1228" s="71" t="n">
        <v>7500000</v>
      </c>
      <c r="BA1228" s="71" t="n">
        <v>331913.8</v>
      </c>
      <c r="BB1228" s="71" t="n">
        <v>291428.04</v>
      </c>
      <c r="BC1228" s="69" t="inlineStr">
        <is>
          <t>Refinance</t>
        </is>
      </c>
      <c r="BD1228" s="69" t="n"/>
      <c r="BE1228" s="71" t="n"/>
      <c r="BF1228" s="71" t="n"/>
      <c r="BG1228" s="71" t="n"/>
      <c r="BH1228" s="71" t="n">
        <v>0</v>
      </c>
      <c r="BI1228" s="71" t="n">
        <v>0</v>
      </c>
      <c r="BJ1228" s="69" t="inlineStr">
        <is>
          <t>N</t>
        </is>
      </c>
      <c r="BK1228" s="69" t="inlineStr">
        <is>
          <t>Paul and Jimmy's</t>
        </is>
      </c>
      <c r="BL1228" s="75" t="n">
        <v>0</v>
      </c>
      <c r="BM1228" s="73" t="n">
        <v>43982</v>
      </c>
      <c r="BN1228" s="69" t="inlineStr">
        <is>
          <t>Stuart Kreiner</t>
        </is>
      </c>
      <c r="BO1228" s="69" t="inlineStr">
        <is>
          <t>Citigroup Global Markets</t>
        </is>
      </c>
      <c r="BP1228" s="69" t="inlineStr">
        <is>
          <t>KeyBank National Association</t>
        </is>
      </c>
      <c r="BQ1228" s="69" t="inlineStr">
        <is>
          <t>K-Star Asset Management LLC</t>
        </is>
      </c>
      <c r="BR1228" s="69" t="n"/>
      <c r="BS1228" s="73" t="n">
        <v>46273</v>
      </c>
      <c r="BU1228" s="76">
        <f>IF($C1228="","",IFERROR(INDEX(dmName,MATCH($C1228,dmID,0)),"Unmapped"))</f>
        <v/>
      </c>
      <c r="BV1228" s="76">
        <f>IF($C1228="","",IFERROR(INDEX(dmEntity,MATCH($C1228,dmID,0)),"Unmapped"))</f>
        <v/>
      </c>
      <c r="BW1228" s="77">
        <f>IF($C1228="","",IFERROR(INDEX(dmVintage,MATCH($C1228,dmID,0)),""))</f>
        <v/>
      </c>
      <c r="BX1228" s="78">
        <f>IFERROR(INDEX(dmInclude,MATCH($C1228,dmID,0)),0)</f>
        <v/>
      </c>
      <c r="BY1228" s="78">
        <f>IF(N($I1228)&gt;0,1,0)</f>
        <v/>
      </c>
      <c r="BZ1228" s="76">
        <f>IF($AJ1228="","Other / Leased Fee",IFERROR(INDEX(mapPTGroup,MATCH(LEFT(TRIM($AJ1228),2),mapPTCode,0)),"Other / Leased Fee"))</f>
        <v/>
      </c>
      <c r="CA1228" s="76">
        <f>IF(TRIM($AF1228&amp;"")="","NR",LEFT(TRIM($AF1228),2))</f>
        <v/>
      </c>
      <c r="CB1228" s="76">
        <f>IFERROR(LOOKUP(2,1/(LEFT(TRIM($AI1228&amp;""),LEN(mapRegion))=mapRegion),mapRegion),"Not Reported")</f>
        <v/>
      </c>
      <c r="CC1228" s="76">
        <f>IF($BY1228=0,"",IF(TRIM($W1228&amp;"")="REO","REO",IF(TRIM($W1228&amp;"")="FC","Foreclosure",IF(TRIM($W1228&amp;"")="90+","90+ Days Delinquent",IF(TRIM($W1228&amp;"")="60","60 Days Delinquent",IF(TRIM($W1228&amp;"")="30","30 Days Delinquent",IF($X1228="Non-Performing Matured Balloon","Non-Performing Matured Balloon",IF(OR($X1228="Late Payment But Less Than 30 Days Delinquent",LEFT($X1228&amp;"",20)="Payment Not Received"),"Late / In Grace (&lt;30 Days)",IF($X1228="Performing Matured Balloon","Performing Matured Balloon","Current")))))))))</f>
        <v/>
      </c>
      <c r="CD1228" s="78">
        <f>IF(OR($CC1228="REO",$CC1228="Foreclosure",$CC1228="90+ Days Delinquent",$CC1228="60 Days Delinquent",$CC1228="30 Days Delinquent",$CC1228="Non-Performing Matured Balloon"),1,0)</f>
        <v/>
      </c>
      <c r="CE1228" s="76">
        <f>IF($AB1228="Currently special serv","Currently Specially Serviced",IF($AB1228="Returned to master serv","Previously Specially Serviced","Never Specially Serviced"))</f>
        <v/>
      </c>
      <c r="CF1228" s="78">
        <f>IF($CE1228="Currently Specially Serviced",1,0)</f>
        <v/>
      </c>
      <c r="CG1228" s="76">
        <f>IF($AA1228="Yes","Currently on Watchlist",IF($AA1228="Previously","Previously on Watchlist","Never on Watchlist"))</f>
        <v/>
      </c>
      <c r="CH1228" s="78">
        <f>IF($CG1228="Currently on Watchlist",1,0)</f>
        <v/>
      </c>
      <c r="CI1228" s="76">
        <f>IF($Z1228="Full Defeasance","Fully Defeased",IF($Z1228="Portion Of Loan Previously Defeased","Partially Defeased",IF($Z1228="Defeasance Not Allowable","Not Defeased (Not Permitted)","Not Defeased")))</f>
        <v/>
      </c>
      <c r="CJ1228" s="78">
        <f>IF($CI1228="Fully Defeased",1,0)</f>
        <v/>
      </c>
      <c r="CK1228" s="76">
        <f>IF($R1228="IO","Full IO",IF(LEFT($R1228&amp;"",7)="IO then","Partial IO","Amortizing"))</f>
        <v/>
      </c>
      <c r="CL1228" s="78">
        <f>IF($CK1228="Full IO",1,0)</f>
        <v/>
      </c>
      <c r="CM1228" s="78">
        <f>IF($CK1228="Partial IO",1,0)</f>
        <v/>
      </c>
      <c r="CN1228" s="76">
        <f>IF(LEFT($F1228&amp;"",10)="SPLIT_LOAN","Pari Passu Split","Standalone")</f>
        <v/>
      </c>
      <c r="CO1228" s="78">
        <f>IF($CN1228="Pari Passu Split",1,0)</f>
        <v/>
      </c>
      <c r="CP1228" s="77">
        <f>IF(ISNUMBER($T1228),YEAR($T1228),"")</f>
        <v/>
      </c>
      <c r="CQ1228" s="79">
        <f>IF(ISNUMBER($V1228),$V1228,IF(ISNUMBER($U1228),$U1228,""))</f>
        <v/>
      </c>
      <c r="CR1228" s="77">
        <f>IF(ISNUMBER($CQ1228),YEAR($CQ1228),"")</f>
        <v/>
      </c>
      <c r="CS1228" s="78">
        <f>IF(ISNUMBER($M1228),MAX(0,$M1228),IF(TRIM($M1228&amp;"")="matured",0,""))</f>
        <v/>
      </c>
      <c r="CT1228" s="78">
        <f>IF(AND(ISNUMBER($CS1228),N($CS1228)&lt;=mMatWindow),1,0)</f>
        <v/>
      </c>
      <c r="CU1228" s="80">
        <f>IF(ISNUMBER($J1228),$J1228/100,"")</f>
        <v/>
      </c>
      <c r="CV1228" s="81">
        <f>IF(ISNUMBER($AQ1228),$AQ1228,"")</f>
        <v/>
      </c>
      <c r="CW1228" s="81">
        <f>IF(ISNUMBER($AR1228),$AR1228,"")</f>
        <v/>
      </c>
      <c r="CX1228" s="82">
        <f>IF(ISNUMBER($AS1228),$AS1228/100,"")</f>
        <v/>
      </c>
      <c r="CY1228" s="82">
        <f>IF(ISNUMBER($AT1228),$AT1228/100,"")</f>
        <v/>
      </c>
      <c r="CZ1228" s="82">
        <f>IF(ISNUMBER($AU1228),$AU1228/100,"")</f>
        <v/>
      </c>
      <c r="DA1228" s="82">
        <f>IF(ISNUMBER($AV1228),$AV1228/100,"")</f>
        <v/>
      </c>
      <c r="DB1228" s="82">
        <f>IF(ISNUMBER($AW1228),$AW1228/100,"")</f>
        <v/>
      </c>
      <c r="DC1228" s="82">
        <f>IF(ISNUMBER($AX1228),$AX1228/100,"")</f>
        <v/>
      </c>
      <c r="DD1228" s="77">
        <f>IFERROR(VALUE(LEFT(TRIM($AO1228&amp;""),4)),"")</f>
        <v/>
      </c>
      <c r="DE1228" s="78">
        <f>IF(AND($BY1228=1,$BX1228=1,OR(fDeal="All Deals",$BU1228=fDeal),OR(fEntity="All Entities",$BV1228=fEntity),OR(fPType="All Property Types",$BZ1228=fPType),OR(fDefeased="Include",$CJ1228=0)),1,0)</f>
        <v/>
      </c>
      <c r="DF1228" s="83">
        <f>$DE1228*N($I1228)</f>
        <v/>
      </c>
      <c r="DG1228" s="78">
        <f>IF($DE1228=1,IF(COUNTIFS($F$8:$F1228,$F1228,$DE$8:$DE1228,1)=1,1,0),0)</f>
        <v/>
      </c>
      <c r="DH1228" s="83">
        <f>IF($DG1228=1,SUMIFS($DF$8:$DF$1600,$F$8:$F$1600,$F1228),0)</f>
        <v/>
      </c>
      <c r="DI1228" s="78">
        <f>IF($DG1228=1,COUNTIFS($F$8:$F$1600,$F1228,$DE$8:$DE$1600,1),0)</f>
        <v/>
      </c>
      <c r="DJ1228" s="84">
        <f>IF($DG1228=1,$DH1228+(100000-ROW())/mTieBreak,0)</f>
        <v/>
      </c>
    </row>
    <row r="1229">
      <c r="B1229" s="68" t="n">
        <v>51</v>
      </c>
      <c r="C1229" s="69" t="inlineStr">
        <is>
          <t>BCMK18B6</t>
        </is>
      </c>
      <c r="D1229" s="69" t="inlineStr">
        <is>
          <t>51.000</t>
        </is>
      </c>
      <c r="E1229" s="69" t="inlineStr">
        <is>
          <t>Fairfield Emporia Virginia</t>
        </is>
      </c>
      <c r="F1229" s="69" t="inlineStr">
        <is>
          <t>LNBCMK18B6-51.000</t>
        </is>
      </c>
      <c r="G1229" s="70" t="n"/>
      <c r="H1229" s="71" t="n">
        <v>4475000</v>
      </c>
      <c r="I1229" s="71" t="n">
        <v>3660954.649999976</v>
      </c>
      <c r="J1229" s="72" t="n">
        <v>5.41</v>
      </c>
      <c r="K1229" s="69" t="inlineStr">
        <is>
          <t>Fixed rate</t>
        </is>
      </c>
      <c r="L1229" s="68" t="n">
        <v>120</v>
      </c>
      <c r="M1229" s="68" t="n">
        <v>24</v>
      </c>
      <c r="N1229" s="68" t="n">
        <v>300</v>
      </c>
      <c r="O1229" s="68" t="n"/>
      <c r="P1229" s="68" t="n"/>
      <c r="Q1229" s="68" t="n">
        <v>96</v>
      </c>
      <c r="R1229" s="69" t="n"/>
      <c r="S1229" s="69" t="inlineStr">
        <is>
          <t>No</t>
        </is>
      </c>
      <c r="T1229" s="73" t="n">
        <v>43344</v>
      </c>
      <c r="U1229" s="73" t="n">
        <v>47002</v>
      </c>
      <c r="V1229" s="73" t="n"/>
      <c r="W1229" s="69" t="n"/>
      <c r="X1229" s="69" t="inlineStr">
        <is>
          <t>Current</t>
        </is>
      </c>
      <c r="Y1229" s="68" t="n"/>
      <c r="Z1229" s="69" t="inlineStr">
        <is>
          <t>Full Defeasance</t>
        </is>
      </c>
      <c r="AA1229" s="69" t="inlineStr">
        <is>
          <t>Previously</t>
        </is>
      </c>
      <c r="AB1229" s="69" t="inlineStr">
        <is>
          <t>Returned to master serv</t>
        </is>
      </c>
      <c r="AC1229" s="73" t="n"/>
      <c r="AD1229" s="69" t="inlineStr">
        <is>
          <t>Payment Default (all payments excluding Balloon/Maturity Payment)</t>
        </is>
      </c>
      <c r="AE1229" s="69" t="inlineStr">
        <is>
          <t>Resolved</t>
        </is>
      </c>
      <c r="AF1229" s="69" t="inlineStr">
        <is>
          <t>VA</t>
        </is>
      </c>
      <c r="AG1229" s="69" t="inlineStr">
        <is>
          <t>Emporia</t>
        </is>
      </c>
      <c r="AH1229" s="69" t="n"/>
      <c r="AI1229" s="69" t="inlineStr">
        <is>
          <t>South / Atlantic</t>
        </is>
      </c>
      <c r="AJ1229" s="69" t="inlineStr">
        <is>
          <t>HT</t>
        </is>
      </c>
      <c r="AK1229" s="69" t="inlineStr">
        <is>
          <t>Limited Service</t>
        </is>
      </c>
      <c r="AL1229" s="68" t="n">
        <v>1</v>
      </c>
      <c r="AM1229" s="68" t="n">
        <v>82</v>
      </c>
      <c r="AN1229" s="68" t="n"/>
      <c r="AO1229" s="69" t="inlineStr">
        <is>
          <t>2002</t>
        </is>
      </c>
      <c r="AP1229" s="70" t="n">
        <v>2016</v>
      </c>
      <c r="AQ1229" s="74" t="n">
        <v>1.48</v>
      </c>
      <c r="AR1229" s="74" t="n">
        <v>2.38</v>
      </c>
      <c r="AS1229" s="74" t="n">
        <v>64.8</v>
      </c>
      <c r="AT1229" s="74" t="n">
        <v>53.06</v>
      </c>
      <c r="AU1229" s="74" t="n">
        <v>49.21</v>
      </c>
      <c r="AV1229" s="74" t="n">
        <v>10.844156425</v>
      </c>
      <c r="AW1229" s="74" t="n">
        <v>16.798596781</v>
      </c>
      <c r="AX1229" s="75" t="n">
        <v>72</v>
      </c>
      <c r="AY1229" s="71" t="n">
        <v>6900000</v>
      </c>
      <c r="AZ1229" s="71" t="n">
        <v>6900000</v>
      </c>
      <c r="BA1229" s="71" t="n">
        <v>485276</v>
      </c>
      <c r="BB1229" s="71" t="n">
        <v>777118.76</v>
      </c>
      <c r="BC1229" s="69" t="inlineStr">
        <is>
          <t>Acquisition</t>
        </is>
      </c>
      <c r="BD1229" s="69" t="n"/>
      <c r="BE1229" s="71" t="n"/>
      <c r="BF1229" s="71" t="n"/>
      <c r="BG1229" s="71" t="n"/>
      <c r="BH1229" s="71" t="n">
        <v>0</v>
      </c>
      <c r="BI1229" s="71" t="n">
        <v>0</v>
      </c>
      <c r="BJ1229" s="69" t="inlineStr">
        <is>
          <t>N</t>
        </is>
      </c>
      <c r="BK1229" s="69" t="n"/>
      <c r="BL1229" s="75" t="n"/>
      <c r="BM1229" s="73" t="n"/>
      <c r="BN1229" s="69" t="inlineStr">
        <is>
          <t>Nisha Mehta and Sunil Mehta</t>
        </is>
      </c>
      <c r="BO1229" s="69" t="inlineStr">
        <is>
          <t>Citigroup Global Markets</t>
        </is>
      </c>
      <c r="BP1229" s="69" t="inlineStr">
        <is>
          <t>KeyBank National Association</t>
        </is>
      </c>
      <c r="BQ1229" s="69" t="inlineStr">
        <is>
          <t>K-Star Asset Management LLC</t>
        </is>
      </c>
      <c r="BR1229" s="69" t="n"/>
      <c r="BS1229" s="73" t="n">
        <v>46273</v>
      </c>
      <c r="BU1229" s="76">
        <f>IF($C1229="","",IFERROR(INDEX(dmName,MATCH($C1229,dmID,0)),"Unmapped"))</f>
        <v/>
      </c>
      <c r="BV1229" s="76">
        <f>IF($C1229="","",IFERROR(INDEX(dmEntity,MATCH($C1229,dmID,0)),"Unmapped"))</f>
        <v/>
      </c>
      <c r="BW1229" s="77">
        <f>IF($C1229="","",IFERROR(INDEX(dmVintage,MATCH($C1229,dmID,0)),""))</f>
        <v/>
      </c>
      <c r="BX1229" s="78">
        <f>IFERROR(INDEX(dmInclude,MATCH($C1229,dmID,0)),0)</f>
        <v/>
      </c>
      <c r="BY1229" s="78">
        <f>IF(N($I1229)&gt;0,1,0)</f>
        <v/>
      </c>
      <c r="BZ1229" s="76">
        <f>IF($AJ1229="","Other / Leased Fee",IFERROR(INDEX(mapPTGroup,MATCH(LEFT(TRIM($AJ1229),2),mapPTCode,0)),"Other / Leased Fee"))</f>
        <v/>
      </c>
      <c r="CA1229" s="76">
        <f>IF(TRIM($AF1229&amp;"")="","NR",LEFT(TRIM($AF1229),2))</f>
        <v/>
      </c>
      <c r="CB1229" s="76">
        <f>IFERROR(LOOKUP(2,1/(LEFT(TRIM($AI1229&amp;""),LEN(mapRegion))=mapRegion),mapRegion),"Not Reported")</f>
        <v/>
      </c>
      <c r="CC1229" s="76">
        <f>IF($BY1229=0,"",IF(TRIM($W1229&amp;"")="REO","REO",IF(TRIM($W1229&amp;"")="FC","Foreclosure",IF(TRIM($W1229&amp;"")="90+","90+ Days Delinquent",IF(TRIM($W1229&amp;"")="60","60 Days Delinquent",IF(TRIM($W1229&amp;"")="30","30 Days Delinquent",IF($X1229="Non-Performing Matured Balloon","Non-Performing Matured Balloon",IF(OR($X1229="Late Payment But Less Than 30 Days Delinquent",LEFT($X1229&amp;"",20)="Payment Not Received"),"Late / In Grace (&lt;30 Days)",IF($X1229="Performing Matured Balloon","Performing Matured Balloon","Current")))))))))</f>
        <v/>
      </c>
      <c r="CD1229" s="78">
        <f>IF(OR($CC1229="REO",$CC1229="Foreclosure",$CC1229="90+ Days Delinquent",$CC1229="60 Days Delinquent",$CC1229="30 Days Delinquent",$CC1229="Non-Performing Matured Balloon"),1,0)</f>
        <v/>
      </c>
      <c r="CE1229" s="76">
        <f>IF($AB1229="Currently special serv","Currently Specially Serviced",IF($AB1229="Returned to master serv","Previously Specially Serviced","Never Specially Serviced"))</f>
        <v/>
      </c>
      <c r="CF1229" s="78">
        <f>IF($CE1229="Currently Specially Serviced",1,0)</f>
        <v/>
      </c>
      <c r="CG1229" s="76">
        <f>IF($AA1229="Yes","Currently on Watchlist",IF($AA1229="Previously","Previously on Watchlist","Never on Watchlist"))</f>
        <v/>
      </c>
      <c r="CH1229" s="78">
        <f>IF($CG1229="Currently on Watchlist",1,0)</f>
        <v/>
      </c>
      <c r="CI1229" s="76">
        <f>IF($Z1229="Full Defeasance","Fully Defeased",IF($Z1229="Portion Of Loan Previously Defeased","Partially Defeased",IF($Z1229="Defeasance Not Allowable","Not Defeased (Not Permitted)","Not Defeased")))</f>
        <v/>
      </c>
      <c r="CJ1229" s="78">
        <f>IF($CI1229="Fully Defeased",1,0)</f>
        <v/>
      </c>
      <c r="CK1229" s="76">
        <f>IF($R1229="IO","Full IO",IF(LEFT($R1229&amp;"",7)="IO then","Partial IO","Amortizing"))</f>
        <v/>
      </c>
      <c r="CL1229" s="78">
        <f>IF($CK1229="Full IO",1,0)</f>
        <v/>
      </c>
      <c r="CM1229" s="78">
        <f>IF($CK1229="Partial IO",1,0)</f>
        <v/>
      </c>
      <c r="CN1229" s="76">
        <f>IF(LEFT($F1229&amp;"",10)="SPLIT_LOAN","Pari Passu Split","Standalone")</f>
        <v/>
      </c>
      <c r="CO1229" s="78">
        <f>IF($CN1229="Pari Passu Split",1,0)</f>
        <v/>
      </c>
      <c r="CP1229" s="77">
        <f>IF(ISNUMBER($T1229),YEAR($T1229),"")</f>
        <v/>
      </c>
      <c r="CQ1229" s="79">
        <f>IF(ISNUMBER($V1229),$V1229,IF(ISNUMBER($U1229),$U1229,""))</f>
        <v/>
      </c>
      <c r="CR1229" s="77">
        <f>IF(ISNUMBER($CQ1229),YEAR($CQ1229),"")</f>
        <v/>
      </c>
      <c r="CS1229" s="78">
        <f>IF(ISNUMBER($M1229),MAX(0,$M1229),IF(TRIM($M1229&amp;"")="matured",0,""))</f>
        <v/>
      </c>
      <c r="CT1229" s="78">
        <f>IF(AND(ISNUMBER($CS1229),N($CS1229)&lt;=mMatWindow),1,0)</f>
        <v/>
      </c>
      <c r="CU1229" s="80">
        <f>IF(ISNUMBER($J1229),$J1229/100,"")</f>
        <v/>
      </c>
      <c r="CV1229" s="81">
        <f>IF(ISNUMBER($AQ1229),$AQ1229,"")</f>
        <v/>
      </c>
      <c r="CW1229" s="81">
        <f>IF(ISNUMBER($AR1229),$AR1229,"")</f>
        <v/>
      </c>
      <c r="CX1229" s="82">
        <f>IF(ISNUMBER($AS1229),$AS1229/100,"")</f>
        <v/>
      </c>
      <c r="CY1229" s="82">
        <f>IF(ISNUMBER($AT1229),$AT1229/100,"")</f>
        <v/>
      </c>
      <c r="CZ1229" s="82">
        <f>IF(ISNUMBER($AU1229),$AU1229/100,"")</f>
        <v/>
      </c>
      <c r="DA1229" s="82">
        <f>IF(ISNUMBER($AV1229),$AV1229/100,"")</f>
        <v/>
      </c>
      <c r="DB1229" s="82">
        <f>IF(ISNUMBER($AW1229),$AW1229/100,"")</f>
        <v/>
      </c>
      <c r="DC1229" s="82">
        <f>IF(ISNUMBER($AX1229),$AX1229/100,"")</f>
        <v/>
      </c>
      <c r="DD1229" s="77">
        <f>IFERROR(VALUE(LEFT(TRIM($AO1229&amp;""),4)),"")</f>
        <v/>
      </c>
      <c r="DE1229" s="78">
        <f>IF(AND($BY1229=1,$BX1229=1,OR(fDeal="All Deals",$BU1229=fDeal),OR(fEntity="All Entities",$BV1229=fEntity),OR(fPType="All Property Types",$BZ1229=fPType),OR(fDefeased="Include",$CJ1229=0)),1,0)</f>
        <v/>
      </c>
      <c r="DF1229" s="83">
        <f>$DE1229*N($I1229)</f>
        <v/>
      </c>
      <c r="DG1229" s="78">
        <f>IF($DE1229=1,IF(COUNTIFS($F$8:$F1229,$F1229,$DE$8:$DE1229,1)=1,1,0),0)</f>
        <v/>
      </c>
      <c r="DH1229" s="83">
        <f>IF($DG1229=1,SUMIFS($DF$8:$DF$1600,$F$8:$F$1600,$F1229),0)</f>
        <v/>
      </c>
      <c r="DI1229" s="78">
        <f>IF($DG1229=1,COUNTIFS($F$8:$F$1600,$F1229,$DE$8:$DE$1600,1),0)</f>
        <v/>
      </c>
      <c r="DJ1229" s="84">
        <f>IF($DG1229=1,$DH1229+(100000-ROW())/mTieBreak,0)</f>
        <v/>
      </c>
    </row>
    <row r="1230">
      <c r="B1230" s="68" t="n">
        <v>52</v>
      </c>
      <c r="C1230" s="69" t="inlineStr">
        <is>
          <t>BCMK18B6</t>
        </is>
      </c>
      <c r="D1230" s="69" t="inlineStr">
        <is>
          <t>52.000</t>
        </is>
      </c>
      <c r="E1230" s="69" t="inlineStr">
        <is>
          <t>9951 Atlantic Boulevard</t>
        </is>
      </c>
      <c r="F1230" s="69" t="inlineStr">
        <is>
          <t>LNBCMK18B6-52.000</t>
        </is>
      </c>
      <c r="G1230" s="70" t="n"/>
      <c r="H1230" s="71" t="n">
        <v>3525000</v>
      </c>
      <c r="I1230" s="71" t="n">
        <v>0</v>
      </c>
      <c r="J1230" s="72" t="n">
        <v>5.71</v>
      </c>
      <c r="K1230" s="69" t="inlineStr">
        <is>
          <t>Fixed rate</t>
        </is>
      </c>
      <c r="L1230" s="68" t="n">
        <v>60</v>
      </c>
      <c r="M1230" s="68" t="n"/>
      <c r="N1230" s="68" t="n">
        <v>300</v>
      </c>
      <c r="O1230" s="68" t="n"/>
      <c r="P1230" s="68" t="n"/>
      <c r="Q1230" s="68" t="n"/>
      <c r="R1230" s="69" t="n"/>
      <c r="S1230" s="69" t="inlineStr">
        <is>
          <t>No</t>
        </is>
      </c>
      <c r="T1230" s="73" t="n">
        <v>43344</v>
      </c>
      <c r="U1230" s="73" t="n">
        <v>45175</v>
      </c>
      <c r="V1230" s="73" t="n"/>
      <c r="W1230" s="69" t="n"/>
      <c r="X1230" s="69" t="inlineStr">
        <is>
          <t>Current</t>
        </is>
      </c>
      <c r="Y1230" s="68" t="n"/>
      <c r="Z1230" s="69" t="inlineStr">
        <is>
          <t>No Defeasance Occurred</t>
        </is>
      </c>
      <c r="AA1230" s="69" t="inlineStr">
        <is>
          <t>Previously</t>
        </is>
      </c>
      <c r="AB1230" s="69" t="inlineStr">
        <is>
          <t>Never special serv</t>
        </is>
      </c>
      <c r="AC1230" s="73" t="n"/>
      <c r="AD1230" s="69" t="n"/>
      <c r="AE1230" s="69" t="n"/>
      <c r="AF1230" s="69" t="inlineStr">
        <is>
          <t>FL</t>
        </is>
      </c>
      <c r="AG1230" s="69" t="inlineStr">
        <is>
          <t>Jacksonville</t>
        </is>
      </c>
      <c r="AH1230" s="69" t="inlineStr">
        <is>
          <t>Jacksonville, FL</t>
        </is>
      </c>
      <c r="AI1230" s="69" t="inlineStr">
        <is>
          <t>South / Atlantic</t>
        </is>
      </c>
      <c r="AJ1230" s="69" t="inlineStr">
        <is>
          <t>OF</t>
        </is>
      </c>
      <c r="AK1230" s="69" t="inlineStr">
        <is>
          <t>Suburban</t>
        </is>
      </c>
      <c r="AL1230" s="68" t="n">
        <v>1</v>
      </c>
      <c r="AM1230" s="68" t="n"/>
      <c r="AN1230" s="68" t="n">
        <v>44888</v>
      </c>
      <c r="AO1230" s="69" t="inlineStr">
        <is>
          <t>1973</t>
        </is>
      </c>
      <c r="AP1230" s="70" t="n">
        <v>2018</v>
      </c>
      <c r="AQ1230" s="74" t="n">
        <v>1.34</v>
      </c>
      <c r="AR1230" s="74" t="n">
        <v>1.45</v>
      </c>
      <c r="AS1230" s="74" t="n">
        <v>74.90000000000001</v>
      </c>
      <c r="AT1230" s="74" t="n"/>
      <c r="AU1230" s="74" t="n">
        <v>67.5</v>
      </c>
      <c r="AV1230" s="74" t="n">
        <v>10.105815603</v>
      </c>
      <c r="AW1230" s="74" t="n"/>
      <c r="AX1230" s="75" t="n">
        <v>92</v>
      </c>
      <c r="AY1230" s="71" t="n">
        <v>4700000</v>
      </c>
      <c r="AZ1230" s="71" t="n">
        <v>4700000</v>
      </c>
      <c r="BA1230" s="71" t="n">
        <v>356230</v>
      </c>
      <c r="BB1230" s="71" t="n">
        <v>385121</v>
      </c>
      <c r="BC1230" s="69" t="inlineStr">
        <is>
          <t>Refinance</t>
        </is>
      </c>
      <c r="BD1230" s="69" t="inlineStr">
        <is>
          <t>N</t>
        </is>
      </c>
      <c r="BE1230" s="71" t="n"/>
      <c r="BF1230" s="71" t="n"/>
      <c r="BG1230" s="71" t="n"/>
      <c r="BH1230" s="71" t="n">
        <v>0</v>
      </c>
      <c r="BI1230" s="71" t="n">
        <v>0</v>
      </c>
      <c r="BJ1230" s="69" t="inlineStr">
        <is>
          <t>N</t>
        </is>
      </c>
      <c r="BK1230" s="69" t="inlineStr">
        <is>
          <t>Medallion Health Care</t>
        </is>
      </c>
      <c r="BL1230" s="75" t="n">
        <v>2.27</v>
      </c>
      <c r="BM1230" s="73" t="n">
        <v>45291</v>
      </c>
      <c r="BN1230" s="69" t="inlineStr">
        <is>
          <t>Miguel A. Perez</t>
        </is>
      </c>
      <c r="BO1230" s="69" t="inlineStr">
        <is>
          <t>Citigroup Global Markets</t>
        </is>
      </c>
      <c r="BP1230" s="69" t="inlineStr">
        <is>
          <t>KeyBank National Association</t>
        </is>
      </c>
      <c r="BQ1230" s="69" t="inlineStr">
        <is>
          <t>K-Star Asset Management LLC</t>
        </is>
      </c>
      <c r="BR1230" s="69" t="inlineStr">
        <is>
          <t>Payoff Prior To Maturity</t>
        </is>
      </c>
      <c r="BS1230" s="73" t="n">
        <v>45145</v>
      </c>
      <c r="BU1230" s="76">
        <f>IF($C1230="","",IFERROR(INDEX(dmName,MATCH($C1230,dmID,0)),"Unmapped"))</f>
        <v/>
      </c>
      <c r="BV1230" s="76">
        <f>IF($C1230="","",IFERROR(INDEX(dmEntity,MATCH($C1230,dmID,0)),"Unmapped"))</f>
        <v/>
      </c>
      <c r="BW1230" s="77">
        <f>IF($C1230="","",IFERROR(INDEX(dmVintage,MATCH($C1230,dmID,0)),""))</f>
        <v/>
      </c>
      <c r="BX1230" s="78">
        <f>IFERROR(INDEX(dmInclude,MATCH($C1230,dmID,0)),0)</f>
        <v/>
      </c>
      <c r="BY1230" s="78">
        <f>IF(N($I1230)&gt;0,1,0)</f>
        <v/>
      </c>
      <c r="BZ1230" s="76">
        <f>IF($AJ1230="","Other / Leased Fee",IFERROR(INDEX(mapPTGroup,MATCH(LEFT(TRIM($AJ1230),2),mapPTCode,0)),"Other / Leased Fee"))</f>
        <v/>
      </c>
      <c r="CA1230" s="76">
        <f>IF(TRIM($AF1230&amp;"")="","NR",LEFT(TRIM($AF1230),2))</f>
        <v/>
      </c>
      <c r="CB1230" s="76">
        <f>IFERROR(LOOKUP(2,1/(LEFT(TRIM($AI1230&amp;""),LEN(mapRegion))=mapRegion),mapRegion),"Not Reported")</f>
        <v/>
      </c>
      <c r="CC1230" s="76">
        <f>IF($BY1230=0,"",IF(TRIM($W1230&amp;"")="REO","REO",IF(TRIM($W1230&amp;"")="FC","Foreclosure",IF(TRIM($W1230&amp;"")="90+","90+ Days Delinquent",IF(TRIM($W1230&amp;"")="60","60 Days Delinquent",IF(TRIM($W1230&amp;"")="30","30 Days Delinquent",IF($X1230="Non-Performing Matured Balloon","Non-Performing Matured Balloon",IF(OR($X1230="Late Payment But Less Than 30 Days Delinquent",LEFT($X1230&amp;"",20)="Payment Not Received"),"Late / In Grace (&lt;30 Days)",IF($X1230="Performing Matured Balloon","Performing Matured Balloon","Current")))))))))</f>
        <v/>
      </c>
      <c r="CD1230" s="78">
        <f>IF(OR($CC1230="REO",$CC1230="Foreclosure",$CC1230="90+ Days Delinquent",$CC1230="60 Days Delinquent",$CC1230="30 Days Delinquent",$CC1230="Non-Performing Matured Balloon"),1,0)</f>
        <v/>
      </c>
      <c r="CE1230" s="76">
        <f>IF($AB1230="Currently special serv","Currently Specially Serviced",IF($AB1230="Returned to master serv","Previously Specially Serviced","Never Specially Serviced"))</f>
        <v/>
      </c>
      <c r="CF1230" s="78">
        <f>IF($CE1230="Currently Specially Serviced",1,0)</f>
        <v/>
      </c>
      <c r="CG1230" s="76">
        <f>IF($AA1230="Yes","Currently on Watchlist",IF($AA1230="Previously","Previously on Watchlist","Never on Watchlist"))</f>
        <v/>
      </c>
      <c r="CH1230" s="78">
        <f>IF($CG1230="Currently on Watchlist",1,0)</f>
        <v/>
      </c>
      <c r="CI1230" s="76">
        <f>IF($Z1230="Full Defeasance","Fully Defeased",IF($Z1230="Portion Of Loan Previously Defeased","Partially Defeased",IF($Z1230="Defeasance Not Allowable","Not Defeased (Not Permitted)","Not Defeased")))</f>
        <v/>
      </c>
      <c r="CJ1230" s="78">
        <f>IF($CI1230="Fully Defeased",1,0)</f>
        <v/>
      </c>
      <c r="CK1230" s="76">
        <f>IF($R1230="IO","Full IO",IF(LEFT($R1230&amp;"",7)="IO then","Partial IO","Amortizing"))</f>
        <v/>
      </c>
      <c r="CL1230" s="78">
        <f>IF($CK1230="Full IO",1,0)</f>
        <v/>
      </c>
      <c r="CM1230" s="78">
        <f>IF($CK1230="Partial IO",1,0)</f>
        <v/>
      </c>
      <c r="CN1230" s="76">
        <f>IF(LEFT($F1230&amp;"",10)="SPLIT_LOAN","Pari Passu Split","Standalone")</f>
        <v/>
      </c>
      <c r="CO1230" s="78">
        <f>IF($CN1230="Pari Passu Split",1,0)</f>
        <v/>
      </c>
      <c r="CP1230" s="77">
        <f>IF(ISNUMBER($T1230),YEAR($T1230),"")</f>
        <v/>
      </c>
      <c r="CQ1230" s="79">
        <f>IF(ISNUMBER($V1230),$V1230,IF(ISNUMBER($U1230),$U1230,""))</f>
        <v/>
      </c>
      <c r="CR1230" s="77">
        <f>IF(ISNUMBER($CQ1230),YEAR($CQ1230),"")</f>
        <v/>
      </c>
      <c r="CS1230" s="78">
        <f>IF(ISNUMBER($M1230),MAX(0,$M1230),IF(TRIM($M1230&amp;"")="matured",0,""))</f>
        <v/>
      </c>
      <c r="CT1230" s="78">
        <f>IF(AND(ISNUMBER($CS1230),N($CS1230)&lt;=mMatWindow),1,0)</f>
        <v/>
      </c>
      <c r="CU1230" s="80">
        <f>IF(ISNUMBER($J1230),$J1230/100,"")</f>
        <v/>
      </c>
      <c r="CV1230" s="81">
        <f>IF(ISNUMBER($AQ1230),$AQ1230,"")</f>
        <v/>
      </c>
      <c r="CW1230" s="81">
        <f>IF(ISNUMBER($AR1230),$AR1230,"")</f>
        <v/>
      </c>
      <c r="CX1230" s="82">
        <f>IF(ISNUMBER($AS1230),$AS1230/100,"")</f>
        <v/>
      </c>
      <c r="CY1230" s="82">
        <f>IF(ISNUMBER($AT1230),$AT1230/100,"")</f>
        <v/>
      </c>
      <c r="CZ1230" s="82">
        <f>IF(ISNUMBER($AU1230),$AU1230/100,"")</f>
        <v/>
      </c>
      <c r="DA1230" s="82">
        <f>IF(ISNUMBER($AV1230),$AV1230/100,"")</f>
        <v/>
      </c>
      <c r="DB1230" s="82">
        <f>IF(ISNUMBER($AW1230),$AW1230/100,"")</f>
        <v/>
      </c>
      <c r="DC1230" s="82">
        <f>IF(ISNUMBER($AX1230),$AX1230/100,"")</f>
        <v/>
      </c>
      <c r="DD1230" s="77">
        <f>IFERROR(VALUE(LEFT(TRIM($AO1230&amp;""),4)),"")</f>
        <v/>
      </c>
      <c r="DE1230" s="78">
        <f>IF(AND($BY1230=1,$BX1230=1,OR(fDeal="All Deals",$BU1230=fDeal),OR(fEntity="All Entities",$BV1230=fEntity),OR(fPType="All Property Types",$BZ1230=fPType),OR(fDefeased="Include",$CJ1230=0)),1,0)</f>
        <v/>
      </c>
      <c r="DF1230" s="83">
        <f>$DE1230*N($I1230)</f>
        <v/>
      </c>
      <c r="DG1230" s="78">
        <f>IF($DE1230=1,IF(COUNTIFS($F$8:$F1230,$F1230,$DE$8:$DE1230,1)=1,1,0),0)</f>
        <v/>
      </c>
      <c r="DH1230" s="83">
        <f>IF($DG1230=1,SUMIFS($DF$8:$DF$1600,$F$8:$F$1600,$F1230),0)</f>
        <v/>
      </c>
      <c r="DI1230" s="78">
        <f>IF($DG1230=1,COUNTIFS($F$8:$F$1600,$F1230,$DE$8:$DE$1600,1),0)</f>
        <v/>
      </c>
      <c r="DJ1230" s="84">
        <f>IF($DG1230=1,$DH1230+(100000-ROW())/mTieBreak,0)</f>
        <v/>
      </c>
    </row>
    <row r="1231">
      <c r="B1231" s="68" t="n">
        <v>53</v>
      </c>
      <c r="C1231" s="69" t="inlineStr">
        <is>
          <t>BCMK18B6</t>
        </is>
      </c>
      <c r="D1231" s="69" t="inlineStr">
        <is>
          <t>53.000</t>
        </is>
      </c>
      <c r="E1231" s="69" t="inlineStr">
        <is>
          <t>4021 University Drive</t>
        </is>
      </c>
      <c r="F1231" s="69" t="inlineStr">
        <is>
          <t>LNBCMK18B6-53.000</t>
        </is>
      </c>
      <c r="G1231" s="70" t="n"/>
      <c r="H1231" s="71" t="n">
        <v>3375000</v>
      </c>
      <c r="I1231" s="71" t="n">
        <v>3055574.390000625</v>
      </c>
      <c r="J1231" s="72" t="n">
        <v>5.16</v>
      </c>
      <c r="K1231" s="69" t="inlineStr">
        <is>
          <t>Fixed rate</t>
        </is>
      </c>
      <c r="L1231" s="68" t="n">
        <v>120</v>
      </c>
      <c r="M1231" s="68" t="n">
        <v>23</v>
      </c>
      <c r="N1231" s="68" t="n">
        <v>384</v>
      </c>
      <c r="O1231" s="68" t="n">
        <v>24</v>
      </c>
      <c r="P1231" s="68" t="n">
        <v>0</v>
      </c>
      <c r="Q1231" s="68" t="n">
        <v>97</v>
      </c>
      <c r="R1231" s="69" t="inlineStr">
        <is>
          <t>IO then Amort</t>
        </is>
      </c>
      <c r="S1231" s="69" t="inlineStr">
        <is>
          <t>No</t>
        </is>
      </c>
      <c r="T1231" s="73" t="n">
        <v>43313</v>
      </c>
      <c r="U1231" s="73" t="n">
        <v>46971</v>
      </c>
      <c r="V1231" s="73" t="n"/>
      <c r="W1231" s="69" t="n"/>
      <c r="X1231" s="69" t="inlineStr">
        <is>
          <t>Current</t>
        </is>
      </c>
      <c r="Y1231" s="68" t="n"/>
      <c r="Z1231" s="69" t="inlineStr">
        <is>
          <t>No Defeasance Occurred</t>
        </is>
      </c>
      <c r="AA1231" s="69" t="inlineStr">
        <is>
          <t>Yes</t>
        </is>
      </c>
      <c r="AB1231" s="69" t="inlineStr">
        <is>
          <t>Never special serv</t>
        </is>
      </c>
      <c r="AC1231" s="73" t="n"/>
      <c r="AD1231" s="69" t="n"/>
      <c r="AE1231" s="69" t="n"/>
      <c r="AF1231" s="69" t="inlineStr">
        <is>
          <t>VA</t>
        </is>
      </c>
      <c r="AG1231" s="69" t="inlineStr">
        <is>
          <t>Fairfax</t>
        </is>
      </c>
      <c r="AH1231" s="69" t="inlineStr">
        <is>
          <t>Washington-Arlington-Alexandria, DC-VA-MD-WV</t>
        </is>
      </c>
      <c r="AI1231" s="69" t="inlineStr">
        <is>
          <t>South / Atlantic</t>
        </is>
      </c>
      <c r="AJ1231" s="69" t="inlineStr">
        <is>
          <t>MX</t>
        </is>
      </c>
      <c r="AK1231" s="69" t="inlineStr">
        <is>
          <t>Office/Retail</t>
        </is>
      </c>
      <c r="AL1231" s="68" t="n">
        <v>1</v>
      </c>
      <c r="AM1231" s="68" t="n"/>
      <c r="AN1231" s="68" t="n">
        <v>7205</v>
      </c>
      <c r="AO1231" s="69" t="inlineStr">
        <is>
          <t>1972</t>
        </is>
      </c>
      <c r="AP1231" s="70" t="n">
        <v>1972</v>
      </c>
      <c r="AQ1231" s="74" t="n">
        <v>1.61</v>
      </c>
      <c r="AR1231" s="74" t="n">
        <v>1.09</v>
      </c>
      <c r="AS1231" s="74" t="n">
        <v>67.5</v>
      </c>
      <c r="AT1231" s="74" t="n">
        <v>61.11</v>
      </c>
      <c r="AU1231" s="74" t="n">
        <v>58.64</v>
      </c>
      <c r="AV1231" s="74" t="n">
        <v>10.58957037</v>
      </c>
      <c r="AW1231" s="74" t="n">
        <v>9.896489543</v>
      </c>
      <c r="AX1231" s="75" t="n">
        <v>58</v>
      </c>
      <c r="AY1231" s="71" t="n">
        <v>5000000</v>
      </c>
      <c r="AZ1231" s="71" t="n">
        <v>5000000</v>
      </c>
      <c r="BA1231" s="71" t="n">
        <v>357398</v>
      </c>
      <c r="BB1231" s="71" t="n">
        <v>241861.73</v>
      </c>
      <c r="BC1231" s="69" t="inlineStr">
        <is>
          <t>Acquisition</t>
        </is>
      </c>
      <c r="BD1231" s="69" t="inlineStr">
        <is>
          <t>N</t>
        </is>
      </c>
      <c r="BE1231" s="71" t="n"/>
      <c r="BF1231" s="71" t="n"/>
      <c r="BG1231" s="71" t="n"/>
      <c r="BH1231" s="71" t="n">
        <v>0</v>
      </c>
      <c r="BI1231" s="71" t="n">
        <v>0</v>
      </c>
      <c r="BJ1231" s="69" t="inlineStr">
        <is>
          <t>N</t>
        </is>
      </c>
      <c r="BK1231" s="69" t="inlineStr">
        <is>
          <t>United Bank</t>
        </is>
      </c>
      <c r="BL1231" s="75" t="n">
        <v>41.64</v>
      </c>
      <c r="BM1231" s="73" t="n">
        <v>46691</v>
      </c>
      <c r="BN1231" s="69" t="inlineStr">
        <is>
          <t>Satish Solleti and Ramesh Elevarthi</t>
        </is>
      </c>
      <c r="BO1231" s="69" t="inlineStr">
        <is>
          <t>Citigroup Global Markets</t>
        </is>
      </c>
      <c r="BP1231" s="69" t="inlineStr">
        <is>
          <t>KeyBank National Association</t>
        </is>
      </c>
      <c r="BQ1231" s="69" t="inlineStr">
        <is>
          <t>K-Star Asset Management LLC</t>
        </is>
      </c>
      <c r="BR1231" s="69" t="n"/>
      <c r="BS1231" s="73" t="n">
        <v>46273</v>
      </c>
      <c r="BU1231" s="76">
        <f>IF($C1231="","",IFERROR(INDEX(dmName,MATCH($C1231,dmID,0)),"Unmapped"))</f>
        <v/>
      </c>
      <c r="BV1231" s="76">
        <f>IF($C1231="","",IFERROR(INDEX(dmEntity,MATCH($C1231,dmID,0)),"Unmapped"))</f>
        <v/>
      </c>
      <c r="BW1231" s="77">
        <f>IF($C1231="","",IFERROR(INDEX(dmVintage,MATCH($C1231,dmID,0)),""))</f>
        <v/>
      </c>
      <c r="BX1231" s="78">
        <f>IFERROR(INDEX(dmInclude,MATCH($C1231,dmID,0)),0)</f>
        <v/>
      </c>
      <c r="BY1231" s="78">
        <f>IF(N($I1231)&gt;0,1,0)</f>
        <v/>
      </c>
      <c r="BZ1231" s="76">
        <f>IF($AJ1231="","Other / Leased Fee",IFERROR(INDEX(mapPTGroup,MATCH(LEFT(TRIM($AJ1231),2),mapPTCode,0)),"Other / Leased Fee"))</f>
        <v/>
      </c>
      <c r="CA1231" s="76">
        <f>IF(TRIM($AF1231&amp;"")="","NR",LEFT(TRIM($AF1231),2))</f>
        <v/>
      </c>
      <c r="CB1231" s="76">
        <f>IFERROR(LOOKUP(2,1/(LEFT(TRIM($AI1231&amp;""),LEN(mapRegion))=mapRegion),mapRegion),"Not Reported")</f>
        <v/>
      </c>
      <c r="CC1231" s="76">
        <f>IF($BY1231=0,"",IF(TRIM($W1231&amp;"")="REO","REO",IF(TRIM($W1231&amp;"")="FC","Foreclosure",IF(TRIM($W1231&amp;"")="90+","90+ Days Delinquent",IF(TRIM($W1231&amp;"")="60","60 Days Delinquent",IF(TRIM($W1231&amp;"")="30","30 Days Delinquent",IF($X1231="Non-Performing Matured Balloon","Non-Performing Matured Balloon",IF(OR($X1231="Late Payment But Less Than 30 Days Delinquent",LEFT($X1231&amp;"",20)="Payment Not Received"),"Late / In Grace (&lt;30 Days)",IF($X1231="Performing Matured Balloon","Performing Matured Balloon","Current")))))))))</f>
        <v/>
      </c>
      <c r="CD1231" s="78">
        <f>IF(OR($CC1231="REO",$CC1231="Foreclosure",$CC1231="90+ Days Delinquent",$CC1231="60 Days Delinquent",$CC1231="30 Days Delinquent",$CC1231="Non-Performing Matured Balloon"),1,0)</f>
        <v/>
      </c>
      <c r="CE1231" s="76">
        <f>IF($AB1231="Currently special serv","Currently Specially Serviced",IF($AB1231="Returned to master serv","Previously Specially Serviced","Never Specially Serviced"))</f>
        <v/>
      </c>
      <c r="CF1231" s="78">
        <f>IF($CE1231="Currently Specially Serviced",1,0)</f>
        <v/>
      </c>
      <c r="CG1231" s="76">
        <f>IF($AA1231="Yes","Currently on Watchlist",IF($AA1231="Previously","Previously on Watchlist","Never on Watchlist"))</f>
        <v/>
      </c>
      <c r="CH1231" s="78">
        <f>IF($CG1231="Currently on Watchlist",1,0)</f>
        <v/>
      </c>
      <c r="CI1231" s="76">
        <f>IF($Z1231="Full Defeasance","Fully Defeased",IF($Z1231="Portion Of Loan Previously Defeased","Partially Defeased",IF($Z1231="Defeasance Not Allowable","Not Defeased (Not Permitted)","Not Defeased")))</f>
        <v/>
      </c>
      <c r="CJ1231" s="78">
        <f>IF($CI1231="Fully Defeased",1,0)</f>
        <v/>
      </c>
      <c r="CK1231" s="76">
        <f>IF($R1231="IO","Full IO",IF(LEFT($R1231&amp;"",7)="IO then","Partial IO","Amortizing"))</f>
        <v/>
      </c>
      <c r="CL1231" s="78">
        <f>IF($CK1231="Full IO",1,0)</f>
        <v/>
      </c>
      <c r="CM1231" s="78">
        <f>IF($CK1231="Partial IO",1,0)</f>
        <v/>
      </c>
      <c r="CN1231" s="76">
        <f>IF(LEFT($F1231&amp;"",10)="SPLIT_LOAN","Pari Passu Split","Standalone")</f>
        <v/>
      </c>
      <c r="CO1231" s="78">
        <f>IF($CN1231="Pari Passu Split",1,0)</f>
        <v/>
      </c>
      <c r="CP1231" s="77">
        <f>IF(ISNUMBER($T1231),YEAR($T1231),"")</f>
        <v/>
      </c>
      <c r="CQ1231" s="79">
        <f>IF(ISNUMBER($V1231),$V1231,IF(ISNUMBER($U1231),$U1231,""))</f>
        <v/>
      </c>
      <c r="CR1231" s="77">
        <f>IF(ISNUMBER($CQ1231),YEAR($CQ1231),"")</f>
        <v/>
      </c>
      <c r="CS1231" s="78">
        <f>IF(ISNUMBER($M1231),MAX(0,$M1231),IF(TRIM($M1231&amp;"")="matured",0,""))</f>
        <v/>
      </c>
      <c r="CT1231" s="78">
        <f>IF(AND(ISNUMBER($CS1231),N($CS1231)&lt;=mMatWindow),1,0)</f>
        <v/>
      </c>
      <c r="CU1231" s="80">
        <f>IF(ISNUMBER($J1231),$J1231/100,"")</f>
        <v/>
      </c>
      <c r="CV1231" s="81">
        <f>IF(ISNUMBER($AQ1231),$AQ1231,"")</f>
        <v/>
      </c>
      <c r="CW1231" s="81">
        <f>IF(ISNUMBER($AR1231),$AR1231,"")</f>
        <v/>
      </c>
      <c r="CX1231" s="82">
        <f>IF(ISNUMBER($AS1231),$AS1231/100,"")</f>
        <v/>
      </c>
      <c r="CY1231" s="82">
        <f>IF(ISNUMBER($AT1231),$AT1231/100,"")</f>
        <v/>
      </c>
      <c r="CZ1231" s="82">
        <f>IF(ISNUMBER($AU1231),$AU1231/100,"")</f>
        <v/>
      </c>
      <c r="DA1231" s="82">
        <f>IF(ISNUMBER($AV1231),$AV1231/100,"")</f>
        <v/>
      </c>
      <c r="DB1231" s="82">
        <f>IF(ISNUMBER($AW1231),$AW1231/100,"")</f>
        <v/>
      </c>
      <c r="DC1231" s="82">
        <f>IF(ISNUMBER($AX1231),$AX1231/100,"")</f>
        <v/>
      </c>
      <c r="DD1231" s="77">
        <f>IFERROR(VALUE(LEFT(TRIM($AO1231&amp;""),4)),"")</f>
        <v/>
      </c>
      <c r="DE1231" s="78">
        <f>IF(AND($BY1231=1,$BX1231=1,OR(fDeal="All Deals",$BU1231=fDeal),OR(fEntity="All Entities",$BV1231=fEntity),OR(fPType="All Property Types",$BZ1231=fPType),OR(fDefeased="Include",$CJ1231=0)),1,0)</f>
        <v/>
      </c>
      <c r="DF1231" s="83">
        <f>$DE1231*N($I1231)</f>
        <v/>
      </c>
      <c r="DG1231" s="78">
        <f>IF($DE1231=1,IF(COUNTIFS($F$8:$F1231,$F1231,$DE$8:$DE1231,1)=1,1,0),0)</f>
        <v/>
      </c>
      <c r="DH1231" s="83">
        <f>IF($DG1231=1,SUMIFS($DF$8:$DF$1600,$F$8:$F$1600,$F1231),0)</f>
        <v/>
      </c>
      <c r="DI1231" s="78">
        <f>IF($DG1231=1,COUNTIFS($F$8:$F$1600,$F1231,$DE$8:$DE$1600,1),0)</f>
        <v/>
      </c>
      <c r="DJ1231" s="84">
        <f>IF($DG1231=1,$DH1231+(100000-ROW())/mTieBreak,0)</f>
        <v/>
      </c>
    </row>
    <row r="1232">
      <c r="B1232" s="68" t="n">
        <v>54</v>
      </c>
      <c r="C1232" s="69" t="inlineStr">
        <is>
          <t>BCMK18B6</t>
        </is>
      </c>
      <c r="D1232" s="69" t="inlineStr">
        <is>
          <t>54.000</t>
        </is>
      </c>
      <c r="E1232" s="69" t="inlineStr">
        <is>
          <t>CityLine Riverview Storage</t>
        </is>
      </c>
      <c r="F1232" s="69" t="inlineStr">
        <is>
          <t>LNBCMK18B6-54.000</t>
        </is>
      </c>
      <c r="G1232" s="70" t="n"/>
      <c r="H1232" s="71" t="n">
        <v>3165000</v>
      </c>
      <c r="I1232" s="71" t="n">
        <v>0</v>
      </c>
      <c r="J1232" s="72" t="n">
        <v>5.9</v>
      </c>
      <c r="K1232" s="69" t="inlineStr">
        <is>
          <t>Fixed rate</t>
        </is>
      </c>
      <c r="L1232" s="68" t="n">
        <v>60</v>
      </c>
      <c r="M1232" s="68" t="n"/>
      <c r="N1232" s="68" t="n">
        <v>378</v>
      </c>
      <c r="O1232" s="68" t="n">
        <v>18</v>
      </c>
      <c r="P1232" s="68" t="n"/>
      <c r="Q1232" s="68" t="n"/>
      <c r="R1232" s="69" t="inlineStr">
        <is>
          <t>IO then Amort</t>
        </is>
      </c>
      <c r="S1232" s="69" t="inlineStr">
        <is>
          <t>No</t>
        </is>
      </c>
      <c r="T1232" s="73" t="n">
        <v>43313</v>
      </c>
      <c r="U1232" s="73" t="n">
        <v>45144</v>
      </c>
      <c r="V1232" s="73" t="n"/>
      <c r="W1232" s="69" t="n"/>
      <c r="X1232" s="69" t="inlineStr">
        <is>
          <t>Current</t>
        </is>
      </c>
      <c r="Y1232" s="68" t="n"/>
      <c r="Z1232" s="69" t="inlineStr">
        <is>
          <t>Full Defeasance</t>
        </is>
      </c>
      <c r="AA1232" s="69" t="n"/>
      <c r="AB1232" s="69" t="inlineStr">
        <is>
          <t>Never special serv</t>
        </is>
      </c>
      <c r="AC1232" s="73" t="n"/>
      <c r="AD1232" s="69" t="n"/>
      <c r="AE1232" s="69" t="n"/>
      <c r="AF1232" s="69" t="inlineStr">
        <is>
          <t>FL</t>
        </is>
      </c>
      <c r="AG1232" s="69" t="inlineStr">
        <is>
          <t>Riverview</t>
        </is>
      </c>
      <c r="AH1232" s="69" t="inlineStr">
        <is>
          <t>Tampa-St. Petersburg-Clearwater, FL</t>
        </is>
      </c>
      <c r="AI1232" s="69" t="inlineStr">
        <is>
          <t>South / Atlantic</t>
        </is>
      </c>
      <c r="AJ1232" s="69" t="inlineStr">
        <is>
          <t>SS</t>
        </is>
      </c>
      <c r="AK1232" s="69" t="n"/>
      <c r="AL1232" s="68" t="n">
        <v>1</v>
      </c>
      <c r="AM1232" s="68" t="n"/>
      <c r="AN1232" s="68" t="n">
        <v>63176</v>
      </c>
      <c r="AO1232" s="69" t="inlineStr">
        <is>
          <t>1985, 2000, 2002, 2004</t>
        </is>
      </c>
      <c r="AP1232" s="70" t="n">
        <v>2004</v>
      </c>
      <c r="AQ1232" s="74" t="n">
        <v>1.2</v>
      </c>
      <c r="AR1232" s="74" t="n">
        <v>2.16</v>
      </c>
      <c r="AS1232" s="74" t="n">
        <v>70.3</v>
      </c>
      <c r="AT1232" s="74" t="n"/>
      <c r="AU1232" s="74" t="n">
        <v>67.23</v>
      </c>
      <c r="AV1232" s="74" t="n">
        <v>8.51807267</v>
      </c>
      <c r="AW1232" s="74" t="n"/>
      <c r="AX1232" s="75" t="n">
        <v>93</v>
      </c>
      <c r="AY1232" s="71" t="n">
        <v>4500000</v>
      </c>
      <c r="AZ1232" s="71" t="n">
        <v>4500000</v>
      </c>
      <c r="BA1232" s="71" t="n">
        <v>269597</v>
      </c>
      <c r="BB1232" s="71" t="n">
        <v>487417.87</v>
      </c>
      <c r="BC1232" s="69" t="inlineStr">
        <is>
          <t>Acquisition</t>
        </is>
      </c>
      <c r="BD1232" s="69" t="inlineStr">
        <is>
          <t>N</t>
        </is>
      </c>
      <c r="BE1232" s="71" t="n"/>
      <c r="BF1232" s="71" t="n"/>
      <c r="BG1232" s="71" t="n"/>
      <c r="BH1232" s="71" t="n">
        <v>0</v>
      </c>
      <c r="BI1232" s="71" t="n">
        <v>0</v>
      </c>
      <c r="BJ1232" s="69" t="inlineStr">
        <is>
          <t>N</t>
        </is>
      </c>
      <c r="BK1232" s="69" t="n"/>
      <c r="BL1232" s="75" t="n"/>
      <c r="BM1232" s="73" t="n"/>
      <c r="BN1232" s="69" t="inlineStr">
        <is>
          <t>George Thacker, Lawrence Charles Kaplan and Richard Schontz</t>
        </is>
      </c>
      <c r="BO1232" s="69" t="inlineStr">
        <is>
          <t>Citigroup Global Markets</t>
        </is>
      </c>
      <c r="BP1232" s="69" t="inlineStr">
        <is>
          <t>KeyBank National Association</t>
        </is>
      </c>
      <c r="BQ1232" s="69" t="inlineStr">
        <is>
          <t>K-Star Asset Management LLC</t>
        </is>
      </c>
      <c r="BR1232" s="69" t="inlineStr">
        <is>
          <t>Payoff Prior To Maturity</t>
        </is>
      </c>
      <c r="BS1232" s="73" t="n">
        <v>45054</v>
      </c>
      <c r="BU1232" s="76">
        <f>IF($C1232="","",IFERROR(INDEX(dmName,MATCH($C1232,dmID,0)),"Unmapped"))</f>
        <v/>
      </c>
      <c r="BV1232" s="76">
        <f>IF($C1232="","",IFERROR(INDEX(dmEntity,MATCH($C1232,dmID,0)),"Unmapped"))</f>
        <v/>
      </c>
      <c r="BW1232" s="77">
        <f>IF($C1232="","",IFERROR(INDEX(dmVintage,MATCH($C1232,dmID,0)),""))</f>
        <v/>
      </c>
      <c r="BX1232" s="78">
        <f>IFERROR(INDEX(dmInclude,MATCH($C1232,dmID,0)),0)</f>
        <v/>
      </c>
      <c r="BY1232" s="78">
        <f>IF(N($I1232)&gt;0,1,0)</f>
        <v/>
      </c>
      <c r="BZ1232" s="76">
        <f>IF($AJ1232="","Other / Leased Fee",IFERROR(INDEX(mapPTGroup,MATCH(LEFT(TRIM($AJ1232),2),mapPTCode,0)),"Other / Leased Fee"))</f>
        <v/>
      </c>
      <c r="CA1232" s="76">
        <f>IF(TRIM($AF1232&amp;"")="","NR",LEFT(TRIM($AF1232),2))</f>
        <v/>
      </c>
      <c r="CB1232" s="76">
        <f>IFERROR(LOOKUP(2,1/(LEFT(TRIM($AI1232&amp;""),LEN(mapRegion))=mapRegion),mapRegion),"Not Reported")</f>
        <v/>
      </c>
      <c r="CC1232" s="76">
        <f>IF($BY1232=0,"",IF(TRIM($W1232&amp;"")="REO","REO",IF(TRIM($W1232&amp;"")="FC","Foreclosure",IF(TRIM($W1232&amp;"")="90+","90+ Days Delinquent",IF(TRIM($W1232&amp;"")="60","60 Days Delinquent",IF(TRIM($W1232&amp;"")="30","30 Days Delinquent",IF($X1232="Non-Performing Matured Balloon","Non-Performing Matured Balloon",IF(OR($X1232="Late Payment But Less Than 30 Days Delinquent",LEFT($X1232&amp;"",20)="Payment Not Received"),"Late / In Grace (&lt;30 Days)",IF($X1232="Performing Matured Balloon","Performing Matured Balloon","Current")))))))))</f>
        <v/>
      </c>
      <c r="CD1232" s="78">
        <f>IF(OR($CC1232="REO",$CC1232="Foreclosure",$CC1232="90+ Days Delinquent",$CC1232="60 Days Delinquent",$CC1232="30 Days Delinquent",$CC1232="Non-Performing Matured Balloon"),1,0)</f>
        <v/>
      </c>
      <c r="CE1232" s="76">
        <f>IF($AB1232="Currently special serv","Currently Specially Serviced",IF($AB1232="Returned to master serv","Previously Specially Serviced","Never Specially Serviced"))</f>
        <v/>
      </c>
      <c r="CF1232" s="78">
        <f>IF($CE1232="Currently Specially Serviced",1,0)</f>
        <v/>
      </c>
      <c r="CG1232" s="76">
        <f>IF($AA1232="Yes","Currently on Watchlist",IF($AA1232="Previously","Previously on Watchlist","Never on Watchlist"))</f>
        <v/>
      </c>
      <c r="CH1232" s="78">
        <f>IF($CG1232="Currently on Watchlist",1,0)</f>
        <v/>
      </c>
      <c r="CI1232" s="76">
        <f>IF($Z1232="Full Defeasance","Fully Defeased",IF($Z1232="Portion Of Loan Previously Defeased","Partially Defeased",IF($Z1232="Defeasance Not Allowable","Not Defeased (Not Permitted)","Not Defeased")))</f>
        <v/>
      </c>
      <c r="CJ1232" s="78">
        <f>IF($CI1232="Fully Defeased",1,0)</f>
        <v/>
      </c>
      <c r="CK1232" s="76">
        <f>IF($R1232="IO","Full IO",IF(LEFT($R1232&amp;"",7)="IO then","Partial IO","Amortizing"))</f>
        <v/>
      </c>
      <c r="CL1232" s="78">
        <f>IF($CK1232="Full IO",1,0)</f>
        <v/>
      </c>
      <c r="CM1232" s="78">
        <f>IF($CK1232="Partial IO",1,0)</f>
        <v/>
      </c>
      <c r="CN1232" s="76">
        <f>IF(LEFT($F1232&amp;"",10)="SPLIT_LOAN","Pari Passu Split","Standalone")</f>
        <v/>
      </c>
      <c r="CO1232" s="78">
        <f>IF($CN1232="Pari Passu Split",1,0)</f>
        <v/>
      </c>
      <c r="CP1232" s="77">
        <f>IF(ISNUMBER($T1232),YEAR($T1232),"")</f>
        <v/>
      </c>
      <c r="CQ1232" s="79">
        <f>IF(ISNUMBER($V1232),$V1232,IF(ISNUMBER($U1232),$U1232,""))</f>
        <v/>
      </c>
      <c r="CR1232" s="77">
        <f>IF(ISNUMBER($CQ1232),YEAR($CQ1232),"")</f>
        <v/>
      </c>
      <c r="CS1232" s="78">
        <f>IF(ISNUMBER($M1232),MAX(0,$M1232),IF(TRIM($M1232&amp;"")="matured",0,""))</f>
        <v/>
      </c>
      <c r="CT1232" s="78">
        <f>IF(AND(ISNUMBER($CS1232),N($CS1232)&lt;=mMatWindow),1,0)</f>
        <v/>
      </c>
      <c r="CU1232" s="80">
        <f>IF(ISNUMBER($J1232),$J1232/100,"")</f>
        <v/>
      </c>
      <c r="CV1232" s="81">
        <f>IF(ISNUMBER($AQ1232),$AQ1232,"")</f>
        <v/>
      </c>
      <c r="CW1232" s="81">
        <f>IF(ISNUMBER($AR1232),$AR1232,"")</f>
        <v/>
      </c>
      <c r="CX1232" s="82">
        <f>IF(ISNUMBER($AS1232),$AS1232/100,"")</f>
        <v/>
      </c>
      <c r="CY1232" s="82">
        <f>IF(ISNUMBER($AT1232),$AT1232/100,"")</f>
        <v/>
      </c>
      <c r="CZ1232" s="82">
        <f>IF(ISNUMBER($AU1232),$AU1232/100,"")</f>
        <v/>
      </c>
      <c r="DA1232" s="82">
        <f>IF(ISNUMBER($AV1232),$AV1232/100,"")</f>
        <v/>
      </c>
      <c r="DB1232" s="82">
        <f>IF(ISNUMBER($AW1232),$AW1232/100,"")</f>
        <v/>
      </c>
      <c r="DC1232" s="82">
        <f>IF(ISNUMBER($AX1232),$AX1232/100,"")</f>
        <v/>
      </c>
      <c r="DD1232" s="77">
        <f>IFERROR(VALUE(LEFT(TRIM($AO1232&amp;""),4)),"")</f>
        <v/>
      </c>
      <c r="DE1232" s="78">
        <f>IF(AND($BY1232=1,$BX1232=1,OR(fDeal="All Deals",$BU1232=fDeal),OR(fEntity="All Entities",$BV1232=fEntity),OR(fPType="All Property Types",$BZ1232=fPType),OR(fDefeased="Include",$CJ1232=0)),1,0)</f>
        <v/>
      </c>
      <c r="DF1232" s="83">
        <f>$DE1232*N($I1232)</f>
        <v/>
      </c>
      <c r="DG1232" s="78">
        <f>IF($DE1232=1,IF(COUNTIFS($F$8:$F1232,$F1232,$DE$8:$DE1232,1)=1,1,0),0)</f>
        <v/>
      </c>
      <c r="DH1232" s="83">
        <f>IF($DG1232=1,SUMIFS($DF$8:$DF$1600,$F$8:$F$1600,$F1232),0)</f>
        <v/>
      </c>
      <c r="DI1232" s="78">
        <f>IF($DG1232=1,COUNTIFS($F$8:$F$1600,$F1232,$DE$8:$DE$1600,1),0)</f>
        <v/>
      </c>
      <c r="DJ1232" s="84">
        <f>IF($DG1232=1,$DH1232+(100000-ROW())/mTieBreak,0)</f>
        <v/>
      </c>
    </row>
    <row r="1233">
      <c r="B1233" s="68" t="n">
        <v>55</v>
      </c>
      <c r="C1233" s="69" t="inlineStr">
        <is>
          <t>BCMK18B6</t>
        </is>
      </c>
      <c r="D1233" s="69" t="inlineStr">
        <is>
          <t>55.000</t>
        </is>
      </c>
      <c r="E1233" s="69" t="inlineStr">
        <is>
          <t>Common Racine</t>
        </is>
      </c>
      <c r="F1233" s="69" t="inlineStr">
        <is>
          <t>LNBCMK18B6-55.000</t>
        </is>
      </c>
      <c r="G1233" s="70" t="n"/>
      <c r="H1233" s="71" t="n">
        <v>2900000</v>
      </c>
      <c r="I1233" s="71" t="n">
        <v>2523669.7199999</v>
      </c>
      <c r="J1233" s="72" t="n">
        <v>5.23</v>
      </c>
      <c r="K1233" s="69" t="inlineStr">
        <is>
          <t>Fixed rate</t>
        </is>
      </c>
      <c r="L1233" s="68" t="n">
        <v>120</v>
      </c>
      <c r="M1233" s="68" t="n">
        <v>24</v>
      </c>
      <c r="N1233" s="68" t="n">
        <v>360</v>
      </c>
      <c r="O1233" s="68" t="n"/>
      <c r="P1233" s="68" t="n"/>
      <c r="Q1233" s="68" t="n">
        <v>96</v>
      </c>
      <c r="R1233" s="69" t="n"/>
      <c r="S1233" s="69" t="inlineStr">
        <is>
          <t>No</t>
        </is>
      </c>
      <c r="T1233" s="73" t="n">
        <v>43344</v>
      </c>
      <c r="U1233" s="73" t="n">
        <v>47002</v>
      </c>
      <c r="V1233" s="73" t="n"/>
      <c r="W1233" s="69" t="n"/>
      <c r="X1233" s="69" t="inlineStr">
        <is>
          <t>Current</t>
        </is>
      </c>
      <c r="Y1233" s="68" t="n"/>
      <c r="Z1233" s="69" t="inlineStr">
        <is>
          <t>No Defeasance Occurred</t>
        </is>
      </c>
      <c r="AA1233" s="69" t="inlineStr">
        <is>
          <t>Yes</t>
        </is>
      </c>
      <c r="AB1233" s="69" t="inlineStr">
        <is>
          <t>Never special serv</t>
        </is>
      </c>
      <c r="AC1233" s="73" t="n"/>
      <c r="AD1233" s="69" t="n"/>
      <c r="AE1233" s="69" t="n"/>
      <c r="AF1233" s="69" t="inlineStr">
        <is>
          <t>IL</t>
        </is>
      </c>
      <c r="AG1233" s="69" t="inlineStr">
        <is>
          <t>Chicago</t>
        </is>
      </c>
      <c r="AH1233" s="69" t="inlineStr">
        <is>
          <t>Chicago-Naperville-Elgin, IL-IN</t>
        </is>
      </c>
      <c r="AI1233" s="69" t="inlineStr">
        <is>
          <t>Midwest / Central East</t>
        </is>
      </c>
      <c r="AJ1233" s="69" t="inlineStr">
        <is>
          <t>MF</t>
        </is>
      </c>
      <c r="AK1233" s="69" t="inlineStr">
        <is>
          <t>Garden</t>
        </is>
      </c>
      <c r="AL1233" s="68" t="n">
        <v>1</v>
      </c>
      <c r="AM1233" s="68" t="n">
        <v>42</v>
      </c>
      <c r="AN1233" s="68" t="n"/>
      <c r="AO1233" s="69" t="inlineStr">
        <is>
          <t>1951</t>
        </is>
      </c>
      <c r="AP1233" s="70" t="n">
        <v>2018</v>
      </c>
      <c r="AQ1233" s="74" t="n">
        <v>1.61</v>
      </c>
      <c r="AR1233" s="74" t="n">
        <v>0.99</v>
      </c>
      <c r="AS1233" s="74" t="n">
        <v>50.8</v>
      </c>
      <c r="AT1233" s="74" t="n">
        <v>44.27</v>
      </c>
      <c r="AU1233" s="74" t="n">
        <v>42.14</v>
      </c>
      <c r="AV1233" s="74" t="n">
        <v>10.663793103</v>
      </c>
      <c r="AW1233" s="74" t="n">
        <v>6.276855436</v>
      </c>
      <c r="AX1233" s="75" t="n">
        <v>79</v>
      </c>
      <c r="AY1233" s="71" t="n">
        <v>5700000</v>
      </c>
      <c r="AZ1233" s="71" t="n">
        <v>5700000</v>
      </c>
      <c r="BA1233" s="71" t="n">
        <v>309250</v>
      </c>
      <c r="BB1233" s="71" t="n">
        <v>190516.12</v>
      </c>
      <c r="BC1233" s="69" t="inlineStr">
        <is>
          <t>Refinance</t>
        </is>
      </c>
      <c r="BD1233" s="69" t="inlineStr">
        <is>
          <t>N</t>
        </is>
      </c>
      <c r="BE1233" s="71" t="n"/>
      <c r="BF1233" s="71" t="n"/>
      <c r="BG1233" s="71" t="n"/>
      <c r="BH1233" s="71" t="n">
        <v>0</v>
      </c>
      <c r="BI1233" s="71" t="n">
        <v>0</v>
      </c>
      <c r="BJ1233" s="69" t="inlineStr">
        <is>
          <t>N</t>
        </is>
      </c>
      <c r="BK1233" s="69" t="n"/>
      <c r="BL1233" s="75" t="n"/>
      <c r="BM1233" s="73" t="n"/>
      <c r="BN1233" s="69" t="inlineStr">
        <is>
          <t>Andrew Ahitow and Jeff Aeder</t>
        </is>
      </c>
      <c r="BO1233" s="69" t="inlineStr">
        <is>
          <t>Citigroup Global Markets</t>
        </is>
      </c>
      <c r="BP1233" s="69" t="inlineStr">
        <is>
          <t>KeyBank National Association</t>
        </is>
      </c>
      <c r="BQ1233" s="69" t="inlineStr">
        <is>
          <t>K-Star Asset Management LLC</t>
        </is>
      </c>
      <c r="BR1233" s="69" t="n"/>
      <c r="BS1233" s="73" t="n">
        <v>46273</v>
      </c>
      <c r="BU1233" s="76">
        <f>IF($C1233="","",IFERROR(INDEX(dmName,MATCH($C1233,dmID,0)),"Unmapped"))</f>
        <v/>
      </c>
      <c r="BV1233" s="76">
        <f>IF($C1233="","",IFERROR(INDEX(dmEntity,MATCH($C1233,dmID,0)),"Unmapped"))</f>
        <v/>
      </c>
      <c r="BW1233" s="77">
        <f>IF($C1233="","",IFERROR(INDEX(dmVintage,MATCH($C1233,dmID,0)),""))</f>
        <v/>
      </c>
      <c r="BX1233" s="78">
        <f>IFERROR(INDEX(dmInclude,MATCH($C1233,dmID,0)),0)</f>
        <v/>
      </c>
      <c r="BY1233" s="78">
        <f>IF(N($I1233)&gt;0,1,0)</f>
        <v/>
      </c>
      <c r="BZ1233" s="76">
        <f>IF($AJ1233="","Other / Leased Fee",IFERROR(INDEX(mapPTGroup,MATCH(LEFT(TRIM($AJ1233),2),mapPTCode,0)),"Other / Leased Fee"))</f>
        <v/>
      </c>
      <c r="CA1233" s="76">
        <f>IF(TRIM($AF1233&amp;"")="","NR",LEFT(TRIM($AF1233),2))</f>
        <v/>
      </c>
      <c r="CB1233" s="76">
        <f>IFERROR(LOOKUP(2,1/(LEFT(TRIM($AI1233&amp;""),LEN(mapRegion))=mapRegion),mapRegion),"Not Reported")</f>
        <v/>
      </c>
      <c r="CC1233" s="76">
        <f>IF($BY1233=0,"",IF(TRIM($W1233&amp;"")="REO","REO",IF(TRIM($W1233&amp;"")="FC","Foreclosure",IF(TRIM($W1233&amp;"")="90+","90+ Days Delinquent",IF(TRIM($W1233&amp;"")="60","60 Days Delinquent",IF(TRIM($W1233&amp;"")="30","30 Days Delinquent",IF($X1233="Non-Performing Matured Balloon","Non-Performing Matured Balloon",IF(OR($X1233="Late Payment But Less Than 30 Days Delinquent",LEFT($X1233&amp;"",20)="Payment Not Received"),"Late / In Grace (&lt;30 Days)",IF($X1233="Performing Matured Balloon","Performing Matured Balloon","Current")))))))))</f>
        <v/>
      </c>
      <c r="CD1233" s="78">
        <f>IF(OR($CC1233="REO",$CC1233="Foreclosure",$CC1233="90+ Days Delinquent",$CC1233="60 Days Delinquent",$CC1233="30 Days Delinquent",$CC1233="Non-Performing Matured Balloon"),1,0)</f>
        <v/>
      </c>
      <c r="CE1233" s="76">
        <f>IF($AB1233="Currently special serv","Currently Specially Serviced",IF($AB1233="Returned to master serv","Previously Specially Serviced","Never Specially Serviced"))</f>
        <v/>
      </c>
      <c r="CF1233" s="78">
        <f>IF($CE1233="Currently Specially Serviced",1,0)</f>
        <v/>
      </c>
      <c r="CG1233" s="76">
        <f>IF($AA1233="Yes","Currently on Watchlist",IF($AA1233="Previously","Previously on Watchlist","Never on Watchlist"))</f>
        <v/>
      </c>
      <c r="CH1233" s="78">
        <f>IF($CG1233="Currently on Watchlist",1,0)</f>
        <v/>
      </c>
      <c r="CI1233" s="76">
        <f>IF($Z1233="Full Defeasance","Fully Defeased",IF($Z1233="Portion Of Loan Previously Defeased","Partially Defeased",IF($Z1233="Defeasance Not Allowable","Not Defeased (Not Permitted)","Not Defeased")))</f>
        <v/>
      </c>
      <c r="CJ1233" s="78">
        <f>IF($CI1233="Fully Defeased",1,0)</f>
        <v/>
      </c>
      <c r="CK1233" s="76">
        <f>IF($R1233="IO","Full IO",IF(LEFT($R1233&amp;"",7)="IO then","Partial IO","Amortizing"))</f>
        <v/>
      </c>
      <c r="CL1233" s="78">
        <f>IF($CK1233="Full IO",1,0)</f>
        <v/>
      </c>
      <c r="CM1233" s="78">
        <f>IF($CK1233="Partial IO",1,0)</f>
        <v/>
      </c>
      <c r="CN1233" s="76">
        <f>IF(LEFT($F1233&amp;"",10)="SPLIT_LOAN","Pari Passu Split","Standalone")</f>
        <v/>
      </c>
      <c r="CO1233" s="78">
        <f>IF($CN1233="Pari Passu Split",1,0)</f>
        <v/>
      </c>
      <c r="CP1233" s="77">
        <f>IF(ISNUMBER($T1233),YEAR($T1233),"")</f>
        <v/>
      </c>
      <c r="CQ1233" s="79">
        <f>IF(ISNUMBER($V1233),$V1233,IF(ISNUMBER($U1233),$U1233,""))</f>
        <v/>
      </c>
      <c r="CR1233" s="77">
        <f>IF(ISNUMBER($CQ1233),YEAR($CQ1233),"")</f>
        <v/>
      </c>
      <c r="CS1233" s="78">
        <f>IF(ISNUMBER($M1233),MAX(0,$M1233),IF(TRIM($M1233&amp;"")="matured",0,""))</f>
        <v/>
      </c>
      <c r="CT1233" s="78">
        <f>IF(AND(ISNUMBER($CS1233),N($CS1233)&lt;=mMatWindow),1,0)</f>
        <v/>
      </c>
      <c r="CU1233" s="80">
        <f>IF(ISNUMBER($J1233),$J1233/100,"")</f>
        <v/>
      </c>
      <c r="CV1233" s="81">
        <f>IF(ISNUMBER($AQ1233),$AQ1233,"")</f>
        <v/>
      </c>
      <c r="CW1233" s="81">
        <f>IF(ISNUMBER($AR1233),$AR1233,"")</f>
        <v/>
      </c>
      <c r="CX1233" s="82">
        <f>IF(ISNUMBER($AS1233),$AS1233/100,"")</f>
        <v/>
      </c>
      <c r="CY1233" s="82">
        <f>IF(ISNUMBER($AT1233),$AT1233/100,"")</f>
        <v/>
      </c>
      <c r="CZ1233" s="82">
        <f>IF(ISNUMBER($AU1233),$AU1233/100,"")</f>
        <v/>
      </c>
      <c r="DA1233" s="82">
        <f>IF(ISNUMBER($AV1233),$AV1233/100,"")</f>
        <v/>
      </c>
      <c r="DB1233" s="82">
        <f>IF(ISNUMBER($AW1233),$AW1233/100,"")</f>
        <v/>
      </c>
      <c r="DC1233" s="82">
        <f>IF(ISNUMBER($AX1233),$AX1233/100,"")</f>
        <v/>
      </c>
      <c r="DD1233" s="77">
        <f>IFERROR(VALUE(LEFT(TRIM($AO1233&amp;""),4)),"")</f>
        <v/>
      </c>
      <c r="DE1233" s="78">
        <f>IF(AND($BY1233=1,$BX1233=1,OR(fDeal="All Deals",$BU1233=fDeal),OR(fEntity="All Entities",$BV1233=fEntity),OR(fPType="All Property Types",$BZ1233=fPType),OR(fDefeased="Include",$CJ1233=0)),1,0)</f>
        <v/>
      </c>
      <c r="DF1233" s="83">
        <f>$DE1233*N($I1233)</f>
        <v/>
      </c>
      <c r="DG1233" s="78">
        <f>IF($DE1233=1,IF(COUNTIFS($F$8:$F1233,$F1233,$DE$8:$DE1233,1)=1,1,0),0)</f>
        <v/>
      </c>
      <c r="DH1233" s="83">
        <f>IF($DG1233=1,SUMIFS($DF$8:$DF$1600,$F$8:$F$1600,$F1233),0)</f>
        <v/>
      </c>
      <c r="DI1233" s="78">
        <f>IF($DG1233=1,COUNTIFS($F$8:$F$1600,$F1233,$DE$8:$DE$1600,1),0)</f>
        <v/>
      </c>
      <c r="DJ1233" s="84">
        <f>IF($DG1233=1,$DH1233+(100000-ROW())/mTieBreak,0)</f>
        <v/>
      </c>
    </row>
    <row r="1234">
      <c r="B1234" s="68" t="n">
        <v>1</v>
      </c>
      <c r="C1234" s="69" t="inlineStr">
        <is>
          <t>UBS18C12</t>
        </is>
      </c>
      <c r="D1234" s="69" t="inlineStr">
        <is>
          <t>1.000</t>
        </is>
      </c>
      <c r="E1234" s="69" t="inlineStr">
        <is>
          <t>Wyvernwood Apartments</t>
        </is>
      </c>
      <c r="F1234" s="69" t="inlineStr">
        <is>
          <t>SPLIT_LOAN_01330</t>
        </is>
      </c>
      <c r="G1234" s="70" t="n">
        <v>1330</v>
      </c>
      <c r="H1234" s="71" t="n">
        <v>50000000</v>
      </c>
      <c r="I1234" s="71" t="n">
        <v>0</v>
      </c>
      <c r="J1234" s="72" t="n">
        <v>3.6728</v>
      </c>
      <c r="K1234" s="69" t="inlineStr">
        <is>
          <t>Fixed rate</t>
        </is>
      </c>
      <c r="L1234" s="68" t="n">
        <v>60</v>
      </c>
      <c r="M1234" s="68" t="n"/>
      <c r="N1234" s="68" t="n">
        <v>60</v>
      </c>
      <c r="O1234" s="68" t="n">
        <v>60</v>
      </c>
      <c r="P1234" s="68" t="n"/>
      <c r="Q1234" s="68" t="n"/>
      <c r="R1234" s="69" t="inlineStr">
        <is>
          <t>IO</t>
        </is>
      </c>
      <c r="S1234" s="69" t="inlineStr">
        <is>
          <t>Yes</t>
        </is>
      </c>
      <c r="T1234" s="73" t="n">
        <v>43313</v>
      </c>
      <c r="U1234" s="73" t="n">
        <v>45113</v>
      </c>
      <c r="V1234" s="73" t="n"/>
      <c r="W1234" s="69" t="n"/>
      <c r="X1234" s="69" t="inlineStr">
        <is>
          <t>Current</t>
        </is>
      </c>
      <c r="Y1234" s="68" t="n"/>
      <c r="Z1234" s="69" t="inlineStr">
        <is>
          <t>Defeasance Not Allowable</t>
        </is>
      </c>
      <c r="AA1234" s="69" t="inlineStr">
        <is>
          <t>Previously</t>
        </is>
      </c>
      <c r="AB1234" s="69" t="inlineStr">
        <is>
          <t>Never special serv</t>
        </is>
      </c>
      <c r="AC1234" s="73" t="n"/>
      <c r="AD1234" s="69" t="n"/>
      <c r="AE1234" s="69" t="n"/>
      <c r="AF1234" s="69" t="inlineStr">
        <is>
          <t>CA</t>
        </is>
      </c>
      <c r="AG1234" s="69" t="inlineStr">
        <is>
          <t>Los Angeles</t>
        </is>
      </c>
      <c r="AH1234" s="69" t="inlineStr">
        <is>
          <t>Los Angeles-Long Beach-Anaheim, CA</t>
        </is>
      </c>
      <c r="AI1234" s="69" t="inlineStr">
        <is>
          <t>West / Pacific South</t>
        </is>
      </c>
      <c r="AJ1234" s="69" t="inlineStr">
        <is>
          <t>MF</t>
        </is>
      </c>
      <c r="AK1234" s="69" t="inlineStr">
        <is>
          <t>Garden</t>
        </is>
      </c>
      <c r="AL1234" s="68" t="n">
        <v>1</v>
      </c>
      <c r="AM1234" s="68" t="n">
        <v>1175</v>
      </c>
      <c r="AN1234" s="68" t="n"/>
      <c r="AO1234" s="69" t="inlineStr">
        <is>
          <t>1939</t>
        </is>
      </c>
      <c r="AP1234" s="70" t="n">
        <v>2000</v>
      </c>
      <c r="AQ1234" s="74" t="n">
        <v>3.55</v>
      </c>
      <c r="AR1234" s="74" t="n">
        <v>3.8</v>
      </c>
      <c r="AS1234" s="74" t="n">
        <v>38</v>
      </c>
      <c r="AT1234" s="74" t="n"/>
      <c r="AU1234" s="74" t="n">
        <v>38</v>
      </c>
      <c r="AV1234" s="74" t="n">
        <v>13.213765</v>
      </c>
      <c r="AW1234" s="74" t="n"/>
      <c r="AX1234" s="75" t="n">
        <v>99</v>
      </c>
      <c r="AY1234" s="71" t="n">
        <v>205000000</v>
      </c>
      <c r="AZ1234" s="71" t="n">
        <v>205000000</v>
      </c>
      <c r="BA1234" s="71" t="n">
        <v>10306736.7</v>
      </c>
      <c r="BB1234" s="71" t="n">
        <v>11037221.9</v>
      </c>
      <c r="BC1234" s="69" t="inlineStr">
        <is>
          <t>Refinance</t>
        </is>
      </c>
      <c r="BD1234" s="69" t="inlineStr">
        <is>
          <t>N</t>
        </is>
      </c>
      <c r="BE1234" s="71" t="n">
        <v>0</v>
      </c>
      <c r="BF1234" s="71" t="n"/>
      <c r="BG1234" s="71" t="n">
        <v>77000000</v>
      </c>
      <c r="BH1234" s="71" t="n">
        <v>0</v>
      </c>
      <c r="BI1234" s="71" t="n">
        <v>0</v>
      </c>
      <c r="BJ1234" s="69" t="inlineStr">
        <is>
          <t>N</t>
        </is>
      </c>
      <c r="BK1234" s="69" t="n"/>
      <c r="BL1234" s="75" t="n"/>
      <c r="BM1234" s="73" t="n"/>
      <c r="BN1234" s="69" t="inlineStr">
        <is>
          <t>Mark Sanders</t>
        </is>
      </c>
      <c r="BO1234" s="69" t="inlineStr">
        <is>
          <t>UBS</t>
        </is>
      </c>
      <c r="BP1234" s="69" t="inlineStr">
        <is>
          <t>Midland Loan Services</t>
        </is>
      </c>
      <c r="BQ1234" s="69" t="inlineStr">
        <is>
          <t>K-Star Asset Management LLC</t>
        </is>
      </c>
      <c r="BR1234" s="69" t="inlineStr">
        <is>
          <t>Full Payoff At Maturity</t>
        </is>
      </c>
      <c r="BS1234" s="73" t="n">
        <v>45118</v>
      </c>
      <c r="BU1234" s="76">
        <f>IF($C1234="","",IFERROR(INDEX(dmName,MATCH($C1234,dmID,0)),"Unmapped"))</f>
        <v/>
      </c>
      <c r="BV1234" s="76">
        <f>IF($C1234="","",IFERROR(INDEX(dmEntity,MATCH($C1234,dmID,0)),"Unmapped"))</f>
        <v/>
      </c>
      <c r="BW1234" s="77">
        <f>IF($C1234="","",IFERROR(INDEX(dmVintage,MATCH($C1234,dmID,0)),""))</f>
        <v/>
      </c>
      <c r="BX1234" s="78">
        <f>IFERROR(INDEX(dmInclude,MATCH($C1234,dmID,0)),0)</f>
        <v/>
      </c>
      <c r="BY1234" s="78">
        <f>IF(N($I1234)&gt;0,1,0)</f>
        <v/>
      </c>
      <c r="BZ1234" s="76">
        <f>IF($AJ1234="","Other / Leased Fee",IFERROR(INDEX(mapPTGroup,MATCH(LEFT(TRIM($AJ1234),2),mapPTCode,0)),"Other / Leased Fee"))</f>
        <v/>
      </c>
      <c r="CA1234" s="76">
        <f>IF(TRIM($AF1234&amp;"")="","NR",LEFT(TRIM($AF1234),2))</f>
        <v/>
      </c>
      <c r="CB1234" s="76">
        <f>IFERROR(LOOKUP(2,1/(LEFT(TRIM($AI1234&amp;""),LEN(mapRegion))=mapRegion),mapRegion),"Not Reported")</f>
        <v/>
      </c>
      <c r="CC1234" s="76">
        <f>IF($BY1234=0,"",IF(TRIM($W1234&amp;"")="REO","REO",IF(TRIM($W1234&amp;"")="FC","Foreclosure",IF(TRIM($W1234&amp;"")="90+","90+ Days Delinquent",IF(TRIM($W1234&amp;"")="60","60 Days Delinquent",IF(TRIM($W1234&amp;"")="30","30 Days Delinquent",IF($X1234="Non-Performing Matured Balloon","Non-Performing Matured Balloon",IF(OR($X1234="Late Payment But Less Than 30 Days Delinquent",LEFT($X1234&amp;"",20)="Payment Not Received"),"Late / In Grace (&lt;30 Days)",IF($X1234="Performing Matured Balloon","Performing Matured Balloon","Current")))))))))</f>
        <v/>
      </c>
      <c r="CD1234" s="78">
        <f>IF(OR($CC1234="REO",$CC1234="Foreclosure",$CC1234="90+ Days Delinquent",$CC1234="60 Days Delinquent",$CC1234="30 Days Delinquent",$CC1234="Non-Performing Matured Balloon"),1,0)</f>
        <v/>
      </c>
      <c r="CE1234" s="76">
        <f>IF($AB1234="Currently special serv","Currently Specially Serviced",IF($AB1234="Returned to master serv","Previously Specially Serviced","Never Specially Serviced"))</f>
        <v/>
      </c>
      <c r="CF1234" s="78">
        <f>IF($CE1234="Currently Specially Serviced",1,0)</f>
        <v/>
      </c>
      <c r="CG1234" s="76">
        <f>IF($AA1234="Yes","Currently on Watchlist",IF($AA1234="Previously","Previously on Watchlist","Never on Watchlist"))</f>
        <v/>
      </c>
      <c r="CH1234" s="78">
        <f>IF($CG1234="Currently on Watchlist",1,0)</f>
        <v/>
      </c>
      <c r="CI1234" s="76">
        <f>IF($Z1234="Full Defeasance","Fully Defeased",IF($Z1234="Portion Of Loan Previously Defeased","Partially Defeased",IF($Z1234="Defeasance Not Allowable","Not Defeased (Not Permitted)","Not Defeased")))</f>
        <v/>
      </c>
      <c r="CJ1234" s="78">
        <f>IF($CI1234="Fully Defeased",1,0)</f>
        <v/>
      </c>
      <c r="CK1234" s="76">
        <f>IF($R1234="IO","Full IO",IF(LEFT($R1234&amp;"",7)="IO then","Partial IO","Amortizing"))</f>
        <v/>
      </c>
      <c r="CL1234" s="78">
        <f>IF($CK1234="Full IO",1,0)</f>
        <v/>
      </c>
      <c r="CM1234" s="78">
        <f>IF($CK1234="Partial IO",1,0)</f>
        <v/>
      </c>
      <c r="CN1234" s="76">
        <f>IF(LEFT($F1234&amp;"",10)="SPLIT_LOAN","Pari Passu Split","Standalone")</f>
        <v/>
      </c>
      <c r="CO1234" s="78">
        <f>IF($CN1234="Pari Passu Split",1,0)</f>
        <v/>
      </c>
      <c r="CP1234" s="77">
        <f>IF(ISNUMBER($T1234),YEAR($T1234),"")</f>
        <v/>
      </c>
      <c r="CQ1234" s="79">
        <f>IF(ISNUMBER($V1234),$V1234,IF(ISNUMBER($U1234),$U1234,""))</f>
        <v/>
      </c>
      <c r="CR1234" s="77">
        <f>IF(ISNUMBER($CQ1234),YEAR($CQ1234),"")</f>
        <v/>
      </c>
      <c r="CS1234" s="78">
        <f>IF(ISNUMBER($M1234),MAX(0,$M1234),IF(TRIM($M1234&amp;"")="matured",0,""))</f>
        <v/>
      </c>
      <c r="CT1234" s="78">
        <f>IF(AND(ISNUMBER($CS1234),N($CS1234)&lt;=mMatWindow),1,0)</f>
        <v/>
      </c>
      <c r="CU1234" s="80">
        <f>IF(ISNUMBER($J1234),$J1234/100,"")</f>
        <v/>
      </c>
      <c r="CV1234" s="81">
        <f>IF(ISNUMBER($AQ1234),$AQ1234,"")</f>
        <v/>
      </c>
      <c r="CW1234" s="81">
        <f>IF(ISNUMBER($AR1234),$AR1234,"")</f>
        <v/>
      </c>
      <c r="CX1234" s="82">
        <f>IF(ISNUMBER($AS1234),$AS1234/100,"")</f>
        <v/>
      </c>
      <c r="CY1234" s="82">
        <f>IF(ISNUMBER($AT1234),$AT1234/100,"")</f>
        <v/>
      </c>
      <c r="CZ1234" s="82">
        <f>IF(ISNUMBER($AU1234),$AU1234/100,"")</f>
        <v/>
      </c>
      <c r="DA1234" s="82">
        <f>IF(ISNUMBER($AV1234),$AV1234/100,"")</f>
        <v/>
      </c>
      <c r="DB1234" s="82">
        <f>IF(ISNUMBER($AW1234),$AW1234/100,"")</f>
        <v/>
      </c>
      <c r="DC1234" s="82">
        <f>IF(ISNUMBER($AX1234),$AX1234/100,"")</f>
        <v/>
      </c>
      <c r="DD1234" s="77">
        <f>IFERROR(VALUE(LEFT(TRIM($AO1234&amp;""),4)),"")</f>
        <v/>
      </c>
      <c r="DE1234" s="78">
        <f>IF(AND($BY1234=1,$BX1234=1,OR(fDeal="All Deals",$BU1234=fDeal),OR(fEntity="All Entities",$BV1234=fEntity),OR(fPType="All Property Types",$BZ1234=fPType),OR(fDefeased="Include",$CJ1234=0)),1,0)</f>
        <v/>
      </c>
      <c r="DF1234" s="83">
        <f>$DE1234*N($I1234)</f>
        <v/>
      </c>
      <c r="DG1234" s="78">
        <f>IF($DE1234=1,IF(COUNTIFS($F$8:$F1234,$F1234,$DE$8:$DE1234,1)=1,1,0),0)</f>
        <v/>
      </c>
      <c r="DH1234" s="83">
        <f>IF($DG1234=1,SUMIFS($DF$8:$DF$1600,$F$8:$F$1600,$F1234),0)</f>
        <v/>
      </c>
      <c r="DI1234" s="78">
        <f>IF($DG1234=1,COUNTIFS($F$8:$F$1600,$F1234,$DE$8:$DE$1600,1),0)</f>
        <v/>
      </c>
      <c r="DJ1234" s="84">
        <f>IF($DG1234=1,$DH1234+(100000-ROW())/mTieBreak,0)</f>
        <v/>
      </c>
    </row>
    <row r="1235">
      <c r="B1235" s="68" t="n">
        <v>2</v>
      </c>
      <c r="C1235" s="69" t="inlineStr">
        <is>
          <t>UBS18C12</t>
        </is>
      </c>
      <c r="D1235" s="69" t="inlineStr">
        <is>
          <t>2.000</t>
        </is>
      </c>
      <c r="E1235" s="69" t="inlineStr">
        <is>
          <t>Riverfront Plaza</t>
        </is>
      </c>
      <c r="F1235" s="69" t="inlineStr">
        <is>
          <t>SPLIT_LOAN_01303</t>
        </is>
      </c>
      <c r="G1235" s="70" t="n">
        <v>1303</v>
      </c>
      <c r="H1235" s="71" t="n">
        <v>50000000</v>
      </c>
      <c r="I1235" s="71" t="n">
        <v>43878364.22</v>
      </c>
      <c r="J1235" s="72" t="n">
        <v>5.065948</v>
      </c>
      <c r="K1235" s="69" t="inlineStr">
        <is>
          <t>Fixed rate</t>
        </is>
      </c>
      <c r="L1235" s="68" t="n">
        <v>120</v>
      </c>
      <c r="M1235" s="68" t="n">
        <v>20</v>
      </c>
      <c r="N1235" s="68" t="n">
        <v>360</v>
      </c>
      <c r="O1235" s="68" t="n"/>
      <c r="P1235" s="68" t="n"/>
      <c r="Q1235" s="68" t="n">
        <v>100</v>
      </c>
      <c r="R1235" s="69" t="inlineStr">
        <is>
          <t>Formula</t>
        </is>
      </c>
      <c r="S1235" s="69" t="inlineStr">
        <is>
          <t>No</t>
        </is>
      </c>
      <c r="T1235" s="73" t="n">
        <v>43221</v>
      </c>
      <c r="U1235" s="73" t="n">
        <v>46878</v>
      </c>
      <c r="V1235" s="73" t="n"/>
      <c r="W1235" s="69" t="inlineStr">
        <is>
          <t>FC</t>
        </is>
      </c>
      <c r="X1235" s="69" t="inlineStr">
        <is>
          <t>121+ Days Delinquent</t>
        </is>
      </c>
      <c r="Y1235" s="68" t="n">
        <v>4</v>
      </c>
      <c r="Z1235" s="69" t="inlineStr">
        <is>
          <t>No Defeasance Occurred</t>
        </is>
      </c>
      <c r="AA1235" s="69" t="inlineStr">
        <is>
          <t>Previously</t>
        </is>
      </c>
      <c r="AB1235" s="69" t="inlineStr">
        <is>
          <t>Currently special serv</t>
        </is>
      </c>
      <c r="AC1235" s="73" t="n">
        <v>45315</v>
      </c>
      <c r="AD1235" s="69" t="inlineStr">
        <is>
          <t>Other</t>
        </is>
      </c>
      <c r="AE1235" s="69" t="inlineStr">
        <is>
          <t>Other</t>
        </is>
      </c>
      <c r="AF1235" s="69" t="inlineStr">
        <is>
          <t>VA</t>
        </is>
      </c>
      <c r="AG1235" s="69" t="inlineStr">
        <is>
          <t>Richmond</t>
        </is>
      </c>
      <c r="AH1235" s="69" t="inlineStr">
        <is>
          <t>Richmond, VA</t>
        </is>
      </c>
      <c r="AI1235" s="69" t="inlineStr">
        <is>
          <t>South / Atlantic</t>
        </is>
      </c>
      <c r="AJ1235" s="69" t="inlineStr">
        <is>
          <t>OF</t>
        </is>
      </c>
      <c r="AK1235" s="69" t="inlineStr">
        <is>
          <t>CBD</t>
        </is>
      </c>
      <c r="AL1235" s="68" t="n">
        <v>1</v>
      </c>
      <c r="AM1235" s="68" t="n"/>
      <c r="AN1235" s="68" t="n">
        <v>949875</v>
      </c>
      <c r="AO1235" s="69" t="inlineStr">
        <is>
          <t>1990</t>
        </is>
      </c>
      <c r="AP1235" s="70" t="n">
        <v>2014</v>
      </c>
      <c r="AQ1235" s="74" t="n">
        <v>1.49</v>
      </c>
      <c r="AR1235" s="74" t="n">
        <v>1.49</v>
      </c>
      <c r="AS1235" s="74" t="n">
        <v>72.5</v>
      </c>
      <c r="AT1235" s="74" t="n">
        <v>136.74</v>
      </c>
      <c r="AU1235" s="74" t="n">
        <v>61.4</v>
      </c>
      <c r="AV1235" s="74" t="n">
        <v>9.392679253000001</v>
      </c>
      <c r="AW1235" s="74" t="n">
        <v>10.758104434</v>
      </c>
      <c r="AX1235" s="75" t="n">
        <v>78</v>
      </c>
      <c r="AY1235" s="71" t="n">
        <v>200800000</v>
      </c>
      <c r="AZ1235" s="71" t="n">
        <v>93700000</v>
      </c>
      <c r="BA1235" s="71" t="n">
        <v>13713311.71</v>
      </c>
      <c r="BB1235" s="71" t="n">
        <v>13783802.32</v>
      </c>
      <c r="BC1235" s="69" t="inlineStr">
        <is>
          <t>Refinance</t>
        </is>
      </c>
      <c r="BD1235" s="69" t="inlineStr">
        <is>
          <t>N</t>
        </is>
      </c>
      <c r="BE1235" s="71" t="n">
        <v>84246459.3</v>
      </c>
      <c r="BF1235" s="71" t="n"/>
      <c r="BG1235" s="71" t="n">
        <v>24931117.79</v>
      </c>
      <c r="BH1235" s="71" t="n">
        <v>12773101.85</v>
      </c>
      <c r="BI1235" s="71" t="n">
        <v>1052263.89</v>
      </c>
      <c r="BJ1235" s="69" t="inlineStr">
        <is>
          <t>N</t>
        </is>
      </c>
      <c r="BK1235" s="69" t="inlineStr">
        <is>
          <t>Hunton Andrews Kurth</t>
        </is>
      </c>
      <c r="BL1235" s="75" t="n">
        <v>25.02</v>
      </c>
      <c r="BM1235" s="73" t="n">
        <v>47664</v>
      </c>
      <c r="BN1235" s="69" t="inlineStr">
        <is>
          <t>Sarah Rachel Gordon; Isaac Hertz; William Z. Hertz</t>
        </is>
      </c>
      <c r="BO1235" s="69" t="inlineStr">
        <is>
          <t>Natixis</t>
        </is>
      </c>
      <c r="BP1235" s="69" t="inlineStr">
        <is>
          <t>Midland Loan Services</t>
        </is>
      </c>
      <c r="BQ1235" s="69" t="inlineStr">
        <is>
          <t>K-Star Asset Management LLC</t>
        </is>
      </c>
      <c r="BR1235" s="69" t="n"/>
      <c r="BS1235" s="73" t="n">
        <v>46276</v>
      </c>
      <c r="BU1235" s="76">
        <f>IF($C1235="","",IFERROR(INDEX(dmName,MATCH($C1235,dmID,0)),"Unmapped"))</f>
        <v/>
      </c>
      <c r="BV1235" s="76">
        <f>IF($C1235="","",IFERROR(INDEX(dmEntity,MATCH($C1235,dmID,0)),"Unmapped"))</f>
        <v/>
      </c>
      <c r="BW1235" s="77">
        <f>IF($C1235="","",IFERROR(INDEX(dmVintage,MATCH($C1235,dmID,0)),""))</f>
        <v/>
      </c>
      <c r="BX1235" s="78">
        <f>IFERROR(INDEX(dmInclude,MATCH($C1235,dmID,0)),0)</f>
        <v/>
      </c>
      <c r="BY1235" s="78">
        <f>IF(N($I1235)&gt;0,1,0)</f>
        <v/>
      </c>
      <c r="BZ1235" s="76">
        <f>IF($AJ1235="","Other / Leased Fee",IFERROR(INDEX(mapPTGroup,MATCH(LEFT(TRIM($AJ1235),2),mapPTCode,0)),"Other / Leased Fee"))</f>
        <v/>
      </c>
      <c r="CA1235" s="76">
        <f>IF(TRIM($AF1235&amp;"")="","NR",LEFT(TRIM($AF1235),2))</f>
        <v/>
      </c>
      <c r="CB1235" s="76">
        <f>IFERROR(LOOKUP(2,1/(LEFT(TRIM($AI1235&amp;""),LEN(mapRegion))=mapRegion),mapRegion),"Not Reported")</f>
        <v/>
      </c>
      <c r="CC1235" s="76">
        <f>IF($BY1235=0,"",IF(TRIM($W1235&amp;"")="REO","REO",IF(TRIM($W1235&amp;"")="FC","Foreclosure",IF(TRIM($W1235&amp;"")="90+","90+ Days Delinquent",IF(TRIM($W1235&amp;"")="60","60 Days Delinquent",IF(TRIM($W1235&amp;"")="30","30 Days Delinquent",IF($X1235="Non-Performing Matured Balloon","Non-Performing Matured Balloon",IF(OR($X1235="Late Payment But Less Than 30 Days Delinquent",LEFT($X1235&amp;"",20)="Payment Not Received"),"Late / In Grace (&lt;30 Days)",IF($X1235="Performing Matured Balloon","Performing Matured Balloon","Current")))))))))</f>
        <v/>
      </c>
      <c r="CD1235" s="78">
        <f>IF(OR($CC1235="REO",$CC1235="Foreclosure",$CC1235="90+ Days Delinquent",$CC1235="60 Days Delinquent",$CC1235="30 Days Delinquent",$CC1235="Non-Performing Matured Balloon"),1,0)</f>
        <v/>
      </c>
      <c r="CE1235" s="76">
        <f>IF($AB1235="Currently special serv","Currently Specially Serviced",IF($AB1235="Returned to master serv","Previously Specially Serviced","Never Specially Serviced"))</f>
        <v/>
      </c>
      <c r="CF1235" s="78">
        <f>IF($CE1235="Currently Specially Serviced",1,0)</f>
        <v/>
      </c>
      <c r="CG1235" s="76">
        <f>IF($AA1235="Yes","Currently on Watchlist",IF($AA1235="Previously","Previously on Watchlist","Never on Watchlist"))</f>
        <v/>
      </c>
      <c r="CH1235" s="78">
        <f>IF($CG1235="Currently on Watchlist",1,0)</f>
        <v/>
      </c>
      <c r="CI1235" s="76">
        <f>IF($Z1235="Full Defeasance","Fully Defeased",IF($Z1235="Portion Of Loan Previously Defeased","Partially Defeased",IF($Z1235="Defeasance Not Allowable","Not Defeased (Not Permitted)","Not Defeased")))</f>
        <v/>
      </c>
      <c r="CJ1235" s="78">
        <f>IF($CI1235="Fully Defeased",1,0)</f>
        <v/>
      </c>
      <c r="CK1235" s="76">
        <f>IF($R1235="IO","Full IO",IF(LEFT($R1235&amp;"",7)="IO then","Partial IO","Amortizing"))</f>
        <v/>
      </c>
      <c r="CL1235" s="78">
        <f>IF($CK1235="Full IO",1,0)</f>
        <v/>
      </c>
      <c r="CM1235" s="78">
        <f>IF($CK1235="Partial IO",1,0)</f>
        <v/>
      </c>
      <c r="CN1235" s="76">
        <f>IF(LEFT($F1235&amp;"",10)="SPLIT_LOAN","Pari Passu Split","Standalone")</f>
        <v/>
      </c>
      <c r="CO1235" s="78">
        <f>IF($CN1235="Pari Passu Split",1,0)</f>
        <v/>
      </c>
      <c r="CP1235" s="77">
        <f>IF(ISNUMBER($T1235),YEAR($T1235),"")</f>
        <v/>
      </c>
      <c r="CQ1235" s="79">
        <f>IF(ISNUMBER($V1235),$V1235,IF(ISNUMBER($U1235),$U1235,""))</f>
        <v/>
      </c>
      <c r="CR1235" s="77">
        <f>IF(ISNUMBER($CQ1235),YEAR($CQ1235),"")</f>
        <v/>
      </c>
      <c r="CS1235" s="78">
        <f>IF(ISNUMBER($M1235),MAX(0,$M1235),IF(TRIM($M1235&amp;"")="matured",0,""))</f>
        <v/>
      </c>
      <c r="CT1235" s="78">
        <f>IF(AND(ISNUMBER($CS1235),N($CS1235)&lt;=mMatWindow),1,0)</f>
        <v/>
      </c>
      <c r="CU1235" s="80">
        <f>IF(ISNUMBER($J1235),$J1235/100,"")</f>
        <v/>
      </c>
      <c r="CV1235" s="81">
        <f>IF(ISNUMBER($AQ1235),$AQ1235,"")</f>
        <v/>
      </c>
      <c r="CW1235" s="81">
        <f>IF(ISNUMBER($AR1235),$AR1235,"")</f>
        <v/>
      </c>
      <c r="CX1235" s="82">
        <f>IF(ISNUMBER($AS1235),$AS1235/100,"")</f>
        <v/>
      </c>
      <c r="CY1235" s="82">
        <f>IF(ISNUMBER($AT1235),$AT1235/100,"")</f>
        <v/>
      </c>
      <c r="CZ1235" s="82">
        <f>IF(ISNUMBER($AU1235),$AU1235/100,"")</f>
        <v/>
      </c>
      <c r="DA1235" s="82">
        <f>IF(ISNUMBER($AV1235),$AV1235/100,"")</f>
        <v/>
      </c>
      <c r="DB1235" s="82">
        <f>IF(ISNUMBER($AW1235),$AW1235/100,"")</f>
        <v/>
      </c>
      <c r="DC1235" s="82">
        <f>IF(ISNUMBER($AX1235),$AX1235/100,"")</f>
        <v/>
      </c>
      <c r="DD1235" s="77">
        <f>IFERROR(VALUE(LEFT(TRIM($AO1235&amp;""),4)),"")</f>
        <v/>
      </c>
      <c r="DE1235" s="78">
        <f>IF(AND($BY1235=1,$BX1235=1,OR(fDeal="All Deals",$BU1235=fDeal),OR(fEntity="All Entities",$BV1235=fEntity),OR(fPType="All Property Types",$BZ1235=fPType),OR(fDefeased="Include",$CJ1235=0)),1,0)</f>
        <v/>
      </c>
      <c r="DF1235" s="83">
        <f>$DE1235*N($I1235)</f>
        <v/>
      </c>
      <c r="DG1235" s="78">
        <f>IF($DE1235=1,IF(COUNTIFS($F$8:$F1235,$F1235,$DE$8:$DE1235,1)=1,1,0),0)</f>
        <v/>
      </c>
      <c r="DH1235" s="83">
        <f>IF($DG1235=1,SUMIFS($DF$8:$DF$1600,$F$8:$F$1600,$F1235),0)</f>
        <v/>
      </c>
      <c r="DI1235" s="78">
        <f>IF($DG1235=1,COUNTIFS($F$8:$F$1600,$F1235,$DE$8:$DE$1600,1),0)</f>
        <v/>
      </c>
      <c r="DJ1235" s="84">
        <f>IF($DG1235=1,$DH1235+(100000-ROW())/mTieBreak,0)</f>
        <v/>
      </c>
    </row>
    <row r="1236">
      <c r="B1236" s="68" t="n">
        <v>3</v>
      </c>
      <c r="C1236" s="69" t="inlineStr">
        <is>
          <t>UBS18C12</t>
        </is>
      </c>
      <c r="D1236" s="69" t="inlineStr">
        <is>
          <t>3.000</t>
        </is>
      </c>
      <c r="E1236" s="69" t="inlineStr">
        <is>
          <t>Riverwalk</t>
        </is>
      </c>
      <c r="F1236" s="69" t="inlineStr">
        <is>
          <t>SPLIT_LOAN_01329</t>
        </is>
      </c>
      <c r="G1236" s="70" t="n">
        <v>1329</v>
      </c>
      <c r="H1236" s="71" t="n">
        <v>45000000</v>
      </c>
      <c r="I1236" s="71" t="n">
        <v>41420852.24998499</v>
      </c>
      <c r="J1236" s="72" t="n">
        <v>5.176</v>
      </c>
      <c r="K1236" s="69" t="inlineStr">
        <is>
          <t>Fixed rate</t>
        </is>
      </c>
      <c r="L1236" s="68" t="n">
        <v>120</v>
      </c>
      <c r="M1236" s="68" t="n">
        <v>21</v>
      </c>
      <c r="N1236" s="68" t="n">
        <v>396</v>
      </c>
      <c r="O1236" s="68" t="n">
        <v>36</v>
      </c>
      <c r="P1236" s="68" t="n">
        <v>0</v>
      </c>
      <c r="Q1236" s="68" t="n">
        <v>99</v>
      </c>
      <c r="R1236" s="69" t="inlineStr">
        <is>
          <t>IO then Amort</t>
        </is>
      </c>
      <c r="S1236" s="69" t="inlineStr">
        <is>
          <t>No</t>
        </is>
      </c>
      <c r="T1236" s="73" t="n">
        <v>43252</v>
      </c>
      <c r="U1236" s="73" t="n">
        <v>46910</v>
      </c>
      <c r="V1236" s="73" t="n"/>
      <c r="W1236" s="69" t="n"/>
      <c r="X1236" s="69" t="inlineStr">
        <is>
          <t>Current</t>
        </is>
      </c>
      <c r="Y1236" s="68" t="n"/>
      <c r="Z1236" s="69" t="inlineStr">
        <is>
          <t>No Defeasance Occurred</t>
        </is>
      </c>
      <c r="AA1236" s="69" t="inlineStr">
        <is>
          <t>Previously</t>
        </is>
      </c>
      <c r="AB1236" s="69" t="inlineStr">
        <is>
          <t>Never special serv</t>
        </is>
      </c>
      <c r="AC1236" s="73" t="n"/>
      <c r="AD1236" s="69" t="n"/>
      <c r="AE1236" s="69" t="n"/>
      <c r="AF1236" s="69" t="inlineStr">
        <is>
          <t>MA</t>
        </is>
      </c>
      <c r="AG1236" s="69" t="inlineStr">
        <is>
          <t>Lawrence</t>
        </is>
      </c>
      <c r="AH1236" s="69" t="inlineStr">
        <is>
          <t>Boston-Cambridge-Newton, MA-NH</t>
        </is>
      </c>
      <c r="AI1236" s="69" t="inlineStr">
        <is>
          <t>Northeast / New England</t>
        </is>
      </c>
      <c r="AJ1236" s="69" t="inlineStr">
        <is>
          <t>OF</t>
        </is>
      </c>
      <c r="AK1236" s="69" t="inlineStr">
        <is>
          <t>Suburban</t>
        </is>
      </c>
      <c r="AL1236" s="68" t="n">
        <v>1</v>
      </c>
      <c r="AM1236" s="68" t="n"/>
      <c r="AN1236" s="68" t="n">
        <v>630379</v>
      </c>
      <c r="AO1236" s="69" t="inlineStr">
        <is>
          <t>1901, 2007</t>
        </is>
      </c>
      <c r="AP1236" s="70" t="n">
        <v>2007</v>
      </c>
      <c r="AQ1236" s="74" t="n">
        <v>1.68</v>
      </c>
      <c r="AR1236" s="74" t="n">
        <v>1.34</v>
      </c>
      <c r="AS1236" s="74" t="n">
        <v>69</v>
      </c>
      <c r="AT1236" s="74" t="n">
        <v>63.49</v>
      </c>
      <c r="AU1236" s="74" t="n">
        <v>61.3</v>
      </c>
      <c r="AV1236" s="74" t="n">
        <v>8.831516729000001</v>
      </c>
      <c r="AW1236" s="74" t="n">
        <v>10.17442254</v>
      </c>
      <c r="AX1236" s="75" t="n">
        <v>89</v>
      </c>
      <c r="AY1236" s="71" t="n">
        <v>117000000</v>
      </c>
      <c r="AZ1236" s="71" t="n">
        <v>117000000</v>
      </c>
      <c r="BA1236" s="71" t="n">
        <v>7127034</v>
      </c>
      <c r="BB1236" s="71" t="n">
        <v>7115131</v>
      </c>
      <c r="BC1236" s="69" t="inlineStr">
        <is>
          <t>Refinance</t>
        </is>
      </c>
      <c r="BD1236" s="69" t="inlineStr">
        <is>
          <t>N</t>
        </is>
      </c>
      <c r="BE1236" s="71" t="n">
        <v>32860542.79</v>
      </c>
      <c r="BF1236" s="71" t="n"/>
      <c r="BG1236" s="71" t="n"/>
      <c r="BH1236" s="71" t="n">
        <v>0</v>
      </c>
      <c r="BI1236" s="71" t="n">
        <v>0</v>
      </c>
      <c r="BJ1236" s="69" t="inlineStr">
        <is>
          <t>N</t>
        </is>
      </c>
      <c r="BK1236" s="69" t="inlineStr">
        <is>
          <t>Select One Construction</t>
        </is>
      </c>
      <c r="BL1236" s="75" t="n">
        <v>4.37</v>
      </c>
      <c r="BM1236" s="73" t="n">
        <v>48699</v>
      </c>
      <c r="BN1236" s="69" t="inlineStr">
        <is>
          <t>Salvatore N. Lupoli</t>
        </is>
      </c>
      <c r="BO1236" s="69" t="inlineStr">
        <is>
          <t>Cantor Commercial Real Estate Lending</t>
        </is>
      </c>
      <c r="BP1236" s="69" t="inlineStr">
        <is>
          <t>Midland Loan Services</t>
        </is>
      </c>
      <c r="BQ1236" s="69" t="inlineStr">
        <is>
          <t>K-Star Asset Management LLC</t>
        </is>
      </c>
      <c r="BR1236" s="69" t="n"/>
      <c r="BS1236" s="73" t="n">
        <v>46276</v>
      </c>
      <c r="BU1236" s="76">
        <f>IF($C1236="","",IFERROR(INDEX(dmName,MATCH($C1236,dmID,0)),"Unmapped"))</f>
        <v/>
      </c>
      <c r="BV1236" s="76">
        <f>IF($C1236="","",IFERROR(INDEX(dmEntity,MATCH($C1236,dmID,0)),"Unmapped"))</f>
        <v/>
      </c>
      <c r="BW1236" s="77">
        <f>IF($C1236="","",IFERROR(INDEX(dmVintage,MATCH($C1236,dmID,0)),""))</f>
        <v/>
      </c>
      <c r="BX1236" s="78">
        <f>IFERROR(INDEX(dmInclude,MATCH($C1236,dmID,0)),0)</f>
        <v/>
      </c>
      <c r="BY1236" s="78">
        <f>IF(N($I1236)&gt;0,1,0)</f>
        <v/>
      </c>
      <c r="BZ1236" s="76">
        <f>IF($AJ1236="","Other / Leased Fee",IFERROR(INDEX(mapPTGroup,MATCH(LEFT(TRIM($AJ1236),2),mapPTCode,0)),"Other / Leased Fee"))</f>
        <v/>
      </c>
      <c r="CA1236" s="76">
        <f>IF(TRIM($AF1236&amp;"")="","NR",LEFT(TRIM($AF1236),2))</f>
        <v/>
      </c>
      <c r="CB1236" s="76">
        <f>IFERROR(LOOKUP(2,1/(LEFT(TRIM($AI1236&amp;""),LEN(mapRegion))=mapRegion),mapRegion),"Not Reported")</f>
        <v/>
      </c>
      <c r="CC1236" s="76">
        <f>IF($BY1236=0,"",IF(TRIM($W1236&amp;"")="REO","REO",IF(TRIM($W1236&amp;"")="FC","Foreclosure",IF(TRIM($W1236&amp;"")="90+","90+ Days Delinquent",IF(TRIM($W1236&amp;"")="60","60 Days Delinquent",IF(TRIM($W1236&amp;"")="30","30 Days Delinquent",IF($X1236="Non-Performing Matured Balloon","Non-Performing Matured Balloon",IF(OR($X1236="Late Payment But Less Than 30 Days Delinquent",LEFT($X1236&amp;"",20)="Payment Not Received"),"Late / In Grace (&lt;30 Days)",IF($X1236="Performing Matured Balloon","Performing Matured Balloon","Current")))))))))</f>
        <v/>
      </c>
      <c r="CD1236" s="78">
        <f>IF(OR($CC1236="REO",$CC1236="Foreclosure",$CC1236="90+ Days Delinquent",$CC1236="60 Days Delinquent",$CC1236="30 Days Delinquent",$CC1236="Non-Performing Matured Balloon"),1,0)</f>
        <v/>
      </c>
      <c r="CE1236" s="76">
        <f>IF($AB1236="Currently special serv","Currently Specially Serviced",IF($AB1236="Returned to master serv","Previously Specially Serviced","Never Specially Serviced"))</f>
        <v/>
      </c>
      <c r="CF1236" s="78">
        <f>IF($CE1236="Currently Specially Serviced",1,0)</f>
        <v/>
      </c>
      <c r="CG1236" s="76">
        <f>IF($AA1236="Yes","Currently on Watchlist",IF($AA1236="Previously","Previously on Watchlist","Never on Watchlist"))</f>
        <v/>
      </c>
      <c r="CH1236" s="78">
        <f>IF($CG1236="Currently on Watchlist",1,0)</f>
        <v/>
      </c>
      <c r="CI1236" s="76">
        <f>IF($Z1236="Full Defeasance","Fully Defeased",IF($Z1236="Portion Of Loan Previously Defeased","Partially Defeased",IF($Z1236="Defeasance Not Allowable","Not Defeased (Not Permitted)","Not Defeased")))</f>
        <v/>
      </c>
      <c r="CJ1236" s="78">
        <f>IF($CI1236="Fully Defeased",1,0)</f>
        <v/>
      </c>
      <c r="CK1236" s="76">
        <f>IF($R1236="IO","Full IO",IF(LEFT($R1236&amp;"",7)="IO then","Partial IO","Amortizing"))</f>
        <v/>
      </c>
      <c r="CL1236" s="78">
        <f>IF($CK1236="Full IO",1,0)</f>
        <v/>
      </c>
      <c r="CM1236" s="78">
        <f>IF($CK1236="Partial IO",1,0)</f>
        <v/>
      </c>
      <c r="CN1236" s="76">
        <f>IF(LEFT($F1236&amp;"",10)="SPLIT_LOAN","Pari Passu Split","Standalone")</f>
        <v/>
      </c>
      <c r="CO1236" s="78">
        <f>IF($CN1236="Pari Passu Split",1,0)</f>
        <v/>
      </c>
      <c r="CP1236" s="77">
        <f>IF(ISNUMBER($T1236),YEAR($T1236),"")</f>
        <v/>
      </c>
      <c r="CQ1236" s="79">
        <f>IF(ISNUMBER($V1236),$V1236,IF(ISNUMBER($U1236),$U1236,""))</f>
        <v/>
      </c>
      <c r="CR1236" s="77">
        <f>IF(ISNUMBER($CQ1236),YEAR($CQ1236),"")</f>
        <v/>
      </c>
      <c r="CS1236" s="78">
        <f>IF(ISNUMBER($M1236),MAX(0,$M1236),IF(TRIM($M1236&amp;"")="matured",0,""))</f>
        <v/>
      </c>
      <c r="CT1236" s="78">
        <f>IF(AND(ISNUMBER($CS1236),N($CS1236)&lt;=mMatWindow),1,0)</f>
        <v/>
      </c>
      <c r="CU1236" s="80">
        <f>IF(ISNUMBER($J1236),$J1236/100,"")</f>
        <v/>
      </c>
      <c r="CV1236" s="81">
        <f>IF(ISNUMBER($AQ1236),$AQ1236,"")</f>
        <v/>
      </c>
      <c r="CW1236" s="81">
        <f>IF(ISNUMBER($AR1236),$AR1236,"")</f>
        <v/>
      </c>
      <c r="CX1236" s="82">
        <f>IF(ISNUMBER($AS1236),$AS1236/100,"")</f>
        <v/>
      </c>
      <c r="CY1236" s="82">
        <f>IF(ISNUMBER($AT1236),$AT1236/100,"")</f>
        <v/>
      </c>
      <c r="CZ1236" s="82">
        <f>IF(ISNUMBER($AU1236),$AU1236/100,"")</f>
        <v/>
      </c>
      <c r="DA1236" s="82">
        <f>IF(ISNUMBER($AV1236),$AV1236/100,"")</f>
        <v/>
      </c>
      <c r="DB1236" s="82">
        <f>IF(ISNUMBER($AW1236),$AW1236/100,"")</f>
        <v/>
      </c>
      <c r="DC1236" s="82">
        <f>IF(ISNUMBER($AX1236),$AX1236/100,"")</f>
        <v/>
      </c>
      <c r="DD1236" s="77">
        <f>IFERROR(VALUE(LEFT(TRIM($AO1236&amp;""),4)),"")</f>
        <v/>
      </c>
      <c r="DE1236" s="78">
        <f>IF(AND($BY1236=1,$BX1236=1,OR(fDeal="All Deals",$BU1236=fDeal),OR(fEntity="All Entities",$BV1236=fEntity),OR(fPType="All Property Types",$BZ1236=fPType),OR(fDefeased="Include",$CJ1236=0)),1,0)</f>
        <v/>
      </c>
      <c r="DF1236" s="83">
        <f>$DE1236*N($I1236)</f>
        <v/>
      </c>
      <c r="DG1236" s="78">
        <f>IF($DE1236=1,IF(COUNTIFS($F$8:$F1236,$F1236,$DE$8:$DE1236,1)=1,1,0),0)</f>
        <v/>
      </c>
      <c r="DH1236" s="83">
        <f>IF($DG1236=1,SUMIFS($DF$8:$DF$1600,$F$8:$F$1600,$F1236),0)</f>
        <v/>
      </c>
      <c r="DI1236" s="78">
        <f>IF($DG1236=1,COUNTIFS($F$8:$F$1600,$F1236,$DE$8:$DE$1600,1),0)</f>
        <v/>
      </c>
      <c r="DJ1236" s="84">
        <f>IF($DG1236=1,$DH1236+(100000-ROW())/mTieBreak,0)</f>
        <v/>
      </c>
    </row>
    <row r="1237">
      <c r="B1237" s="68" t="n">
        <v>4</v>
      </c>
      <c r="C1237" s="69" t="inlineStr">
        <is>
          <t>UBS18C12</t>
        </is>
      </c>
      <c r="D1237" s="69" t="inlineStr">
        <is>
          <t>4.000</t>
        </is>
      </c>
      <c r="E1237" s="69" t="inlineStr">
        <is>
          <t>139 Ludlow Street</t>
        </is>
      </c>
      <c r="F1237" s="69" t="inlineStr">
        <is>
          <t>LNUBS18C12-4.000</t>
        </is>
      </c>
      <c r="G1237" s="70" t="n"/>
      <c r="H1237" s="71" t="n">
        <v>33500000</v>
      </c>
      <c r="I1237" s="71" t="n">
        <v>33500000</v>
      </c>
      <c r="J1237" s="72" t="n">
        <v>4.443</v>
      </c>
      <c r="K1237" s="69" t="inlineStr">
        <is>
          <t>Fixed rate</t>
        </is>
      </c>
      <c r="L1237" s="68" t="n">
        <v>120</v>
      </c>
      <c r="M1237" s="68" t="n">
        <v>16</v>
      </c>
      <c r="N1237" s="68" t="n">
        <v>120</v>
      </c>
      <c r="O1237" s="68" t="n">
        <v>120</v>
      </c>
      <c r="P1237" s="68" t="n">
        <v>16</v>
      </c>
      <c r="Q1237" s="68" t="n">
        <v>104</v>
      </c>
      <c r="R1237" s="69" t="inlineStr">
        <is>
          <t>IO</t>
        </is>
      </c>
      <c r="S1237" s="69" t="inlineStr">
        <is>
          <t>Yes</t>
        </is>
      </c>
      <c r="T1237" s="73" t="n">
        <v>43101</v>
      </c>
      <c r="U1237" s="73" t="n">
        <v>46757</v>
      </c>
      <c r="V1237" s="73" t="n"/>
      <c r="W1237" s="69" t="n"/>
      <c r="X1237" s="69" t="inlineStr">
        <is>
          <t>Current</t>
        </is>
      </c>
      <c r="Y1237" s="68" t="n"/>
      <c r="Z1237" s="69" t="inlineStr">
        <is>
          <t>No Defeasance Occurred</t>
        </is>
      </c>
      <c r="AA1237" s="69" t="inlineStr">
        <is>
          <t>Previously</t>
        </is>
      </c>
      <c r="AB1237" s="69" t="inlineStr">
        <is>
          <t>Never special serv</t>
        </is>
      </c>
      <c r="AC1237" s="73" t="n"/>
      <c r="AD1237" s="69" t="n"/>
      <c r="AE1237" s="69" t="n"/>
      <c r="AF1237" s="69" t="inlineStr">
        <is>
          <t>NY</t>
        </is>
      </c>
      <c r="AG1237" s="69" t="inlineStr">
        <is>
          <t>New York</t>
        </is>
      </c>
      <c r="AH1237" s="69" t="inlineStr">
        <is>
          <t>New York-Newark-Jersey City, NY-NJ</t>
        </is>
      </c>
      <c r="AI1237" s="69" t="inlineStr">
        <is>
          <t>Northeast / Mid-Atlantic</t>
        </is>
      </c>
      <c r="AJ1237" s="69" t="inlineStr">
        <is>
          <t>MX</t>
        </is>
      </c>
      <c r="AK1237" s="69" t="n"/>
      <c r="AL1237" s="68" t="n">
        <v>1</v>
      </c>
      <c r="AM1237" s="68" t="n"/>
      <c r="AN1237" s="68" t="n">
        <v>21912</v>
      </c>
      <c r="AO1237" s="69" t="inlineStr">
        <is>
          <t>1930</t>
        </is>
      </c>
      <c r="AP1237" s="70" t="n">
        <v>2016</v>
      </c>
      <c r="AQ1237" s="74" t="n">
        <v>1.8</v>
      </c>
      <c r="AR1237" s="74" t="n">
        <v>2.01</v>
      </c>
      <c r="AS1237" s="74" t="n">
        <v>55.5</v>
      </c>
      <c r="AT1237" s="74" t="n">
        <v>55.46</v>
      </c>
      <c r="AU1237" s="74" t="n">
        <v>55.5</v>
      </c>
      <c r="AV1237" s="74" t="n">
        <v>8.11618391</v>
      </c>
      <c r="AW1237" s="74" t="n">
        <v>9.060446089999999</v>
      </c>
      <c r="AX1237" s="75" t="n">
        <v>100</v>
      </c>
      <c r="AY1237" s="71" t="n">
        <v>60400000</v>
      </c>
      <c r="AZ1237" s="71" t="n">
        <v>60400000</v>
      </c>
      <c r="BA1237" s="71" t="n">
        <v>2718921.61</v>
      </c>
      <c r="BB1237" s="71" t="n">
        <v>3035249.44</v>
      </c>
      <c r="BC1237" s="69" t="inlineStr">
        <is>
          <t>Refinance</t>
        </is>
      </c>
      <c r="BD1237" s="69" t="inlineStr">
        <is>
          <t>N</t>
        </is>
      </c>
      <c r="BE1237" s="71" t="n"/>
      <c r="BF1237" s="71" t="n"/>
      <c r="BG1237" s="71" t="n"/>
      <c r="BH1237" s="71" t="n">
        <v>0</v>
      </c>
      <c r="BI1237" s="71" t="n">
        <v>0</v>
      </c>
      <c r="BJ1237" s="69" t="inlineStr">
        <is>
          <t>N</t>
        </is>
      </c>
      <c r="BK1237" s="69" t="inlineStr">
        <is>
          <t>Soho -Ludlow LLC</t>
        </is>
      </c>
      <c r="BL1237" s="75" t="n">
        <v>100</v>
      </c>
      <c r="BM1237" s="73" t="n">
        <v>51621</v>
      </c>
      <c r="BN1237" s="69" t="inlineStr">
        <is>
          <t>US AcquireCo, Inc.; Alf Naman; William Schaffel; Alexander Schaffel; Trevor Stahelski</t>
        </is>
      </c>
      <c r="BO1237" s="69" t="inlineStr">
        <is>
          <t>Natixis</t>
        </is>
      </c>
      <c r="BP1237" s="69" t="inlineStr">
        <is>
          <t>Midland Loan Services</t>
        </is>
      </c>
      <c r="BQ1237" s="69" t="inlineStr">
        <is>
          <t>K-Star Asset Management LLC</t>
        </is>
      </c>
      <c r="BR1237" s="69" t="n"/>
      <c r="BS1237" s="73" t="n">
        <v>46276</v>
      </c>
      <c r="BU1237" s="76">
        <f>IF($C1237="","",IFERROR(INDEX(dmName,MATCH($C1237,dmID,0)),"Unmapped"))</f>
        <v/>
      </c>
      <c r="BV1237" s="76">
        <f>IF($C1237="","",IFERROR(INDEX(dmEntity,MATCH($C1237,dmID,0)),"Unmapped"))</f>
        <v/>
      </c>
      <c r="BW1237" s="77">
        <f>IF($C1237="","",IFERROR(INDEX(dmVintage,MATCH($C1237,dmID,0)),""))</f>
        <v/>
      </c>
      <c r="BX1237" s="78">
        <f>IFERROR(INDEX(dmInclude,MATCH($C1237,dmID,0)),0)</f>
        <v/>
      </c>
      <c r="BY1237" s="78">
        <f>IF(N($I1237)&gt;0,1,0)</f>
        <v/>
      </c>
      <c r="BZ1237" s="76">
        <f>IF($AJ1237="","Other / Leased Fee",IFERROR(INDEX(mapPTGroup,MATCH(LEFT(TRIM($AJ1237),2),mapPTCode,0)),"Other / Leased Fee"))</f>
        <v/>
      </c>
      <c r="CA1237" s="76">
        <f>IF(TRIM($AF1237&amp;"")="","NR",LEFT(TRIM($AF1237),2))</f>
        <v/>
      </c>
      <c r="CB1237" s="76">
        <f>IFERROR(LOOKUP(2,1/(LEFT(TRIM($AI1237&amp;""),LEN(mapRegion))=mapRegion),mapRegion),"Not Reported")</f>
        <v/>
      </c>
      <c r="CC1237" s="76">
        <f>IF($BY1237=0,"",IF(TRIM($W1237&amp;"")="REO","REO",IF(TRIM($W1237&amp;"")="FC","Foreclosure",IF(TRIM($W1237&amp;"")="90+","90+ Days Delinquent",IF(TRIM($W1237&amp;"")="60","60 Days Delinquent",IF(TRIM($W1237&amp;"")="30","30 Days Delinquent",IF($X1237="Non-Performing Matured Balloon","Non-Performing Matured Balloon",IF(OR($X1237="Late Payment But Less Than 30 Days Delinquent",LEFT($X1237&amp;"",20)="Payment Not Received"),"Late / In Grace (&lt;30 Days)",IF($X1237="Performing Matured Balloon","Performing Matured Balloon","Current")))))))))</f>
        <v/>
      </c>
      <c r="CD1237" s="78">
        <f>IF(OR($CC1237="REO",$CC1237="Foreclosure",$CC1237="90+ Days Delinquent",$CC1237="60 Days Delinquent",$CC1237="30 Days Delinquent",$CC1237="Non-Performing Matured Balloon"),1,0)</f>
        <v/>
      </c>
      <c r="CE1237" s="76">
        <f>IF($AB1237="Currently special serv","Currently Specially Serviced",IF($AB1237="Returned to master serv","Previously Specially Serviced","Never Specially Serviced"))</f>
        <v/>
      </c>
      <c r="CF1237" s="78">
        <f>IF($CE1237="Currently Specially Serviced",1,0)</f>
        <v/>
      </c>
      <c r="CG1237" s="76">
        <f>IF($AA1237="Yes","Currently on Watchlist",IF($AA1237="Previously","Previously on Watchlist","Never on Watchlist"))</f>
        <v/>
      </c>
      <c r="CH1237" s="78">
        <f>IF($CG1237="Currently on Watchlist",1,0)</f>
        <v/>
      </c>
      <c r="CI1237" s="76">
        <f>IF($Z1237="Full Defeasance","Fully Defeased",IF($Z1237="Portion Of Loan Previously Defeased","Partially Defeased",IF($Z1237="Defeasance Not Allowable","Not Defeased (Not Permitted)","Not Defeased")))</f>
        <v/>
      </c>
      <c r="CJ1237" s="78">
        <f>IF($CI1237="Fully Defeased",1,0)</f>
        <v/>
      </c>
      <c r="CK1237" s="76">
        <f>IF($R1237="IO","Full IO",IF(LEFT($R1237&amp;"",7)="IO then","Partial IO","Amortizing"))</f>
        <v/>
      </c>
      <c r="CL1237" s="78">
        <f>IF($CK1237="Full IO",1,0)</f>
        <v/>
      </c>
      <c r="CM1237" s="78">
        <f>IF($CK1237="Partial IO",1,0)</f>
        <v/>
      </c>
      <c r="CN1237" s="76">
        <f>IF(LEFT($F1237&amp;"",10)="SPLIT_LOAN","Pari Passu Split","Standalone")</f>
        <v/>
      </c>
      <c r="CO1237" s="78">
        <f>IF($CN1237="Pari Passu Split",1,0)</f>
        <v/>
      </c>
      <c r="CP1237" s="77">
        <f>IF(ISNUMBER($T1237),YEAR($T1237),"")</f>
        <v/>
      </c>
      <c r="CQ1237" s="79">
        <f>IF(ISNUMBER($V1237),$V1237,IF(ISNUMBER($U1237),$U1237,""))</f>
        <v/>
      </c>
      <c r="CR1237" s="77">
        <f>IF(ISNUMBER($CQ1237),YEAR($CQ1237),"")</f>
        <v/>
      </c>
      <c r="CS1237" s="78">
        <f>IF(ISNUMBER($M1237),MAX(0,$M1237),IF(TRIM($M1237&amp;"")="matured",0,""))</f>
        <v/>
      </c>
      <c r="CT1237" s="78">
        <f>IF(AND(ISNUMBER($CS1237),N($CS1237)&lt;=mMatWindow),1,0)</f>
        <v/>
      </c>
      <c r="CU1237" s="80">
        <f>IF(ISNUMBER($J1237),$J1237/100,"")</f>
        <v/>
      </c>
      <c r="CV1237" s="81">
        <f>IF(ISNUMBER($AQ1237),$AQ1237,"")</f>
        <v/>
      </c>
      <c r="CW1237" s="81">
        <f>IF(ISNUMBER($AR1237),$AR1237,"")</f>
        <v/>
      </c>
      <c r="CX1237" s="82">
        <f>IF(ISNUMBER($AS1237),$AS1237/100,"")</f>
        <v/>
      </c>
      <c r="CY1237" s="82">
        <f>IF(ISNUMBER($AT1237),$AT1237/100,"")</f>
        <v/>
      </c>
      <c r="CZ1237" s="82">
        <f>IF(ISNUMBER($AU1237),$AU1237/100,"")</f>
        <v/>
      </c>
      <c r="DA1237" s="82">
        <f>IF(ISNUMBER($AV1237),$AV1237/100,"")</f>
        <v/>
      </c>
      <c r="DB1237" s="82">
        <f>IF(ISNUMBER($AW1237),$AW1237/100,"")</f>
        <v/>
      </c>
      <c r="DC1237" s="82">
        <f>IF(ISNUMBER($AX1237),$AX1237/100,"")</f>
        <v/>
      </c>
      <c r="DD1237" s="77">
        <f>IFERROR(VALUE(LEFT(TRIM($AO1237&amp;""),4)),"")</f>
        <v/>
      </c>
      <c r="DE1237" s="78">
        <f>IF(AND($BY1237=1,$BX1237=1,OR(fDeal="All Deals",$BU1237=fDeal),OR(fEntity="All Entities",$BV1237=fEntity),OR(fPType="All Property Types",$BZ1237=fPType),OR(fDefeased="Include",$CJ1237=0)),1,0)</f>
        <v/>
      </c>
      <c r="DF1237" s="83">
        <f>$DE1237*N($I1237)</f>
        <v/>
      </c>
      <c r="DG1237" s="78">
        <f>IF($DE1237=1,IF(COUNTIFS($F$8:$F1237,$F1237,$DE$8:$DE1237,1)=1,1,0),0)</f>
        <v/>
      </c>
      <c r="DH1237" s="83">
        <f>IF($DG1237=1,SUMIFS($DF$8:$DF$1600,$F$8:$F$1600,$F1237),0)</f>
        <v/>
      </c>
      <c r="DI1237" s="78">
        <f>IF($DG1237=1,COUNTIFS($F$8:$F$1600,$F1237,$DE$8:$DE$1600,1),0)</f>
        <v/>
      </c>
      <c r="DJ1237" s="84">
        <f>IF($DG1237=1,$DH1237+(100000-ROW())/mTieBreak,0)</f>
        <v/>
      </c>
    </row>
    <row r="1238">
      <c r="B1238" s="68" t="n">
        <v>5</v>
      </c>
      <c r="C1238" s="69" t="inlineStr">
        <is>
          <t>UBS18C12</t>
        </is>
      </c>
      <c r="D1238" s="69" t="inlineStr">
        <is>
          <t>5.000</t>
        </is>
      </c>
      <c r="E1238" s="69" t="inlineStr">
        <is>
          <t>Aspect RHG Hotel Portfolio</t>
        </is>
      </c>
      <c r="F1238" s="69" t="inlineStr">
        <is>
          <t>SPLIT_LOAN_01332</t>
        </is>
      </c>
      <c r="G1238" s="70" t="n">
        <v>1332</v>
      </c>
      <c r="H1238" s="71" t="n">
        <v>33500000</v>
      </c>
      <c r="I1238" s="71" t="n">
        <v>30848302.379994</v>
      </c>
      <c r="J1238" s="72" t="n">
        <v>5</v>
      </c>
      <c r="K1238" s="69" t="inlineStr">
        <is>
          <t>Fixed rate</t>
        </is>
      </c>
      <c r="L1238" s="68" t="n">
        <v>120</v>
      </c>
      <c r="M1238" s="68" t="n">
        <v>23</v>
      </c>
      <c r="N1238" s="68" t="n">
        <v>396</v>
      </c>
      <c r="O1238" s="68" t="n">
        <v>36</v>
      </c>
      <c r="P1238" s="68" t="n">
        <v>0</v>
      </c>
      <c r="Q1238" s="68" t="n">
        <v>97</v>
      </c>
      <c r="R1238" s="69" t="inlineStr">
        <is>
          <t>IO then Amort</t>
        </is>
      </c>
      <c r="S1238" s="69" t="inlineStr">
        <is>
          <t>No</t>
        </is>
      </c>
      <c r="T1238" s="73" t="n">
        <v>43313</v>
      </c>
      <c r="U1238" s="73" t="n">
        <v>46966</v>
      </c>
      <c r="V1238" s="73" t="n"/>
      <c r="W1238" s="69" t="inlineStr">
        <is>
          <t>FC</t>
        </is>
      </c>
      <c r="X1238" s="69" t="inlineStr">
        <is>
          <t>Current</t>
        </is>
      </c>
      <c r="Y1238" s="68" t="n"/>
      <c r="Z1238" s="69" t="inlineStr">
        <is>
          <t>No Defeasance Occurred</t>
        </is>
      </c>
      <c r="AA1238" s="69" t="inlineStr">
        <is>
          <t>Previously</t>
        </is>
      </c>
      <c r="AB1238" s="69" t="inlineStr">
        <is>
          <t>Currently special serv</t>
        </is>
      </c>
      <c r="AC1238" s="73" t="n">
        <v>45741</v>
      </c>
      <c r="AD1238" s="69" t="inlineStr">
        <is>
          <t>Imminent Monetary Default (excluding Balloon/Maturity Default &amp; Single Tenant Bankruptcy/Vacate)</t>
        </is>
      </c>
      <c r="AE1238" s="69" t="inlineStr">
        <is>
          <t>Foreclosure</t>
        </is>
      </c>
      <c r="AF1238" s="69" t="inlineStr">
        <is>
          <t>TN-70.669111744% AZ-29.330888256%</t>
        </is>
      </c>
      <c r="AG1238" s="69" t="n"/>
      <c r="AH1238" s="69" t="inlineStr">
        <is>
          <t>Nashville-Davidson--Murfreesboro--Franklin, TN-70.669111744% Phoenix-Mesa-Chandler, AZ-29.330888256%</t>
        </is>
      </c>
      <c r="AI1238" s="69" t="inlineStr">
        <is>
          <t>South / Central East-70.669111744% West / Mountain-29.330888256%</t>
        </is>
      </c>
      <c r="AJ1238" s="69" t="inlineStr">
        <is>
          <t>HT</t>
        </is>
      </c>
      <c r="AK1238" s="69" t="n"/>
      <c r="AL1238" s="68" t="n">
        <v>4</v>
      </c>
      <c r="AM1238" s="68" t="n">
        <v>461</v>
      </c>
      <c r="AN1238" s="68" t="n"/>
      <c r="AO1238" s="69" t="n"/>
      <c r="AP1238" s="70" t="n">
        <v>2016</v>
      </c>
      <c r="AQ1238" s="74" t="n">
        <v>2.21</v>
      </c>
      <c r="AR1238" s="74" t="n">
        <v>-0.02</v>
      </c>
      <c r="AS1238" s="74" t="n">
        <v>61.2</v>
      </c>
      <c r="AT1238" s="74" t="n">
        <v>91.48999999999999</v>
      </c>
      <c r="AU1238" s="74" t="n">
        <v>54.2</v>
      </c>
      <c r="AV1238" s="74" t="n">
        <v>11.179591991</v>
      </c>
      <c r="AW1238" s="74" t="n">
        <v>-0.106930578</v>
      </c>
      <c r="AX1238" s="75" t="n">
        <v>65</v>
      </c>
      <c r="AY1238" s="71" t="n">
        <v>75500000</v>
      </c>
      <c r="AZ1238" s="71" t="n">
        <v>46500000</v>
      </c>
      <c r="BA1238" s="71" t="n">
        <v>5164971.5</v>
      </c>
      <c r="BB1238" s="71" t="n">
        <v>-45491.51</v>
      </c>
      <c r="BC1238" s="69" t="inlineStr">
        <is>
          <t>Acquisition</t>
        </is>
      </c>
      <c r="BD1238" s="69" t="inlineStr">
        <is>
          <t>N</t>
        </is>
      </c>
      <c r="BE1238" s="71" t="n">
        <v>11694729.56</v>
      </c>
      <c r="BF1238" s="71" t="n"/>
      <c r="BG1238" s="71" t="n"/>
      <c r="BH1238" s="71" t="n">
        <v>0</v>
      </c>
      <c r="BI1238" s="71" t="n">
        <v>353929.3</v>
      </c>
      <c r="BJ1238" s="69" t="inlineStr">
        <is>
          <t>Y</t>
        </is>
      </c>
      <c r="BK1238" s="69" t="n"/>
      <c r="BL1238" s="75" t="n"/>
      <c r="BM1238" s="73" t="n"/>
      <c r="BN1238" s="69" t="inlineStr">
        <is>
          <t>RHG Invest Co. LLC; Benjamin N. Seidel</t>
        </is>
      </c>
      <c r="BO1238" s="69" t="inlineStr">
        <is>
          <t>Societe Generale</t>
        </is>
      </c>
      <c r="BP1238" s="69" t="inlineStr">
        <is>
          <t>Midland Loan Services</t>
        </is>
      </c>
      <c r="BQ1238" s="69" t="inlineStr">
        <is>
          <t>K-Star Asset Management LLC</t>
        </is>
      </c>
      <c r="BR1238" s="69" t="n"/>
      <c r="BS1238" s="73" t="n">
        <v>46276</v>
      </c>
      <c r="BU1238" s="76">
        <f>IF($C1238="","",IFERROR(INDEX(dmName,MATCH($C1238,dmID,0)),"Unmapped"))</f>
        <v/>
      </c>
      <c r="BV1238" s="76">
        <f>IF($C1238="","",IFERROR(INDEX(dmEntity,MATCH($C1238,dmID,0)),"Unmapped"))</f>
        <v/>
      </c>
      <c r="BW1238" s="77">
        <f>IF($C1238="","",IFERROR(INDEX(dmVintage,MATCH($C1238,dmID,0)),""))</f>
        <v/>
      </c>
      <c r="BX1238" s="78">
        <f>IFERROR(INDEX(dmInclude,MATCH($C1238,dmID,0)),0)</f>
        <v/>
      </c>
      <c r="BY1238" s="78">
        <f>IF(N($I1238)&gt;0,1,0)</f>
        <v/>
      </c>
      <c r="BZ1238" s="76">
        <f>IF($AJ1238="","Other / Leased Fee",IFERROR(INDEX(mapPTGroup,MATCH(LEFT(TRIM($AJ1238),2),mapPTCode,0)),"Other / Leased Fee"))</f>
        <v/>
      </c>
      <c r="CA1238" s="76">
        <f>IF(TRIM($AF1238&amp;"")="","NR",LEFT(TRIM($AF1238),2))</f>
        <v/>
      </c>
      <c r="CB1238" s="76">
        <f>IFERROR(LOOKUP(2,1/(LEFT(TRIM($AI1238&amp;""),LEN(mapRegion))=mapRegion),mapRegion),"Not Reported")</f>
        <v/>
      </c>
      <c r="CC1238" s="76">
        <f>IF($BY1238=0,"",IF(TRIM($W1238&amp;"")="REO","REO",IF(TRIM($W1238&amp;"")="FC","Foreclosure",IF(TRIM($W1238&amp;"")="90+","90+ Days Delinquent",IF(TRIM($W1238&amp;"")="60","60 Days Delinquent",IF(TRIM($W1238&amp;"")="30","30 Days Delinquent",IF($X1238="Non-Performing Matured Balloon","Non-Performing Matured Balloon",IF(OR($X1238="Late Payment But Less Than 30 Days Delinquent",LEFT($X1238&amp;"",20)="Payment Not Received"),"Late / In Grace (&lt;30 Days)",IF($X1238="Performing Matured Balloon","Performing Matured Balloon","Current")))))))))</f>
        <v/>
      </c>
      <c r="CD1238" s="78">
        <f>IF(OR($CC1238="REO",$CC1238="Foreclosure",$CC1238="90+ Days Delinquent",$CC1238="60 Days Delinquent",$CC1238="30 Days Delinquent",$CC1238="Non-Performing Matured Balloon"),1,0)</f>
        <v/>
      </c>
      <c r="CE1238" s="76">
        <f>IF($AB1238="Currently special serv","Currently Specially Serviced",IF($AB1238="Returned to master serv","Previously Specially Serviced","Never Specially Serviced"))</f>
        <v/>
      </c>
      <c r="CF1238" s="78">
        <f>IF($CE1238="Currently Specially Serviced",1,0)</f>
        <v/>
      </c>
      <c r="CG1238" s="76">
        <f>IF($AA1238="Yes","Currently on Watchlist",IF($AA1238="Previously","Previously on Watchlist","Never on Watchlist"))</f>
        <v/>
      </c>
      <c r="CH1238" s="78">
        <f>IF($CG1238="Currently on Watchlist",1,0)</f>
        <v/>
      </c>
      <c r="CI1238" s="76">
        <f>IF($Z1238="Full Defeasance","Fully Defeased",IF($Z1238="Portion Of Loan Previously Defeased","Partially Defeased",IF($Z1238="Defeasance Not Allowable","Not Defeased (Not Permitted)","Not Defeased")))</f>
        <v/>
      </c>
      <c r="CJ1238" s="78">
        <f>IF($CI1238="Fully Defeased",1,0)</f>
        <v/>
      </c>
      <c r="CK1238" s="76">
        <f>IF($R1238="IO","Full IO",IF(LEFT($R1238&amp;"",7)="IO then","Partial IO","Amortizing"))</f>
        <v/>
      </c>
      <c r="CL1238" s="78">
        <f>IF($CK1238="Full IO",1,0)</f>
        <v/>
      </c>
      <c r="CM1238" s="78">
        <f>IF($CK1238="Partial IO",1,0)</f>
        <v/>
      </c>
      <c r="CN1238" s="76">
        <f>IF(LEFT($F1238&amp;"",10)="SPLIT_LOAN","Pari Passu Split","Standalone")</f>
        <v/>
      </c>
      <c r="CO1238" s="78">
        <f>IF($CN1238="Pari Passu Split",1,0)</f>
        <v/>
      </c>
      <c r="CP1238" s="77">
        <f>IF(ISNUMBER($T1238),YEAR($T1238),"")</f>
        <v/>
      </c>
      <c r="CQ1238" s="79">
        <f>IF(ISNUMBER($V1238),$V1238,IF(ISNUMBER($U1238),$U1238,""))</f>
        <v/>
      </c>
      <c r="CR1238" s="77">
        <f>IF(ISNUMBER($CQ1238),YEAR($CQ1238),"")</f>
        <v/>
      </c>
      <c r="CS1238" s="78">
        <f>IF(ISNUMBER($M1238),MAX(0,$M1238),IF(TRIM($M1238&amp;"")="matured",0,""))</f>
        <v/>
      </c>
      <c r="CT1238" s="78">
        <f>IF(AND(ISNUMBER($CS1238),N($CS1238)&lt;=mMatWindow),1,0)</f>
        <v/>
      </c>
      <c r="CU1238" s="80">
        <f>IF(ISNUMBER($J1238),$J1238/100,"")</f>
        <v/>
      </c>
      <c r="CV1238" s="81">
        <f>IF(ISNUMBER($AQ1238),$AQ1238,"")</f>
        <v/>
      </c>
      <c r="CW1238" s="81">
        <f>IF(ISNUMBER($AR1238),$AR1238,"")</f>
        <v/>
      </c>
      <c r="CX1238" s="82">
        <f>IF(ISNUMBER($AS1238),$AS1238/100,"")</f>
        <v/>
      </c>
      <c r="CY1238" s="82">
        <f>IF(ISNUMBER($AT1238),$AT1238/100,"")</f>
        <v/>
      </c>
      <c r="CZ1238" s="82">
        <f>IF(ISNUMBER($AU1238),$AU1238/100,"")</f>
        <v/>
      </c>
      <c r="DA1238" s="82">
        <f>IF(ISNUMBER($AV1238),$AV1238/100,"")</f>
        <v/>
      </c>
      <c r="DB1238" s="82">
        <f>IF(ISNUMBER($AW1238),$AW1238/100,"")</f>
        <v/>
      </c>
      <c r="DC1238" s="82">
        <f>IF(ISNUMBER($AX1238),$AX1238/100,"")</f>
        <v/>
      </c>
      <c r="DD1238" s="77">
        <f>IFERROR(VALUE(LEFT(TRIM($AO1238&amp;""),4)),"")</f>
        <v/>
      </c>
      <c r="DE1238" s="78">
        <f>IF(AND($BY1238=1,$BX1238=1,OR(fDeal="All Deals",$BU1238=fDeal),OR(fEntity="All Entities",$BV1238=fEntity),OR(fPType="All Property Types",$BZ1238=fPType),OR(fDefeased="Include",$CJ1238=0)),1,0)</f>
        <v/>
      </c>
      <c r="DF1238" s="83">
        <f>$DE1238*N($I1238)</f>
        <v/>
      </c>
      <c r="DG1238" s="78">
        <f>IF($DE1238=1,IF(COUNTIFS($F$8:$F1238,$F1238,$DE$8:$DE1238,1)=1,1,0),0)</f>
        <v/>
      </c>
      <c r="DH1238" s="83">
        <f>IF($DG1238=1,SUMIFS($DF$8:$DF$1600,$F$8:$F$1600,$F1238),0)</f>
        <v/>
      </c>
      <c r="DI1238" s="78">
        <f>IF($DG1238=1,COUNTIFS($F$8:$F$1600,$F1238,$DE$8:$DE$1600,1),0)</f>
        <v/>
      </c>
      <c r="DJ1238" s="84">
        <f>IF($DG1238=1,$DH1238+(100000-ROW())/mTieBreak,0)</f>
        <v/>
      </c>
    </row>
    <row r="1239">
      <c r="B1239" s="68" t="n">
        <v>6</v>
      </c>
      <c r="C1239" s="69" t="inlineStr">
        <is>
          <t>UBS18C12</t>
        </is>
      </c>
      <c r="D1239" s="69" t="inlineStr">
        <is>
          <t>6.TR</t>
        </is>
      </c>
      <c r="E1239" s="69" t="inlineStr">
        <is>
          <t>20 Times Square - Trust</t>
        </is>
      </c>
      <c r="F1239" s="69" t="inlineStr">
        <is>
          <t>SPLIT_LOAN_01274</t>
        </is>
      </c>
      <c r="G1239" s="70" t="n">
        <v>1274</v>
      </c>
      <c r="H1239" s="71" t="n">
        <v>25000000</v>
      </c>
      <c r="I1239" s="71" t="n">
        <v>21582303.42</v>
      </c>
      <c r="J1239" s="72" t="n">
        <v>3.108</v>
      </c>
      <c r="K1239" s="69" t="inlineStr">
        <is>
          <t>Fixed rate</t>
        </is>
      </c>
      <c r="L1239" s="68" t="n">
        <v>96</v>
      </c>
      <c r="M1239" s="68" t="inlineStr">
        <is>
          <t>matured</t>
        </is>
      </c>
      <c r="N1239" s="68" t="n">
        <v>96</v>
      </c>
      <c r="O1239" s="68" t="n">
        <v>96</v>
      </c>
      <c r="P1239" s="68" t="n">
        <v>0</v>
      </c>
      <c r="Q1239" s="68" t="n">
        <v>99</v>
      </c>
      <c r="R1239" s="69" t="inlineStr">
        <is>
          <t>IO</t>
        </is>
      </c>
      <c r="S1239" s="69" t="inlineStr">
        <is>
          <t>Yes</t>
        </is>
      </c>
      <c r="T1239" s="73" t="n">
        <v>43252</v>
      </c>
      <c r="U1239" s="73" t="n">
        <v>46147</v>
      </c>
      <c r="V1239" s="73" t="n"/>
      <c r="W1239" s="69" t="n"/>
      <c r="X1239" s="69" t="inlineStr">
        <is>
          <t>Non-Performing Matured Balloon</t>
        </is>
      </c>
      <c r="Y1239" s="68" t="n"/>
      <c r="Z1239" s="69" t="inlineStr">
        <is>
          <t>No Defeasance Occurred</t>
        </is>
      </c>
      <c r="AA1239" s="69" t="inlineStr">
        <is>
          <t>Previously</t>
        </is>
      </c>
      <c r="AB1239" s="69" t="inlineStr">
        <is>
          <t>Currently special serv</t>
        </is>
      </c>
      <c r="AC1239" s="73" t="n">
        <v>46133</v>
      </c>
      <c r="AD1239" s="69" t="inlineStr">
        <is>
          <t>Imminent Monetary Default (Balloon/Maturity Default)</t>
        </is>
      </c>
      <c r="AE1239" s="69" t="inlineStr">
        <is>
          <t>Other</t>
        </is>
      </c>
      <c r="AF1239" s="69" t="inlineStr">
        <is>
          <t>NY</t>
        </is>
      </c>
      <c r="AG1239" s="69" t="inlineStr">
        <is>
          <t>New York</t>
        </is>
      </c>
      <c r="AH1239" s="69" t="inlineStr">
        <is>
          <t>New York-Newark-Jersey City, NY-NJ</t>
        </is>
      </c>
      <c r="AI1239" s="69" t="inlineStr">
        <is>
          <t>Northeast / Mid-Atlantic</t>
        </is>
      </c>
      <c r="AJ1239" s="69" t="inlineStr">
        <is>
          <t>SP</t>
        </is>
      </c>
      <c r="AK1239" s="69" t="inlineStr">
        <is>
          <t>Leased Fee</t>
        </is>
      </c>
      <c r="AL1239" s="68" t="n">
        <v>1</v>
      </c>
      <c r="AM1239" s="68" t="n"/>
      <c r="AN1239" s="68" t="n">
        <v>16066</v>
      </c>
      <c r="AO1239" s="69" t="n"/>
      <c r="AP1239" s="70" t="n"/>
      <c r="AQ1239" s="74" t="n">
        <v>3.65</v>
      </c>
      <c r="AR1239" s="74" t="n">
        <v>4.06</v>
      </c>
      <c r="AS1239" s="74" t="n">
        <v>16.2</v>
      </c>
      <c r="AT1239" s="74" t="n">
        <v>13.98</v>
      </c>
      <c r="AU1239" s="74" t="n">
        <v>16.2</v>
      </c>
      <c r="AV1239" s="74" t="n">
        <v>11.488164151</v>
      </c>
      <c r="AW1239" s="74" t="n">
        <v>14.834449837</v>
      </c>
      <c r="AX1239" s="75" t="n">
        <v>11</v>
      </c>
      <c r="AY1239" s="71" t="n">
        <v>1636000000</v>
      </c>
      <c r="AZ1239" s="71" t="n">
        <v>1636000000</v>
      </c>
      <c r="BA1239" s="71" t="n">
        <v>30443635</v>
      </c>
      <c r="BB1239" s="71" t="n">
        <v>33937129.33</v>
      </c>
      <c r="BC1239" s="69" t="inlineStr">
        <is>
          <t>Acquisition</t>
        </is>
      </c>
      <c r="BD1239" s="69" t="inlineStr">
        <is>
          <t>N</t>
        </is>
      </c>
      <c r="BE1239" s="71" t="n">
        <v>207190112.83</v>
      </c>
      <c r="BF1239" s="71" t="n">
        <v>418696686.35</v>
      </c>
      <c r="BG1239" s="71" t="n">
        <v>150000000</v>
      </c>
      <c r="BH1239" s="71" t="n">
        <v>0</v>
      </c>
      <c r="BI1239" s="71" t="n">
        <v>57714.97</v>
      </c>
      <c r="BJ1239" s="69" t="inlineStr">
        <is>
          <t>Y</t>
        </is>
      </c>
      <c r="BK1239" s="69" t="inlineStr">
        <is>
          <t>THE HERSHEY COMPANY</t>
        </is>
      </c>
      <c r="BL1239" s="75" t="n">
        <v>52.53</v>
      </c>
      <c r="BM1239" s="73" t="n">
        <v>50130</v>
      </c>
      <c r="BN1239" s="69" t="inlineStr">
        <is>
          <t>Mark Siffin</t>
        </is>
      </c>
      <c r="BO1239" s="69" t="inlineStr">
        <is>
          <t>Natixis</t>
        </is>
      </c>
      <c r="BP1239" s="69" t="inlineStr">
        <is>
          <t>Midland Loan Services</t>
        </is>
      </c>
      <c r="BQ1239" s="69" t="inlineStr">
        <is>
          <t>TriMont Real Estate Advisors</t>
        </is>
      </c>
      <c r="BR1239" s="69" t="inlineStr">
        <is>
          <t>Partial Liquidation (Curtailment)</t>
        </is>
      </c>
      <c r="BS1239" s="73" t="n">
        <v>46276</v>
      </c>
      <c r="BU1239" s="76">
        <f>IF($C1239="","",IFERROR(INDEX(dmName,MATCH($C1239,dmID,0)),"Unmapped"))</f>
        <v/>
      </c>
      <c r="BV1239" s="76">
        <f>IF($C1239="","",IFERROR(INDEX(dmEntity,MATCH($C1239,dmID,0)),"Unmapped"))</f>
        <v/>
      </c>
      <c r="BW1239" s="77">
        <f>IF($C1239="","",IFERROR(INDEX(dmVintage,MATCH($C1239,dmID,0)),""))</f>
        <v/>
      </c>
      <c r="BX1239" s="78">
        <f>IFERROR(INDEX(dmInclude,MATCH($C1239,dmID,0)),0)</f>
        <v/>
      </c>
      <c r="BY1239" s="78">
        <f>IF(N($I1239)&gt;0,1,0)</f>
        <v/>
      </c>
      <c r="BZ1239" s="76">
        <f>IF($AJ1239="","Other / Leased Fee",IFERROR(INDEX(mapPTGroup,MATCH(LEFT(TRIM($AJ1239),2),mapPTCode,0)),"Other / Leased Fee"))</f>
        <v/>
      </c>
      <c r="CA1239" s="76">
        <f>IF(TRIM($AF1239&amp;"")="","NR",LEFT(TRIM($AF1239),2))</f>
        <v/>
      </c>
      <c r="CB1239" s="76">
        <f>IFERROR(LOOKUP(2,1/(LEFT(TRIM($AI1239&amp;""),LEN(mapRegion))=mapRegion),mapRegion),"Not Reported")</f>
        <v/>
      </c>
      <c r="CC1239" s="76">
        <f>IF($BY1239=0,"",IF(TRIM($W1239&amp;"")="REO","REO",IF(TRIM($W1239&amp;"")="FC","Foreclosure",IF(TRIM($W1239&amp;"")="90+","90+ Days Delinquent",IF(TRIM($W1239&amp;"")="60","60 Days Delinquent",IF(TRIM($W1239&amp;"")="30","30 Days Delinquent",IF($X1239="Non-Performing Matured Balloon","Non-Performing Matured Balloon",IF(OR($X1239="Late Payment But Less Than 30 Days Delinquent",LEFT($X1239&amp;"",20)="Payment Not Received"),"Late / In Grace (&lt;30 Days)",IF($X1239="Performing Matured Balloon","Performing Matured Balloon","Current")))))))))</f>
        <v/>
      </c>
      <c r="CD1239" s="78">
        <f>IF(OR($CC1239="REO",$CC1239="Foreclosure",$CC1239="90+ Days Delinquent",$CC1239="60 Days Delinquent",$CC1239="30 Days Delinquent",$CC1239="Non-Performing Matured Balloon"),1,0)</f>
        <v/>
      </c>
      <c r="CE1239" s="76">
        <f>IF($AB1239="Currently special serv","Currently Specially Serviced",IF($AB1239="Returned to master serv","Previously Specially Serviced","Never Specially Serviced"))</f>
        <v/>
      </c>
      <c r="CF1239" s="78">
        <f>IF($CE1239="Currently Specially Serviced",1,0)</f>
        <v/>
      </c>
      <c r="CG1239" s="76">
        <f>IF($AA1239="Yes","Currently on Watchlist",IF($AA1239="Previously","Previously on Watchlist","Never on Watchlist"))</f>
        <v/>
      </c>
      <c r="CH1239" s="78">
        <f>IF($CG1239="Currently on Watchlist",1,0)</f>
        <v/>
      </c>
      <c r="CI1239" s="76">
        <f>IF($Z1239="Full Defeasance","Fully Defeased",IF($Z1239="Portion Of Loan Previously Defeased","Partially Defeased",IF($Z1239="Defeasance Not Allowable","Not Defeased (Not Permitted)","Not Defeased")))</f>
        <v/>
      </c>
      <c r="CJ1239" s="78">
        <f>IF($CI1239="Fully Defeased",1,0)</f>
        <v/>
      </c>
      <c r="CK1239" s="76">
        <f>IF($R1239="IO","Full IO",IF(LEFT($R1239&amp;"",7)="IO then","Partial IO","Amortizing"))</f>
        <v/>
      </c>
      <c r="CL1239" s="78">
        <f>IF($CK1239="Full IO",1,0)</f>
        <v/>
      </c>
      <c r="CM1239" s="78">
        <f>IF($CK1239="Partial IO",1,0)</f>
        <v/>
      </c>
      <c r="CN1239" s="76">
        <f>IF(LEFT($F1239&amp;"",10)="SPLIT_LOAN","Pari Passu Split","Standalone")</f>
        <v/>
      </c>
      <c r="CO1239" s="78">
        <f>IF($CN1239="Pari Passu Split",1,0)</f>
        <v/>
      </c>
      <c r="CP1239" s="77">
        <f>IF(ISNUMBER($T1239),YEAR($T1239),"")</f>
        <v/>
      </c>
      <c r="CQ1239" s="79">
        <f>IF(ISNUMBER($V1239),$V1239,IF(ISNUMBER($U1239),$U1239,""))</f>
        <v/>
      </c>
      <c r="CR1239" s="77">
        <f>IF(ISNUMBER($CQ1239),YEAR($CQ1239),"")</f>
        <v/>
      </c>
      <c r="CS1239" s="78">
        <f>IF(ISNUMBER($M1239),MAX(0,$M1239),IF(TRIM($M1239&amp;"")="matured",0,""))</f>
        <v/>
      </c>
      <c r="CT1239" s="78">
        <f>IF(AND(ISNUMBER($CS1239),N($CS1239)&lt;=mMatWindow),1,0)</f>
        <v/>
      </c>
      <c r="CU1239" s="80">
        <f>IF(ISNUMBER($J1239),$J1239/100,"")</f>
        <v/>
      </c>
      <c r="CV1239" s="81">
        <f>IF(ISNUMBER($AQ1239),$AQ1239,"")</f>
        <v/>
      </c>
      <c r="CW1239" s="81">
        <f>IF(ISNUMBER($AR1239),$AR1239,"")</f>
        <v/>
      </c>
      <c r="CX1239" s="82">
        <f>IF(ISNUMBER($AS1239),$AS1239/100,"")</f>
        <v/>
      </c>
      <c r="CY1239" s="82">
        <f>IF(ISNUMBER($AT1239),$AT1239/100,"")</f>
        <v/>
      </c>
      <c r="CZ1239" s="82">
        <f>IF(ISNUMBER($AU1239),$AU1239/100,"")</f>
        <v/>
      </c>
      <c r="DA1239" s="82">
        <f>IF(ISNUMBER($AV1239),$AV1239/100,"")</f>
        <v/>
      </c>
      <c r="DB1239" s="82">
        <f>IF(ISNUMBER($AW1239),$AW1239/100,"")</f>
        <v/>
      </c>
      <c r="DC1239" s="82">
        <f>IF(ISNUMBER($AX1239),$AX1239/100,"")</f>
        <v/>
      </c>
      <c r="DD1239" s="77">
        <f>IFERROR(VALUE(LEFT(TRIM($AO1239&amp;""),4)),"")</f>
        <v/>
      </c>
      <c r="DE1239" s="78">
        <f>IF(AND($BY1239=1,$BX1239=1,OR(fDeal="All Deals",$BU1239=fDeal),OR(fEntity="All Entities",$BV1239=fEntity),OR(fPType="All Property Types",$BZ1239=fPType),OR(fDefeased="Include",$CJ1239=0)),1,0)</f>
        <v/>
      </c>
      <c r="DF1239" s="83">
        <f>$DE1239*N($I1239)</f>
        <v/>
      </c>
      <c r="DG1239" s="78">
        <f>IF($DE1239=1,IF(COUNTIFS($F$8:$F1239,$F1239,$DE$8:$DE1239,1)=1,1,0),0)</f>
        <v/>
      </c>
      <c r="DH1239" s="83">
        <f>IF($DG1239=1,SUMIFS($DF$8:$DF$1600,$F$8:$F$1600,$F1239),0)</f>
        <v/>
      </c>
      <c r="DI1239" s="78">
        <f>IF($DG1239=1,COUNTIFS($F$8:$F$1600,$F1239,$DE$8:$DE$1600,1),0)</f>
        <v/>
      </c>
      <c r="DJ1239" s="84">
        <f>IF($DG1239=1,$DH1239+(100000-ROW())/mTieBreak,0)</f>
        <v/>
      </c>
    </row>
    <row r="1240">
      <c r="B1240" s="68" t="n">
        <v>7</v>
      </c>
      <c r="C1240" s="69" t="inlineStr">
        <is>
          <t>UBS18C12</t>
        </is>
      </c>
      <c r="D1240" s="69" t="inlineStr">
        <is>
          <t>7.000</t>
        </is>
      </c>
      <c r="E1240" s="69" t="inlineStr">
        <is>
          <t>Savi Ranch Center</t>
        </is>
      </c>
      <c r="F1240" s="69" t="inlineStr">
        <is>
          <t>LNUBS18C12-7.000</t>
        </is>
      </c>
      <c r="G1240" s="70" t="n"/>
      <c r="H1240" s="71" t="n">
        <v>24750000</v>
      </c>
      <c r="I1240" s="71" t="n">
        <v>22309032.7899945</v>
      </c>
      <c r="J1240" s="72" t="n">
        <v>5.0085</v>
      </c>
      <c r="K1240" s="69" t="inlineStr">
        <is>
          <t>Fixed rate</t>
        </is>
      </c>
      <c r="L1240" s="68" t="n">
        <v>120</v>
      </c>
      <c r="M1240" s="68" t="n">
        <v>22</v>
      </c>
      <c r="N1240" s="68" t="n">
        <v>384</v>
      </c>
      <c r="O1240" s="68" t="n">
        <v>24</v>
      </c>
      <c r="P1240" s="68" t="n">
        <v>0</v>
      </c>
      <c r="Q1240" s="68" t="n">
        <v>98</v>
      </c>
      <c r="R1240" s="69" t="inlineStr">
        <is>
          <t>IO then Amort</t>
        </is>
      </c>
      <c r="S1240" s="69" t="inlineStr">
        <is>
          <t>No</t>
        </is>
      </c>
      <c r="T1240" s="73" t="n">
        <v>43282</v>
      </c>
      <c r="U1240" s="73" t="n">
        <v>46940</v>
      </c>
      <c r="V1240" s="73" t="n"/>
      <c r="W1240" s="69" t="n"/>
      <c r="X1240" s="69" t="inlineStr">
        <is>
          <t>Current</t>
        </is>
      </c>
      <c r="Y1240" s="68" t="n"/>
      <c r="Z1240" s="69" t="inlineStr">
        <is>
          <t>Defeasance Not Allowable</t>
        </is>
      </c>
      <c r="AA1240" s="69" t="inlineStr">
        <is>
          <t>Yes</t>
        </is>
      </c>
      <c r="AB1240" s="69" t="inlineStr">
        <is>
          <t>Never special serv</t>
        </is>
      </c>
      <c r="AC1240" s="73" t="n"/>
      <c r="AD1240" s="69" t="n"/>
      <c r="AE1240" s="69" t="n"/>
      <c r="AF1240" s="69" t="inlineStr">
        <is>
          <t>CA</t>
        </is>
      </c>
      <c r="AG1240" s="69" t="inlineStr">
        <is>
          <t>Yorba Linda</t>
        </is>
      </c>
      <c r="AH1240" s="69" t="inlineStr">
        <is>
          <t>Los Angeles-Long Beach-Anaheim, CA</t>
        </is>
      </c>
      <c r="AI1240" s="69" t="inlineStr">
        <is>
          <t>West / Pacific South</t>
        </is>
      </c>
      <c r="AJ1240" s="69" t="inlineStr">
        <is>
          <t>RT</t>
        </is>
      </c>
      <c r="AK1240" s="69" t="inlineStr">
        <is>
          <t>Anchored</t>
        </is>
      </c>
      <c r="AL1240" s="68" t="n">
        <v>1</v>
      </c>
      <c r="AM1240" s="68" t="n"/>
      <c r="AN1240" s="68" t="n">
        <v>160773</v>
      </c>
      <c r="AO1240" s="69" t="inlineStr">
        <is>
          <t>1997-1999</t>
        </is>
      </c>
      <c r="AP1240" s="70" t="n">
        <v>1999</v>
      </c>
      <c r="AQ1240" s="74" t="n">
        <v>1.89</v>
      </c>
      <c r="AR1240" s="74" t="n">
        <v>1.38</v>
      </c>
      <c r="AS1240" s="74" t="n">
        <v>71.7</v>
      </c>
      <c r="AT1240" s="74" t="n">
        <v>64.66</v>
      </c>
      <c r="AU1240" s="74" t="n">
        <v>62.1</v>
      </c>
      <c r="AV1240" s="74" t="n">
        <v>9.574753455</v>
      </c>
      <c r="AW1240" s="74" t="n">
        <v>9.871527514</v>
      </c>
      <c r="AX1240" s="75" t="n">
        <v>100</v>
      </c>
      <c r="AY1240" s="71" t="n">
        <v>34500000</v>
      </c>
      <c r="AZ1240" s="71" t="n">
        <v>34500000</v>
      </c>
      <c r="BA1240" s="71" t="n">
        <v>2369751.48</v>
      </c>
      <c r="BB1240" s="71" t="n">
        <v>549913.76</v>
      </c>
      <c r="BC1240" s="69" t="inlineStr">
        <is>
          <t>Acquisition</t>
        </is>
      </c>
      <c r="BD1240" s="69" t="inlineStr">
        <is>
          <t>N</t>
        </is>
      </c>
      <c r="BE1240" s="71" t="n"/>
      <c r="BF1240" s="71" t="n"/>
      <c r="BG1240" s="71" t="n"/>
      <c r="BH1240" s="71" t="n">
        <v>0</v>
      </c>
      <c r="BI1240" s="71" t="n">
        <v>0</v>
      </c>
      <c r="BJ1240" s="69" t="inlineStr">
        <is>
          <t>Y</t>
        </is>
      </c>
      <c r="BK1240" s="69" t="inlineStr">
        <is>
          <t>Dick's Clothing and Sporting Goods</t>
        </is>
      </c>
      <c r="BL1240" s="75" t="n">
        <v>31.1</v>
      </c>
      <c r="BM1240" s="73" t="n">
        <v>46568</v>
      </c>
      <c r="BN1240" s="69" t="inlineStr">
        <is>
          <t>Bac Dai Tran; Oanh Kim Tran</t>
        </is>
      </c>
      <c r="BO1240" s="69" t="inlineStr">
        <is>
          <t>UBS</t>
        </is>
      </c>
      <c r="BP1240" s="69" t="inlineStr">
        <is>
          <t>Midland Loan Services</t>
        </is>
      </c>
      <c r="BQ1240" s="69" t="inlineStr">
        <is>
          <t>K-Star Asset Management LLC</t>
        </is>
      </c>
      <c r="BR1240" s="69" t="n"/>
      <c r="BS1240" s="73" t="n">
        <v>46276</v>
      </c>
      <c r="BU1240" s="76">
        <f>IF($C1240="","",IFERROR(INDEX(dmName,MATCH($C1240,dmID,0)),"Unmapped"))</f>
        <v/>
      </c>
      <c r="BV1240" s="76">
        <f>IF($C1240="","",IFERROR(INDEX(dmEntity,MATCH($C1240,dmID,0)),"Unmapped"))</f>
        <v/>
      </c>
      <c r="BW1240" s="77">
        <f>IF($C1240="","",IFERROR(INDEX(dmVintage,MATCH($C1240,dmID,0)),""))</f>
        <v/>
      </c>
      <c r="BX1240" s="78">
        <f>IFERROR(INDEX(dmInclude,MATCH($C1240,dmID,0)),0)</f>
        <v/>
      </c>
      <c r="BY1240" s="78">
        <f>IF(N($I1240)&gt;0,1,0)</f>
        <v/>
      </c>
      <c r="BZ1240" s="76">
        <f>IF($AJ1240="","Other / Leased Fee",IFERROR(INDEX(mapPTGroup,MATCH(LEFT(TRIM($AJ1240),2),mapPTCode,0)),"Other / Leased Fee"))</f>
        <v/>
      </c>
      <c r="CA1240" s="76">
        <f>IF(TRIM($AF1240&amp;"")="","NR",LEFT(TRIM($AF1240),2))</f>
        <v/>
      </c>
      <c r="CB1240" s="76">
        <f>IFERROR(LOOKUP(2,1/(LEFT(TRIM($AI1240&amp;""),LEN(mapRegion))=mapRegion),mapRegion),"Not Reported")</f>
        <v/>
      </c>
      <c r="CC1240" s="76">
        <f>IF($BY1240=0,"",IF(TRIM($W1240&amp;"")="REO","REO",IF(TRIM($W1240&amp;"")="FC","Foreclosure",IF(TRIM($W1240&amp;"")="90+","90+ Days Delinquent",IF(TRIM($W1240&amp;"")="60","60 Days Delinquent",IF(TRIM($W1240&amp;"")="30","30 Days Delinquent",IF($X1240="Non-Performing Matured Balloon","Non-Performing Matured Balloon",IF(OR($X1240="Late Payment But Less Than 30 Days Delinquent",LEFT($X1240&amp;"",20)="Payment Not Received"),"Late / In Grace (&lt;30 Days)",IF($X1240="Performing Matured Balloon","Performing Matured Balloon","Current")))))))))</f>
        <v/>
      </c>
      <c r="CD1240" s="78">
        <f>IF(OR($CC1240="REO",$CC1240="Foreclosure",$CC1240="90+ Days Delinquent",$CC1240="60 Days Delinquent",$CC1240="30 Days Delinquent",$CC1240="Non-Performing Matured Balloon"),1,0)</f>
        <v/>
      </c>
      <c r="CE1240" s="76">
        <f>IF($AB1240="Currently special serv","Currently Specially Serviced",IF($AB1240="Returned to master serv","Previously Specially Serviced","Never Specially Serviced"))</f>
        <v/>
      </c>
      <c r="CF1240" s="78">
        <f>IF($CE1240="Currently Specially Serviced",1,0)</f>
        <v/>
      </c>
      <c r="CG1240" s="76">
        <f>IF($AA1240="Yes","Currently on Watchlist",IF($AA1240="Previously","Previously on Watchlist","Never on Watchlist"))</f>
        <v/>
      </c>
      <c r="CH1240" s="78">
        <f>IF($CG1240="Currently on Watchlist",1,0)</f>
        <v/>
      </c>
      <c r="CI1240" s="76">
        <f>IF($Z1240="Full Defeasance","Fully Defeased",IF($Z1240="Portion Of Loan Previously Defeased","Partially Defeased",IF($Z1240="Defeasance Not Allowable","Not Defeased (Not Permitted)","Not Defeased")))</f>
        <v/>
      </c>
      <c r="CJ1240" s="78">
        <f>IF($CI1240="Fully Defeased",1,0)</f>
        <v/>
      </c>
      <c r="CK1240" s="76">
        <f>IF($R1240="IO","Full IO",IF(LEFT($R1240&amp;"",7)="IO then","Partial IO","Amortizing"))</f>
        <v/>
      </c>
      <c r="CL1240" s="78">
        <f>IF($CK1240="Full IO",1,0)</f>
        <v/>
      </c>
      <c r="CM1240" s="78">
        <f>IF($CK1240="Partial IO",1,0)</f>
        <v/>
      </c>
      <c r="CN1240" s="76">
        <f>IF(LEFT($F1240&amp;"",10)="SPLIT_LOAN","Pari Passu Split","Standalone")</f>
        <v/>
      </c>
      <c r="CO1240" s="78">
        <f>IF($CN1240="Pari Passu Split",1,0)</f>
        <v/>
      </c>
      <c r="CP1240" s="77">
        <f>IF(ISNUMBER($T1240),YEAR($T1240),"")</f>
        <v/>
      </c>
      <c r="CQ1240" s="79">
        <f>IF(ISNUMBER($V1240),$V1240,IF(ISNUMBER($U1240),$U1240,""))</f>
        <v/>
      </c>
      <c r="CR1240" s="77">
        <f>IF(ISNUMBER($CQ1240),YEAR($CQ1240),"")</f>
        <v/>
      </c>
      <c r="CS1240" s="78">
        <f>IF(ISNUMBER($M1240),MAX(0,$M1240),IF(TRIM($M1240&amp;"")="matured",0,""))</f>
        <v/>
      </c>
      <c r="CT1240" s="78">
        <f>IF(AND(ISNUMBER($CS1240),N($CS1240)&lt;=mMatWindow),1,0)</f>
        <v/>
      </c>
      <c r="CU1240" s="80">
        <f>IF(ISNUMBER($J1240),$J1240/100,"")</f>
        <v/>
      </c>
      <c r="CV1240" s="81">
        <f>IF(ISNUMBER($AQ1240),$AQ1240,"")</f>
        <v/>
      </c>
      <c r="CW1240" s="81">
        <f>IF(ISNUMBER($AR1240),$AR1240,"")</f>
        <v/>
      </c>
      <c r="CX1240" s="82">
        <f>IF(ISNUMBER($AS1240),$AS1240/100,"")</f>
        <v/>
      </c>
      <c r="CY1240" s="82">
        <f>IF(ISNUMBER($AT1240),$AT1240/100,"")</f>
        <v/>
      </c>
      <c r="CZ1240" s="82">
        <f>IF(ISNUMBER($AU1240),$AU1240/100,"")</f>
        <v/>
      </c>
      <c r="DA1240" s="82">
        <f>IF(ISNUMBER($AV1240),$AV1240/100,"")</f>
        <v/>
      </c>
      <c r="DB1240" s="82">
        <f>IF(ISNUMBER($AW1240),$AW1240/100,"")</f>
        <v/>
      </c>
      <c r="DC1240" s="82">
        <f>IF(ISNUMBER($AX1240),$AX1240/100,"")</f>
        <v/>
      </c>
      <c r="DD1240" s="77">
        <f>IFERROR(VALUE(LEFT(TRIM($AO1240&amp;""),4)),"")</f>
        <v/>
      </c>
      <c r="DE1240" s="78">
        <f>IF(AND($BY1240=1,$BX1240=1,OR(fDeal="All Deals",$BU1240=fDeal),OR(fEntity="All Entities",$BV1240=fEntity),OR(fPType="All Property Types",$BZ1240=fPType),OR(fDefeased="Include",$CJ1240=0)),1,0)</f>
        <v/>
      </c>
      <c r="DF1240" s="83">
        <f>$DE1240*N($I1240)</f>
        <v/>
      </c>
      <c r="DG1240" s="78">
        <f>IF($DE1240=1,IF(COUNTIFS($F$8:$F1240,$F1240,$DE$8:$DE1240,1)=1,1,0),0)</f>
        <v/>
      </c>
      <c r="DH1240" s="83">
        <f>IF($DG1240=1,SUMIFS($DF$8:$DF$1600,$F$8:$F$1600,$F1240),0)</f>
        <v/>
      </c>
      <c r="DI1240" s="78">
        <f>IF($DG1240=1,COUNTIFS($F$8:$F$1600,$F1240,$DE$8:$DE$1600,1),0)</f>
        <v/>
      </c>
      <c r="DJ1240" s="84">
        <f>IF($DG1240=1,$DH1240+(100000-ROW())/mTieBreak,0)</f>
        <v/>
      </c>
    </row>
    <row r="1241">
      <c r="B1241" s="68" t="n">
        <v>8</v>
      </c>
      <c r="C1241" s="69" t="inlineStr">
        <is>
          <t>UBS18C12</t>
        </is>
      </c>
      <c r="D1241" s="69" t="inlineStr">
        <is>
          <t>8.000</t>
        </is>
      </c>
      <c r="E1241" s="69" t="inlineStr">
        <is>
          <t>Spotsylvania Crossing</t>
        </is>
      </c>
      <c r="F1241" s="69" t="inlineStr">
        <is>
          <t>LNUBS18C12-8.000</t>
        </is>
      </c>
      <c r="G1241" s="70" t="n"/>
      <c r="H1241" s="71" t="n">
        <v>22500000</v>
      </c>
      <c r="I1241" s="71" t="n">
        <v>19421478.71001</v>
      </c>
      <c r="J1241" s="72" t="n">
        <v>5.0505</v>
      </c>
      <c r="K1241" s="69" t="inlineStr">
        <is>
          <t>Fixed rate</t>
        </is>
      </c>
      <c r="L1241" s="68" t="n">
        <v>120</v>
      </c>
      <c r="M1241" s="68" t="n">
        <v>22</v>
      </c>
      <c r="N1241" s="68" t="n">
        <v>360</v>
      </c>
      <c r="O1241" s="68" t="n"/>
      <c r="P1241" s="68" t="n"/>
      <c r="Q1241" s="68" t="n">
        <v>98</v>
      </c>
      <c r="R1241" s="69" t="n"/>
      <c r="S1241" s="69" t="inlineStr">
        <is>
          <t>No</t>
        </is>
      </c>
      <c r="T1241" s="73" t="n">
        <v>43282</v>
      </c>
      <c r="U1241" s="73" t="n">
        <v>46940</v>
      </c>
      <c r="V1241" s="73" t="n"/>
      <c r="W1241" s="69" t="n"/>
      <c r="X1241" s="69" t="inlineStr">
        <is>
          <t>Current</t>
        </is>
      </c>
      <c r="Y1241" s="68" t="n"/>
      <c r="Z1241" s="69" t="inlineStr">
        <is>
          <t>Full Defeasance</t>
        </is>
      </c>
      <c r="AA1241" s="69" t="inlineStr">
        <is>
          <t>Previously</t>
        </is>
      </c>
      <c r="AB1241" s="69" t="inlineStr">
        <is>
          <t>Never special serv</t>
        </is>
      </c>
      <c r="AC1241" s="73" t="n"/>
      <c r="AD1241" s="69" t="n"/>
      <c r="AE1241" s="69" t="n"/>
      <c r="AF1241" s="69" t="inlineStr">
        <is>
          <t>VA</t>
        </is>
      </c>
      <c r="AG1241" s="69" t="inlineStr">
        <is>
          <t>Fredericksburg</t>
        </is>
      </c>
      <c r="AH1241" s="69" t="inlineStr">
        <is>
          <t>Washington-Arlington-Alexandria, DC-VA-MD-WV</t>
        </is>
      </c>
      <c r="AI1241" s="69" t="inlineStr">
        <is>
          <t>South / Atlantic</t>
        </is>
      </c>
      <c r="AJ1241" s="69" t="inlineStr">
        <is>
          <t>RT</t>
        </is>
      </c>
      <c r="AK1241" s="69" t="inlineStr">
        <is>
          <t>Anchored</t>
        </is>
      </c>
      <c r="AL1241" s="68" t="n">
        <v>1</v>
      </c>
      <c r="AM1241" s="68" t="n"/>
      <c r="AN1241" s="68" t="n">
        <v>256757</v>
      </c>
      <c r="AO1241" s="69" t="inlineStr">
        <is>
          <t>1987-1988</t>
        </is>
      </c>
      <c r="AP1241" s="70" t="n">
        <v>2014</v>
      </c>
      <c r="AQ1241" s="74" t="n">
        <v>1.43</v>
      </c>
      <c r="AR1241" s="74" t="n">
        <v>1.54</v>
      </c>
      <c r="AS1241" s="74" t="n">
        <v>66.90000000000001</v>
      </c>
      <c r="AT1241" s="74" t="n">
        <v>57.8</v>
      </c>
      <c r="AU1241" s="74" t="n">
        <v>55.2</v>
      </c>
      <c r="AV1241" s="74" t="n">
        <v>9.282039643999999</v>
      </c>
      <c r="AW1241" s="74" t="n">
        <v>11.547078384</v>
      </c>
      <c r="AX1241" s="75" t="n">
        <v>97</v>
      </c>
      <c r="AY1241" s="71" t="n">
        <v>33600000</v>
      </c>
      <c r="AZ1241" s="71" t="n">
        <v>33600000</v>
      </c>
      <c r="BA1241" s="71" t="n">
        <v>2088458.92</v>
      </c>
      <c r="BB1241" s="71" t="n">
        <v>2242613.37</v>
      </c>
      <c r="BC1241" s="69" t="inlineStr">
        <is>
          <t>Acquisition</t>
        </is>
      </c>
      <c r="BD1241" s="69" t="inlineStr">
        <is>
          <t>N</t>
        </is>
      </c>
      <c r="BE1241" s="71" t="n"/>
      <c r="BF1241" s="71" t="n"/>
      <c r="BG1241" s="71" t="n"/>
      <c r="BH1241" s="71" t="n">
        <v>0</v>
      </c>
      <c r="BI1241" s="71" t="n">
        <v>0</v>
      </c>
      <c r="BJ1241" s="69" t="inlineStr">
        <is>
          <t>N</t>
        </is>
      </c>
      <c r="BK1241" s="69" t="inlineStr">
        <is>
          <t>At Home Store#171</t>
        </is>
      </c>
      <c r="BL1241" s="75" t="n">
        <v>34.84</v>
      </c>
      <c r="BM1241" s="73" t="n">
        <v>48457</v>
      </c>
      <c r="BN1241" s="69" t="inlineStr">
        <is>
          <t>Robert P. Chesson</t>
        </is>
      </c>
      <c r="BO1241" s="69" t="inlineStr">
        <is>
          <t>UBS</t>
        </is>
      </c>
      <c r="BP1241" s="69" t="inlineStr">
        <is>
          <t>Midland Loan Services</t>
        </is>
      </c>
      <c r="BQ1241" s="69" t="inlineStr">
        <is>
          <t>K-Star Asset Management LLC</t>
        </is>
      </c>
      <c r="BR1241" s="69" t="n"/>
      <c r="BS1241" s="73" t="n">
        <v>46276</v>
      </c>
      <c r="BU1241" s="76">
        <f>IF($C1241="","",IFERROR(INDEX(dmName,MATCH($C1241,dmID,0)),"Unmapped"))</f>
        <v/>
      </c>
      <c r="BV1241" s="76">
        <f>IF($C1241="","",IFERROR(INDEX(dmEntity,MATCH($C1241,dmID,0)),"Unmapped"))</f>
        <v/>
      </c>
      <c r="BW1241" s="77">
        <f>IF($C1241="","",IFERROR(INDEX(dmVintage,MATCH($C1241,dmID,0)),""))</f>
        <v/>
      </c>
      <c r="BX1241" s="78">
        <f>IFERROR(INDEX(dmInclude,MATCH($C1241,dmID,0)),0)</f>
        <v/>
      </c>
      <c r="BY1241" s="78">
        <f>IF(N($I1241)&gt;0,1,0)</f>
        <v/>
      </c>
      <c r="BZ1241" s="76">
        <f>IF($AJ1241="","Other / Leased Fee",IFERROR(INDEX(mapPTGroup,MATCH(LEFT(TRIM($AJ1241),2),mapPTCode,0)),"Other / Leased Fee"))</f>
        <v/>
      </c>
      <c r="CA1241" s="76">
        <f>IF(TRIM($AF1241&amp;"")="","NR",LEFT(TRIM($AF1241),2))</f>
        <v/>
      </c>
      <c r="CB1241" s="76">
        <f>IFERROR(LOOKUP(2,1/(LEFT(TRIM($AI1241&amp;""),LEN(mapRegion))=mapRegion),mapRegion),"Not Reported")</f>
        <v/>
      </c>
      <c r="CC1241" s="76">
        <f>IF($BY1241=0,"",IF(TRIM($W1241&amp;"")="REO","REO",IF(TRIM($W1241&amp;"")="FC","Foreclosure",IF(TRIM($W1241&amp;"")="90+","90+ Days Delinquent",IF(TRIM($W1241&amp;"")="60","60 Days Delinquent",IF(TRIM($W1241&amp;"")="30","30 Days Delinquent",IF($X1241="Non-Performing Matured Balloon","Non-Performing Matured Balloon",IF(OR($X1241="Late Payment But Less Than 30 Days Delinquent",LEFT($X1241&amp;"",20)="Payment Not Received"),"Late / In Grace (&lt;30 Days)",IF($X1241="Performing Matured Balloon","Performing Matured Balloon","Current")))))))))</f>
        <v/>
      </c>
      <c r="CD1241" s="78">
        <f>IF(OR($CC1241="REO",$CC1241="Foreclosure",$CC1241="90+ Days Delinquent",$CC1241="60 Days Delinquent",$CC1241="30 Days Delinquent",$CC1241="Non-Performing Matured Balloon"),1,0)</f>
        <v/>
      </c>
      <c r="CE1241" s="76">
        <f>IF($AB1241="Currently special serv","Currently Specially Serviced",IF($AB1241="Returned to master serv","Previously Specially Serviced","Never Specially Serviced"))</f>
        <v/>
      </c>
      <c r="CF1241" s="78">
        <f>IF($CE1241="Currently Specially Serviced",1,0)</f>
        <v/>
      </c>
      <c r="CG1241" s="76">
        <f>IF($AA1241="Yes","Currently on Watchlist",IF($AA1241="Previously","Previously on Watchlist","Never on Watchlist"))</f>
        <v/>
      </c>
      <c r="CH1241" s="78">
        <f>IF($CG1241="Currently on Watchlist",1,0)</f>
        <v/>
      </c>
      <c r="CI1241" s="76">
        <f>IF($Z1241="Full Defeasance","Fully Defeased",IF($Z1241="Portion Of Loan Previously Defeased","Partially Defeased",IF($Z1241="Defeasance Not Allowable","Not Defeased (Not Permitted)","Not Defeased")))</f>
        <v/>
      </c>
      <c r="CJ1241" s="78">
        <f>IF($CI1241="Fully Defeased",1,0)</f>
        <v/>
      </c>
      <c r="CK1241" s="76">
        <f>IF($R1241="IO","Full IO",IF(LEFT($R1241&amp;"",7)="IO then","Partial IO","Amortizing"))</f>
        <v/>
      </c>
      <c r="CL1241" s="78">
        <f>IF($CK1241="Full IO",1,0)</f>
        <v/>
      </c>
      <c r="CM1241" s="78">
        <f>IF($CK1241="Partial IO",1,0)</f>
        <v/>
      </c>
      <c r="CN1241" s="76">
        <f>IF(LEFT($F1241&amp;"",10)="SPLIT_LOAN","Pari Passu Split","Standalone")</f>
        <v/>
      </c>
      <c r="CO1241" s="78">
        <f>IF($CN1241="Pari Passu Split",1,0)</f>
        <v/>
      </c>
      <c r="CP1241" s="77">
        <f>IF(ISNUMBER($T1241),YEAR($T1241),"")</f>
        <v/>
      </c>
      <c r="CQ1241" s="79">
        <f>IF(ISNUMBER($V1241),$V1241,IF(ISNUMBER($U1241),$U1241,""))</f>
        <v/>
      </c>
      <c r="CR1241" s="77">
        <f>IF(ISNUMBER($CQ1241),YEAR($CQ1241),"")</f>
        <v/>
      </c>
      <c r="CS1241" s="78">
        <f>IF(ISNUMBER($M1241),MAX(0,$M1241),IF(TRIM($M1241&amp;"")="matured",0,""))</f>
        <v/>
      </c>
      <c r="CT1241" s="78">
        <f>IF(AND(ISNUMBER($CS1241),N($CS1241)&lt;=mMatWindow),1,0)</f>
        <v/>
      </c>
      <c r="CU1241" s="80">
        <f>IF(ISNUMBER($J1241),$J1241/100,"")</f>
        <v/>
      </c>
      <c r="CV1241" s="81">
        <f>IF(ISNUMBER($AQ1241),$AQ1241,"")</f>
        <v/>
      </c>
      <c r="CW1241" s="81">
        <f>IF(ISNUMBER($AR1241),$AR1241,"")</f>
        <v/>
      </c>
      <c r="CX1241" s="82">
        <f>IF(ISNUMBER($AS1241),$AS1241/100,"")</f>
        <v/>
      </c>
      <c r="CY1241" s="82">
        <f>IF(ISNUMBER($AT1241),$AT1241/100,"")</f>
        <v/>
      </c>
      <c r="CZ1241" s="82">
        <f>IF(ISNUMBER($AU1241),$AU1241/100,"")</f>
        <v/>
      </c>
      <c r="DA1241" s="82">
        <f>IF(ISNUMBER($AV1241),$AV1241/100,"")</f>
        <v/>
      </c>
      <c r="DB1241" s="82">
        <f>IF(ISNUMBER($AW1241),$AW1241/100,"")</f>
        <v/>
      </c>
      <c r="DC1241" s="82">
        <f>IF(ISNUMBER($AX1241),$AX1241/100,"")</f>
        <v/>
      </c>
      <c r="DD1241" s="77">
        <f>IFERROR(VALUE(LEFT(TRIM($AO1241&amp;""),4)),"")</f>
        <v/>
      </c>
      <c r="DE1241" s="78">
        <f>IF(AND($BY1241=1,$BX1241=1,OR(fDeal="All Deals",$BU1241=fDeal),OR(fEntity="All Entities",$BV1241=fEntity),OR(fPType="All Property Types",$BZ1241=fPType),OR(fDefeased="Include",$CJ1241=0)),1,0)</f>
        <v/>
      </c>
      <c r="DF1241" s="83">
        <f>$DE1241*N($I1241)</f>
        <v/>
      </c>
      <c r="DG1241" s="78">
        <f>IF($DE1241=1,IF(COUNTIFS($F$8:$F1241,$F1241,$DE$8:$DE1241,1)=1,1,0),0)</f>
        <v/>
      </c>
      <c r="DH1241" s="83">
        <f>IF($DG1241=1,SUMIFS($DF$8:$DF$1600,$F$8:$F$1600,$F1241),0)</f>
        <v/>
      </c>
      <c r="DI1241" s="78">
        <f>IF($DG1241=1,COUNTIFS($F$8:$F$1600,$F1241,$DE$8:$DE$1600,1),0)</f>
        <v/>
      </c>
      <c r="DJ1241" s="84">
        <f>IF($DG1241=1,$DH1241+(100000-ROW())/mTieBreak,0)</f>
        <v/>
      </c>
    </row>
    <row r="1242">
      <c r="B1242" s="68" t="n">
        <v>9</v>
      </c>
      <c r="C1242" s="69" t="inlineStr">
        <is>
          <t>UBS18C12</t>
        </is>
      </c>
      <c r="D1242" s="69" t="inlineStr">
        <is>
          <t>9.000</t>
        </is>
      </c>
      <c r="E1242" s="69" t="inlineStr">
        <is>
          <t>Copeland Tower &amp; Stadium Place</t>
        </is>
      </c>
      <c r="F1242" s="69" t="inlineStr">
        <is>
          <t>LNUBS18C12-9.000</t>
        </is>
      </c>
      <c r="G1242" s="70" t="n"/>
      <c r="H1242" s="71" t="n">
        <v>19900000</v>
      </c>
      <c r="I1242" s="71" t="n">
        <v>18661760.6499915</v>
      </c>
      <c r="J1242" s="72" t="n">
        <v>4.97</v>
      </c>
      <c r="K1242" s="69" t="inlineStr">
        <is>
          <t>Fixed rate</t>
        </is>
      </c>
      <c r="L1242" s="68" t="n">
        <v>120</v>
      </c>
      <c r="M1242" s="68" t="n">
        <v>22</v>
      </c>
      <c r="N1242" s="68" t="n">
        <v>384</v>
      </c>
      <c r="O1242" s="68" t="n">
        <v>24</v>
      </c>
      <c r="P1242" s="68" t="n">
        <v>0</v>
      </c>
      <c r="Q1242" s="68" t="n">
        <v>98</v>
      </c>
      <c r="R1242" s="69" t="inlineStr">
        <is>
          <t>IO then Amort</t>
        </is>
      </c>
      <c r="S1242" s="69" t="inlineStr">
        <is>
          <t>No</t>
        </is>
      </c>
      <c r="T1242" s="73" t="n">
        <v>43282</v>
      </c>
      <c r="U1242" s="73" t="n">
        <v>46935</v>
      </c>
      <c r="V1242" s="73" t="n"/>
      <c r="W1242" s="69" t="inlineStr">
        <is>
          <t>REO</t>
        </is>
      </c>
      <c r="X1242" s="69" t="inlineStr">
        <is>
          <t>121+ Days Delinquent</t>
        </is>
      </c>
      <c r="Y1242" s="68" t="n">
        <v>50</v>
      </c>
      <c r="Z1242" s="69" t="inlineStr">
        <is>
          <t>No Defeasance Occurred</t>
        </is>
      </c>
      <c r="AA1242" s="69" t="inlineStr">
        <is>
          <t>Previously</t>
        </is>
      </c>
      <c r="AB1242" s="69" t="inlineStr">
        <is>
          <t>Currently special serv</t>
        </is>
      </c>
      <c r="AC1242" s="73" t="n">
        <v>44204</v>
      </c>
      <c r="AD1242" s="69" t="inlineStr">
        <is>
          <t>Payment Default (all payments excluding Balloon/Maturity Payment)</t>
        </is>
      </c>
      <c r="AE1242" s="69" t="inlineStr">
        <is>
          <t>REO</t>
        </is>
      </c>
      <c r="AF1242" s="69" t="inlineStr">
        <is>
          <t>TX</t>
        </is>
      </c>
      <c r="AG1242" s="69" t="inlineStr">
        <is>
          <t>Arlington</t>
        </is>
      </c>
      <c r="AH1242" s="69" t="inlineStr">
        <is>
          <t>Dallas-Fort Worth-Arlington, TX</t>
        </is>
      </c>
      <c r="AI1242" s="69" t="inlineStr">
        <is>
          <t>South / Central West</t>
        </is>
      </c>
      <c r="AJ1242" s="69" t="inlineStr">
        <is>
          <t>OF</t>
        </is>
      </c>
      <c r="AK1242" s="69" t="inlineStr">
        <is>
          <t>Suburban</t>
        </is>
      </c>
      <c r="AL1242" s="68" t="n">
        <v>1</v>
      </c>
      <c r="AM1242" s="68" t="n"/>
      <c r="AN1242" s="68" t="n">
        <v>210955</v>
      </c>
      <c r="AO1242" s="69" t="inlineStr">
        <is>
          <t>1982, 1985</t>
        </is>
      </c>
      <c r="AP1242" s="70" t="n">
        <v>2017</v>
      </c>
      <c r="AQ1242" s="74" t="n">
        <v>1.71</v>
      </c>
      <c r="AR1242" s="74" t="n">
        <v>0.45</v>
      </c>
      <c r="AS1242" s="74" t="n">
        <v>68.59999999999999</v>
      </c>
      <c r="AT1242" s="74" t="n">
        <v>197.69</v>
      </c>
      <c r="AU1242" s="74" t="n">
        <v>59.3</v>
      </c>
      <c r="AV1242" s="74" t="n">
        <v>8.616902813999999</v>
      </c>
      <c r="AW1242" s="74" t="n">
        <v>3.081301228</v>
      </c>
      <c r="AX1242" s="75" t="n">
        <v>52</v>
      </c>
      <c r="AY1242" s="71" t="n">
        <v>29000000</v>
      </c>
      <c r="AZ1242" s="71" t="n">
        <v>9440000</v>
      </c>
      <c r="BA1242" s="71" t="n">
        <v>1714763.66</v>
      </c>
      <c r="BB1242" s="71" t="n">
        <v>575025.0600000001</v>
      </c>
      <c r="BC1242" s="69" t="inlineStr">
        <is>
          <t>Refinance</t>
        </is>
      </c>
      <c r="BD1242" s="69" t="inlineStr">
        <is>
          <t>N</t>
        </is>
      </c>
      <c r="BE1242" s="71" t="n"/>
      <c r="BF1242" s="71" t="n"/>
      <c r="BG1242" s="71" t="n"/>
      <c r="BH1242" s="71" t="n">
        <v>8698511.800000001</v>
      </c>
      <c r="BI1242" s="71" t="n">
        <v>1154307.45</v>
      </c>
      <c r="BJ1242" s="69" t="inlineStr">
        <is>
          <t>N</t>
        </is>
      </c>
      <c r="BK1242" s="69" t="inlineStr">
        <is>
          <t>State Of Texas</t>
        </is>
      </c>
      <c r="BL1242" s="75" t="n">
        <v>21.89</v>
      </c>
      <c r="BM1242" s="73" t="n">
        <v>46660</v>
      </c>
      <c r="BN1242" s="69" t="inlineStr">
        <is>
          <t>Charles Aque</t>
        </is>
      </c>
      <c r="BO1242" s="69" t="inlineStr">
        <is>
          <t>CIBC</t>
        </is>
      </c>
      <c r="BP1242" s="69" t="inlineStr">
        <is>
          <t>Midland Loan Services</t>
        </is>
      </c>
      <c r="BQ1242" s="69" t="inlineStr">
        <is>
          <t>K-Star Asset Management LLC</t>
        </is>
      </c>
      <c r="BR1242" s="69" t="n"/>
      <c r="BS1242" s="73" t="n">
        <v>46276</v>
      </c>
      <c r="BU1242" s="76">
        <f>IF($C1242="","",IFERROR(INDEX(dmName,MATCH($C1242,dmID,0)),"Unmapped"))</f>
        <v/>
      </c>
      <c r="BV1242" s="76">
        <f>IF($C1242="","",IFERROR(INDEX(dmEntity,MATCH($C1242,dmID,0)),"Unmapped"))</f>
        <v/>
      </c>
      <c r="BW1242" s="77">
        <f>IF($C1242="","",IFERROR(INDEX(dmVintage,MATCH($C1242,dmID,0)),""))</f>
        <v/>
      </c>
      <c r="BX1242" s="78">
        <f>IFERROR(INDEX(dmInclude,MATCH($C1242,dmID,0)),0)</f>
        <v/>
      </c>
      <c r="BY1242" s="78">
        <f>IF(N($I1242)&gt;0,1,0)</f>
        <v/>
      </c>
      <c r="BZ1242" s="76">
        <f>IF($AJ1242="","Other / Leased Fee",IFERROR(INDEX(mapPTGroup,MATCH(LEFT(TRIM($AJ1242),2),mapPTCode,0)),"Other / Leased Fee"))</f>
        <v/>
      </c>
      <c r="CA1242" s="76">
        <f>IF(TRIM($AF1242&amp;"")="","NR",LEFT(TRIM($AF1242),2))</f>
        <v/>
      </c>
      <c r="CB1242" s="76">
        <f>IFERROR(LOOKUP(2,1/(LEFT(TRIM($AI1242&amp;""),LEN(mapRegion))=mapRegion),mapRegion),"Not Reported")</f>
        <v/>
      </c>
      <c r="CC1242" s="76">
        <f>IF($BY1242=0,"",IF(TRIM($W1242&amp;"")="REO","REO",IF(TRIM($W1242&amp;"")="FC","Foreclosure",IF(TRIM($W1242&amp;"")="90+","90+ Days Delinquent",IF(TRIM($W1242&amp;"")="60","60 Days Delinquent",IF(TRIM($W1242&amp;"")="30","30 Days Delinquent",IF($X1242="Non-Performing Matured Balloon","Non-Performing Matured Balloon",IF(OR($X1242="Late Payment But Less Than 30 Days Delinquent",LEFT($X1242&amp;"",20)="Payment Not Received"),"Late / In Grace (&lt;30 Days)",IF($X1242="Performing Matured Balloon","Performing Matured Balloon","Current")))))))))</f>
        <v/>
      </c>
      <c r="CD1242" s="78">
        <f>IF(OR($CC1242="REO",$CC1242="Foreclosure",$CC1242="90+ Days Delinquent",$CC1242="60 Days Delinquent",$CC1242="30 Days Delinquent",$CC1242="Non-Performing Matured Balloon"),1,0)</f>
        <v/>
      </c>
      <c r="CE1242" s="76">
        <f>IF($AB1242="Currently special serv","Currently Specially Serviced",IF($AB1242="Returned to master serv","Previously Specially Serviced","Never Specially Serviced"))</f>
        <v/>
      </c>
      <c r="CF1242" s="78">
        <f>IF($CE1242="Currently Specially Serviced",1,0)</f>
        <v/>
      </c>
      <c r="CG1242" s="76">
        <f>IF($AA1242="Yes","Currently on Watchlist",IF($AA1242="Previously","Previously on Watchlist","Never on Watchlist"))</f>
        <v/>
      </c>
      <c r="CH1242" s="78">
        <f>IF($CG1242="Currently on Watchlist",1,0)</f>
        <v/>
      </c>
      <c r="CI1242" s="76">
        <f>IF($Z1242="Full Defeasance","Fully Defeased",IF($Z1242="Portion Of Loan Previously Defeased","Partially Defeased",IF($Z1242="Defeasance Not Allowable","Not Defeased (Not Permitted)","Not Defeased")))</f>
        <v/>
      </c>
      <c r="CJ1242" s="78">
        <f>IF($CI1242="Fully Defeased",1,0)</f>
        <v/>
      </c>
      <c r="CK1242" s="76">
        <f>IF($R1242="IO","Full IO",IF(LEFT($R1242&amp;"",7)="IO then","Partial IO","Amortizing"))</f>
        <v/>
      </c>
      <c r="CL1242" s="78">
        <f>IF($CK1242="Full IO",1,0)</f>
        <v/>
      </c>
      <c r="CM1242" s="78">
        <f>IF($CK1242="Partial IO",1,0)</f>
        <v/>
      </c>
      <c r="CN1242" s="76">
        <f>IF(LEFT($F1242&amp;"",10)="SPLIT_LOAN","Pari Passu Split","Standalone")</f>
        <v/>
      </c>
      <c r="CO1242" s="78">
        <f>IF($CN1242="Pari Passu Split",1,0)</f>
        <v/>
      </c>
      <c r="CP1242" s="77">
        <f>IF(ISNUMBER($T1242),YEAR($T1242),"")</f>
        <v/>
      </c>
      <c r="CQ1242" s="79">
        <f>IF(ISNUMBER($V1242),$V1242,IF(ISNUMBER($U1242),$U1242,""))</f>
        <v/>
      </c>
      <c r="CR1242" s="77">
        <f>IF(ISNUMBER($CQ1242),YEAR($CQ1242),"")</f>
        <v/>
      </c>
      <c r="CS1242" s="78">
        <f>IF(ISNUMBER($M1242),MAX(0,$M1242),IF(TRIM($M1242&amp;"")="matured",0,""))</f>
        <v/>
      </c>
      <c r="CT1242" s="78">
        <f>IF(AND(ISNUMBER($CS1242),N($CS1242)&lt;=mMatWindow),1,0)</f>
        <v/>
      </c>
      <c r="CU1242" s="80">
        <f>IF(ISNUMBER($J1242),$J1242/100,"")</f>
        <v/>
      </c>
      <c r="CV1242" s="81">
        <f>IF(ISNUMBER($AQ1242),$AQ1242,"")</f>
        <v/>
      </c>
      <c r="CW1242" s="81">
        <f>IF(ISNUMBER($AR1242),$AR1242,"")</f>
        <v/>
      </c>
      <c r="CX1242" s="82">
        <f>IF(ISNUMBER($AS1242),$AS1242/100,"")</f>
        <v/>
      </c>
      <c r="CY1242" s="82">
        <f>IF(ISNUMBER($AT1242),$AT1242/100,"")</f>
        <v/>
      </c>
      <c r="CZ1242" s="82">
        <f>IF(ISNUMBER($AU1242),$AU1242/100,"")</f>
        <v/>
      </c>
      <c r="DA1242" s="82">
        <f>IF(ISNUMBER($AV1242),$AV1242/100,"")</f>
        <v/>
      </c>
      <c r="DB1242" s="82">
        <f>IF(ISNUMBER($AW1242),$AW1242/100,"")</f>
        <v/>
      </c>
      <c r="DC1242" s="82">
        <f>IF(ISNUMBER($AX1242),$AX1242/100,"")</f>
        <v/>
      </c>
      <c r="DD1242" s="77">
        <f>IFERROR(VALUE(LEFT(TRIM($AO1242&amp;""),4)),"")</f>
        <v/>
      </c>
      <c r="DE1242" s="78">
        <f>IF(AND($BY1242=1,$BX1242=1,OR(fDeal="All Deals",$BU1242=fDeal),OR(fEntity="All Entities",$BV1242=fEntity),OR(fPType="All Property Types",$BZ1242=fPType),OR(fDefeased="Include",$CJ1242=0)),1,0)</f>
        <v/>
      </c>
      <c r="DF1242" s="83">
        <f>$DE1242*N($I1242)</f>
        <v/>
      </c>
      <c r="DG1242" s="78">
        <f>IF($DE1242=1,IF(COUNTIFS($F$8:$F1242,$F1242,$DE$8:$DE1242,1)=1,1,0),0)</f>
        <v/>
      </c>
      <c r="DH1242" s="83">
        <f>IF($DG1242=1,SUMIFS($DF$8:$DF$1600,$F$8:$F$1600,$F1242),0)</f>
        <v/>
      </c>
      <c r="DI1242" s="78">
        <f>IF($DG1242=1,COUNTIFS($F$8:$F$1600,$F1242,$DE$8:$DE$1600,1),0)</f>
        <v/>
      </c>
      <c r="DJ1242" s="84">
        <f>IF($DG1242=1,$DH1242+(100000-ROW())/mTieBreak,0)</f>
        <v/>
      </c>
    </row>
    <row r="1243">
      <c r="B1243" s="68" t="n">
        <v>10</v>
      </c>
      <c r="C1243" s="69" t="inlineStr">
        <is>
          <t>UBS18C12</t>
        </is>
      </c>
      <c r="D1243" s="69" t="inlineStr">
        <is>
          <t>10.000</t>
        </is>
      </c>
      <c r="E1243" s="69" t="inlineStr">
        <is>
          <t>Somerset Center</t>
        </is>
      </c>
      <c r="F1243" s="69" t="inlineStr">
        <is>
          <t>SPLIT_LOAN_01333</t>
        </is>
      </c>
      <c r="G1243" s="70" t="n">
        <v>1333</v>
      </c>
      <c r="H1243" s="71" t="n">
        <v>18000000</v>
      </c>
      <c r="I1243" s="71" t="n">
        <v>0</v>
      </c>
      <c r="J1243" s="72" t="n">
        <v>5.12</v>
      </c>
      <c r="K1243" s="69" t="inlineStr">
        <is>
          <t>Fixed rate</t>
        </is>
      </c>
      <c r="L1243" s="68" t="n">
        <v>120</v>
      </c>
      <c r="M1243" s="68" t="n"/>
      <c r="N1243" s="68" t="n">
        <v>120</v>
      </c>
      <c r="O1243" s="68" t="n">
        <v>120</v>
      </c>
      <c r="P1243" s="68" t="n"/>
      <c r="Q1243" s="68" t="n"/>
      <c r="R1243" s="69" t="inlineStr">
        <is>
          <t>IO</t>
        </is>
      </c>
      <c r="S1243" s="69" t="inlineStr">
        <is>
          <t>Yes</t>
        </is>
      </c>
      <c r="T1243" s="73" t="n">
        <v>43313</v>
      </c>
      <c r="U1243" s="73" t="n">
        <v>46971</v>
      </c>
      <c r="V1243" s="73" t="n"/>
      <c r="W1243" s="69" t="n"/>
      <c r="X1243" s="69" t="inlineStr">
        <is>
          <t>Current</t>
        </is>
      </c>
      <c r="Y1243" s="68" t="n"/>
      <c r="Z1243" s="69" t="inlineStr">
        <is>
          <t>No Defeasance Occurred</t>
        </is>
      </c>
      <c r="AA1243" s="69" t="inlineStr">
        <is>
          <t>Previously</t>
        </is>
      </c>
      <c r="AB1243" s="69" t="inlineStr">
        <is>
          <t>Currently special serv</t>
        </is>
      </c>
      <c r="AC1243" s="73" t="n">
        <v>44291</v>
      </c>
      <c r="AD1243" s="69" t="inlineStr">
        <is>
          <t>Other</t>
        </is>
      </c>
      <c r="AE1243" s="69" t="inlineStr">
        <is>
          <t>DPO</t>
        </is>
      </c>
      <c r="AF1243" s="69" t="inlineStr">
        <is>
          <t>NJ</t>
        </is>
      </c>
      <c r="AG1243" s="69" t="inlineStr">
        <is>
          <t>Bedminster</t>
        </is>
      </c>
      <c r="AH1243" s="69" t="inlineStr">
        <is>
          <t>New York-Newark-Jersey City, NY-NJ</t>
        </is>
      </c>
      <c r="AI1243" s="69" t="inlineStr">
        <is>
          <t>Northeast / Mid-Atlantic</t>
        </is>
      </c>
      <c r="AJ1243" s="69" t="inlineStr">
        <is>
          <t>OF</t>
        </is>
      </c>
      <c r="AK1243" s="69" t="inlineStr">
        <is>
          <t>Suburban</t>
        </is>
      </c>
      <c r="AL1243" s="68" t="n">
        <v>1</v>
      </c>
      <c r="AM1243" s="68" t="n"/>
      <c r="AN1243" s="68" t="n">
        <v>230000</v>
      </c>
      <c r="AO1243" s="69" t="inlineStr">
        <is>
          <t>1998</t>
        </is>
      </c>
      <c r="AP1243" s="70" t="n">
        <v>2017</v>
      </c>
      <c r="AQ1243" s="74" t="n">
        <v>1.8</v>
      </c>
      <c r="AR1243" s="74" t="n">
        <v>0.08</v>
      </c>
      <c r="AS1243" s="74" t="n">
        <v>64.59999999999999</v>
      </c>
      <c r="AT1243" s="74" t="n"/>
      <c r="AU1243" s="74" t="n">
        <v>64.59999999999999</v>
      </c>
      <c r="AV1243" s="74" t="n">
        <v>9.357538095000001</v>
      </c>
      <c r="AW1243" s="74" t="n"/>
      <c r="AX1243" s="75" t="n">
        <v>100</v>
      </c>
      <c r="AY1243" s="71" t="n">
        <v>65000000</v>
      </c>
      <c r="AZ1243" s="71" t="n">
        <v>36400000</v>
      </c>
      <c r="BA1243" s="71" t="n">
        <v>3930166</v>
      </c>
      <c r="BB1243" s="71" t="n">
        <v>174918.69</v>
      </c>
      <c r="BC1243" s="69" t="inlineStr">
        <is>
          <t>Acquisition</t>
        </is>
      </c>
      <c r="BD1243" s="69" t="inlineStr">
        <is>
          <t>N</t>
        </is>
      </c>
      <c r="BE1243" s="71" t="n">
        <v>0</v>
      </c>
      <c r="BF1243" s="71" t="n"/>
      <c r="BG1243" s="71" t="n"/>
      <c r="BH1243" s="71" t="n">
        <v>0</v>
      </c>
      <c r="BI1243" s="71" t="n">
        <v>0</v>
      </c>
      <c r="BJ1243" s="69" t="inlineStr">
        <is>
          <t>N</t>
        </is>
      </c>
      <c r="BK1243" s="69" t="inlineStr">
        <is>
          <t>Mallinckrodt</t>
        </is>
      </c>
      <c r="BL1243" s="75" t="n">
        <v>83.04000000000001</v>
      </c>
      <c r="BM1243" s="73" t="n">
        <v>47514</v>
      </c>
      <c r="BN1243" s="69" t="inlineStr">
        <is>
          <t>Aryeh Z. Ginzberg aka Ari Zev Ginzberg; Harvey Rosenblatt; Leibel Lederman; Azag LLC; Cll LLC; David Sutton</t>
        </is>
      </c>
      <c r="BO1243" s="69" t="inlineStr">
        <is>
          <t>Rialto</t>
        </is>
      </c>
      <c r="BP1243" s="69" t="inlineStr">
        <is>
          <t>Midland Loan Services</t>
        </is>
      </c>
      <c r="BQ1243" s="69" t="inlineStr">
        <is>
          <t>Argentic Services Company LP</t>
        </is>
      </c>
      <c r="BR1243" s="69" t="inlineStr">
        <is>
          <t>Partial Liquidation (Curtailment)</t>
        </is>
      </c>
      <c r="BS1243" s="73" t="n">
        <v>46276</v>
      </c>
      <c r="BU1243" s="76">
        <f>IF($C1243="","",IFERROR(INDEX(dmName,MATCH($C1243,dmID,0)),"Unmapped"))</f>
        <v/>
      </c>
      <c r="BV1243" s="76">
        <f>IF($C1243="","",IFERROR(INDEX(dmEntity,MATCH($C1243,dmID,0)),"Unmapped"))</f>
        <v/>
      </c>
      <c r="BW1243" s="77">
        <f>IF($C1243="","",IFERROR(INDEX(dmVintage,MATCH($C1243,dmID,0)),""))</f>
        <v/>
      </c>
      <c r="BX1243" s="78">
        <f>IFERROR(INDEX(dmInclude,MATCH($C1243,dmID,0)),0)</f>
        <v/>
      </c>
      <c r="BY1243" s="78">
        <f>IF(N($I1243)&gt;0,1,0)</f>
        <v/>
      </c>
      <c r="BZ1243" s="76">
        <f>IF($AJ1243="","Other / Leased Fee",IFERROR(INDEX(mapPTGroup,MATCH(LEFT(TRIM($AJ1243),2),mapPTCode,0)),"Other / Leased Fee"))</f>
        <v/>
      </c>
      <c r="CA1243" s="76">
        <f>IF(TRIM($AF1243&amp;"")="","NR",LEFT(TRIM($AF1243),2))</f>
        <v/>
      </c>
      <c r="CB1243" s="76">
        <f>IFERROR(LOOKUP(2,1/(LEFT(TRIM($AI1243&amp;""),LEN(mapRegion))=mapRegion),mapRegion),"Not Reported")</f>
        <v/>
      </c>
      <c r="CC1243" s="76">
        <f>IF($BY1243=0,"",IF(TRIM($W1243&amp;"")="REO","REO",IF(TRIM($W1243&amp;"")="FC","Foreclosure",IF(TRIM($W1243&amp;"")="90+","90+ Days Delinquent",IF(TRIM($W1243&amp;"")="60","60 Days Delinquent",IF(TRIM($W1243&amp;"")="30","30 Days Delinquent",IF($X1243="Non-Performing Matured Balloon","Non-Performing Matured Balloon",IF(OR($X1243="Late Payment But Less Than 30 Days Delinquent",LEFT($X1243&amp;"",20)="Payment Not Received"),"Late / In Grace (&lt;30 Days)",IF($X1243="Performing Matured Balloon","Performing Matured Balloon","Current")))))))))</f>
        <v/>
      </c>
      <c r="CD1243" s="78">
        <f>IF(OR($CC1243="REO",$CC1243="Foreclosure",$CC1243="90+ Days Delinquent",$CC1243="60 Days Delinquent",$CC1243="30 Days Delinquent",$CC1243="Non-Performing Matured Balloon"),1,0)</f>
        <v/>
      </c>
      <c r="CE1243" s="76">
        <f>IF($AB1243="Currently special serv","Currently Specially Serviced",IF($AB1243="Returned to master serv","Previously Specially Serviced","Never Specially Serviced"))</f>
        <v/>
      </c>
      <c r="CF1243" s="78">
        <f>IF($CE1243="Currently Specially Serviced",1,0)</f>
        <v/>
      </c>
      <c r="CG1243" s="76">
        <f>IF($AA1243="Yes","Currently on Watchlist",IF($AA1243="Previously","Previously on Watchlist","Never on Watchlist"))</f>
        <v/>
      </c>
      <c r="CH1243" s="78">
        <f>IF($CG1243="Currently on Watchlist",1,0)</f>
        <v/>
      </c>
      <c r="CI1243" s="76">
        <f>IF($Z1243="Full Defeasance","Fully Defeased",IF($Z1243="Portion Of Loan Previously Defeased","Partially Defeased",IF($Z1243="Defeasance Not Allowable","Not Defeased (Not Permitted)","Not Defeased")))</f>
        <v/>
      </c>
      <c r="CJ1243" s="78">
        <f>IF($CI1243="Fully Defeased",1,0)</f>
        <v/>
      </c>
      <c r="CK1243" s="76">
        <f>IF($R1243="IO","Full IO",IF(LEFT($R1243&amp;"",7)="IO then","Partial IO","Amortizing"))</f>
        <v/>
      </c>
      <c r="CL1243" s="78">
        <f>IF($CK1243="Full IO",1,0)</f>
        <v/>
      </c>
      <c r="CM1243" s="78">
        <f>IF($CK1243="Partial IO",1,0)</f>
        <v/>
      </c>
      <c r="CN1243" s="76">
        <f>IF(LEFT($F1243&amp;"",10)="SPLIT_LOAN","Pari Passu Split","Standalone")</f>
        <v/>
      </c>
      <c r="CO1243" s="78">
        <f>IF($CN1243="Pari Passu Split",1,0)</f>
        <v/>
      </c>
      <c r="CP1243" s="77">
        <f>IF(ISNUMBER($T1243),YEAR($T1243),"")</f>
        <v/>
      </c>
      <c r="CQ1243" s="79">
        <f>IF(ISNUMBER($V1243),$V1243,IF(ISNUMBER($U1243),$U1243,""))</f>
        <v/>
      </c>
      <c r="CR1243" s="77">
        <f>IF(ISNUMBER($CQ1243),YEAR($CQ1243),"")</f>
        <v/>
      </c>
      <c r="CS1243" s="78">
        <f>IF(ISNUMBER($M1243),MAX(0,$M1243),IF(TRIM($M1243&amp;"")="matured",0,""))</f>
        <v/>
      </c>
      <c r="CT1243" s="78">
        <f>IF(AND(ISNUMBER($CS1243),N($CS1243)&lt;=mMatWindow),1,0)</f>
        <v/>
      </c>
      <c r="CU1243" s="80">
        <f>IF(ISNUMBER($J1243),$J1243/100,"")</f>
        <v/>
      </c>
      <c r="CV1243" s="81">
        <f>IF(ISNUMBER($AQ1243),$AQ1243,"")</f>
        <v/>
      </c>
      <c r="CW1243" s="81">
        <f>IF(ISNUMBER($AR1243),$AR1243,"")</f>
        <v/>
      </c>
      <c r="CX1243" s="82">
        <f>IF(ISNUMBER($AS1243),$AS1243/100,"")</f>
        <v/>
      </c>
      <c r="CY1243" s="82">
        <f>IF(ISNUMBER($AT1243),$AT1243/100,"")</f>
        <v/>
      </c>
      <c r="CZ1243" s="82">
        <f>IF(ISNUMBER($AU1243),$AU1243/100,"")</f>
        <v/>
      </c>
      <c r="DA1243" s="82">
        <f>IF(ISNUMBER($AV1243),$AV1243/100,"")</f>
        <v/>
      </c>
      <c r="DB1243" s="82">
        <f>IF(ISNUMBER($AW1243),$AW1243/100,"")</f>
        <v/>
      </c>
      <c r="DC1243" s="82">
        <f>IF(ISNUMBER($AX1243),$AX1243/100,"")</f>
        <v/>
      </c>
      <c r="DD1243" s="77">
        <f>IFERROR(VALUE(LEFT(TRIM($AO1243&amp;""),4)),"")</f>
        <v/>
      </c>
      <c r="DE1243" s="78">
        <f>IF(AND($BY1243=1,$BX1243=1,OR(fDeal="All Deals",$BU1243=fDeal),OR(fEntity="All Entities",$BV1243=fEntity),OR(fPType="All Property Types",$BZ1243=fPType),OR(fDefeased="Include",$CJ1243=0)),1,0)</f>
        <v/>
      </c>
      <c r="DF1243" s="83">
        <f>$DE1243*N($I1243)</f>
        <v/>
      </c>
      <c r="DG1243" s="78">
        <f>IF($DE1243=1,IF(COUNTIFS($F$8:$F1243,$F1243,$DE$8:$DE1243,1)=1,1,0),0)</f>
        <v/>
      </c>
      <c r="DH1243" s="83">
        <f>IF($DG1243=1,SUMIFS($DF$8:$DF$1600,$F$8:$F$1600,$F1243),0)</f>
        <v/>
      </c>
      <c r="DI1243" s="78">
        <f>IF($DG1243=1,COUNTIFS($F$8:$F$1600,$F1243,$DE$8:$DE$1600,1),0)</f>
        <v/>
      </c>
      <c r="DJ1243" s="84">
        <f>IF($DG1243=1,$DH1243+(100000-ROW())/mTieBreak,0)</f>
        <v/>
      </c>
    </row>
    <row r="1244">
      <c r="B1244" s="68" t="n">
        <v>11</v>
      </c>
      <c r="C1244" s="69" t="inlineStr">
        <is>
          <t>UBS18C12</t>
        </is>
      </c>
      <c r="D1244" s="69" t="inlineStr">
        <is>
          <t>11.000</t>
        </is>
      </c>
      <c r="E1244" s="69" t="inlineStr">
        <is>
          <t>One Northwestern Plaza</t>
        </is>
      </c>
      <c r="F1244" s="69" t="inlineStr">
        <is>
          <t>LNUBS18C12-11.000</t>
        </is>
      </c>
      <c r="G1244" s="70" t="n"/>
      <c r="H1244" s="71" t="n">
        <v>17850000</v>
      </c>
      <c r="I1244" s="71" t="n">
        <v>16536223.3199961</v>
      </c>
      <c r="J1244" s="72" t="n">
        <v>5.4</v>
      </c>
      <c r="K1244" s="69" t="inlineStr">
        <is>
          <t>Fixed rate</t>
        </is>
      </c>
      <c r="L1244" s="68" t="n">
        <v>120</v>
      </c>
      <c r="M1244" s="68" t="n">
        <v>23</v>
      </c>
      <c r="N1244" s="68" t="n">
        <v>396</v>
      </c>
      <c r="O1244" s="68" t="n">
        <v>36</v>
      </c>
      <c r="P1244" s="68" t="n">
        <v>0</v>
      </c>
      <c r="Q1244" s="68" t="n">
        <v>97</v>
      </c>
      <c r="R1244" s="69" t="inlineStr">
        <is>
          <t>IO then Amort</t>
        </is>
      </c>
      <c r="S1244" s="69" t="inlineStr">
        <is>
          <t>No</t>
        </is>
      </c>
      <c r="T1244" s="73" t="n">
        <v>43313</v>
      </c>
      <c r="U1244" s="73" t="n">
        <v>54276</v>
      </c>
      <c r="V1244" s="73" t="n">
        <v>46971</v>
      </c>
      <c r="W1244" s="69" t="n"/>
      <c r="X1244" s="69" t="inlineStr">
        <is>
          <t>Current</t>
        </is>
      </c>
      <c r="Y1244" s="68" t="n"/>
      <c r="Z1244" s="69" t="inlineStr">
        <is>
          <t>No Defeasance Occurred</t>
        </is>
      </c>
      <c r="AA1244" s="69" t="inlineStr">
        <is>
          <t>Yes</t>
        </is>
      </c>
      <c r="AB1244" s="69" t="inlineStr">
        <is>
          <t>Never special serv</t>
        </is>
      </c>
      <c r="AC1244" s="73" t="n"/>
      <c r="AD1244" s="69" t="n"/>
      <c r="AE1244" s="69" t="n"/>
      <c r="AF1244" s="69" t="inlineStr">
        <is>
          <t>MI</t>
        </is>
      </c>
      <c r="AG1244" s="69" t="inlineStr">
        <is>
          <t>Southfield</t>
        </is>
      </c>
      <c r="AH1244" s="69" t="inlineStr">
        <is>
          <t>Detroit-Warren-Dearborn, MI</t>
        </is>
      </c>
      <c r="AI1244" s="69" t="inlineStr">
        <is>
          <t>Midwest / Central East</t>
        </is>
      </c>
      <c r="AJ1244" s="69" t="inlineStr">
        <is>
          <t>OF</t>
        </is>
      </c>
      <c r="AK1244" s="69" t="inlineStr">
        <is>
          <t>Suburban</t>
        </is>
      </c>
      <c r="AL1244" s="68" t="n">
        <v>1</v>
      </c>
      <c r="AM1244" s="68" t="n"/>
      <c r="AN1244" s="68" t="n">
        <v>238373</v>
      </c>
      <c r="AO1244" s="69" t="inlineStr">
        <is>
          <t>1989</t>
        </is>
      </c>
      <c r="AP1244" s="70" t="n">
        <v>2017</v>
      </c>
      <c r="AQ1244" s="74" t="n">
        <v>1.75</v>
      </c>
      <c r="AR1244" s="74" t="n">
        <v>0.55</v>
      </c>
      <c r="AS1244" s="74" t="n">
        <v>64.7</v>
      </c>
      <c r="AT1244" s="74" t="n">
        <v>59.91</v>
      </c>
      <c r="AU1244" s="74" t="n">
        <v>57.7</v>
      </c>
      <c r="AV1244" s="74" t="n">
        <v>9.561586218</v>
      </c>
      <c r="AW1244" s="74" t="n">
        <v>8.396173619000001</v>
      </c>
      <c r="AX1244" s="75" t="n">
        <v>82</v>
      </c>
      <c r="AY1244" s="71" t="n">
        <v>27600000</v>
      </c>
      <c r="AZ1244" s="71" t="n">
        <v>27600000</v>
      </c>
      <c r="BA1244" s="71" t="n">
        <v>1706743.14</v>
      </c>
      <c r="BB1244" s="71" t="n">
        <v>665139.2</v>
      </c>
      <c r="BC1244" s="69" t="inlineStr">
        <is>
          <t>Refinance</t>
        </is>
      </c>
      <c r="BD1244" s="69" t="inlineStr">
        <is>
          <t>N</t>
        </is>
      </c>
      <c r="BE1244" s="71" t="n"/>
      <c r="BF1244" s="71" t="n"/>
      <c r="BG1244" s="71" t="n"/>
      <c r="BH1244" s="71" t="n">
        <v>0</v>
      </c>
      <c r="BI1244" s="71" t="n">
        <v>0</v>
      </c>
      <c r="BJ1244" s="69" t="inlineStr">
        <is>
          <t>N</t>
        </is>
      </c>
      <c r="BK1244" s="69" t="inlineStr">
        <is>
          <t>Village Green Consolidated LLC</t>
        </is>
      </c>
      <c r="BL1244" s="75" t="n">
        <v>13.25</v>
      </c>
      <c r="BM1244" s="73" t="n">
        <v>46873</v>
      </c>
      <c r="BN1244" s="69" t="inlineStr">
        <is>
          <t>Gabriel Schuchman; Michael Schuchman</t>
        </is>
      </c>
      <c r="BO1244" s="69" t="inlineStr">
        <is>
          <t>Ladder Capital Finance</t>
        </is>
      </c>
      <c r="BP1244" s="69" t="inlineStr">
        <is>
          <t>Midland Loan Services</t>
        </is>
      </c>
      <c r="BQ1244" s="69" t="inlineStr">
        <is>
          <t>K-Star Asset Management LLC</t>
        </is>
      </c>
      <c r="BR1244" s="69" t="n"/>
      <c r="BS1244" s="73" t="n">
        <v>46276</v>
      </c>
      <c r="BU1244" s="76">
        <f>IF($C1244="","",IFERROR(INDEX(dmName,MATCH($C1244,dmID,0)),"Unmapped"))</f>
        <v/>
      </c>
      <c r="BV1244" s="76">
        <f>IF($C1244="","",IFERROR(INDEX(dmEntity,MATCH($C1244,dmID,0)),"Unmapped"))</f>
        <v/>
      </c>
      <c r="BW1244" s="77">
        <f>IF($C1244="","",IFERROR(INDEX(dmVintage,MATCH($C1244,dmID,0)),""))</f>
        <v/>
      </c>
      <c r="BX1244" s="78">
        <f>IFERROR(INDEX(dmInclude,MATCH($C1244,dmID,0)),0)</f>
        <v/>
      </c>
      <c r="BY1244" s="78">
        <f>IF(N($I1244)&gt;0,1,0)</f>
        <v/>
      </c>
      <c r="BZ1244" s="76">
        <f>IF($AJ1244="","Other / Leased Fee",IFERROR(INDEX(mapPTGroup,MATCH(LEFT(TRIM($AJ1244),2),mapPTCode,0)),"Other / Leased Fee"))</f>
        <v/>
      </c>
      <c r="CA1244" s="76">
        <f>IF(TRIM($AF1244&amp;"")="","NR",LEFT(TRIM($AF1244),2))</f>
        <v/>
      </c>
      <c r="CB1244" s="76">
        <f>IFERROR(LOOKUP(2,1/(LEFT(TRIM($AI1244&amp;""),LEN(mapRegion))=mapRegion),mapRegion),"Not Reported")</f>
        <v/>
      </c>
      <c r="CC1244" s="76">
        <f>IF($BY1244=0,"",IF(TRIM($W1244&amp;"")="REO","REO",IF(TRIM($W1244&amp;"")="FC","Foreclosure",IF(TRIM($W1244&amp;"")="90+","90+ Days Delinquent",IF(TRIM($W1244&amp;"")="60","60 Days Delinquent",IF(TRIM($W1244&amp;"")="30","30 Days Delinquent",IF($X1244="Non-Performing Matured Balloon","Non-Performing Matured Balloon",IF(OR($X1244="Late Payment But Less Than 30 Days Delinquent",LEFT($X1244&amp;"",20)="Payment Not Received"),"Late / In Grace (&lt;30 Days)",IF($X1244="Performing Matured Balloon","Performing Matured Balloon","Current")))))))))</f>
        <v/>
      </c>
      <c r="CD1244" s="78">
        <f>IF(OR($CC1244="REO",$CC1244="Foreclosure",$CC1244="90+ Days Delinquent",$CC1244="60 Days Delinquent",$CC1244="30 Days Delinquent",$CC1244="Non-Performing Matured Balloon"),1,0)</f>
        <v/>
      </c>
      <c r="CE1244" s="76">
        <f>IF($AB1244="Currently special serv","Currently Specially Serviced",IF($AB1244="Returned to master serv","Previously Specially Serviced","Never Specially Serviced"))</f>
        <v/>
      </c>
      <c r="CF1244" s="78">
        <f>IF($CE1244="Currently Specially Serviced",1,0)</f>
        <v/>
      </c>
      <c r="CG1244" s="76">
        <f>IF($AA1244="Yes","Currently on Watchlist",IF($AA1244="Previously","Previously on Watchlist","Never on Watchlist"))</f>
        <v/>
      </c>
      <c r="CH1244" s="78">
        <f>IF($CG1244="Currently on Watchlist",1,0)</f>
        <v/>
      </c>
      <c r="CI1244" s="76">
        <f>IF($Z1244="Full Defeasance","Fully Defeased",IF($Z1244="Portion Of Loan Previously Defeased","Partially Defeased",IF($Z1244="Defeasance Not Allowable","Not Defeased (Not Permitted)","Not Defeased")))</f>
        <v/>
      </c>
      <c r="CJ1244" s="78">
        <f>IF($CI1244="Fully Defeased",1,0)</f>
        <v/>
      </c>
      <c r="CK1244" s="76">
        <f>IF($R1244="IO","Full IO",IF(LEFT($R1244&amp;"",7)="IO then","Partial IO","Amortizing"))</f>
        <v/>
      </c>
      <c r="CL1244" s="78">
        <f>IF($CK1244="Full IO",1,0)</f>
        <v/>
      </c>
      <c r="CM1244" s="78">
        <f>IF($CK1244="Partial IO",1,0)</f>
        <v/>
      </c>
      <c r="CN1244" s="76">
        <f>IF(LEFT($F1244&amp;"",10)="SPLIT_LOAN","Pari Passu Split","Standalone")</f>
        <v/>
      </c>
      <c r="CO1244" s="78">
        <f>IF($CN1244="Pari Passu Split",1,0)</f>
        <v/>
      </c>
      <c r="CP1244" s="77">
        <f>IF(ISNUMBER($T1244),YEAR($T1244),"")</f>
        <v/>
      </c>
      <c r="CQ1244" s="79">
        <f>IF(ISNUMBER($V1244),$V1244,IF(ISNUMBER($U1244),$U1244,""))</f>
        <v/>
      </c>
      <c r="CR1244" s="77">
        <f>IF(ISNUMBER($CQ1244),YEAR($CQ1244),"")</f>
        <v/>
      </c>
      <c r="CS1244" s="78">
        <f>IF(ISNUMBER($M1244),MAX(0,$M1244),IF(TRIM($M1244&amp;"")="matured",0,""))</f>
        <v/>
      </c>
      <c r="CT1244" s="78">
        <f>IF(AND(ISNUMBER($CS1244),N($CS1244)&lt;=mMatWindow),1,0)</f>
        <v/>
      </c>
      <c r="CU1244" s="80">
        <f>IF(ISNUMBER($J1244),$J1244/100,"")</f>
        <v/>
      </c>
      <c r="CV1244" s="81">
        <f>IF(ISNUMBER($AQ1244),$AQ1244,"")</f>
        <v/>
      </c>
      <c r="CW1244" s="81">
        <f>IF(ISNUMBER($AR1244),$AR1244,"")</f>
        <v/>
      </c>
      <c r="CX1244" s="82">
        <f>IF(ISNUMBER($AS1244),$AS1244/100,"")</f>
        <v/>
      </c>
      <c r="CY1244" s="82">
        <f>IF(ISNUMBER($AT1244),$AT1244/100,"")</f>
        <v/>
      </c>
      <c r="CZ1244" s="82">
        <f>IF(ISNUMBER($AU1244),$AU1244/100,"")</f>
        <v/>
      </c>
      <c r="DA1244" s="82">
        <f>IF(ISNUMBER($AV1244),$AV1244/100,"")</f>
        <v/>
      </c>
      <c r="DB1244" s="82">
        <f>IF(ISNUMBER($AW1244),$AW1244/100,"")</f>
        <v/>
      </c>
      <c r="DC1244" s="82">
        <f>IF(ISNUMBER($AX1244),$AX1244/100,"")</f>
        <v/>
      </c>
      <c r="DD1244" s="77">
        <f>IFERROR(VALUE(LEFT(TRIM($AO1244&amp;""),4)),"")</f>
        <v/>
      </c>
      <c r="DE1244" s="78">
        <f>IF(AND($BY1244=1,$BX1244=1,OR(fDeal="All Deals",$BU1244=fDeal),OR(fEntity="All Entities",$BV1244=fEntity),OR(fPType="All Property Types",$BZ1244=fPType),OR(fDefeased="Include",$CJ1244=0)),1,0)</f>
        <v/>
      </c>
      <c r="DF1244" s="83">
        <f>$DE1244*N($I1244)</f>
        <v/>
      </c>
      <c r="DG1244" s="78">
        <f>IF($DE1244=1,IF(COUNTIFS($F$8:$F1244,$F1244,$DE$8:$DE1244,1)=1,1,0),0)</f>
        <v/>
      </c>
      <c r="DH1244" s="83">
        <f>IF($DG1244=1,SUMIFS($DF$8:$DF$1600,$F$8:$F$1600,$F1244),0)</f>
        <v/>
      </c>
      <c r="DI1244" s="78">
        <f>IF($DG1244=1,COUNTIFS($F$8:$F$1600,$F1244,$DE$8:$DE$1600,1),0)</f>
        <v/>
      </c>
      <c r="DJ1244" s="84">
        <f>IF($DG1244=1,$DH1244+(100000-ROW())/mTieBreak,0)</f>
        <v/>
      </c>
    </row>
    <row r="1245">
      <c r="B1245" s="68" t="n">
        <v>12</v>
      </c>
      <c r="C1245" s="69" t="inlineStr">
        <is>
          <t>UBS18C12</t>
        </is>
      </c>
      <c r="D1245" s="69" t="inlineStr">
        <is>
          <t>12.000</t>
        </is>
      </c>
      <c r="E1245" s="69" t="inlineStr">
        <is>
          <t>Holiday Inn &amp; Suites - Chattanooga</t>
        </is>
      </c>
      <c r="F1245" s="69" t="inlineStr">
        <is>
          <t>LNUBS18C12-12.000</t>
        </is>
      </c>
      <c r="G1245" s="70" t="n"/>
      <c r="H1245" s="71" t="n">
        <v>17800000</v>
      </c>
      <c r="I1245" s="71" t="n">
        <v>14607253.4600012</v>
      </c>
      <c r="J1245" s="72" t="n">
        <v>5.622</v>
      </c>
      <c r="K1245" s="69" t="inlineStr">
        <is>
          <t>Fixed rate</t>
        </is>
      </c>
      <c r="L1245" s="68" t="n">
        <v>120</v>
      </c>
      <c r="M1245" s="68" t="n">
        <v>23</v>
      </c>
      <c r="N1245" s="68" t="n">
        <v>300</v>
      </c>
      <c r="O1245" s="68" t="n"/>
      <c r="P1245" s="68" t="n"/>
      <c r="Q1245" s="68" t="n">
        <v>97</v>
      </c>
      <c r="R1245" s="69" t="n"/>
      <c r="S1245" s="69" t="inlineStr">
        <is>
          <t>No</t>
        </is>
      </c>
      <c r="T1245" s="73" t="n">
        <v>43313</v>
      </c>
      <c r="U1245" s="73" t="n">
        <v>46971</v>
      </c>
      <c r="V1245" s="73" t="n"/>
      <c r="W1245" s="69" t="n"/>
      <c r="X1245" s="69" t="inlineStr">
        <is>
          <t>Current</t>
        </is>
      </c>
      <c r="Y1245" s="68" t="n"/>
      <c r="Z1245" s="69" t="inlineStr">
        <is>
          <t>Defeasance Not Allowable</t>
        </is>
      </c>
      <c r="AA1245" s="69" t="inlineStr">
        <is>
          <t>Yes</t>
        </is>
      </c>
      <c r="AB1245" s="69" t="inlineStr">
        <is>
          <t>Never special serv</t>
        </is>
      </c>
      <c r="AC1245" s="73" t="n"/>
      <c r="AD1245" s="69" t="n"/>
      <c r="AE1245" s="69" t="n"/>
      <c r="AF1245" s="69" t="inlineStr">
        <is>
          <t>TN</t>
        </is>
      </c>
      <c r="AG1245" s="69" t="inlineStr">
        <is>
          <t>Chattanooga</t>
        </is>
      </c>
      <c r="AH1245" s="69" t="inlineStr">
        <is>
          <t>Chattanooga, TN-GA</t>
        </is>
      </c>
      <c r="AI1245" s="69" t="inlineStr">
        <is>
          <t>South / Central East</t>
        </is>
      </c>
      <c r="AJ1245" s="69" t="inlineStr">
        <is>
          <t>HT</t>
        </is>
      </c>
      <c r="AK1245" s="69" t="inlineStr">
        <is>
          <t>Full Service</t>
        </is>
      </c>
      <c r="AL1245" s="68" t="n">
        <v>1</v>
      </c>
      <c r="AM1245" s="68" t="n">
        <v>139</v>
      </c>
      <c r="AN1245" s="68" t="n"/>
      <c r="AO1245" s="69" t="inlineStr">
        <is>
          <t>2015</t>
        </is>
      </c>
      <c r="AP1245" s="70" t="n">
        <v>2015</v>
      </c>
      <c r="AQ1245" s="74" t="n">
        <v>1.54</v>
      </c>
      <c r="AR1245" s="74" t="n">
        <v>1.14</v>
      </c>
      <c r="AS1245" s="74" t="n">
        <v>67.7</v>
      </c>
      <c r="AT1245" s="74" t="n">
        <v>55.54</v>
      </c>
      <c r="AU1245" s="74" t="n">
        <v>51.7</v>
      </c>
      <c r="AV1245" s="74" t="n">
        <v>11.493095281</v>
      </c>
      <c r="AW1245" s="74" t="n">
        <v>11.171883643</v>
      </c>
      <c r="AX1245" s="75" t="n">
        <v>66</v>
      </c>
      <c r="AY1245" s="71" t="n">
        <v>26300000</v>
      </c>
      <c r="AZ1245" s="71" t="n">
        <v>26300000</v>
      </c>
      <c r="BA1245" s="71" t="n">
        <v>2045770.96</v>
      </c>
      <c r="BB1245" s="71" t="n">
        <v>1514572.98</v>
      </c>
      <c r="BC1245" s="69" t="inlineStr">
        <is>
          <t>Refinance</t>
        </is>
      </c>
      <c r="BD1245" s="69" t="inlineStr">
        <is>
          <t>Y</t>
        </is>
      </c>
      <c r="BE1245" s="71" t="n"/>
      <c r="BF1245" s="71" t="n"/>
      <c r="BG1245" s="71" t="n"/>
      <c r="BH1245" s="71" t="n">
        <v>0</v>
      </c>
      <c r="BI1245" s="71" t="n">
        <v>0</v>
      </c>
      <c r="BJ1245" s="69" t="inlineStr">
        <is>
          <t>N</t>
        </is>
      </c>
      <c r="BK1245" s="69" t="n"/>
      <c r="BL1245" s="75" t="n"/>
      <c r="BM1245" s="73" t="n"/>
      <c r="BN1245" s="69" t="inlineStr">
        <is>
          <t>Chandrakant Amin; Bhupendra Bhagat</t>
        </is>
      </c>
      <c r="BO1245" s="69" t="inlineStr">
        <is>
          <t>UBS</t>
        </is>
      </c>
      <c r="BP1245" s="69" t="inlineStr">
        <is>
          <t>Midland Loan Services</t>
        </is>
      </c>
      <c r="BQ1245" s="69" t="inlineStr">
        <is>
          <t>K-Star Asset Management LLC</t>
        </is>
      </c>
      <c r="BR1245" s="69" t="n"/>
      <c r="BS1245" s="73" t="n">
        <v>46276</v>
      </c>
      <c r="BU1245" s="76">
        <f>IF($C1245="","",IFERROR(INDEX(dmName,MATCH($C1245,dmID,0)),"Unmapped"))</f>
        <v/>
      </c>
      <c r="BV1245" s="76">
        <f>IF($C1245="","",IFERROR(INDEX(dmEntity,MATCH($C1245,dmID,0)),"Unmapped"))</f>
        <v/>
      </c>
      <c r="BW1245" s="77">
        <f>IF($C1245="","",IFERROR(INDEX(dmVintage,MATCH($C1245,dmID,0)),""))</f>
        <v/>
      </c>
      <c r="BX1245" s="78">
        <f>IFERROR(INDEX(dmInclude,MATCH($C1245,dmID,0)),0)</f>
        <v/>
      </c>
      <c r="BY1245" s="78">
        <f>IF(N($I1245)&gt;0,1,0)</f>
        <v/>
      </c>
      <c r="BZ1245" s="76">
        <f>IF($AJ1245="","Other / Leased Fee",IFERROR(INDEX(mapPTGroup,MATCH(LEFT(TRIM($AJ1245),2),mapPTCode,0)),"Other / Leased Fee"))</f>
        <v/>
      </c>
      <c r="CA1245" s="76">
        <f>IF(TRIM($AF1245&amp;"")="","NR",LEFT(TRIM($AF1245),2))</f>
        <v/>
      </c>
      <c r="CB1245" s="76">
        <f>IFERROR(LOOKUP(2,1/(LEFT(TRIM($AI1245&amp;""),LEN(mapRegion))=mapRegion),mapRegion),"Not Reported")</f>
        <v/>
      </c>
      <c r="CC1245" s="76">
        <f>IF($BY1245=0,"",IF(TRIM($W1245&amp;"")="REO","REO",IF(TRIM($W1245&amp;"")="FC","Foreclosure",IF(TRIM($W1245&amp;"")="90+","90+ Days Delinquent",IF(TRIM($W1245&amp;"")="60","60 Days Delinquent",IF(TRIM($W1245&amp;"")="30","30 Days Delinquent",IF($X1245="Non-Performing Matured Balloon","Non-Performing Matured Balloon",IF(OR($X1245="Late Payment But Less Than 30 Days Delinquent",LEFT($X1245&amp;"",20)="Payment Not Received"),"Late / In Grace (&lt;30 Days)",IF($X1245="Performing Matured Balloon","Performing Matured Balloon","Current")))))))))</f>
        <v/>
      </c>
      <c r="CD1245" s="78">
        <f>IF(OR($CC1245="REO",$CC1245="Foreclosure",$CC1245="90+ Days Delinquent",$CC1245="60 Days Delinquent",$CC1245="30 Days Delinquent",$CC1245="Non-Performing Matured Balloon"),1,0)</f>
        <v/>
      </c>
      <c r="CE1245" s="76">
        <f>IF($AB1245="Currently special serv","Currently Specially Serviced",IF($AB1245="Returned to master serv","Previously Specially Serviced","Never Specially Serviced"))</f>
        <v/>
      </c>
      <c r="CF1245" s="78">
        <f>IF($CE1245="Currently Specially Serviced",1,0)</f>
        <v/>
      </c>
      <c r="CG1245" s="76">
        <f>IF($AA1245="Yes","Currently on Watchlist",IF($AA1245="Previously","Previously on Watchlist","Never on Watchlist"))</f>
        <v/>
      </c>
      <c r="CH1245" s="78">
        <f>IF($CG1245="Currently on Watchlist",1,0)</f>
        <v/>
      </c>
      <c r="CI1245" s="76">
        <f>IF($Z1245="Full Defeasance","Fully Defeased",IF($Z1245="Portion Of Loan Previously Defeased","Partially Defeased",IF($Z1245="Defeasance Not Allowable","Not Defeased (Not Permitted)","Not Defeased")))</f>
        <v/>
      </c>
      <c r="CJ1245" s="78">
        <f>IF($CI1245="Fully Defeased",1,0)</f>
        <v/>
      </c>
      <c r="CK1245" s="76">
        <f>IF($R1245="IO","Full IO",IF(LEFT($R1245&amp;"",7)="IO then","Partial IO","Amortizing"))</f>
        <v/>
      </c>
      <c r="CL1245" s="78">
        <f>IF($CK1245="Full IO",1,0)</f>
        <v/>
      </c>
      <c r="CM1245" s="78">
        <f>IF($CK1245="Partial IO",1,0)</f>
        <v/>
      </c>
      <c r="CN1245" s="76">
        <f>IF(LEFT($F1245&amp;"",10)="SPLIT_LOAN","Pari Passu Split","Standalone")</f>
        <v/>
      </c>
      <c r="CO1245" s="78">
        <f>IF($CN1245="Pari Passu Split",1,0)</f>
        <v/>
      </c>
      <c r="CP1245" s="77">
        <f>IF(ISNUMBER($T1245),YEAR($T1245),"")</f>
        <v/>
      </c>
      <c r="CQ1245" s="79">
        <f>IF(ISNUMBER($V1245),$V1245,IF(ISNUMBER($U1245),$U1245,""))</f>
        <v/>
      </c>
      <c r="CR1245" s="77">
        <f>IF(ISNUMBER($CQ1245),YEAR($CQ1245),"")</f>
        <v/>
      </c>
      <c r="CS1245" s="78">
        <f>IF(ISNUMBER($M1245),MAX(0,$M1245),IF(TRIM($M1245&amp;"")="matured",0,""))</f>
        <v/>
      </c>
      <c r="CT1245" s="78">
        <f>IF(AND(ISNUMBER($CS1245),N($CS1245)&lt;=mMatWindow),1,0)</f>
        <v/>
      </c>
      <c r="CU1245" s="80">
        <f>IF(ISNUMBER($J1245),$J1245/100,"")</f>
        <v/>
      </c>
      <c r="CV1245" s="81">
        <f>IF(ISNUMBER($AQ1245),$AQ1245,"")</f>
        <v/>
      </c>
      <c r="CW1245" s="81">
        <f>IF(ISNUMBER($AR1245),$AR1245,"")</f>
        <v/>
      </c>
      <c r="CX1245" s="82">
        <f>IF(ISNUMBER($AS1245),$AS1245/100,"")</f>
        <v/>
      </c>
      <c r="CY1245" s="82">
        <f>IF(ISNUMBER($AT1245),$AT1245/100,"")</f>
        <v/>
      </c>
      <c r="CZ1245" s="82">
        <f>IF(ISNUMBER($AU1245),$AU1245/100,"")</f>
        <v/>
      </c>
      <c r="DA1245" s="82">
        <f>IF(ISNUMBER($AV1245),$AV1245/100,"")</f>
        <v/>
      </c>
      <c r="DB1245" s="82">
        <f>IF(ISNUMBER($AW1245),$AW1245/100,"")</f>
        <v/>
      </c>
      <c r="DC1245" s="82">
        <f>IF(ISNUMBER($AX1245),$AX1245/100,"")</f>
        <v/>
      </c>
      <c r="DD1245" s="77">
        <f>IFERROR(VALUE(LEFT(TRIM($AO1245&amp;""),4)),"")</f>
        <v/>
      </c>
      <c r="DE1245" s="78">
        <f>IF(AND($BY1245=1,$BX1245=1,OR(fDeal="All Deals",$BU1245=fDeal),OR(fEntity="All Entities",$BV1245=fEntity),OR(fPType="All Property Types",$BZ1245=fPType),OR(fDefeased="Include",$CJ1245=0)),1,0)</f>
        <v/>
      </c>
      <c r="DF1245" s="83">
        <f>$DE1245*N($I1245)</f>
        <v/>
      </c>
      <c r="DG1245" s="78">
        <f>IF($DE1245=1,IF(COUNTIFS($F$8:$F1245,$F1245,$DE$8:$DE1245,1)=1,1,0),0)</f>
        <v/>
      </c>
      <c r="DH1245" s="83">
        <f>IF($DG1245=1,SUMIFS($DF$8:$DF$1600,$F$8:$F$1600,$F1245),0)</f>
        <v/>
      </c>
      <c r="DI1245" s="78">
        <f>IF($DG1245=1,COUNTIFS($F$8:$F$1600,$F1245,$DE$8:$DE$1600,1),0)</f>
        <v/>
      </c>
      <c r="DJ1245" s="84">
        <f>IF($DG1245=1,$DH1245+(100000-ROW())/mTieBreak,0)</f>
        <v/>
      </c>
    </row>
    <row r="1246">
      <c r="B1246" s="68" t="n">
        <v>13</v>
      </c>
      <c r="C1246" s="69" t="inlineStr">
        <is>
          <t>UBS18C12</t>
        </is>
      </c>
      <c r="D1246" s="69" t="inlineStr">
        <is>
          <t>13.000</t>
        </is>
      </c>
      <c r="E1246" s="69" t="inlineStr">
        <is>
          <t>Smithridge Plaza</t>
        </is>
      </c>
      <c r="F1246" s="69" t="inlineStr">
        <is>
          <t>LNUBS18C12-13.000</t>
        </is>
      </c>
      <c r="G1246" s="70" t="n"/>
      <c r="H1246" s="71" t="n">
        <v>17420000</v>
      </c>
      <c r="I1246" s="71" t="n">
        <v>17420000</v>
      </c>
      <c r="J1246" s="72" t="n">
        <v>4.951</v>
      </c>
      <c r="K1246" s="69" t="inlineStr">
        <is>
          <t>Fixed rate</t>
        </is>
      </c>
      <c r="L1246" s="68" t="n">
        <v>120</v>
      </c>
      <c r="M1246" s="68" t="n">
        <v>21</v>
      </c>
      <c r="N1246" s="68" t="n">
        <v>120</v>
      </c>
      <c r="O1246" s="68" t="n">
        <v>120</v>
      </c>
      <c r="P1246" s="68" t="n">
        <v>21</v>
      </c>
      <c r="Q1246" s="68" t="n">
        <v>99</v>
      </c>
      <c r="R1246" s="69" t="inlineStr">
        <is>
          <t>IO</t>
        </is>
      </c>
      <c r="S1246" s="69" t="inlineStr">
        <is>
          <t>Yes</t>
        </is>
      </c>
      <c r="T1246" s="73" t="n">
        <v>43252</v>
      </c>
      <c r="U1246" s="73" t="n">
        <v>46909</v>
      </c>
      <c r="V1246" s="73" t="n"/>
      <c r="W1246" s="69" t="n"/>
      <c r="X1246" s="69" t="inlineStr">
        <is>
          <t>Current</t>
        </is>
      </c>
      <c r="Y1246" s="68" t="n"/>
      <c r="Z1246" s="69" t="inlineStr">
        <is>
          <t>No Defeasance Occurred</t>
        </is>
      </c>
      <c r="AA1246" s="69" t="inlineStr">
        <is>
          <t>Previously</t>
        </is>
      </c>
      <c r="AB1246" s="69" t="inlineStr">
        <is>
          <t>Never special serv</t>
        </is>
      </c>
      <c r="AC1246" s="73" t="n"/>
      <c r="AD1246" s="69" t="n"/>
      <c r="AE1246" s="69" t="n"/>
      <c r="AF1246" s="69" t="inlineStr">
        <is>
          <t>NV</t>
        </is>
      </c>
      <c r="AG1246" s="69" t="inlineStr">
        <is>
          <t>Reno</t>
        </is>
      </c>
      <c r="AH1246" s="69" t="inlineStr">
        <is>
          <t>Reno, NV</t>
        </is>
      </c>
      <c r="AI1246" s="69" t="inlineStr">
        <is>
          <t>West / Mountain</t>
        </is>
      </c>
      <c r="AJ1246" s="69" t="inlineStr">
        <is>
          <t>RT</t>
        </is>
      </c>
      <c r="AK1246" s="69" t="inlineStr">
        <is>
          <t>Anchored</t>
        </is>
      </c>
      <c r="AL1246" s="68" t="n">
        <v>1</v>
      </c>
      <c r="AM1246" s="68" t="n"/>
      <c r="AN1246" s="68" t="n">
        <v>105592</v>
      </c>
      <c r="AO1246" s="69" t="inlineStr">
        <is>
          <t>1983, 1990</t>
        </is>
      </c>
      <c r="AP1246" s="70" t="n">
        <v>2016</v>
      </c>
      <c r="AQ1246" s="74" t="n">
        <v>1.63</v>
      </c>
      <c r="AR1246" s="74" t="n">
        <v>1.85</v>
      </c>
      <c r="AS1246" s="74" t="n">
        <v>65</v>
      </c>
      <c r="AT1246" s="74" t="n">
        <v>65</v>
      </c>
      <c r="AU1246" s="74" t="n">
        <v>65</v>
      </c>
      <c r="AV1246" s="74" t="n">
        <v>8.199746211000001</v>
      </c>
      <c r="AW1246" s="74" t="n">
        <v>8.958910333</v>
      </c>
      <c r="AX1246" s="75" t="n">
        <v>89</v>
      </c>
      <c r="AY1246" s="71" t="n">
        <v>26800000</v>
      </c>
      <c r="AZ1246" s="71" t="n">
        <v>26800000</v>
      </c>
      <c r="BA1246" s="71" t="n">
        <v>1428395.79</v>
      </c>
      <c r="BB1246" s="71" t="n">
        <v>403510.71</v>
      </c>
      <c r="BC1246" s="69" t="inlineStr">
        <is>
          <t>Acquisition</t>
        </is>
      </c>
      <c r="BD1246" s="69" t="inlineStr">
        <is>
          <t>N</t>
        </is>
      </c>
      <c r="BE1246" s="71" t="n"/>
      <c r="BF1246" s="71" t="n"/>
      <c r="BG1246" s="71" t="n"/>
      <c r="BH1246" s="71" t="n">
        <v>0</v>
      </c>
      <c r="BI1246" s="71" t="n">
        <v>0</v>
      </c>
      <c r="BJ1246" s="69" t="inlineStr">
        <is>
          <t>N</t>
        </is>
      </c>
      <c r="BK1246" s="69" t="inlineStr">
        <is>
          <t>O'Reilly Auto Parts</t>
        </is>
      </c>
      <c r="BL1246" s="75" t="n">
        <v>21.43</v>
      </c>
      <c r="BM1246" s="73" t="n">
        <v>50860</v>
      </c>
      <c r="BN1246" s="69" t="inlineStr">
        <is>
          <t>Wayne Cheng; The Cheng Family Trust u/t/d December 21, 2001</t>
        </is>
      </c>
      <c r="BO1246" s="69" t="inlineStr">
        <is>
          <t>Natixis</t>
        </is>
      </c>
      <c r="BP1246" s="69" t="inlineStr">
        <is>
          <t>Midland Loan Services</t>
        </is>
      </c>
      <c r="BQ1246" s="69" t="inlineStr">
        <is>
          <t>K-Star Asset Management LLC</t>
        </is>
      </c>
      <c r="BR1246" s="69" t="n"/>
      <c r="BS1246" s="73" t="n">
        <v>46276</v>
      </c>
      <c r="BU1246" s="76">
        <f>IF($C1246="","",IFERROR(INDEX(dmName,MATCH($C1246,dmID,0)),"Unmapped"))</f>
        <v/>
      </c>
      <c r="BV1246" s="76">
        <f>IF($C1246="","",IFERROR(INDEX(dmEntity,MATCH($C1246,dmID,0)),"Unmapped"))</f>
        <v/>
      </c>
      <c r="BW1246" s="77">
        <f>IF($C1246="","",IFERROR(INDEX(dmVintage,MATCH($C1246,dmID,0)),""))</f>
        <v/>
      </c>
      <c r="BX1246" s="78">
        <f>IFERROR(INDEX(dmInclude,MATCH($C1246,dmID,0)),0)</f>
        <v/>
      </c>
      <c r="BY1246" s="78">
        <f>IF(N($I1246)&gt;0,1,0)</f>
        <v/>
      </c>
      <c r="BZ1246" s="76">
        <f>IF($AJ1246="","Other / Leased Fee",IFERROR(INDEX(mapPTGroup,MATCH(LEFT(TRIM($AJ1246),2),mapPTCode,0)),"Other / Leased Fee"))</f>
        <v/>
      </c>
      <c r="CA1246" s="76">
        <f>IF(TRIM($AF1246&amp;"")="","NR",LEFT(TRIM($AF1246),2))</f>
        <v/>
      </c>
      <c r="CB1246" s="76">
        <f>IFERROR(LOOKUP(2,1/(LEFT(TRIM($AI1246&amp;""),LEN(mapRegion))=mapRegion),mapRegion),"Not Reported")</f>
        <v/>
      </c>
      <c r="CC1246" s="76">
        <f>IF($BY1246=0,"",IF(TRIM($W1246&amp;"")="REO","REO",IF(TRIM($W1246&amp;"")="FC","Foreclosure",IF(TRIM($W1246&amp;"")="90+","90+ Days Delinquent",IF(TRIM($W1246&amp;"")="60","60 Days Delinquent",IF(TRIM($W1246&amp;"")="30","30 Days Delinquent",IF($X1246="Non-Performing Matured Balloon","Non-Performing Matured Balloon",IF(OR($X1246="Late Payment But Less Than 30 Days Delinquent",LEFT($X1246&amp;"",20)="Payment Not Received"),"Late / In Grace (&lt;30 Days)",IF($X1246="Performing Matured Balloon","Performing Matured Balloon","Current")))))))))</f>
        <v/>
      </c>
      <c r="CD1246" s="78">
        <f>IF(OR($CC1246="REO",$CC1246="Foreclosure",$CC1246="90+ Days Delinquent",$CC1246="60 Days Delinquent",$CC1246="30 Days Delinquent",$CC1246="Non-Performing Matured Balloon"),1,0)</f>
        <v/>
      </c>
      <c r="CE1246" s="76">
        <f>IF($AB1246="Currently special serv","Currently Specially Serviced",IF($AB1246="Returned to master serv","Previously Specially Serviced","Never Specially Serviced"))</f>
        <v/>
      </c>
      <c r="CF1246" s="78">
        <f>IF($CE1246="Currently Specially Serviced",1,0)</f>
        <v/>
      </c>
      <c r="CG1246" s="76">
        <f>IF($AA1246="Yes","Currently on Watchlist",IF($AA1246="Previously","Previously on Watchlist","Never on Watchlist"))</f>
        <v/>
      </c>
      <c r="CH1246" s="78">
        <f>IF($CG1246="Currently on Watchlist",1,0)</f>
        <v/>
      </c>
      <c r="CI1246" s="76">
        <f>IF($Z1246="Full Defeasance","Fully Defeased",IF($Z1246="Portion Of Loan Previously Defeased","Partially Defeased",IF($Z1246="Defeasance Not Allowable","Not Defeased (Not Permitted)","Not Defeased")))</f>
        <v/>
      </c>
      <c r="CJ1246" s="78">
        <f>IF($CI1246="Fully Defeased",1,0)</f>
        <v/>
      </c>
      <c r="CK1246" s="76">
        <f>IF($R1246="IO","Full IO",IF(LEFT($R1246&amp;"",7)="IO then","Partial IO","Amortizing"))</f>
        <v/>
      </c>
      <c r="CL1246" s="78">
        <f>IF($CK1246="Full IO",1,0)</f>
        <v/>
      </c>
      <c r="CM1246" s="78">
        <f>IF($CK1246="Partial IO",1,0)</f>
        <v/>
      </c>
      <c r="CN1246" s="76">
        <f>IF(LEFT($F1246&amp;"",10)="SPLIT_LOAN","Pari Passu Split","Standalone")</f>
        <v/>
      </c>
      <c r="CO1246" s="78">
        <f>IF($CN1246="Pari Passu Split",1,0)</f>
        <v/>
      </c>
      <c r="CP1246" s="77">
        <f>IF(ISNUMBER($T1246),YEAR($T1246),"")</f>
        <v/>
      </c>
      <c r="CQ1246" s="79">
        <f>IF(ISNUMBER($V1246),$V1246,IF(ISNUMBER($U1246),$U1246,""))</f>
        <v/>
      </c>
      <c r="CR1246" s="77">
        <f>IF(ISNUMBER($CQ1246),YEAR($CQ1246),"")</f>
        <v/>
      </c>
      <c r="CS1246" s="78">
        <f>IF(ISNUMBER($M1246),MAX(0,$M1246),IF(TRIM($M1246&amp;"")="matured",0,""))</f>
        <v/>
      </c>
      <c r="CT1246" s="78">
        <f>IF(AND(ISNUMBER($CS1246),N($CS1246)&lt;=mMatWindow),1,0)</f>
        <v/>
      </c>
      <c r="CU1246" s="80">
        <f>IF(ISNUMBER($J1246),$J1246/100,"")</f>
        <v/>
      </c>
      <c r="CV1246" s="81">
        <f>IF(ISNUMBER($AQ1246),$AQ1246,"")</f>
        <v/>
      </c>
      <c r="CW1246" s="81">
        <f>IF(ISNUMBER($AR1246),$AR1246,"")</f>
        <v/>
      </c>
      <c r="CX1246" s="82">
        <f>IF(ISNUMBER($AS1246),$AS1246/100,"")</f>
        <v/>
      </c>
      <c r="CY1246" s="82">
        <f>IF(ISNUMBER($AT1246),$AT1246/100,"")</f>
        <v/>
      </c>
      <c r="CZ1246" s="82">
        <f>IF(ISNUMBER($AU1246),$AU1246/100,"")</f>
        <v/>
      </c>
      <c r="DA1246" s="82">
        <f>IF(ISNUMBER($AV1246),$AV1246/100,"")</f>
        <v/>
      </c>
      <c r="DB1246" s="82">
        <f>IF(ISNUMBER($AW1246),$AW1246/100,"")</f>
        <v/>
      </c>
      <c r="DC1246" s="82">
        <f>IF(ISNUMBER($AX1246),$AX1246/100,"")</f>
        <v/>
      </c>
      <c r="DD1246" s="77">
        <f>IFERROR(VALUE(LEFT(TRIM($AO1246&amp;""),4)),"")</f>
        <v/>
      </c>
      <c r="DE1246" s="78">
        <f>IF(AND($BY1246=1,$BX1246=1,OR(fDeal="All Deals",$BU1246=fDeal),OR(fEntity="All Entities",$BV1246=fEntity),OR(fPType="All Property Types",$BZ1246=fPType),OR(fDefeased="Include",$CJ1246=0)),1,0)</f>
        <v/>
      </c>
      <c r="DF1246" s="83">
        <f>$DE1246*N($I1246)</f>
        <v/>
      </c>
      <c r="DG1246" s="78">
        <f>IF($DE1246=1,IF(COUNTIFS($F$8:$F1246,$F1246,$DE$8:$DE1246,1)=1,1,0),0)</f>
        <v/>
      </c>
      <c r="DH1246" s="83">
        <f>IF($DG1246=1,SUMIFS($DF$8:$DF$1600,$F$8:$F$1600,$F1246),0)</f>
        <v/>
      </c>
      <c r="DI1246" s="78">
        <f>IF($DG1246=1,COUNTIFS($F$8:$F$1600,$F1246,$DE$8:$DE$1600,1),0)</f>
        <v/>
      </c>
      <c r="DJ1246" s="84">
        <f>IF($DG1246=1,$DH1246+(100000-ROW())/mTieBreak,0)</f>
        <v/>
      </c>
    </row>
    <row r="1247">
      <c r="B1247" s="68" t="n">
        <v>14</v>
      </c>
      <c r="C1247" s="69" t="inlineStr">
        <is>
          <t>UBS18C12</t>
        </is>
      </c>
      <c r="D1247" s="69" t="inlineStr">
        <is>
          <t>14.000</t>
        </is>
      </c>
      <c r="E1247" s="69" t="inlineStr">
        <is>
          <t>Miami Airport Industrial Portfolio</t>
        </is>
      </c>
      <c r="F1247" s="69" t="inlineStr">
        <is>
          <t>LNUBS18C12-14.000</t>
        </is>
      </c>
      <c r="G1247" s="70" t="n"/>
      <c r="H1247" s="71" t="n">
        <v>17100000</v>
      </c>
      <c r="I1247" s="71" t="n">
        <v>14874920.0499987</v>
      </c>
      <c r="J1247" s="72" t="n">
        <v>5.435</v>
      </c>
      <c r="K1247" s="69" t="inlineStr">
        <is>
          <t>Fixed rate</t>
        </is>
      </c>
      <c r="L1247" s="68" t="n">
        <v>120</v>
      </c>
      <c r="M1247" s="68" t="n">
        <v>21</v>
      </c>
      <c r="N1247" s="68" t="n">
        <v>360</v>
      </c>
      <c r="O1247" s="68" t="n"/>
      <c r="P1247" s="68" t="n"/>
      <c r="Q1247" s="68" t="n">
        <v>99</v>
      </c>
      <c r="R1247" s="69" t="n"/>
      <c r="S1247" s="69" t="inlineStr">
        <is>
          <t>No</t>
        </is>
      </c>
      <c r="T1247" s="73" t="n">
        <v>43252</v>
      </c>
      <c r="U1247" s="73" t="n">
        <v>46910</v>
      </c>
      <c r="V1247" s="73" t="n"/>
      <c r="W1247" s="69" t="n"/>
      <c r="X1247" s="69" t="inlineStr">
        <is>
          <t>Current</t>
        </is>
      </c>
      <c r="Y1247" s="68" t="n"/>
      <c r="Z1247" s="69" t="inlineStr">
        <is>
          <t>Full Defeasance</t>
        </is>
      </c>
      <c r="AA1247" s="69" t="inlineStr">
        <is>
          <t>Yes</t>
        </is>
      </c>
      <c r="AB1247" s="69" t="inlineStr">
        <is>
          <t>Never special serv</t>
        </is>
      </c>
      <c r="AC1247" s="73" t="n"/>
      <c r="AD1247" s="69" t="n"/>
      <c r="AE1247" s="69" t="n"/>
      <c r="AF1247" s="69" t="inlineStr">
        <is>
          <t>FL</t>
        </is>
      </c>
      <c r="AG1247" s="69" t="inlineStr">
        <is>
          <t>Miami</t>
        </is>
      </c>
      <c r="AH1247" s="69" t="inlineStr">
        <is>
          <t>Miami-Fort Lauderdale-West Palm Beach, FL</t>
        </is>
      </c>
      <c r="AI1247" s="69" t="inlineStr">
        <is>
          <t>South / Atlantic</t>
        </is>
      </c>
      <c r="AJ1247" s="69" t="inlineStr">
        <is>
          <t>IN</t>
        </is>
      </c>
      <c r="AK1247" s="69" t="inlineStr">
        <is>
          <t>Warehouse</t>
        </is>
      </c>
      <c r="AL1247" s="68" t="n">
        <v>2</v>
      </c>
      <c r="AM1247" s="68" t="n"/>
      <c r="AN1247" s="68" t="n">
        <v>211852</v>
      </c>
      <c r="AO1247" s="69" t="n"/>
      <c r="AP1247" s="70" t="n">
        <v>2005</v>
      </c>
      <c r="AQ1247" s="74" t="n">
        <v>1.68</v>
      </c>
      <c r="AR1247" s="74" t="n">
        <v>1.75</v>
      </c>
      <c r="AS1247" s="74" t="n">
        <v>74.8</v>
      </c>
      <c r="AT1247" s="74" t="n">
        <v>65.23999999999999</v>
      </c>
      <c r="AU1247" s="74" t="n">
        <v>62.5</v>
      </c>
      <c r="AV1247" s="74" t="n">
        <v>11.388917193</v>
      </c>
      <c r="AW1247" s="74" t="n">
        <v>13.473307374</v>
      </c>
      <c r="AX1247" s="75" t="n"/>
      <c r="AY1247" s="71" t="n">
        <v>22800000</v>
      </c>
      <c r="AZ1247" s="71" t="n">
        <v>22800000</v>
      </c>
      <c r="BA1247" s="71" t="n">
        <v>1947504.84</v>
      </c>
      <c r="BB1247" s="71" t="n">
        <v>505774.17</v>
      </c>
      <c r="BC1247" s="69" t="inlineStr">
        <is>
          <t>Acquisition</t>
        </is>
      </c>
      <c r="BD1247" s="69" t="inlineStr">
        <is>
          <t>N</t>
        </is>
      </c>
      <c r="BE1247" s="71" t="n"/>
      <c r="BF1247" s="71" t="n"/>
      <c r="BG1247" s="71" t="n"/>
      <c r="BH1247" s="71" t="n">
        <v>0</v>
      </c>
      <c r="BI1247" s="71" t="n">
        <v>0</v>
      </c>
      <c r="BJ1247" s="69" t="inlineStr">
        <is>
          <t>N</t>
        </is>
      </c>
      <c r="BK1247" s="69" t="inlineStr">
        <is>
          <t>Sky Chefs Inc.</t>
        </is>
      </c>
      <c r="BL1247" s="75" t="n">
        <v>100</v>
      </c>
      <c r="BM1247" s="73" t="n">
        <v>47391</v>
      </c>
      <c r="BN1247" s="69" t="inlineStr">
        <is>
          <t>SD US Holdings LLC</t>
        </is>
      </c>
      <c r="BO1247" s="69" t="inlineStr">
        <is>
          <t>UBS</t>
        </is>
      </c>
      <c r="BP1247" s="69" t="inlineStr">
        <is>
          <t>Midland Loan Services</t>
        </is>
      </c>
      <c r="BQ1247" s="69" t="inlineStr">
        <is>
          <t>K-Star Asset Management LLC</t>
        </is>
      </c>
      <c r="BR1247" s="69" t="n"/>
      <c r="BS1247" s="73" t="n">
        <v>46276</v>
      </c>
      <c r="BU1247" s="76">
        <f>IF($C1247="","",IFERROR(INDEX(dmName,MATCH($C1247,dmID,0)),"Unmapped"))</f>
        <v/>
      </c>
      <c r="BV1247" s="76">
        <f>IF($C1247="","",IFERROR(INDEX(dmEntity,MATCH($C1247,dmID,0)),"Unmapped"))</f>
        <v/>
      </c>
      <c r="BW1247" s="77">
        <f>IF($C1247="","",IFERROR(INDEX(dmVintage,MATCH($C1247,dmID,0)),""))</f>
        <v/>
      </c>
      <c r="BX1247" s="78">
        <f>IFERROR(INDEX(dmInclude,MATCH($C1247,dmID,0)),0)</f>
        <v/>
      </c>
      <c r="BY1247" s="78">
        <f>IF(N($I1247)&gt;0,1,0)</f>
        <v/>
      </c>
      <c r="BZ1247" s="76">
        <f>IF($AJ1247="","Other / Leased Fee",IFERROR(INDEX(mapPTGroup,MATCH(LEFT(TRIM($AJ1247),2),mapPTCode,0)),"Other / Leased Fee"))</f>
        <v/>
      </c>
      <c r="CA1247" s="76">
        <f>IF(TRIM($AF1247&amp;"")="","NR",LEFT(TRIM($AF1247),2))</f>
        <v/>
      </c>
      <c r="CB1247" s="76">
        <f>IFERROR(LOOKUP(2,1/(LEFT(TRIM($AI1247&amp;""),LEN(mapRegion))=mapRegion),mapRegion),"Not Reported")</f>
        <v/>
      </c>
      <c r="CC1247" s="76">
        <f>IF($BY1247=0,"",IF(TRIM($W1247&amp;"")="REO","REO",IF(TRIM($W1247&amp;"")="FC","Foreclosure",IF(TRIM($W1247&amp;"")="90+","90+ Days Delinquent",IF(TRIM($W1247&amp;"")="60","60 Days Delinquent",IF(TRIM($W1247&amp;"")="30","30 Days Delinquent",IF($X1247="Non-Performing Matured Balloon","Non-Performing Matured Balloon",IF(OR($X1247="Late Payment But Less Than 30 Days Delinquent",LEFT($X1247&amp;"",20)="Payment Not Received"),"Late / In Grace (&lt;30 Days)",IF($X1247="Performing Matured Balloon","Performing Matured Balloon","Current")))))))))</f>
        <v/>
      </c>
      <c r="CD1247" s="78">
        <f>IF(OR($CC1247="REO",$CC1247="Foreclosure",$CC1247="90+ Days Delinquent",$CC1247="60 Days Delinquent",$CC1247="30 Days Delinquent",$CC1247="Non-Performing Matured Balloon"),1,0)</f>
        <v/>
      </c>
      <c r="CE1247" s="76">
        <f>IF($AB1247="Currently special serv","Currently Specially Serviced",IF($AB1247="Returned to master serv","Previously Specially Serviced","Never Specially Serviced"))</f>
        <v/>
      </c>
      <c r="CF1247" s="78">
        <f>IF($CE1247="Currently Specially Serviced",1,0)</f>
        <v/>
      </c>
      <c r="CG1247" s="76">
        <f>IF($AA1247="Yes","Currently on Watchlist",IF($AA1247="Previously","Previously on Watchlist","Never on Watchlist"))</f>
        <v/>
      </c>
      <c r="CH1247" s="78">
        <f>IF($CG1247="Currently on Watchlist",1,0)</f>
        <v/>
      </c>
      <c r="CI1247" s="76">
        <f>IF($Z1247="Full Defeasance","Fully Defeased",IF($Z1247="Portion Of Loan Previously Defeased","Partially Defeased",IF($Z1247="Defeasance Not Allowable","Not Defeased (Not Permitted)","Not Defeased")))</f>
        <v/>
      </c>
      <c r="CJ1247" s="78">
        <f>IF($CI1247="Fully Defeased",1,0)</f>
        <v/>
      </c>
      <c r="CK1247" s="76">
        <f>IF($R1247="IO","Full IO",IF(LEFT($R1247&amp;"",7)="IO then","Partial IO","Amortizing"))</f>
        <v/>
      </c>
      <c r="CL1247" s="78">
        <f>IF($CK1247="Full IO",1,0)</f>
        <v/>
      </c>
      <c r="CM1247" s="78">
        <f>IF($CK1247="Partial IO",1,0)</f>
        <v/>
      </c>
      <c r="CN1247" s="76">
        <f>IF(LEFT($F1247&amp;"",10)="SPLIT_LOAN","Pari Passu Split","Standalone")</f>
        <v/>
      </c>
      <c r="CO1247" s="78">
        <f>IF($CN1247="Pari Passu Split",1,0)</f>
        <v/>
      </c>
      <c r="CP1247" s="77">
        <f>IF(ISNUMBER($T1247),YEAR($T1247),"")</f>
        <v/>
      </c>
      <c r="CQ1247" s="79">
        <f>IF(ISNUMBER($V1247),$V1247,IF(ISNUMBER($U1247),$U1247,""))</f>
        <v/>
      </c>
      <c r="CR1247" s="77">
        <f>IF(ISNUMBER($CQ1247),YEAR($CQ1247),"")</f>
        <v/>
      </c>
      <c r="CS1247" s="78">
        <f>IF(ISNUMBER($M1247),MAX(0,$M1247),IF(TRIM($M1247&amp;"")="matured",0,""))</f>
        <v/>
      </c>
      <c r="CT1247" s="78">
        <f>IF(AND(ISNUMBER($CS1247),N($CS1247)&lt;=mMatWindow),1,0)</f>
        <v/>
      </c>
      <c r="CU1247" s="80">
        <f>IF(ISNUMBER($J1247),$J1247/100,"")</f>
        <v/>
      </c>
      <c r="CV1247" s="81">
        <f>IF(ISNUMBER($AQ1247),$AQ1247,"")</f>
        <v/>
      </c>
      <c r="CW1247" s="81">
        <f>IF(ISNUMBER($AR1247),$AR1247,"")</f>
        <v/>
      </c>
      <c r="CX1247" s="82">
        <f>IF(ISNUMBER($AS1247),$AS1247/100,"")</f>
        <v/>
      </c>
      <c r="CY1247" s="82">
        <f>IF(ISNUMBER($AT1247),$AT1247/100,"")</f>
        <v/>
      </c>
      <c r="CZ1247" s="82">
        <f>IF(ISNUMBER($AU1247),$AU1247/100,"")</f>
        <v/>
      </c>
      <c r="DA1247" s="82">
        <f>IF(ISNUMBER($AV1247),$AV1247/100,"")</f>
        <v/>
      </c>
      <c r="DB1247" s="82">
        <f>IF(ISNUMBER($AW1247),$AW1247/100,"")</f>
        <v/>
      </c>
      <c r="DC1247" s="82">
        <f>IF(ISNUMBER($AX1247),$AX1247/100,"")</f>
        <v/>
      </c>
      <c r="DD1247" s="77">
        <f>IFERROR(VALUE(LEFT(TRIM($AO1247&amp;""),4)),"")</f>
        <v/>
      </c>
      <c r="DE1247" s="78">
        <f>IF(AND($BY1247=1,$BX1247=1,OR(fDeal="All Deals",$BU1247=fDeal),OR(fEntity="All Entities",$BV1247=fEntity),OR(fPType="All Property Types",$BZ1247=fPType),OR(fDefeased="Include",$CJ1247=0)),1,0)</f>
        <v/>
      </c>
      <c r="DF1247" s="83">
        <f>$DE1247*N($I1247)</f>
        <v/>
      </c>
      <c r="DG1247" s="78">
        <f>IF($DE1247=1,IF(COUNTIFS($F$8:$F1247,$F1247,$DE$8:$DE1247,1)=1,1,0),0)</f>
        <v/>
      </c>
      <c r="DH1247" s="83">
        <f>IF($DG1247=1,SUMIFS($DF$8:$DF$1600,$F$8:$F$1600,$F1247),0)</f>
        <v/>
      </c>
      <c r="DI1247" s="78">
        <f>IF($DG1247=1,COUNTIFS($F$8:$F$1600,$F1247,$DE$8:$DE$1600,1),0)</f>
        <v/>
      </c>
      <c r="DJ1247" s="84">
        <f>IF($DG1247=1,$DH1247+(100000-ROW())/mTieBreak,0)</f>
        <v/>
      </c>
    </row>
    <row r="1248">
      <c r="B1248" s="68" t="n">
        <v>15</v>
      </c>
      <c r="C1248" s="69" t="inlineStr">
        <is>
          <t>UBS18C12</t>
        </is>
      </c>
      <c r="D1248" s="69" t="inlineStr">
        <is>
          <t>15.000</t>
        </is>
      </c>
      <c r="E1248" s="69" t="inlineStr">
        <is>
          <t>River Place Apartments</t>
        </is>
      </c>
      <c r="F1248" s="69" t="inlineStr">
        <is>
          <t>LNUBS18C12-15.000</t>
        </is>
      </c>
      <c r="G1248" s="70" t="n"/>
      <c r="H1248" s="71" t="n">
        <v>17000000</v>
      </c>
      <c r="I1248" s="71" t="n">
        <v>17000000</v>
      </c>
      <c r="J1248" s="72" t="n">
        <v>4.333</v>
      </c>
      <c r="K1248" s="69" t="inlineStr">
        <is>
          <t>Fixed rate</t>
        </is>
      </c>
      <c r="L1248" s="68" t="n">
        <v>120</v>
      </c>
      <c r="M1248" s="68" t="n">
        <v>22</v>
      </c>
      <c r="N1248" s="68" t="n">
        <v>120</v>
      </c>
      <c r="O1248" s="68" t="n">
        <v>120</v>
      </c>
      <c r="P1248" s="68" t="n">
        <v>22</v>
      </c>
      <c r="Q1248" s="68" t="n">
        <v>98</v>
      </c>
      <c r="R1248" s="69" t="inlineStr">
        <is>
          <t>IO</t>
        </is>
      </c>
      <c r="S1248" s="69" t="inlineStr">
        <is>
          <t>Yes</t>
        </is>
      </c>
      <c r="T1248" s="73" t="n">
        <v>43282</v>
      </c>
      <c r="U1248" s="73" t="n">
        <v>46940</v>
      </c>
      <c r="V1248" s="73" t="n"/>
      <c r="W1248" s="69" t="n"/>
      <c r="X1248" s="69" t="inlineStr">
        <is>
          <t>Current</t>
        </is>
      </c>
      <c r="Y1248" s="68" t="n"/>
      <c r="Z1248" s="69" t="inlineStr">
        <is>
          <t>No Defeasance Occurred</t>
        </is>
      </c>
      <c r="AA1248" s="69" t="n"/>
      <c r="AB1248" s="69" t="inlineStr">
        <is>
          <t>Never special serv</t>
        </is>
      </c>
      <c r="AC1248" s="73" t="n"/>
      <c r="AD1248" s="69" t="n"/>
      <c r="AE1248" s="69" t="n"/>
      <c r="AF1248" s="69" t="inlineStr">
        <is>
          <t>MI</t>
        </is>
      </c>
      <c r="AG1248" s="69" t="inlineStr">
        <is>
          <t>Detroit</t>
        </is>
      </c>
      <c r="AH1248" s="69" t="inlineStr">
        <is>
          <t>Detroit-Warren-Dearborn, MI</t>
        </is>
      </c>
      <c r="AI1248" s="69" t="inlineStr">
        <is>
          <t>Midwest / Central East</t>
        </is>
      </c>
      <c r="AJ1248" s="69" t="inlineStr">
        <is>
          <t>MF</t>
        </is>
      </c>
      <c r="AK1248" s="69" t="inlineStr">
        <is>
          <t>Mid Rise</t>
        </is>
      </c>
      <c r="AL1248" s="68" t="n">
        <v>1</v>
      </c>
      <c r="AM1248" s="68" t="n">
        <v>299</v>
      </c>
      <c r="AN1248" s="68" t="n"/>
      <c r="AO1248" s="69" t="inlineStr">
        <is>
          <t>1891, 1908, 1989</t>
        </is>
      </c>
      <c r="AP1248" s="70" t="n">
        <v>1989</v>
      </c>
      <c r="AQ1248" s="74" t="n">
        <v>3.13</v>
      </c>
      <c r="AR1248" s="74" t="n">
        <v>2.18</v>
      </c>
      <c r="AS1248" s="74" t="n">
        <v>51.8</v>
      </c>
      <c r="AT1248" s="74" t="n">
        <v>51.83</v>
      </c>
      <c r="AU1248" s="74" t="n">
        <v>51.8</v>
      </c>
      <c r="AV1248" s="74" t="n">
        <v>13.763845118</v>
      </c>
      <c r="AW1248" s="74" t="n">
        <v>9.568188234999999</v>
      </c>
      <c r="AX1248" s="75" t="n">
        <v>87</v>
      </c>
      <c r="AY1248" s="71" t="n">
        <v>32800000</v>
      </c>
      <c r="AZ1248" s="71" t="n">
        <v>32800000</v>
      </c>
      <c r="BA1248" s="71" t="n">
        <v>2339853.67</v>
      </c>
      <c r="BB1248" s="71" t="n">
        <v>1626592</v>
      </c>
      <c r="BC1248" s="69" t="inlineStr">
        <is>
          <t>Refinance</t>
        </is>
      </c>
      <c r="BD1248" s="69" t="inlineStr">
        <is>
          <t>N</t>
        </is>
      </c>
      <c r="BE1248" s="71" t="n"/>
      <c r="BF1248" s="71" t="n"/>
      <c r="BG1248" s="71" t="n"/>
      <c r="BH1248" s="71" t="n">
        <v>0</v>
      </c>
      <c r="BI1248" s="71" t="n">
        <v>0</v>
      </c>
      <c r="BJ1248" s="69" t="inlineStr">
        <is>
          <t>N</t>
        </is>
      </c>
      <c r="BK1248" s="69" t="n"/>
      <c r="BL1248" s="75" t="n"/>
      <c r="BM1248" s="73" t="n"/>
      <c r="BN1248" s="69" t="inlineStr">
        <is>
          <t>Matthew B. Lester</t>
        </is>
      </c>
      <c r="BO1248" s="69" t="inlineStr">
        <is>
          <t>UBS</t>
        </is>
      </c>
      <c r="BP1248" s="69" t="inlineStr">
        <is>
          <t>Midland Loan Services</t>
        </is>
      </c>
      <c r="BQ1248" s="69" t="inlineStr">
        <is>
          <t>K-Star Asset Management LLC</t>
        </is>
      </c>
      <c r="BR1248" s="69" t="n"/>
      <c r="BS1248" s="73" t="n">
        <v>46276</v>
      </c>
      <c r="BU1248" s="76">
        <f>IF($C1248="","",IFERROR(INDEX(dmName,MATCH($C1248,dmID,0)),"Unmapped"))</f>
        <v/>
      </c>
      <c r="BV1248" s="76">
        <f>IF($C1248="","",IFERROR(INDEX(dmEntity,MATCH($C1248,dmID,0)),"Unmapped"))</f>
        <v/>
      </c>
      <c r="BW1248" s="77">
        <f>IF($C1248="","",IFERROR(INDEX(dmVintage,MATCH($C1248,dmID,0)),""))</f>
        <v/>
      </c>
      <c r="BX1248" s="78">
        <f>IFERROR(INDEX(dmInclude,MATCH($C1248,dmID,0)),0)</f>
        <v/>
      </c>
      <c r="BY1248" s="78">
        <f>IF(N($I1248)&gt;0,1,0)</f>
        <v/>
      </c>
      <c r="BZ1248" s="76">
        <f>IF($AJ1248="","Other / Leased Fee",IFERROR(INDEX(mapPTGroup,MATCH(LEFT(TRIM($AJ1248),2),mapPTCode,0)),"Other / Leased Fee"))</f>
        <v/>
      </c>
      <c r="CA1248" s="76">
        <f>IF(TRIM($AF1248&amp;"")="","NR",LEFT(TRIM($AF1248),2))</f>
        <v/>
      </c>
      <c r="CB1248" s="76">
        <f>IFERROR(LOOKUP(2,1/(LEFT(TRIM($AI1248&amp;""),LEN(mapRegion))=mapRegion),mapRegion),"Not Reported")</f>
        <v/>
      </c>
      <c r="CC1248" s="76">
        <f>IF($BY1248=0,"",IF(TRIM($W1248&amp;"")="REO","REO",IF(TRIM($W1248&amp;"")="FC","Foreclosure",IF(TRIM($W1248&amp;"")="90+","90+ Days Delinquent",IF(TRIM($W1248&amp;"")="60","60 Days Delinquent",IF(TRIM($W1248&amp;"")="30","30 Days Delinquent",IF($X1248="Non-Performing Matured Balloon","Non-Performing Matured Balloon",IF(OR($X1248="Late Payment But Less Than 30 Days Delinquent",LEFT($X1248&amp;"",20)="Payment Not Received"),"Late / In Grace (&lt;30 Days)",IF($X1248="Performing Matured Balloon","Performing Matured Balloon","Current")))))))))</f>
        <v/>
      </c>
      <c r="CD1248" s="78">
        <f>IF(OR($CC1248="REO",$CC1248="Foreclosure",$CC1248="90+ Days Delinquent",$CC1248="60 Days Delinquent",$CC1248="30 Days Delinquent",$CC1248="Non-Performing Matured Balloon"),1,0)</f>
        <v/>
      </c>
      <c r="CE1248" s="76">
        <f>IF($AB1248="Currently special serv","Currently Specially Serviced",IF($AB1248="Returned to master serv","Previously Specially Serviced","Never Specially Serviced"))</f>
        <v/>
      </c>
      <c r="CF1248" s="78">
        <f>IF($CE1248="Currently Specially Serviced",1,0)</f>
        <v/>
      </c>
      <c r="CG1248" s="76">
        <f>IF($AA1248="Yes","Currently on Watchlist",IF($AA1248="Previously","Previously on Watchlist","Never on Watchlist"))</f>
        <v/>
      </c>
      <c r="CH1248" s="78">
        <f>IF($CG1248="Currently on Watchlist",1,0)</f>
        <v/>
      </c>
      <c r="CI1248" s="76">
        <f>IF($Z1248="Full Defeasance","Fully Defeased",IF($Z1248="Portion Of Loan Previously Defeased","Partially Defeased",IF($Z1248="Defeasance Not Allowable","Not Defeased (Not Permitted)","Not Defeased")))</f>
        <v/>
      </c>
      <c r="CJ1248" s="78">
        <f>IF($CI1248="Fully Defeased",1,0)</f>
        <v/>
      </c>
      <c r="CK1248" s="76">
        <f>IF($R1248="IO","Full IO",IF(LEFT($R1248&amp;"",7)="IO then","Partial IO","Amortizing"))</f>
        <v/>
      </c>
      <c r="CL1248" s="78">
        <f>IF($CK1248="Full IO",1,0)</f>
        <v/>
      </c>
      <c r="CM1248" s="78">
        <f>IF($CK1248="Partial IO",1,0)</f>
        <v/>
      </c>
      <c r="CN1248" s="76">
        <f>IF(LEFT($F1248&amp;"",10)="SPLIT_LOAN","Pari Passu Split","Standalone")</f>
        <v/>
      </c>
      <c r="CO1248" s="78">
        <f>IF($CN1248="Pari Passu Split",1,0)</f>
        <v/>
      </c>
      <c r="CP1248" s="77">
        <f>IF(ISNUMBER($T1248),YEAR($T1248),"")</f>
        <v/>
      </c>
      <c r="CQ1248" s="79">
        <f>IF(ISNUMBER($V1248),$V1248,IF(ISNUMBER($U1248),$U1248,""))</f>
        <v/>
      </c>
      <c r="CR1248" s="77">
        <f>IF(ISNUMBER($CQ1248),YEAR($CQ1248),"")</f>
        <v/>
      </c>
      <c r="CS1248" s="78">
        <f>IF(ISNUMBER($M1248),MAX(0,$M1248),IF(TRIM($M1248&amp;"")="matured",0,""))</f>
        <v/>
      </c>
      <c r="CT1248" s="78">
        <f>IF(AND(ISNUMBER($CS1248),N($CS1248)&lt;=mMatWindow),1,0)</f>
        <v/>
      </c>
      <c r="CU1248" s="80">
        <f>IF(ISNUMBER($J1248),$J1248/100,"")</f>
        <v/>
      </c>
      <c r="CV1248" s="81">
        <f>IF(ISNUMBER($AQ1248),$AQ1248,"")</f>
        <v/>
      </c>
      <c r="CW1248" s="81">
        <f>IF(ISNUMBER($AR1248),$AR1248,"")</f>
        <v/>
      </c>
      <c r="CX1248" s="82">
        <f>IF(ISNUMBER($AS1248),$AS1248/100,"")</f>
        <v/>
      </c>
      <c r="CY1248" s="82">
        <f>IF(ISNUMBER($AT1248),$AT1248/100,"")</f>
        <v/>
      </c>
      <c r="CZ1248" s="82">
        <f>IF(ISNUMBER($AU1248),$AU1248/100,"")</f>
        <v/>
      </c>
      <c r="DA1248" s="82">
        <f>IF(ISNUMBER($AV1248),$AV1248/100,"")</f>
        <v/>
      </c>
      <c r="DB1248" s="82">
        <f>IF(ISNUMBER($AW1248),$AW1248/100,"")</f>
        <v/>
      </c>
      <c r="DC1248" s="82">
        <f>IF(ISNUMBER($AX1248),$AX1248/100,"")</f>
        <v/>
      </c>
      <c r="DD1248" s="77">
        <f>IFERROR(VALUE(LEFT(TRIM($AO1248&amp;""),4)),"")</f>
        <v/>
      </c>
      <c r="DE1248" s="78">
        <f>IF(AND($BY1248=1,$BX1248=1,OR(fDeal="All Deals",$BU1248=fDeal),OR(fEntity="All Entities",$BV1248=fEntity),OR(fPType="All Property Types",$BZ1248=fPType),OR(fDefeased="Include",$CJ1248=0)),1,0)</f>
        <v/>
      </c>
      <c r="DF1248" s="83">
        <f>$DE1248*N($I1248)</f>
        <v/>
      </c>
      <c r="DG1248" s="78">
        <f>IF($DE1248=1,IF(COUNTIFS($F$8:$F1248,$F1248,$DE$8:$DE1248,1)=1,1,0),0)</f>
        <v/>
      </c>
      <c r="DH1248" s="83">
        <f>IF($DG1248=1,SUMIFS($DF$8:$DF$1600,$F$8:$F$1600,$F1248),0)</f>
        <v/>
      </c>
      <c r="DI1248" s="78">
        <f>IF($DG1248=1,COUNTIFS($F$8:$F$1600,$F1248,$DE$8:$DE$1600,1),0)</f>
        <v/>
      </c>
      <c r="DJ1248" s="84">
        <f>IF($DG1248=1,$DH1248+(100000-ROW())/mTieBreak,0)</f>
        <v/>
      </c>
    </row>
    <row r="1249">
      <c r="B1249" s="68" t="n">
        <v>16</v>
      </c>
      <c r="C1249" s="69" t="inlineStr">
        <is>
          <t>UBS18C12</t>
        </is>
      </c>
      <c r="D1249" s="69" t="inlineStr">
        <is>
          <t>16.000</t>
        </is>
      </c>
      <c r="E1249" s="69" t="inlineStr">
        <is>
          <t>Conway Commons</t>
        </is>
      </c>
      <c r="F1249" s="69" t="inlineStr">
        <is>
          <t>SPLIT_LOAN_01334</t>
        </is>
      </c>
      <c r="G1249" s="70" t="n">
        <v>1334</v>
      </c>
      <c r="H1249" s="71" t="n">
        <v>15000000</v>
      </c>
      <c r="I1249" s="71" t="n">
        <v>14276953.009995</v>
      </c>
      <c r="J1249" s="72" t="n">
        <v>4.69</v>
      </c>
      <c r="K1249" s="69" t="inlineStr">
        <is>
          <t>Fixed rate</t>
        </is>
      </c>
      <c r="L1249" s="68" t="n">
        <v>120</v>
      </c>
      <c r="M1249" s="68" t="n">
        <v>23</v>
      </c>
      <c r="N1249" s="68" t="n">
        <v>420</v>
      </c>
      <c r="O1249" s="68" t="n">
        <v>60</v>
      </c>
      <c r="P1249" s="68" t="n">
        <v>0</v>
      </c>
      <c r="Q1249" s="68" t="n">
        <v>97</v>
      </c>
      <c r="R1249" s="69" t="inlineStr">
        <is>
          <t>IO then Amort</t>
        </is>
      </c>
      <c r="S1249" s="69" t="inlineStr">
        <is>
          <t>No</t>
        </is>
      </c>
      <c r="T1249" s="73" t="n">
        <v>43313</v>
      </c>
      <c r="U1249" s="73" t="n">
        <v>46971</v>
      </c>
      <c r="V1249" s="73" t="n"/>
      <c r="W1249" s="69" t="n"/>
      <c r="X1249" s="69" t="inlineStr">
        <is>
          <t>Late Payment But Less Than 30 Days Delinquent</t>
        </is>
      </c>
      <c r="Y1249" s="68" t="n"/>
      <c r="Z1249" s="69" t="inlineStr">
        <is>
          <t>No Defeasance Occurred</t>
        </is>
      </c>
      <c r="AA1249" s="69" t="inlineStr">
        <is>
          <t>Yes</t>
        </is>
      </c>
      <c r="AB1249" s="69" t="inlineStr">
        <is>
          <t>Never special serv</t>
        </is>
      </c>
      <c r="AC1249" s="73" t="n"/>
      <c r="AD1249" s="69" t="n"/>
      <c r="AE1249" s="69" t="n"/>
      <c r="AF1249" s="69" t="inlineStr">
        <is>
          <t>AR</t>
        </is>
      </c>
      <c r="AG1249" s="69" t="inlineStr">
        <is>
          <t>Conway</t>
        </is>
      </c>
      <c r="AH1249" s="69" t="inlineStr">
        <is>
          <t>Little Rock-North Little Rock-Conway, AR</t>
        </is>
      </c>
      <c r="AI1249" s="69" t="inlineStr">
        <is>
          <t>South / Central West</t>
        </is>
      </c>
      <c r="AJ1249" s="69" t="inlineStr">
        <is>
          <t>RT</t>
        </is>
      </c>
      <c r="AK1249" s="69" t="inlineStr">
        <is>
          <t>Anchored</t>
        </is>
      </c>
      <c r="AL1249" s="68" t="n">
        <v>1</v>
      </c>
      <c r="AM1249" s="68" t="n"/>
      <c r="AN1249" s="68" t="n">
        <v>359995</v>
      </c>
      <c r="AO1249" s="69" t="inlineStr">
        <is>
          <t>2004</t>
        </is>
      </c>
      <c r="AP1249" s="70" t="n">
        <v>2011</v>
      </c>
      <c r="AQ1249" s="74" t="n">
        <v>2.01</v>
      </c>
      <c r="AR1249" s="74" t="n">
        <v>1.73</v>
      </c>
      <c r="AS1249" s="74" t="n">
        <v>58.7</v>
      </c>
      <c r="AT1249" s="74" t="n">
        <v>55.83</v>
      </c>
      <c r="AU1249" s="74" t="n">
        <v>53.8</v>
      </c>
      <c r="AV1249" s="74" t="n">
        <v>9.579352381</v>
      </c>
      <c r="AW1249" s="74" t="n">
        <v>11.269381858</v>
      </c>
      <c r="AX1249" s="75" t="n">
        <v>100</v>
      </c>
      <c r="AY1249" s="71" t="n">
        <v>80550000</v>
      </c>
      <c r="AZ1249" s="71" t="n">
        <v>80550000</v>
      </c>
      <c r="BA1249" s="71" t="n">
        <v>4526244</v>
      </c>
      <c r="BB1249" s="71" t="n">
        <v>5068111.71</v>
      </c>
      <c r="BC1249" s="69" t="inlineStr">
        <is>
          <t>Refinance</t>
        </is>
      </c>
      <c r="BD1249" s="69" t="inlineStr">
        <is>
          <t>N</t>
        </is>
      </c>
      <c r="BE1249" s="71" t="n">
        <v>30695448.97</v>
      </c>
      <c r="BF1249" s="71" t="n"/>
      <c r="BG1249" s="71" t="n"/>
      <c r="BH1249" s="71" t="n">
        <v>0</v>
      </c>
      <c r="BI1249" s="71" t="n">
        <v>77659.37</v>
      </c>
      <c r="BJ1249" s="69" t="inlineStr">
        <is>
          <t>N</t>
        </is>
      </c>
      <c r="BK1249" s="69" t="inlineStr">
        <is>
          <t>TARGET#l891 SALE</t>
        </is>
      </c>
      <c r="BL1249" s="75" t="n">
        <v>34.41</v>
      </c>
      <c r="BM1249" s="73" t="n"/>
      <c r="BN1249" s="69" t="inlineStr">
        <is>
          <t>E. Stanley Kroenke</t>
        </is>
      </c>
      <c r="BO1249" s="69" t="inlineStr">
        <is>
          <t>Rialto</t>
        </is>
      </c>
      <c r="BP1249" s="69" t="inlineStr">
        <is>
          <t>Midland Loan Services</t>
        </is>
      </c>
      <c r="BQ1249" s="69" t="inlineStr">
        <is>
          <t>K-Star Asset Management LLC</t>
        </is>
      </c>
      <c r="BR1249" s="69" t="n"/>
      <c r="BS1249" s="73" t="n">
        <v>46276</v>
      </c>
      <c r="BU1249" s="76">
        <f>IF($C1249="","",IFERROR(INDEX(dmName,MATCH($C1249,dmID,0)),"Unmapped"))</f>
        <v/>
      </c>
      <c r="BV1249" s="76">
        <f>IF($C1249="","",IFERROR(INDEX(dmEntity,MATCH($C1249,dmID,0)),"Unmapped"))</f>
        <v/>
      </c>
      <c r="BW1249" s="77">
        <f>IF($C1249="","",IFERROR(INDEX(dmVintage,MATCH($C1249,dmID,0)),""))</f>
        <v/>
      </c>
      <c r="BX1249" s="78">
        <f>IFERROR(INDEX(dmInclude,MATCH($C1249,dmID,0)),0)</f>
        <v/>
      </c>
      <c r="BY1249" s="78">
        <f>IF(N($I1249)&gt;0,1,0)</f>
        <v/>
      </c>
      <c r="BZ1249" s="76">
        <f>IF($AJ1249="","Other / Leased Fee",IFERROR(INDEX(mapPTGroup,MATCH(LEFT(TRIM($AJ1249),2),mapPTCode,0)),"Other / Leased Fee"))</f>
        <v/>
      </c>
      <c r="CA1249" s="76">
        <f>IF(TRIM($AF1249&amp;"")="","NR",LEFT(TRIM($AF1249),2))</f>
        <v/>
      </c>
      <c r="CB1249" s="76">
        <f>IFERROR(LOOKUP(2,1/(LEFT(TRIM($AI1249&amp;""),LEN(mapRegion))=mapRegion),mapRegion),"Not Reported")</f>
        <v/>
      </c>
      <c r="CC1249" s="76">
        <f>IF($BY1249=0,"",IF(TRIM($W1249&amp;"")="REO","REO",IF(TRIM($W1249&amp;"")="FC","Foreclosure",IF(TRIM($W1249&amp;"")="90+","90+ Days Delinquent",IF(TRIM($W1249&amp;"")="60","60 Days Delinquent",IF(TRIM($W1249&amp;"")="30","30 Days Delinquent",IF($X1249="Non-Performing Matured Balloon","Non-Performing Matured Balloon",IF(OR($X1249="Late Payment But Less Than 30 Days Delinquent",LEFT($X1249&amp;"",20)="Payment Not Received"),"Late / In Grace (&lt;30 Days)",IF($X1249="Performing Matured Balloon","Performing Matured Balloon","Current")))))))))</f>
        <v/>
      </c>
      <c r="CD1249" s="78">
        <f>IF(OR($CC1249="REO",$CC1249="Foreclosure",$CC1249="90+ Days Delinquent",$CC1249="60 Days Delinquent",$CC1249="30 Days Delinquent",$CC1249="Non-Performing Matured Balloon"),1,0)</f>
        <v/>
      </c>
      <c r="CE1249" s="76">
        <f>IF($AB1249="Currently special serv","Currently Specially Serviced",IF($AB1249="Returned to master serv","Previously Specially Serviced","Never Specially Serviced"))</f>
        <v/>
      </c>
      <c r="CF1249" s="78">
        <f>IF($CE1249="Currently Specially Serviced",1,0)</f>
        <v/>
      </c>
      <c r="CG1249" s="76">
        <f>IF($AA1249="Yes","Currently on Watchlist",IF($AA1249="Previously","Previously on Watchlist","Never on Watchlist"))</f>
        <v/>
      </c>
      <c r="CH1249" s="78">
        <f>IF($CG1249="Currently on Watchlist",1,0)</f>
        <v/>
      </c>
      <c r="CI1249" s="76">
        <f>IF($Z1249="Full Defeasance","Fully Defeased",IF($Z1249="Portion Of Loan Previously Defeased","Partially Defeased",IF($Z1249="Defeasance Not Allowable","Not Defeased (Not Permitted)","Not Defeased")))</f>
        <v/>
      </c>
      <c r="CJ1249" s="78">
        <f>IF($CI1249="Fully Defeased",1,0)</f>
        <v/>
      </c>
      <c r="CK1249" s="76">
        <f>IF($R1249="IO","Full IO",IF(LEFT($R1249&amp;"",7)="IO then","Partial IO","Amortizing"))</f>
        <v/>
      </c>
      <c r="CL1249" s="78">
        <f>IF($CK1249="Full IO",1,0)</f>
        <v/>
      </c>
      <c r="CM1249" s="78">
        <f>IF($CK1249="Partial IO",1,0)</f>
        <v/>
      </c>
      <c r="CN1249" s="76">
        <f>IF(LEFT($F1249&amp;"",10)="SPLIT_LOAN","Pari Passu Split","Standalone")</f>
        <v/>
      </c>
      <c r="CO1249" s="78">
        <f>IF($CN1249="Pari Passu Split",1,0)</f>
        <v/>
      </c>
      <c r="CP1249" s="77">
        <f>IF(ISNUMBER($T1249),YEAR($T1249),"")</f>
        <v/>
      </c>
      <c r="CQ1249" s="79">
        <f>IF(ISNUMBER($V1249),$V1249,IF(ISNUMBER($U1249),$U1249,""))</f>
        <v/>
      </c>
      <c r="CR1249" s="77">
        <f>IF(ISNUMBER($CQ1249),YEAR($CQ1249),"")</f>
        <v/>
      </c>
      <c r="CS1249" s="78">
        <f>IF(ISNUMBER($M1249),MAX(0,$M1249),IF(TRIM($M1249&amp;"")="matured",0,""))</f>
        <v/>
      </c>
      <c r="CT1249" s="78">
        <f>IF(AND(ISNUMBER($CS1249),N($CS1249)&lt;=mMatWindow),1,0)</f>
        <v/>
      </c>
      <c r="CU1249" s="80">
        <f>IF(ISNUMBER($J1249),$J1249/100,"")</f>
        <v/>
      </c>
      <c r="CV1249" s="81">
        <f>IF(ISNUMBER($AQ1249),$AQ1249,"")</f>
        <v/>
      </c>
      <c r="CW1249" s="81">
        <f>IF(ISNUMBER($AR1249),$AR1249,"")</f>
        <v/>
      </c>
      <c r="CX1249" s="82">
        <f>IF(ISNUMBER($AS1249),$AS1249/100,"")</f>
        <v/>
      </c>
      <c r="CY1249" s="82">
        <f>IF(ISNUMBER($AT1249),$AT1249/100,"")</f>
        <v/>
      </c>
      <c r="CZ1249" s="82">
        <f>IF(ISNUMBER($AU1249),$AU1249/100,"")</f>
        <v/>
      </c>
      <c r="DA1249" s="82">
        <f>IF(ISNUMBER($AV1249),$AV1249/100,"")</f>
        <v/>
      </c>
      <c r="DB1249" s="82">
        <f>IF(ISNUMBER($AW1249),$AW1249/100,"")</f>
        <v/>
      </c>
      <c r="DC1249" s="82">
        <f>IF(ISNUMBER($AX1249),$AX1249/100,"")</f>
        <v/>
      </c>
      <c r="DD1249" s="77">
        <f>IFERROR(VALUE(LEFT(TRIM($AO1249&amp;""),4)),"")</f>
        <v/>
      </c>
      <c r="DE1249" s="78">
        <f>IF(AND($BY1249=1,$BX1249=1,OR(fDeal="All Deals",$BU1249=fDeal),OR(fEntity="All Entities",$BV1249=fEntity),OR(fPType="All Property Types",$BZ1249=fPType),OR(fDefeased="Include",$CJ1249=0)),1,0)</f>
        <v/>
      </c>
      <c r="DF1249" s="83">
        <f>$DE1249*N($I1249)</f>
        <v/>
      </c>
      <c r="DG1249" s="78">
        <f>IF($DE1249=1,IF(COUNTIFS($F$8:$F1249,$F1249,$DE$8:$DE1249,1)=1,1,0),0)</f>
        <v/>
      </c>
      <c r="DH1249" s="83">
        <f>IF($DG1249=1,SUMIFS($DF$8:$DF$1600,$F$8:$F$1600,$F1249),0)</f>
        <v/>
      </c>
      <c r="DI1249" s="78">
        <f>IF($DG1249=1,COUNTIFS($F$8:$F$1600,$F1249,$DE$8:$DE$1600,1),0)</f>
        <v/>
      </c>
      <c r="DJ1249" s="84">
        <f>IF($DG1249=1,$DH1249+(100000-ROW())/mTieBreak,0)</f>
        <v/>
      </c>
    </row>
    <row r="1250">
      <c r="B1250" s="68" t="n">
        <v>17</v>
      </c>
      <c r="C1250" s="69" t="inlineStr">
        <is>
          <t>UBS18C12</t>
        </is>
      </c>
      <c r="D1250" s="69" t="inlineStr">
        <is>
          <t>17.000</t>
        </is>
      </c>
      <c r="E1250" s="69" t="inlineStr">
        <is>
          <t>Courtyard Marriott New Braunfels</t>
        </is>
      </c>
      <c r="F1250" s="69" t="inlineStr">
        <is>
          <t>LNUBS18C12-17.000</t>
        </is>
      </c>
      <c r="G1250" s="70" t="n"/>
      <c r="H1250" s="71" t="n">
        <v>14350000</v>
      </c>
      <c r="I1250" s="71" t="n">
        <v>13272253.02999855</v>
      </c>
      <c r="J1250" s="72" t="n">
        <v>5.29</v>
      </c>
      <c r="K1250" s="69" t="inlineStr">
        <is>
          <t>Fixed rate</t>
        </is>
      </c>
      <c r="L1250" s="68" t="n">
        <v>120</v>
      </c>
      <c r="M1250" s="68" t="n">
        <v>23</v>
      </c>
      <c r="N1250" s="68" t="n">
        <v>396</v>
      </c>
      <c r="O1250" s="68" t="n">
        <v>36</v>
      </c>
      <c r="P1250" s="68" t="n">
        <v>0</v>
      </c>
      <c r="Q1250" s="68" t="n">
        <v>97</v>
      </c>
      <c r="R1250" s="69" t="inlineStr">
        <is>
          <t>IO then Amort</t>
        </is>
      </c>
      <c r="S1250" s="69" t="inlineStr">
        <is>
          <t>No</t>
        </is>
      </c>
      <c r="T1250" s="73" t="n">
        <v>43313</v>
      </c>
      <c r="U1250" s="73" t="n">
        <v>46971</v>
      </c>
      <c r="V1250" s="73" t="n"/>
      <c r="W1250" s="69" t="n"/>
      <c r="X1250" s="69" t="inlineStr">
        <is>
          <t>Current</t>
        </is>
      </c>
      <c r="Y1250" s="68" t="n"/>
      <c r="Z1250" s="69" t="inlineStr">
        <is>
          <t>Full Defeasance</t>
        </is>
      </c>
      <c r="AA1250" s="69" t="inlineStr">
        <is>
          <t>Previously</t>
        </is>
      </c>
      <c r="AB1250" s="69" t="inlineStr">
        <is>
          <t>Never special serv</t>
        </is>
      </c>
      <c r="AC1250" s="73" t="n"/>
      <c r="AD1250" s="69" t="n"/>
      <c r="AE1250" s="69" t="n"/>
      <c r="AF1250" s="69" t="inlineStr">
        <is>
          <t>TX</t>
        </is>
      </c>
      <c r="AG1250" s="69" t="inlineStr">
        <is>
          <t>New Braunfels</t>
        </is>
      </c>
      <c r="AH1250" s="69" t="inlineStr">
        <is>
          <t>San Antonio-New Braunfels, TX</t>
        </is>
      </c>
      <c r="AI1250" s="69" t="inlineStr">
        <is>
          <t>South / Central West</t>
        </is>
      </c>
      <c r="AJ1250" s="69" t="inlineStr">
        <is>
          <t>HT</t>
        </is>
      </c>
      <c r="AK1250" s="69" t="inlineStr">
        <is>
          <t>Select Service</t>
        </is>
      </c>
      <c r="AL1250" s="68" t="n">
        <v>1</v>
      </c>
      <c r="AM1250" s="68" t="n">
        <v>125</v>
      </c>
      <c r="AN1250" s="68" t="n"/>
      <c r="AO1250" s="69" t="inlineStr">
        <is>
          <t>2009</t>
        </is>
      </c>
      <c r="AP1250" s="70" t="n">
        <v>2017</v>
      </c>
      <c r="AQ1250" s="74" t="n">
        <v>2.3</v>
      </c>
      <c r="AR1250" s="74" t="n">
        <v>2.1</v>
      </c>
      <c r="AS1250" s="74" t="n">
        <v>63.2</v>
      </c>
      <c r="AT1250" s="74" t="n">
        <v>58.47</v>
      </c>
      <c r="AU1250" s="74" t="n">
        <v>56.3</v>
      </c>
      <c r="AV1250" s="74" t="n">
        <v>12.331323345</v>
      </c>
      <c r="AW1250" s="74" t="n">
        <v>15.122144789</v>
      </c>
      <c r="AX1250" s="75" t="n">
        <v>75</v>
      </c>
      <c r="AY1250" s="71" t="n">
        <v>22700000</v>
      </c>
      <c r="AZ1250" s="71" t="n">
        <v>22700000</v>
      </c>
      <c r="BA1250" s="71" t="n">
        <v>1769544.9</v>
      </c>
      <c r="BB1250" s="71" t="n">
        <v>2007049.32</v>
      </c>
      <c r="BC1250" s="69" t="inlineStr">
        <is>
          <t>Refinance</t>
        </is>
      </c>
      <c r="BD1250" s="69" t="inlineStr">
        <is>
          <t>N</t>
        </is>
      </c>
      <c r="BE1250" s="71" t="n"/>
      <c r="BF1250" s="71" t="n"/>
      <c r="BG1250" s="71" t="n"/>
      <c r="BH1250" s="71" t="n">
        <v>0</v>
      </c>
      <c r="BI1250" s="71" t="n">
        <v>0</v>
      </c>
      <c r="BJ1250" s="69" t="inlineStr">
        <is>
          <t>N</t>
        </is>
      </c>
      <c r="BK1250" s="69" t="n"/>
      <c r="BL1250" s="75" t="n"/>
      <c r="BM1250" s="73" t="n"/>
      <c r="BN1250" s="69" t="inlineStr">
        <is>
          <t>Thomas E. Kirkland; R. Hunter Goodwin; Casey M. Oldham</t>
        </is>
      </c>
      <c r="BO1250" s="69" t="inlineStr">
        <is>
          <t>Rialto</t>
        </is>
      </c>
      <c r="BP1250" s="69" t="inlineStr">
        <is>
          <t>Midland Loan Services</t>
        </is>
      </c>
      <c r="BQ1250" s="69" t="inlineStr">
        <is>
          <t>K-Star Asset Management LLC</t>
        </is>
      </c>
      <c r="BR1250" s="69" t="n"/>
      <c r="BS1250" s="73" t="n">
        <v>46276</v>
      </c>
      <c r="BU1250" s="76">
        <f>IF($C1250="","",IFERROR(INDEX(dmName,MATCH($C1250,dmID,0)),"Unmapped"))</f>
        <v/>
      </c>
      <c r="BV1250" s="76">
        <f>IF($C1250="","",IFERROR(INDEX(dmEntity,MATCH($C1250,dmID,0)),"Unmapped"))</f>
        <v/>
      </c>
      <c r="BW1250" s="77">
        <f>IF($C1250="","",IFERROR(INDEX(dmVintage,MATCH($C1250,dmID,0)),""))</f>
        <v/>
      </c>
      <c r="BX1250" s="78">
        <f>IFERROR(INDEX(dmInclude,MATCH($C1250,dmID,0)),0)</f>
        <v/>
      </c>
      <c r="BY1250" s="78">
        <f>IF(N($I1250)&gt;0,1,0)</f>
        <v/>
      </c>
      <c r="BZ1250" s="76">
        <f>IF($AJ1250="","Other / Leased Fee",IFERROR(INDEX(mapPTGroup,MATCH(LEFT(TRIM($AJ1250),2),mapPTCode,0)),"Other / Leased Fee"))</f>
        <v/>
      </c>
      <c r="CA1250" s="76">
        <f>IF(TRIM($AF1250&amp;"")="","NR",LEFT(TRIM($AF1250),2))</f>
        <v/>
      </c>
      <c r="CB1250" s="76">
        <f>IFERROR(LOOKUP(2,1/(LEFT(TRIM($AI1250&amp;""),LEN(mapRegion))=mapRegion),mapRegion),"Not Reported")</f>
        <v/>
      </c>
      <c r="CC1250" s="76">
        <f>IF($BY1250=0,"",IF(TRIM($W1250&amp;"")="REO","REO",IF(TRIM($W1250&amp;"")="FC","Foreclosure",IF(TRIM($W1250&amp;"")="90+","90+ Days Delinquent",IF(TRIM($W1250&amp;"")="60","60 Days Delinquent",IF(TRIM($W1250&amp;"")="30","30 Days Delinquent",IF($X1250="Non-Performing Matured Balloon","Non-Performing Matured Balloon",IF(OR($X1250="Late Payment But Less Than 30 Days Delinquent",LEFT($X1250&amp;"",20)="Payment Not Received"),"Late / In Grace (&lt;30 Days)",IF($X1250="Performing Matured Balloon","Performing Matured Balloon","Current")))))))))</f>
        <v/>
      </c>
      <c r="CD1250" s="78">
        <f>IF(OR($CC1250="REO",$CC1250="Foreclosure",$CC1250="90+ Days Delinquent",$CC1250="60 Days Delinquent",$CC1250="30 Days Delinquent",$CC1250="Non-Performing Matured Balloon"),1,0)</f>
        <v/>
      </c>
      <c r="CE1250" s="76">
        <f>IF($AB1250="Currently special serv","Currently Specially Serviced",IF($AB1250="Returned to master serv","Previously Specially Serviced","Never Specially Serviced"))</f>
        <v/>
      </c>
      <c r="CF1250" s="78">
        <f>IF($CE1250="Currently Specially Serviced",1,0)</f>
        <v/>
      </c>
      <c r="CG1250" s="76">
        <f>IF($AA1250="Yes","Currently on Watchlist",IF($AA1250="Previously","Previously on Watchlist","Never on Watchlist"))</f>
        <v/>
      </c>
      <c r="CH1250" s="78">
        <f>IF($CG1250="Currently on Watchlist",1,0)</f>
        <v/>
      </c>
      <c r="CI1250" s="76">
        <f>IF($Z1250="Full Defeasance","Fully Defeased",IF($Z1250="Portion Of Loan Previously Defeased","Partially Defeased",IF($Z1250="Defeasance Not Allowable","Not Defeased (Not Permitted)","Not Defeased")))</f>
        <v/>
      </c>
      <c r="CJ1250" s="78">
        <f>IF($CI1250="Fully Defeased",1,0)</f>
        <v/>
      </c>
      <c r="CK1250" s="76">
        <f>IF($R1250="IO","Full IO",IF(LEFT($R1250&amp;"",7)="IO then","Partial IO","Amortizing"))</f>
        <v/>
      </c>
      <c r="CL1250" s="78">
        <f>IF($CK1250="Full IO",1,0)</f>
        <v/>
      </c>
      <c r="CM1250" s="78">
        <f>IF($CK1250="Partial IO",1,0)</f>
        <v/>
      </c>
      <c r="CN1250" s="76">
        <f>IF(LEFT($F1250&amp;"",10)="SPLIT_LOAN","Pari Passu Split","Standalone")</f>
        <v/>
      </c>
      <c r="CO1250" s="78">
        <f>IF($CN1250="Pari Passu Split",1,0)</f>
        <v/>
      </c>
      <c r="CP1250" s="77">
        <f>IF(ISNUMBER($T1250),YEAR($T1250),"")</f>
        <v/>
      </c>
      <c r="CQ1250" s="79">
        <f>IF(ISNUMBER($V1250),$V1250,IF(ISNUMBER($U1250),$U1250,""))</f>
        <v/>
      </c>
      <c r="CR1250" s="77">
        <f>IF(ISNUMBER($CQ1250),YEAR($CQ1250),"")</f>
        <v/>
      </c>
      <c r="CS1250" s="78">
        <f>IF(ISNUMBER($M1250),MAX(0,$M1250),IF(TRIM($M1250&amp;"")="matured",0,""))</f>
        <v/>
      </c>
      <c r="CT1250" s="78">
        <f>IF(AND(ISNUMBER($CS1250),N($CS1250)&lt;=mMatWindow),1,0)</f>
        <v/>
      </c>
      <c r="CU1250" s="80">
        <f>IF(ISNUMBER($J1250),$J1250/100,"")</f>
        <v/>
      </c>
      <c r="CV1250" s="81">
        <f>IF(ISNUMBER($AQ1250),$AQ1250,"")</f>
        <v/>
      </c>
      <c r="CW1250" s="81">
        <f>IF(ISNUMBER($AR1250),$AR1250,"")</f>
        <v/>
      </c>
      <c r="CX1250" s="82">
        <f>IF(ISNUMBER($AS1250),$AS1250/100,"")</f>
        <v/>
      </c>
      <c r="CY1250" s="82">
        <f>IF(ISNUMBER($AT1250),$AT1250/100,"")</f>
        <v/>
      </c>
      <c r="CZ1250" s="82">
        <f>IF(ISNUMBER($AU1250),$AU1250/100,"")</f>
        <v/>
      </c>
      <c r="DA1250" s="82">
        <f>IF(ISNUMBER($AV1250),$AV1250/100,"")</f>
        <v/>
      </c>
      <c r="DB1250" s="82">
        <f>IF(ISNUMBER($AW1250),$AW1250/100,"")</f>
        <v/>
      </c>
      <c r="DC1250" s="82">
        <f>IF(ISNUMBER($AX1250),$AX1250/100,"")</f>
        <v/>
      </c>
      <c r="DD1250" s="77">
        <f>IFERROR(VALUE(LEFT(TRIM($AO1250&amp;""),4)),"")</f>
        <v/>
      </c>
      <c r="DE1250" s="78">
        <f>IF(AND($BY1250=1,$BX1250=1,OR(fDeal="All Deals",$BU1250=fDeal),OR(fEntity="All Entities",$BV1250=fEntity),OR(fPType="All Property Types",$BZ1250=fPType),OR(fDefeased="Include",$CJ1250=0)),1,0)</f>
        <v/>
      </c>
      <c r="DF1250" s="83">
        <f>$DE1250*N($I1250)</f>
        <v/>
      </c>
      <c r="DG1250" s="78">
        <f>IF($DE1250=1,IF(COUNTIFS($F$8:$F1250,$F1250,$DE$8:$DE1250,1)=1,1,0),0)</f>
        <v/>
      </c>
      <c r="DH1250" s="83">
        <f>IF($DG1250=1,SUMIFS($DF$8:$DF$1600,$F$8:$F$1600,$F1250),0)</f>
        <v/>
      </c>
      <c r="DI1250" s="78">
        <f>IF($DG1250=1,COUNTIFS($F$8:$F$1600,$F1250,$DE$8:$DE$1600,1),0)</f>
        <v/>
      </c>
      <c r="DJ1250" s="84">
        <f>IF($DG1250=1,$DH1250+(100000-ROW())/mTieBreak,0)</f>
        <v/>
      </c>
    </row>
    <row r="1251">
      <c r="B1251" s="68" t="n">
        <v>18</v>
      </c>
      <c r="C1251" s="69" t="inlineStr">
        <is>
          <t>UBS18C12</t>
        </is>
      </c>
      <c r="D1251" s="69" t="inlineStr">
        <is>
          <t>18.000</t>
        </is>
      </c>
      <c r="E1251" s="69" t="inlineStr">
        <is>
          <t>Holiday Inn - Matteson</t>
        </is>
      </c>
      <c r="F1251" s="69" t="inlineStr">
        <is>
          <t>LNUBS18C12-18.000</t>
        </is>
      </c>
      <c r="G1251" s="70" t="n"/>
      <c r="H1251" s="71" t="n">
        <v>13000000</v>
      </c>
      <c r="I1251" s="71" t="n">
        <v>0</v>
      </c>
      <c r="J1251" s="72" t="n">
        <v>5.99</v>
      </c>
      <c r="K1251" s="69" t="inlineStr">
        <is>
          <t>Fixed rate</t>
        </is>
      </c>
      <c r="L1251" s="68" t="n">
        <v>120</v>
      </c>
      <c r="M1251" s="68" t="n"/>
      <c r="N1251" s="68" t="n">
        <v>300</v>
      </c>
      <c r="O1251" s="68" t="n"/>
      <c r="P1251" s="68" t="n"/>
      <c r="Q1251" s="68" t="n"/>
      <c r="R1251" s="69" t="n"/>
      <c r="S1251" s="69" t="inlineStr">
        <is>
          <t>No</t>
        </is>
      </c>
      <c r="T1251" s="73" t="n">
        <v>43313</v>
      </c>
      <c r="U1251" s="73" t="n">
        <v>46971</v>
      </c>
      <c r="V1251" s="73" t="n"/>
      <c r="W1251" s="69" t="n"/>
      <c r="X1251" s="69" t="inlineStr">
        <is>
          <t>Current</t>
        </is>
      </c>
      <c r="Y1251" s="68" t="n"/>
      <c r="Z1251" s="69" t="inlineStr">
        <is>
          <t>Defeasance Not Allowable</t>
        </is>
      </c>
      <c r="AA1251" s="69" t="inlineStr">
        <is>
          <t>Previously</t>
        </is>
      </c>
      <c r="AB1251" s="69" t="inlineStr">
        <is>
          <t>Currently special serv</t>
        </is>
      </c>
      <c r="AC1251" s="73" t="n">
        <v>43714</v>
      </c>
      <c r="AD1251" s="69" t="inlineStr">
        <is>
          <t>Payment Default (all payments excluding Balloon/Maturity Payment)</t>
        </is>
      </c>
      <c r="AE1251" s="69" t="inlineStr">
        <is>
          <t>Foreclosure</t>
        </is>
      </c>
      <c r="AF1251" s="69" t="inlineStr">
        <is>
          <t>IL</t>
        </is>
      </c>
      <c r="AG1251" s="69" t="inlineStr">
        <is>
          <t>Matteson</t>
        </is>
      </c>
      <c r="AH1251" s="69" t="inlineStr">
        <is>
          <t>Chicago-Naperville-Elgin, IL-IN</t>
        </is>
      </c>
      <c r="AI1251" s="69" t="inlineStr">
        <is>
          <t>Midwest / Central East</t>
        </is>
      </c>
      <c r="AJ1251" s="69" t="inlineStr">
        <is>
          <t>HT</t>
        </is>
      </c>
      <c r="AK1251" s="69" t="inlineStr">
        <is>
          <t>Full Service</t>
        </is>
      </c>
      <c r="AL1251" s="68" t="n">
        <v>1</v>
      </c>
      <c r="AM1251" s="68" t="n">
        <v>202</v>
      </c>
      <c r="AN1251" s="68" t="n"/>
      <c r="AO1251" s="69" t="inlineStr">
        <is>
          <t>1984</t>
        </is>
      </c>
      <c r="AP1251" s="70" t="n">
        <v>2012</v>
      </c>
      <c r="AQ1251" s="74" t="n">
        <v>1.87</v>
      </c>
      <c r="AR1251" s="74" t="n">
        <v>-1.75</v>
      </c>
      <c r="AS1251" s="74" t="n">
        <v>57.8</v>
      </c>
      <c r="AT1251" s="74" t="n"/>
      <c r="AU1251" s="74" t="n">
        <v>44.7</v>
      </c>
      <c r="AV1251" s="74" t="n">
        <v>14.439126462</v>
      </c>
      <c r="AW1251" s="74" t="n"/>
      <c r="AX1251" s="75" t="n">
        <v>43</v>
      </c>
      <c r="AY1251" s="71" t="n">
        <v>22500000</v>
      </c>
      <c r="AZ1251" s="71" t="n">
        <v>3800000</v>
      </c>
      <c r="BA1251" s="71" t="n">
        <v>1877086.44</v>
      </c>
      <c r="BB1251" s="71" t="n">
        <v>-1758941.21</v>
      </c>
      <c r="BC1251" s="69" t="inlineStr">
        <is>
          <t>Refinance</t>
        </is>
      </c>
      <c r="BD1251" s="69" t="inlineStr">
        <is>
          <t>N</t>
        </is>
      </c>
      <c r="BE1251" s="71" t="n"/>
      <c r="BF1251" s="71" t="n"/>
      <c r="BG1251" s="71" t="n"/>
      <c r="BH1251" s="71" t="n">
        <v>0</v>
      </c>
      <c r="BI1251" s="71" t="n">
        <v>0</v>
      </c>
      <c r="BJ1251" s="69" t="inlineStr">
        <is>
          <t>N</t>
        </is>
      </c>
      <c r="BK1251" s="69" t="n"/>
      <c r="BL1251" s="75" t="n"/>
      <c r="BM1251" s="73" t="n"/>
      <c r="BN1251" s="69" t="inlineStr">
        <is>
          <t>Deepak Shah</t>
        </is>
      </c>
      <c r="BO1251" s="69" t="inlineStr">
        <is>
          <t>UBS</t>
        </is>
      </c>
      <c r="BP1251" s="69" t="inlineStr">
        <is>
          <t>Midland Loan Services</t>
        </is>
      </c>
      <c r="BQ1251" s="69" t="inlineStr">
        <is>
          <t>K-Star Asset Management LLC</t>
        </is>
      </c>
      <c r="BR1251" s="69" t="inlineStr">
        <is>
          <t>DPO</t>
        </is>
      </c>
      <c r="BS1251" s="73" t="n">
        <v>46276</v>
      </c>
      <c r="BU1251" s="76">
        <f>IF($C1251="","",IFERROR(INDEX(dmName,MATCH($C1251,dmID,0)),"Unmapped"))</f>
        <v/>
      </c>
      <c r="BV1251" s="76">
        <f>IF($C1251="","",IFERROR(INDEX(dmEntity,MATCH($C1251,dmID,0)),"Unmapped"))</f>
        <v/>
      </c>
      <c r="BW1251" s="77">
        <f>IF($C1251="","",IFERROR(INDEX(dmVintage,MATCH($C1251,dmID,0)),""))</f>
        <v/>
      </c>
      <c r="BX1251" s="78">
        <f>IFERROR(INDEX(dmInclude,MATCH($C1251,dmID,0)),0)</f>
        <v/>
      </c>
      <c r="BY1251" s="78">
        <f>IF(N($I1251)&gt;0,1,0)</f>
        <v/>
      </c>
      <c r="BZ1251" s="76">
        <f>IF($AJ1251="","Other / Leased Fee",IFERROR(INDEX(mapPTGroup,MATCH(LEFT(TRIM($AJ1251),2),mapPTCode,0)),"Other / Leased Fee"))</f>
        <v/>
      </c>
      <c r="CA1251" s="76">
        <f>IF(TRIM($AF1251&amp;"")="","NR",LEFT(TRIM($AF1251),2))</f>
        <v/>
      </c>
      <c r="CB1251" s="76">
        <f>IFERROR(LOOKUP(2,1/(LEFT(TRIM($AI1251&amp;""),LEN(mapRegion))=mapRegion),mapRegion),"Not Reported")</f>
        <v/>
      </c>
      <c r="CC1251" s="76">
        <f>IF($BY1251=0,"",IF(TRIM($W1251&amp;"")="REO","REO",IF(TRIM($W1251&amp;"")="FC","Foreclosure",IF(TRIM($W1251&amp;"")="90+","90+ Days Delinquent",IF(TRIM($W1251&amp;"")="60","60 Days Delinquent",IF(TRIM($W1251&amp;"")="30","30 Days Delinquent",IF($X1251="Non-Performing Matured Balloon","Non-Performing Matured Balloon",IF(OR($X1251="Late Payment But Less Than 30 Days Delinquent",LEFT($X1251&amp;"",20)="Payment Not Received"),"Late / In Grace (&lt;30 Days)",IF($X1251="Performing Matured Balloon","Performing Matured Balloon","Current")))))))))</f>
        <v/>
      </c>
      <c r="CD1251" s="78">
        <f>IF(OR($CC1251="REO",$CC1251="Foreclosure",$CC1251="90+ Days Delinquent",$CC1251="60 Days Delinquent",$CC1251="30 Days Delinquent",$CC1251="Non-Performing Matured Balloon"),1,0)</f>
        <v/>
      </c>
      <c r="CE1251" s="76">
        <f>IF($AB1251="Currently special serv","Currently Specially Serviced",IF($AB1251="Returned to master serv","Previously Specially Serviced","Never Specially Serviced"))</f>
        <v/>
      </c>
      <c r="CF1251" s="78">
        <f>IF($CE1251="Currently Specially Serviced",1,0)</f>
        <v/>
      </c>
      <c r="CG1251" s="76">
        <f>IF($AA1251="Yes","Currently on Watchlist",IF($AA1251="Previously","Previously on Watchlist","Never on Watchlist"))</f>
        <v/>
      </c>
      <c r="CH1251" s="78">
        <f>IF($CG1251="Currently on Watchlist",1,0)</f>
        <v/>
      </c>
      <c r="CI1251" s="76">
        <f>IF($Z1251="Full Defeasance","Fully Defeased",IF($Z1251="Portion Of Loan Previously Defeased","Partially Defeased",IF($Z1251="Defeasance Not Allowable","Not Defeased (Not Permitted)","Not Defeased")))</f>
        <v/>
      </c>
      <c r="CJ1251" s="78">
        <f>IF($CI1251="Fully Defeased",1,0)</f>
        <v/>
      </c>
      <c r="CK1251" s="76">
        <f>IF($R1251="IO","Full IO",IF(LEFT($R1251&amp;"",7)="IO then","Partial IO","Amortizing"))</f>
        <v/>
      </c>
      <c r="CL1251" s="78">
        <f>IF($CK1251="Full IO",1,0)</f>
        <v/>
      </c>
      <c r="CM1251" s="78">
        <f>IF($CK1251="Partial IO",1,0)</f>
        <v/>
      </c>
      <c r="CN1251" s="76">
        <f>IF(LEFT($F1251&amp;"",10)="SPLIT_LOAN","Pari Passu Split","Standalone")</f>
        <v/>
      </c>
      <c r="CO1251" s="78">
        <f>IF($CN1251="Pari Passu Split",1,0)</f>
        <v/>
      </c>
      <c r="CP1251" s="77">
        <f>IF(ISNUMBER($T1251),YEAR($T1251),"")</f>
        <v/>
      </c>
      <c r="CQ1251" s="79">
        <f>IF(ISNUMBER($V1251),$V1251,IF(ISNUMBER($U1251),$U1251,""))</f>
        <v/>
      </c>
      <c r="CR1251" s="77">
        <f>IF(ISNUMBER($CQ1251),YEAR($CQ1251),"")</f>
        <v/>
      </c>
      <c r="CS1251" s="78">
        <f>IF(ISNUMBER($M1251),MAX(0,$M1251),IF(TRIM($M1251&amp;"")="matured",0,""))</f>
        <v/>
      </c>
      <c r="CT1251" s="78">
        <f>IF(AND(ISNUMBER($CS1251),N($CS1251)&lt;=mMatWindow),1,0)</f>
        <v/>
      </c>
      <c r="CU1251" s="80">
        <f>IF(ISNUMBER($J1251),$J1251/100,"")</f>
        <v/>
      </c>
      <c r="CV1251" s="81">
        <f>IF(ISNUMBER($AQ1251),$AQ1251,"")</f>
        <v/>
      </c>
      <c r="CW1251" s="81">
        <f>IF(ISNUMBER($AR1251),$AR1251,"")</f>
        <v/>
      </c>
      <c r="CX1251" s="82">
        <f>IF(ISNUMBER($AS1251),$AS1251/100,"")</f>
        <v/>
      </c>
      <c r="CY1251" s="82">
        <f>IF(ISNUMBER($AT1251),$AT1251/100,"")</f>
        <v/>
      </c>
      <c r="CZ1251" s="82">
        <f>IF(ISNUMBER($AU1251),$AU1251/100,"")</f>
        <v/>
      </c>
      <c r="DA1251" s="82">
        <f>IF(ISNUMBER($AV1251),$AV1251/100,"")</f>
        <v/>
      </c>
      <c r="DB1251" s="82">
        <f>IF(ISNUMBER($AW1251),$AW1251/100,"")</f>
        <v/>
      </c>
      <c r="DC1251" s="82">
        <f>IF(ISNUMBER($AX1251),$AX1251/100,"")</f>
        <v/>
      </c>
      <c r="DD1251" s="77">
        <f>IFERROR(VALUE(LEFT(TRIM($AO1251&amp;""),4)),"")</f>
        <v/>
      </c>
      <c r="DE1251" s="78">
        <f>IF(AND($BY1251=1,$BX1251=1,OR(fDeal="All Deals",$BU1251=fDeal),OR(fEntity="All Entities",$BV1251=fEntity),OR(fPType="All Property Types",$BZ1251=fPType),OR(fDefeased="Include",$CJ1251=0)),1,0)</f>
        <v/>
      </c>
      <c r="DF1251" s="83">
        <f>$DE1251*N($I1251)</f>
        <v/>
      </c>
      <c r="DG1251" s="78">
        <f>IF($DE1251=1,IF(COUNTIFS($F$8:$F1251,$F1251,$DE$8:$DE1251,1)=1,1,0),0)</f>
        <v/>
      </c>
      <c r="DH1251" s="83">
        <f>IF($DG1251=1,SUMIFS($DF$8:$DF$1600,$F$8:$F$1600,$F1251),0)</f>
        <v/>
      </c>
      <c r="DI1251" s="78">
        <f>IF($DG1251=1,COUNTIFS($F$8:$F$1600,$F1251,$DE$8:$DE$1600,1),0)</f>
        <v/>
      </c>
      <c r="DJ1251" s="84">
        <f>IF($DG1251=1,$DH1251+(100000-ROW())/mTieBreak,0)</f>
        <v/>
      </c>
    </row>
    <row r="1252">
      <c r="B1252" s="68" t="n">
        <v>19</v>
      </c>
      <c r="C1252" s="69" t="inlineStr">
        <is>
          <t>UBS18C12</t>
        </is>
      </c>
      <c r="D1252" s="69" t="inlineStr">
        <is>
          <t>19.000</t>
        </is>
      </c>
      <c r="E1252" s="69" t="inlineStr">
        <is>
          <t>Canyon &amp; Western Business Park</t>
        </is>
      </c>
      <c r="F1252" s="69" t="inlineStr">
        <is>
          <t>LNUBS18C12-19.000</t>
        </is>
      </c>
      <c r="G1252" s="70" t="n"/>
      <c r="H1252" s="71" t="n">
        <v>12700000</v>
      </c>
      <c r="I1252" s="71" t="n">
        <v>10894365.9499977</v>
      </c>
      <c r="J1252" s="72" t="n">
        <v>4.74</v>
      </c>
      <c r="K1252" s="69" t="inlineStr">
        <is>
          <t>Fixed rate</t>
        </is>
      </c>
      <c r="L1252" s="68" t="n">
        <v>120</v>
      </c>
      <c r="M1252" s="68" t="n">
        <v>23</v>
      </c>
      <c r="N1252" s="68" t="n">
        <v>360</v>
      </c>
      <c r="O1252" s="68" t="n"/>
      <c r="P1252" s="68" t="n"/>
      <c r="Q1252" s="68" t="n">
        <v>97</v>
      </c>
      <c r="R1252" s="69" t="n"/>
      <c r="S1252" s="69" t="inlineStr">
        <is>
          <t>No</t>
        </is>
      </c>
      <c r="T1252" s="73" t="n">
        <v>43313</v>
      </c>
      <c r="U1252" s="73" t="n">
        <v>46966</v>
      </c>
      <c r="V1252" s="73" t="n"/>
      <c r="W1252" s="69" t="n"/>
      <c r="X1252" s="69" t="inlineStr">
        <is>
          <t>Current</t>
        </is>
      </c>
      <c r="Y1252" s="68" t="n"/>
      <c r="Z1252" s="69" t="inlineStr">
        <is>
          <t>No Defeasance Occurred</t>
        </is>
      </c>
      <c r="AA1252" s="69" t="inlineStr">
        <is>
          <t>Yes</t>
        </is>
      </c>
      <c r="AB1252" s="69" t="inlineStr">
        <is>
          <t>Never special serv</t>
        </is>
      </c>
      <c r="AC1252" s="73" t="n"/>
      <c r="AD1252" s="69" t="n"/>
      <c r="AE1252" s="69" t="n"/>
      <c r="AF1252" s="69" t="inlineStr">
        <is>
          <t>TX</t>
        </is>
      </c>
      <c r="AG1252" s="69" t="inlineStr">
        <is>
          <t>Amarillo</t>
        </is>
      </c>
      <c r="AH1252" s="69" t="inlineStr">
        <is>
          <t>Amarillo, TX</t>
        </is>
      </c>
      <c r="AI1252" s="69" t="inlineStr">
        <is>
          <t>South / Central West</t>
        </is>
      </c>
      <c r="AJ1252" s="69" t="inlineStr">
        <is>
          <t>IN</t>
        </is>
      </c>
      <c r="AK1252" s="69" t="inlineStr">
        <is>
          <t>Flex</t>
        </is>
      </c>
      <c r="AL1252" s="68" t="n">
        <v>1</v>
      </c>
      <c r="AM1252" s="68" t="n"/>
      <c r="AN1252" s="68" t="n">
        <v>359095</v>
      </c>
      <c r="AO1252" s="69" t="inlineStr">
        <is>
          <t>1996, 2000</t>
        </is>
      </c>
      <c r="AP1252" s="70" t="n">
        <v>2000</v>
      </c>
      <c r="AQ1252" s="74" t="n">
        <v>1.56</v>
      </c>
      <c r="AR1252" s="74" t="n">
        <v>1.34</v>
      </c>
      <c r="AS1252" s="74" t="n">
        <v>73.2</v>
      </c>
      <c r="AT1252" s="74" t="n">
        <v>62.79</v>
      </c>
      <c r="AU1252" s="74" t="n">
        <v>59.7</v>
      </c>
      <c r="AV1252" s="74" t="n">
        <v>9.745465118</v>
      </c>
      <c r="AW1252" s="74" t="n">
        <v>8.965623465</v>
      </c>
      <c r="AX1252" s="75" t="n">
        <v>80</v>
      </c>
      <c r="AY1252" s="71" t="n">
        <v>17350000</v>
      </c>
      <c r="AZ1252" s="71" t="n">
        <v>17350000</v>
      </c>
      <c r="BA1252" s="71" t="n">
        <v>1237674.07</v>
      </c>
      <c r="BB1252" s="71" t="n">
        <v>265890.06</v>
      </c>
      <c r="BC1252" s="69" t="inlineStr">
        <is>
          <t>Refinance</t>
        </is>
      </c>
      <c r="BD1252" s="69" t="inlineStr">
        <is>
          <t>N</t>
        </is>
      </c>
      <c r="BE1252" s="71" t="n"/>
      <c r="BF1252" s="71" t="n"/>
      <c r="BG1252" s="71" t="n"/>
      <c r="BH1252" s="71" t="n">
        <v>0</v>
      </c>
      <c r="BI1252" s="71" t="n">
        <v>0</v>
      </c>
      <c r="BJ1252" s="69" t="inlineStr">
        <is>
          <t>N</t>
        </is>
      </c>
      <c r="BK1252" s="69" t="inlineStr">
        <is>
          <t>Absolute Baseball LLC</t>
        </is>
      </c>
      <c r="BL1252" s="75" t="n">
        <v>1.57</v>
      </c>
      <c r="BM1252" s="73" t="n">
        <v>46234</v>
      </c>
      <c r="BN1252" s="69" t="inlineStr">
        <is>
          <t>Jay Schuminsky</t>
        </is>
      </c>
      <c r="BO1252" s="69" t="inlineStr">
        <is>
          <t>Societe Generale</t>
        </is>
      </c>
      <c r="BP1252" s="69" t="inlineStr">
        <is>
          <t>Midland Loan Services</t>
        </is>
      </c>
      <c r="BQ1252" s="69" t="inlineStr">
        <is>
          <t>K-Star Asset Management LLC</t>
        </is>
      </c>
      <c r="BR1252" s="69" t="n"/>
      <c r="BS1252" s="73" t="n">
        <v>46276</v>
      </c>
      <c r="BU1252" s="76">
        <f>IF($C1252="","",IFERROR(INDEX(dmName,MATCH($C1252,dmID,0)),"Unmapped"))</f>
        <v/>
      </c>
      <c r="BV1252" s="76">
        <f>IF($C1252="","",IFERROR(INDEX(dmEntity,MATCH($C1252,dmID,0)),"Unmapped"))</f>
        <v/>
      </c>
      <c r="BW1252" s="77">
        <f>IF($C1252="","",IFERROR(INDEX(dmVintage,MATCH($C1252,dmID,0)),""))</f>
        <v/>
      </c>
      <c r="BX1252" s="78">
        <f>IFERROR(INDEX(dmInclude,MATCH($C1252,dmID,0)),0)</f>
        <v/>
      </c>
      <c r="BY1252" s="78">
        <f>IF(N($I1252)&gt;0,1,0)</f>
        <v/>
      </c>
      <c r="BZ1252" s="76">
        <f>IF($AJ1252="","Other / Leased Fee",IFERROR(INDEX(mapPTGroup,MATCH(LEFT(TRIM($AJ1252),2),mapPTCode,0)),"Other / Leased Fee"))</f>
        <v/>
      </c>
      <c r="CA1252" s="76">
        <f>IF(TRIM($AF1252&amp;"")="","NR",LEFT(TRIM($AF1252),2))</f>
        <v/>
      </c>
      <c r="CB1252" s="76">
        <f>IFERROR(LOOKUP(2,1/(LEFT(TRIM($AI1252&amp;""),LEN(mapRegion))=mapRegion),mapRegion),"Not Reported")</f>
        <v/>
      </c>
      <c r="CC1252" s="76">
        <f>IF($BY1252=0,"",IF(TRIM($W1252&amp;"")="REO","REO",IF(TRIM($W1252&amp;"")="FC","Foreclosure",IF(TRIM($W1252&amp;"")="90+","90+ Days Delinquent",IF(TRIM($W1252&amp;"")="60","60 Days Delinquent",IF(TRIM($W1252&amp;"")="30","30 Days Delinquent",IF($X1252="Non-Performing Matured Balloon","Non-Performing Matured Balloon",IF(OR($X1252="Late Payment But Less Than 30 Days Delinquent",LEFT($X1252&amp;"",20)="Payment Not Received"),"Late / In Grace (&lt;30 Days)",IF($X1252="Performing Matured Balloon","Performing Matured Balloon","Current")))))))))</f>
        <v/>
      </c>
      <c r="CD1252" s="78">
        <f>IF(OR($CC1252="REO",$CC1252="Foreclosure",$CC1252="90+ Days Delinquent",$CC1252="60 Days Delinquent",$CC1252="30 Days Delinquent",$CC1252="Non-Performing Matured Balloon"),1,0)</f>
        <v/>
      </c>
      <c r="CE1252" s="76">
        <f>IF($AB1252="Currently special serv","Currently Specially Serviced",IF($AB1252="Returned to master serv","Previously Specially Serviced","Never Specially Serviced"))</f>
        <v/>
      </c>
      <c r="CF1252" s="78">
        <f>IF($CE1252="Currently Specially Serviced",1,0)</f>
        <v/>
      </c>
      <c r="CG1252" s="76">
        <f>IF($AA1252="Yes","Currently on Watchlist",IF($AA1252="Previously","Previously on Watchlist","Never on Watchlist"))</f>
        <v/>
      </c>
      <c r="CH1252" s="78">
        <f>IF($CG1252="Currently on Watchlist",1,0)</f>
        <v/>
      </c>
      <c r="CI1252" s="76">
        <f>IF($Z1252="Full Defeasance","Fully Defeased",IF($Z1252="Portion Of Loan Previously Defeased","Partially Defeased",IF($Z1252="Defeasance Not Allowable","Not Defeased (Not Permitted)","Not Defeased")))</f>
        <v/>
      </c>
      <c r="CJ1252" s="78">
        <f>IF($CI1252="Fully Defeased",1,0)</f>
        <v/>
      </c>
      <c r="CK1252" s="76">
        <f>IF($R1252="IO","Full IO",IF(LEFT($R1252&amp;"",7)="IO then","Partial IO","Amortizing"))</f>
        <v/>
      </c>
      <c r="CL1252" s="78">
        <f>IF($CK1252="Full IO",1,0)</f>
        <v/>
      </c>
      <c r="CM1252" s="78">
        <f>IF($CK1252="Partial IO",1,0)</f>
        <v/>
      </c>
      <c r="CN1252" s="76">
        <f>IF(LEFT($F1252&amp;"",10)="SPLIT_LOAN","Pari Passu Split","Standalone")</f>
        <v/>
      </c>
      <c r="CO1252" s="78">
        <f>IF($CN1252="Pari Passu Split",1,0)</f>
        <v/>
      </c>
      <c r="CP1252" s="77">
        <f>IF(ISNUMBER($T1252),YEAR($T1252),"")</f>
        <v/>
      </c>
      <c r="CQ1252" s="79">
        <f>IF(ISNUMBER($V1252),$V1252,IF(ISNUMBER($U1252),$U1252,""))</f>
        <v/>
      </c>
      <c r="CR1252" s="77">
        <f>IF(ISNUMBER($CQ1252),YEAR($CQ1252),"")</f>
        <v/>
      </c>
      <c r="CS1252" s="78">
        <f>IF(ISNUMBER($M1252),MAX(0,$M1252),IF(TRIM($M1252&amp;"")="matured",0,""))</f>
        <v/>
      </c>
      <c r="CT1252" s="78">
        <f>IF(AND(ISNUMBER($CS1252),N($CS1252)&lt;=mMatWindow),1,0)</f>
        <v/>
      </c>
      <c r="CU1252" s="80">
        <f>IF(ISNUMBER($J1252),$J1252/100,"")</f>
        <v/>
      </c>
      <c r="CV1252" s="81">
        <f>IF(ISNUMBER($AQ1252),$AQ1252,"")</f>
        <v/>
      </c>
      <c r="CW1252" s="81">
        <f>IF(ISNUMBER($AR1252),$AR1252,"")</f>
        <v/>
      </c>
      <c r="CX1252" s="82">
        <f>IF(ISNUMBER($AS1252),$AS1252/100,"")</f>
        <v/>
      </c>
      <c r="CY1252" s="82">
        <f>IF(ISNUMBER($AT1252),$AT1252/100,"")</f>
        <v/>
      </c>
      <c r="CZ1252" s="82">
        <f>IF(ISNUMBER($AU1252),$AU1252/100,"")</f>
        <v/>
      </c>
      <c r="DA1252" s="82">
        <f>IF(ISNUMBER($AV1252),$AV1252/100,"")</f>
        <v/>
      </c>
      <c r="DB1252" s="82">
        <f>IF(ISNUMBER($AW1252),$AW1252/100,"")</f>
        <v/>
      </c>
      <c r="DC1252" s="82">
        <f>IF(ISNUMBER($AX1252),$AX1252/100,"")</f>
        <v/>
      </c>
      <c r="DD1252" s="77">
        <f>IFERROR(VALUE(LEFT(TRIM($AO1252&amp;""),4)),"")</f>
        <v/>
      </c>
      <c r="DE1252" s="78">
        <f>IF(AND($BY1252=1,$BX1252=1,OR(fDeal="All Deals",$BU1252=fDeal),OR(fEntity="All Entities",$BV1252=fEntity),OR(fPType="All Property Types",$BZ1252=fPType),OR(fDefeased="Include",$CJ1252=0)),1,0)</f>
        <v/>
      </c>
      <c r="DF1252" s="83">
        <f>$DE1252*N($I1252)</f>
        <v/>
      </c>
      <c r="DG1252" s="78">
        <f>IF($DE1252=1,IF(COUNTIFS($F$8:$F1252,$F1252,$DE$8:$DE1252,1)=1,1,0),0)</f>
        <v/>
      </c>
      <c r="DH1252" s="83">
        <f>IF($DG1252=1,SUMIFS($DF$8:$DF$1600,$F$8:$F$1600,$F1252),0)</f>
        <v/>
      </c>
      <c r="DI1252" s="78">
        <f>IF($DG1252=1,COUNTIFS($F$8:$F$1600,$F1252,$DE$8:$DE$1600,1),0)</f>
        <v/>
      </c>
      <c r="DJ1252" s="84">
        <f>IF($DG1252=1,$DH1252+(100000-ROW())/mTieBreak,0)</f>
        <v/>
      </c>
    </row>
    <row r="1253">
      <c r="B1253" s="68" t="n">
        <v>20</v>
      </c>
      <c r="C1253" s="69" t="inlineStr">
        <is>
          <t>UBS18C12</t>
        </is>
      </c>
      <c r="D1253" s="69" t="inlineStr">
        <is>
          <t>20.000</t>
        </is>
      </c>
      <c r="E1253" s="69" t="inlineStr">
        <is>
          <t>Chatham Glen</t>
        </is>
      </c>
      <c r="F1253" s="69" t="inlineStr">
        <is>
          <t>LNUBS18C12-20.000</t>
        </is>
      </c>
      <c r="G1253" s="70" t="n"/>
      <c r="H1253" s="71" t="n">
        <v>12000000</v>
      </c>
      <c r="I1253" s="71" t="n">
        <v>11444907.260004</v>
      </c>
      <c r="J1253" s="72" t="n">
        <v>5.05</v>
      </c>
      <c r="K1253" s="69" t="inlineStr">
        <is>
          <t>Fixed rate</t>
        </is>
      </c>
      <c r="L1253" s="68" t="n">
        <v>120</v>
      </c>
      <c r="M1253" s="68" t="n">
        <v>22</v>
      </c>
      <c r="N1253" s="68" t="n">
        <v>420</v>
      </c>
      <c r="O1253" s="68" t="n">
        <v>60</v>
      </c>
      <c r="P1253" s="68" t="n">
        <v>0</v>
      </c>
      <c r="Q1253" s="68" t="n">
        <v>98</v>
      </c>
      <c r="R1253" s="69" t="inlineStr">
        <is>
          <t>IO then Amort</t>
        </is>
      </c>
      <c r="S1253" s="69" t="inlineStr">
        <is>
          <t>No</t>
        </is>
      </c>
      <c r="T1253" s="73" t="n">
        <v>43282</v>
      </c>
      <c r="U1253" s="73" t="n">
        <v>46940</v>
      </c>
      <c r="V1253" s="73" t="n"/>
      <c r="W1253" s="69" t="n"/>
      <c r="X1253" s="69" t="inlineStr">
        <is>
          <t>Current</t>
        </is>
      </c>
      <c r="Y1253" s="68" t="n"/>
      <c r="Z1253" s="69" t="inlineStr">
        <is>
          <t>No Defeasance Occurred</t>
        </is>
      </c>
      <c r="AA1253" s="69" t="inlineStr">
        <is>
          <t>Previously</t>
        </is>
      </c>
      <c r="AB1253" s="69" t="inlineStr">
        <is>
          <t>Never special serv</t>
        </is>
      </c>
      <c r="AC1253" s="73" t="n"/>
      <c r="AD1253" s="69" t="n"/>
      <c r="AE1253" s="69" t="n"/>
      <c r="AF1253" s="69" t="inlineStr">
        <is>
          <t>IN</t>
        </is>
      </c>
      <c r="AG1253" s="69" t="inlineStr">
        <is>
          <t>Plainfield</t>
        </is>
      </c>
      <c r="AH1253" s="69" t="inlineStr">
        <is>
          <t>Indianapolis-Carmel-Greenwood, IN</t>
        </is>
      </c>
      <c r="AI1253" s="69" t="inlineStr">
        <is>
          <t>Midwest / Central East</t>
        </is>
      </c>
      <c r="AJ1253" s="69" t="inlineStr">
        <is>
          <t>MF</t>
        </is>
      </c>
      <c r="AK1253" s="69" t="inlineStr">
        <is>
          <t>Garden</t>
        </is>
      </c>
      <c r="AL1253" s="68" t="n">
        <v>1</v>
      </c>
      <c r="AM1253" s="68" t="n">
        <v>92</v>
      </c>
      <c r="AN1253" s="68" t="n"/>
      <c r="AO1253" s="69" t="inlineStr">
        <is>
          <t>2016</t>
        </is>
      </c>
      <c r="AP1253" s="70" t="n">
        <v>2016</v>
      </c>
      <c r="AQ1253" s="74" t="n">
        <v>1.61</v>
      </c>
      <c r="AR1253" s="74" t="n">
        <v>1.53</v>
      </c>
      <c r="AS1253" s="74" t="n">
        <v>69.8</v>
      </c>
      <c r="AT1253" s="74" t="n">
        <v>66.54000000000001</v>
      </c>
      <c r="AU1253" s="74" t="n">
        <v>64.40000000000001</v>
      </c>
      <c r="AV1253" s="74" t="n">
        <v>8.227190167</v>
      </c>
      <c r="AW1253" s="74" t="n">
        <v>9.861651339</v>
      </c>
      <c r="AX1253" s="75" t="n">
        <v>96</v>
      </c>
      <c r="AY1253" s="71" t="n">
        <v>17200000</v>
      </c>
      <c r="AZ1253" s="71" t="n">
        <v>17200000</v>
      </c>
      <c r="BA1253" s="71" t="n">
        <v>987262.8199999999</v>
      </c>
      <c r="BB1253" s="71" t="n">
        <v>1188389.08</v>
      </c>
      <c r="BC1253" s="69" t="inlineStr">
        <is>
          <t>Refinance</t>
        </is>
      </c>
      <c r="BD1253" s="69" t="inlineStr">
        <is>
          <t>N</t>
        </is>
      </c>
      <c r="BE1253" s="71" t="n"/>
      <c r="BF1253" s="71" t="n"/>
      <c r="BG1253" s="71" t="n"/>
      <c r="BH1253" s="71" t="n">
        <v>0</v>
      </c>
      <c r="BI1253" s="71" t="n">
        <v>0</v>
      </c>
      <c r="BJ1253" s="69" t="inlineStr">
        <is>
          <t>N</t>
        </is>
      </c>
      <c r="BK1253" s="69" t="n"/>
      <c r="BL1253" s="75" t="n"/>
      <c r="BM1253" s="73" t="n"/>
      <c r="BN1253" s="69" t="inlineStr">
        <is>
          <t>David M. Conwill; Steven B. Kimmelman; Leslie Leohr</t>
        </is>
      </c>
      <c r="BO1253" s="69" t="inlineStr">
        <is>
          <t>Ladder Capital Finance</t>
        </is>
      </c>
      <c r="BP1253" s="69" t="inlineStr">
        <is>
          <t>Midland Loan Services</t>
        </is>
      </c>
      <c r="BQ1253" s="69" t="inlineStr">
        <is>
          <t>K-Star Asset Management LLC</t>
        </is>
      </c>
      <c r="BR1253" s="69" t="n"/>
      <c r="BS1253" s="73" t="n">
        <v>46276</v>
      </c>
      <c r="BU1253" s="76">
        <f>IF($C1253="","",IFERROR(INDEX(dmName,MATCH($C1253,dmID,0)),"Unmapped"))</f>
        <v/>
      </c>
      <c r="BV1253" s="76">
        <f>IF($C1253="","",IFERROR(INDEX(dmEntity,MATCH($C1253,dmID,0)),"Unmapped"))</f>
        <v/>
      </c>
      <c r="BW1253" s="77">
        <f>IF($C1253="","",IFERROR(INDEX(dmVintage,MATCH($C1253,dmID,0)),""))</f>
        <v/>
      </c>
      <c r="BX1253" s="78">
        <f>IFERROR(INDEX(dmInclude,MATCH($C1253,dmID,0)),0)</f>
        <v/>
      </c>
      <c r="BY1253" s="78">
        <f>IF(N($I1253)&gt;0,1,0)</f>
        <v/>
      </c>
      <c r="BZ1253" s="76">
        <f>IF($AJ1253="","Other / Leased Fee",IFERROR(INDEX(mapPTGroup,MATCH(LEFT(TRIM($AJ1253),2),mapPTCode,0)),"Other / Leased Fee"))</f>
        <v/>
      </c>
      <c r="CA1253" s="76">
        <f>IF(TRIM($AF1253&amp;"")="","NR",LEFT(TRIM($AF1253),2))</f>
        <v/>
      </c>
      <c r="CB1253" s="76">
        <f>IFERROR(LOOKUP(2,1/(LEFT(TRIM($AI1253&amp;""),LEN(mapRegion))=mapRegion),mapRegion),"Not Reported")</f>
        <v/>
      </c>
      <c r="CC1253" s="76">
        <f>IF($BY1253=0,"",IF(TRIM($W1253&amp;"")="REO","REO",IF(TRIM($W1253&amp;"")="FC","Foreclosure",IF(TRIM($W1253&amp;"")="90+","90+ Days Delinquent",IF(TRIM($W1253&amp;"")="60","60 Days Delinquent",IF(TRIM($W1253&amp;"")="30","30 Days Delinquent",IF($X1253="Non-Performing Matured Balloon","Non-Performing Matured Balloon",IF(OR($X1253="Late Payment But Less Than 30 Days Delinquent",LEFT($X1253&amp;"",20)="Payment Not Received"),"Late / In Grace (&lt;30 Days)",IF($X1253="Performing Matured Balloon","Performing Matured Balloon","Current")))))))))</f>
        <v/>
      </c>
      <c r="CD1253" s="78">
        <f>IF(OR($CC1253="REO",$CC1253="Foreclosure",$CC1253="90+ Days Delinquent",$CC1253="60 Days Delinquent",$CC1253="30 Days Delinquent",$CC1253="Non-Performing Matured Balloon"),1,0)</f>
        <v/>
      </c>
      <c r="CE1253" s="76">
        <f>IF($AB1253="Currently special serv","Currently Specially Serviced",IF($AB1253="Returned to master serv","Previously Specially Serviced","Never Specially Serviced"))</f>
        <v/>
      </c>
      <c r="CF1253" s="78">
        <f>IF($CE1253="Currently Specially Serviced",1,0)</f>
        <v/>
      </c>
      <c r="CG1253" s="76">
        <f>IF($AA1253="Yes","Currently on Watchlist",IF($AA1253="Previously","Previously on Watchlist","Never on Watchlist"))</f>
        <v/>
      </c>
      <c r="CH1253" s="78">
        <f>IF($CG1253="Currently on Watchlist",1,0)</f>
        <v/>
      </c>
      <c r="CI1253" s="76">
        <f>IF($Z1253="Full Defeasance","Fully Defeased",IF($Z1253="Portion Of Loan Previously Defeased","Partially Defeased",IF($Z1253="Defeasance Not Allowable","Not Defeased (Not Permitted)","Not Defeased")))</f>
        <v/>
      </c>
      <c r="CJ1253" s="78">
        <f>IF($CI1253="Fully Defeased",1,0)</f>
        <v/>
      </c>
      <c r="CK1253" s="76">
        <f>IF($R1253="IO","Full IO",IF(LEFT($R1253&amp;"",7)="IO then","Partial IO","Amortizing"))</f>
        <v/>
      </c>
      <c r="CL1253" s="78">
        <f>IF($CK1253="Full IO",1,0)</f>
        <v/>
      </c>
      <c r="CM1253" s="78">
        <f>IF($CK1253="Partial IO",1,0)</f>
        <v/>
      </c>
      <c r="CN1253" s="76">
        <f>IF(LEFT($F1253&amp;"",10)="SPLIT_LOAN","Pari Passu Split","Standalone")</f>
        <v/>
      </c>
      <c r="CO1253" s="78">
        <f>IF($CN1253="Pari Passu Split",1,0)</f>
        <v/>
      </c>
      <c r="CP1253" s="77">
        <f>IF(ISNUMBER($T1253),YEAR($T1253),"")</f>
        <v/>
      </c>
      <c r="CQ1253" s="79">
        <f>IF(ISNUMBER($V1253),$V1253,IF(ISNUMBER($U1253),$U1253,""))</f>
        <v/>
      </c>
      <c r="CR1253" s="77">
        <f>IF(ISNUMBER($CQ1253),YEAR($CQ1253),"")</f>
        <v/>
      </c>
      <c r="CS1253" s="78">
        <f>IF(ISNUMBER($M1253),MAX(0,$M1253),IF(TRIM($M1253&amp;"")="matured",0,""))</f>
        <v/>
      </c>
      <c r="CT1253" s="78">
        <f>IF(AND(ISNUMBER($CS1253),N($CS1253)&lt;=mMatWindow),1,0)</f>
        <v/>
      </c>
      <c r="CU1253" s="80">
        <f>IF(ISNUMBER($J1253),$J1253/100,"")</f>
        <v/>
      </c>
      <c r="CV1253" s="81">
        <f>IF(ISNUMBER($AQ1253),$AQ1253,"")</f>
        <v/>
      </c>
      <c r="CW1253" s="81">
        <f>IF(ISNUMBER($AR1253),$AR1253,"")</f>
        <v/>
      </c>
      <c r="CX1253" s="82">
        <f>IF(ISNUMBER($AS1253),$AS1253/100,"")</f>
        <v/>
      </c>
      <c r="CY1253" s="82">
        <f>IF(ISNUMBER($AT1253),$AT1253/100,"")</f>
        <v/>
      </c>
      <c r="CZ1253" s="82">
        <f>IF(ISNUMBER($AU1253),$AU1253/100,"")</f>
        <v/>
      </c>
      <c r="DA1253" s="82">
        <f>IF(ISNUMBER($AV1253),$AV1253/100,"")</f>
        <v/>
      </c>
      <c r="DB1253" s="82">
        <f>IF(ISNUMBER($AW1253),$AW1253/100,"")</f>
        <v/>
      </c>
      <c r="DC1253" s="82">
        <f>IF(ISNUMBER($AX1253),$AX1253/100,"")</f>
        <v/>
      </c>
      <c r="DD1253" s="77">
        <f>IFERROR(VALUE(LEFT(TRIM($AO1253&amp;""),4)),"")</f>
        <v/>
      </c>
      <c r="DE1253" s="78">
        <f>IF(AND($BY1253=1,$BX1253=1,OR(fDeal="All Deals",$BU1253=fDeal),OR(fEntity="All Entities",$BV1253=fEntity),OR(fPType="All Property Types",$BZ1253=fPType),OR(fDefeased="Include",$CJ1253=0)),1,0)</f>
        <v/>
      </c>
      <c r="DF1253" s="83">
        <f>$DE1253*N($I1253)</f>
        <v/>
      </c>
      <c r="DG1253" s="78">
        <f>IF($DE1253=1,IF(COUNTIFS($F$8:$F1253,$F1253,$DE$8:$DE1253,1)=1,1,0),0)</f>
        <v/>
      </c>
      <c r="DH1253" s="83">
        <f>IF($DG1253=1,SUMIFS($DF$8:$DF$1600,$F$8:$F$1600,$F1253),0)</f>
        <v/>
      </c>
      <c r="DI1253" s="78">
        <f>IF($DG1253=1,COUNTIFS($F$8:$F$1600,$F1253,$DE$8:$DE$1600,1),0)</f>
        <v/>
      </c>
      <c r="DJ1253" s="84">
        <f>IF($DG1253=1,$DH1253+(100000-ROW())/mTieBreak,0)</f>
        <v/>
      </c>
    </row>
    <row r="1254">
      <c r="B1254" s="68" t="n">
        <v>21</v>
      </c>
      <c r="C1254" s="69" t="inlineStr">
        <is>
          <t>UBS18C12</t>
        </is>
      </c>
      <c r="D1254" s="69" t="inlineStr">
        <is>
          <t>21.000</t>
        </is>
      </c>
      <c r="E1254" s="69" t="inlineStr">
        <is>
          <t>Kjellberg MHP</t>
        </is>
      </c>
      <c r="F1254" s="69" t="inlineStr">
        <is>
          <t>LNUBS18C12-21.000</t>
        </is>
      </c>
      <c r="G1254" s="70" t="n"/>
      <c r="H1254" s="71" t="n">
        <v>11750000</v>
      </c>
      <c r="I1254" s="71" t="n">
        <v>11257409.40000375</v>
      </c>
      <c r="J1254" s="72" t="n">
        <v>5.418</v>
      </c>
      <c r="K1254" s="69" t="inlineStr">
        <is>
          <t>Fixed rate</t>
        </is>
      </c>
      <c r="L1254" s="68" t="n">
        <v>120</v>
      </c>
      <c r="M1254" s="68" t="n">
        <v>23</v>
      </c>
      <c r="N1254" s="68" t="n">
        <v>420</v>
      </c>
      <c r="O1254" s="68" t="n">
        <v>60</v>
      </c>
      <c r="P1254" s="68" t="n">
        <v>0</v>
      </c>
      <c r="Q1254" s="68" t="n">
        <v>97</v>
      </c>
      <c r="R1254" s="69" t="inlineStr">
        <is>
          <t>IO then Amort</t>
        </is>
      </c>
      <c r="S1254" s="69" t="inlineStr">
        <is>
          <t>No</t>
        </is>
      </c>
      <c r="T1254" s="73" t="n">
        <v>43313</v>
      </c>
      <c r="U1254" s="73" t="n">
        <v>46971</v>
      </c>
      <c r="V1254" s="73" t="n"/>
      <c r="W1254" s="69" t="n"/>
      <c r="X1254" s="69" t="inlineStr">
        <is>
          <t>Current</t>
        </is>
      </c>
      <c r="Y1254" s="68" t="n"/>
      <c r="Z1254" s="69" t="inlineStr">
        <is>
          <t>Full Defeasance</t>
        </is>
      </c>
      <c r="AA1254" s="69" t="n"/>
      <c r="AB1254" s="69" t="inlineStr">
        <is>
          <t>Never special serv</t>
        </is>
      </c>
      <c r="AC1254" s="73" t="n"/>
      <c r="AD1254" s="69" t="n"/>
      <c r="AE1254" s="69" t="n"/>
      <c r="AF1254" s="69" t="inlineStr">
        <is>
          <t>MN</t>
        </is>
      </c>
      <c r="AG1254" s="69" t="inlineStr">
        <is>
          <t>Monticello</t>
        </is>
      </c>
      <c r="AH1254" s="69" t="inlineStr">
        <is>
          <t>Minneapolis-St. Paul-Bloomington, MN-WI</t>
        </is>
      </c>
      <c r="AI1254" s="69" t="inlineStr">
        <is>
          <t>Midwest / Central West</t>
        </is>
      </c>
      <c r="AJ1254" s="69" t="inlineStr">
        <is>
          <t>MH</t>
        </is>
      </c>
      <c r="AK1254" s="69" t="n"/>
      <c r="AL1254" s="68" t="n">
        <v>1</v>
      </c>
      <c r="AM1254" s="68" t="n">
        <v>322</v>
      </c>
      <c r="AN1254" s="68" t="n"/>
      <c r="AO1254" s="69" t="inlineStr">
        <is>
          <t>1970</t>
        </is>
      </c>
      <c r="AP1254" s="70" t="n">
        <v>1970</v>
      </c>
      <c r="AQ1254" s="74" t="n">
        <v>1.56</v>
      </c>
      <c r="AR1254" s="74" t="n">
        <v>1.65</v>
      </c>
      <c r="AS1254" s="74" t="n">
        <v>64.3</v>
      </c>
      <c r="AT1254" s="74" t="n">
        <v>61.62</v>
      </c>
      <c r="AU1254" s="74" t="n">
        <v>59.7</v>
      </c>
      <c r="AV1254" s="74" t="n">
        <v>8.590104766</v>
      </c>
      <c r="AW1254" s="74" t="n">
        <v>9.210969799000001</v>
      </c>
      <c r="AX1254" s="75" t="n">
        <v>100</v>
      </c>
      <c r="AY1254" s="71" t="n">
        <v>18270000</v>
      </c>
      <c r="AZ1254" s="71" t="n">
        <v>18270000</v>
      </c>
      <c r="BA1254" s="71" t="n">
        <v>1009337.31</v>
      </c>
      <c r="BB1254" s="71" t="n">
        <v>1064919.66</v>
      </c>
      <c r="BC1254" s="69" t="inlineStr">
        <is>
          <t>Refinance</t>
        </is>
      </c>
      <c r="BD1254" s="69" t="inlineStr">
        <is>
          <t>N</t>
        </is>
      </c>
      <c r="BE1254" s="71" t="n"/>
      <c r="BF1254" s="71" t="n"/>
      <c r="BG1254" s="71" t="n"/>
      <c r="BH1254" s="71" t="n">
        <v>0</v>
      </c>
      <c r="BI1254" s="71" t="n">
        <v>0</v>
      </c>
      <c r="BJ1254" s="69" t="inlineStr">
        <is>
          <t>N</t>
        </is>
      </c>
      <c r="BK1254" s="69" t="n"/>
      <c r="BL1254" s="75" t="n"/>
      <c r="BM1254" s="73" t="n"/>
      <c r="BN1254" s="69" t="inlineStr">
        <is>
          <t>Kent M. Kjellberg</t>
        </is>
      </c>
      <c r="BO1254" s="69" t="inlineStr">
        <is>
          <t>Ladder Capital Finance</t>
        </is>
      </c>
      <c r="BP1254" s="69" t="inlineStr">
        <is>
          <t>Midland Loan Services</t>
        </is>
      </c>
      <c r="BQ1254" s="69" t="inlineStr">
        <is>
          <t>K-Star Asset Management LLC</t>
        </is>
      </c>
      <c r="BR1254" s="69" t="n"/>
      <c r="BS1254" s="73" t="n">
        <v>46276</v>
      </c>
      <c r="BU1254" s="76">
        <f>IF($C1254="","",IFERROR(INDEX(dmName,MATCH($C1254,dmID,0)),"Unmapped"))</f>
        <v/>
      </c>
      <c r="BV1254" s="76">
        <f>IF($C1254="","",IFERROR(INDEX(dmEntity,MATCH($C1254,dmID,0)),"Unmapped"))</f>
        <v/>
      </c>
      <c r="BW1254" s="77">
        <f>IF($C1254="","",IFERROR(INDEX(dmVintage,MATCH($C1254,dmID,0)),""))</f>
        <v/>
      </c>
      <c r="BX1254" s="78">
        <f>IFERROR(INDEX(dmInclude,MATCH($C1254,dmID,0)),0)</f>
        <v/>
      </c>
      <c r="BY1254" s="78">
        <f>IF(N($I1254)&gt;0,1,0)</f>
        <v/>
      </c>
      <c r="BZ1254" s="76">
        <f>IF($AJ1254="","Other / Leased Fee",IFERROR(INDEX(mapPTGroup,MATCH(LEFT(TRIM($AJ1254),2),mapPTCode,0)),"Other / Leased Fee"))</f>
        <v/>
      </c>
      <c r="CA1254" s="76">
        <f>IF(TRIM($AF1254&amp;"")="","NR",LEFT(TRIM($AF1254),2))</f>
        <v/>
      </c>
      <c r="CB1254" s="76">
        <f>IFERROR(LOOKUP(2,1/(LEFT(TRIM($AI1254&amp;""),LEN(mapRegion))=mapRegion),mapRegion),"Not Reported")</f>
        <v/>
      </c>
      <c r="CC1254" s="76">
        <f>IF($BY1254=0,"",IF(TRIM($W1254&amp;"")="REO","REO",IF(TRIM($W1254&amp;"")="FC","Foreclosure",IF(TRIM($W1254&amp;"")="90+","90+ Days Delinquent",IF(TRIM($W1254&amp;"")="60","60 Days Delinquent",IF(TRIM($W1254&amp;"")="30","30 Days Delinquent",IF($X1254="Non-Performing Matured Balloon","Non-Performing Matured Balloon",IF(OR($X1254="Late Payment But Less Than 30 Days Delinquent",LEFT($X1254&amp;"",20)="Payment Not Received"),"Late / In Grace (&lt;30 Days)",IF($X1254="Performing Matured Balloon","Performing Matured Balloon","Current")))))))))</f>
        <v/>
      </c>
      <c r="CD1254" s="78">
        <f>IF(OR($CC1254="REO",$CC1254="Foreclosure",$CC1254="90+ Days Delinquent",$CC1254="60 Days Delinquent",$CC1254="30 Days Delinquent",$CC1254="Non-Performing Matured Balloon"),1,0)</f>
        <v/>
      </c>
      <c r="CE1254" s="76">
        <f>IF($AB1254="Currently special serv","Currently Specially Serviced",IF($AB1254="Returned to master serv","Previously Specially Serviced","Never Specially Serviced"))</f>
        <v/>
      </c>
      <c r="CF1254" s="78">
        <f>IF($CE1254="Currently Specially Serviced",1,0)</f>
        <v/>
      </c>
      <c r="CG1254" s="76">
        <f>IF($AA1254="Yes","Currently on Watchlist",IF($AA1254="Previously","Previously on Watchlist","Never on Watchlist"))</f>
        <v/>
      </c>
      <c r="CH1254" s="78">
        <f>IF($CG1254="Currently on Watchlist",1,0)</f>
        <v/>
      </c>
      <c r="CI1254" s="76">
        <f>IF($Z1254="Full Defeasance","Fully Defeased",IF($Z1254="Portion Of Loan Previously Defeased","Partially Defeased",IF($Z1254="Defeasance Not Allowable","Not Defeased (Not Permitted)","Not Defeased")))</f>
        <v/>
      </c>
      <c r="CJ1254" s="78">
        <f>IF($CI1254="Fully Defeased",1,0)</f>
        <v/>
      </c>
      <c r="CK1254" s="76">
        <f>IF($R1254="IO","Full IO",IF(LEFT($R1254&amp;"",7)="IO then","Partial IO","Amortizing"))</f>
        <v/>
      </c>
      <c r="CL1254" s="78">
        <f>IF($CK1254="Full IO",1,0)</f>
        <v/>
      </c>
      <c r="CM1254" s="78">
        <f>IF($CK1254="Partial IO",1,0)</f>
        <v/>
      </c>
      <c r="CN1254" s="76">
        <f>IF(LEFT($F1254&amp;"",10)="SPLIT_LOAN","Pari Passu Split","Standalone")</f>
        <v/>
      </c>
      <c r="CO1254" s="78">
        <f>IF($CN1254="Pari Passu Split",1,0)</f>
        <v/>
      </c>
      <c r="CP1254" s="77">
        <f>IF(ISNUMBER($T1254),YEAR($T1254),"")</f>
        <v/>
      </c>
      <c r="CQ1254" s="79">
        <f>IF(ISNUMBER($V1254),$V1254,IF(ISNUMBER($U1254),$U1254,""))</f>
        <v/>
      </c>
      <c r="CR1254" s="77">
        <f>IF(ISNUMBER($CQ1254),YEAR($CQ1254),"")</f>
        <v/>
      </c>
      <c r="CS1254" s="78">
        <f>IF(ISNUMBER($M1254),MAX(0,$M1254),IF(TRIM($M1254&amp;"")="matured",0,""))</f>
        <v/>
      </c>
      <c r="CT1254" s="78">
        <f>IF(AND(ISNUMBER($CS1254),N($CS1254)&lt;=mMatWindow),1,0)</f>
        <v/>
      </c>
      <c r="CU1254" s="80">
        <f>IF(ISNUMBER($J1254),$J1254/100,"")</f>
        <v/>
      </c>
      <c r="CV1254" s="81">
        <f>IF(ISNUMBER($AQ1254),$AQ1254,"")</f>
        <v/>
      </c>
      <c r="CW1254" s="81">
        <f>IF(ISNUMBER($AR1254),$AR1254,"")</f>
        <v/>
      </c>
      <c r="CX1254" s="82">
        <f>IF(ISNUMBER($AS1254),$AS1254/100,"")</f>
        <v/>
      </c>
      <c r="CY1254" s="82">
        <f>IF(ISNUMBER($AT1254),$AT1254/100,"")</f>
        <v/>
      </c>
      <c r="CZ1254" s="82">
        <f>IF(ISNUMBER($AU1254),$AU1254/100,"")</f>
        <v/>
      </c>
      <c r="DA1254" s="82">
        <f>IF(ISNUMBER($AV1254),$AV1254/100,"")</f>
        <v/>
      </c>
      <c r="DB1254" s="82">
        <f>IF(ISNUMBER($AW1254),$AW1254/100,"")</f>
        <v/>
      </c>
      <c r="DC1254" s="82">
        <f>IF(ISNUMBER($AX1254),$AX1254/100,"")</f>
        <v/>
      </c>
      <c r="DD1254" s="77">
        <f>IFERROR(VALUE(LEFT(TRIM($AO1254&amp;""),4)),"")</f>
        <v/>
      </c>
      <c r="DE1254" s="78">
        <f>IF(AND($BY1254=1,$BX1254=1,OR(fDeal="All Deals",$BU1254=fDeal),OR(fEntity="All Entities",$BV1254=fEntity),OR(fPType="All Property Types",$BZ1254=fPType),OR(fDefeased="Include",$CJ1254=0)),1,0)</f>
        <v/>
      </c>
      <c r="DF1254" s="83">
        <f>$DE1254*N($I1254)</f>
        <v/>
      </c>
      <c r="DG1254" s="78">
        <f>IF($DE1254=1,IF(COUNTIFS($F$8:$F1254,$F1254,$DE$8:$DE1254,1)=1,1,0),0)</f>
        <v/>
      </c>
      <c r="DH1254" s="83">
        <f>IF($DG1254=1,SUMIFS($DF$8:$DF$1600,$F$8:$F$1600,$F1254),0)</f>
        <v/>
      </c>
      <c r="DI1254" s="78">
        <f>IF($DG1254=1,COUNTIFS($F$8:$F$1600,$F1254,$DE$8:$DE$1600,1),0)</f>
        <v/>
      </c>
      <c r="DJ1254" s="84">
        <f>IF($DG1254=1,$DH1254+(100000-ROW())/mTieBreak,0)</f>
        <v/>
      </c>
    </row>
    <row r="1255">
      <c r="B1255" s="68" t="n">
        <v>22</v>
      </c>
      <c r="C1255" s="69" t="inlineStr">
        <is>
          <t>UBS18C12</t>
        </is>
      </c>
      <c r="D1255" s="69" t="inlineStr">
        <is>
          <t>22.000</t>
        </is>
      </c>
      <c r="E1255" s="69" t="inlineStr">
        <is>
          <t>Warner Courtyards</t>
        </is>
      </c>
      <c r="F1255" s="69" t="inlineStr">
        <is>
          <t>LNUBS18C12-22.000</t>
        </is>
      </c>
      <c r="G1255" s="70" t="n"/>
      <c r="H1255" s="71" t="n">
        <v>11500000</v>
      </c>
      <c r="I1255" s="71" t="n">
        <v>11500000</v>
      </c>
      <c r="J1255" s="72" t="n">
        <v>4.5809</v>
      </c>
      <c r="K1255" s="69" t="inlineStr">
        <is>
          <t>Fixed rate</t>
        </is>
      </c>
      <c r="L1255" s="68" t="n">
        <v>120</v>
      </c>
      <c r="M1255" s="68" t="n">
        <v>22</v>
      </c>
      <c r="N1255" s="68" t="n">
        <v>120</v>
      </c>
      <c r="O1255" s="68" t="n">
        <v>120</v>
      </c>
      <c r="P1255" s="68" t="n">
        <v>22</v>
      </c>
      <c r="Q1255" s="68" t="n">
        <v>98</v>
      </c>
      <c r="R1255" s="69" t="inlineStr">
        <is>
          <t>IO</t>
        </is>
      </c>
      <c r="S1255" s="69" t="inlineStr">
        <is>
          <t>Yes</t>
        </is>
      </c>
      <c r="T1255" s="73" t="n">
        <v>43282</v>
      </c>
      <c r="U1255" s="73" t="n">
        <v>46940</v>
      </c>
      <c r="V1255" s="73" t="n"/>
      <c r="W1255" s="69" t="n"/>
      <c r="X1255" s="69" t="inlineStr">
        <is>
          <t>Current</t>
        </is>
      </c>
      <c r="Y1255" s="68" t="n"/>
      <c r="Z1255" s="69" t="inlineStr">
        <is>
          <t>Defeasance Not Allowable</t>
        </is>
      </c>
      <c r="AA1255" s="69" t="inlineStr">
        <is>
          <t>Yes</t>
        </is>
      </c>
      <c r="AB1255" s="69" t="inlineStr">
        <is>
          <t>Never special serv</t>
        </is>
      </c>
      <c r="AC1255" s="73" t="n"/>
      <c r="AD1255" s="69" t="n"/>
      <c r="AE1255" s="69" t="n"/>
      <c r="AF1255" s="69" t="inlineStr">
        <is>
          <t>AZ</t>
        </is>
      </c>
      <c r="AG1255" s="69" t="inlineStr">
        <is>
          <t>Tempe</t>
        </is>
      </c>
      <c r="AH1255" s="69" t="inlineStr">
        <is>
          <t>Phoenix-Mesa-Chandler, AZ</t>
        </is>
      </c>
      <c r="AI1255" s="69" t="inlineStr">
        <is>
          <t>West / Mountain</t>
        </is>
      </c>
      <c r="AJ1255" s="69" t="inlineStr">
        <is>
          <t>OF</t>
        </is>
      </c>
      <c r="AK1255" s="69" t="inlineStr">
        <is>
          <t>Suburban</t>
        </is>
      </c>
      <c r="AL1255" s="68" t="n">
        <v>1</v>
      </c>
      <c r="AM1255" s="68" t="n"/>
      <c r="AN1255" s="68" t="n">
        <v>114054</v>
      </c>
      <c r="AO1255" s="69" t="inlineStr">
        <is>
          <t>2002</t>
        </is>
      </c>
      <c r="AP1255" s="70" t="n">
        <v>2002</v>
      </c>
      <c r="AQ1255" s="74" t="n">
        <v>2.65</v>
      </c>
      <c r="AR1255" s="74" t="n">
        <v>0.04</v>
      </c>
      <c r="AS1255" s="74" t="n">
        <v>50</v>
      </c>
      <c r="AT1255" s="74" t="n">
        <v>50</v>
      </c>
      <c r="AU1255" s="74" t="n">
        <v>50</v>
      </c>
      <c r="AV1255" s="74" t="n">
        <v>12.312870174</v>
      </c>
      <c r="AW1255" s="74" t="n">
        <v>-2.993174522</v>
      </c>
      <c r="AX1255" s="75" t="n">
        <v>38</v>
      </c>
      <c r="AY1255" s="71" t="n">
        <v>23000000</v>
      </c>
      <c r="AZ1255" s="71" t="n">
        <v>23000000</v>
      </c>
      <c r="BA1255" s="71" t="n">
        <v>1415980.07</v>
      </c>
      <c r="BB1255" s="71" t="n">
        <v>20696.97</v>
      </c>
      <c r="BC1255" s="69" t="inlineStr">
        <is>
          <t>Acquisition</t>
        </is>
      </c>
      <c r="BD1255" s="69" t="inlineStr">
        <is>
          <t>N</t>
        </is>
      </c>
      <c r="BE1255" s="71" t="n"/>
      <c r="BF1255" s="71" t="n"/>
      <c r="BG1255" s="71" t="n"/>
      <c r="BH1255" s="71" t="n">
        <v>0</v>
      </c>
      <c r="BI1255" s="71" t="n">
        <v>0</v>
      </c>
      <c r="BJ1255" s="69" t="inlineStr">
        <is>
          <t>N</t>
        </is>
      </c>
      <c r="BK1255" s="69" t="inlineStr">
        <is>
          <t>Global Lending Services LLC 6031g1ob</t>
        </is>
      </c>
      <c r="BL1255" s="75" t="n">
        <v>19.02</v>
      </c>
      <c r="BM1255" s="73" t="n">
        <v>48487</v>
      </c>
      <c r="BN1255" s="69" t="inlineStr">
        <is>
          <t>R. Craig Hannay Trust dated September 13, 2001, as amended, by and through its trustee, R. Craig Hannay; R. Craig Hannay</t>
        </is>
      </c>
      <c r="BO1255" s="69" t="inlineStr">
        <is>
          <t>UBS</t>
        </is>
      </c>
      <c r="BP1255" s="69" t="inlineStr">
        <is>
          <t>Midland Loan Services</t>
        </is>
      </c>
      <c r="BQ1255" s="69" t="inlineStr">
        <is>
          <t>K-Star Asset Management LLC</t>
        </is>
      </c>
      <c r="BR1255" s="69" t="n"/>
      <c r="BS1255" s="73" t="n">
        <v>46276</v>
      </c>
      <c r="BU1255" s="76">
        <f>IF($C1255="","",IFERROR(INDEX(dmName,MATCH($C1255,dmID,0)),"Unmapped"))</f>
        <v/>
      </c>
      <c r="BV1255" s="76">
        <f>IF($C1255="","",IFERROR(INDEX(dmEntity,MATCH($C1255,dmID,0)),"Unmapped"))</f>
        <v/>
      </c>
      <c r="BW1255" s="77">
        <f>IF($C1255="","",IFERROR(INDEX(dmVintage,MATCH($C1255,dmID,0)),""))</f>
        <v/>
      </c>
      <c r="BX1255" s="78">
        <f>IFERROR(INDEX(dmInclude,MATCH($C1255,dmID,0)),0)</f>
        <v/>
      </c>
      <c r="BY1255" s="78">
        <f>IF(N($I1255)&gt;0,1,0)</f>
        <v/>
      </c>
      <c r="BZ1255" s="76">
        <f>IF($AJ1255="","Other / Leased Fee",IFERROR(INDEX(mapPTGroup,MATCH(LEFT(TRIM($AJ1255),2),mapPTCode,0)),"Other / Leased Fee"))</f>
        <v/>
      </c>
      <c r="CA1255" s="76">
        <f>IF(TRIM($AF1255&amp;"")="","NR",LEFT(TRIM($AF1255),2))</f>
        <v/>
      </c>
      <c r="CB1255" s="76">
        <f>IFERROR(LOOKUP(2,1/(LEFT(TRIM($AI1255&amp;""),LEN(mapRegion))=mapRegion),mapRegion),"Not Reported")</f>
        <v/>
      </c>
      <c r="CC1255" s="76">
        <f>IF($BY1255=0,"",IF(TRIM($W1255&amp;"")="REO","REO",IF(TRIM($W1255&amp;"")="FC","Foreclosure",IF(TRIM($W1255&amp;"")="90+","90+ Days Delinquent",IF(TRIM($W1255&amp;"")="60","60 Days Delinquent",IF(TRIM($W1255&amp;"")="30","30 Days Delinquent",IF($X1255="Non-Performing Matured Balloon","Non-Performing Matured Balloon",IF(OR($X1255="Late Payment But Less Than 30 Days Delinquent",LEFT($X1255&amp;"",20)="Payment Not Received"),"Late / In Grace (&lt;30 Days)",IF($X1255="Performing Matured Balloon","Performing Matured Balloon","Current")))))))))</f>
        <v/>
      </c>
      <c r="CD1255" s="78">
        <f>IF(OR($CC1255="REO",$CC1255="Foreclosure",$CC1255="90+ Days Delinquent",$CC1255="60 Days Delinquent",$CC1255="30 Days Delinquent",$CC1255="Non-Performing Matured Balloon"),1,0)</f>
        <v/>
      </c>
      <c r="CE1255" s="76">
        <f>IF($AB1255="Currently special serv","Currently Specially Serviced",IF($AB1255="Returned to master serv","Previously Specially Serviced","Never Specially Serviced"))</f>
        <v/>
      </c>
      <c r="CF1255" s="78">
        <f>IF($CE1255="Currently Specially Serviced",1,0)</f>
        <v/>
      </c>
      <c r="CG1255" s="76">
        <f>IF($AA1255="Yes","Currently on Watchlist",IF($AA1255="Previously","Previously on Watchlist","Never on Watchlist"))</f>
        <v/>
      </c>
      <c r="CH1255" s="78">
        <f>IF($CG1255="Currently on Watchlist",1,0)</f>
        <v/>
      </c>
      <c r="CI1255" s="76">
        <f>IF($Z1255="Full Defeasance","Fully Defeased",IF($Z1255="Portion Of Loan Previously Defeased","Partially Defeased",IF($Z1255="Defeasance Not Allowable","Not Defeased (Not Permitted)","Not Defeased")))</f>
        <v/>
      </c>
      <c r="CJ1255" s="78">
        <f>IF($CI1255="Fully Defeased",1,0)</f>
        <v/>
      </c>
      <c r="CK1255" s="76">
        <f>IF($R1255="IO","Full IO",IF(LEFT($R1255&amp;"",7)="IO then","Partial IO","Amortizing"))</f>
        <v/>
      </c>
      <c r="CL1255" s="78">
        <f>IF($CK1255="Full IO",1,0)</f>
        <v/>
      </c>
      <c r="CM1255" s="78">
        <f>IF($CK1255="Partial IO",1,0)</f>
        <v/>
      </c>
      <c r="CN1255" s="76">
        <f>IF(LEFT($F1255&amp;"",10)="SPLIT_LOAN","Pari Passu Split","Standalone")</f>
        <v/>
      </c>
      <c r="CO1255" s="78">
        <f>IF($CN1255="Pari Passu Split",1,0)</f>
        <v/>
      </c>
      <c r="CP1255" s="77">
        <f>IF(ISNUMBER($T1255),YEAR($T1255),"")</f>
        <v/>
      </c>
      <c r="CQ1255" s="79">
        <f>IF(ISNUMBER($V1255),$V1255,IF(ISNUMBER($U1255),$U1255,""))</f>
        <v/>
      </c>
      <c r="CR1255" s="77">
        <f>IF(ISNUMBER($CQ1255),YEAR($CQ1255),"")</f>
        <v/>
      </c>
      <c r="CS1255" s="78">
        <f>IF(ISNUMBER($M1255),MAX(0,$M1255),IF(TRIM($M1255&amp;"")="matured",0,""))</f>
        <v/>
      </c>
      <c r="CT1255" s="78">
        <f>IF(AND(ISNUMBER($CS1255),N($CS1255)&lt;=mMatWindow),1,0)</f>
        <v/>
      </c>
      <c r="CU1255" s="80">
        <f>IF(ISNUMBER($J1255),$J1255/100,"")</f>
        <v/>
      </c>
      <c r="CV1255" s="81">
        <f>IF(ISNUMBER($AQ1255),$AQ1255,"")</f>
        <v/>
      </c>
      <c r="CW1255" s="81">
        <f>IF(ISNUMBER($AR1255),$AR1255,"")</f>
        <v/>
      </c>
      <c r="CX1255" s="82">
        <f>IF(ISNUMBER($AS1255),$AS1255/100,"")</f>
        <v/>
      </c>
      <c r="CY1255" s="82">
        <f>IF(ISNUMBER($AT1255),$AT1255/100,"")</f>
        <v/>
      </c>
      <c r="CZ1255" s="82">
        <f>IF(ISNUMBER($AU1255),$AU1255/100,"")</f>
        <v/>
      </c>
      <c r="DA1255" s="82">
        <f>IF(ISNUMBER($AV1255),$AV1255/100,"")</f>
        <v/>
      </c>
      <c r="DB1255" s="82">
        <f>IF(ISNUMBER($AW1255),$AW1255/100,"")</f>
        <v/>
      </c>
      <c r="DC1255" s="82">
        <f>IF(ISNUMBER($AX1255),$AX1255/100,"")</f>
        <v/>
      </c>
      <c r="DD1255" s="77">
        <f>IFERROR(VALUE(LEFT(TRIM($AO1255&amp;""),4)),"")</f>
        <v/>
      </c>
      <c r="DE1255" s="78">
        <f>IF(AND($BY1255=1,$BX1255=1,OR(fDeal="All Deals",$BU1255=fDeal),OR(fEntity="All Entities",$BV1255=fEntity),OR(fPType="All Property Types",$BZ1255=fPType),OR(fDefeased="Include",$CJ1255=0)),1,0)</f>
        <v/>
      </c>
      <c r="DF1255" s="83">
        <f>$DE1255*N($I1255)</f>
        <v/>
      </c>
      <c r="DG1255" s="78">
        <f>IF($DE1255=1,IF(COUNTIFS($F$8:$F1255,$F1255,$DE$8:$DE1255,1)=1,1,0),0)</f>
        <v/>
      </c>
      <c r="DH1255" s="83">
        <f>IF($DG1255=1,SUMIFS($DF$8:$DF$1600,$F$8:$F$1600,$F1255),0)</f>
        <v/>
      </c>
      <c r="DI1255" s="78">
        <f>IF($DG1255=1,COUNTIFS($F$8:$F$1600,$F1255,$DE$8:$DE$1600,1),0)</f>
        <v/>
      </c>
      <c r="DJ1255" s="84">
        <f>IF($DG1255=1,$DH1255+(100000-ROW())/mTieBreak,0)</f>
        <v/>
      </c>
    </row>
    <row r="1256">
      <c r="B1256" s="68" t="n">
        <v>23</v>
      </c>
      <c r="C1256" s="69" t="inlineStr">
        <is>
          <t>UBS18C12</t>
        </is>
      </c>
      <c r="D1256" s="69" t="inlineStr">
        <is>
          <t>23.000</t>
        </is>
      </c>
      <c r="E1256" s="69" t="inlineStr">
        <is>
          <t>Windsor Village</t>
        </is>
      </c>
      <c r="F1256" s="69" t="inlineStr">
        <is>
          <t>LNUBS18C12-23.000</t>
        </is>
      </c>
      <c r="G1256" s="70" t="n"/>
      <c r="H1256" s="71" t="n">
        <v>11500000</v>
      </c>
      <c r="I1256" s="71" t="n">
        <v>10982738.51</v>
      </c>
      <c r="J1256" s="72" t="n">
        <v>5.1952</v>
      </c>
      <c r="K1256" s="69" t="inlineStr">
        <is>
          <t>Fixed rate</t>
        </is>
      </c>
      <c r="L1256" s="68" t="n">
        <v>120</v>
      </c>
      <c r="M1256" s="68" t="n">
        <v>22</v>
      </c>
      <c r="N1256" s="68" t="n">
        <v>420</v>
      </c>
      <c r="O1256" s="68" t="n">
        <v>60</v>
      </c>
      <c r="P1256" s="68" t="n">
        <v>0</v>
      </c>
      <c r="Q1256" s="68" t="n">
        <v>98</v>
      </c>
      <c r="R1256" s="69" t="inlineStr">
        <is>
          <t>IO then Amort</t>
        </is>
      </c>
      <c r="S1256" s="69" t="inlineStr">
        <is>
          <t>No</t>
        </is>
      </c>
      <c r="T1256" s="73" t="n">
        <v>43282</v>
      </c>
      <c r="U1256" s="73" t="n">
        <v>46940</v>
      </c>
      <c r="V1256" s="73" t="n"/>
      <c r="W1256" s="69" t="n"/>
      <c r="X1256" s="69" t="inlineStr">
        <is>
          <t>Current</t>
        </is>
      </c>
      <c r="Y1256" s="68" t="n"/>
      <c r="Z1256" s="69" t="inlineStr">
        <is>
          <t>Defeasance Not Allowable</t>
        </is>
      </c>
      <c r="AA1256" s="69" t="inlineStr">
        <is>
          <t>Yes</t>
        </is>
      </c>
      <c r="AB1256" s="69" t="inlineStr">
        <is>
          <t>Never special serv</t>
        </is>
      </c>
      <c r="AC1256" s="73" t="n"/>
      <c r="AD1256" s="69" t="n"/>
      <c r="AE1256" s="69" t="n"/>
      <c r="AF1256" s="69" t="inlineStr">
        <is>
          <t>OK</t>
        </is>
      </c>
      <c r="AG1256" s="69" t="inlineStr">
        <is>
          <t>Oklahoma City</t>
        </is>
      </c>
      <c r="AH1256" s="69" t="inlineStr">
        <is>
          <t>Oklahoma City, OK</t>
        </is>
      </c>
      <c r="AI1256" s="69" t="inlineStr">
        <is>
          <t>South / Central West</t>
        </is>
      </c>
      <c r="AJ1256" s="69" t="inlineStr">
        <is>
          <t>MF</t>
        </is>
      </c>
      <c r="AK1256" s="69" t="inlineStr">
        <is>
          <t>Garden</t>
        </is>
      </c>
      <c r="AL1256" s="68" t="n">
        <v>1</v>
      </c>
      <c r="AM1256" s="68" t="n">
        <v>363</v>
      </c>
      <c r="AN1256" s="68" t="n"/>
      <c r="AO1256" s="69" t="inlineStr">
        <is>
          <t>1962</t>
        </is>
      </c>
      <c r="AP1256" s="70" t="n">
        <v>1998</v>
      </c>
      <c r="AQ1256" s="74" t="n">
        <v>2.32</v>
      </c>
      <c r="AR1256" s="74" t="n">
        <v>2.21</v>
      </c>
      <c r="AS1256" s="74" t="n">
        <v>58.3</v>
      </c>
      <c r="AT1256" s="74" t="n">
        <v>55.64</v>
      </c>
      <c r="AU1256" s="74" t="n">
        <v>53.9</v>
      </c>
      <c r="AV1256" s="74" t="n">
        <v>12.224647739</v>
      </c>
      <c r="AW1256" s="74" t="n">
        <v>15.719495447</v>
      </c>
      <c r="AX1256" s="75" t="n">
        <v>97</v>
      </c>
      <c r="AY1256" s="71" t="n">
        <v>19740000</v>
      </c>
      <c r="AZ1256" s="71" t="n">
        <v>19740000</v>
      </c>
      <c r="BA1256" s="71" t="n">
        <v>1405834.49</v>
      </c>
      <c r="BB1256" s="71" t="n">
        <v>1677184.4</v>
      </c>
      <c r="BC1256" s="69" t="inlineStr">
        <is>
          <t>Refinance</t>
        </is>
      </c>
      <c r="BD1256" s="69" t="inlineStr">
        <is>
          <t>N</t>
        </is>
      </c>
      <c r="BE1256" s="71" t="n"/>
      <c r="BF1256" s="71" t="n"/>
      <c r="BG1256" s="71" t="n"/>
      <c r="BH1256" s="71" t="n">
        <v>0</v>
      </c>
      <c r="BI1256" s="71" t="n">
        <v>0</v>
      </c>
      <c r="BJ1256" s="69" t="inlineStr">
        <is>
          <t>N</t>
        </is>
      </c>
      <c r="BK1256" s="69" t="n"/>
      <c r="BL1256" s="75" t="n"/>
      <c r="BM1256" s="73" t="n"/>
      <c r="BN1256" s="69" t="inlineStr">
        <is>
          <t>Adrian Haas; Michael Haas</t>
        </is>
      </c>
      <c r="BO1256" s="69" t="inlineStr">
        <is>
          <t>UBS</t>
        </is>
      </c>
      <c r="BP1256" s="69" t="inlineStr">
        <is>
          <t>Midland Loan Services</t>
        </is>
      </c>
      <c r="BQ1256" s="69" t="inlineStr">
        <is>
          <t>K-Star Asset Management LLC</t>
        </is>
      </c>
      <c r="BR1256" s="69" t="n"/>
      <c r="BS1256" s="73" t="n">
        <v>46276</v>
      </c>
      <c r="BU1256" s="76">
        <f>IF($C1256="","",IFERROR(INDEX(dmName,MATCH($C1256,dmID,0)),"Unmapped"))</f>
        <v/>
      </c>
      <c r="BV1256" s="76">
        <f>IF($C1256="","",IFERROR(INDEX(dmEntity,MATCH($C1256,dmID,0)),"Unmapped"))</f>
        <v/>
      </c>
      <c r="BW1256" s="77">
        <f>IF($C1256="","",IFERROR(INDEX(dmVintage,MATCH($C1256,dmID,0)),""))</f>
        <v/>
      </c>
      <c r="BX1256" s="78">
        <f>IFERROR(INDEX(dmInclude,MATCH($C1256,dmID,0)),0)</f>
        <v/>
      </c>
      <c r="BY1256" s="78">
        <f>IF(N($I1256)&gt;0,1,0)</f>
        <v/>
      </c>
      <c r="BZ1256" s="76">
        <f>IF($AJ1256="","Other / Leased Fee",IFERROR(INDEX(mapPTGroup,MATCH(LEFT(TRIM($AJ1256),2),mapPTCode,0)),"Other / Leased Fee"))</f>
        <v/>
      </c>
      <c r="CA1256" s="76">
        <f>IF(TRIM($AF1256&amp;"")="","NR",LEFT(TRIM($AF1256),2))</f>
        <v/>
      </c>
      <c r="CB1256" s="76">
        <f>IFERROR(LOOKUP(2,1/(LEFT(TRIM($AI1256&amp;""),LEN(mapRegion))=mapRegion),mapRegion),"Not Reported")</f>
        <v/>
      </c>
      <c r="CC1256" s="76">
        <f>IF($BY1256=0,"",IF(TRIM($W1256&amp;"")="REO","REO",IF(TRIM($W1256&amp;"")="FC","Foreclosure",IF(TRIM($W1256&amp;"")="90+","90+ Days Delinquent",IF(TRIM($W1256&amp;"")="60","60 Days Delinquent",IF(TRIM($W1256&amp;"")="30","30 Days Delinquent",IF($X1256="Non-Performing Matured Balloon","Non-Performing Matured Balloon",IF(OR($X1256="Late Payment But Less Than 30 Days Delinquent",LEFT($X1256&amp;"",20)="Payment Not Received"),"Late / In Grace (&lt;30 Days)",IF($X1256="Performing Matured Balloon","Performing Matured Balloon","Current")))))))))</f>
        <v/>
      </c>
      <c r="CD1256" s="78">
        <f>IF(OR($CC1256="REO",$CC1256="Foreclosure",$CC1256="90+ Days Delinquent",$CC1256="60 Days Delinquent",$CC1256="30 Days Delinquent",$CC1256="Non-Performing Matured Balloon"),1,0)</f>
        <v/>
      </c>
      <c r="CE1256" s="76">
        <f>IF($AB1256="Currently special serv","Currently Specially Serviced",IF($AB1256="Returned to master serv","Previously Specially Serviced","Never Specially Serviced"))</f>
        <v/>
      </c>
      <c r="CF1256" s="78">
        <f>IF($CE1256="Currently Specially Serviced",1,0)</f>
        <v/>
      </c>
      <c r="CG1256" s="76">
        <f>IF($AA1256="Yes","Currently on Watchlist",IF($AA1256="Previously","Previously on Watchlist","Never on Watchlist"))</f>
        <v/>
      </c>
      <c r="CH1256" s="78">
        <f>IF($CG1256="Currently on Watchlist",1,0)</f>
        <v/>
      </c>
      <c r="CI1256" s="76">
        <f>IF($Z1256="Full Defeasance","Fully Defeased",IF($Z1256="Portion Of Loan Previously Defeased","Partially Defeased",IF($Z1256="Defeasance Not Allowable","Not Defeased (Not Permitted)","Not Defeased")))</f>
        <v/>
      </c>
      <c r="CJ1256" s="78">
        <f>IF($CI1256="Fully Defeased",1,0)</f>
        <v/>
      </c>
      <c r="CK1256" s="76">
        <f>IF($R1256="IO","Full IO",IF(LEFT($R1256&amp;"",7)="IO then","Partial IO","Amortizing"))</f>
        <v/>
      </c>
      <c r="CL1256" s="78">
        <f>IF($CK1256="Full IO",1,0)</f>
        <v/>
      </c>
      <c r="CM1256" s="78">
        <f>IF($CK1256="Partial IO",1,0)</f>
        <v/>
      </c>
      <c r="CN1256" s="76">
        <f>IF(LEFT($F1256&amp;"",10)="SPLIT_LOAN","Pari Passu Split","Standalone")</f>
        <v/>
      </c>
      <c r="CO1256" s="78">
        <f>IF($CN1256="Pari Passu Split",1,0)</f>
        <v/>
      </c>
      <c r="CP1256" s="77">
        <f>IF(ISNUMBER($T1256),YEAR($T1256),"")</f>
        <v/>
      </c>
      <c r="CQ1256" s="79">
        <f>IF(ISNUMBER($V1256),$V1256,IF(ISNUMBER($U1256),$U1256,""))</f>
        <v/>
      </c>
      <c r="CR1256" s="77">
        <f>IF(ISNUMBER($CQ1256),YEAR($CQ1256),"")</f>
        <v/>
      </c>
      <c r="CS1256" s="78">
        <f>IF(ISNUMBER($M1256),MAX(0,$M1256),IF(TRIM($M1256&amp;"")="matured",0,""))</f>
        <v/>
      </c>
      <c r="CT1256" s="78">
        <f>IF(AND(ISNUMBER($CS1256),N($CS1256)&lt;=mMatWindow),1,0)</f>
        <v/>
      </c>
      <c r="CU1256" s="80">
        <f>IF(ISNUMBER($J1256),$J1256/100,"")</f>
        <v/>
      </c>
      <c r="CV1256" s="81">
        <f>IF(ISNUMBER($AQ1256),$AQ1256,"")</f>
        <v/>
      </c>
      <c r="CW1256" s="81">
        <f>IF(ISNUMBER($AR1256),$AR1256,"")</f>
        <v/>
      </c>
      <c r="CX1256" s="82">
        <f>IF(ISNUMBER($AS1256),$AS1256/100,"")</f>
        <v/>
      </c>
      <c r="CY1256" s="82">
        <f>IF(ISNUMBER($AT1256),$AT1256/100,"")</f>
        <v/>
      </c>
      <c r="CZ1256" s="82">
        <f>IF(ISNUMBER($AU1256),$AU1256/100,"")</f>
        <v/>
      </c>
      <c r="DA1256" s="82">
        <f>IF(ISNUMBER($AV1256),$AV1256/100,"")</f>
        <v/>
      </c>
      <c r="DB1256" s="82">
        <f>IF(ISNUMBER($AW1256),$AW1256/100,"")</f>
        <v/>
      </c>
      <c r="DC1256" s="82">
        <f>IF(ISNUMBER($AX1256),$AX1256/100,"")</f>
        <v/>
      </c>
      <c r="DD1256" s="77">
        <f>IFERROR(VALUE(LEFT(TRIM($AO1256&amp;""),4)),"")</f>
        <v/>
      </c>
      <c r="DE1256" s="78">
        <f>IF(AND($BY1256=1,$BX1256=1,OR(fDeal="All Deals",$BU1256=fDeal),OR(fEntity="All Entities",$BV1256=fEntity),OR(fPType="All Property Types",$BZ1256=fPType),OR(fDefeased="Include",$CJ1256=0)),1,0)</f>
        <v/>
      </c>
      <c r="DF1256" s="83">
        <f>$DE1256*N($I1256)</f>
        <v/>
      </c>
      <c r="DG1256" s="78">
        <f>IF($DE1256=1,IF(COUNTIFS($F$8:$F1256,$F1256,$DE$8:$DE1256,1)=1,1,0),0)</f>
        <v/>
      </c>
      <c r="DH1256" s="83">
        <f>IF($DG1256=1,SUMIFS($DF$8:$DF$1600,$F$8:$F$1600,$F1256),0)</f>
        <v/>
      </c>
      <c r="DI1256" s="78">
        <f>IF($DG1256=1,COUNTIFS($F$8:$F$1600,$F1256,$DE$8:$DE$1600,1),0)</f>
        <v/>
      </c>
      <c r="DJ1256" s="84">
        <f>IF($DG1256=1,$DH1256+(100000-ROW())/mTieBreak,0)</f>
        <v/>
      </c>
    </row>
    <row r="1257">
      <c r="B1257" s="68" t="n">
        <v>24</v>
      </c>
      <c r="C1257" s="69" t="inlineStr">
        <is>
          <t>UBS18C12</t>
        </is>
      </c>
      <c r="D1257" s="69" t="inlineStr">
        <is>
          <t>24.000</t>
        </is>
      </c>
      <c r="E1257" s="69" t="inlineStr">
        <is>
          <t>Staybridge Suites Austin</t>
        </is>
      </c>
      <c r="F1257" s="69" t="inlineStr">
        <is>
          <t>LNUBS18C12-24.000</t>
        </is>
      </c>
      <c r="G1257" s="70" t="n"/>
      <c r="H1257" s="71" t="n">
        <v>11500000</v>
      </c>
      <c r="I1257" s="71" t="n">
        <v>9957034.209998501</v>
      </c>
      <c r="J1257" s="72" t="n">
        <v>5.17</v>
      </c>
      <c r="K1257" s="69" t="inlineStr">
        <is>
          <t>Fixed rate</t>
        </is>
      </c>
      <c r="L1257" s="68" t="n">
        <v>120</v>
      </c>
      <c r="M1257" s="68" t="n">
        <v>22</v>
      </c>
      <c r="N1257" s="68" t="n">
        <v>360</v>
      </c>
      <c r="O1257" s="68" t="n"/>
      <c r="P1257" s="68" t="n"/>
      <c r="Q1257" s="68" t="n">
        <v>98</v>
      </c>
      <c r="R1257" s="69" t="n"/>
      <c r="S1257" s="69" t="inlineStr">
        <is>
          <t>No</t>
        </is>
      </c>
      <c r="T1257" s="73" t="n">
        <v>43282</v>
      </c>
      <c r="U1257" s="73" t="n">
        <v>46935</v>
      </c>
      <c r="V1257" s="73" t="n"/>
      <c r="W1257" s="69" t="n"/>
      <c r="X1257" s="69" t="inlineStr">
        <is>
          <t>Current</t>
        </is>
      </c>
      <c r="Y1257" s="68" t="n"/>
      <c r="Z1257" s="69" t="inlineStr">
        <is>
          <t>No Defeasance Occurred</t>
        </is>
      </c>
      <c r="AA1257" s="69" t="inlineStr">
        <is>
          <t>Yes</t>
        </is>
      </c>
      <c r="AB1257" s="69" t="inlineStr">
        <is>
          <t>Never special serv</t>
        </is>
      </c>
      <c r="AC1257" s="73" t="n"/>
      <c r="AD1257" s="69" t="n"/>
      <c r="AE1257" s="69" t="n"/>
      <c r="AF1257" s="69" t="inlineStr">
        <is>
          <t>TX</t>
        </is>
      </c>
      <c r="AG1257" s="69" t="inlineStr">
        <is>
          <t>Austin</t>
        </is>
      </c>
      <c r="AH1257" s="69" t="inlineStr">
        <is>
          <t>Austin-Round Rock-San Marcos, TX</t>
        </is>
      </c>
      <c r="AI1257" s="69" t="inlineStr">
        <is>
          <t>South / Central West</t>
        </is>
      </c>
      <c r="AJ1257" s="69" t="inlineStr">
        <is>
          <t>HT</t>
        </is>
      </c>
      <c r="AK1257" s="69" t="inlineStr">
        <is>
          <t>Extended Stay</t>
        </is>
      </c>
      <c r="AL1257" s="68" t="n">
        <v>1</v>
      </c>
      <c r="AM1257" s="68" t="n">
        <v>97</v>
      </c>
      <c r="AN1257" s="68" t="n"/>
      <c r="AO1257" s="69" t="inlineStr">
        <is>
          <t>2016</t>
        </is>
      </c>
      <c r="AP1257" s="70" t="n">
        <v>2016</v>
      </c>
      <c r="AQ1257" s="74" t="n">
        <v>1.99</v>
      </c>
      <c r="AR1257" s="74" t="n">
        <v>1.16</v>
      </c>
      <c r="AS1257" s="74" t="n">
        <v>60.5</v>
      </c>
      <c r="AT1257" s="74" t="n">
        <v>52.41</v>
      </c>
      <c r="AU1257" s="74" t="n">
        <v>50</v>
      </c>
      <c r="AV1257" s="74" t="n">
        <v>13.081776609</v>
      </c>
      <c r="AW1257" s="74" t="n">
        <v>8.781041338</v>
      </c>
      <c r="AX1257" s="75" t="n">
        <v>75</v>
      </c>
      <c r="AY1257" s="71" t="n">
        <v>19000000</v>
      </c>
      <c r="AZ1257" s="71" t="n">
        <v>19000000</v>
      </c>
      <c r="BA1257" s="71" t="n">
        <v>1504404.31</v>
      </c>
      <c r="BB1257" s="71" t="n">
        <v>874331.29</v>
      </c>
      <c r="BC1257" s="69" t="inlineStr">
        <is>
          <t>Refinance</t>
        </is>
      </c>
      <c r="BD1257" s="69" t="inlineStr">
        <is>
          <t>N</t>
        </is>
      </c>
      <c r="BE1257" s="71" t="n"/>
      <c r="BF1257" s="71" t="n"/>
      <c r="BG1257" s="71" t="n"/>
      <c r="BH1257" s="71" t="n">
        <v>0</v>
      </c>
      <c r="BI1257" s="71" t="n">
        <v>0</v>
      </c>
      <c r="BJ1257" s="69" t="inlineStr">
        <is>
          <t>N</t>
        </is>
      </c>
      <c r="BK1257" s="69" t="n"/>
      <c r="BL1257" s="75" t="n"/>
      <c r="BM1257" s="73" t="n"/>
      <c r="BN1257" s="69" t="inlineStr">
        <is>
          <t>Esmaeile Mianabi; Saeed A. Minhas</t>
        </is>
      </c>
      <c r="BO1257" s="69" t="inlineStr">
        <is>
          <t>Societe Generale</t>
        </is>
      </c>
      <c r="BP1257" s="69" t="inlineStr">
        <is>
          <t>Midland Loan Services</t>
        </is>
      </c>
      <c r="BQ1257" s="69" t="inlineStr">
        <is>
          <t>K-Star Asset Management LLC</t>
        </is>
      </c>
      <c r="BR1257" s="69" t="n"/>
      <c r="BS1257" s="73" t="n">
        <v>46276</v>
      </c>
      <c r="BU1257" s="76">
        <f>IF($C1257="","",IFERROR(INDEX(dmName,MATCH($C1257,dmID,0)),"Unmapped"))</f>
        <v/>
      </c>
      <c r="BV1257" s="76">
        <f>IF($C1257="","",IFERROR(INDEX(dmEntity,MATCH($C1257,dmID,0)),"Unmapped"))</f>
        <v/>
      </c>
      <c r="BW1257" s="77">
        <f>IF($C1257="","",IFERROR(INDEX(dmVintage,MATCH($C1257,dmID,0)),""))</f>
        <v/>
      </c>
      <c r="BX1257" s="78">
        <f>IFERROR(INDEX(dmInclude,MATCH($C1257,dmID,0)),0)</f>
        <v/>
      </c>
      <c r="BY1257" s="78">
        <f>IF(N($I1257)&gt;0,1,0)</f>
        <v/>
      </c>
      <c r="BZ1257" s="76">
        <f>IF($AJ1257="","Other / Leased Fee",IFERROR(INDEX(mapPTGroup,MATCH(LEFT(TRIM($AJ1257),2),mapPTCode,0)),"Other / Leased Fee"))</f>
        <v/>
      </c>
      <c r="CA1257" s="76">
        <f>IF(TRIM($AF1257&amp;"")="","NR",LEFT(TRIM($AF1257),2))</f>
        <v/>
      </c>
      <c r="CB1257" s="76">
        <f>IFERROR(LOOKUP(2,1/(LEFT(TRIM($AI1257&amp;""),LEN(mapRegion))=mapRegion),mapRegion),"Not Reported")</f>
        <v/>
      </c>
      <c r="CC1257" s="76">
        <f>IF($BY1257=0,"",IF(TRIM($W1257&amp;"")="REO","REO",IF(TRIM($W1257&amp;"")="FC","Foreclosure",IF(TRIM($W1257&amp;"")="90+","90+ Days Delinquent",IF(TRIM($W1257&amp;"")="60","60 Days Delinquent",IF(TRIM($W1257&amp;"")="30","30 Days Delinquent",IF($X1257="Non-Performing Matured Balloon","Non-Performing Matured Balloon",IF(OR($X1257="Late Payment But Less Than 30 Days Delinquent",LEFT($X1257&amp;"",20)="Payment Not Received"),"Late / In Grace (&lt;30 Days)",IF($X1257="Performing Matured Balloon","Performing Matured Balloon","Current")))))))))</f>
        <v/>
      </c>
      <c r="CD1257" s="78">
        <f>IF(OR($CC1257="REO",$CC1257="Foreclosure",$CC1257="90+ Days Delinquent",$CC1257="60 Days Delinquent",$CC1257="30 Days Delinquent",$CC1257="Non-Performing Matured Balloon"),1,0)</f>
        <v/>
      </c>
      <c r="CE1257" s="76">
        <f>IF($AB1257="Currently special serv","Currently Specially Serviced",IF($AB1257="Returned to master serv","Previously Specially Serviced","Never Specially Serviced"))</f>
        <v/>
      </c>
      <c r="CF1257" s="78">
        <f>IF($CE1257="Currently Specially Serviced",1,0)</f>
        <v/>
      </c>
      <c r="CG1257" s="76">
        <f>IF($AA1257="Yes","Currently on Watchlist",IF($AA1257="Previously","Previously on Watchlist","Never on Watchlist"))</f>
        <v/>
      </c>
      <c r="CH1257" s="78">
        <f>IF($CG1257="Currently on Watchlist",1,0)</f>
        <v/>
      </c>
      <c r="CI1257" s="76">
        <f>IF($Z1257="Full Defeasance","Fully Defeased",IF($Z1257="Portion Of Loan Previously Defeased","Partially Defeased",IF($Z1257="Defeasance Not Allowable","Not Defeased (Not Permitted)","Not Defeased")))</f>
        <v/>
      </c>
      <c r="CJ1257" s="78">
        <f>IF($CI1257="Fully Defeased",1,0)</f>
        <v/>
      </c>
      <c r="CK1257" s="76">
        <f>IF($R1257="IO","Full IO",IF(LEFT($R1257&amp;"",7)="IO then","Partial IO","Amortizing"))</f>
        <v/>
      </c>
      <c r="CL1257" s="78">
        <f>IF($CK1257="Full IO",1,0)</f>
        <v/>
      </c>
      <c r="CM1257" s="78">
        <f>IF($CK1257="Partial IO",1,0)</f>
        <v/>
      </c>
      <c r="CN1257" s="76">
        <f>IF(LEFT($F1257&amp;"",10)="SPLIT_LOAN","Pari Passu Split","Standalone")</f>
        <v/>
      </c>
      <c r="CO1257" s="78">
        <f>IF($CN1257="Pari Passu Split",1,0)</f>
        <v/>
      </c>
      <c r="CP1257" s="77">
        <f>IF(ISNUMBER($T1257),YEAR($T1257),"")</f>
        <v/>
      </c>
      <c r="CQ1257" s="79">
        <f>IF(ISNUMBER($V1257),$V1257,IF(ISNUMBER($U1257),$U1257,""))</f>
        <v/>
      </c>
      <c r="CR1257" s="77">
        <f>IF(ISNUMBER($CQ1257),YEAR($CQ1257),"")</f>
        <v/>
      </c>
      <c r="CS1257" s="78">
        <f>IF(ISNUMBER($M1257),MAX(0,$M1257),IF(TRIM($M1257&amp;"")="matured",0,""))</f>
        <v/>
      </c>
      <c r="CT1257" s="78">
        <f>IF(AND(ISNUMBER($CS1257),N($CS1257)&lt;=mMatWindow),1,0)</f>
        <v/>
      </c>
      <c r="CU1257" s="80">
        <f>IF(ISNUMBER($J1257),$J1257/100,"")</f>
        <v/>
      </c>
      <c r="CV1257" s="81">
        <f>IF(ISNUMBER($AQ1257),$AQ1257,"")</f>
        <v/>
      </c>
      <c r="CW1257" s="81">
        <f>IF(ISNUMBER($AR1257),$AR1257,"")</f>
        <v/>
      </c>
      <c r="CX1257" s="82">
        <f>IF(ISNUMBER($AS1257),$AS1257/100,"")</f>
        <v/>
      </c>
      <c r="CY1257" s="82">
        <f>IF(ISNUMBER($AT1257),$AT1257/100,"")</f>
        <v/>
      </c>
      <c r="CZ1257" s="82">
        <f>IF(ISNUMBER($AU1257),$AU1257/100,"")</f>
        <v/>
      </c>
      <c r="DA1257" s="82">
        <f>IF(ISNUMBER($AV1257),$AV1257/100,"")</f>
        <v/>
      </c>
      <c r="DB1257" s="82">
        <f>IF(ISNUMBER($AW1257),$AW1257/100,"")</f>
        <v/>
      </c>
      <c r="DC1257" s="82">
        <f>IF(ISNUMBER($AX1257),$AX1257/100,"")</f>
        <v/>
      </c>
      <c r="DD1257" s="77">
        <f>IFERROR(VALUE(LEFT(TRIM($AO1257&amp;""),4)),"")</f>
        <v/>
      </c>
      <c r="DE1257" s="78">
        <f>IF(AND($BY1257=1,$BX1257=1,OR(fDeal="All Deals",$BU1257=fDeal),OR(fEntity="All Entities",$BV1257=fEntity),OR(fPType="All Property Types",$BZ1257=fPType),OR(fDefeased="Include",$CJ1257=0)),1,0)</f>
        <v/>
      </c>
      <c r="DF1257" s="83">
        <f>$DE1257*N($I1257)</f>
        <v/>
      </c>
      <c r="DG1257" s="78">
        <f>IF($DE1257=1,IF(COUNTIFS($F$8:$F1257,$F1257,$DE$8:$DE1257,1)=1,1,0),0)</f>
        <v/>
      </c>
      <c r="DH1257" s="83">
        <f>IF($DG1257=1,SUMIFS($DF$8:$DF$1600,$F$8:$F$1600,$F1257),0)</f>
        <v/>
      </c>
      <c r="DI1257" s="78">
        <f>IF($DG1257=1,COUNTIFS($F$8:$F$1600,$F1257,$DE$8:$DE$1600,1),0)</f>
        <v/>
      </c>
      <c r="DJ1257" s="84">
        <f>IF($DG1257=1,$DH1257+(100000-ROW())/mTieBreak,0)</f>
        <v/>
      </c>
    </row>
    <row r="1258">
      <c r="B1258" s="68" t="n">
        <v>25</v>
      </c>
      <c r="C1258" s="69" t="inlineStr">
        <is>
          <t>UBS18C12</t>
        </is>
      </c>
      <c r="D1258" s="69" t="inlineStr">
        <is>
          <t>25.000</t>
        </is>
      </c>
      <c r="E1258" s="69" t="inlineStr">
        <is>
          <t>HMS - WSS Portfolio</t>
        </is>
      </c>
      <c r="F1258" s="69" t="inlineStr">
        <is>
          <t>LNUBS18C12-25.000</t>
        </is>
      </c>
      <c r="G1258" s="70" t="n"/>
      <c r="H1258" s="71" t="n">
        <v>11300000</v>
      </c>
      <c r="I1258" s="71" t="n">
        <v>0</v>
      </c>
      <c r="J1258" s="72" t="n">
        <v>5.711</v>
      </c>
      <c r="K1258" s="69" t="inlineStr">
        <is>
          <t>Fixed rate</t>
        </is>
      </c>
      <c r="L1258" s="68" t="n">
        <v>60</v>
      </c>
      <c r="M1258" s="68" t="n"/>
      <c r="N1258" s="68" t="n">
        <v>360</v>
      </c>
      <c r="O1258" s="68" t="n"/>
      <c r="P1258" s="68" t="n"/>
      <c r="Q1258" s="68" t="n"/>
      <c r="R1258" s="69" t="n"/>
      <c r="S1258" s="69" t="inlineStr">
        <is>
          <t>No</t>
        </is>
      </c>
      <c r="T1258" s="73" t="n">
        <v>43313</v>
      </c>
      <c r="U1258" s="73" t="n">
        <v>45144</v>
      </c>
      <c r="V1258" s="73" t="n"/>
      <c r="W1258" s="69" t="n"/>
      <c r="X1258" s="69" t="inlineStr">
        <is>
          <t>Current</t>
        </is>
      </c>
      <c r="Y1258" s="68" t="n"/>
      <c r="Z1258" s="69" t="inlineStr">
        <is>
          <t>Defeasance Not Allowable</t>
        </is>
      </c>
      <c r="AA1258" s="69" t="inlineStr">
        <is>
          <t>Previously</t>
        </is>
      </c>
      <c r="AB1258" s="69" t="inlineStr">
        <is>
          <t>Never special serv</t>
        </is>
      </c>
      <c r="AC1258" s="73" t="n"/>
      <c r="AD1258" s="69" t="n"/>
      <c r="AE1258" s="69" t="n"/>
      <c r="AF1258" s="69" t="inlineStr">
        <is>
          <t>AL-55.752212389% GA-44.247787611%</t>
        </is>
      </c>
      <c r="AG1258" s="69" t="n"/>
      <c r="AH1258" s="69" t="inlineStr">
        <is>
          <t>Huntsville, AL-55.752212389% Savannah, GA-44.247787611%</t>
        </is>
      </c>
      <c r="AI1258" s="69" t="inlineStr">
        <is>
          <t>South / Central East-55.752212389% South / Atlantic-44.247787611%</t>
        </is>
      </c>
      <c r="AJ1258" s="69" t="inlineStr">
        <is>
          <t>HT</t>
        </is>
      </c>
      <c r="AK1258" s="69" t="inlineStr">
        <is>
          <t>Limited Service</t>
        </is>
      </c>
      <c r="AL1258" s="68" t="n">
        <v>3</v>
      </c>
      <c r="AM1258" s="68" t="n">
        <v>363</v>
      </c>
      <c r="AN1258" s="68" t="n"/>
      <c r="AO1258" s="69" t="n"/>
      <c r="AP1258" s="70" t="n">
        <v>2018</v>
      </c>
      <c r="AQ1258" s="74" t="n">
        <v>1.83</v>
      </c>
      <c r="AR1258" s="74" t="n">
        <v>2.92</v>
      </c>
      <c r="AS1258" s="74" t="n">
        <v>60.1</v>
      </c>
      <c r="AT1258" s="74" t="n"/>
      <c r="AU1258" s="74" t="n">
        <v>56</v>
      </c>
      <c r="AV1258" s="74" t="n">
        <v>12.741579823</v>
      </c>
      <c r="AW1258" s="74" t="n"/>
      <c r="AX1258" s="75" t="n">
        <v>77.2</v>
      </c>
      <c r="AY1258" s="71" t="n">
        <v>18800000</v>
      </c>
      <c r="AZ1258" s="71" t="n">
        <v>18800000</v>
      </c>
      <c r="BA1258" s="71" t="n">
        <v>1439798.52</v>
      </c>
      <c r="BB1258" s="71" t="n">
        <v>2298527.37</v>
      </c>
      <c r="BC1258" s="69" t="inlineStr">
        <is>
          <t>Refinance</t>
        </is>
      </c>
      <c r="BD1258" s="69" t="inlineStr">
        <is>
          <t>N</t>
        </is>
      </c>
      <c r="BE1258" s="71" t="n"/>
      <c r="BF1258" s="71" t="n"/>
      <c r="BG1258" s="71" t="n"/>
      <c r="BH1258" s="71" t="n">
        <v>0</v>
      </c>
      <c r="BI1258" s="71" t="n">
        <v>0</v>
      </c>
      <c r="BJ1258" s="69" t="inlineStr">
        <is>
          <t>N</t>
        </is>
      </c>
      <c r="BK1258" s="69" t="n"/>
      <c r="BL1258" s="75" t="n"/>
      <c r="BM1258" s="73" t="n"/>
      <c r="BN1258" s="69" t="inlineStr">
        <is>
          <t>Tracy Fleenor; Philip A. Cox</t>
        </is>
      </c>
      <c r="BO1258" s="69" t="inlineStr">
        <is>
          <t>UBS</t>
        </is>
      </c>
      <c r="BP1258" s="69" t="inlineStr">
        <is>
          <t>Midland Loan Services</t>
        </is>
      </c>
      <c r="BQ1258" s="69" t="inlineStr">
        <is>
          <t>Midland Loan Services</t>
        </is>
      </c>
      <c r="BR1258" s="69" t="inlineStr">
        <is>
          <t>Payoff With Yield Maintenance</t>
        </is>
      </c>
      <c r="BS1258" s="73" t="n">
        <v>44662</v>
      </c>
      <c r="BU1258" s="76">
        <f>IF($C1258="","",IFERROR(INDEX(dmName,MATCH($C1258,dmID,0)),"Unmapped"))</f>
        <v/>
      </c>
      <c r="BV1258" s="76">
        <f>IF($C1258="","",IFERROR(INDEX(dmEntity,MATCH($C1258,dmID,0)),"Unmapped"))</f>
        <v/>
      </c>
      <c r="BW1258" s="77">
        <f>IF($C1258="","",IFERROR(INDEX(dmVintage,MATCH($C1258,dmID,0)),""))</f>
        <v/>
      </c>
      <c r="BX1258" s="78">
        <f>IFERROR(INDEX(dmInclude,MATCH($C1258,dmID,0)),0)</f>
        <v/>
      </c>
      <c r="BY1258" s="78">
        <f>IF(N($I1258)&gt;0,1,0)</f>
        <v/>
      </c>
      <c r="BZ1258" s="76">
        <f>IF($AJ1258="","Other / Leased Fee",IFERROR(INDEX(mapPTGroup,MATCH(LEFT(TRIM($AJ1258),2),mapPTCode,0)),"Other / Leased Fee"))</f>
        <v/>
      </c>
      <c r="CA1258" s="76">
        <f>IF(TRIM($AF1258&amp;"")="","NR",LEFT(TRIM($AF1258),2))</f>
        <v/>
      </c>
      <c r="CB1258" s="76">
        <f>IFERROR(LOOKUP(2,1/(LEFT(TRIM($AI1258&amp;""),LEN(mapRegion))=mapRegion),mapRegion),"Not Reported")</f>
        <v/>
      </c>
      <c r="CC1258" s="76">
        <f>IF($BY1258=0,"",IF(TRIM($W1258&amp;"")="REO","REO",IF(TRIM($W1258&amp;"")="FC","Foreclosure",IF(TRIM($W1258&amp;"")="90+","90+ Days Delinquent",IF(TRIM($W1258&amp;"")="60","60 Days Delinquent",IF(TRIM($W1258&amp;"")="30","30 Days Delinquent",IF($X1258="Non-Performing Matured Balloon","Non-Performing Matured Balloon",IF(OR($X1258="Late Payment But Less Than 30 Days Delinquent",LEFT($X1258&amp;"",20)="Payment Not Received"),"Late / In Grace (&lt;30 Days)",IF($X1258="Performing Matured Balloon","Performing Matured Balloon","Current")))))))))</f>
        <v/>
      </c>
      <c r="CD1258" s="78">
        <f>IF(OR($CC1258="REO",$CC1258="Foreclosure",$CC1258="90+ Days Delinquent",$CC1258="60 Days Delinquent",$CC1258="30 Days Delinquent",$CC1258="Non-Performing Matured Balloon"),1,0)</f>
        <v/>
      </c>
      <c r="CE1258" s="76">
        <f>IF($AB1258="Currently special serv","Currently Specially Serviced",IF($AB1258="Returned to master serv","Previously Specially Serviced","Never Specially Serviced"))</f>
        <v/>
      </c>
      <c r="CF1258" s="78">
        <f>IF($CE1258="Currently Specially Serviced",1,0)</f>
        <v/>
      </c>
      <c r="CG1258" s="76">
        <f>IF($AA1258="Yes","Currently on Watchlist",IF($AA1258="Previously","Previously on Watchlist","Never on Watchlist"))</f>
        <v/>
      </c>
      <c r="CH1258" s="78">
        <f>IF($CG1258="Currently on Watchlist",1,0)</f>
        <v/>
      </c>
      <c r="CI1258" s="76">
        <f>IF($Z1258="Full Defeasance","Fully Defeased",IF($Z1258="Portion Of Loan Previously Defeased","Partially Defeased",IF($Z1258="Defeasance Not Allowable","Not Defeased (Not Permitted)","Not Defeased")))</f>
        <v/>
      </c>
      <c r="CJ1258" s="78">
        <f>IF($CI1258="Fully Defeased",1,0)</f>
        <v/>
      </c>
      <c r="CK1258" s="76">
        <f>IF($R1258="IO","Full IO",IF(LEFT($R1258&amp;"",7)="IO then","Partial IO","Amortizing"))</f>
        <v/>
      </c>
      <c r="CL1258" s="78">
        <f>IF($CK1258="Full IO",1,0)</f>
        <v/>
      </c>
      <c r="CM1258" s="78">
        <f>IF($CK1258="Partial IO",1,0)</f>
        <v/>
      </c>
      <c r="CN1258" s="76">
        <f>IF(LEFT($F1258&amp;"",10)="SPLIT_LOAN","Pari Passu Split","Standalone")</f>
        <v/>
      </c>
      <c r="CO1258" s="78">
        <f>IF($CN1258="Pari Passu Split",1,0)</f>
        <v/>
      </c>
      <c r="CP1258" s="77">
        <f>IF(ISNUMBER($T1258),YEAR($T1258),"")</f>
        <v/>
      </c>
      <c r="CQ1258" s="79">
        <f>IF(ISNUMBER($V1258),$V1258,IF(ISNUMBER($U1258),$U1258,""))</f>
        <v/>
      </c>
      <c r="CR1258" s="77">
        <f>IF(ISNUMBER($CQ1258),YEAR($CQ1258),"")</f>
        <v/>
      </c>
      <c r="CS1258" s="78">
        <f>IF(ISNUMBER($M1258),MAX(0,$M1258),IF(TRIM($M1258&amp;"")="matured",0,""))</f>
        <v/>
      </c>
      <c r="CT1258" s="78">
        <f>IF(AND(ISNUMBER($CS1258),N($CS1258)&lt;=mMatWindow),1,0)</f>
        <v/>
      </c>
      <c r="CU1258" s="80">
        <f>IF(ISNUMBER($J1258),$J1258/100,"")</f>
        <v/>
      </c>
      <c r="CV1258" s="81">
        <f>IF(ISNUMBER($AQ1258),$AQ1258,"")</f>
        <v/>
      </c>
      <c r="CW1258" s="81">
        <f>IF(ISNUMBER($AR1258),$AR1258,"")</f>
        <v/>
      </c>
      <c r="CX1258" s="82">
        <f>IF(ISNUMBER($AS1258),$AS1258/100,"")</f>
        <v/>
      </c>
      <c r="CY1258" s="82">
        <f>IF(ISNUMBER($AT1258),$AT1258/100,"")</f>
        <v/>
      </c>
      <c r="CZ1258" s="82">
        <f>IF(ISNUMBER($AU1258),$AU1258/100,"")</f>
        <v/>
      </c>
      <c r="DA1258" s="82">
        <f>IF(ISNUMBER($AV1258),$AV1258/100,"")</f>
        <v/>
      </c>
      <c r="DB1258" s="82">
        <f>IF(ISNUMBER($AW1258),$AW1258/100,"")</f>
        <v/>
      </c>
      <c r="DC1258" s="82">
        <f>IF(ISNUMBER($AX1258),$AX1258/100,"")</f>
        <v/>
      </c>
      <c r="DD1258" s="77">
        <f>IFERROR(VALUE(LEFT(TRIM($AO1258&amp;""),4)),"")</f>
        <v/>
      </c>
      <c r="DE1258" s="78">
        <f>IF(AND($BY1258=1,$BX1258=1,OR(fDeal="All Deals",$BU1258=fDeal),OR(fEntity="All Entities",$BV1258=fEntity),OR(fPType="All Property Types",$BZ1258=fPType),OR(fDefeased="Include",$CJ1258=0)),1,0)</f>
        <v/>
      </c>
      <c r="DF1258" s="83">
        <f>$DE1258*N($I1258)</f>
        <v/>
      </c>
      <c r="DG1258" s="78">
        <f>IF($DE1258=1,IF(COUNTIFS($F$8:$F1258,$F1258,$DE$8:$DE1258,1)=1,1,0),0)</f>
        <v/>
      </c>
      <c r="DH1258" s="83">
        <f>IF($DG1258=1,SUMIFS($DF$8:$DF$1600,$F$8:$F$1600,$F1258),0)</f>
        <v/>
      </c>
      <c r="DI1258" s="78">
        <f>IF($DG1258=1,COUNTIFS($F$8:$F$1600,$F1258,$DE$8:$DE$1600,1),0)</f>
        <v/>
      </c>
      <c r="DJ1258" s="84">
        <f>IF($DG1258=1,$DH1258+(100000-ROW())/mTieBreak,0)</f>
        <v/>
      </c>
    </row>
    <row r="1259">
      <c r="B1259" s="68" t="n">
        <v>26</v>
      </c>
      <c r="C1259" s="69" t="inlineStr">
        <is>
          <t>UBS18C12</t>
        </is>
      </c>
      <c r="D1259" s="69" t="inlineStr">
        <is>
          <t>26.000</t>
        </is>
      </c>
      <c r="E1259" s="69" t="inlineStr">
        <is>
          <t>160th Street and Prospect Avenue Portfolio</t>
        </is>
      </c>
      <c r="F1259" s="69" t="inlineStr">
        <is>
          <t>LNUBS18C12-26.000</t>
        </is>
      </c>
      <c r="G1259" s="70" t="n"/>
      <c r="H1259" s="71" t="n">
        <v>11100000</v>
      </c>
      <c r="I1259" s="71" t="n">
        <v>11100000</v>
      </c>
      <c r="J1259" s="72" t="n">
        <v>5.45</v>
      </c>
      <c r="K1259" s="69" t="inlineStr">
        <is>
          <t>Fixed rate</t>
        </is>
      </c>
      <c r="L1259" s="68" t="n">
        <v>120</v>
      </c>
      <c r="M1259" s="68" t="n">
        <v>22</v>
      </c>
      <c r="N1259" s="68" t="n">
        <v>120</v>
      </c>
      <c r="O1259" s="68" t="n">
        <v>120</v>
      </c>
      <c r="P1259" s="68" t="n">
        <v>22</v>
      </c>
      <c r="Q1259" s="68" t="n">
        <v>98</v>
      </c>
      <c r="R1259" s="69" t="inlineStr">
        <is>
          <t>IO</t>
        </is>
      </c>
      <c r="S1259" s="69" t="inlineStr">
        <is>
          <t>Yes</t>
        </is>
      </c>
      <c r="T1259" s="73" t="n">
        <v>43282</v>
      </c>
      <c r="U1259" s="73" t="n">
        <v>46940</v>
      </c>
      <c r="V1259" s="73" t="n"/>
      <c r="W1259" s="69" t="n"/>
      <c r="X1259" s="69" t="inlineStr">
        <is>
          <t>Current</t>
        </is>
      </c>
      <c r="Y1259" s="68" t="n"/>
      <c r="Z1259" s="69" t="inlineStr">
        <is>
          <t>No Defeasance Occurred</t>
        </is>
      </c>
      <c r="AA1259" s="69" t="inlineStr">
        <is>
          <t>Yes</t>
        </is>
      </c>
      <c r="AB1259" s="69" t="inlineStr">
        <is>
          <t>Never special serv</t>
        </is>
      </c>
      <c r="AC1259" s="73" t="n"/>
      <c r="AD1259" s="69" t="n"/>
      <c r="AE1259" s="69" t="n"/>
      <c r="AF1259" s="69" t="inlineStr">
        <is>
          <t>NY</t>
        </is>
      </c>
      <c r="AG1259" s="69" t="inlineStr">
        <is>
          <t>New York</t>
        </is>
      </c>
      <c r="AH1259" s="69" t="inlineStr">
        <is>
          <t>New York-Newark-Jersey City, NY-NJ</t>
        </is>
      </c>
      <c r="AI1259" s="69" t="inlineStr">
        <is>
          <t>Northeast / Mid-Atlantic</t>
        </is>
      </c>
      <c r="AJ1259" s="69" t="inlineStr">
        <is>
          <t>MF</t>
        </is>
      </c>
      <c r="AK1259" s="69" t="n"/>
      <c r="AL1259" s="68" t="n">
        <v>2</v>
      </c>
      <c r="AM1259" s="68" t="n">
        <v>53</v>
      </c>
      <c r="AN1259" s="68" t="n"/>
      <c r="AO1259" s="69" t="n"/>
      <c r="AP1259" s="70" t="n">
        <v>2016</v>
      </c>
      <c r="AQ1259" s="74" t="n">
        <v>1.24</v>
      </c>
      <c r="AR1259" s="74" t="n">
        <v>1.2</v>
      </c>
      <c r="AS1259" s="74" t="n">
        <v>68.09999999999999</v>
      </c>
      <c r="AT1259" s="74" t="n">
        <v>68.09999999999999</v>
      </c>
      <c r="AU1259" s="74" t="n">
        <v>68.09999999999999</v>
      </c>
      <c r="AV1259" s="74" t="n">
        <v>6.853416396</v>
      </c>
      <c r="AW1259" s="74" t="n">
        <v>6.561745586</v>
      </c>
      <c r="AX1259" s="75" t="n">
        <v>100</v>
      </c>
      <c r="AY1259" s="71" t="n">
        <v>16300000</v>
      </c>
      <c r="AZ1259" s="71" t="n">
        <v>16300000</v>
      </c>
      <c r="BA1259" s="71" t="n">
        <v>760729.22</v>
      </c>
      <c r="BB1259" s="71" t="n">
        <v>732991.25</v>
      </c>
      <c r="BC1259" s="69" t="inlineStr">
        <is>
          <t>Refinance</t>
        </is>
      </c>
      <c r="BD1259" s="69" t="inlineStr">
        <is>
          <t>N</t>
        </is>
      </c>
      <c r="BE1259" s="71" t="n"/>
      <c r="BF1259" s="71" t="n"/>
      <c r="BG1259" s="71" t="n"/>
      <c r="BH1259" s="71" t="n">
        <v>0</v>
      </c>
      <c r="BI1259" s="71" t="n">
        <v>0</v>
      </c>
      <c r="BJ1259" s="69" t="inlineStr">
        <is>
          <t>N</t>
        </is>
      </c>
      <c r="BK1259" s="69" t="n"/>
      <c r="BL1259" s="75" t="n"/>
      <c r="BM1259" s="73" t="n"/>
      <c r="BN1259" s="69" t="inlineStr">
        <is>
          <t>Ayush Kapahi; Michael Froning</t>
        </is>
      </c>
      <c r="BO1259" s="69" t="inlineStr">
        <is>
          <t>Ladder Capital Finance</t>
        </is>
      </c>
      <c r="BP1259" s="69" t="inlineStr">
        <is>
          <t>Midland Loan Services</t>
        </is>
      </c>
      <c r="BQ1259" s="69" t="inlineStr">
        <is>
          <t>K-Star Asset Management LLC</t>
        </is>
      </c>
      <c r="BR1259" s="69" t="n"/>
      <c r="BS1259" s="73" t="n">
        <v>46276</v>
      </c>
      <c r="BU1259" s="76">
        <f>IF($C1259="","",IFERROR(INDEX(dmName,MATCH($C1259,dmID,0)),"Unmapped"))</f>
        <v/>
      </c>
      <c r="BV1259" s="76">
        <f>IF($C1259="","",IFERROR(INDEX(dmEntity,MATCH($C1259,dmID,0)),"Unmapped"))</f>
        <v/>
      </c>
      <c r="BW1259" s="77">
        <f>IF($C1259="","",IFERROR(INDEX(dmVintage,MATCH($C1259,dmID,0)),""))</f>
        <v/>
      </c>
      <c r="BX1259" s="78">
        <f>IFERROR(INDEX(dmInclude,MATCH($C1259,dmID,0)),0)</f>
        <v/>
      </c>
      <c r="BY1259" s="78">
        <f>IF(N($I1259)&gt;0,1,0)</f>
        <v/>
      </c>
      <c r="BZ1259" s="76">
        <f>IF($AJ1259="","Other / Leased Fee",IFERROR(INDEX(mapPTGroup,MATCH(LEFT(TRIM($AJ1259),2),mapPTCode,0)),"Other / Leased Fee"))</f>
        <v/>
      </c>
      <c r="CA1259" s="76">
        <f>IF(TRIM($AF1259&amp;"")="","NR",LEFT(TRIM($AF1259),2))</f>
        <v/>
      </c>
      <c r="CB1259" s="76">
        <f>IFERROR(LOOKUP(2,1/(LEFT(TRIM($AI1259&amp;""),LEN(mapRegion))=mapRegion),mapRegion),"Not Reported")</f>
        <v/>
      </c>
      <c r="CC1259" s="76">
        <f>IF($BY1259=0,"",IF(TRIM($W1259&amp;"")="REO","REO",IF(TRIM($W1259&amp;"")="FC","Foreclosure",IF(TRIM($W1259&amp;"")="90+","90+ Days Delinquent",IF(TRIM($W1259&amp;"")="60","60 Days Delinquent",IF(TRIM($W1259&amp;"")="30","30 Days Delinquent",IF($X1259="Non-Performing Matured Balloon","Non-Performing Matured Balloon",IF(OR($X1259="Late Payment But Less Than 30 Days Delinquent",LEFT($X1259&amp;"",20)="Payment Not Received"),"Late / In Grace (&lt;30 Days)",IF($X1259="Performing Matured Balloon","Performing Matured Balloon","Current")))))))))</f>
        <v/>
      </c>
      <c r="CD1259" s="78">
        <f>IF(OR($CC1259="REO",$CC1259="Foreclosure",$CC1259="90+ Days Delinquent",$CC1259="60 Days Delinquent",$CC1259="30 Days Delinquent",$CC1259="Non-Performing Matured Balloon"),1,0)</f>
        <v/>
      </c>
      <c r="CE1259" s="76">
        <f>IF($AB1259="Currently special serv","Currently Specially Serviced",IF($AB1259="Returned to master serv","Previously Specially Serviced","Never Specially Serviced"))</f>
        <v/>
      </c>
      <c r="CF1259" s="78">
        <f>IF($CE1259="Currently Specially Serviced",1,0)</f>
        <v/>
      </c>
      <c r="CG1259" s="76">
        <f>IF($AA1259="Yes","Currently on Watchlist",IF($AA1259="Previously","Previously on Watchlist","Never on Watchlist"))</f>
        <v/>
      </c>
      <c r="CH1259" s="78">
        <f>IF($CG1259="Currently on Watchlist",1,0)</f>
        <v/>
      </c>
      <c r="CI1259" s="76">
        <f>IF($Z1259="Full Defeasance","Fully Defeased",IF($Z1259="Portion Of Loan Previously Defeased","Partially Defeased",IF($Z1259="Defeasance Not Allowable","Not Defeased (Not Permitted)","Not Defeased")))</f>
        <v/>
      </c>
      <c r="CJ1259" s="78">
        <f>IF($CI1259="Fully Defeased",1,0)</f>
        <v/>
      </c>
      <c r="CK1259" s="76">
        <f>IF($R1259="IO","Full IO",IF(LEFT($R1259&amp;"",7)="IO then","Partial IO","Amortizing"))</f>
        <v/>
      </c>
      <c r="CL1259" s="78">
        <f>IF($CK1259="Full IO",1,0)</f>
        <v/>
      </c>
      <c r="CM1259" s="78">
        <f>IF($CK1259="Partial IO",1,0)</f>
        <v/>
      </c>
      <c r="CN1259" s="76">
        <f>IF(LEFT($F1259&amp;"",10)="SPLIT_LOAN","Pari Passu Split","Standalone")</f>
        <v/>
      </c>
      <c r="CO1259" s="78">
        <f>IF($CN1259="Pari Passu Split",1,0)</f>
        <v/>
      </c>
      <c r="CP1259" s="77">
        <f>IF(ISNUMBER($T1259),YEAR($T1259),"")</f>
        <v/>
      </c>
      <c r="CQ1259" s="79">
        <f>IF(ISNUMBER($V1259),$V1259,IF(ISNUMBER($U1259),$U1259,""))</f>
        <v/>
      </c>
      <c r="CR1259" s="77">
        <f>IF(ISNUMBER($CQ1259),YEAR($CQ1259),"")</f>
        <v/>
      </c>
      <c r="CS1259" s="78">
        <f>IF(ISNUMBER($M1259),MAX(0,$M1259),IF(TRIM($M1259&amp;"")="matured",0,""))</f>
        <v/>
      </c>
      <c r="CT1259" s="78">
        <f>IF(AND(ISNUMBER($CS1259),N($CS1259)&lt;=mMatWindow),1,0)</f>
        <v/>
      </c>
      <c r="CU1259" s="80">
        <f>IF(ISNUMBER($J1259),$J1259/100,"")</f>
        <v/>
      </c>
      <c r="CV1259" s="81">
        <f>IF(ISNUMBER($AQ1259),$AQ1259,"")</f>
        <v/>
      </c>
      <c r="CW1259" s="81">
        <f>IF(ISNUMBER($AR1259),$AR1259,"")</f>
        <v/>
      </c>
      <c r="CX1259" s="82">
        <f>IF(ISNUMBER($AS1259),$AS1259/100,"")</f>
        <v/>
      </c>
      <c r="CY1259" s="82">
        <f>IF(ISNUMBER($AT1259),$AT1259/100,"")</f>
        <v/>
      </c>
      <c r="CZ1259" s="82">
        <f>IF(ISNUMBER($AU1259),$AU1259/100,"")</f>
        <v/>
      </c>
      <c r="DA1259" s="82">
        <f>IF(ISNUMBER($AV1259),$AV1259/100,"")</f>
        <v/>
      </c>
      <c r="DB1259" s="82">
        <f>IF(ISNUMBER($AW1259),$AW1259/100,"")</f>
        <v/>
      </c>
      <c r="DC1259" s="82">
        <f>IF(ISNUMBER($AX1259),$AX1259/100,"")</f>
        <v/>
      </c>
      <c r="DD1259" s="77">
        <f>IFERROR(VALUE(LEFT(TRIM($AO1259&amp;""),4)),"")</f>
        <v/>
      </c>
      <c r="DE1259" s="78">
        <f>IF(AND($BY1259=1,$BX1259=1,OR(fDeal="All Deals",$BU1259=fDeal),OR(fEntity="All Entities",$BV1259=fEntity),OR(fPType="All Property Types",$BZ1259=fPType),OR(fDefeased="Include",$CJ1259=0)),1,0)</f>
        <v/>
      </c>
      <c r="DF1259" s="83">
        <f>$DE1259*N($I1259)</f>
        <v/>
      </c>
      <c r="DG1259" s="78">
        <f>IF($DE1259=1,IF(COUNTIFS($F$8:$F1259,$F1259,$DE$8:$DE1259,1)=1,1,0),0)</f>
        <v/>
      </c>
      <c r="DH1259" s="83">
        <f>IF($DG1259=1,SUMIFS($DF$8:$DF$1600,$F$8:$F$1600,$F1259),0)</f>
        <v/>
      </c>
      <c r="DI1259" s="78">
        <f>IF($DG1259=1,COUNTIFS($F$8:$F$1600,$F1259,$DE$8:$DE$1600,1),0)</f>
        <v/>
      </c>
      <c r="DJ1259" s="84">
        <f>IF($DG1259=1,$DH1259+(100000-ROW())/mTieBreak,0)</f>
        <v/>
      </c>
    </row>
    <row r="1260">
      <c r="B1260" s="68" t="n">
        <v>27</v>
      </c>
      <c r="C1260" s="69" t="inlineStr">
        <is>
          <t>UBS18C12</t>
        </is>
      </c>
      <c r="D1260" s="69" t="inlineStr">
        <is>
          <t>27.000</t>
        </is>
      </c>
      <c r="E1260" s="69" t="inlineStr">
        <is>
          <t>Sunflower MHC</t>
        </is>
      </c>
      <c r="F1260" s="69" t="inlineStr">
        <is>
          <t>LNUBS18C12-27.000</t>
        </is>
      </c>
      <c r="G1260" s="70" t="n"/>
      <c r="H1260" s="71" t="n">
        <v>10800000</v>
      </c>
      <c r="I1260" s="71" t="n">
        <v>10800000</v>
      </c>
      <c r="J1260" s="72" t="n">
        <v>5.022</v>
      </c>
      <c r="K1260" s="69" t="inlineStr">
        <is>
          <t>Fixed rate</t>
        </is>
      </c>
      <c r="L1260" s="68" t="n">
        <v>120</v>
      </c>
      <c r="M1260" s="68" t="n">
        <v>22</v>
      </c>
      <c r="N1260" s="68" t="n">
        <v>120</v>
      </c>
      <c r="O1260" s="68" t="n">
        <v>120</v>
      </c>
      <c r="P1260" s="68" t="n">
        <v>22</v>
      </c>
      <c r="Q1260" s="68" t="n">
        <v>98</v>
      </c>
      <c r="R1260" s="69" t="inlineStr">
        <is>
          <t>IO</t>
        </is>
      </c>
      <c r="S1260" s="69" t="inlineStr">
        <is>
          <t>Yes</t>
        </is>
      </c>
      <c r="T1260" s="73" t="n">
        <v>43282</v>
      </c>
      <c r="U1260" s="73" t="n">
        <v>46940</v>
      </c>
      <c r="V1260" s="73" t="n"/>
      <c r="W1260" s="69" t="n"/>
      <c r="X1260" s="69" t="inlineStr">
        <is>
          <t>Current</t>
        </is>
      </c>
      <c r="Y1260" s="68" t="n"/>
      <c r="Z1260" s="69" t="inlineStr">
        <is>
          <t>No Defeasance Occurred</t>
        </is>
      </c>
      <c r="AA1260" s="69" t="n"/>
      <c r="AB1260" s="69" t="inlineStr">
        <is>
          <t>Never special serv</t>
        </is>
      </c>
      <c r="AC1260" s="73" t="n"/>
      <c r="AD1260" s="69" t="n"/>
      <c r="AE1260" s="69" t="n"/>
      <c r="AF1260" s="69" t="inlineStr">
        <is>
          <t>CO</t>
        </is>
      </c>
      <c r="AG1260" s="69" t="inlineStr">
        <is>
          <t>Fort Collins</t>
        </is>
      </c>
      <c r="AH1260" s="69" t="inlineStr">
        <is>
          <t>Fort Collins-Loveland, CO</t>
        </is>
      </c>
      <c r="AI1260" s="69" t="inlineStr">
        <is>
          <t>West / Mountain</t>
        </is>
      </c>
      <c r="AJ1260" s="69" t="inlineStr">
        <is>
          <t>MH</t>
        </is>
      </c>
      <c r="AK1260" s="69" t="n"/>
      <c r="AL1260" s="68" t="n">
        <v>1</v>
      </c>
      <c r="AM1260" s="68" t="n">
        <v>190</v>
      </c>
      <c r="AN1260" s="68" t="n"/>
      <c r="AO1260" s="69" t="inlineStr">
        <is>
          <t>2002</t>
        </is>
      </c>
      <c r="AP1260" s="70" t="n">
        <v>2002</v>
      </c>
      <c r="AQ1260" s="74" t="n">
        <v>1.65</v>
      </c>
      <c r="AR1260" s="74" t="n">
        <v>3.35</v>
      </c>
      <c r="AS1260" s="74" t="n">
        <v>55.4</v>
      </c>
      <c r="AT1260" s="74" t="n">
        <v>55.38</v>
      </c>
      <c r="AU1260" s="74" t="n">
        <v>55.4</v>
      </c>
      <c r="AV1260" s="74" t="n">
        <v>8.401719443999999</v>
      </c>
      <c r="AW1260" s="74" t="n">
        <v>17.074114074</v>
      </c>
      <c r="AX1260" s="75" t="n">
        <v>99</v>
      </c>
      <c r="AY1260" s="71" t="n">
        <v>19500000</v>
      </c>
      <c r="AZ1260" s="71" t="n">
        <v>19500000</v>
      </c>
      <c r="BA1260" s="71" t="n">
        <v>907385.7</v>
      </c>
      <c r="BB1260" s="71" t="n">
        <v>1844004.32</v>
      </c>
      <c r="BC1260" s="69" t="inlineStr">
        <is>
          <t>Refinance</t>
        </is>
      </c>
      <c r="BD1260" s="69" t="inlineStr">
        <is>
          <t>N</t>
        </is>
      </c>
      <c r="BE1260" s="71" t="n"/>
      <c r="BF1260" s="71" t="n"/>
      <c r="BG1260" s="71" t="n"/>
      <c r="BH1260" s="71" t="n">
        <v>0</v>
      </c>
      <c r="BI1260" s="71" t="n">
        <v>0</v>
      </c>
      <c r="BJ1260" s="69" t="inlineStr">
        <is>
          <t>N</t>
        </is>
      </c>
      <c r="BK1260" s="69" t="n"/>
      <c r="BL1260" s="75" t="n"/>
      <c r="BM1260" s="73" t="n"/>
      <c r="BN1260" s="69" t="inlineStr">
        <is>
          <t>Matthew N. Follett</t>
        </is>
      </c>
      <c r="BO1260" s="69" t="inlineStr">
        <is>
          <t>Ladder Capital Finance</t>
        </is>
      </c>
      <c r="BP1260" s="69" t="inlineStr">
        <is>
          <t>Midland Loan Services</t>
        </is>
      </c>
      <c r="BQ1260" s="69" t="inlineStr">
        <is>
          <t>K-Star Asset Management LLC</t>
        </is>
      </c>
      <c r="BR1260" s="69" t="n"/>
      <c r="BS1260" s="73" t="n">
        <v>46276</v>
      </c>
      <c r="BU1260" s="76">
        <f>IF($C1260="","",IFERROR(INDEX(dmName,MATCH($C1260,dmID,0)),"Unmapped"))</f>
        <v/>
      </c>
      <c r="BV1260" s="76">
        <f>IF($C1260="","",IFERROR(INDEX(dmEntity,MATCH($C1260,dmID,0)),"Unmapped"))</f>
        <v/>
      </c>
      <c r="BW1260" s="77">
        <f>IF($C1260="","",IFERROR(INDEX(dmVintage,MATCH($C1260,dmID,0)),""))</f>
        <v/>
      </c>
      <c r="BX1260" s="78">
        <f>IFERROR(INDEX(dmInclude,MATCH($C1260,dmID,0)),0)</f>
        <v/>
      </c>
      <c r="BY1260" s="78">
        <f>IF(N($I1260)&gt;0,1,0)</f>
        <v/>
      </c>
      <c r="BZ1260" s="76">
        <f>IF($AJ1260="","Other / Leased Fee",IFERROR(INDEX(mapPTGroup,MATCH(LEFT(TRIM($AJ1260),2),mapPTCode,0)),"Other / Leased Fee"))</f>
        <v/>
      </c>
      <c r="CA1260" s="76">
        <f>IF(TRIM($AF1260&amp;"")="","NR",LEFT(TRIM($AF1260),2))</f>
        <v/>
      </c>
      <c r="CB1260" s="76">
        <f>IFERROR(LOOKUP(2,1/(LEFT(TRIM($AI1260&amp;""),LEN(mapRegion))=mapRegion),mapRegion),"Not Reported")</f>
        <v/>
      </c>
      <c r="CC1260" s="76">
        <f>IF($BY1260=0,"",IF(TRIM($W1260&amp;"")="REO","REO",IF(TRIM($W1260&amp;"")="FC","Foreclosure",IF(TRIM($W1260&amp;"")="90+","90+ Days Delinquent",IF(TRIM($W1260&amp;"")="60","60 Days Delinquent",IF(TRIM($W1260&amp;"")="30","30 Days Delinquent",IF($X1260="Non-Performing Matured Balloon","Non-Performing Matured Balloon",IF(OR($X1260="Late Payment But Less Than 30 Days Delinquent",LEFT($X1260&amp;"",20)="Payment Not Received"),"Late / In Grace (&lt;30 Days)",IF($X1260="Performing Matured Balloon","Performing Matured Balloon","Current")))))))))</f>
        <v/>
      </c>
      <c r="CD1260" s="78">
        <f>IF(OR($CC1260="REO",$CC1260="Foreclosure",$CC1260="90+ Days Delinquent",$CC1260="60 Days Delinquent",$CC1260="30 Days Delinquent",$CC1260="Non-Performing Matured Balloon"),1,0)</f>
        <v/>
      </c>
      <c r="CE1260" s="76">
        <f>IF($AB1260="Currently special serv","Currently Specially Serviced",IF($AB1260="Returned to master serv","Previously Specially Serviced","Never Specially Serviced"))</f>
        <v/>
      </c>
      <c r="CF1260" s="78">
        <f>IF($CE1260="Currently Specially Serviced",1,0)</f>
        <v/>
      </c>
      <c r="CG1260" s="76">
        <f>IF($AA1260="Yes","Currently on Watchlist",IF($AA1260="Previously","Previously on Watchlist","Never on Watchlist"))</f>
        <v/>
      </c>
      <c r="CH1260" s="78">
        <f>IF($CG1260="Currently on Watchlist",1,0)</f>
        <v/>
      </c>
      <c r="CI1260" s="76">
        <f>IF($Z1260="Full Defeasance","Fully Defeased",IF($Z1260="Portion Of Loan Previously Defeased","Partially Defeased",IF($Z1260="Defeasance Not Allowable","Not Defeased (Not Permitted)","Not Defeased")))</f>
        <v/>
      </c>
      <c r="CJ1260" s="78">
        <f>IF($CI1260="Fully Defeased",1,0)</f>
        <v/>
      </c>
      <c r="CK1260" s="76">
        <f>IF($R1260="IO","Full IO",IF(LEFT($R1260&amp;"",7)="IO then","Partial IO","Amortizing"))</f>
        <v/>
      </c>
      <c r="CL1260" s="78">
        <f>IF($CK1260="Full IO",1,0)</f>
        <v/>
      </c>
      <c r="CM1260" s="78">
        <f>IF($CK1260="Partial IO",1,0)</f>
        <v/>
      </c>
      <c r="CN1260" s="76">
        <f>IF(LEFT($F1260&amp;"",10)="SPLIT_LOAN","Pari Passu Split","Standalone")</f>
        <v/>
      </c>
      <c r="CO1260" s="78">
        <f>IF($CN1260="Pari Passu Split",1,0)</f>
        <v/>
      </c>
      <c r="CP1260" s="77">
        <f>IF(ISNUMBER($T1260),YEAR($T1260),"")</f>
        <v/>
      </c>
      <c r="CQ1260" s="79">
        <f>IF(ISNUMBER($V1260),$V1260,IF(ISNUMBER($U1260),$U1260,""))</f>
        <v/>
      </c>
      <c r="CR1260" s="77">
        <f>IF(ISNUMBER($CQ1260),YEAR($CQ1260),"")</f>
        <v/>
      </c>
      <c r="CS1260" s="78">
        <f>IF(ISNUMBER($M1260),MAX(0,$M1260),IF(TRIM($M1260&amp;"")="matured",0,""))</f>
        <v/>
      </c>
      <c r="CT1260" s="78">
        <f>IF(AND(ISNUMBER($CS1260),N($CS1260)&lt;=mMatWindow),1,0)</f>
        <v/>
      </c>
      <c r="CU1260" s="80">
        <f>IF(ISNUMBER($J1260),$J1260/100,"")</f>
        <v/>
      </c>
      <c r="CV1260" s="81">
        <f>IF(ISNUMBER($AQ1260),$AQ1260,"")</f>
        <v/>
      </c>
      <c r="CW1260" s="81">
        <f>IF(ISNUMBER($AR1260),$AR1260,"")</f>
        <v/>
      </c>
      <c r="CX1260" s="82">
        <f>IF(ISNUMBER($AS1260),$AS1260/100,"")</f>
        <v/>
      </c>
      <c r="CY1260" s="82">
        <f>IF(ISNUMBER($AT1260),$AT1260/100,"")</f>
        <v/>
      </c>
      <c r="CZ1260" s="82">
        <f>IF(ISNUMBER($AU1260),$AU1260/100,"")</f>
        <v/>
      </c>
      <c r="DA1260" s="82">
        <f>IF(ISNUMBER($AV1260),$AV1260/100,"")</f>
        <v/>
      </c>
      <c r="DB1260" s="82">
        <f>IF(ISNUMBER($AW1260),$AW1260/100,"")</f>
        <v/>
      </c>
      <c r="DC1260" s="82">
        <f>IF(ISNUMBER($AX1260),$AX1260/100,"")</f>
        <v/>
      </c>
      <c r="DD1260" s="77">
        <f>IFERROR(VALUE(LEFT(TRIM($AO1260&amp;""),4)),"")</f>
        <v/>
      </c>
      <c r="DE1260" s="78">
        <f>IF(AND($BY1260=1,$BX1260=1,OR(fDeal="All Deals",$BU1260=fDeal),OR(fEntity="All Entities",$BV1260=fEntity),OR(fPType="All Property Types",$BZ1260=fPType),OR(fDefeased="Include",$CJ1260=0)),1,0)</f>
        <v/>
      </c>
      <c r="DF1260" s="83">
        <f>$DE1260*N($I1260)</f>
        <v/>
      </c>
      <c r="DG1260" s="78">
        <f>IF($DE1260=1,IF(COUNTIFS($F$8:$F1260,$F1260,$DE$8:$DE1260,1)=1,1,0),0)</f>
        <v/>
      </c>
      <c r="DH1260" s="83">
        <f>IF($DG1260=1,SUMIFS($DF$8:$DF$1600,$F$8:$F$1600,$F1260),0)</f>
        <v/>
      </c>
      <c r="DI1260" s="78">
        <f>IF($DG1260=1,COUNTIFS($F$8:$F$1600,$F1260,$DE$8:$DE$1600,1),0)</f>
        <v/>
      </c>
      <c r="DJ1260" s="84">
        <f>IF($DG1260=1,$DH1260+(100000-ROW())/mTieBreak,0)</f>
        <v/>
      </c>
    </row>
    <row r="1261">
      <c r="B1261" s="68" t="n">
        <v>28</v>
      </c>
      <c r="C1261" s="69" t="inlineStr">
        <is>
          <t>UBS18C12</t>
        </is>
      </c>
      <c r="D1261" s="69" t="inlineStr">
        <is>
          <t>28.000</t>
        </is>
      </c>
      <c r="E1261" s="69" t="inlineStr">
        <is>
          <t>Longview Plaza</t>
        </is>
      </c>
      <c r="F1261" s="69" t="inlineStr">
        <is>
          <t>LNUBS18C12-28.000</t>
        </is>
      </c>
      <c r="G1261" s="70" t="n"/>
      <c r="H1261" s="71" t="n">
        <v>10800000</v>
      </c>
      <c r="I1261" s="71" t="n">
        <v>10800000</v>
      </c>
      <c r="J1261" s="72" t="n">
        <v>5.09</v>
      </c>
      <c r="K1261" s="69" t="inlineStr">
        <is>
          <t>Fixed rate</t>
        </is>
      </c>
      <c r="L1261" s="68" t="n">
        <v>120</v>
      </c>
      <c r="M1261" s="68" t="n">
        <v>21</v>
      </c>
      <c r="N1261" s="68" t="n">
        <v>120</v>
      </c>
      <c r="O1261" s="68" t="n">
        <v>120</v>
      </c>
      <c r="P1261" s="68" t="n">
        <v>21</v>
      </c>
      <c r="Q1261" s="68" t="n">
        <v>99</v>
      </c>
      <c r="R1261" s="69" t="inlineStr">
        <is>
          <t>IO</t>
        </is>
      </c>
      <c r="S1261" s="69" t="inlineStr">
        <is>
          <t>Yes</t>
        </is>
      </c>
      <c r="T1261" s="73" t="n">
        <v>43252</v>
      </c>
      <c r="U1261" s="73" t="n">
        <v>46910</v>
      </c>
      <c r="V1261" s="73" t="n"/>
      <c r="W1261" s="69" t="n"/>
      <c r="X1261" s="69" t="inlineStr">
        <is>
          <t>Current</t>
        </is>
      </c>
      <c r="Y1261" s="68" t="n"/>
      <c r="Z1261" s="69" t="inlineStr">
        <is>
          <t>No Defeasance Occurred</t>
        </is>
      </c>
      <c r="AA1261" s="69" t="inlineStr">
        <is>
          <t>Previously</t>
        </is>
      </c>
      <c r="AB1261" s="69" t="inlineStr">
        <is>
          <t>Never special serv</t>
        </is>
      </c>
      <c r="AC1261" s="73" t="n"/>
      <c r="AD1261" s="69" t="n"/>
      <c r="AE1261" s="69" t="n"/>
      <c r="AF1261" s="69" t="inlineStr">
        <is>
          <t>TX</t>
        </is>
      </c>
      <c r="AG1261" s="69" t="inlineStr">
        <is>
          <t>Longview</t>
        </is>
      </c>
      <c r="AH1261" s="69" t="inlineStr">
        <is>
          <t>Longview, TX</t>
        </is>
      </c>
      <c r="AI1261" s="69" t="inlineStr">
        <is>
          <t>South / Central West</t>
        </is>
      </c>
      <c r="AJ1261" s="69" t="inlineStr">
        <is>
          <t>RT</t>
        </is>
      </c>
      <c r="AK1261" s="69" t="inlineStr">
        <is>
          <t>Anchored</t>
        </is>
      </c>
      <c r="AL1261" s="68" t="n">
        <v>1</v>
      </c>
      <c r="AM1261" s="68" t="n"/>
      <c r="AN1261" s="68" t="n">
        <v>153260</v>
      </c>
      <c r="AO1261" s="69" t="inlineStr">
        <is>
          <t>1999</t>
        </is>
      </c>
      <c r="AP1261" s="70" t="n">
        <v>1999</v>
      </c>
      <c r="AQ1261" s="74" t="n">
        <v>1.97</v>
      </c>
      <c r="AR1261" s="74" t="n">
        <v>1.89</v>
      </c>
      <c r="AS1261" s="74" t="n">
        <v>52.9</v>
      </c>
      <c r="AT1261" s="74" t="n">
        <v>52.94</v>
      </c>
      <c r="AU1261" s="74" t="n">
        <v>52.9</v>
      </c>
      <c r="AV1261" s="74" t="n">
        <v>10.164046296</v>
      </c>
      <c r="AW1261" s="74" t="n">
        <v>8.421628704</v>
      </c>
      <c r="AX1261" s="75" t="n">
        <v>100</v>
      </c>
      <c r="AY1261" s="71" t="n">
        <v>20400000</v>
      </c>
      <c r="AZ1261" s="71" t="n">
        <v>20400000</v>
      </c>
      <c r="BA1261" s="71" t="n">
        <v>1097717</v>
      </c>
      <c r="BB1261" s="71" t="n">
        <v>1054053.08</v>
      </c>
      <c r="BC1261" s="69" t="inlineStr">
        <is>
          <t>Refinance</t>
        </is>
      </c>
      <c r="BD1261" s="69" t="inlineStr">
        <is>
          <t>N</t>
        </is>
      </c>
      <c r="BE1261" s="71" t="n"/>
      <c r="BF1261" s="71" t="n"/>
      <c r="BG1261" s="71" t="n"/>
      <c r="BH1261" s="71" t="n">
        <v>0</v>
      </c>
      <c r="BI1261" s="71" t="n">
        <v>0</v>
      </c>
      <c r="BJ1261" s="69" t="inlineStr">
        <is>
          <t>N</t>
        </is>
      </c>
      <c r="BK1261" s="69" t="inlineStr">
        <is>
          <t>Best Buy Stores LP #594</t>
        </is>
      </c>
      <c r="BL1261" s="75" t="n">
        <v>19.57</v>
      </c>
      <c r="BM1261" s="73" t="n">
        <v>47573</v>
      </c>
      <c r="BN1261" s="69" t="inlineStr">
        <is>
          <t>William A. Morris</t>
        </is>
      </c>
      <c r="BO1261" s="69" t="inlineStr">
        <is>
          <t>Rialto</t>
        </is>
      </c>
      <c r="BP1261" s="69" t="inlineStr">
        <is>
          <t>Midland Loan Services</t>
        </is>
      </c>
      <c r="BQ1261" s="69" t="inlineStr">
        <is>
          <t>K-Star Asset Management LLC</t>
        </is>
      </c>
      <c r="BR1261" s="69" t="n"/>
      <c r="BS1261" s="73" t="n">
        <v>46276</v>
      </c>
      <c r="BU1261" s="76">
        <f>IF($C1261="","",IFERROR(INDEX(dmName,MATCH($C1261,dmID,0)),"Unmapped"))</f>
        <v/>
      </c>
      <c r="BV1261" s="76">
        <f>IF($C1261="","",IFERROR(INDEX(dmEntity,MATCH($C1261,dmID,0)),"Unmapped"))</f>
        <v/>
      </c>
      <c r="BW1261" s="77">
        <f>IF($C1261="","",IFERROR(INDEX(dmVintage,MATCH($C1261,dmID,0)),""))</f>
        <v/>
      </c>
      <c r="BX1261" s="78">
        <f>IFERROR(INDEX(dmInclude,MATCH($C1261,dmID,0)),0)</f>
        <v/>
      </c>
      <c r="BY1261" s="78">
        <f>IF(N($I1261)&gt;0,1,0)</f>
        <v/>
      </c>
      <c r="BZ1261" s="76">
        <f>IF($AJ1261="","Other / Leased Fee",IFERROR(INDEX(mapPTGroup,MATCH(LEFT(TRIM($AJ1261),2),mapPTCode,0)),"Other / Leased Fee"))</f>
        <v/>
      </c>
      <c r="CA1261" s="76">
        <f>IF(TRIM($AF1261&amp;"")="","NR",LEFT(TRIM($AF1261),2))</f>
        <v/>
      </c>
      <c r="CB1261" s="76">
        <f>IFERROR(LOOKUP(2,1/(LEFT(TRIM($AI1261&amp;""),LEN(mapRegion))=mapRegion),mapRegion),"Not Reported")</f>
        <v/>
      </c>
      <c r="CC1261" s="76">
        <f>IF($BY1261=0,"",IF(TRIM($W1261&amp;"")="REO","REO",IF(TRIM($W1261&amp;"")="FC","Foreclosure",IF(TRIM($W1261&amp;"")="90+","90+ Days Delinquent",IF(TRIM($W1261&amp;"")="60","60 Days Delinquent",IF(TRIM($W1261&amp;"")="30","30 Days Delinquent",IF($X1261="Non-Performing Matured Balloon","Non-Performing Matured Balloon",IF(OR($X1261="Late Payment But Less Than 30 Days Delinquent",LEFT($X1261&amp;"",20)="Payment Not Received"),"Late / In Grace (&lt;30 Days)",IF($X1261="Performing Matured Balloon","Performing Matured Balloon","Current")))))))))</f>
        <v/>
      </c>
      <c r="CD1261" s="78">
        <f>IF(OR($CC1261="REO",$CC1261="Foreclosure",$CC1261="90+ Days Delinquent",$CC1261="60 Days Delinquent",$CC1261="30 Days Delinquent",$CC1261="Non-Performing Matured Balloon"),1,0)</f>
        <v/>
      </c>
      <c r="CE1261" s="76">
        <f>IF($AB1261="Currently special serv","Currently Specially Serviced",IF($AB1261="Returned to master serv","Previously Specially Serviced","Never Specially Serviced"))</f>
        <v/>
      </c>
      <c r="CF1261" s="78">
        <f>IF($CE1261="Currently Specially Serviced",1,0)</f>
        <v/>
      </c>
      <c r="CG1261" s="76">
        <f>IF($AA1261="Yes","Currently on Watchlist",IF($AA1261="Previously","Previously on Watchlist","Never on Watchlist"))</f>
        <v/>
      </c>
      <c r="CH1261" s="78">
        <f>IF($CG1261="Currently on Watchlist",1,0)</f>
        <v/>
      </c>
      <c r="CI1261" s="76">
        <f>IF($Z1261="Full Defeasance","Fully Defeased",IF($Z1261="Portion Of Loan Previously Defeased","Partially Defeased",IF($Z1261="Defeasance Not Allowable","Not Defeased (Not Permitted)","Not Defeased")))</f>
        <v/>
      </c>
      <c r="CJ1261" s="78">
        <f>IF($CI1261="Fully Defeased",1,0)</f>
        <v/>
      </c>
      <c r="CK1261" s="76">
        <f>IF($R1261="IO","Full IO",IF(LEFT($R1261&amp;"",7)="IO then","Partial IO","Amortizing"))</f>
        <v/>
      </c>
      <c r="CL1261" s="78">
        <f>IF($CK1261="Full IO",1,0)</f>
        <v/>
      </c>
      <c r="CM1261" s="78">
        <f>IF($CK1261="Partial IO",1,0)</f>
        <v/>
      </c>
      <c r="CN1261" s="76">
        <f>IF(LEFT($F1261&amp;"",10)="SPLIT_LOAN","Pari Passu Split","Standalone")</f>
        <v/>
      </c>
      <c r="CO1261" s="78">
        <f>IF($CN1261="Pari Passu Split",1,0)</f>
        <v/>
      </c>
      <c r="CP1261" s="77">
        <f>IF(ISNUMBER($T1261),YEAR($T1261),"")</f>
        <v/>
      </c>
      <c r="CQ1261" s="79">
        <f>IF(ISNUMBER($V1261),$V1261,IF(ISNUMBER($U1261),$U1261,""))</f>
        <v/>
      </c>
      <c r="CR1261" s="77">
        <f>IF(ISNUMBER($CQ1261),YEAR($CQ1261),"")</f>
        <v/>
      </c>
      <c r="CS1261" s="78">
        <f>IF(ISNUMBER($M1261),MAX(0,$M1261),IF(TRIM($M1261&amp;"")="matured",0,""))</f>
        <v/>
      </c>
      <c r="CT1261" s="78">
        <f>IF(AND(ISNUMBER($CS1261),N($CS1261)&lt;=mMatWindow),1,0)</f>
        <v/>
      </c>
      <c r="CU1261" s="80">
        <f>IF(ISNUMBER($J1261),$J1261/100,"")</f>
        <v/>
      </c>
      <c r="CV1261" s="81">
        <f>IF(ISNUMBER($AQ1261),$AQ1261,"")</f>
        <v/>
      </c>
      <c r="CW1261" s="81">
        <f>IF(ISNUMBER($AR1261),$AR1261,"")</f>
        <v/>
      </c>
      <c r="CX1261" s="82">
        <f>IF(ISNUMBER($AS1261),$AS1261/100,"")</f>
        <v/>
      </c>
      <c r="CY1261" s="82">
        <f>IF(ISNUMBER($AT1261),$AT1261/100,"")</f>
        <v/>
      </c>
      <c r="CZ1261" s="82">
        <f>IF(ISNUMBER($AU1261),$AU1261/100,"")</f>
        <v/>
      </c>
      <c r="DA1261" s="82">
        <f>IF(ISNUMBER($AV1261),$AV1261/100,"")</f>
        <v/>
      </c>
      <c r="DB1261" s="82">
        <f>IF(ISNUMBER($AW1261),$AW1261/100,"")</f>
        <v/>
      </c>
      <c r="DC1261" s="82">
        <f>IF(ISNUMBER($AX1261),$AX1261/100,"")</f>
        <v/>
      </c>
      <c r="DD1261" s="77">
        <f>IFERROR(VALUE(LEFT(TRIM($AO1261&amp;""),4)),"")</f>
        <v/>
      </c>
      <c r="DE1261" s="78">
        <f>IF(AND($BY1261=1,$BX1261=1,OR(fDeal="All Deals",$BU1261=fDeal),OR(fEntity="All Entities",$BV1261=fEntity),OR(fPType="All Property Types",$BZ1261=fPType),OR(fDefeased="Include",$CJ1261=0)),1,0)</f>
        <v/>
      </c>
      <c r="DF1261" s="83">
        <f>$DE1261*N($I1261)</f>
        <v/>
      </c>
      <c r="DG1261" s="78">
        <f>IF($DE1261=1,IF(COUNTIFS($F$8:$F1261,$F1261,$DE$8:$DE1261,1)=1,1,0),0)</f>
        <v/>
      </c>
      <c r="DH1261" s="83">
        <f>IF($DG1261=1,SUMIFS($DF$8:$DF$1600,$F$8:$F$1600,$F1261),0)</f>
        <v/>
      </c>
      <c r="DI1261" s="78">
        <f>IF($DG1261=1,COUNTIFS($F$8:$F$1600,$F1261,$DE$8:$DE$1600,1),0)</f>
        <v/>
      </c>
      <c r="DJ1261" s="84">
        <f>IF($DG1261=1,$DH1261+(100000-ROW())/mTieBreak,0)</f>
        <v/>
      </c>
    </row>
    <row r="1262">
      <c r="B1262" s="68" t="n">
        <v>29</v>
      </c>
      <c r="C1262" s="69" t="inlineStr">
        <is>
          <t>UBS18C12</t>
        </is>
      </c>
      <c r="D1262" s="69" t="inlineStr">
        <is>
          <t>29.000</t>
        </is>
      </c>
      <c r="E1262" s="69" t="inlineStr">
        <is>
          <t>Charleston Tower</t>
        </is>
      </c>
      <c r="F1262" s="69" t="inlineStr">
        <is>
          <t>LNUBS18C12-29.000</t>
        </is>
      </c>
      <c r="G1262" s="70" t="n"/>
      <c r="H1262" s="71" t="n">
        <v>10400000</v>
      </c>
      <c r="I1262" s="71" t="n">
        <v>8953859.6699968</v>
      </c>
      <c r="J1262" s="72" t="n">
        <v>4.951</v>
      </c>
      <c r="K1262" s="69" t="inlineStr">
        <is>
          <t>Fixed rate</t>
        </is>
      </c>
      <c r="L1262" s="68" t="n">
        <v>120</v>
      </c>
      <c r="M1262" s="68" t="n">
        <v>22</v>
      </c>
      <c r="N1262" s="68" t="n">
        <v>360</v>
      </c>
      <c r="O1262" s="68" t="n"/>
      <c r="P1262" s="68" t="n"/>
      <c r="Q1262" s="68" t="n">
        <v>98</v>
      </c>
      <c r="R1262" s="69" t="n"/>
      <c r="S1262" s="69" t="inlineStr">
        <is>
          <t>No</t>
        </is>
      </c>
      <c r="T1262" s="73" t="n">
        <v>43282</v>
      </c>
      <c r="U1262" s="73" t="n">
        <v>46940</v>
      </c>
      <c r="V1262" s="73" t="n"/>
      <c r="W1262" s="69" t="n"/>
      <c r="X1262" s="69" t="inlineStr">
        <is>
          <t>Current</t>
        </is>
      </c>
      <c r="Y1262" s="68" t="n"/>
      <c r="Z1262" s="69" t="inlineStr">
        <is>
          <t>Defeasance Not Allowable</t>
        </is>
      </c>
      <c r="AA1262" s="69" t="inlineStr">
        <is>
          <t>Previously</t>
        </is>
      </c>
      <c r="AB1262" s="69" t="inlineStr">
        <is>
          <t>Never special serv</t>
        </is>
      </c>
      <c r="AC1262" s="73" t="n"/>
      <c r="AD1262" s="69" t="n"/>
      <c r="AE1262" s="69" t="n"/>
      <c r="AF1262" s="69" t="inlineStr">
        <is>
          <t>NV</t>
        </is>
      </c>
      <c r="AG1262" s="69" t="inlineStr">
        <is>
          <t>Las Vegas</t>
        </is>
      </c>
      <c r="AH1262" s="69" t="inlineStr">
        <is>
          <t>Las Vegas-Henderson-North Las Vegas, NV</t>
        </is>
      </c>
      <c r="AI1262" s="69" t="inlineStr">
        <is>
          <t>West / Mountain</t>
        </is>
      </c>
      <c r="AJ1262" s="69" t="inlineStr">
        <is>
          <t>OF</t>
        </is>
      </c>
      <c r="AK1262" s="69" t="inlineStr">
        <is>
          <t>Suburban</t>
        </is>
      </c>
      <c r="AL1262" s="68" t="n">
        <v>1</v>
      </c>
      <c r="AM1262" s="68" t="n"/>
      <c r="AN1262" s="68" t="n">
        <v>88708</v>
      </c>
      <c r="AO1262" s="69" t="inlineStr">
        <is>
          <t>1973, 1983, 1991</t>
        </is>
      </c>
      <c r="AP1262" s="70" t="n">
        <v>1991</v>
      </c>
      <c r="AQ1262" s="74" t="n">
        <v>1.87</v>
      </c>
      <c r="AR1262" s="74" t="n">
        <v>1.76</v>
      </c>
      <c r="AS1262" s="74" t="n">
        <v>60.2</v>
      </c>
      <c r="AT1262" s="74" t="n">
        <v>51.91</v>
      </c>
      <c r="AU1262" s="74" t="n">
        <v>49.5</v>
      </c>
      <c r="AV1262" s="74" t="n">
        <v>11.951827308</v>
      </c>
      <c r="AW1262" s="74" t="n">
        <v>12.127655</v>
      </c>
      <c r="AX1262" s="75" t="n">
        <v>100</v>
      </c>
      <c r="AY1262" s="71" t="n">
        <v>17250000</v>
      </c>
      <c r="AZ1262" s="71" t="n">
        <v>17250000</v>
      </c>
      <c r="BA1262" s="71" t="n">
        <v>1242990.04</v>
      </c>
      <c r="BB1262" s="71" t="n">
        <v>1174324.62</v>
      </c>
      <c r="BC1262" s="69" t="inlineStr">
        <is>
          <t>Acquisition</t>
        </is>
      </c>
      <c r="BD1262" s="69" t="inlineStr">
        <is>
          <t>N</t>
        </is>
      </c>
      <c r="BE1262" s="71" t="n"/>
      <c r="BF1262" s="71" t="n"/>
      <c r="BG1262" s="71" t="n"/>
      <c r="BH1262" s="71" t="n">
        <v>0</v>
      </c>
      <c r="BI1262" s="71" t="n">
        <v>0</v>
      </c>
      <c r="BJ1262" s="69" t="inlineStr">
        <is>
          <t>N</t>
        </is>
      </c>
      <c r="BK1262" s="69" t="inlineStr">
        <is>
          <t>University of Nevada Las Vegas UNLV</t>
        </is>
      </c>
      <c r="BL1262" s="75" t="n">
        <v>62.26</v>
      </c>
      <c r="BM1262" s="73" t="n">
        <v>49125</v>
      </c>
      <c r="BN1262" s="69" t="inlineStr">
        <is>
          <t>Gilbert C. Barbieri</t>
        </is>
      </c>
      <c r="BO1262" s="69" t="inlineStr">
        <is>
          <t>UBS</t>
        </is>
      </c>
      <c r="BP1262" s="69" t="inlineStr">
        <is>
          <t>Midland Loan Services</t>
        </is>
      </c>
      <c r="BQ1262" s="69" t="inlineStr">
        <is>
          <t>K-Star Asset Management LLC</t>
        </is>
      </c>
      <c r="BR1262" s="69" t="n"/>
      <c r="BS1262" s="73" t="n">
        <v>46276</v>
      </c>
      <c r="BU1262" s="76">
        <f>IF($C1262="","",IFERROR(INDEX(dmName,MATCH($C1262,dmID,0)),"Unmapped"))</f>
        <v/>
      </c>
      <c r="BV1262" s="76">
        <f>IF($C1262="","",IFERROR(INDEX(dmEntity,MATCH($C1262,dmID,0)),"Unmapped"))</f>
        <v/>
      </c>
      <c r="BW1262" s="77">
        <f>IF($C1262="","",IFERROR(INDEX(dmVintage,MATCH($C1262,dmID,0)),""))</f>
        <v/>
      </c>
      <c r="BX1262" s="78">
        <f>IFERROR(INDEX(dmInclude,MATCH($C1262,dmID,0)),0)</f>
        <v/>
      </c>
      <c r="BY1262" s="78">
        <f>IF(N($I1262)&gt;0,1,0)</f>
        <v/>
      </c>
      <c r="BZ1262" s="76">
        <f>IF($AJ1262="","Other / Leased Fee",IFERROR(INDEX(mapPTGroup,MATCH(LEFT(TRIM($AJ1262),2),mapPTCode,0)),"Other / Leased Fee"))</f>
        <v/>
      </c>
      <c r="CA1262" s="76">
        <f>IF(TRIM($AF1262&amp;"")="","NR",LEFT(TRIM($AF1262),2))</f>
        <v/>
      </c>
      <c r="CB1262" s="76">
        <f>IFERROR(LOOKUP(2,1/(LEFT(TRIM($AI1262&amp;""),LEN(mapRegion))=mapRegion),mapRegion),"Not Reported")</f>
        <v/>
      </c>
      <c r="CC1262" s="76">
        <f>IF($BY1262=0,"",IF(TRIM($W1262&amp;"")="REO","REO",IF(TRIM($W1262&amp;"")="FC","Foreclosure",IF(TRIM($W1262&amp;"")="90+","90+ Days Delinquent",IF(TRIM($W1262&amp;"")="60","60 Days Delinquent",IF(TRIM($W1262&amp;"")="30","30 Days Delinquent",IF($X1262="Non-Performing Matured Balloon","Non-Performing Matured Balloon",IF(OR($X1262="Late Payment But Less Than 30 Days Delinquent",LEFT($X1262&amp;"",20)="Payment Not Received"),"Late / In Grace (&lt;30 Days)",IF($X1262="Performing Matured Balloon","Performing Matured Balloon","Current")))))))))</f>
        <v/>
      </c>
      <c r="CD1262" s="78">
        <f>IF(OR($CC1262="REO",$CC1262="Foreclosure",$CC1262="90+ Days Delinquent",$CC1262="60 Days Delinquent",$CC1262="30 Days Delinquent",$CC1262="Non-Performing Matured Balloon"),1,0)</f>
        <v/>
      </c>
      <c r="CE1262" s="76">
        <f>IF($AB1262="Currently special serv","Currently Specially Serviced",IF($AB1262="Returned to master serv","Previously Specially Serviced","Never Specially Serviced"))</f>
        <v/>
      </c>
      <c r="CF1262" s="78">
        <f>IF($CE1262="Currently Specially Serviced",1,0)</f>
        <v/>
      </c>
      <c r="CG1262" s="76">
        <f>IF($AA1262="Yes","Currently on Watchlist",IF($AA1262="Previously","Previously on Watchlist","Never on Watchlist"))</f>
        <v/>
      </c>
      <c r="CH1262" s="78">
        <f>IF($CG1262="Currently on Watchlist",1,0)</f>
        <v/>
      </c>
      <c r="CI1262" s="76">
        <f>IF($Z1262="Full Defeasance","Fully Defeased",IF($Z1262="Portion Of Loan Previously Defeased","Partially Defeased",IF($Z1262="Defeasance Not Allowable","Not Defeased (Not Permitted)","Not Defeased")))</f>
        <v/>
      </c>
      <c r="CJ1262" s="78">
        <f>IF($CI1262="Fully Defeased",1,0)</f>
        <v/>
      </c>
      <c r="CK1262" s="76">
        <f>IF($R1262="IO","Full IO",IF(LEFT($R1262&amp;"",7)="IO then","Partial IO","Amortizing"))</f>
        <v/>
      </c>
      <c r="CL1262" s="78">
        <f>IF($CK1262="Full IO",1,0)</f>
        <v/>
      </c>
      <c r="CM1262" s="78">
        <f>IF($CK1262="Partial IO",1,0)</f>
        <v/>
      </c>
      <c r="CN1262" s="76">
        <f>IF(LEFT($F1262&amp;"",10)="SPLIT_LOAN","Pari Passu Split","Standalone")</f>
        <v/>
      </c>
      <c r="CO1262" s="78">
        <f>IF($CN1262="Pari Passu Split",1,0)</f>
        <v/>
      </c>
      <c r="CP1262" s="77">
        <f>IF(ISNUMBER($T1262),YEAR($T1262),"")</f>
        <v/>
      </c>
      <c r="CQ1262" s="79">
        <f>IF(ISNUMBER($V1262),$V1262,IF(ISNUMBER($U1262),$U1262,""))</f>
        <v/>
      </c>
      <c r="CR1262" s="77">
        <f>IF(ISNUMBER($CQ1262),YEAR($CQ1262),"")</f>
        <v/>
      </c>
      <c r="CS1262" s="78">
        <f>IF(ISNUMBER($M1262),MAX(0,$M1262),IF(TRIM($M1262&amp;"")="matured",0,""))</f>
        <v/>
      </c>
      <c r="CT1262" s="78">
        <f>IF(AND(ISNUMBER($CS1262),N($CS1262)&lt;=mMatWindow),1,0)</f>
        <v/>
      </c>
      <c r="CU1262" s="80">
        <f>IF(ISNUMBER($J1262),$J1262/100,"")</f>
        <v/>
      </c>
      <c r="CV1262" s="81">
        <f>IF(ISNUMBER($AQ1262),$AQ1262,"")</f>
        <v/>
      </c>
      <c r="CW1262" s="81">
        <f>IF(ISNUMBER($AR1262),$AR1262,"")</f>
        <v/>
      </c>
      <c r="CX1262" s="82">
        <f>IF(ISNUMBER($AS1262),$AS1262/100,"")</f>
        <v/>
      </c>
      <c r="CY1262" s="82">
        <f>IF(ISNUMBER($AT1262),$AT1262/100,"")</f>
        <v/>
      </c>
      <c r="CZ1262" s="82">
        <f>IF(ISNUMBER($AU1262),$AU1262/100,"")</f>
        <v/>
      </c>
      <c r="DA1262" s="82">
        <f>IF(ISNUMBER($AV1262),$AV1262/100,"")</f>
        <v/>
      </c>
      <c r="DB1262" s="82">
        <f>IF(ISNUMBER($AW1262),$AW1262/100,"")</f>
        <v/>
      </c>
      <c r="DC1262" s="82">
        <f>IF(ISNUMBER($AX1262),$AX1262/100,"")</f>
        <v/>
      </c>
      <c r="DD1262" s="77">
        <f>IFERROR(VALUE(LEFT(TRIM($AO1262&amp;""),4)),"")</f>
        <v/>
      </c>
      <c r="DE1262" s="78">
        <f>IF(AND($BY1262=1,$BX1262=1,OR(fDeal="All Deals",$BU1262=fDeal),OR(fEntity="All Entities",$BV1262=fEntity),OR(fPType="All Property Types",$BZ1262=fPType),OR(fDefeased="Include",$CJ1262=0)),1,0)</f>
        <v/>
      </c>
      <c r="DF1262" s="83">
        <f>$DE1262*N($I1262)</f>
        <v/>
      </c>
      <c r="DG1262" s="78">
        <f>IF($DE1262=1,IF(COUNTIFS($F$8:$F1262,$F1262,$DE$8:$DE1262,1)=1,1,0),0)</f>
        <v/>
      </c>
      <c r="DH1262" s="83">
        <f>IF($DG1262=1,SUMIFS($DF$8:$DF$1600,$F$8:$F$1600,$F1262),0)</f>
        <v/>
      </c>
      <c r="DI1262" s="78">
        <f>IF($DG1262=1,COUNTIFS($F$8:$F$1600,$F1262,$DE$8:$DE$1600,1),0)</f>
        <v/>
      </c>
      <c r="DJ1262" s="84">
        <f>IF($DG1262=1,$DH1262+(100000-ROW())/mTieBreak,0)</f>
        <v/>
      </c>
    </row>
    <row r="1263">
      <c r="B1263" s="68" t="n">
        <v>30</v>
      </c>
      <c r="C1263" s="69" t="inlineStr">
        <is>
          <t>UBS18C12</t>
        </is>
      </c>
      <c r="D1263" s="69" t="inlineStr">
        <is>
          <t>30.000</t>
        </is>
      </c>
      <c r="E1263" s="69" t="inlineStr">
        <is>
          <t>Bank of America Center</t>
        </is>
      </c>
      <c r="F1263" s="69" t="inlineStr">
        <is>
          <t>SPLIT_LOAN_01327</t>
        </is>
      </c>
      <c r="G1263" s="70" t="n">
        <v>1327</v>
      </c>
      <c r="H1263" s="71" t="n">
        <v>10000000</v>
      </c>
      <c r="I1263" s="71" t="n">
        <v>10000000</v>
      </c>
      <c r="J1263" s="72" t="n">
        <v>5.03</v>
      </c>
      <c r="K1263" s="69" t="inlineStr">
        <is>
          <t>Fixed rate</t>
        </is>
      </c>
      <c r="L1263" s="68" t="n">
        <v>120</v>
      </c>
      <c r="M1263" s="68" t="n">
        <v>22</v>
      </c>
      <c r="N1263" s="68" t="n">
        <v>120</v>
      </c>
      <c r="O1263" s="68" t="n">
        <v>120</v>
      </c>
      <c r="P1263" s="68" t="n">
        <v>22</v>
      </c>
      <c r="Q1263" s="68" t="n">
        <v>98</v>
      </c>
      <c r="R1263" s="69" t="inlineStr">
        <is>
          <t>IO</t>
        </is>
      </c>
      <c r="S1263" s="69" t="inlineStr">
        <is>
          <t>Yes</t>
        </is>
      </c>
      <c r="T1263" s="73" t="n">
        <v>43282</v>
      </c>
      <c r="U1263" s="73" t="n">
        <v>46935</v>
      </c>
      <c r="V1263" s="73" t="n"/>
      <c r="W1263" s="69" t="n"/>
      <c r="X1263" s="69" t="inlineStr">
        <is>
          <t>Current</t>
        </is>
      </c>
      <c r="Y1263" s="68" t="n"/>
      <c r="Z1263" s="69" t="inlineStr">
        <is>
          <t>No Defeasance Occurred</t>
        </is>
      </c>
      <c r="AA1263" s="69" t="inlineStr">
        <is>
          <t>Previously</t>
        </is>
      </c>
      <c r="AB1263" s="69" t="inlineStr">
        <is>
          <t>Currently special serv</t>
        </is>
      </c>
      <c r="AC1263" s="73" t="n">
        <v>45191</v>
      </c>
      <c r="AD1263" s="69" t="inlineStr">
        <is>
          <t>Imminent Monetary Default (excluding Balloon/Maturity Default &amp; Single Tenant Bankruptcy/Vacate)</t>
        </is>
      </c>
      <c r="AE1263" s="69" t="inlineStr">
        <is>
          <t>Other</t>
        </is>
      </c>
      <c r="AF1263" s="69" t="inlineStr">
        <is>
          <t>VA</t>
        </is>
      </c>
      <c r="AG1263" s="69" t="inlineStr">
        <is>
          <t>Richmond</t>
        </is>
      </c>
      <c r="AH1263" s="69" t="inlineStr">
        <is>
          <t>Richmond, VA</t>
        </is>
      </c>
      <c r="AI1263" s="69" t="inlineStr">
        <is>
          <t>South / Atlantic</t>
        </is>
      </c>
      <c r="AJ1263" s="69" t="inlineStr">
        <is>
          <t>OF</t>
        </is>
      </c>
      <c r="AK1263" s="69" t="inlineStr">
        <is>
          <t>CBD</t>
        </is>
      </c>
      <c r="AL1263" s="68" t="n">
        <v>1</v>
      </c>
      <c r="AM1263" s="68" t="n"/>
      <c r="AN1263" s="68" t="n">
        <v>501388</v>
      </c>
      <c r="AO1263" s="69" t="inlineStr">
        <is>
          <t>1974</t>
        </is>
      </c>
      <c r="AP1263" s="70" t="n">
        <v>2017</v>
      </c>
      <c r="AQ1263" s="74" t="n">
        <v>2.14</v>
      </c>
      <c r="AR1263" s="74" t="n">
        <v>1.64</v>
      </c>
      <c r="AS1263" s="74" t="n">
        <v>53.9</v>
      </c>
      <c r="AT1263" s="74" t="n">
        <v>53.92</v>
      </c>
      <c r="AU1263" s="74" t="n">
        <v>53.9</v>
      </c>
      <c r="AV1263" s="74" t="n">
        <v>10.936399256</v>
      </c>
      <c r="AW1263" s="74" t="n">
        <v>6.29546281</v>
      </c>
      <c r="AX1263" s="75" t="n">
        <v>78</v>
      </c>
      <c r="AY1263" s="71" t="n">
        <v>112200000</v>
      </c>
      <c r="AZ1263" s="71" t="n">
        <v>112200000</v>
      </c>
      <c r="BA1263" s="71" t="n">
        <v>6616521.55</v>
      </c>
      <c r="BB1263" s="71" t="n">
        <v>3808755</v>
      </c>
      <c r="BC1263" s="69" t="inlineStr">
        <is>
          <t>Refinance</t>
        </is>
      </c>
      <c r="BD1263" s="69" t="inlineStr">
        <is>
          <t>N</t>
        </is>
      </c>
      <c r="BE1263" s="71" t="n">
        <v>50500000</v>
      </c>
      <c r="BF1263" s="71" t="n"/>
      <c r="BG1263" s="71" t="n">
        <v>23500000</v>
      </c>
      <c r="BH1263" s="71" t="n">
        <v>0</v>
      </c>
      <c r="BI1263" s="71" t="n">
        <v>0</v>
      </c>
      <c r="BJ1263" s="69" t="inlineStr">
        <is>
          <t>N</t>
        </is>
      </c>
      <c r="BK1263" s="69" t="inlineStr">
        <is>
          <t>COMMON WEALTH OF VIRGINIA</t>
        </is>
      </c>
      <c r="BL1263" s="75" t="n">
        <v>16.97</v>
      </c>
      <c r="BM1263" s="73" t="n">
        <v>46873</v>
      </c>
      <c r="BN1263" s="69" t="inlineStr">
        <is>
          <t>Gerard Alexander Sponsor LLC</t>
        </is>
      </c>
      <c r="BO1263" s="69" t="inlineStr">
        <is>
          <t>Cantor Commercial Real Estate Lending</t>
        </is>
      </c>
      <c r="BP1263" s="69" t="inlineStr">
        <is>
          <t>Midland Loan Services</t>
        </is>
      </c>
      <c r="BQ1263" s="69" t="inlineStr">
        <is>
          <t>Rialto Capital</t>
        </is>
      </c>
      <c r="BR1263" s="69" t="n"/>
      <c r="BS1263" s="73" t="n">
        <v>46276</v>
      </c>
      <c r="BU1263" s="76">
        <f>IF($C1263="","",IFERROR(INDEX(dmName,MATCH($C1263,dmID,0)),"Unmapped"))</f>
        <v/>
      </c>
      <c r="BV1263" s="76">
        <f>IF($C1263="","",IFERROR(INDEX(dmEntity,MATCH($C1263,dmID,0)),"Unmapped"))</f>
        <v/>
      </c>
      <c r="BW1263" s="77">
        <f>IF($C1263="","",IFERROR(INDEX(dmVintage,MATCH($C1263,dmID,0)),""))</f>
        <v/>
      </c>
      <c r="BX1263" s="78">
        <f>IFERROR(INDEX(dmInclude,MATCH($C1263,dmID,0)),0)</f>
        <v/>
      </c>
      <c r="BY1263" s="78">
        <f>IF(N($I1263)&gt;0,1,0)</f>
        <v/>
      </c>
      <c r="BZ1263" s="76">
        <f>IF($AJ1263="","Other / Leased Fee",IFERROR(INDEX(mapPTGroup,MATCH(LEFT(TRIM($AJ1263),2),mapPTCode,0)),"Other / Leased Fee"))</f>
        <v/>
      </c>
      <c r="CA1263" s="76">
        <f>IF(TRIM($AF1263&amp;"")="","NR",LEFT(TRIM($AF1263),2))</f>
        <v/>
      </c>
      <c r="CB1263" s="76">
        <f>IFERROR(LOOKUP(2,1/(LEFT(TRIM($AI1263&amp;""),LEN(mapRegion))=mapRegion),mapRegion),"Not Reported")</f>
        <v/>
      </c>
      <c r="CC1263" s="76">
        <f>IF($BY1263=0,"",IF(TRIM($W1263&amp;"")="REO","REO",IF(TRIM($W1263&amp;"")="FC","Foreclosure",IF(TRIM($W1263&amp;"")="90+","90+ Days Delinquent",IF(TRIM($W1263&amp;"")="60","60 Days Delinquent",IF(TRIM($W1263&amp;"")="30","30 Days Delinquent",IF($X1263="Non-Performing Matured Balloon","Non-Performing Matured Balloon",IF(OR($X1263="Late Payment But Less Than 30 Days Delinquent",LEFT($X1263&amp;"",20)="Payment Not Received"),"Late / In Grace (&lt;30 Days)",IF($X1263="Performing Matured Balloon","Performing Matured Balloon","Current")))))))))</f>
        <v/>
      </c>
      <c r="CD1263" s="78">
        <f>IF(OR($CC1263="REO",$CC1263="Foreclosure",$CC1263="90+ Days Delinquent",$CC1263="60 Days Delinquent",$CC1263="30 Days Delinquent",$CC1263="Non-Performing Matured Balloon"),1,0)</f>
        <v/>
      </c>
      <c r="CE1263" s="76">
        <f>IF($AB1263="Currently special serv","Currently Specially Serviced",IF($AB1263="Returned to master serv","Previously Specially Serviced","Never Specially Serviced"))</f>
        <v/>
      </c>
      <c r="CF1263" s="78">
        <f>IF($CE1263="Currently Specially Serviced",1,0)</f>
        <v/>
      </c>
      <c r="CG1263" s="76">
        <f>IF($AA1263="Yes","Currently on Watchlist",IF($AA1263="Previously","Previously on Watchlist","Never on Watchlist"))</f>
        <v/>
      </c>
      <c r="CH1263" s="78">
        <f>IF($CG1263="Currently on Watchlist",1,0)</f>
        <v/>
      </c>
      <c r="CI1263" s="76">
        <f>IF($Z1263="Full Defeasance","Fully Defeased",IF($Z1263="Portion Of Loan Previously Defeased","Partially Defeased",IF($Z1263="Defeasance Not Allowable","Not Defeased (Not Permitted)","Not Defeased")))</f>
        <v/>
      </c>
      <c r="CJ1263" s="78">
        <f>IF($CI1263="Fully Defeased",1,0)</f>
        <v/>
      </c>
      <c r="CK1263" s="76">
        <f>IF($R1263="IO","Full IO",IF(LEFT($R1263&amp;"",7)="IO then","Partial IO","Amortizing"))</f>
        <v/>
      </c>
      <c r="CL1263" s="78">
        <f>IF($CK1263="Full IO",1,0)</f>
        <v/>
      </c>
      <c r="CM1263" s="78">
        <f>IF($CK1263="Partial IO",1,0)</f>
        <v/>
      </c>
      <c r="CN1263" s="76">
        <f>IF(LEFT($F1263&amp;"",10)="SPLIT_LOAN","Pari Passu Split","Standalone")</f>
        <v/>
      </c>
      <c r="CO1263" s="78">
        <f>IF($CN1263="Pari Passu Split",1,0)</f>
        <v/>
      </c>
      <c r="CP1263" s="77">
        <f>IF(ISNUMBER($T1263),YEAR($T1263),"")</f>
        <v/>
      </c>
      <c r="CQ1263" s="79">
        <f>IF(ISNUMBER($V1263),$V1263,IF(ISNUMBER($U1263),$U1263,""))</f>
        <v/>
      </c>
      <c r="CR1263" s="77">
        <f>IF(ISNUMBER($CQ1263),YEAR($CQ1263),"")</f>
        <v/>
      </c>
      <c r="CS1263" s="78">
        <f>IF(ISNUMBER($M1263),MAX(0,$M1263),IF(TRIM($M1263&amp;"")="matured",0,""))</f>
        <v/>
      </c>
      <c r="CT1263" s="78">
        <f>IF(AND(ISNUMBER($CS1263),N($CS1263)&lt;=mMatWindow),1,0)</f>
        <v/>
      </c>
      <c r="CU1263" s="80">
        <f>IF(ISNUMBER($J1263),$J1263/100,"")</f>
        <v/>
      </c>
      <c r="CV1263" s="81">
        <f>IF(ISNUMBER($AQ1263),$AQ1263,"")</f>
        <v/>
      </c>
      <c r="CW1263" s="81">
        <f>IF(ISNUMBER($AR1263),$AR1263,"")</f>
        <v/>
      </c>
      <c r="CX1263" s="82">
        <f>IF(ISNUMBER($AS1263),$AS1263/100,"")</f>
        <v/>
      </c>
      <c r="CY1263" s="82">
        <f>IF(ISNUMBER($AT1263),$AT1263/100,"")</f>
        <v/>
      </c>
      <c r="CZ1263" s="82">
        <f>IF(ISNUMBER($AU1263),$AU1263/100,"")</f>
        <v/>
      </c>
      <c r="DA1263" s="82">
        <f>IF(ISNUMBER($AV1263),$AV1263/100,"")</f>
        <v/>
      </c>
      <c r="DB1263" s="82">
        <f>IF(ISNUMBER($AW1263),$AW1263/100,"")</f>
        <v/>
      </c>
      <c r="DC1263" s="82">
        <f>IF(ISNUMBER($AX1263),$AX1263/100,"")</f>
        <v/>
      </c>
      <c r="DD1263" s="77">
        <f>IFERROR(VALUE(LEFT(TRIM($AO1263&amp;""),4)),"")</f>
        <v/>
      </c>
      <c r="DE1263" s="78">
        <f>IF(AND($BY1263=1,$BX1263=1,OR(fDeal="All Deals",$BU1263=fDeal),OR(fEntity="All Entities",$BV1263=fEntity),OR(fPType="All Property Types",$BZ1263=fPType),OR(fDefeased="Include",$CJ1263=0)),1,0)</f>
        <v/>
      </c>
      <c r="DF1263" s="83">
        <f>$DE1263*N($I1263)</f>
        <v/>
      </c>
      <c r="DG1263" s="78">
        <f>IF($DE1263=1,IF(COUNTIFS($F$8:$F1263,$F1263,$DE$8:$DE1263,1)=1,1,0),0)</f>
        <v/>
      </c>
      <c r="DH1263" s="83">
        <f>IF($DG1263=1,SUMIFS($DF$8:$DF$1600,$F$8:$F$1600,$F1263),0)</f>
        <v/>
      </c>
      <c r="DI1263" s="78">
        <f>IF($DG1263=1,COUNTIFS($F$8:$F$1600,$F1263,$DE$8:$DE$1600,1),0)</f>
        <v/>
      </c>
      <c r="DJ1263" s="84">
        <f>IF($DG1263=1,$DH1263+(100000-ROW())/mTieBreak,0)</f>
        <v/>
      </c>
    </row>
    <row r="1264">
      <c r="B1264" s="68" t="n">
        <v>31</v>
      </c>
      <c r="C1264" s="69" t="inlineStr">
        <is>
          <t>UBS18C12</t>
        </is>
      </c>
      <c r="D1264" s="69" t="inlineStr">
        <is>
          <t>31.000</t>
        </is>
      </c>
      <c r="E1264" s="69" t="inlineStr">
        <is>
          <t>175 Park Avenue</t>
        </is>
      </c>
      <c r="F1264" s="69" t="inlineStr">
        <is>
          <t>SPLIT_LOAN_01279</t>
        </is>
      </c>
      <c r="G1264" s="70" t="n">
        <v>1279</v>
      </c>
      <c r="H1264" s="71" t="n">
        <v>10000000</v>
      </c>
      <c r="I1264" s="71" t="n">
        <v>10000000</v>
      </c>
      <c r="J1264" s="72" t="n">
        <v>5.318</v>
      </c>
      <c r="K1264" s="69" t="inlineStr">
        <is>
          <t>Fixed rate</t>
        </is>
      </c>
      <c r="L1264" s="68" t="n">
        <v>120</v>
      </c>
      <c r="M1264" s="68" t="n">
        <v>20</v>
      </c>
      <c r="N1264" s="68" t="n">
        <v>120</v>
      </c>
      <c r="O1264" s="68" t="n">
        <v>120</v>
      </c>
      <c r="P1264" s="68" t="n">
        <v>20</v>
      </c>
      <c r="Q1264" s="68" t="n">
        <v>100</v>
      </c>
      <c r="R1264" s="69" t="inlineStr">
        <is>
          <t>IO</t>
        </is>
      </c>
      <c r="S1264" s="69" t="inlineStr">
        <is>
          <t>Yes</t>
        </is>
      </c>
      <c r="T1264" s="73" t="n">
        <v>43221</v>
      </c>
      <c r="U1264" s="73" t="n">
        <v>46879</v>
      </c>
      <c r="V1264" s="73" t="n"/>
      <c r="W1264" s="69" t="n"/>
      <c r="X1264" s="69" t="inlineStr">
        <is>
          <t>Current</t>
        </is>
      </c>
      <c r="Y1264" s="68" t="n"/>
      <c r="Z1264" s="69" t="inlineStr">
        <is>
          <t>No Defeasance Occurred</t>
        </is>
      </c>
      <c r="AA1264" s="69" t="n"/>
      <c r="AB1264" s="69" t="inlineStr">
        <is>
          <t>Never special serv</t>
        </is>
      </c>
      <c r="AC1264" s="73" t="n"/>
      <c r="AD1264" s="69" t="n"/>
      <c r="AE1264" s="69" t="n"/>
      <c r="AF1264" s="69" t="inlineStr">
        <is>
          <t>NJ</t>
        </is>
      </c>
      <c r="AG1264" s="69" t="inlineStr">
        <is>
          <t>Madison</t>
        </is>
      </c>
      <c r="AH1264" s="69" t="inlineStr">
        <is>
          <t>New York-Newark-Jersey City, NY-NJ</t>
        </is>
      </c>
      <c r="AI1264" s="69" t="inlineStr">
        <is>
          <t>Northeast / Mid-Atlantic</t>
        </is>
      </c>
      <c r="AJ1264" s="69" t="inlineStr">
        <is>
          <t>OF</t>
        </is>
      </c>
      <c r="AK1264" s="69" t="inlineStr">
        <is>
          <t>Suburban</t>
        </is>
      </c>
      <c r="AL1264" s="68" t="n">
        <v>1</v>
      </c>
      <c r="AM1264" s="68" t="n"/>
      <c r="AN1264" s="68" t="n">
        <v>270000</v>
      </c>
      <c r="AO1264" s="69" t="inlineStr">
        <is>
          <t>1971</t>
        </is>
      </c>
      <c r="AP1264" s="70" t="n">
        <v>2013</v>
      </c>
      <c r="AQ1264" s="74" t="n">
        <v>1.6</v>
      </c>
      <c r="AR1264" s="74" t="n">
        <v>1.49</v>
      </c>
      <c r="AS1264" s="74" t="n">
        <v>63</v>
      </c>
      <c r="AT1264" s="74" t="n">
        <v>62.96</v>
      </c>
      <c r="AU1264" s="74" t="n">
        <v>63</v>
      </c>
      <c r="AV1264" s="74" t="n">
        <v>8.653400929</v>
      </c>
      <c r="AW1264" s="74" t="n">
        <v>8.036805881999999</v>
      </c>
      <c r="AX1264" s="75" t="n">
        <v>100</v>
      </c>
      <c r="AY1264" s="71" t="n">
        <v>135000000</v>
      </c>
      <c r="AZ1264" s="71" t="n">
        <v>135000000</v>
      </c>
      <c r="BA1264" s="71" t="n">
        <v>7355390.79</v>
      </c>
      <c r="BB1264" s="71" t="n">
        <v>6831285</v>
      </c>
      <c r="BC1264" s="69" t="inlineStr">
        <is>
          <t>Refinance</t>
        </is>
      </c>
      <c r="BD1264" s="69" t="inlineStr">
        <is>
          <t>N</t>
        </is>
      </c>
      <c r="BE1264" s="71" t="n">
        <v>75000000</v>
      </c>
      <c r="BF1264" s="71" t="n"/>
      <c r="BG1264" s="71" t="n"/>
      <c r="BH1264" s="71" t="n">
        <v>0</v>
      </c>
      <c r="BI1264" s="71" t="n">
        <v>0</v>
      </c>
      <c r="BJ1264" s="69" t="inlineStr">
        <is>
          <t>N</t>
        </is>
      </c>
      <c r="BK1264" s="69" t="inlineStr">
        <is>
          <t>Realogy Operations LLC</t>
        </is>
      </c>
      <c r="BL1264" s="75" t="n">
        <v>100</v>
      </c>
      <c r="BM1264" s="73" t="n">
        <v>47483</v>
      </c>
      <c r="BN1264" s="69" t="inlineStr">
        <is>
          <t>Hampshire Partners Fund VIII, L.P.</t>
        </is>
      </c>
      <c r="BO1264" s="69" t="inlineStr">
        <is>
          <t>Cantor Commercial Real Estate Lending</t>
        </is>
      </c>
      <c r="BP1264" s="69" t="inlineStr">
        <is>
          <t>Midland Loan Services</t>
        </is>
      </c>
      <c r="BQ1264" s="69" t="inlineStr">
        <is>
          <t>Rialto Capital</t>
        </is>
      </c>
      <c r="BR1264" s="69" t="n"/>
      <c r="BS1264" s="73" t="n">
        <v>46276</v>
      </c>
      <c r="BU1264" s="76">
        <f>IF($C1264="","",IFERROR(INDEX(dmName,MATCH($C1264,dmID,0)),"Unmapped"))</f>
        <v/>
      </c>
      <c r="BV1264" s="76">
        <f>IF($C1264="","",IFERROR(INDEX(dmEntity,MATCH($C1264,dmID,0)),"Unmapped"))</f>
        <v/>
      </c>
      <c r="BW1264" s="77">
        <f>IF($C1264="","",IFERROR(INDEX(dmVintage,MATCH($C1264,dmID,0)),""))</f>
        <v/>
      </c>
      <c r="BX1264" s="78">
        <f>IFERROR(INDEX(dmInclude,MATCH($C1264,dmID,0)),0)</f>
        <v/>
      </c>
      <c r="BY1264" s="78">
        <f>IF(N($I1264)&gt;0,1,0)</f>
        <v/>
      </c>
      <c r="BZ1264" s="76">
        <f>IF($AJ1264="","Other / Leased Fee",IFERROR(INDEX(mapPTGroup,MATCH(LEFT(TRIM($AJ1264),2),mapPTCode,0)),"Other / Leased Fee"))</f>
        <v/>
      </c>
      <c r="CA1264" s="76">
        <f>IF(TRIM($AF1264&amp;"")="","NR",LEFT(TRIM($AF1264),2))</f>
        <v/>
      </c>
      <c r="CB1264" s="76">
        <f>IFERROR(LOOKUP(2,1/(LEFT(TRIM($AI1264&amp;""),LEN(mapRegion))=mapRegion),mapRegion),"Not Reported")</f>
        <v/>
      </c>
      <c r="CC1264" s="76">
        <f>IF($BY1264=0,"",IF(TRIM($W1264&amp;"")="REO","REO",IF(TRIM($W1264&amp;"")="FC","Foreclosure",IF(TRIM($W1264&amp;"")="90+","90+ Days Delinquent",IF(TRIM($W1264&amp;"")="60","60 Days Delinquent",IF(TRIM($W1264&amp;"")="30","30 Days Delinquent",IF($X1264="Non-Performing Matured Balloon","Non-Performing Matured Balloon",IF(OR($X1264="Late Payment But Less Than 30 Days Delinquent",LEFT($X1264&amp;"",20)="Payment Not Received"),"Late / In Grace (&lt;30 Days)",IF($X1264="Performing Matured Balloon","Performing Matured Balloon","Current")))))))))</f>
        <v/>
      </c>
      <c r="CD1264" s="78">
        <f>IF(OR($CC1264="REO",$CC1264="Foreclosure",$CC1264="90+ Days Delinquent",$CC1264="60 Days Delinquent",$CC1264="30 Days Delinquent",$CC1264="Non-Performing Matured Balloon"),1,0)</f>
        <v/>
      </c>
      <c r="CE1264" s="76">
        <f>IF($AB1264="Currently special serv","Currently Specially Serviced",IF($AB1264="Returned to master serv","Previously Specially Serviced","Never Specially Serviced"))</f>
        <v/>
      </c>
      <c r="CF1264" s="78">
        <f>IF($CE1264="Currently Specially Serviced",1,0)</f>
        <v/>
      </c>
      <c r="CG1264" s="76">
        <f>IF($AA1264="Yes","Currently on Watchlist",IF($AA1264="Previously","Previously on Watchlist","Never on Watchlist"))</f>
        <v/>
      </c>
      <c r="CH1264" s="78">
        <f>IF($CG1264="Currently on Watchlist",1,0)</f>
        <v/>
      </c>
      <c r="CI1264" s="76">
        <f>IF($Z1264="Full Defeasance","Fully Defeased",IF($Z1264="Portion Of Loan Previously Defeased","Partially Defeased",IF($Z1264="Defeasance Not Allowable","Not Defeased (Not Permitted)","Not Defeased")))</f>
        <v/>
      </c>
      <c r="CJ1264" s="78">
        <f>IF($CI1264="Fully Defeased",1,0)</f>
        <v/>
      </c>
      <c r="CK1264" s="76">
        <f>IF($R1264="IO","Full IO",IF(LEFT($R1264&amp;"",7)="IO then","Partial IO","Amortizing"))</f>
        <v/>
      </c>
      <c r="CL1264" s="78">
        <f>IF($CK1264="Full IO",1,0)</f>
        <v/>
      </c>
      <c r="CM1264" s="78">
        <f>IF($CK1264="Partial IO",1,0)</f>
        <v/>
      </c>
      <c r="CN1264" s="76">
        <f>IF(LEFT($F1264&amp;"",10)="SPLIT_LOAN","Pari Passu Split","Standalone")</f>
        <v/>
      </c>
      <c r="CO1264" s="78">
        <f>IF($CN1264="Pari Passu Split",1,0)</f>
        <v/>
      </c>
      <c r="CP1264" s="77">
        <f>IF(ISNUMBER($T1264),YEAR($T1264),"")</f>
        <v/>
      </c>
      <c r="CQ1264" s="79">
        <f>IF(ISNUMBER($V1264),$V1264,IF(ISNUMBER($U1264),$U1264,""))</f>
        <v/>
      </c>
      <c r="CR1264" s="77">
        <f>IF(ISNUMBER($CQ1264),YEAR($CQ1264),"")</f>
        <v/>
      </c>
      <c r="CS1264" s="78">
        <f>IF(ISNUMBER($M1264),MAX(0,$M1264),IF(TRIM($M1264&amp;"")="matured",0,""))</f>
        <v/>
      </c>
      <c r="CT1264" s="78">
        <f>IF(AND(ISNUMBER($CS1264),N($CS1264)&lt;=mMatWindow),1,0)</f>
        <v/>
      </c>
      <c r="CU1264" s="80">
        <f>IF(ISNUMBER($J1264),$J1264/100,"")</f>
        <v/>
      </c>
      <c r="CV1264" s="81">
        <f>IF(ISNUMBER($AQ1264),$AQ1264,"")</f>
        <v/>
      </c>
      <c r="CW1264" s="81">
        <f>IF(ISNUMBER($AR1264),$AR1264,"")</f>
        <v/>
      </c>
      <c r="CX1264" s="82">
        <f>IF(ISNUMBER($AS1264),$AS1264/100,"")</f>
        <v/>
      </c>
      <c r="CY1264" s="82">
        <f>IF(ISNUMBER($AT1264),$AT1264/100,"")</f>
        <v/>
      </c>
      <c r="CZ1264" s="82">
        <f>IF(ISNUMBER($AU1264),$AU1264/100,"")</f>
        <v/>
      </c>
      <c r="DA1264" s="82">
        <f>IF(ISNUMBER($AV1264),$AV1264/100,"")</f>
        <v/>
      </c>
      <c r="DB1264" s="82">
        <f>IF(ISNUMBER($AW1264),$AW1264/100,"")</f>
        <v/>
      </c>
      <c r="DC1264" s="82">
        <f>IF(ISNUMBER($AX1264),$AX1264/100,"")</f>
        <v/>
      </c>
      <c r="DD1264" s="77">
        <f>IFERROR(VALUE(LEFT(TRIM($AO1264&amp;""),4)),"")</f>
        <v/>
      </c>
      <c r="DE1264" s="78">
        <f>IF(AND($BY1264=1,$BX1264=1,OR(fDeal="All Deals",$BU1264=fDeal),OR(fEntity="All Entities",$BV1264=fEntity),OR(fPType="All Property Types",$BZ1264=fPType),OR(fDefeased="Include",$CJ1264=0)),1,0)</f>
        <v/>
      </c>
      <c r="DF1264" s="83">
        <f>$DE1264*N($I1264)</f>
        <v/>
      </c>
      <c r="DG1264" s="78">
        <f>IF($DE1264=1,IF(COUNTIFS($F$8:$F1264,$F1264,$DE$8:$DE1264,1)=1,1,0),0)</f>
        <v/>
      </c>
      <c r="DH1264" s="83">
        <f>IF($DG1264=1,SUMIFS($DF$8:$DF$1600,$F$8:$F$1600,$F1264),0)</f>
        <v/>
      </c>
      <c r="DI1264" s="78">
        <f>IF($DG1264=1,COUNTIFS($F$8:$F$1600,$F1264,$DE$8:$DE$1600,1),0)</f>
        <v/>
      </c>
      <c r="DJ1264" s="84">
        <f>IF($DG1264=1,$DH1264+(100000-ROW())/mTieBreak,0)</f>
        <v/>
      </c>
    </row>
    <row r="1265">
      <c r="B1265" s="68" t="n">
        <v>32</v>
      </c>
      <c r="C1265" s="69" t="inlineStr">
        <is>
          <t>UBS18C12</t>
        </is>
      </c>
      <c r="D1265" s="69" t="inlineStr">
        <is>
          <t>32.000</t>
        </is>
      </c>
      <c r="E1265" s="69" t="inlineStr">
        <is>
          <t>Manchester Highlands</t>
        </is>
      </c>
      <c r="F1265" s="69" t="inlineStr">
        <is>
          <t>SPLIT_LOAN_01281</t>
        </is>
      </c>
      <c r="G1265" s="70" t="n">
        <v>1281</v>
      </c>
      <c r="H1265" s="71" t="n">
        <v>10000000</v>
      </c>
      <c r="I1265" s="71" t="n">
        <v>10000000</v>
      </c>
      <c r="J1265" s="72" t="n">
        <v>5.07</v>
      </c>
      <c r="K1265" s="69" t="inlineStr">
        <is>
          <t>Fixed rate</t>
        </is>
      </c>
      <c r="L1265" s="68" t="n">
        <v>120</v>
      </c>
      <c r="M1265" s="68" t="n">
        <v>20</v>
      </c>
      <c r="N1265" s="68" t="n">
        <v>120</v>
      </c>
      <c r="O1265" s="68" t="n">
        <v>120</v>
      </c>
      <c r="P1265" s="68" t="n">
        <v>20</v>
      </c>
      <c r="Q1265" s="68" t="n">
        <v>100</v>
      </c>
      <c r="R1265" s="69" t="inlineStr">
        <is>
          <t>IO</t>
        </is>
      </c>
      <c r="S1265" s="69" t="inlineStr">
        <is>
          <t>Yes</t>
        </is>
      </c>
      <c r="T1265" s="73" t="n">
        <v>43221</v>
      </c>
      <c r="U1265" s="73" t="n">
        <v>46874</v>
      </c>
      <c r="V1265" s="73" t="n"/>
      <c r="W1265" s="69" t="n"/>
      <c r="X1265" s="69" t="inlineStr">
        <is>
          <t>Current</t>
        </is>
      </c>
      <c r="Y1265" s="68" t="n"/>
      <c r="Z1265" s="69" t="inlineStr">
        <is>
          <t>Defeasance Not Allowable</t>
        </is>
      </c>
      <c r="AA1265" s="69" t="inlineStr">
        <is>
          <t>Yes</t>
        </is>
      </c>
      <c r="AB1265" s="69" t="inlineStr">
        <is>
          <t>Never special serv</t>
        </is>
      </c>
      <c r="AC1265" s="73" t="n"/>
      <c r="AD1265" s="69" t="n"/>
      <c r="AE1265" s="69" t="n"/>
      <c r="AF1265" s="69" t="inlineStr">
        <is>
          <t>MO</t>
        </is>
      </c>
      <c r="AG1265" s="69" t="inlineStr">
        <is>
          <t>Ballwin</t>
        </is>
      </c>
      <c r="AH1265" s="69" t="inlineStr">
        <is>
          <t>St. Louis, MO-IL</t>
        </is>
      </c>
      <c r="AI1265" s="69" t="inlineStr">
        <is>
          <t>Midwest / Central West</t>
        </is>
      </c>
      <c r="AJ1265" s="69" t="inlineStr">
        <is>
          <t>RT</t>
        </is>
      </c>
      <c r="AK1265" s="69" t="inlineStr">
        <is>
          <t>Anchored</t>
        </is>
      </c>
      <c r="AL1265" s="68" t="n">
        <v>1</v>
      </c>
      <c r="AM1265" s="68" t="n"/>
      <c r="AN1265" s="68" t="n">
        <v>353701</v>
      </c>
      <c r="AO1265" s="69" t="inlineStr">
        <is>
          <t>2009</t>
        </is>
      </c>
      <c r="AP1265" s="70" t="n">
        <v>2009</v>
      </c>
      <c r="AQ1265" s="74" t="n">
        <v>1.74</v>
      </c>
      <c r="AR1265" s="74" t="n">
        <v>1.81</v>
      </c>
      <c r="AS1265" s="74" t="n">
        <v>62.7</v>
      </c>
      <c r="AT1265" s="74" t="n">
        <v>62.72</v>
      </c>
      <c r="AU1265" s="74" t="n">
        <v>62.7</v>
      </c>
      <c r="AV1265" s="74" t="n">
        <v>8.959422485999999</v>
      </c>
      <c r="AW1265" s="74" t="n">
        <v>5.679219857</v>
      </c>
      <c r="AX1265" s="75" t="n">
        <v>100</v>
      </c>
      <c r="AY1265" s="71" t="n">
        <v>55800000</v>
      </c>
      <c r="AZ1265" s="71" t="n">
        <v>55800000</v>
      </c>
      <c r="BA1265" s="71" t="n">
        <v>3135797.87</v>
      </c>
      <c r="BB1265" s="71" t="n">
        <v>813229.4</v>
      </c>
      <c r="BC1265" s="69" t="inlineStr">
        <is>
          <t>Refinance</t>
        </is>
      </c>
      <c r="BD1265" s="69" t="inlineStr">
        <is>
          <t>N</t>
        </is>
      </c>
      <c r="BE1265" s="71" t="n">
        <v>25000000</v>
      </c>
      <c r="BF1265" s="71" t="n"/>
      <c r="BG1265" s="71" t="n"/>
      <c r="BH1265" s="71" t="n">
        <v>0</v>
      </c>
      <c r="BI1265" s="71" t="n">
        <v>0</v>
      </c>
      <c r="BJ1265" s="69" t="inlineStr">
        <is>
          <t>N</t>
        </is>
      </c>
      <c r="BK1265" s="69" t="inlineStr">
        <is>
          <t>Walmart</t>
        </is>
      </c>
      <c r="BL1265" s="75" t="n">
        <v>52.85</v>
      </c>
      <c r="BM1265" s="73" t="n">
        <v>47350</v>
      </c>
      <c r="BN1265" s="69" t="inlineStr">
        <is>
          <t>E. Stanley Kroenke</t>
        </is>
      </c>
      <c r="BO1265" s="69" t="inlineStr">
        <is>
          <t>CIBC</t>
        </is>
      </c>
      <c r="BP1265" s="69" t="inlineStr">
        <is>
          <t>Midland Loan Services</t>
        </is>
      </c>
      <c r="BQ1265" s="69" t="inlineStr">
        <is>
          <t>Rialto Capital</t>
        </is>
      </c>
      <c r="BR1265" s="69" t="n"/>
      <c r="BS1265" s="73" t="n">
        <v>46276</v>
      </c>
      <c r="BU1265" s="76">
        <f>IF($C1265="","",IFERROR(INDEX(dmName,MATCH($C1265,dmID,0)),"Unmapped"))</f>
        <v/>
      </c>
      <c r="BV1265" s="76">
        <f>IF($C1265="","",IFERROR(INDEX(dmEntity,MATCH($C1265,dmID,0)),"Unmapped"))</f>
        <v/>
      </c>
      <c r="BW1265" s="77">
        <f>IF($C1265="","",IFERROR(INDEX(dmVintage,MATCH($C1265,dmID,0)),""))</f>
        <v/>
      </c>
      <c r="BX1265" s="78">
        <f>IFERROR(INDEX(dmInclude,MATCH($C1265,dmID,0)),0)</f>
        <v/>
      </c>
      <c r="BY1265" s="78">
        <f>IF(N($I1265)&gt;0,1,0)</f>
        <v/>
      </c>
      <c r="BZ1265" s="76">
        <f>IF($AJ1265="","Other / Leased Fee",IFERROR(INDEX(mapPTGroup,MATCH(LEFT(TRIM($AJ1265),2),mapPTCode,0)),"Other / Leased Fee"))</f>
        <v/>
      </c>
      <c r="CA1265" s="76">
        <f>IF(TRIM($AF1265&amp;"")="","NR",LEFT(TRIM($AF1265),2))</f>
        <v/>
      </c>
      <c r="CB1265" s="76">
        <f>IFERROR(LOOKUP(2,1/(LEFT(TRIM($AI1265&amp;""),LEN(mapRegion))=mapRegion),mapRegion),"Not Reported")</f>
        <v/>
      </c>
      <c r="CC1265" s="76">
        <f>IF($BY1265=0,"",IF(TRIM($W1265&amp;"")="REO","REO",IF(TRIM($W1265&amp;"")="FC","Foreclosure",IF(TRIM($W1265&amp;"")="90+","90+ Days Delinquent",IF(TRIM($W1265&amp;"")="60","60 Days Delinquent",IF(TRIM($W1265&amp;"")="30","30 Days Delinquent",IF($X1265="Non-Performing Matured Balloon","Non-Performing Matured Balloon",IF(OR($X1265="Late Payment But Less Than 30 Days Delinquent",LEFT($X1265&amp;"",20)="Payment Not Received"),"Late / In Grace (&lt;30 Days)",IF($X1265="Performing Matured Balloon","Performing Matured Balloon","Current")))))))))</f>
        <v/>
      </c>
      <c r="CD1265" s="78">
        <f>IF(OR($CC1265="REO",$CC1265="Foreclosure",$CC1265="90+ Days Delinquent",$CC1265="60 Days Delinquent",$CC1265="30 Days Delinquent",$CC1265="Non-Performing Matured Balloon"),1,0)</f>
        <v/>
      </c>
      <c r="CE1265" s="76">
        <f>IF($AB1265="Currently special serv","Currently Specially Serviced",IF($AB1265="Returned to master serv","Previously Specially Serviced","Never Specially Serviced"))</f>
        <v/>
      </c>
      <c r="CF1265" s="78">
        <f>IF($CE1265="Currently Specially Serviced",1,0)</f>
        <v/>
      </c>
      <c r="CG1265" s="76">
        <f>IF($AA1265="Yes","Currently on Watchlist",IF($AA1265="Previously","Previously on Watchlist","Never on Watchlist"))</f>
        <v/>
      </c>
      <c r="CH1265" s="78">
        <f>IF($CG1265="Currently on Watchlist",1,0)</f>
        <v/>
      </c>
      <c r="CI1265" s="76">
        <f>IF($Z1265="Full Defeasance","Fully Defeased",IF($Z1265="Portion Of Loan Previously Defeased","Partially Defeased",IF($Z1265="Defeasance Not Allowable","Not Defeased (Not Permitted)","Not Defeased")))</f>
        <v/>
      </c>
      <c r="CJ1265" s="78">
        <f>IF($CI1265="Fully Defeased",1,0)</f>
        <v/>
      </c>
      <c r="CK1265" s="76">
        <f>IF($R1265="IO","Full IO",IF(LEFT($R1265&amp;"",7)="IO then","Partial IO","Amortizing"))</f>
        <v/>
      </c>
      <c r="CL1265" s="78">
        <f>IF($CK1265="Full IO",1,0)</f>
        <v/>
      </c>
      <c r="CM1265" s="78">
        <f>IF($CK1265="Partial IO",1,0)</f>
        <v/>
      </c>
      <c r="CN1265" s="76">
        <f>IF(LEFT($F1265&amp;"",10)="SPLIT_LOAN","Pari Passu Split","Standalone")</f>
        <v/>
      </c>
      <c r="CO1265" s="78">
        <f>IF($CN1265="Pari Passu Split",1,0)</f>
        <v/>
      </c>
      <c r="CP1265" s="77">
        <f>IF(ISNUMBER($T1265),YEAR($T1265),"")</f>
        <v/>
      </c>
      <c r="CQ1265" s="79">
        <f>IF(ISNUMBER($V1265),$V1265,IF(ISNUMBER($U1265),$U1265,""))</f>
        <v/>
      </c>
      <c r="CR1265" s="77">
        <f>IF(ISNUMBER($CQ1265),YEAR($CQ1265),"")</f>
        <v/>
      </c>
      <c r="CS1265" s="78">
        <f>IF(ISNUMBER($M1265),MAX(0,$M1265),IF(TRIM($M1265&amp;"")="matured",0,""))</f>
        <v/>
      </c>
      <c r="CT1265" s="78">
        <f>IF(AND(ISNUMBER($CS1265),N($CS1265)&lt;=mMatWindow),1,0)</f>
        <v/>
      </c>
      <c r="CU1265" s="80">
        <f>IF(ISNUMBER($J1265),$J1265/100,"")</f>
        <v/>
      </c>
      <c r="CV1265" s="81">
        <f>IF(ISNUMBER($AQ1265),$AQ1265,"")</f>
        <v/>
      </c>
      <c r="CW1265" s="81">
        <f>IF(ISNUMBER($AR1265),$AR1265,"")</f>
        <v/>
      </c>
      <c r="CX1265" s="82">
        <f>IF(ISNUMBER($AS1265),$AS1265/100,"")</f>
        <v/>
      </c>
      <c r="CY1265" s="82">
        <f>IF(ISNUMBER($AT1265),$AT1265/100,"")</f>
        <v/>
      </c>
      <c r="CZ1265" s="82">
        <f>IF(ISNUMBER($AU1265),$AU1265/100,"")</f>
        <v/>
      </c>
      <c r="DA1265" s="82">
        <f>IF(ISNUMBER($AV1265),$AV1265/100,"")</f>
        <v/>
      </c>
      <c r="DB1265" s="82">
        <f>IF(ISNUMBER($AW1265),$AW1265/100,"")</f>
        <v/>
      </c>
      <c r="DC1265" s="82">
        <f>IF(ISNUMBER($AX1265),$AX1265/100,"")</f>
        <v/>
      </c>
      <c r="DD1265" s="77">
        <f>IFERROR(VALUE(LEFT(TRIM($AO1265&amp;""),4)),"")</f>
        <v/>
      </c>
      <c r="DE1265" s="78">
        <f>IF(AND($BY1265=1,$BX1265=1,OR(fDeal="All Deals",$BU1265=fDeal),OR(fEntity="All Entities",$BV1265=fEntity),OR(fPType="All Property Types",$BZ1265=fPType),OR(fDefeased="Include",$CJ1265=0)),1,0)</f>
        <v/>
      </c>
      <c r="DF1265" s="83">
        <f>$DE1265*N($I1265)</f>
        <v/>
      </c>
      <c r="DG1265" s="78">
        <f>IF($DE1265=1,IF(COUNTIFS($F$8:$F1265,$F1265,$DE$8:$DE1265,1)=1,1,0),0)</f>
        <v/>
      </c>
      <c r="DH1265" s="83">
        <f>IF($DG1265=1,SUMIFS($DF$8:$DF$1600,$F$8:$F$1600,$F1265),0)</f>
        <v/>
      </c>
      <c r="DI1265" s="78">
        <f>IF($DG1265=1,COUNTIFS($F$8:$F$1600,$F1265,$DE$8:$DE$1600,1),0)</f>
        <v/>
      </c>
      <c r="DJ1265" s="84">
        <f>IF($DG1265=1,$DH1265+(100000-ROW())/mTieBreak,0)</f>
        <v/>
      </c>
    </row>
    <row r="1266">
      <c r="B1266" s="68" t="n">
        <v>33</v>
      </c>
      <c r="C1266" s="69" t="inlineStr">
        <is>
          <t>UBS18C12</t>
        </is>
      </c>
      <c r="D1266" s="69" t="inlineStr">
        <is>
          <t>33.000</t>
        </is>
      </c>
      <c r="E1266" s="69" t="inlineStr">
        <is>
          <t>11 S. LaSalle Street</t>
        </is>
      </c>
      <c r="F1266" s="69" t="inlineStr">
        <is>
          <t>LNUBS18C12-33.000</t>
        </is>
      </c>
      <c r="G1266" s="70" t="n"/>
      <c r="H1266" s="71" t="n">
        <v>9630000</v>
      </c>
      <c r="I1266" s="71" t="n">
        <v>9630000</v>
      </c>
      <c r="J1266" s="72" t="n">
        <v>4.97</v>
      </c>
      <c r="K1266" s="69" t="inlineStr">
        <is>
          <t>Fixed rate</t>
        </is>
      </c>
      <c r="L1266" s="68" t="n">
        <v>120</v>
      </c>
      <c r="M1266" s="68" t="n">
        <v>22</v>
      </c>
      <c r="N1266" s="68" t="n">
        <v>120</v>
      </c>
      <c r="O1266" s="68" t="n">
        <v>120</v>
      </c>
      <c r="P1266" s="68" t="n">
        <v>22</v>
      </c>
      <c r="Q1266" s="68" t="n">
        <v>98</v>
      </c>
      <c r="R1266" s="69" t="inlineStr">
        <is>
          <t>IO</t>
        </is>
      </c>
      <c r="S1266" s="69" t="inlineStr">
        <is>
          <t>Yes</t>
        </is>
      </c>
      <c r="T1266" s="73" t="n">
        <v>43282</v>
      </c>
      <c r="U1266" s="73" t="n">
        <v>46935</v>
      </c>
      <c r="V1266" s="73" t="n"/>
      <c r="W1266" s="69" t="n"/>
      <c r="X1266" s="69" t="inlineStr">
        <is>
          <t>Current</t>
        </is>
      </c>
      <c r="Y1266" s="68" t="n"/>
      <c r="Z1266" s="69" t="inlineStr">
        <is>
          <t>No Defeasance Occurred</t>
        </is>
      </c>
      <c r="AA1266" s="69" t="inlineStr">
        <is>
          <t>Yes</t>
        </is>
      </c>
      <c r="AB1266" s="69" t="inlineStr">
        <is>
          <t>Never special serv</t>
        </is>
      </c>
      <c r="AC1266" s="73" t="n"/>
      <c r="AD1266" s="69" t="n"/>
      <c r="AE1266" s="69" t="n"/>
      <c r="AF1266" s="69" t="inlineStr">
        <is>
          <t>IL</t>
        </is>
      </c>
      <c r="AG1266" s="69" t="inlineStr">
        <is>
          <t>Chicago</t>
        </is>
      </c>
      <c r="AH1266" s="69" t="inlineStr">
        <is>
          <t>Chicago-Naperville-Elgin, IL-IN</t>
        </is>
      </c>
      <c r="AI1266" s="69" t="inlineStr">
        <is>
          <t>Midwest / Central East</t>
        </is>
      </c>
      <c r="AJ1266" s="69" t="inlineStr">
        <is>
          <t>RT</t>
        </is>
      </c>
      <c r="AK1266" s="69" t="inlineStr">
        <is>
          <t>Unanchored</t>
        </is>
      </c>
      <c r="AL1266" s="68" t="n">
        <v>1</v>
      </c>
      <c r="AM1266" s="68" t="n"/>
      <c r="AN1266" s="68" t="n">
        <v>13062</v>
      </c>
      <c r="AO1266" s="69" t="inlineStr">
        <is>
          <t>1914</t>
        </is>
      </c>
      <c r="AP1266" s="70" t="n">
        <v>2016</v>
      </c>
      <c r="AQ1266" s="74" t="n">
        <v>1.79</v>
      </c>
      <c r="AR1266" s="74" t="n">
        <v>0.87</v>
      </c>
      <c r="AS1266" s="74" t="n">
        <v>58.7</v>
      </c>
      <c r="AT1266" s="74" t="n">
        <v>58.72</v>
      </c>
      <c r="AU1266" s="74" t="n">
        <v>58.7</v>
      </c>
      <c r="AV1266" s="74" t="n">
        <v>9.025945898</v>
      </c>
      <c r="AW1266" s="74" t="n">
        <v>4.082680166</v>
      </c>
      <c r="AX1266" s="75" t="n">
        <v>51</v>
      </c>
      <c r="AY1266" s="71" t="n">
        <v>16400000</v>
      </c>
      <c r="AZ1266" s="71" t="n">
        <v>16400000</v>
      </c>
      <c r="BA1266" s="71" t="n">
        <v>869198.59</v>
      </c>
      <c r="BB1266" s="71" t="n">
        <v>105071.38</v>
      </c>
      <c r="BC1266" s="69" t="inlineStr">
        <is>
          <t>Acquisition</t>
        </is>
      </c>
      <c r="BD1266" s="69" t="inlineStr">
        <is>
          <t>N</t>
        </is>
      </c>
      <c r="BE1266" s="71" t="n"/>
      <c r="BF1266" s="71" t="n"/>
      <c r="BG1266" s="71" t="n"/>
      <c r="BH1266" s="71" t="n">
        <v>0</v>
      </c>
      <c r="BI1266" s="71" t="n">
        <v>0</v>
      </c>
      <c r="BJ1266" s="69" t="inlineStr">
        <is>
          <t>N</t>
        </is>
      </c>
      <c r="BK1266" s="69" t="inlineStr">
        <is>
          <t>Roanoke Hospitality LLC</t>
        </is>
      </c>
      <c r="BL1266" s="75" t="n">
        <v>2.42</v>
      </c>
      <c r="BM1266" s="73" t="n">
        <v>48914</v>
      </c>
      <c r="BN1266" s="69" t="inlineStr">
        <is>
          <t>Paragon Real Estate Fund, LLC</t>
        </is>
      </c>
      <c r="BO1266" s="69" t="inlineStr">
        <is>
          <t>Societe Generale</t>
        </is>
      </c>
      <c r="BP1266" s="69" t="inlineStr">
        <is>
          <t>Midland Loan Services</t>
        </is>
      </c>
      <c r="BQ1266" s="69" t="inlineStr">
        <is>
          <t>K-Star Asset Management LLC</t>
        </is>
      </c>
      <c r="BR1266" s="69" t="n"/>
      <c r="BS1266" s="73" t="n">
        <v>46276</v>
      </c>
      <c r="BU1266" s="76">
        <f>IF($C1266="","",IFERROR(INDEX(dmName,MATCH($C1266,dmID,0)),"Unmapped"))</f>
        <v/>
      </c>
      <c r="BV1266" s="76">
        <f>IF($C1266="","",IFERROR(INDEX(dmEntity,MATCH($C1266,dmID,0)),"Unmapped"))</f>
        <v/>
      </c>
      <c r="BW1266" s="77">
        <f>IF($C1266="","",IFERROR(INDEX(dmVintage,MATCH($C1266,dmID,0)),""))</f>
        <v/>
      </c>
      <c r="BX1266" s="78">
        <f>IFERROR(INDEX(dmInclude,MATCH($C1266,dmID,0)),0)</f>
        <v/>
      </c>
      <c r="BY1266" s="78">
        <f>IF(N($I1266)&gt;0,1,0)</f>
        <v/>
      </c>
      <c r="BZ1266" s="76">
        <f>IF($AJ1266="","Other / Leased Fee",IFERROR(INDEX(mapPTGroup,MATCH(LEFT(TRIM($AJ1266),2),mapPTCode,0)),"Other / Leased Fee"))</f>
        <v/>
      </c>
      <c r="CA1266" s="76">
        <f>IF(TRIM($AF1266&amp;"")="","NR",LEFT(TRIM($AF1266),2))</f>
        <v/>
      </c>
      <c r="CB1266" s="76">
        <f>IFERROR(LOOKUP(2,1/(LEFT(TRIM($AI1266&amp;""),LEN(mapRegion))=mapRegion),mapRegion),"Not Reported")</f>
        <v/>
      </c>
      <c r="CC1266" s="76">
        <f>IF($BY1266=0,"",IF(TRIM($W1266&amp;"")="REO","REO",IF(TRIM($W1266&amp;"")="FC","Foreclosure",IF(TRIM($W1266&amp;"")="90+","90+ Days Delinquent",IF(TRIM($W1266&amp;"")="60","60 Days Delinquent",IF(TRIM($W1266&amp;"")="30","30 Days Delinquent",IF($X1266="Non-Performing Matured Balloon","Non-Performing Matured Balloon",IF(OR($X1266="Late Payment But Less Than 30 Days Delinquent",LEFT($X1266&amp;"",20)="Payment Not Received"),"Late / In Grace (&lt;30 Days)",IF($X1266="Performing Matured Balloon","Performing Matured Balloon","Current")))))))))</f>
        <v/>
      </c>
      <c r="CD1266" s="78">
        <f>IF(OR($CC1266="REO",$CC1266="Foreclosure",$CC1266="90+ Days Delinquent",$CC1266="60 Days Delinquent",$CC1266="30 Days Delinquent",$CC1266="Non-Performing Matured Balloon"),1,0)</f>
        <v/>
      </c>
      <c r="CE1266" s="76">
        <f>IF($AB1266="Currently special serv","Currently Specially Serviced",IF($AB1266="Returned to master serv","Previously Specially Serviced","Never Specially Serviced"))</f>
        <v/>
      </c>
      <c r="CF1266" s="78">
        <f>IF($CE1266="Currently Specially Serviced",1,0)</f>
        <v/>
      </c>
      <c r="CG1266" s="76">
        <f>IF($AA1266="Yes","Currently on Watchlist",IF($AA1266="Previously","Previously on Watchlist","Never on Watchlist"))</f>
        <v/>
      </c>
      <c r="CH1266" s="78">
        <f>IF($CG1266="Currently on Watchlist",1,0)</f>
        <v/>
      </c>
      <c r="CI1266" s="76">
        <f>IF($Z1266="Full Defeasance","Fully Defeased",IF($Z1266="Portion Of Loan Previously Defeased","Partially Defeased",IF($Z1266="Defeasance Not Allowable","Not Defeased (Not Permitted)","Not Defeased")))</f>
        <v/>
      </c>
      <c r="CJ1266" s="78">
        <f>IF($CI1266="Fully Defeased",1,0)</f>
        <v/>
      </c>
      <c r="CK1266" s="76">
        <f>IF($R1266="IO","Full IO",IF(LEFT($R1266&amp;"",7)="IO then","Partial IO","Amortizing"))</f>
        <v/>
      </c>
      <c r="CL1266" s="78">
        <f>IF($CK1266="Full IO",1,0)</f>
        <v/>
      </c>
      <c r="CM1266" s="78">
        <f>IF($CK1266="Partial IO",1,0)</f>
        <v/>
      </c>
      <c r="CN1266" s="76">
        <f>IF(LEFT($F1266&amp;"",10)="SPLIT_LOAN","Pari Passu Split","Standalone")</f>
        <v/>
      </c>
      <c r="CO1266" s="78">
        <f>IF($CN1266="Pari Passu Split",1,0)</f>
        <v/>
      </c>
      <c r="CP1266" s="77">
        <f>IF(ISNUMBER($T1266),YEAR($T1266),"")</f>
        <v/>
      </c>
      <c r="CQ1266" s="79">
        <f>IF(ISNUMBER($V1266),$V1266,IF(ISNUMBER($U1266),$U1266,""))</f>
        <v/>
      </c>
      <c r="CR1266" s="77">
        <f>IF(ISNUMBER($CQ1266),YEAR($CQ1266),"")</f>
        <v/>
      </c>
      <c r="CS1266" s="78">
        <f>IF(ISNUMBER($M1266),MAX(0,$M1266),IF(TRIM($M1266&amp;"")="matured",0,""))</f>
        <v/>
      </c>
      <c r="CT1266" s="78">
        <f>IF(AND(ISNUMBER($CS1266),N($CS1266)&lt;=mMatWindow),1,0)</f>
        <v/>
      </c>
      <c r="CU1266" s="80">
        <f>IF(ISNUMBER($J1266),$J1266/100,"")</f>
        <v/>
      </c>
      <c r="CV1266" s="81">
        <f>IF(ISNUMBER($AQ1266),$AQ1266,"")</f>
        <v/>
      </c>
      <c r="CW1266" s="81">
        <f>IF(ISNUMBER($AR1266),$AR1266,"")</f>
        <v/>
      </c>
      <c r="CX1266" s="82">
        <f>IF(ISNUMBER($AS1266),$AS1266/100,"")</f>
        <v/>
      </c>
      <c r="CY1266" s="82">
        <f>IF(ISNUMBER($AT1266),$AT1266/100,"")</f>
        <v/>
      </c>
      <c r="CZ1266" s="82">
        <f>IF(ISNUMBER($AU1266),$AU1266/100,"")</f>
        <v/>
      </c>
      <c r="DA1266" s="82">
        <f>IF(ISNUMBER($AV1266),$AV1266/100,"")</f>
        <v/>
      </c>
      <c r="DB1266" s="82">
        <f>IF(ISNUMBER($AW1266),$AW1266/100,"")</f>
        <v/>
      </c>
      <c r="DC1266" s="82">
        <f>IF(ISNUMBER($AX1266),$AX1266/100,"")</f>
        <v/>
      </c>
      <c r="DD1266" s="77">
        <f>IFERROR(VALUE(LEFT(TRIM($AO1266&amp;""),4)),"")</f>
        <v/>
      </c>
      <c r="DE1266" s="78">
        <f>IF(AND($BY1266=1,$BX1266=1,OR(fDeal="All Deals",$BU1266=fDeal),OR(fEntity="All Entities",$BV1266=fEntity),OR(fPType="All Property Types",$BZ1266=fPType),OR(fDefeased="Include",$CJ1266=0)),1,0)</f>
        <v/>
      </c>
      <c r="DF1266" s="83">
        <f>$DE1266*N($I1266)</f>
        <v/>
      </c>
      <c r="DG1266" s="78">
        <f>IF($DE1266=1,IF(COUNTIFS($F$8:$F1266,$F1266,$DE$8:$DE1266,1)=1,1,0),0)</f>
        <v/>
      </c>
      <c r="DH1266" s="83">
        <f>IF($DG1266=1,SUMIFS($DF$8:$DF$1600,$F$8:$F$1600,$F1266),0)</f>
        <v/>
      </c>
      <c r="DI1266" s="78">
        <f>IF($DG1266=1,COUNTIFS($F$8:$F$1600,$F1266,$DE$8:$DE$1600,1),0)</f>
        <v/>
      </c>
      <c r="DJ1266" s="84">
        <f>IF($DG1266=1,$DH1266+(100000-ROW())/mTieBreak,0)</f>
        <v/>
      </c>
    </row>
    <row r="1267">
      <c r="B1267" s="68" t="n">
        <v>34</v>
      </c>
      <c r="C1267" s="69" t="inlineStr">
        <is>
          <t>UBS18C12</t>
        </is>
      </c>
      <c r="D1267" s="69" t="inlineStr">
        <is>
          <t>34.000</t>
        </is>
      </c>
      <c r="E1267" s="69" t="inlineStr">
        <is>
          <t>Pelican Walk</t>
        </is>
      </c>
      <c r="F1267" s="69" t="inlineStr">
        <is>
          <t>LNUBS18C12-34.000</t>
        </is>
      </c>
      <c r="G1267" s="70" t="n"/>
      <c r="H1267" s="71" t="n">
        <v>9500000</v>
      </c>
      <c r="I1267" s="71" t="n">
        <v>0</v>
      </c>
      <c r="J1267" s="72" t="n">
        <v>5.35</v>
      </c>
      <c r="K1267" s="69" t="inlineStr">
        <is>
          <t>Fixed rate</t>
        </is>
      </c>
      <c r="L1267" s="68" t="n">
        <v>120</v>
      </c>
      <c r="M1267" s="68" t="n"/>
      <c r="N1267" s="68" t="n">
        <v>384</v>
      </c>
      <c r="O1267" s="68" t="n">
        <v>24</v>
      </c>
      <c r="P1267" s="68" t="n"/>
      <c r="Q1267" s="68" t="n"/>
      <c r="R1267" s="69" t="inlineStr">
        <is>
          <t>IO then Amort</t>
        </is>
      </c>
      <c r="S1267" s="69" t="inlineStr">
        <is>
          <t>No</t>
        </is>
      </c>
      <c r="T1267" s="73" t="n">
        <v>43313</v>
      </c>
      <c r="U1267" s="73" t="n">
        <v>46966</v>
      </c>
      <c r="V1267" s="73" t="n"/>
      <c r="W1267" s="69" t="n"/>
      <c r="X1267" s="69" t="inlineStr">
        <is>
          <t>Current</t>
        </is>
      </c>
      <c r="Y1267" s="68" t="n"/>
      <c r="Z1267" s="69" t="inlineStr">
        <is>
          <t>Defeasance Not Allowable</t>
        </is>
      </c>
      <c r="AA1267" s="69" t="inlineStr">
        <is>
          <t>Previously</t>
        </is>
      </c>
      <c r="AB1267" s="69" t="inlineStr">
        <is>
          <t>Currently special serv</t>
        </is>
      </c>
      <c r="AC1267" s="73" t="n">
        <v>45660</v>
      </c>
      <c r="AD1267" s="69" t="inlineStr">
        <is>
          <t>Imminent Monetary Default (Balloon/Maturity Default)</t>
        </is>
      </c>
      <c r="AE1267" s="69" t="inlineStr">
        <is>
          <t>Foreclosure</t>
        </is>
      </c>
      <c r="AF1267" s="69" t="inlineStr">
        <is>
          <t>FL</t>
        </is>
      </c>
      <c r="AG1267" s="69" t="inlineStr">
        <is>
          <t>Clearwater Beach</t>
        </is>
      </c>
      <c r="AH1267" s="69" t="inlineStr">
        <is>
          <t>Tampa-St. Petersburg-Clearwater, FL</t>
        </is>
      </c>
      <c r="AI1267" s="69" t="inlineStr">
        <is>
          <t>South / Atlantic</t>
        </is>
      </c>
      <c r="AJ1267" s="69" t="inlineStr">
        <is>
          <t>RT</t>
        </is>
      </c>
      <c r="AK1267" s="69" t="inlineStr">
        <is>
          <t>Unanchored</t>
        </is>
      </c>
      <c r="AL1267" s="68" t="n">
        <v>1</v>
      </c>
      <c r="AM1267" s="68" t="n"/>
      <c r="AN1267" s="68" t="n">
        <v>38361</v>
      </c>
      <c r="AO1267" s="69" t="inlineStr">
        <is>
          <t>1994</t>
        </is>
      </c>
      <c r="AP1267" s="70" t="n">
        <v>2018</v>
      </c>
      <c r="AQ1267" s="74" t="n">
        <v>1.77</v>
      </c>
      <c r="AR1267" s="74" t="n">
        <v>0.95</v>
      </c>
      <c r="AS1267" s="74" t="n">
        <v>66</v>
      </c>
      <c r="AT1267" s="74" t="n"/>
      <c r="AU1267" s="74" t="n">
        <v>57.6</v>
      </c>
      <c r="AV1267" s="74" t="n">
        <v>9.599696947</v>
      </c>
      <c r="AW1267" s="74" t="n"/>
      <c r="AX1267" s="75" t="n">
        <v>85</v>
      </c>
      <c r="AY1267" s="71" t="n">
        <v>14400000</v>
      </c>
      <c r="AZ1267" s="71" t="n">
        <v>14400000</v>
      </c>
      <c r="BA1267" s="71" t="n">
        <v>911971.21</v>
      </c>
      <c r="BB1267" s="71" t="n">
        <v>151087.41</v>
      </c>
      <c r="BC1267" s="69" t="inlineStr">
        <is>
          <t>Acquisition</t>
        </is>
      </c>
      <c r="BD1267" s="69" t="inlineStr">
        <is>
          <t>N</t>
        </is>
      </c>
      <c r="BE1267" s="71" t="n"/>
      <c r="BF1267" s="71" t="n"/>
      <c r="BG1267" s="71" t="n"/>
      <c r="BH1267" s="71" t="n">
        <v>0</v>
      </c>
      <c r="BI1267" s="71" t="n">
        <v>0</v>
      </c>
      <c r="BJ1267" s="69" t="inlineStr">
        <is>
          <t>N</t>
        </is>
      </c>
      <c r="BK1267" s="69" t="inlineStr">
        <is>
          <t>Maui Nix Inc.</t>
        </is>
      </c>
      <c r="BL1267" s="75" t="n">
        <v>8.98</v>
      </c>
      <c r="BM1267" s="73" t="n">
        <v>45741</v>
      </c>
      <c r="BN1267" s="69" t="inlineStr">
        <is>
          <t>Anthony Caruso</t>
        </is>
      </c>
      <c r="BO1267" s="69" t="inlineStr">
        <is>
          <t>CIBC</t>
        </is>
      </c>
      <c r="BP1267" s="69" t="inlineStr">
        <is>
          <t>Midland Loan Services</t>
        </is>
      </c>
      <c r="BQ1267" s="69" t="inlineStr">
        <is>
          <t>K-Star Asset Management LLC</t>
        </is>
      </c>
      <c r="BR1267" s="69" t="inlineStr">
        <is>
          <t>Payoff With Yield Maintenance</t>
        </is>
      </c>
      <c r="BS1267" s="73" t="n">
        <v>45849</v>
      </c>
      <c r="BU1267" s="76">
        <f>IF($C1267="","",IFERROR(INDEX(dmName,MATCH($C1267,dmID,0)),"Unmapped"))</f>
        <v/>
      </c>
      <c r="BV1267" s="76">
        <f>IF($C1267="","",IFERROR(INDEX(dmEntity,MATCH($C1267,dmID,0)),"Unmapped"))</f>
        <v/>
      </c>
      <c r="BW1267" s="77">
        <f>IF($C1267="","",IFERROR(INDEX(dmVintage,MATCH($C1267,dmID,0)),""))</f>
        <v/>
      </c>
      <c r="BX1267" s="78">
        <f>IFERROR(INDEX(dmInclude,MATCH($C1267,dmID,0)),0)</f>
        <v/>
      </c>
      <c r="BY1267" s="78">
        <f>IF(N($I1267)&gt;0,1,0)</f>
        <v/>
      </c>
      <c r="BZ1267" s="76">
        <f>IF($AJ1267="","Other / Leased Fee",IFERROR(INDEX(mapPTGroup,MATCH(LEFT(TRIM($AJ1267),2),mapPTCode,0)),"Other / Leased Fee"))</f>
        <v/>
      </c>
      <c r="CA1267" s="76">
        <f>IF(TRIM($AF1267&amp;"")="","NR",LEFT(TRIM($AF1267),2))</f>
        <v/>
      </c>
      <c r="CB1267" s="76">
        <f>IFERROR(LOOKUP(2,1/(LEFT(TRIM($AI1267&amp;""),LEN(mapRegion))=mapRegion),mapRegion),"Not Reported")</f>
        <v/>
      </c>
      <c r="CC1267" s="76">
        <f>IF($BY1267=0,"",IF(TRIM($W1267&amp;"")="REO","REO",IF(TRIM($W1267&amp;"")="FC","Foreclosure",IF(TRIM($W1267&amp;"")="90+","90+ Days Delinquent",IF(TRIM($W1267&amp;"")="60","60 Days Delinquent",IF(TRIM($W1267&amp;"")="30","30 Days Delinquent",IF($X1267="Non-Performing Matured Balloon","Non-Performing Matured Balloon",IF(OR($X1267="Late Payment But Less Than 30 Days Delinquent",LEFT($X1267&amp;"",20)="Payment Not Received"),"Late / In Grace (&lt;30 Days)",IF($X1267="Performing Matured Balloon","Performing Matured Balloon","Current")))))))))</f>
        <v/>
      </c>
      <c r="CD1267" s="78">
        <f>IF(OR($CC1267="REO",$CC1267="Foreclosure",$CC1267="90+ Days Delinquent",$CC1267="60 Days Delinquent",$CC1267="30 Days Delinquent",$CC1267="Non-Performing Matured Balloon"),1,0)</f>
        <v/>
      </c>
      <c r="CE1267" s="76">
        <f>IF($AB1267="Currently special serv","Currently Specially Serviced",IF($AB1267="Returned to master serv","Previously Specially Serviced","Never Specially Serviced"))</f>
        <v/>
      </c>
      <c r="CF1267" s="78">
        <f>IF($CE1267="Currently Specially Serviced",1,0)</f>
        <v/>
      </c>
      <c r="CG1267" s="76">
        <f>IF($AA1267="Yes","Currently on Watchlist",IF($AA1267="Previously","Previously on Watchlist","Never on Watchlist"))</f>
        <v/>
      </c>
      <c r="CH1267" s="78">
        <f>IF($CG1267="Currently on Watchlist",1,0)</f>
        <v/>
      </c>
      <c r="CI1267" s="76">
        <f>IF($Z1267="Full Defeasance","Fully Defeased",IF($Z1267="Portion Of Loan Previously Defeased","Partially Defeased",IF($Z1267="Defeasance Not Allowable","Not Defeased (Not Permitted)","Not Defeased")))</f>
        <v/>
      </c>
      <c r="CJ1267" s="78">
        <f>IF($CI1267="Fully Defeased",1,0)</f>
        <v/>
      </c>
      <c r="CK1267" s="76">
        <f>IF($R1267="IO","Full IO",IF(LEFT($R1267&amp;"",7)="IO then","Partial IO","Amortizing"))</f>
        <v/>
      </c>
      <c r="CL1267" s="78">
        <f>IF($CK1267="Full IO",1,0)</f>
        <v/>
      </c>
      <c r="CM1267" s="78">
        <f>IF($CK1267="Partial IO",1,0)</f>
        <v/>
      </c>
      <c r="CN1267" s="76">
        <f>IF(LEFT($F1267&amp;"",10)="SPLIT_LOAN","Pari Passu Split","Standalone")</f>
        <v/>
      </c>
      <c r="CO1267" s="78">
        <f>IF($CN1267="Pari Passu Split",1,0)</f>
        <v/>
      </c>
      <c r="CP1267" s="77">
        <f>IF(ISNUMBER($T1267),YEAR($T1267),"")</f>
        <v/>
      </c>
      <c r="CQ1267" s="79">
        <f>IF(ISNUMBER($V1267),$V1267,IF(ISNUMBER($U1267),$U1267,""))</f>
        <v/>
      </c>
      <c r="CR1267" s="77">
        <f>IF(ISNUMBER($CQ1267),YEAR($CQ1267),"")</f>
        <v/>
      </c>
      <c r="CS1267" s="78">
        <f>IF(ISNUMBER($M1267),MAX(0,$M1267),IF(TRIM($M1267&amp;"")="matured",0,""))</f>
        <v/>
      </c>
      <c r="CT1267" s="78">
        <f>IF(AND(ISNUMBER($CS1267),N($CS1267)&lt;=mMatWindow),1,0)</f>
        <v/>
      </c>
      <c r="CU1267" s="80">
        <f>IF(ISNUMBER($J1267),$J1267/100,"")</f>
        <v/>
      </c>
      <c r="CV1267" s="81">
        <f>IF(ISNUMBER($AQ1267),$AQ1267,"")</f>
        <v/>
      </c>
      <c r="CW1267" s="81">
        <f>IF(ISNUMBER($AR1267),$AR1267,"")</f>
        <v/>
      </c>
      <c r="CX1267" s="82">
        <f>IF(ISNUMBER($AS1267),$AS1267/100,"")</f>
        <v/>
      </c>
      <c r="CY1267" s="82">
        <f>IF(ISNUMBER($AT1267),$AT1267/100,"")</f>
        <v/>
      </c>
      <c r="CZ1267" s="82">
        <f>IF(ISNUMBER($AU1267),$AU1267/100,"")</f>
        <v/>
      </c>
      <c r="DA1267" s="82">
        <f>IF(ISNUMBER($AV1267),$AV1267/100,"")</f>
        <v/>
      </c>
      <c r="DB1267" s="82">
        <f>IF(ISNUMBER($AW1267),$AW1267/100,"")</f>
        <v/>
      </c>
      <c r="DC1267" s="82">
        <f>IF(ISNUMBER($AX1267),$AX1267/100,"")</f>
        <v/>
      </c>
      <c r="DD1267" s="77">
        <f>IFERROR(VALUE(LEFT(TRIM($AO1267&amp;""),4)),"")</f>
        <v/>
      </c>
      <c r="DE1267" s="78">
        <f>IF(AND($BY1267=1,$BX1267=1,OR(fDeal="All Deals",$BU1267=fDeal),OR(fEntity="All Entities",$BV1267=fEntity),OR(fPType="All Property Types",$BZ1267=fPType),OR(fDefeased="Include",$CJ1267=0)),1,0)</f>
        <v/>
      </c>
      <c r="DF1267" s="83">
        <f>$DE1267*N($I1267)</f>
        <v/>
      </c>
      <c r="DG1267" s="78">
        <f>IF($DE1267=1,IF(COUNTIFS($F$8:$F1267,$F1267,$DE$8:$DE1267,1)=1,1,0),0)</f>
        <v/>
      </c>
      <c r="DH1267" s="83">
        <f>IF($DG1267=1,SUMIFS($DF$8:$DF$1600,$F$8:$F$1600,$F1267),0)</f>
        <v/>
      </c>
      <c r="DI1267" s="78">
        <f>IF($DG1267=1,COUNTIFS($F$8:$F$1600,$F1267,$DE$8:$DE$1600,1),0)</f>
        <v/>
      </c>
      <c r="DJ1267" s="84">
        <f>IF($DG1267=1,$DH1267+(100000-ROW())/mTieBreak,0)</f>
        <v/>
      </c>
    </row>
    <row r="1268">
      <c r="B1268" s="68" t="n">
        <v>35</v>
      </c>
      <c r="C1268" s="69" t="inlineStr">
        <is>
          <t>UBS18C12</t>
        </is>
      </c>
      <c r="D1268" s="69" t="inlineStr">
        <is>
          <t>35.000</t>
        </is>
      </c>
      <c r="E1268" s="69" t="inlineStr">
        <is>
          <t>5th Street Station</t>
        </is>
      </c>
      <c r="F1268" s="69" t="inlineStr">
        <is>
          <t>SPLIT_LOAN_01302</t>
        </is>
      </c>
      <c r="G1268" s="70" t="n">
        <v>1302</v>
      </c>
      <c r="H1268" s="71" t="n">
        <v>9000000</v>
      </c>
      <c r="I1268" s="71" t="n">
        <v>8388425.690001001</v>
      </c>
      <c r="J1268" s="72" t="n">
        <v>4.80028</v>
      </c>
      <c r="K1268" s="69" t="inlineStr">
        <is>
          <t>Fixed rate</t>
        </is>
      </c>
      <c r="L1268" s="68" t="n">
        <v>120</v>
      </c>
      <c r="M1268" s="68" t="n">
        <v>21</v>
      </c>
      <c r="N1268" s="68" t="n">
        <v>120</v>
      </c>
      <c r="O1268" s="68" t="n">
        <v>120</v>
      </c>
      <c r="P1268" s="68" t="n">
        <v>21</v>
      </c>
      <c r="Q1268" s="68" t="n">
        <v>99</v>
      </c>
      <c r="R1268" s="69" t="inlineStr">
        <is>
          <t>IO</t>
        </is>
      </c>
      <c r="S1268" s="69" t="inlineStr">
        <is>
          <t>Yes</t>
        </is>
      </c>
      <c r="T1268" s="73" t="n">
        <v>43252</v>
      </c>
      <c r="U1268" s="73" t="n">
        <v>46910</v>
      </c>
      <c r="V1268" s="73" t="n"/>
      <c r="W1268" s="69" t="n"/>
      <c r="X1268" s="69" t="inlineStr">
        <is>
          <t>Current</t>
        </is>
      </c>
      <c r="Y1268" s="68" t="n"/>
      <c r="Z1268" s="69" t="inlineStr">
        <is>
          <t>Defeasance Not Allowable</t>
        </is>
      </c>
      <c r="AA1268" s="69" t="inlineStr">
        <is>
          <t>Previously</t>
        </is>
      </c>
      <c r="AB1268" s="69" t="inlineStr">
        <is>
          <t>Returned to master serv</t>
        </is>
      </c>
      <c r="AC1268" s="73" t="n"/>
      <c r="AD1268" s="69" t="inlineStr">
        <is>
          <t>Other</t>
        </is>
      </c>
      <c r="AE1268" s="69" t="inlineStr">
        <is>
          <t>Resolved</t>
        </is>
      </c>
      <c r="AF1268" s="69" t="inlineStr">
        <is>
          <t>VA</t>
        </is>
      </c>
      <c r="AG1268" s="69" t="inlineStr">
        <is>
          <t>Charlottesville</t>
        </is>
      </c>
      <c r="AH1268" s="69" t="inlineStr">
        <is>
          <t>Charlottesville, VA</t>
        </is>
      </c>
      <c r="AI1268" s="69" t="inlineStr">
        <is>
          <t>South / Atlantic</t>
        </is>
      </c>
      <c r="AJ1268" s="69" t="inlineStr">
        <is>
          <t>RT</t>
        </is>
      </c>
      <c r="AK1268" s="69" t="inlineStr">
        <is>
          <t>Anchored</t>
        </is>
      </c>
      <c r="AL1268" s="68" t="n">
        <v>1</v>
      </c>
      <c r="AM1268" s="68" t="n"/>
      <c r="AN1268" s="68" t="n">
        <v>451727</v>
      </c>
      <c r="AO1268" s="69" t="inlineStr">
        <is>
          <t>2016</t>
        </is>
      </c>
      <c r="AP1268" s="70" t="n">
        <v>2016</v>
      </c>
      <c r="AQ1268" s="74" t="n">
        <v>3.22</v>
      </c>
      <c r="AR1268" s="74" t="n">
        <v>3.41</v>
      </c>
      <c r="AS1268" s="74" t="n">
        <v>25.9</v>
      </c>
      <c r="AT1268" s="74" t="n">
        <v>38.06</v>
      </c>
      <c r="AU1268" s="74" t="n">
        <v>25.9</v>
      </c>
      <c r="AV1268" s="74" t="n">
        <v>15.670204378</v>
      </c>
      <c r="AW1268" s="74" t="n">
        <v>17.150765008</v>
      </c>
      <c r="AX1268" s="75" t="n">
        <v>100</v>
      </c>
      <c r="AY1268" s="71" t="n">
        <v>144980000</v>
      </c>
      <c r="AZ1268" s="71" t="n">
        <v>110200000</v>
      </c>
      <c r="BA1268" s="71" t="n">
        <v>7051591.97</v>
      </c>
      <c r="BB1268" s="71" t="n">
        <v>6954722.92</v>
      </c>
      <c r="BC1268" s="69" t="inlineStr">
        <is>
          <t>Refinance</t>
        </is>
      </c>
      <c r="BD1268" s="69" t="inlineStr">
        <is>
          <t>N</t>
        </is>
      </c>
      <c r="BE1268" s="71" t="n">
        <v>33553702.76</v>
      </c>
      <c r="BF1268" s="71" t="n">
        <v>35697411.55</v>
      </c>
      <c r="BG1268" s="71" t="n">
        <v>21700000</v>
      </c>
      <c r="BH1268" s="71" t="n">
        <v>0</v>
      </c>
      <c r="BI1268" s="71" t="n">
        <v>0</v>
      </c>
      <c r="BJ1268" s="69" t="inlineStr">
        <is>
          <t>Y</t>
        </is>
      </c>
      <c r="BK1268" s="69" t="inlineStr">
        <is>
          <t>Wegmans Food Markets Inc. a New York corporation t0003025</t>
        </is>
      </c>
      <c r="BL1268" s="75" t="n">
        <v>26.93</v>
      </c>
      <c r="BM1268" s="73" t="n">
        <v>50009</v>
      </c>
      <c r="BN1268" s="69" t="inlineStr">
        <is>
          <t>Stephen J. Collins; Brent Scarbrough</t>
        </is>
      </c>
      <c r="BO1268" s="69" t="inlineStr">
        <is>
          <t>UBS</t>
        </is>
      </c>
      <c r="BP1268" s="69" t="inlineStr">
        <is>
          <t>Midland Loan Services</t>
        </is>
      </c>
      <c r="BQ1268" s="69" t="inlineStr">
        <is>
          <t>Midland Loan Services</t>
        </is>
      </c>
      <c r="BR1268" s="69" t="inlineStr">
        <is>
          <t>Curtailment With Penalty</t>
        </is>
      </c>
      <c r="BS1268" s="73" t="n">
        <v>46276</v>
      </c>
      <c r="BU1268" s="76">
        <f>IF($C1268="","",IFERROR(INDEX(dmName,MATCH($C1268,dmID,0)),"Unmapped"))</f>
        <v/>
      </c>
      <c r="BV1268" s="76">
        <f>IF($C1268="","",IFERROR(INDEX(dmEntity,MATCH($C1268,dmID,0)),"Unmapped"))</f>
        <v/>
      </c>
      <c r="BW1268" s="77">
        <f>IF($C1268="","",IFERROR(INDEX(dmVintage,MATCH($C1268,dmID,0)),""))</f>
        <v/>
      </c>
      <c r="BX1268" s="78">
        <f>IFERROR(INDEX(dmInclude,MATCH($C1268,dmID,0)),0)</f>
        <v/>
      </c>
      <c r="BY1268" s="78">
        <f>IF(N($I1268)&gt;0,1,0)</f>
        <v/>
      </c>
      <c r="BZ1268" s="76">
        <f>IF($AJ1268="","Other / Leased Fee",IFERROR(INDEX(mapPTGroup,MATCH(LEFT(TRIM($AJ1268),2),mapPTCode,0)),"Other / Leased Fee"))</f>
        <v/>
      </c>
      <c r="CA1268" s="76">
        <f>IF(TRIM($AF1268&amp;"")="","NR",LEFT(TRIM($AF1268),2))</f>
        <v/>
      </c>
      <c r="CB1268" s="76">
        <f>IFERROR(LOOKUP(2,1/(LEFT(TRIM($AI1268&amp;""),LEN(mapRegion))=mapRegion),mapRegion),"Not Reported")</f>
        <v/>
      </c>
      <c r="CC1268" s="76">
        <f>IF($BY1268=0,"",IF(TRIM($W1268&amp;"")="REO","REO",IF(TRIM($W1268&amp;"")="FC","Foreclosure",IF(TRIM($W1268&amp;"")="90+","90+ Days Delinquent",IF(TRIM($W1268&amp;"")="60","60 Days Delinquent",IF(TRIM($W1268&amp;"")="30","30 Days Delinquent",IF($X1268="Non-Performing Matured Balloon","Non-Performing Matured Balloon",IF(OR($X1268="Late Payment But Less Than 30 Days Delinquent",LEFT($X1268&amp;"",20)="Payment Not Received"),"Late / In Grace (&lt;30 Days)",IF($X1268="Performing Matured Balloon","Performing Matured Balloon","Current")))))))))</f>
        <v/>
      </c>
      <c r="CD1268" s="78">
        <f>IF(OR($CC1268="REO",$CC1268="Foreclosure",$CC1268="90+ Days Delinquent",$CC1268="60 Days Delinquent",$CC1268="30 Days Delinquent",$CC1268="Non-Performing Matured Balloon"),1,0)</f>
        <v/>
      </c>
      <c r="CE1268" s="76">
        <f>IF($AB1268="Currently special serv","Currently Specially Serviced",IF($AB1268="Returned to master serv","Previously Specially Serviced","Never Specially Serviced"))</f>
        <v/>
      </c>
      <c r="CF1268" s="78">
        <f>IF($CE1268="Currently Specially Serviced",1,0)</f>
        <v/>
      </c>
      <c r="CG1268" s="76">
        <f>IF($AA1268="Yes","Currently on Watchlist",IF($AA1268="Previously","Previously on Watchlist","Never on Watchlist"))</f>
        <v/>
      </c>
      <c r="CH1268" s="78">
        <f>IF($CG1268="Currently on Watchlist",1,0)</f>
        <v/>
      </c>
      <c r="CI1268" s="76">
        <f>IF($Z1268="Full Defeasance","Fully Defeased",IF($Z1268="Portion Of Loan Previously Defeased","Partially Defeased",IF($Z1268="Defeasance Not Allowable","Not Defeased (Not Permitted)","Not Defeased")))</f>
        <v/>
      </c>
      <c r="CJ1268" s="78">
        <f>IF($CI1268="Fully Defeased",1,0)</f>
        <v/>
      </c>
      <c r="CK1268" s="76">
        <f>IF($R1268="IO","Full IO",IF(LEFT($R1268&amp;"",7)="IO then","Partial IO","Amortizing"))</f>
        <v/>
      </c>
      <c r="CL1268" s="78">
        <f>IF($CK1268="Full IO",1,0)</f>
        <v/>
      </c>
      <c r="CM1268" s="78">
        <f>IF($CK1268="Partial IO",1,0)</f>
        <v/>
      </c>
      <c r="CN1268" s="76">
        <f>IF(LEFT($F1268&amp;"",10)="SPLIT_LOAN","Pari Passu Split","Standalone")</f>
        <v/>
      </c>
      <c r="CO1268" s="78">
        <f>IF($CN1268="Pari Passu Split",1,0)</f>
        <v/>
      </c>
      <c r="CP1268" s="77">
        <f>IF(ISNUMBER($T1268),YEAR($T1268),"")</f>
        <v/>
      </c>
      <c r="CQ1268" s="79">
        <f>IF(ISNUMBER($V1268),$V1268,IF(ISNUMBER($U1268),$U1268,""))</f>
        <v/>
      </c>
      <c r="CR1268" s="77">
        <f>IF(ISNUMBER($CQ1268),YEAR($CQ1268),"")</f>
        <v/>
      </c>
      <c r="CS1268" s="78">
        <f>IF(ISNUMBER($M1268),MAX(0,$M1268),IF(TRIM($M1268&amp;"")="matured",0,""))</f>
        <v/>
      </c>
      <c r="CT1268" s="78">
        <f>IF(AND(ISNUMBER($CS1268),N($CS1268)&lt;=mMatWindow),1,0)</f>
        <v/>
      </c>
      <c r="CU1268" s="80">
        <f>IF(ISNUMBER($J1268),$J1268/100,"")</f>
        <v/>
      </c>
      <c r="CV1268" s="81">
        <f>IF(ISNUMBER($AQ1268),$AQ1268,"")</f>
        <v/>
      </c>
      <c r="CW1268" s="81">
        <f>IF(ISNUMBER($AR1268),$AR1268,"")</f>
        <v/>
      </c>
      <c r="CX1268" s="82">
        <f>IF(ISNUMBER($AS1268),$AS1268/100,"")</f>
        <v/>
      </c>
      <c r="CY1268" s="82">
        <f>IF(ISNUMBER($AT1268),$AT1268/100,"")</f>
        <v/>
      </c>
      <c r="CZ1268" s="82">
        <f>IF(ISNUMBER($AU1268),$AU1268/100,"")</f>
        <v/>
      </c>
      <c r="DA1268" s="82">
        <f>IF(ISNUMBER($AV1268),$AV1268/100,"")</f>
        <v/>
      </c>
      <c r="DB1268" s="82">
        <f>IF(ISNUMBER($AW1268),$AW1268/100,"")</f>
        <v/>
      </c>
      <c r="DC1268" s="82">
        <f>IF(ISNUMBER($AX1268),$AX1268/100,"")</f>
        <v/>
      </c>
      <c r="DD1268" s="77">
        <f>IFERROR(VALUE(LEFT(TRIM($AO1268&amp;""),4)),"")</f>
        <v/>
      </c>
      <c r="DE1268" s="78">
        <f>IF(AND($BY1268=1,$BX1268=1,OR(fDeal="All Deals",$BU1268=fDeal),OR(fEntity="All Entities",$BV1268=fEntity),OR(fPType="All Property Types",$BZ1268=fPType),OR(fDefeased="Include",$CJ1268=0)),1,0)</f>
        <v/>
      </c>
      <c r="DF1268" s="83">
        <f>$DE1268*N($I1268)</f>
        <v/>
      </c>
      <c r="DG1268" s="78">
        <f>IF($DE1268=1,IF(COUNTIFS($F$8:$F1268,$F1268,$DE$8:$DE1268,1)=1,1,0),0)</f>
        <v/>
      </c>
      <c r="DH1268" s="83">
        <f>IF($DG1268=1,SUMIFS($DF$8:$DF$1600,$F$8:$F$1600,$F1268),0)</f>
        <v/>
      </c>
      <c r="DI1268" s="78">
        <f>IF($DG1268=1,COUNTIFS($F$8:$F$1600,$F1268,$DE$8:$DE$1600,1),0)</f>
        <v/>
      </c>
      <c r="DJ1268" s="84">
        <f>IF($DG1268=1,$DH1268+(100000-ROW())/mTieBreak,0)</f>
        <v/>
      </c>
    </row>
    <row r="1269">
      <c r="B1269" s="68" t="n">
        <v>36</v>
      </c>
      <c r="C1269" s="69" t="inlineStr">
        <is>
          <t>UBS18C12</t>
        </is>
      </c>
      <c r="D1269" s="69" t="inlineStr">
        <is>
          <t>36.000</t>
        </is>
      </c>
      <c r="E1269" s="69" t="inlineStr">
        <is>
          <t>7-9 Vreeland Road</t>
        </is>
      </c>
      <c r="F1269" s="69" t="inlineStr">
        <is>
          <t>LNUBS18C12-36.000</t>
        </is>
      </c>
      <c r="G1269" s="70" t="n"/>
      <c r="H1269" s="71" t="n">
        <v>9000000</v>
      </c>
      <c r="I1269" s="71" t="n">
        <v>7653411.039996002</v>
      </c>
      <c r="J1269" s="72" t="n">
        <v>4.49</v>
      </c>
      <c r="K1269" s="69" t="inlineStr">
        <is>
          <t>Fixed rate</t>
        </is>
      </c>
      <c r="L1269" s="68" t="n">
        <v>120</v>
      </c>
      <c r="M1269" s="68" t="n">
        <v>22</v>
      </c>
      <c r="N1269" s="68" t="n">
        <v>360</v>
      </c>
      <c r="O1269" s="68" t="n"/>
      <c r="P1269" s="68" t="n"/>
      <c r="Q1269" s="68" t="n">
        <v>98</v>
      </c>
      <c r="R1269" s="69" t="n"/>
      <c r="S1269" s="69" t="inlineStr">
        <is>
          <t>No</t>
        </is>
      </c>
      <c r="T1269" s="73" t="n">
        <v>43282</v>
      </c>
      <c r="U1269" s="73" t="n">
        <v>46935</v>
      </c>
      <c r="V1269" s="73" t="n"/>
      <c r="W1269" s="69" t="n"/>
      <c r="X1269" s="69" t="inlineStr">
        <is>
          <t>Current</t>
        </is>
      </c>
      <c r="Y1269" s="68" t="n"/>
      <c r="Z1269" s="69" t="inlineStr">
        <is>
          <t>No Defeasance Occurred</t>
        </is>
      </c>
      <c r="AA1269" s="69" t="inlineStr">
        <is>
          <t>Previously</t>
        </is>
      </c>
      <c r="AB1269" s="69" t="inlineStr">
        <is>
          <t>Never special serv</t>
        </is>
      </c>
      <c r="AC1269" s="73" t="n"/>
      <c r="AD1269" s="69" t="n"/>
      <c r="AE1269" s="69" t="n"/>
      <c r="AF1269" s="69" t="inlineStr">
        <is>
          <t>NJ</t>
        </is>
      </c>
      <c r="AG1269" s="69" t="inlineStr">
        <is>
          <t>Florham Park</t>
        </is>
      </c>
      <c r="AH1269" s="69" t="inlineStr">
        <is>
          <t>New York-Newark-Jersey City, NY-NJ</t>
        </is>
      </c>
      <c r="AI1269" s="69" t="inlineStr">
        <is>
          <t>Northeast / Mid-Atlantic</t>
        </is>
      </c>
      <c r="AJ1269" s="69" t="inlineStr">
        <is>
          <t>IN</t>
        </is>
      </c>
      <c r="AK1269" s="69" t="inlineStr">
        <is>
          <t>Flex</t>
        </is>
      </c>
      <c r="AL1269" s="68" t="n">
        <v>1</v>
      </c>
      <c r="AM1269" s="68" t="n"/>
      <c r="AN1269" s="68" t="n">
        <v>155891</v>
      </c>
      <c r="AO1269" s="69" t="inlineStr">
        <is>
          <t>1979</t>
        </is>
      </c>
      <c r="AP1269" s="70" t="n">
        <v>2002</v>
      </c>
      <c r="AQ1269" s="74" t="n">
        <v>2.47</v>
      </c>
      <c r="AR1269" s="74" t="n">
        <v>3.69</v>
      </c>
      <c r="AS1269" s="74" t="n">
        <v>57.3</v>
      </c>
      <c r="AT1269" s="74" t="n">
        <v>48.75</v>
      </c>
      <c r="AU1269" s="74" t="n">
        <v>46.3</v>
      </c>
      <c r="AV1269" s="74" t="n">
        <v>15.011782889</v>
      </c>
      <c r="AW1269" s="74" t="n">
        <v>26.354089562</v>
      </c>
      <c r="AX1269" s="75" t="n">
        <v>100</v>
      </c>
      <c r="AY1269" s="71" t="n">
        <v>15700000</v>
      </c>
      <c r="AZ1269" s="71" t="n">
        <v>15700000</v>
      </c>
      <c r="BA1269" s="71" t="n">
        <v>1351060.46</v>
      </c>
      <c r="BB1269" s="71" t="n">
        <v>2016986.8</v>
      </c>
      <c r="BC1269" s="69" t="inlineStr">
        <is>
          <t>Acquisition</t>
        </is>
      </c>
      <c r="BD1269" s="69" t="inlineStr">
        <is>
          <t>N</t>
        </is>
      </c>
      <c r="BE1269" s="71" t="n"/>
      <c r="BF1269" s="71" t="n"/>
      <c r="BG1269" s="71" t="n"/>
      <c r="BH1269" s="71" t="n">
        <v>0</v>
      </c>
      <c r="BI1269" s="71" t="n">
        <v>0</v>
      </c>
      <c r="BJ1269" s="69" t="inlineStr">
        <is>
          <t>N</t>
        </is>
      </c>
      <c r="BK1269" s="69" t="inlineStr">
        <is>
          <t>CAPINTEC INC.</t>
        </is>
      </c>
      <c r="BL1269" s="75" t="n">
        <v>26.3</v>
      </c>
      <c r="BM1269" s="73" t="n">
        <v>47118</v>
      </c>
      <c r="BN1269" s="69" t="inlineStr">
        <is>
          <t>Benjamin B. Rubin; Samuel I. Kirschenbaum</t>
        </is>
      </c>
      <c r="BO1269" s="69" t="inlineStr">
        <is>
          <t>Societe Generale</t>
        </is>
      </c>
      <c r="BP1269" s="69" t="inlineStr">
        <is>
          <t>Midland Loan Services</t>
        </is>
      </c>
      <c r="BQ1269" s="69" t="inlineStr">
        <is>
          <t>K-Star Asset Management LLC</t>
        </is>
      </c>
      <c r="BR1269" s="69" t="n"/>
      <c r="BS1269" s="73" t="n">
        <v>46276</v>
      </c>
      <c r="BU1269" s="76">
        <f>IF($C1269="","",IFERROR(INDEX(dmName,MATCH($C1269,dmID,0)),"Unmapped"))</f>
        <v/>
      </c>
      <c r="BV1269" s="76">
        <f>IF($C1269="","",IFERROR(INDEX(dmEntity,MATCH($C1269,dmID,0)),"Unmapped"))</f>
        <v/>
      </c>
      <c r="BW1269" s="77">
        <f>IF($C1269="","",IFERROR(INDEX(dmVintage,MATCH($C1269,dmID,0)),""))</f>
        <v/>
      </c>
      <c r="BX1269" s="78">
        <f>IFERROR(INDEX(dmInclude,MATCH($C1269,dmID,0)),0)</f>
        <v/>
      </c>
      <c r="BY1269" s="78">
        <f>IF(N($I1269)&gt;0,1,0)</f>
        <v/>
      </c>
      <c r="BZ1269" s="76">
        <f>IF($AJ1269="","Other / Leased Fee",IFERROR(INDEX(mapPTGroup,MATCH(LEFT(TRIM($AJ1269),2),mapPTCode,0)),"Other / Leased Fee"))</f>
        <v/>
      </c>
      <c r="CA1269" s="76">
        <f>IF(TRIM($AF1269&amp;"")="","NR",LEFT(TRIM($AF1269),2))</f>
        <v/>
      </c>
      <c r="CB1269" s="76">
        <f>IFERROR(LOOKUP(2,1/(LEFT(TRIM($AI1269&amp;""),LEN(mapRegion))=mapRegion),mapRegion),"Not Reported")</f>
        <v/>
      </c>
      <c r="CC1269" s="76">
        <f>IF($BY1269=0,"",IF(TRIM($W1269&amp;"")="REO","REO",IF(TRIM($W1269&amp;"")="FC","Foreclosure",IF(TRIM($W1269&amp;"")="90+","90+ Days Delinquent",IF(TRIM($W1269&amp;"")="60","60 Days Delinquent",IF(TRIM($W1269&amp;"")="30","30 Days Delinquent",IF($X1269="Non-Performing Matured Balloon","Non-Performing Matured Balloon",IF(OR($X1269="Late Payment But Less Than 30 Days Delinquent",LEFT($X1269&amp;"",20)="Payment Not Received"),"Late / In Grace (&lt;30 Days)",IF($X1269="Performing Matured Balloon","Performing Matured Balloon","Current")))))))))</f>
        <v/>
      </c>
      <c r="CD1269" s="78">
        <f>IF(OR($CC1269="REO",$CC1269="Foreclosure",$CC1269="90+ Days Delinquent",$CC1269="60 Days Delinquent",$CC1269="30 Days Delinquent",$CC1269="Non-Performing Matured Balloon"),1,0)</f>
        <v/>
      </c>
      <c r="CE1269" s="76">
        <f>IF($AB1269="Currently special serv","Currently Specially Serviced",IF($AB1269="Returned to master serv","Previously Specially Serviced","Never Specially Serviced"))</f>
        <v/>
      </c>
      <c r="CF1269" s="78">
        <f>IF($CE1269="Currently Specially Serviced",1,0)</f>
        <v/>
      </c>
      <c r="CG1269" s="76">
        <f>IF($AA1269="Yes","Currently on Watchlist",IF($AA1269="Previously","Previously on Watchlist","Never on Watchlist"))</f>
        <v/>
      </c>
      <c r="CH1269" s="78">
        <f>IF($CG1269="Currently on Watchlist",1,0)</f>
        <v/>
      </c>
      <c r="CI1269" s="76">
        <f>IF($Z1269="Full Defeasance","Fully Defeased",IF($Z1269="Portion Of Loan Previously Defeased","Partially Defeased",IF($Z1269="Defeasance Not Allowable","Not Defeased (Not Permitted)","Not Defeased")))</f>
        <v/>
      </c>
      <c r="CJ1269" s="78">
        <f>IF($CI1269="Fully Defeased",1,0)</f>
        <v/>
      </c>
      <c r="CK1269" s="76">
        <f>IF($R1269="IO","Full IO",IF(LEFT($R1269&amp;"",7)="IO then","Partial IO","Amortizing"))</f>
        <v/>
      </c>
      <c r="CL1269" s="78">
        <f>IF($CK1269="Full IO",1,0)</f>
        <v/>
      </c>
      <c r="CM1269" s="78">
        <f>IF($CK1269="Partial IO",1,0)</f>
        <v/>
      </c>
      <c r="CN1269" s="76">
        <f>IF(LEFT($F1269&amp;"",10)="SPLIT_LOAN","Pari Passu Split","Standalone")</f>
        <v/>
      </c>
      <c r="CO1269" s="78">
        <f>IF($CN1269="Pari Passu Split",1,0)</f>
        <v/>
      </c>
      <c r="CP1269" s="77">
        <f>IF(ISNUMBER($T1269),YEAR($T1269),"")</f>
        <v/>
      </c>
      <c r="CQ1269" s="79">
        <f>IF(ISNUMBER($V1269),$V1269,IF(ISNUMBER($U1269),$U1269,""))</f>
        <v/>
      </c>
      <c r="CR1269" s="77">
        <f>IF(ISNUMBER($CQ1269),YEAR($CQ1269),"")</f>
        <v/>
      </c>
      <c r="CS1269" s="78">
        <f>IF(ISNUMBER($M1269),MAX(0,$M1269),IF(TRIM($M1269&amp;"")="matured",0,""))</f>
        <v/>
      </c>
      <c r="CT1269" s="78">
        <f>IF(AND(ISNUMBER($CS1269),N($CS1269)&lt;=mMatWindow),1,0)</f>
        <v/>
      </c>
      <c r="CU1269" s="80">
        <f>IF(ISNUMBER($J1269),$J1269/100,"")</f>
        <v/>
      </c>
      <c r="CV1269" s="81">
        <f>IF(ISNUMBER($AQ1269),$AQ1269,"")</f>
        <v/>
      </c>
      <c r="CW1269" s="81">
        <f>IF(ISNUMBER($AR1269),$AR1269,"")</f>
        <v/>
      </c>
      <c r="CX1269" s="82">
        <f>IF(ISNUMBER($AS1269),$AS1269/100,"")</f>
        <v/>
      </c>
      <c r="CY1269" s="82">
        <f>IF(ISNUMBER($AT1269),$AT1269/100,"")</f>
        <v/>
      </c>
      <c r="CZ1269" s="82">
        <f>IF(ISNUMBER($AU1269),$AU1269/100,"")</f>
        <v/>
      </c>
      <c r="DA1269" s="82">
        <f>IF(ISNUMBER($AV1269),$AV1269/100,"")</f>
        <v/>
      </c>
      <c r="DB1269" s="82">
        <f>IF(ISNUMBER($AW1269),$AW1269/100,"")</f>
        <v/>
      </c>
      <c r="DC1269" s="82">
        <f>IF(ISNUMBER($AX1269),$AX1269/100,"")</f>
        <v/>
      </c>
      <c r="DD1269" s="77">
        <f>IFERROR(VALUE(LEFT(TRIM($AO1269&amp;""),4)),"")</f>
        <v/>
      </c>
      <c r="DE1269" s="78">
        <f>IF(AND($BY1269=1,$BX1269=1,OR(fDeal="All Deals",$BU1269=fDeal),OR(fEntity="All Entities",$BV1269=fEntity),OR(fPType="All Property Types",$BZ1269=fPType),OR(fDefeased="Include",$CJ1269=0)),1,0)</f>
        <v/>
      </c>
      <c r="DF1269" s="83">
        <f>$DE1269*N($I1269)</f>
        <v/>
      </c>
      <c r="DG1269" s="78">
        <f>IF($DE1269=1,IF(COUNTIFS($F$8:$F1269,$F1269,$DE$8:$DE1269,1)=1,1,0),0)</f>
        <v/>
      </c>
      <c r="DH1269" s="83">
        <f>IF($DG1269=1,SUMIFS($DF$8:$DF$1600,$F$8:$F$1600,$F1269),0)</f>
        <v/>
      </c>
      <c r="DI1269" s="78">
        <f>IF($DG1269=1,COUNTIFS($F$8:$F$1600,$F1269,$DE$8:$DE$1600,1),0)</f>
        <v/>
      </c>
      <c r="DJ1269" s="84">
        <f>IF($DG1269=1,$DH1269+(100000-ROW())/mTieBreak,0)</f>
        <v/>
      </c>
    </row>
    <row r="1270">
      <c r="B1270" s="68" t="n">
        <v>37</v>
      </c>
      <c r="C1270" s="69" t="inlineStr">
        <is>
          <t>UBS18C12</t>
        </is>
      </c>
      <c r="D1270" s="69" t="inlineStr">
        <is>
          <t>37.000</t>
        </is>
      </c>
      <c r="E1270" s="69" t="inlineStr">
        <is>
          <t>Seaside Portfolio</t>
        </is>
      </c>
      <c r="F1270" s="69" t="inlineStr">
        <is>
          <t>LNUBS18C12-37.000</t>
        </is>
      </c>
      <c r="G1270" s="70" t="n"/>
      <c r="H1270" s="71" t="n">
        <v>8630000</v>
      </c>
      <c r="I1270" s="71" t="n">
        <v>7052680.79000178</v>
      </c>
      <c r="J1270" s="72" t="n">
        <v>5.47</v>
      </c>
      <c r="K1270" s="69" t="inlineStr">
        <is>
          <t>Fixed rate</t>
        </is>
      </c>
      <c r="L1270" s="68" t="n">
        <v>120</v>
      </c>
      <c r="M1270" s="68" t="n">
        <v>23</v>
      </c>
      <c r="N1270" s="68" t="n">
        <v>300</v>
      </c>
      <c r="O1270" s="68" t="n"/>
      <c r="P1270" s="68" t="n"/>
      <c r="Q1270" s="68" t="n">
        <v>97</v>
      </c>
      <c r="R1270" s="69" t="n"/>
      <c r="S1270" s="69" t="inlineStr">
        <is>
          <t>No</t>
        </is>
      </c>
      <c r="T1270" s="73" t="n">
        <v>43313</v>
      </c>
      <c r="U1270" s="73" t="n">
        <v>46966</v>
      </c>
      <c r="V1270" s="73" t="n"/>
      <c r="W1270" s="69" t="n"/>
      <c r="X1270" s="69" t="inlineStr">
        <is>
          <t>Current</t>
        </is>
      </c>
      <c r="Y1270" s="68" t="n"/>
      <c r="Z1270" s="69" t="inlineStr">
        <is>
          <t>No Defeasance Occurred</t>
        </is>
      </c>
      <c r="AA1270" s="69" t="inlineStr">
        <is>
          <t>Yes</t>
        </is>
      </c>
      <c r="AB1270" s="69" t="inlineStr">
        <is>
          <t>Never special serv</t>
        </is>
      </c>
      <c r="AC1270" s="73" t="n"/>
      <c r="AD1270" s="69" t="n"/>
      <c r="AE1270" s="69" t="n"/>
      <c r="AF1270" s="69" t="inlineStr">
        <is>
          <t>OR</t>
        </is>
      </c>
      <c r="AG1270" s="69" t="inlineStr">
        <is>
          <t>Seaside</t>
        </is>
      </c>
      <c r="AH1270" s="69" t="inlineStr">
        <is>
          <t>Astoria, OR</t>
        </is>
      </c>
      <c r="AI1270" s="69" t="inlineStr">
        <is>
          <t>West / Pacific North</t>
        </is>
      </c>
      <c r="AJ1270" s="69" t="inlineStr">
        <is>
          <t>HT</t>
        </is>
      </c>
      <c r="AK1270" s="69" t="inlineStr">
        <is>
          <t>Limited Service</t>
        </is>
      </c>
      <c r="AL1270" s="68" t="n">
        <v>2</v>
      </c>
      <c r="AM1270" s="68" t="n">
        <v>96</v>
      </c>
      <c r="AN1270" s="68" t="n"/>
      <c r="AO1270" s="69" t="n"/>
      <c r="AP1270" s="70" t="n">
        <v>2018</v>
      </c>
      <c r="AQ1270" s="74" t="n">
        <v>1.9</v>
      </c>
      <c r="AR1270" s="74" t="n">
        <v>0.5600000000000001</v>
      </c>
      <c r="AS1270" s="74" t="n">
        <v>54.6</v>
      </c>
      <c r="AT1270" s="74" t="n">
        <v>44.64</v>
      </c>
      <c r="AU1270" s="74" t="n">
        <v>41.5</v>
      </c>
      <c r="AV1270" s="74" t="n">
        <v>13.971593048</v>
      </c>
      <c r="AW1270" s="74" t="n">
        <v>23.557836225</v>
      </c>
      <c r="AX1270" s="75" t="n">
        <v>45</v>
      </c>
      <c r="AY1270" s="71" t="n">
        <v>15800000</v>
      </c>
      <c r="AZ1270" s="71" t="n">
        <v>15800000</v>
      </c>
      <c r="BA1270" s="71" t="n">
        <v>1205748.48</v>
      </c>
      <c r="BB1270" s="71" t="n">
        <v>89201.49000000001</v>
      </c>
      <c r="BC1270" s="69" t="inlineStr">
        <is>
          <t>Refinance</t>
        </is>
      </c>
      <c r="BD1270" s="69" t="inlineStr">
        <is>
          <t>N</t>
        </is>
      </c>
      <c r="BE1270" s="71" t="n"/>
      <c r="BF1270" s="71" t="n"/>
      <c r="BG1270" s="71" t="n"/>
      <c r="BH1270" s="71" t="n">
        <v>0</v>
      </c>
      <c r="BI1270" s="71" t="n">
        <v>0</v>
      </c>
      <c r="BJ1270" s="69" t="inlineStr">
        <is>
          <t>Y</t>
        </is>
      </c>
      <c r="BK1270" s="69" t="n"/>
      <c r="BL1270" s="75" t="n"/>
      <c r="BM1270" s="73" t="n"/>
      <c r="BN1270" s="69" t="inlineStr">
        <is>
          <t>Dulal Mostafa; Moududur Rahman; Masudur R. Khan</t>
        </is>
      </c>
      <c r="BO1270" s="69" t="inlineStr">
        <is>
          <t>Societe Generale</t>
        </is>
      </c>
      <c r="BP1270" s="69" t="inlineStr">
        <is>
          <t>Midland Loan Services</t>
        </is>
      </c>
      <c r="BQ1270" s="69" t="inlineStr">
        <is>
          <t>K-Star Asset Management LLC</t>
        </is>
      </c>
      <c r="BR1270" s="69" t="n"/>
      <c r="BS1270" s="73" t="n">
        <v>46276</v>
      </c>
      <c r="BU1270" s="76">
        <f>IF($C1270="","",IFERROR(INDEX(dmName,MATCH($C1270,dmID,0)),"Unmapped"))</f>
        <v/>
      </c>
      <c r="BV1270" s="76">
        <f>IF($C1270="","",IFERROR(INDEX(dmEntity,MATCH($C1270,dmID,0)),"Unmapped"))</f>
        <v/>
      </c>
      <c r="BW1270" s="77">
        <f>IF($C1270="","",IFERROR(INDEX(dmVintage,MATCH($C1270,dmID,0)),""))</f>
        <v/>
      </c>
      <c r="BX1270" s="78">
        <f>IFERROR(INDEX(dmInclude,MATCH($C1270,dmID,0)),0)</f>
        <v/>
      </c>
      <c r="BY1270" s="78">
        <f>IF(N($I1270)&gt;0,1,0)</f>
        <v/>
      </c>
      <c r="BZ1270" s="76">
        <f>IF($AJ1270="","Other / Leased Fee",IFERROR(INDEX(mapPTGroup,MATCH(LEFT(TRIM($AJ1270),2),mapPTCode,0)),"Other / Leased Fee"))</f>
        <v/>
      </c>
      <c r="CA1270" s="76">
        <f>IF(TRIM($AF1270&amp;"")="","NR",LEFT(TRIM($AF1270),2))</f>
        <v/>
      </c>
      <c r="CB1270" s="76">
        <f>IFERROR(LOOKUP(2,1/(LEFT(TRIM($AI1270&amp;""),LEN(mapRegion))=mapRegion),mapRegion),"Not Reported")</f>
        <v/>
      </c>
      <c r="CC1270" s="76">
        <f>IF($BY1270=0,"",IF(TRIM($W1270&amp;"")="REO","REO",IF(TRIM($W1270&amp;"")="FC","Foreclosure",IF(TRIM($W1270&amp;"")="90+","90+ Days Delinquent",IF(TRIM($W1270&amp;"")="60","60 Days Delinquent",IF(TRIM($W1270&amp;"")="30","30 Days Delinquent",IF($X1270="Non-Performing Matured Balloon","Non-Performing Matured Balloon",IF(OR($X1270="Late Payment But Less Than 30 Days Delinquent",LEFT($X1270&amp;"",20)="Payment Not Received"),"Late / In Grace (&lt;30 Days)",IF($X1270="Performing Matured Balloon","Performing Matured Balloon","Current")))))))))</f>
        <v/>
      </c>
      <c r="CD1270" s="78">
        <f>IF(OR($CC1270="REO",$CC1270="Foreclosure",$CC1270="90+ Days Delinquent",$CC1270="60 Days Delinquent",$CC1270="30 Days Delinquent",$CC1270="Non-Performing Matured Balloon"),1,0)</f>
        <v/>
      </c>
      <c r="CE1270" s="76">
        <f>IF($AB1270="Currently special serv","Currently Specially Serviced",IF($AB1270="Returned to master serv","Previously Specially Serviced","Never Specially Serviced"))</f>
        <v/>
      </c>
      <c r="CF1270" s="78">
        <f>IF($CE1270="Currently Specially Serviced",1,0)</f>
        <v/>
      </c>
      <c r="CG1270" s="76">
        <f>IF($AA1270="Yes","Currently on Watchlist",IF($AA1270="Previously","Previously on Watchlist","Never on Watchlist"))</f>
        <v/>
      </c>
      <c r="CH1270" s="78">
        <f>IF($CG1270="Currently on Watchlist",1,0)</f>
        <v/>
      </c>
      <c r="CI1270" s="76">
        <f>IF($Z1270="Full Defeasance","Fully Defeased",IF($Z1270="Portion Of Loan Previously Defeased","Partially Defeased",IF($Z1270="Defeasance Not Allowable","Not Defeased (Not Permitted)","Not Defeased")))</f>
        <v/>
      </c>
      <c r="CJ1270" s="78">
        <f>IF($CI1270="Fully Defeased",1,0)</f>
        <v/>
      </c>
      <c r="CK1270" s="76">
        <f>IF($R1270="IO","Full IO",IF(LEFT($R1270&amp;"",7)="IO then","Partial IO","Amortizing"))</f>
        <v/>
      </c>
      <c r="CL1270" s="78">
        <f>IF($CK1270="Full IO",1,0)</f>
        <v/>
      </c>
      <c r="CM1270" s="78">
        <f>IF($CK1270="Partial IO",1,0)</f>
        <v/>
      </c>
      <c r="CN1270" s="76">
        <f>IF(LEFT($F1270&amp;"",10)="SPLIT_LOAN","Pari Passu Split","Standalone")</f>
        <v/>
      </c>
      <c r="CO1270" s="78">
        <f>IF($CN1270="Pari Passu Split",1,0)</f>
        <v/>
      </c>
      <c r="CP1270" s="77">
        <f>IF(ISNUMBER($T1270),YEAR($T1270),"")</f>
        <v/>
      </c>
      <c r="CQ1270" s="79">
        <f>IF(ISNUMBER($V1270),$V1270,IF(ISNUMBER($U1270),$U1270,""))</f>
        <v/>
      </c>
      <c r="CR1270" s="77">
        <f>IF(ISNUMBER($CQ1270),YEAR($CQ1270),"")</f>
        <v/>
      </c>
      <c r="CS1270" s="78">
        <f>IF(ISNUMBER($M1270),MAX(0,$M1270),IF(TRIM($M1270&amp;"")="matured",0,""))</f>
        <v/>
      </c>
      <c r="CT1270" s="78">
        <f>IF(AND(ISNUMBER($CS1270),N($CS1270)&lt;=mMatWindow),1,0)</f>
        <v/>
      </c>
      <c r="CU1270" s="80">
        <f>IF(ISNUMBER($J1270),$J1270/100,"")</f>
        <v/>
      </c>
      <c r="CV1270" s="81">
        <f>IF(ISNUMBER($AQ1270),$AQ1270,"")</f>
        <v/>
      </c>
      <c r="CW1270" s="81">
        <f>IF(ISNUMBER($AR1270),$AR1270,"")</f>
        <v/>
      </c>
      <c r="CX1270" s="82">
        <f>IF(ISNUMBER($AS1270),$AS1270/100,"")</f>
        <v/>
      </c>
      <c r="CY1270" s="82">
        <f>IF(ISNUMBER($AT1270),$AT1270/100,"")</f>
        <v/>
      </c>
      <c r="CZ1270" s="82">
        <f>IF(ISNUMBER($AU1270),$AU1270/100,"")</f>
        <v/>
      </c>
      <c r="DA1270" s="82">
        <f>IF(ISNUMBER($AV1270),$AV1270/100,"")</f>
        <v/>
      </c>
      <c r="DB1270" s="82">
        <f>IF(ISNUMBER($AW1270),$AW1270/100,"")</f>
        <v/>
      </c>
      <c r="DC1270" s="82">
        <f>IF(ISNUMBER($AX1270),$AX1270/100,"")</f>
        <v/>
      </c>
      <c r="DD1270" s="77">
        <f>IFERROR(VALUE(LEFT(TRIM($AO1270&amp;""),4)),"")</f>
        <v/>
      </c>
      <c r="DE1270" s="78">
        <f>IF(AND($BY1270=1,$BX1270=1,OR(fDeal="All Deals",$BU1270=fDeal),OR(fEntity="All Entities",$BV1270=fEntity),OR(fPType="All Property Types",$BZ1270=fPType),OR(fDefeased="Include",$CJ1270=0)),1,0)</f>
        <v/>
      </c>
      <c r="DF1270" s="83">
        <f>$DE1270*N($I1270)</f>
        <v/>
      </c>
      <c r="DG1270" s="78">
        <f>IF($DE1270=1,IF(COUNTIFS($F$8:$F1270,$F1270,$DE$8:$DE1270,1)=1,1,0),0)</f>
        <v/>
      </c>
      <c r="DH1270" s="83">
        <f>IF($DG1270=1,SUMIFS($DF$8:$DF$1600,$F$8:$F$1600,$F1270),0)</f>
        <v/>
      </c>
      <c r="DI1270" s="78">
        <f>IF($DG1270=1,COUNTIFS($F$8:$F$1600,$F1270,$DE$8:$DE$1600,1),0)</f>
        <v/>
      </c>
      <c r="DJ1270" s="84">
        <f>IF($DG1270=1,$DH1270+(100000-ROW())/mTieBreak,0)</f>
        <v/>
      </c>
    </row>
    <row r="1271">
      <c r="B1271" s="68" t="n">
        <v>38</v>
      </c>
      <c r="C1271" s="69" t="inlineStr">
        <is>
          <t>UBS18C12</t>
        </is>
      </c>
      <c r="D1271" s="69" t="inlineStr">
        <is>
          <t>38.000</t>
        </is>
      </c>
      <c r="E1271" s="69" t="inlineStr">
        <is>
          <t>14701 Philips Highway</t>
        </is>
      </c>
      <c r="F1271" s="69" t="inlineStr">
        <is>
          <t>LNUBS18C12-38.000</t>
        </is>
      </c>
      <c r="G1271" s="70" t="n"/>
      <c r="H1271" s="71" t="n">
        <v>8500000</v>
      </c>
      <c r="I1271" s="71" t="n">
        <v>7791187.4800025</v>
      </c>
      <c r="J1271" s="72" t="n">
        <v>4.804</v>
      </c>
      <c r="K1271" s="69" t="inlineStr">
        <is>
          <t>Fixed rate</t>
        </is>
      </c>
      <c r="L1271" s="68" t="n">
        <v>120</v>
      </c>
      <c r="M1271" s="68" t="n">
        <v>22</v>
      </c>
      <c r="N1271" s="68" t="n">
        <v>396</v>
      </c>
      <c r="O1271" s="68" t="n">
        <v>36</v>
      </c>
      <c r="P1271" s="68" t="n">
        <v>0</v>
      </c>
      <c r="Q1271" s="68" t="n">
        <v>98</v>
      </c>
      <c r="R1271" s="69" t="inlineStr">
        <is>
          <t>IO then Amort</t>
        </is>
      </c>
      <c r="S1271" s="69" t="inlineStr">
        <is>
          <t>No</t>
        </is>
      </c>
      <c r="T1271" s="73" t="n">
        <v>43282</v>
      </c>
      <c r="U1271" s="73" t="n">
        <v>46940</v>
      </c>
      <c r="V1271" s="73" t="n"/>
      <c r="W1271" s="69" t="n"/>
      <c r="X1271" s="69" t="inlineStr">
        <is>
          <t>Current</t>
        </is>
      </c>
      <c r="Y1271" s="68" t="n"/>
      <c r="Z1271" s="69" t="inlineStr">
        <is>
          <t>No Defeasance Occurred</t>
        </is>
      </c>
      <c r="AA1271" s="69" t="inlineStr">
        <is>
          <t>Previously</t>
        </is>
      </c>
      <c r="AB1271" s="69" t="inlineStr">
        <is>
          <t>Never special serv</t>
        </is>
      </c>
      <c r="AC1271" s="73" t="n"/>
      <c r="AD1271" s="69" t="n"/>
      <c r="AE1271" s="69" t="n"/>
      <c r="AF1271" s="69" t="inlineStr">
        <is>
          <t>FL</t>
        </is>
      </c>
      <c r="AG1271" s="69" t="inlineStr">
        <is>
          <t>Jacksonville</t>
        </is>
      </c>
      <c r="AH1271" s="69" t="inlineStr">
        <is>
          <t>Jacksonville, FL</t>
        </is>
      </c>
      <c r="AI1271" s="69" t="inlineStr">
        <is>
          <t>South / Atlantic</t>
        </is>
      </c>
      <c r="AJ1271" s="69" t="inlineStr">
        <is>
          <t>OF</t>
        </is>
      </c>
      <c r="AK1271" s="69" t="inlineStr">
        <is>
          <t>Suburban</t>
        </is>
      </c>
      <c r="AL1271" s="68" t="n">
        <v>1</v>
      </c>
      <c r="AM1271" s="68" t="n"/>
      <c r="AN1271" s="68" t="n">
        <v>45000</v>
      </c>
      <c r="AO1271" s="69" t="inlineStr">
        <is>
          <t>2018</t>
        </is>
      </c>
      <c r="AP1271" s="70" t="n">
        <v>2018</v>
      </c>
      <c r="AQ1271" s="74" t="n">
        <v>2.16</v>
      </c>
      <c r="AR1271" s="74" t="n">
        <v>2.23</v>
      </c>
      <c r="AS1271" s="74" t="n">
        <v>61.2</v>
      </c>
      <c r="AT1271" s="74" t="n">
        <v>56.05</v>
      </c>
      <c r="AU1271" s="74" t="n">
        <v>53.9</v>
      </c>
      <c r="AV1271" s="74" t="n">
        <v>10.499294118</v>
      </c>
      <c r="AW1271" s="74" t="n">
        <v>15.313091401</v>
      </c>
      <c r="AX1271" s="75" t="n">
        <v>100</v>
      </c>
      <c r="AY1271" s="71" t="n">
        <v>13900000</v>
      </c>
      <c r="AZ1271" s="71" t="n">
        <v>13900000</v>
      </c>
      <c r="BA1271" s="71" t="n">
        <v>892440</v>
      </c>
      <c r="BB1271" s="71" t="n">
        <v>1193071.66</v>
      </c>
      <c r="BC1271" s="69" t="inlineStr">
        <is>
          <t>Acquisition</t>
        </is>
      </c>
      <c r="BD1271" s="69" t="inlineStr">
        <is>
          <t>N</t>
        </is>
      </c>
      <c r="BE1271" s="71" t="n"/>
      <c r="BF1271" s="71" t="n"/>
      <c r="BG1271" s="71" t="n"/>
      <c r="BH1271" s="71" t="n">
        <v>0</v>
      </c>
      <c r="BI1271" s="71" t="n">
        <v>0</v>
      </c>
      <c r="BJ1271" s="69" t="inlineStr">
        <is>
          <t>N</t>
        </is>
      </c>
      <c r="BK1271" s="69" t="inlineStr">
        <is>
          <t>Dream Finders Homes LLC</t>
        </is>
      </c>
      <c r="BL1271" s="75" t="n">
        <v>100</v>
      </c>
      <c r="BM1271" s="73" t="n">
        <v>48737</v>
      </c>
      <c r="BN1271" s="69" t="inlineStr">
        <is>
          <t>CS1031 Jacksonville FL HQ Master Lessee, LLC; Louis J. Rogers</t>
        </is>
      </c>
      <c r="BO1271" s="69" t="inlineStr">
        <is>
          <t>Ladder Capital Finance</t>
        </is>
      </c>
      <c r="BP1271" s="69" t="inlineStr">
        <is>
          <t>Midland Loan Services</t>
        </is>
      </c>
      <c r="BQ1271" s="69" t="inlineStr">
        <is>
          <t>K-Star Asset Management LLC</t>
        </is>
      </c>
      <c r="BR1271" s="69" t="n"/>
      <c r="BS1271" s="73" t="n">
        <v>46276</v>
      </c>
      <c r="BU1271" s="76">
        <f>IF($C1271="","",IFERROR(INDEX(dmName,MATCH($C1271,dmID,0)),"Unmapped"))</f>
        <v/>
      </c>
      <c r="BV1271" s="76">
        <f>IF($C1271="","",IFERROR(INDEX(dmEntity,MATCH($C1271,dmID,0)),"Unmapped"))</f>
        <v/>
      </c>
      <c r="BW1271" s="77">
        <f>IF($C1271="","",IFERROR(INDEX(dmVintage,MATCH($C1271,dmID,0)),""))</f>
        <v/>
      </c>
      <c r="BX1271" s="78">
        <f>IFERROR(INDEX(dmInclude,MATCH($C1271,dmID,0)),0)</f>
        <v/>
      </c>
      <c r="BY1271" s="78">
        <f>IF(N($I1271)&gt;0,1,0)</f>
        <v/>
      </c>
      <c r="BZ1271" s="76">
        <f>IF($AJ1271="","Other / Leased Fee",IFERROR(INDEX(mapPTGroup,MATCH(LEFT(TRIM($AJ1271),2),mapPTCode,0)),"Other / Leased Fee"))</f>
        <v/>
      </c>
      <c r="CA1271" s="76">
        <f>IF(TRIM($AF1271&amp;"")="","NR",LEFT(TRIM($AF1271),2))</f>
        <v/>
      </c>
      <c r="CB1271" s="76">
        <f>IFERROR(LOOKUP(2,1/(LEFT(TRIM($AI1271&amp;""),LEN(mapRegion))=mapRegion),mapRegion),"Not Reported")</f>
        <v/>
      </c>
      <c r="CC1271" s="76">
        <f>IF($BY1271=0,"",IF(TRIM($W1271&amp;"")="REO","REO",IF(TRIM($W1271&amp;"")="FC","Foreclosure",IF(TRIM($W1271&amp;"")="90+","90+ Days Delinquent",IF(TRIM($W1271&amp;"")="60","60 Days Delinquent",IF(TRIM($W1271&amp;"")="30","30 Days Delinquent",IF($X1271="Non-Performing Matured Balloon","Non-Performing Matured Balloon",IF(OR($X1271="Late Payment But Less Than 30 Days Delinquent",LEFT($X1271&amp;"",20)="Payment Not Received"),"Late / In Grace (&lt;30 Days)",IF($X1271="Performing Matured Balloon","Performing Matured Balloon","Current")))))))))</f>
        <v/>
      </c>
      <c r="CD1271" s="78">
        <f>IF(OR($CC1271="REO",$CC1271="Foreclosure",$CC1271="90+ Days Delinquent",$CC1271="60 Days Delinquent",$CC1271="30 Days Delinquent",$CC1271="Non-Performing Matured Balloon"),1,0)</f>
        <v/>
      </c>
      <c r="CE1271" s="76">
        <f>IF($AB1271="Currently special serv","Currently Specially Serviced",IF($AB1271="Returned to master serv","Previously Specially Serviced","Never Specially Serviced"))</f>
        <v/>
      </c>
      <c r="CF1271" s="78">
        <f>IF($CE1271="Currently Specially Serviced",1,0)</f>
        <v/>
      </c>
      <c r="CG1271" s="76">
        <f>IF($AA1271="Yes","Currently on Watchlist",IF($AA1271="Previously","Previously on Watchlist","Never on Watchlist"))</f>
        <v/>
      </c>
      <c r="CH1271" s="78">
        <f>IF($CG1271="Currently on Watchlist",1,0)</f>
        <v/>
      </c>
      <c r="CI1271" s="76">
        <f>IF($Z1271="Full Defeasance","Fully Defeased",IF($Z1271="Portion Of Loan Previously Defeased","Partially Defeased",IF($Z1271="Defeasance Not Allowable","Not Defeased (Not Permitted)","Not Defeased")))</f>
        <v/>
      </c>
      <c r="CJ1271" s="78">
        <f>IF($CI1271="Fully Defeased",1,0)</f>
        <v/>
      </c>
      <c r="CK1271" s="76">
        <f>IF($R1271="IO","Full IO",IF(LEFT($R1271&amp;"",7)="IO then","Partial IO","Amortizing"))</f>
        <v/>
      </c>
      <c r="CL1271" s="78">
        <f>IF($CK1271="Full IO",1,0)</f>
        <v/>
      </c>
      <c r="CM1271" s="78">
        <f>IF($CK1271="Partial IO",1,0)</f>
        <v/>
      </c>
      <c r="CN1271" s="76">
        <f>IF(LEFT($F1271&amp;"",10)="SPLIT_LOAN","Pari Passu Split","Standalone")</f>
        <v/>
      </c>
      <c r="CO1271" s="78">
        <f>IF($CN1271="Pari Passu Split",1,0)</f>
        <v/>
      </c>
      <c r="CP1271" s="77">
        <f>IF(ISNUMBER($T1271),YEAR($T1271),"")</f>
        <v/>
      </c>
      <c r="CQ1271" s="79">
        <f>IF(ISNUMBER($V1271),$V1271,IF(ISNUMBER($U1271),$U1271,""))</f>
        <v/>
      </c>
      <c r="CR1271" s="77">
        <f>IF(ISNUMBER($CQ1271),YEAR($CQ1271),"")</f>
        <v/>
      </c>
      <c r="CS1271" s="78">
        <f>IF(ISNUMBER($M1271),MAX(0,$M1271),IF(TRIM($M1271&amp;"")="matured",0,""))</f>
        <v/>
      </c>
      <c r="CT1271" s="78">
        <f>IF(AND(ISNUMBER($CS1271),N($CS1271)&lt;=mMatWindow),1,0)</f>
        <v/>
      </c>
      <c r="CU1271" s="80">
        <f>IF(ISNUMBER($J1271),$J1271/100,"")</f>
        <v/>
      </c>
      <c r="CV1271" s="81">
        <f>IF(ISNUMBER($AQ1271),$AQ1271,"")</f>
        <v/>
      </c>
      <c r="CW1271" s="81">
        <f>IF(ISNUMBER($AR1271),$AR1271,"")</f>
        <v/>
      </c>
      <c r="CX1271" s="82">
        <f>IF(ISNUMBER($AS1271),$AS1271/100,"")</f>
        <v/>
      </c>
      <c r="CY1271" s="82">
        <f>IF(ISNUMBER($AT1271),$AT1271/100,"")</f>
        <v/>
      </c>
      <c r="CZ1271" s="82">
        <f>IF(ISNUMBER($AU1271),$AU1271/100,"")</f>
        <v/>
      </c>
      <c r="DA1271" s="82">
        <f>IF(ISNUMBER($AV1271),$AV1271/100,"")</f>
        <v/>
      </c>
      <c r="DB1271" s="82">
        <f>IF(ISNUMBER($AW1271),$AW1271/100,"")</f>
        <v/>
      </c>
      <c r="DC1271" s="82">
        <f>IF(ISNUMBER($AX1271),$AX1271/100,"")</f>
        <v/>
      </c>
      <c r="DD1271" s="77">
        <f>IFERROR(VALUE(LEFT(TRIM($AO1271&amp;""),4)),"")</f>
        <v/>
      </c>
      <c r="DE1271" s="78">
        <f>IF(AND($BY1271=1,$BX1271=1,OR(fDeal="All Deals",$BU1271=fDeal),OR(fEntity="All Entities",$BV1271=fEntity),OR(fPType="All Property Types",$BZ1271=fPType),OR(fDefeased="Include",$CJ1271=0)),1,0)</f>
        <v/>
      </c>
      <c r="DF1271" s="83">
        <f>$DE1271*N($I1271)</f>
        <v/>
      </c>
      <c r="DG1271" s="78">
        <f>IF($DE1271=1,IF(COUNTIFS($F$8:$F1271,$F1271,$DE$8:$DE1271,1)=1,1,0),0)</f>
        <v/>
      </c>
      <c r="DH1271" s="83">
        <f>IF($DG1271=1,SUMIFS($DF$8:$DF$1600,$F$8:$F$1600,$F1271),0)</f>
        <v/>
      </c>
      <c r="DI1271" s="78">
        <f>IF($DG1271=1,COUNTIFS($F$8:$F$1600,$F1271,$DE$8:$DE$1600,1),0)</f>
        <v/>
      </c>
      <c r="DJ1271" s="84">
        <f>IF($DG1271=1,$DH1271+(100000-ROW())/mTieBreak,0)</f>
        <v/>
      </c>
    </row>
    <row r="1272">
      <c r="B1272" s="68" t="n">
        <v>39</v>
      </c>
      <c r="C1272" s="69" t="inlineStr">
        <is>
          <t>UBS18C12</t>
        </is>
      </c>
      <c r="D1272" s="69" t="inlineStr">
        <is>
          <t>39.000</t>
        </is>
      </c>
      <c r="E1272" s="69" t="inlineStr">
        <is>
          <t>Walgreens &amp; Sherwin Williams Plaza</t>
        </is>
      </c>
      <c r="F1272" s="69" t="inlineStr">
        <is>
          <t>LNUBS18C12-39.000</t>
        </is>
      </c>
      <c r="G1272" s="70" t="n"/>
      <c r="H1272" s="71" t="n">
        <v>8100000</v>
      </c>
      <c r="I1272" s="71" t="n">
        <v>8100000</v>
      </c>
      <c r="J1272" s="72" t="n">
        <v>5.09</v>
      </c>
      <c r="K1272" s="69" t="inlineStr">
        <is>
          <t>Fixed rate</t>
        </is>
      </c>
      <c r="L1272" s="68" t="n">
        <v>120</v>
      </c>
      <c r="M1272" s="68" t="n">
        <v>23</v>
      </c>
      <c r="N1272" s="68" t="n">
        <v>120</v>
      </c>
      <c r="O1272" s="68" t="n">
        <v>120</v>
      </c>
      <c r="P1272" s="68" t="n">
        <v>23</v>
      </c>
      <c r="Q1272" s="68" t="n">
        <v>97</v>
      </c>
      <c r="R1272" s="69" t="inlineStr">
        <is>
          <t>IO</t>
        </is>
      </c>
      <c r="S1272" s="69" t="inlineStr">
        <is>
          <t>Yes</t>
        </is>
      </c>
      <c r="T1272" s="73" t="n">
        <v>43313</v>
      </c>
      <c r="U1272" s="73" t="n">
        <v>46966</v>
      </c>
      <c r="V1272" s="73" t="n"/>
      <c r="W1272" s="69" t="n"/>
      <c r="X1272" s="69" t="inlineStr">
        <is>
          <t>Current</t>
        </is>
      </c>
      <c r="Y1272" s="68" t="n"/>
      <c r="Z1272" s="69" t="inlineStr">
        <is>
          <t>No Defeasance Occurred</t>
        </is>
      </c>
      <c r="AA1272" s="69" t="inlineStr">
        <is>
          <t>Yes</t>
        </is>
      </c>
      <c r="AB1272" s="69" t="inlineStr">
        <is>
          <t>Never special serv</t>
        </is>
      </c>
      <c r="AC1272" s="73" t="n"/>
      <c r="AD1272" s="69" t="n"/>
      <c r="AE1272" s="69" t="n"/>
      <c r="AF1272" s="69" t="inlineStr">
        <is>
          <t>MD</t>
        </is>
      </c>
      <c r="AG1272" s="69" t="inlineStr">
        <is>
          <t>District Heights</t>
        </is>
      </c>
      <c r="AH1272" s="69" t="inlineStr">
        <is>
          <t>Washington-Arlington-Alexandria, DC-VA-MD-WV</t>
        </is>
      </c>
      <c r="AI1272" s="69" t="inlineStr">
        <is>
          <t>South / Atlantic</t>
        </is>
      </c>
      <c r="AJ1272" s="69" t="inlineStr">
        <is>
          <t>RT</t>
        </is>
      </c>
      <c r="AK1272" s="69" t="inlineStr">
        <is>
          <t>Anchored</t>
        </is>
      </c>
      <c r="AL1272" s="68" t="n">
        <v>1</v>
      </c>
      <c r="AM1272" s="68" t="n"/>
      <c r="AN1272" s="68" t="n">
        <v>19620</v>
      </c>
      <c r="AO1272" s="69" t="inlineStr">
        <is>
          <t>2011</t>
        </is>
      </c>
      <c r="AP1272" s="70" t="n">
        <v>2011</v>
      </c>
      <c r="AQ1272" s="74" t="n">
        <v>1.71</v>
      </c>
      <c r="AR1272" s="74" t="n">
        <v>1.44</v>
      </c>
      <c r="AS1272" s="74" t="n">
        <v>63.5</v>
      </c>
      <c r="AT1272" s="74" t="n">
        <v>63.53</v>
      </c>
      <c r="AU1272" s="74" t="n">
        <v>63.5</v>
      </c>
      <c r="AV1272" s="74" t="n">
        <v>8.80908642</v>
      </c>
      <c r="AW1272" s="74" t="n">
        <v>7.942640864</v>
      </c>
      <c r="AX1272" s="75" t="n">
        <v>100</v>
      </c>
      <c r="AY1272" s="71" t="n">
        <v>12750000</v>
      </c>
      <c r="AZ1272" s="71" t="n">
        <v>12750000</v>
      </c>
      <c r="BA1272" s="71" t="n">
        <v>713536</v>
      </c>
      <c r="BB1272" s="71" t="n">
        <v>600715.9399999999</v>
      </c>
      <c r="BC1272" s="69" t="inlineStr">
        <is>
          <t>Refinance</t>
        </is>
      </c>
      <c r="BD1272" s="69" t="inlineStr">
        <is>
          <t>N</t>
        </is>
      </c>
      <c r="BE1272" s="71" t="n"/>
      <c r="BF1272" s="71" t="n"/>
      <c r="BG1272" s="71" t="n"/>
      <c r="BH1272" s="71" t="n">
        <v>0</v>
      </c>
      <c r="BI1272" s="71" t="n">
        <v>0</v>
      </c>
      <c r="BJ1272" s="69" t="inlineStr">
        <is>
          <t>N</t>
        </is>
      </c>
      <c r="BK1272" s="69" t="inlineStr">
        <is>
          <t>Walgreens</t>
        </is>
      </c>
      <c r="BL1272" s="75" t="n">
        <v>75.54000000000001</v>
      </c>
      <c r="BM1272" s="73" t="n">
        <v>46904</v>
      </c>
      <c r="BN1272" s="69" t="inlineStr">
        <is>
          <t>Arizona Lipnob Estates LLC</t>
        </is>
      </c>
      <c r="BO1272" s="69" t="inlineStr">
        <is>
          <t>CIBC</t>
        </is>
      </c>
      <c r="BP1272" s="69" t="inlineStr">
        <is>
          <t>Midland Loan Services</t>
        </is>
      </c>
      <c r="BQ1272" s="69" t="inlineStr">
        <is>
          <t>K-Star Asset Management LLC</t>
        </is>
      </c>
      <c r="BR1272" s="69" t="n"/>
      <c r="BS1272" s="73" t="n">
        <v>46276</v>
      </c>
      <c r="BU1272" s="76">
        <f>IF($C1272="","",IFERROR(INDEX(dmName,MATCH($C1272,dmID,0)),"Unmapped"))</f>
        <v/>
      </c>
      <c r="BV1272" s="76">
        <f>IF($C1272="","",IFERROR(INDEX(dmEntity,MATCH($C1272,dmID,0)),"Unmapped"))</f>
        <v/>
      </c>
      <c r="BW1272" s="77">
        <f>IF($C1272="","",IFERROR(INDEX(dmVintage,MATCH($C1272,dmID,0)),""))</f>
        <v/>
      </c>
      <c r="BX1272" s="78">
        <f>IFERROR(INDEX(dmInclude,MATCH($C1272,dmID,0)),0)</f>
        <v/>
      </c>
      <c r="BY1272" s="78">
        <f>IF(N($I1272)&gt;0,1,0)</f>
        <v/>
      </c>
      <c r="BZ1272" s="76">
        <f>IF($AJ1272="","Other / Leased Fee",IFERROR(INDEX(mapPTGroup,MATCH(LEFT(TRIM($AJ1272),2),mapPTCode,0)),"Other / Leased Fee"))</f>
        <v/>
      </c>
      <c r="CA1272" s="76">
        <f>IF(TRIM($AF1272&amp;"")="","NR",LEFT(TRIM($AF1272),2))</f>
        <v/>
      </c>
      <c r="CB1272" s="76">
        <f>IFERROR(LOOKUP(2,1/(LEFT(TRIM($AI1272&amp;""),LEN(mapRegion))=mapRegion),mapRegion),"Not Reported")</f>
        <v/>
      </c>
      <c r="CC1272" s="76">
        <f>IF($BY1272=0,"",IF(TRIM($W1272&amp;"")="REO","REO",IF(TRIM($W1272&amp;"")="FC","Foreclosure",IF(TRIM($W1272&amp;"")="90+","90+ Days Delinquent",IF(TRIM($W1272&amp;"")="60","60 Days Delinquent",IF(TRIM($W1272&amp;"")="30","30 Days Delinquent",IF($X1272="Non-Performing Matured Balloon","Non-Performing Matured Balloon",IF(OR($X1272="Late Payment But Less Than 30 Days Delinquent",LEFT($X1272&amp;"",20)="Payment Not Received"),"Late / In Grace (&lt;30 Days)",IF($X1272="Performing Matured Balloon","Performing Matured Balloon","Current")))))))))</f>
        <v/>
      </c>
      <c r="CD1272" s="78">
        <f>IF(OR($CC1272="REO",$CC1272="Foreclosure",$CC1272="90+ Days Delinquent",$CC1272="60 Days Delinquent",$CC1272="30 Days Delinquent",$CC1272="Non-Performing Matured Balloon"),1,0)</f>
        <v/>
      </c>
      <c r="CE1272" s="76">
        <f>IF($AB1272="Currently special serv","Currently Specially Serviced",IF($AB1272="Returned to master serv","Previously Specially Serviced","Never Specially Serviced"))</f>
        <v/>
      </c>
      <c r="CF1272" s="78">
        <f>IF($CE1272="Currently Specially Serviced",1,0)</f>
        <v/>
      </c>
      <c r="CG1272" s="76">
        <f>IF($AA1272="Yes","Currently on Watchlist",IF($AA1272="Previously","Previously on Watchlist","Never on Watchlist"))</f>
        <v/>
      </c>
      <c r="CH1272" s="78">
        <f>IF($CG1272="Currently on Watchlist",1,0)</f>
        <v/>
      </c>
      <c r="CI1272" s="76">
        <f>IF($Z1272="Full Defeasance","Fully Defeased",IF($Z1272="Portion Of Loan Previously Defeased","Partially Defeased",IF($Z1272="Defeasance Not Allowable","Not Defeased (Not Permitted)","Not Defeased")))</f>
        <v/>
      </c>
      <c r="CJ1272" s="78">
        <f>IF($CI1272="Fully Defeased",1,0)</f>
        <v/>
      </c>
      <c r="CK1272" s="76">
        <f>IF($R1272="IO","Full IO",IF(LEFT($R1272&amp;"",7)="IO then","Partial IO","Amortizing"))</f>
        <v/>
      </c>
      <c r="CL1272" s="78">
        <f>IF($CK1272="Full IO",1,0)</f>
        <v/>
      </c>
      <c r="CM1272" s="78">
        <f>IF($CK1272="Partial IO",1,0)</f>
        <v/>
      </c>
      <c r="CN1272" s="76">
        <f>IF(LEFT($F1272&amp;"",10)="SPLIT_LOAN","Pari Passu Split","Standalone")</f>
        <v/>
      </c>
      <c r="CO1272" s="78">
        <f>IF($CN1272="Pari Passu Split",1,0)</f>
        <v/>
      </c>
      <c r="CP1272" s="77">
        <f>IF(ISNUMBER($T1272),YEAR($T1272),"")</f>
        <v/>
      </c>
      <c r="CQ1272" s="79">
        <f>IF(ISNUMBER($V1272),$V1272,IF(ISNUMBER($U1272),$U1272,""))</f>
        <v/>
      </c>
      <c r="CR1272" s="77">
        <f>IF(ISNUMBER($CQ1272),YEAR($CQ1272),"")</f>
        <v/>
      </c>
      <c r="CS1272" s="78">
        <f>IF(ISNUMBER($M1272),MAX(0,$M1272),IF(TRIM($M1272&amp;"")="matured",0,""))</f>
        <v/>
      </c>
      <c r="CT1272" s="78">
        <f>IF(AND(ISNUMBER($CS1272),N($CS1272)&lt;=mMatWindow),1,0)</f>
        <v/>
      </c>
      <c r="CU1272" s="80">
        <f>IF(ISNUMBER($J1272),$J1272/100,"")</f>
        <v/>
      </c>
      <c r="CV1272" s="81">
        <f>IF(ISNUMBER($AQ1272),$AQ1272,"")</f>
        <v/>
      </c>
      <c r="CW1272" s="81">
        <f>IF(ISNUMBER($AR1272),$AR1272,"")</f>
        <v/>
      </c>
      <c r="CX1272" s="82">
        <f>IF(ISNUMBER($AS1272),$AS1272/100,"")</f>
        <v/>
      </c>
      <c r="CY1272" s="82">
        <f>IF(ISNUMBER($AT1272),$AT1272/100,"")</f>
        <v/>
      </c>
      <c r="CZ1272" s="82">
        <f>IF(ISNUMBER($AU1272),$AU1272/100,"")</f>
        <v/>
      </c>
      <c r="DA1272" s="82">
        <f>IF(ISNUMBER($AV1272),$AV1272/100,"")</f>
        <v/>
      </c>
      <c r="DB1272" s="82">
        <f>IF(ISNUMBER($AW1272),$AW1272/100,"")</f>
        <v/>
      </c>
      <c r="DC1272" s="82">
        <f>IF(ISNUMBER($AX1272),$AX1272/100,"")</f>
        <v/>
      </c>
      <c r="DD1272" s="77">
        <f>IFERROR(VALUE(LEFT(TRIM($AO1272&amp;""),4)),"")</f>
        <v/>
      </c>
      <c r="DE1272" s="78">
        <f>IF(AND($BY1272=1,$BX1272=1,OR(fDeal="All Deals",$BU1272=fDeal),OR(fEntity="All Entities",$BV1272=fEntity),OR(fPType="All Property Types",$BZ1272=fPType),OR(fDefeased="Include",$CJ1272=0)),1,0)</f>
        <v/>
      </c>
      <c r="DF1272" s="83">
        <f>$DE1272*N($I1272)</f>
        <v/>
      </c>
      <c r="DG1272" s="78">
        <f>IF($DE1272=1,IF(COUNTIFS($F$8:$F1272,$F1272,$DE$8:$DE1272,1)=1,1,0),0)</f>
        <v/>
      </c>
      <c r="DH1272" s="83">
        <f>IF($DG1272=1,SUMIFS($DF$8:$DF$1600,$F$8:$F$1600,$F1272),0)</f>
        <v/>
      </c>
      <c r="DI1272" s="78">
        <f>IF($DG1272=1,COUNTIFS($F$8:$F$1600,$F1272,$DE$8:$DE$1600,1),0)</f>
        <v/>
      </c>
      <c r="DJ1272" s="84">
        <f>IF($DG1272=1,$DH1272+(100000-ROW())/mTieBreak,0)</f>
        <v/>
      </c>
    </row>
    <row r="1273">
      <c r="B1273" s="68" t="n">
        <v>40</v>
      </c>
      <c r="C1273" s="69" t="inlineStr">
        <is>
          <t>UBS18C12</t>
        </is>
      </c>
      <c r="D1273" s="69" t="inlineStr">
        <is>
          <t>40.000</t>
        </is>
      </c>
      <c r="E1273" s="69" t="inlineStr">
        <is>
          <t>Hampton Inn - Provo</t>
        </is>
      </c>
      <c r="F1273" s="69" t="inlineStr">
        <is>
          <t>LNUBS18C12-40.000</t>
        </is>
      </c>
      <c r="G1273" s="70" t="n"/>
      <c r="H1273" s="71" t="n">
        <v>8000000</v>
      </c>
      <c r="I1273" s="71" t="n">
        <v>6868034.180000002</v>
      </c>
      <c r="J1273" s="72" t="n">
        <v>6.0085</v>
      </c>
      <c r="K1273" s="69" t="inlineStr">
        <is>
          <t>Fixed rate</t>
        </is>
      </c>
      <c r="L1273" s="68" t="n">
        <v>120</v>
      </c>
      <c r="M1273" s="68" t="n">
        <v>22</v>
      </c>
      <c r="N1273" s="68" t="n">
        <v>330</v>
      </c>
      <c r="O1273" s="68" t="n"/>
      <c r="P1273" s="68" t="n"/>
      <c r="Q1273" s="68" t="n">
        <v>98</v>
      </c>
      <c r="R1273" s="69" t="n"/>
      <c r="S1273" s="69" t="inlineStr">
        <is>
          <t>No</t>
        </is>
      </c>
      <c r="T1273" s="73" t="n">
        <v>43282</v>
      </c>
      <c r="U1273" s="73" t="n">
        <v>46940</v>
      </c>
      <c r="V1273" s="73" t="n"/>
      <c r="W1273" s="69" t="n"/>
      <c r="X1273" s="69" t="inlineStr">
        <is>
          <t>Current</t>
        </is>
      </c>
      <c r="Y1273" s="68" t="n"/>
      <c r="Z1273" s="69" t="inlineStr">
        <is>
          <t>Defeasance Not Allowable</t>
        </is>
      </c>
      <c r="AA1273" s="69" t="inlineStr">
        <is>
          <t>Yes</t>
        </is>
      </c>
      <c r="AB1273" s="69" t="inlineStr">
        <is>
          <t>Returned to master serv</t>
        </is>
      </c>
      <c r="AC1273" s="73" t="n"/>
      <c r="AD1273" s="69" t="inlineStr">
        <is>
          <t>Other</t>
        </is>
      </c>
      <c r="AE1273" s="69" t="inlineStr">
        <is>
          <t>Resolved</t>
        </is>
      </c>
      <c r="AF1273" s="69" t="inlineStr">
        <is>
          <t>UT</t>
        </is>
      </c>
      <c r="AG1273" s="69" t="inlineStr">
        <is>
          <t>Provo</t>
        </is>
      </c>
      <c r="AH1273" s="69" t="inlineStr">
        <is>
          <t>Provo-Orem-Lehi, UT</t>
        </is>
      </c>
      <c r="AI1273" s="69" t="inlineStr">
        <is>
          <t>West / Mountain</t>
        </is>
      </c>
      <c r="AJ1273" s="69" t="inlineStr">
        <is>
          <t>HT</t>
        </is>
      </c>
      <c r="AK1273" s="69" t="inlineStr">
        <is>
          <t>Limited Service</t>
        </is>
      </c>
      <c r="AL1273" s="68" t="n">
        <v>1</v>
      </c>
      <c r="AM1273" s="68" t="n">
        <v>87</v>
      </c>
      <c r="AN1273" s="68" t="n"/>
      <c r="AO1273" s="69" t="inlineStr">
        <is>
          <t>1996</t>
        </is>
      </c>
      <c r="AP1273" s="70" t="n">
        <v>2012</v>
      </c>
      <c r="AQ1273" s="74" t="n">
        <v>1.84</v>
      </c>
      <c r="AR1273" s="74" t="n">
        <v>1.32</v>
      </c>
      <c r="AS1273" s="74" t="n">
        <v>66.59999999999999</v>
      </c>
      <c r="AT1273" s="74" t="n">
        <v>69.37</v>
      </c>
      <c r="AU1273" s="74" t="n">
        <v>54.4</v>
      </c>
      <c r="AV1273" s="74" t="n">
        <v>13.67922725</v>
      </c>
      <c r="AW1273" s="74" t="n">
        <v>11.407733268</v>
      </c>
      <c r="AX1273" s="75" t="n">
        <v>66</v>
      </c>
      <c r="AY1273" s="71" t="n">
        <v>12000000</v>
      </c>
      <c r="AZ1273" s="71" t="n">
        <v>9900000</v>
      </c>
      <c r="BA1273" s="71" t="n">
        <v>1094338.18</v>
      </c>
      <c r="BB1273" s="71" t="n">
        <v>783487.02</v>
      </c>
      <c r="BC1273" s="69" t="inlineStr">
        <is>
          <t>Acquisition</t>
        </is>
      </c>
      <c r="BD1273" s="69" t="inlineStr">
        <is>
          <t>N</t>
        </is>
      </c>
      <c r="BE1273" s="71" t="n"/>
      <c r="BF1273" s="71" t="n"/>
      <c r="BG1273" s="71" t="n"/>
      <c r="BH1273" s="71" t="n">
        <v>0</v>
      </c>
      <c r="BI1273" s="71" t="n">
        <v>0</v>
      </c>
      <c r="BJ1273" s="69" t="inlineStr">
        <is>
          <t>Y</t>
        </is>
      </c>
      <c r="BK1273" s="69" t="n"/>
      <c r="BL1273" s="75" t="n"/>
      <c r="BM1273" s="73" t="n"/>
      <c r="BN1273" s="69" t="inlineStr">
        <is>
          <t>Girish Patel</t>
        </is>
      </c>
      <c r="BO1273" s="69" t="inlineStr">
        <is>
          <t>UBS</t>
        </is>
      </c>
      <c r="BP1273" s="69" t="inlineStr">
        <is>
          <t>Midland Loan Services</t>
        </is>
      </c>
      <c r="BQ1273" s="69" t="inlineStr">
        <is>
          <t>K-Star Asset Management LLC</t>
        </is>
      </c>
      <c r="BR1273" s="69" t="n"/>
      <c r="BS1273" s="73" t="n">
        <v>46276</v>
      </c>
      <c r="BU1273" s="76">
        <f>IF($C1273="","",IFERROR(INDEX(dmName,MATCH($C1273,dmID,0)),"Unmapped"))</f>
        <v/>
      </c>
      <c r="BV1273" s="76">
        <f>IF($C1273="","",IFERROR(INDEX(dmEntity,MATCH($C1273,dmID,0)),"Unmapped"))</f>
        <v/>
      </c>
      <c r="BW1273" s="77">
        <f>IF($C1273="","",IFERROR(INDEX(dmVintage,MATCH($C1273,dmID,0)),""))</f>
        <v/>
      </c>
      <c r="BX1273" s="78">
        <f>IFERROR(INDEX(dmInclude,MATCH($C1273,dmID,0)),0)</f>
        <v/>
      </c>
      <c r="BY1273" s="78">
        <f>IF(N($I1273)&gt;0,1,0)</f>
        <v/>
      </c>
      <c r="BZ1273" s="76">
        <f>IF($AJ1273="","Other / Leased Fee",IFERROR(INDEX(mapPTGroup,MATCH(LEFT(TRIM($AJ1273),2),mapPTCode,0)),"Other / Leased Fee"))</f>
        <v/>
      </c>
      <c r="CA1273" s="76">
        <f>IF(TRIM($AF1273&amp;"")="","NR",LEFT(TRIM($AF1273),2))</f>
        <v/>
      </c>
      <c r="CB1273" s="76">
        <f>IFERROR(LOOKUP(2,1/(LEFT(TRIM($AI1273&amp;""),LEN(mapRegion))=mapRegion),mapRegion),"Not Reported")</f>
        <v/>
      </c>
      <c r="CC1273" s="76">
        <f>IF($BY1273=0,"",IF(TRIM($W1273&amp;"")="REO","REO",IF(TRIM($W1273&amp;"")="FC","Foreclosure",IF(TRIM($W1273&amp;"")="90+","90+ Days Delinquent",IF(TRIM($W1273&amp;"")="60","60 Days Delinquent",IF(TRIM($W1273&amp;"")="30","30 Days Delinquent",IF($X1273="Non-Performing Matured Balloon","Non-Performing Matured Balloon",IF(OR($X1273="Late Payment But Less Than 30 Days Delinquent",LEFT($X1273&amp;"",20)="Payment Not Received"),"Late / In Grace (&lt;30 Days)",IF($X1273="Performing Matured Balloon","Performing Matured Balloon","Current")))))))))</f>
        <v/>
      </c>
      <c r="CD1273" s="78">
        <f>IF(OR($CC1273="REO",$CC1273="Foreclosure",$CC1273="90+ Days Delinquent",$CC1273="60 Days Delinquent",$CC1273="30 Days Delinquent",$CC1273="Non-Performing Matured Balloon"),1,0)</f>
        <v/>
      </c>
      <c r="CE1273" s="76">
        <f>IF($AB1273="Currently special serv","Currently Specially Serviced",IF($AB1273="Returned to master serv","Previously Specially Serviced","Never Specially Serviced"))</f>
        <v/>
      </c>
      <c r="CF1273" s="78">
        <f>IF($CE1273="Currently Specially Serviced",1,0)</f>
        <v/>
      </c>
      <c r="CG1273" s="76">
        <f>IF($AA1273="Yes","Currently on Watchlist",IF($AA1273="Previously","Previously on Watchlist","Never on Watchlist"))</f>
        <v/>
      </c>
      <c r="CH1273" s="78">
        <f>IF($CG1273="Currently on Watchlist",1,0)</f>
        <v/>
      </c>
      <c r="CI1273" s="76">
        <f>IF($Z1273="Full Defeasance","Fully Defeased",IF($Z1273="Portion Of Loan Previously Defeased","Partially Defeased",IF($Z1273="Defeasance Not Allowable","Not Defeased (Not Permitted)","Not Defeased")))</f>
        <v/>
      </c>
      <c r="CJ1273" s="78">
        <f>IF($CI1273="Fully Defeased",1,0)</f>
        <v/>
      </c>
      <c r="CK1273" s="76">
        <f>IF($R1273="IO","Full IO",IF(LEFT($R1273&amp;"",7)="IO then","Partial IO","Amortizing"))</f>
        <v/>
      </c>
      <c r="CL1273" s="78">
        <f>IF($CK1273="Full IO",1,0)</f>
        <v/>
      </c>
      <c r="CM1273" s="78">
        <f>IF($CK1273="Partial IO",1,0)</f>
        <v/>
      </c>
      <c r="CN1273" s="76">
        <f>IF(LEFT($F1273&amp;"",10)="SPLIT_LOAN","Pari Passu Split","Standalone")</f>
        <v/>
      </c>
      <c r="CO1273" s="78">
        <f>IF($CN1273="Pari Passu Split",1,0)</f>
        <v/>
      </c>
      <c r="CP1273" s="77">
        <f>IF(ISNUMBER($T1273),YEAR($T1273),"")</f>
        <v/>
      </c>
      <c r="CQ1273" s="79">
        <f>IF(ISNUMBER($V1273),$V1273,IF(ISNUMBER($U1273),$U1273,""))</f>
        <v/>
      </c>
      <c r="CR1273" s="77">
        <f>IF(ISNUMBER($CQ1273),YEAR($CQ1273),"")</f>
        <v/>
      </c>
      <c r="CS1273" s="78">
        <f>IF(ISNUMBER($M1273),MAX(0,$M1273),IF(TRIM($M1273&amp;"")="matured",0,""))</f>
        <v/>
      </c>
      <c r="CT1273" s="78">
        <f>IF(AND(ISNUMBER($CS1273),N($CS1273)&lt;=mMatWindow),1,0)</f>
        <v/>
      </c>
      <c r="CU1273" s="80">
        <f>IF(ISNUMBER($J1273),$J1273/100,"")</f>
        <v/>
      </c>
      <c r="CV1273" s="81">
        <f>IF(ISNUMBER($AQ1273),$AQ1273,"")</f>
        <v/>
      </c>
      <c r="CW1273" s="81">
        <f>IF(ISNUMBER($AR1273),$AR1273,"")</f>
        <v/>
      </c>
      <c r="CX1273" s="82">
        <f>IF(ISNUMBER($AS1273),$AS1273/100,"")</f>
        <v/>
      </c>
      <c r="CY1273" s="82">
        <f>IF(ISNUMBER($AT1273),$AT1273/100,"")</f>
        <v/>
      </c>
      <c r="CZ1273" s="82">
        <f>IF(ISNUMBER($AU1273),$AU1273/100,"")</f>
        <v/>
      </c>
      <c r="DA1273" s="82">
        <f>IF(ISNUMBER($AV1273),$AV1273/100,"")</f>
        <v/>
      </c>
      <c r="DB1273" s="82">
        <f>IF(ISNUMBER($AW1273),$AW1273/100,"")</f>
        <v/>
      </c>
      <c r="DC1273" s="82">
        <f>IF(ISNUMBER($AX1273),$AX1273/100,"")</f>
        <v/>
      </c>
      <c r="DD1273" s="77">
        <f>IFERROR(VALUE(LEFT(TRIM($AO1273&amp;""),4)),"")</f>
        <v/>
      </c>
      <c r="DE1273" s="78">
        <f>IF(AND($BY1273=1,$BX1273=1,OR(fDeal="All Deals",$BU1273=fDeal),OR(fEntity="All Entities",$BV1273=fEntity),OR(fPType="All Property Types",$BZ1273=fPType),OR(fDefeased="Include",$CJ1273=0)),1,0)</f>
        <v/>
      </c>
      <c r="DF1273" s="83">
        <f>$DE1273*N($I1273)</f>
        <v/>
      </c>
      <c r="DG1273" s="78">
        <f>IF($DE1273=1,IF(COUNTIFS($F$8:$F1273,$F1273,$DE$8:$DE1273,1)=1,1,0),0)</f>
        <v/>
      </c>
      <c r="DH1273" s="83">
        <f>IF($DG1273=1,SUMIFS($DF$8:$DF$1600,$F$8:$F$1600,$F1273),0)</f>
        <v/>
      </c>
      <c r="DI1273" s="78">
        <f>IF($DG1273=1,COUNTIFS($F$8:$F$1600,$F1273,$DE$8:$DE$1600,1),0)</f>
        <v/>
      </c>
      <c r="DJ1273" s="84">
        <f>IF($DG1273=1,$DH1273+(100000-ROW())/mTieBreak,0)</f>
        <v/>
      </c>
    </row>
    <row r="1274">
      <c r="B1274" s="68" t="n">
        <v>41</v>
      </c>
      <c r="C1274" s="69" t="inlineStr">
        <is>
          <t>UBS18C12</t>
        </is>
      </c>
      <c r="D1274" s="69" t="inlineStr">
        <is>
          <t>41.000</t>
        </is>
      </c>
      <c r="E1274" s="69" t="inlineStr">
        <is>
          <t>Holiday Inn Houston SW - Sugar Land Area</t>
        </is>
      </c>
      <c r="F1274" s="69" t="inlineStr">
        <is>
          <t>LNUBS18C12-41.000</t>
        </is>
      </c>
      <c r="G1274" s="70" t="n"/>
      <c r="H1274" s="71" t="n">
        <v>7700000</v>
      </c>
      <c r="I1274" s="71" t="n">
        <v>0</v>
      </c>
      <c r="J1274" s="72" t="n">
        <v>5.74</v>
      </c>
      <c r="K1274" s="69" t="inlineStr">
        <is>
          <t>Fixed rate</t>
        </is>
      </c>
      <c r="L1274" s="68" t="n">
        <v>120</v>
      </c>
      <c r="M1274" s="68" t="n"/>
      <c r="N1274" s="68" t="n">
        <v>300</v>
      </c>
      <c r="O1274" s="68" t="n"/>
      <c r="P1274" s="68" t="n"/>
      <c r="Q1274" s="68" t="n"/>
      <c r="R1274" s="69" t="n"/>
      <c r="S1274" s="69" t="inlineStr">
        <is>
          <t>No</t>
        </is>
      </c>
      <c r="T1274" s="73" t="n">
        <v>43282</v>
      </c>
      <c r="U1274" s="73" t="n">
        <v>46940</v>
      </c>
      <c r="V1274" s="73" t="n"/>
      <c r="W1274" s="69" t="n"/>
      <c r="X1274" s="69" t="inlineStr">
        <is>
          <t>Current</t>
        </is>
      </c>
      <c r="Y1274" s="68" t="n"/>
      <c r="Z1274" s="69" t="inlineStr">
        <is>
          <t>No Defeasance Occurred</t>
        </is>
      </c>
      <c r="AA1274" s="69" t="inlineStr">
        <is>
          <t>Previously</t>
        </is>
      </c>
      <c r="AB1274" s="69" t="inlineStr">
        <is>
          <t>Currently special serv</t>
        </is>
      </c>
      <c r="AC1274" s="73" t="n">
        <v>43965</v>
      </c>
      <c r="AD1274" s="69" t="inlineStr">
        <is>
          <t>Other</t>
        </is>
      </c>
      <c r="AE1274" s="69" t="inlineStr">
        <is>
          <t>REO</t>
        </is>
      </c>
      <c r="AF1274" s="69" t="inlineStr">
        <is>
          <t>TX</t>
        </is>
      </c>
      <c r="AG1274" s="69" t="inlineStr">
        <is>
          <t>Houston</t>
        </is>
      </c>
      <c r="AH1274" s="69" t="inlineStr">
        <is>
          <t>Houston-Pasadena-The Woodlands, TX</t>
        </is>
      </c>
      <c r="AI1274" s="69" t="inlineStr">
        <is>
          <t>South / Central West</t>
        </is>
      </c>
      <c r="AJ1274" s="69" t="inlineStr">
        <is>
          <t>HT</t>
        </is>
      </c>
      <c r="AK1274" s="69" t="inlineStr">
        <is>
          <t>Full Service</t>
        </is>
      </c>
      <c r="AL1274" s="68" t="n">
        <v>1</v>
      </c>
      <c r="AM1274" s="68" t="n">
        <v>206</v>
      </c>
      <c r="AN1274" s="68" t="n"/>
      <c r="AO1274" s="69" t="inlineStr">
        <is>
          <t>1981</t>
        </is>
      </c>
      <c r="AP1274" s="70" t="n">
        <v>2017</v>
      </c>
      <c r="AQ1274" s="74" t="n">
        <v>1.83</v>
      </c>
      <c r="AR1274" s="74" t="n">
        <v>-1.92</v>
      </c>
      <c r="AS1274" s="74" t="n">
        <v>51.6</v>
      </c>
      <c r="AT1274" s="74" t="n"/>
      <c r="AU1274" s="74" t="n">
        <v>39.7</v>
      </c>
      <c r="AV1274" s="74" t="n">
        <v>13.798299091</v>
      </c>
      <c r="AW1274" s="74" t="n"/>
      <c r="AX1274" s="75" t="n">
        <v>15</v>
      </c>
      <c r="AY1274" s="71" t="n">
        <v>14900000</v>
      </c>
      <c r="AZ1274" s="71" t="n">
        <v>3800000</v>
      </c>
      <c r="BA1274" s="71" t="n">
        <v>1062469.03</v>
      </c>
      <c r="BB1274" s="71" t="n">
        <v>-1112315.13</v>
      </c>
      <c r="BC1274" s="69" t="inlineStr">
        <is>
          <t>Refinance</t>
        </is>
      </c>
      <c r="BD1274" s="69" t="inlineStr">
        <is>
          <t>N</t>
        </is>
      </c>
      <c r="BE1274" s="71" t="n"/>
      <c r="BF1274" s="71" t="n"/>
      <c r="BG1274" s="71" t="n"/>
      <c r="BH1274" s="71" t="n">
        <v>0</v>
      </c>
      <c r="BI1274" s="71" t="n">
        <v>0</v>
      </c>
      <c r="BJ1274" s="69" t="inlineStr">
        <is>
          <t>N</t>
        </is>
      </c>
      <c r="BK1274" s="69" t="n"/>
      <c r="BL1274" s="75" t="n"/>
      <c r="BM1274" s="73" t="n"/>
      <c r="BN1274" s="69" t="inlineStr">
        <is>
          <t>Moiz Bhamani; Harwinder Kang; Moiz Bhamani Family Wealth Trust; Harwinder Kang Family Wealth Trust</t>
        </is>
      </c>
      <c r="BO1274" s="69" t="inlineStr">
        <is>
          <t>Rialto</t>
        </is>
      </c>
      <c r="BP1274" s="69" t="inlineStr">
        <is>
          <t>Midland Loan Services</t>
        </is>
      </c>
      <c r="BQ1274" s="69" t="inlineStr">
        <is>
          <t>K-Star Asset Management LLC</t>
        </is>
      </c>
      <c r="BR1274" s="69" t="inlineStr">
        <is>
          <t>Partial Liquidation (Curtailment)</t>
        </is>
      </c>
      <c r="BS1274" s="73" t="n">
        <v>46276</v>
      </c>
      <c r="BU1274" s="76">
        <f>IF($C1274="","",IFERROR(INDEX(dmName,MATCH($C1274,dmID,0)),"Unmapped"))</f>
        <v/>
      </c>
      <c r="BV1274" s="76">
        <f>IF($C1274="","",IFERROR(INDEX(dmEntity,MATCH($C1274,dmID,0)),"Unmapped"))</f>
        <v/>
      </c>
      <c r="BW1274" s="77">
        <f>IF($C1274="","",IFERROR(INDEX(dmVintage,MATCH($C1274,dmID,0)),""))</f>
        <v/>
      </c>
      <c r="BX1274" s="78">
        <f>IFERROR(INDEX(dmInclude,MATCH($C1274,dmID,0)),0)</f>
        <v/>
      </c>
      <c r="BY1274" s="78">
        <f>IF(N($I1274)&gt;0,1,0)</f>
        <v/>
      </c>
      <c r="BZ1274" s="76">
        <f>IF($AJ1274="","Other / Leased Fee",IFERROR(INDEX(mapPTGroup,MATCH(LEFT(TRIM($AJ1274),2),mapPTCode,0)),"Other / Leased Fee"))</f>
        <v/>
      </c>
      <c r="CA1274" s="76">
        <f>IF(TRIM($AF1274&amp;"")="","NR",LEFT(TRIM($AF1274),2))</f>
        <v/>
      </c>
      <c r="CB1274" s="76">
        <f>IFERROR(LOOKUP(2,1/(LEFT(TRIM($AI1274&amp;""),LEN(mapRegion))=mapRegion),mapRegion),"Not Reported")</f>
        <v/>
      </c>
      <c r="CC1274" s="76">
        <f>IF($BY1274=0,"",IF(TRIM($W1274&amp;"")="REO","REO",IF(TRIM($W1274&amp;"")="FC","Foreclosure",IF(TRIM($W1274&amp;"")="90+","90+ Days Delinquent",IF(TRIM($W1274&amp;"")="60","60 Days Delinquent",IF(TRIM($W1274&amp;"")="30","30 Days Delinquent",IF($X1274="Non-Performing Matured Balloon","Non-Performing Matured Balloon",IF(OR($X1274="Late Payment But Less Than 30 Days Delinquent",LEFT($X1274&amp;"",20)="Payment Not Received"),"Late / In Grace (&lt;30 Days)",IF($X1274="Performing Matured Balloon","Performing Matured Balloon","Current")))))))))</f>
        <v/>
      </c>
      <c r="CD1274" s="78">
        <f>IF(OR($CC1274="REO",$CC1274="Foreclosure",$CC1274="90+ Days Delinquent",$CC1274="60 Days Delinquent",$CC1274="30 Days Delinquent",$CC1274="Non-Performing Matured Balloon"),1,0)</f>
        <v/>
      </c>
      <c r="CE1274" s="76">
        <f>IF($AB1274="Currently special serv","Currently Specially Serviced",IF($AB1274="Returned to master serv","Previously Specially Serviced","Never Specially Serviced"))</f>
        <v/>
      </c>
      <c r="CF1274" s="78">
        <f>IF($CE1274="Currently Specially Serviced",1,0)</f>
        <v/>
      </c>
      <c r="CG1274" s="76">
        <f>IF($AA1274="Yes","Currently on Watchlist",IF($AA1274="Previously","Previously on Watchlist","Never on Watchlist"))</f>
        <v/>
      </c>
      <c r="CH1274" s="78">
        <f>IF($CG1274="Currently on Watchlist",1,0)</f>
        <v/>
      </c>
      <c r="CI1274" s="76">
        <f>IF($Z1274="Full Defeasance","Fully Defeased",IF($Z1274="Portion Of Loan Previously Defeased","Partially Defeased",IF($Z1274="Defeasance Not Allowable","Not Defeased (Not Permitted)","Not Defeased")))</f>
        <v/>
      </c>
      <c r="CJ1274" s="78">
        <f>IF($CI1274="Fully Defeased",1,0)</f>
        <v/>
      </c>
      <c r="CK1274" s="76">
        <f>IF($R1274="IO","Full IO",IF(LEFT($R1274&amp;"",7)="IO then","Partial IO","Amortizing"))</f>
        <v/>
      </c>
      <c r="CL1274" s="78">
        <f>IF($CK1274="Full IO",1,0)</f>
        <v/>
      </c>
      <c r="CM1274" s="78">
        <f>IF($CK1274="Partial IO",1,0)</f>
        <v/>
      </c>
      <c r="CN1274" s="76">
        <f>IF(LEFT($F1274&amp;"",10)="SPLIT_LOAN","Pari Passu Split","Standalone")</f>
        <v/>
      </c>
      <c r="CO1274" s="78">
        <f>IF($CN1274="Pari Passu Split",1,0)</f>
        <v/>
      </c>
      <c r="CP1274" s="77">
        <f>IF(ISNUMBER($T1274),YEAR($T1274),"")</f>
        <v/>
      </c>
      <c r="CQ1274" s="79">
        <f>IF(ISNUMBER($V1274),$V1274,IF(ISNUMBER($U1274),$U1274,""))</f>
        <v/>
      </c>
      <c r="CR1274" s="77">
        <f>IF(ISNUMBER($CQ1274),YEAR($CQ1274),"")</f>
        <v/>
      </c>
      <c r="CS1274" s="78">
        <f>IF(ISNUMBER($M1274),MAX(0,$M1274),IF(TRIM($M1274&amp;"")="matured",0,""))</f>
        <v/>
      </c>
      <c r="CT1274" s="78">
        <f>IF(AND(ISNUMBER($CS1274),N($CS1274)&lt;=mMatWindow),1,0)</f>
        <v/>
      </c>
      <c r="CU1274" s="80">
        <f>IF(ISNUMBER($J1274),$J1274/100,"")</f>
        <v/>
      </c>
      <c r="CV1274" s="81">
        <f>IF(ISNUMBER($AQ1274),$AQ1274,"")</f>
        <v/>
      </c>
      <c r="CW1274" s="81">
        <f>IF(ISNUMBER($AR1274),$AR1274,"")</f>
        <v/>
      </c>
      <c r="CX1274" s="82">
        <f>IF(ISNUMBER($AS1274),$AS1274/100,"")</f>
        <v/>
      </c>
      <c r="CY1274" s="82">
        <f>IF(ISNUMBER($AT1274),$AT1274/100,"")</f>
        <v/>
      </c>
      <c r="CZ1274" s="82">
        <f>IF(ISNUMBER($AU1274),$AU1274/100,"")</f>
        <v/>
      </c>
      <c r="DA1274" s="82">
        <f>IF(ISNUMBER($AV1274),$AV1274/100,"")</f>
        <v/>
      </c>
      <c r="DB1274" s="82">
        <f>IF(ISNUMBER($AW1274),$AW1274/100,"")</f>
        <v/>
      </c>
      <c r="DC1274" s="82">
        <f>IF(ISNUMBER($AX1274),$AX1274/100,"")</f>
        <v/>
      </c>
      <c r="DD1274" s="77">
        <f>IFERROR(VALUE(LEFT(TRIM($AO1274&amp;""),4)),"")</f>
        <v/>
      </c>
      <c r="DE1274" s="78">
        <f>IF(AND($BY1274=1,$BX1274=1,OR(fDeal="All Deals",$BU1274=fDeal),OR(fEntity="All Entities",$BV1274=fEntity),OR(fPType="All Property Types",$BZ1274=fPType),OR(fDefeased="Include",$CJ1274=0)),1,0)</f>
        <v/>
      </c>
      <c r="DF1274" s="83">
        <f>$DE1274*N($I1274)</f>
        <v/>
      </c>
      <c r="DG1274" s="78">
        <f>IF($DE1274=1,IF(COUNTIFS($F$8:$F1274,$F1274,$DE$8:$DE1274,1)=1,1,0),0)</f>
        <v/>
      </c>
      <c r="DH1274" s="83">
        <f>IF($DG1274=1,SUMIFS($DF$8:$DF$1600,$F$8:$F$1600,$F1274),0)</f>
        <v/>
      </c>
      <c r="DI1274" s="78">
        <f>IF($DG1274=1,COUNTIFS($F$8:$F$1600,$F1274,$DE$8:$DE$1600,1),0)</f>
        <v/>
      </c>
      <c r="DJ1274" s="84">
        <f>IF($DG1274=1,$DH1274+(100000-ROW())/mTieBreak,0)</f>
        <v/>
      </c>
    </row>
    <row r="1275">
      <c r="B1275" s="68" t="n">
        <v>42</v>
      </c>
      <c r="C1275" s="69" t="inlineStr">
        <is>
          <t>UBS18C12</t>
        </is>
      </c>
      <c r="D1275" s="69" t="inlineStr">
        <is>
          <t>42.000</t>
        </is>
      </c>
      <c r="E1275" s="69" t="inlineStr">
        <is>
          <t>St. Vrain MHC</t>
        </is>
      </c>
      <c r="F1275" s="69" t="inlineStr">
        <is>
          <t>LNUBS18C12-42.000</t>
        </is>
      </c>
      <c r="G1275" s="70" t="n"/>
      <c r="H1275" s="71" t="n">
        <v>7600000</v>
      </c>
      <c r="I1275" s="71" t="n">
        <v>7464504.9999976</v>
      </c>
      <c r="J1275" s="72" t="n">
        <v>5.31</v>
      </c>
      <c r="K1275" s="69" t="inlineStr">
        <is>
          <t>Fixed rate</t>
        </is>
      </c>
      <c r="L1275" s="68" t="n">
        <v>120</v>
      </c>
      <c r="M1275" s="68" t="n">
        <v>22</v>
      </c>
      <c r="N1275" s="68" t="n">
        <v>120</v>
      </c>
      <c r="O1275" s="68" t="n">
        <v>120</v>
      </c>
      <c r="P1275" s="68" t="n">
        <v>22</v>
      </c>
      <c r="Q1275" s="68" t="n">
        <v>98</v>
      </c>
      <c r="R1275" s="69" t="inlineStr">
        <is>
          <t>IO</t>
        </is>
      </c>
      <c r="S1275" s="69" t="inlineStr">
        <is>
          <t>Yes</t>
        </is>
      </c>
      <c r="T1275" s="73" t="n">
        <v>43282</v>
      </c>
      <c r="U1275" s="73" t="n">
        <v>46940</v>
      </c>
      <c r="V1275" s="73" t="n"/>
      <c r="W1275" s="69" t="n"/>
      <c r="X1275" s="69" t="inlineStr">
        <is>
          <t>Current</t>
        </is>
      </c>
      <c r="Y1275" s="68" t="n"/>
      <c r="Z1275" s="69" t="inlineStr">
        <is>
          <t>Full Defeasance</t>
        </is>
      </c>
      <c r="AA1275" s="69" t="inlineStr">
        <is>
          <t>Previously</t>
        </is>
      </c>
      <c r="AB1275" s="69" t="inlineStr">
        <is>
          <t>Never special serv</t>
        </is>
      </c>
      <c r="AC1275" s="73" t="n"/>
      <c r="AD1275" s="69" t="n"/>
      <c r="AE1275" s="69" t="n"/>
      <c r="AF1275" s="69" t="inlineStr">
        <is>
          <t>CO</t>
        </is>
      </c>
      <c r="AG1275" s="69" t="inlineStr">
        <is>
          <t>Longmont</t>
        </is>
      </c>
      <c r="AH1275" s="69" t="inlineStr">
        <is>
          <t>Boulder, CO</t>
        </is>
      </c>
      <c r="AI1275" s="69" t="inlineStr">
        <is>
          <t>West / Mountain</t>
        </is>
      </c>
      <c r="AJ1275" s="69" t="inlineStr">
        <is>
          <t>MH</t>
        </is>
      </c>
      <c r="AK1275" s="69" t="n"/>
      <c r="AL1275" s="68" t="n">
        <v>1</v>
      </c>
      <c r="AM1275" s="68" t="n">
        <v>136</v>
      </c>
      <c r="AN1275" s="68" t="n"/>
      <c r="AO1275" s="69" t="inlineStr">
        <is>
          <t>1970</t>
        </is>
      </c>
      <c r="AP1275" s="70" t="n">
        <v>1970</v>
      </c>
      <c r="AQ1275" s="74" t="n">
        <v>1.57</v>
      </c>
      <c r="AR1275" s="74" t="n">
        <v>1.97</v>
      </c>
      <c r="AS1275" s="74" t="n">
        <v>62.3</v>
      </c>
      <c r="AT1275" s="74" t="n">
        <v>61.18</v>
      </c>
      <c r="AU1275" s="74" t="n">
        <v>62.3</v>
      </c>
      <c r="AV1275" s="74" t="n">
        <v>8.460994868</v>
      </c>
      <c r="AW1275" s="74" t="n">
        <v>10.607068922</v>
      </c>
      <c r="AX1275" s="75" t="n">
        <v>100</v>
      </c>
      <c r="AY1275" s="71" t="n">
        <v>12200000</v>
      </c>
      <c r="AZ1275" s="71" t="n">
        <v>12200000</v>
      </c>
      <c r="BA1275" s="71" t="n">
        <v>643035.61</v>
      </c>
      <c r="BB1275" s="71" t="n">
        <v>808098.98</v>
      </c>
      <c r="BC1275" s="69" t="inlineStr">
        <is>
          <t>Refinance</t>
        </is>
      </c>
      <c r="BD1275" s="69" t="inlineStr">
        <is>
          <t>N</t>
        </is>
      </c>
      <c r="BE1275" s="71" t="n"/>
      <c r="BF1275" s="71" t="n"/>
      <c r="BG1275" s="71" t="n"/>
      <c r="BH1275" s="71" t="n">
        <v>0</v>
      </c>
      <c r="BI1275" s="71" t="n">
        <v>0</v>
      </c>
      <c r="BJ1275" s="69" t="inlineStr">
        <is>
          <t>N</t>
        </is>
      </c>
      <c r="BK1275" s="69" t="n"/>
      <c r="BL1275" s="75" t="n"/>
      <c r="BM1275" s="73" t="n"/>
      <c r="BN1275" s="69" t="inlineStr">
        <is>
          <t>Matthew N. Follett</t>
        </is>
      </c>
      <c r="BO1275" s="69" t="inlineStr">
        <is>
          <t>Ladder Capital Finance</t>
        </is>
      </c>
      <c r="BP1275" s="69" t="inlineStr">
        <is>
          <t>Midland Loan Services</t>
        </is>
      </c>
      <c r="BQ1275" s="69" t="inlineStr">
        <is>
          <t>K-Star Asset Management LLC</t>
        </is>
      </c>
      <c r="BR1275" s="69" t="inlineStr">
        <is>
          <t>Partial Liquidation (Curtailment)</t>
        </is>
      </c>
      <c r="BS1275" s="73" t="n">
        <v>46276</v>
      </c>
      <c r="BU1275" s="76">
        <f>IF($C1275="","",IFERROR(INDEX(dmName,MATCH($C1275,dmID,0)),"Unmapped"))</f>
        <v/>
      </c>
      <c r="BV1275" s="76">
        <f>IF($C1275="","",IFERROR(INDEX(dmEntity,MATCH($C1275,dmID,0)),"Unmapped"))</f>
        <v/>
      </c>
      <c r="BW1275" s="77">
        <f>IF($C1275="","",IFERROR(INDEX(dmVintage,MATCH($C1275,dmID,0)),""))</f>
        <v/>
      </c>
      <c r="BX1275" s="78">
        <f>IFERROR(INDEX(dmInclude,MATCH($C1275,dmID,0)),0)</f>
        <v/>
      </c>
      <c r="BY1275" s="78">
        <f>IF(N($I1275)&gt;0,1,0)</f>
        <v/>
      </c>
      <c r="BZ1275" s="76">
        <f>IF($AJ1275="","Other / Leased Fee",IFERROR(INDEX(mapPTGroup,MATCH(LEFT(TRIM($AJ1275),2),mapPTCode,0)),"Other / Leased Fee"))</f>
        <v/>
      </c>
      <c r="CA1275" s="76">
        <f>IF(TRIM($AF1275&amp;"")="","NR",LEFT(TRIM($AF1275),2))</f>
        <v/>
      </c>
      <c r="CB1275" s="76">
        <f>IFERROR(LOOKUP(2,1/(LEFT(TRIM($AI1275&amp;""),LEN(mapRegion))=mapRegion),mapRegion),"Not Reported")</f>
        <v/>
      </c>
      <c r="CC1275" s="76">
        <f>IF($BY1275=0,"",IF(TRIM($W1275&amp;"")="REO","REO",IF(TRIM($W1275&amp;"")="FC","Foreclosure",IF(TRIM($W1275&amp;"")="90+","90+ Days Delinquent",IF(TRIM($W1275&amp;"")="60","60 Days Delinquent",IF(TRIM($W1275&amp;"")="30","30 Days Delinquent",IF($X1275="Non-Performing Matured Balloon","Non-Performing Matured Balloon",IF(OR($X1275="Late Payment But Less Than 30 Days Delinquent",LEFT($X1275&amp;"",20)="Payment Not Received"),"Late / In Grace (&lt;30 Days)",IF($X1275="Performing Matured Balloon","Performing Matured Balloon","Current")))))))))</f>
        <v/>
      </c>
      <c r="CD1275" s="78">
        <f>IF(OR($CC1275="REO",$CC1275="Foreclosure",$CC1275="90+ Days Delinquent",$CC1275="60 Days Delinquent",$CC1275="30 Days Delinquent",$CC1275="Non-Performing Matured Balloon"),1,0)</f>
        <v/>
      </c>
      <c r="CE1275" s="76">
        <f>IF($AB1275="Currently special serv","Currently Specially Serviced",IF($AB1275="Returned to master serv","Previously Specially Serviced","Never Specially Serviced"))</f>
        <v/>
      </c>
      <c r="CF1275" s="78">
        <f>IF($CE1275="Currently Specially Serviced",1,0)</f>
        <v/>
      </c>
      <c r="CG1275" s="76">
        <f>IF($AA1275="Yes","Currently on Watchlist",IF($AA1275="Previously","Previously on Watchlist","Never on Watchlist"))</f>
        <v/>
      </c>
      <c r="CH1275" s="78">
        <f>IF($CG1275="Currently on Watchlist",1,0)</f>
        <v/>
      </c>
      <c r="CI1275" s="76">
        <f>IF($Z1275="Full Defeasance","Fully Defeased",IF($Z1275="Portion Of Loan Previously Defeased","Partially Defeased",IF($Z1275="Defeasance Not Allowable","Not Defeased (Not Permitted)","Not Defeased")))</f>
        <v/>
      </c>
      <c r="CJ1275" s="78">
        <f>IF($CI1275="Fully Defeased",1,0)</f>
        <v/>
      </c>
      <c r="CK1275" s="76">
        <f>IF($R1275="IO","Full IO",IF(LEFT($R1275&amp;"",7)="IO then","Partial IO","Amortizing"))</f>
        <v/>
      </c>
      <c r="CL1275" s="78">
        <f>IF($CK1275="Full IO",1,0)</f>
        <v/>
      </c>
      <c r="CM1275" s="78">
        <f>IF($CK1275="Partial IO",1,0)</f>
        <v/>
      </c>
      <c r="CN1275" s="76">
        <f>IF(LEFT($F1275&amp;"",10)="SPLIT_LOAN","Pari Passu Split","Standalone")</f>
        <v/>
      </c>
      <c r="CO1275" s="78">
        <f>IF($CN1275="Pari Passu Split",1,0)</f>
        <v/>
      </c>
      <c r="CP1275" s="77">
        <f>IF(ISNUMBER($T1275),YEAR($T1275),"")</f>
        <v/>
      </c>
      <c r="CQ1275" s="79">
        <f>IF(ISNUMBER($V1275),$V1275,IF(ISNUMBER($U1275),$U1275,""))</f>
        <v/>
      </c>
      <c r="CR1275" s="77">
        <f>IF(ISNUMBER($CQ1275),YEAR($CQ1275),"")</f>
        <v/>
      </c>
      <c r="CS1275" s="78">
        <f>IF(ISNUMBER($M1275),MAX(0,$M1275),IF(TRIM($M1275&amp;"")="matured",0,""))</f>
        <v/>
      </c>
      <c r="CT1275" s="78">
        <f>IF(AND(ISNUMBER($CS1275),N($CS1275)&lt;=mMatWindow),1,0)</f>
        <v/>
      </c>
      <c r="CU1275" s="80">
        <f>IF(ISNUMBER($J1275),$J1275/100,"")</f>
        <v/>
      </c>
      <c r="CV1275" s="81">
        <f>IF(ISNUMBER($AQ1275),$AQ1275,"")</f>
        <v/>
      </c>
      <c r="CW1275" s="81">
        <f>IF(ISNUMBER($AR1275),$AR1275,"")</f>
        <v/>
      </c>
      <c r="CX1275" s="82">
        <f>IF(ISNUMBER($AS1275),$AS1275/100,"")</f>
        <v/>
      </c>
      <c r="CY1275" s="82">
        <f>IF(ISNUMBER($AT1275),$AT1275/100,"")</f>
        <v/>
      </c>
      <c r="CZ1275" s="82">
        <f>IF(ISNUMBER($AU1275),$AU1275/100,"")</f>
        <v/>
      </c>
      <c r="DA1275" s="82">
        <f>IF(ISNUMBER($AV1275),$AV1275/100,"")</f>
        <v/>
      </c>
      <c r="DB1275" s="82">
        <f>IF(ISNUMBER($AW1275),$AW1275/100,"")</f>
        <v/>
      </c>
      <c r="DC1275" s="82">
        <f>IF(ISNUMBER($AX1275),$AX1275/100,"")</f>
        <v/>
      </c>
      <c r="DD1275" s="77">
        <f>IFERROR(VALUE(LEFT(TRIM($AO1275&amp;""),4)),"")</f>
        <v/>
      </c>
      <c r="DE1275" s="78">
        <f>IF(AND($BY1275=1,$BX1275=1,OR(fDeal="All Deals",$BU1275=fDeal),OR(fEntity="All Entities",$BV1275=fEntity),OR(fPType="All Property Types",$BZ1275=fPType),OR(fDefeased="Include",$CJ1275=0)),1,0)</f>
        <v/>
      </c>
      <c r="DF1275" s="83">
        <f>$DE1275*N($I1275)</f>
        <v/>
      </c>
      <c r="DG1275" s="78">
        <f>IF($DE1275=1,IF(COUNTIFS($F$8:$F1275,$F1275,$DE$8:$DE1275,1)=1,1,0),0)</f>
        <v/>
      </c>
      <c r="DH1275" s="83">
        <f>IF($DG1275=1,SUMIFS($DF$8:$DF$1600,$F$8:$F$1600,$F1275),0)</f>
        <v/>
      </c>
      <c r="DI1275" s="78">
        <f>IF($DG1275=1,COUNTIFS($F$8:$F$1600,$F1275,$DE$8:$DE$1600,1),0)</f>
        <v/>
      </c>
      <c r="DJ1275" s="84">
        <f>IF($DG1275=1,$DH1275+(100000-ROW())/mTieBreak,0)</f>
        <v/>
      </c>
    </row>
    <row r="1276">
      <c r="B1276" s="68" t="n">
        <v>43</v>
      </c>
      <c r="C1276" s="69" t="inlineStr">
        <is>
          <t>UBS18C12</t>
        </is>
      </c>
      <c r="D1276" s="69" t="inlineStr">
        <is>
          <t>43.000</t>
        </is>
      </c>
      <c r="E1276" s="69" t="inlineStr">
        <is>
          <t>Livonia Industrial II</t>
        </is>
      </c>
      <c r="F1276" s="69" t="inlineStr">
        <is>
          <t>LNUBS18C12-43.000</t>
        </is>
      </c>
      <c r="G1276" s="70" t="n"/>
      <c r="H1276" s="71" t="n">
        <v>7386750</v>
      </c>
      <c r="I1276" s="71" t="n">
        <v>6821247.490001122</v>
      </c>
      <c r="J1276" s="72" t="n">
        <v>5.185</v>
      </c>
      <c r="K1276" s="69" t="inlineStr">
        <is>
          <t>Fixed rate</t>
        </is>
      </c>
      <c r="L1276" s="68" t="n">
        <v>120</v>
      </c>
      <c r="M1276" s="68" t="n">
        <v>23</v>
      </c>
      <c r="N1276" s="68" t="n">
        <v>396</v>
      </c>
      <c r="O1276" s="68" t="n">
        <v>36</v>
      </c>
      <c r="P1276" s="68" t="n">
        <v>0</v>
      </c>
      <c r="Q1276" s="68" t="n">
        <v>97</v>
      </c>
      <c r="R1276" s="69" t="inlineStr">
        <is>
          <t>IO then Amort</t>
        </is>
      </c>
      <c r="S1276" s="69" t="inlineStr">
        <is>
          <t>No</t>
        </is>
      </c>
      <c r="T1276" s="73" t="n">
        <v>43313</v>
      </c>
      <c r="U1276" s="73" t="n">
        <v>46971</v>
      </c>
      <c r="V1276" s="73" t="n"/>
      <c r="W1276" s="69" t="n"/>
      <c r="X1276" s="69" t="inlineStr">
        <is>
          <t>Current</t>
        </is>
      </c>
      <c r="Y1276" s="68" t="n"/>
      <c r="Z1276" s="69" t="inlineStr">
        <is>
          <t>Full Defeasance</t>
        </is>
      </c>
      <c r="AA1276" s="69" t="inlineStr">
        <is>
          <t>Previously</t>
        </is>
      </c>
      <c r="AB1276" s="69" t="inlineStr">
        <is>
          <t>Never special serv</t>
        </is>
      </c>
      <c r="AC1276" s="73" t="n"/>
      <c r="AD1276" s="69" t="n"/>
      <c r="AE1276" s="69" t="n"/>
      <c r="AF1276" s="69" t="inlineStr">
        <is>
          <t>MI</t>
        </is>
      </c>
      <c r="AG1276" s="69" t="inlineStr">
        <is>
          <t>Livonia</t>
        </is>
      </c>
      <c r="AH1276" s="69" t="inlineStr">
        <is>
          <t>Detroit-Warren-Dearborn, MI</t>
        </is>
      </c>
      <c r="AI1276" s="69" t="inlineStr">
        <is>
          <t>Midwest / Central East</t>
        </is>
      </c>
      <c r="AJ1276" s="69" t="inlineStr">
        <is>
          <t>IN</t>
        </is>
      </c>
      <c r="AK1276" s="69" t="inlineStr">
        <is>
          <t>Warehouse/Distribution</t>
        </is>
      </c>
      <c r="AL1276" s="68" t="n">
        <v>1</v>
      </c>
      <c r="AM1276" s="68" t="n"/>
      <c r="AN1276" s="68" t="n">
        <v>148586</v>
      </c>
      <c r="AO1276" s="69" t="inlineStr">
        <is>
          <t>1993</t>
        </is>
      </c>
      <c r="AP1276" s="70" t="n">
        <v>1993</v>
      </c>
      <c r="AQ1276" s="74" t="n">
        <v>1.76</v>
      </c>
      <c r="AR1276" s="74" t="n">
        <v>1.98</v>
      </c>
      <c r="AS1276" s="74" t="n">
        <v>72.40000000000001</v>
      </c>
      <c r="AT1276" s="74" t="n">
        <v>66.87</v>
      </c>
      <c r="AU1276" s="74" t="n">
        <v>64.40000000000001</v>
      </c>
      <c r="AV1276" s="74" t="n">
        <v>9.266773344000001</v>
      </c>
      <c r="AW1276" s="74" t="n">
        <v>14.0704301</v>
      </c>
      <c r="AX1276" s="75" t="n">
        <v>100</v>
      </c>
      <c r="AY1276" s="71" t="n">
        <v>10200000</v>
      </c>
      <c r="AZ1276" s="71" t="n">
        <v>10200000</v>
      </c>
      <c r="BA1276" s="71" t="n">
        <v>684513.38</v>
      </c>
      <c r="BB1276" s="71" t="n">
        <v>959778.86</v>
      </c>
      <c r="BC1276" s="69" t="inlineStr">
        <is>
          <t>Acquisition</t>
        </is>
      </c>
      <c r="BD1276" s="69" t="inlineStr">
        <is>
          <t>N</t>
        </is>
      </c>
      <c r="BE1276" s="71" t="n"/>
      <c r="BF1276" s="71" t="n"/>
      <c r="BG1276" s="71" t="n"/>
      <c r="BH1276" s="71" t="n">
        <v>0</v>
      </c>
      <c r="BI1276" s="71" t="n">
        <v>0</v>
      </c>
      <c r="BJ1276" s="69" t="inlineStr">
        <is>
          <t>N</t>
        </is>
      </c>
      <c r="BK1276" s="69" t="inlineStr">
        <is>
          <t>DIGITEK</t>
        </is>
      </c>
      <c r="BL1276" s="75" t="n">
        <v>21.84</v>
      </c>
      <c r="BM1276" s="73" t="n">
        <v>46446</v>
      </c>
      <c r="BN1276" s="69" t="inlineStr">
        <is>
          <t>William Zabala</t>
        </is>
      </c>
      <c r="BO1276" s="69" t="inlineStr">
        <is>
          <t>Ladder Capital Finance</t>
        </is>
      </c>
      <c r="BP1276" s="69" t="inlineStr">
        <is>
          <t>Midland Loan Services</t>
        </is>
      </c>
      <c r="BQ1276" s="69" t="inlineStr">
        <is>
          <t>K-Star Asset Management LLC</t>
        </is>
      </c>
      <c r="BR1276" s="69" t="n"/>
      <c r="BS1276" s="73" t="n">
        <v>46276</v>
      </c>
      <c r="BU1276" s="76">
        <f>IF($C1276="","",IFERROR(INDEX(dmName,MATCH($C1276,dmID,0)),"Unmapped"))</f>
        <v/>
      </c>
      <c r="BV1276" s="76">
        <f>IF($C1276="","",IFERROR(INDEX(dmEntity,MATCH($C1276,dmID,0)),"Unmapped"))</f>
        <v/>
      </c>
      <c r="BW1276" s="77">
        <f>IF($C1276="","",IFERROR(INDEX(dmVintage,MATCH($C1276,dmID,0)),""))</f>
        <v/>
      </c>
      <c r="BX1276" s="78">
        <f>IFERROR(INDEX(dmInclude,MATCH($C1276,dmID,0)),0)</f>
        <v/>
      </c>
      <c r="BY1276" s="78">
        <f>IF(N($I1276)&gt;0,1,0)</f>
        <v/>
      </c>
      <c r="BZ1276" s="76">
        <f>IF($AJ1276="","Other / Leased Fee",IFERROR(INDEX(mapPTGroup,MATCH(LEFT(TRIM($AJ1276),2),mapPTCode,0)),"Other / Leased Fee"))</f>
        <v/>
      </c>
      <c r="CA1276" s="76">
        <f>IF(TRIM($AF1276&amp;"")="","NR",LEFT(TRIM($AF1276),2))</f>
        <v/>
      </c>
      <c r="CB1276" s="76">
        <f>IFERROR(LOOKUP(2,1/(LEFT(TRIM($AI1276&amp;""),LEN(mapRegion))=mapRegion),mapRegion),"Not Reported")</f>
        <v/>
      </c>
      <c r="CC1276" s="76">
        <f>IF($BY1276=0,"",IF(TRIM($W1276&amp;"")="REO","REO",IF(TRIM($W1276&amp;"")="FC","Foreclosure",IF(TRIM($W1276&amp;"")="90+","90+ Days Delinquent",IF(TRIM($W1276&amp;"")="60","60 Days Delinquent",IF(TRIM($W1276&amp;"")="30","30 Days Delinquent",IF($X1276="Non-Performing Matured Balloon","Non-Performing Matured Balloon",IF(OR($X1276="Late Payment But Less Than 30 Days Delinquent",LEFT($X1276&amp;"",20)="Payment Not Received"),"Late / In Grace (&lt;30 Days)",IF($X1276="Performing Matured Balloon","Performing Matured Balloon","Current")))))))))</f>
        <v/>
      </c>
      <c r="CD1276" s="78">
        <f>IF(OR($CC1276="REO",$CC1276="Foreclosure",$CC1276="90+ Days Delinquent",$CC1276="60 Days Delinquent",$CC1276="30 Days Delinquent",$CC1276="Non-Performing Matured Balloon"),1,0)</f>
        <v/>
      </c>
      <c r="CE1276" s="76">
        <f>IF($AB1276="Currently special serv","Currently Specially Serviced",IF($AB1276="Returned to master serv","Previously Specially Serviced","Never Specially Serviced"))</f>
        <v/>
      </c>
      <c r="CF1276" s="78">
        <f>IF($CE1276="Currently Specially Serviced",1,0)</f>
        <v/>
      </c>
      <c r="CG1276" s="76">
        <f>IF($AA1276="Yes","Currently on Watchlist",IF($AA1276="Previously","Previously on Watchlist","Never on Watchlist"))</f>
        <v/>
      </c>
      <c r="CH1276" s="78">
        <f>IF($CG1276="Currently on Watchlist",1,0)</f>
        <v/>
      </c>
      <c r="CI1276" s="76">
        <f>IF($Z1276="Full Defeasance","Fully Defeased",IF($Z1276="Portion Of Loan Previously Defeased","Partially Defeased",IF($Z1276="Defeasance Not Allowable","Not Defeased (Not Permitted)","Not Defeased")))</f>
        <v/>
      </c>
      <c r="CJ1276" s="78">
        <f>IF($CI1276="Fully Defeased",1,0)</f>
        <v/>
      </c>
      <c r="CK1276" s="76">
        <f>IF($R1276="IO","Full IO",IF(LEFT($R1276&amp;"",7)="IO then","Partial IO","Amortizing"))</f>
        <v/>
      </c>
      <c r="CL1276" s="78">
        <f>IF($CK1276="Full IO",1,0)</f>
        <v/>
      </c>
      <c r="CM1276" s="78">
        <f>IF($CK1276="Partial IO",1,0)</f>
        <v/>
      </c>
      <c r="CN1276" s="76">
        <f>IF(LEFT($F1276&amp;"",10)="SPLIT_LOAN","Pari Passu Split","Standalone")</f>
        <v/>
      </c>
      <c r="CO1276" s="78">
        <f>IF($CN1276="Pari Passu Split",1,0)</f>
        <v/>
      </c>
      <c r="CP1276" s="77">
        <f>IF(ISNUMBER($T1276),YEAR($T1276),"")</f>
        <v/>
      </c>
      <c r="CQ1276" s="79">
        <f>IF(ISNUMBER($V1276),$V1276,IF(ISNUMBER($U1276),$U1276,""))</f>
        <v/>
      </c>
      <c r="CR1276" s="77">
        <f>IF(ISNUMBER($CQ1276),YEAR($CQ1276),"")</f>
        <v/>
      </c>
      <c r="CS1276" s="78">
        <f>IF(ISNUMBER($M1276),MAX(0,$M1276),IF(TRIM($M1276&amp;"")="matured",0,""))</f>
        <v/>
      </c>
      <c r="CT1276" s="78">
        <f>IF(AND(ISNUMBER($CS1276),N($CS1276)&lt;=mMatWindow),1,0)</f>
        <v/>
      </c>
      <c r="CU1276" s="80">
        <f>IF(ISNUMBER($J1276),$J1276/100,"")</f>
        <v/>
      </c>
      <c r="CV1276" s="81">
        <f>IF(ISNUMBER($AQ1276),$AQ1276,"")</f>
        <v/>
      </c>
      <c r="CW1276" s="81">
        <f>IF(ISNUMBER($AR1276),$AR1276,"")</f>
        <v/>
      </c>
      <c r="CX1276" s="82">
        <f>IF(ISNUMBER($AS1276),$AS1276/100,"")</f>
        <v/>
      </c>
      <c r="CY1276" s="82">
        <f>IF(ISNUMBER($AT1276),$AT1276/100,"")</f>
        <v/>
      </c>
      <c r="CZ1276" s="82">
        <f>IF(ISNUMBER($AU1276),$AU1276/100,"")</f>
        <v/>
      </c>
      <c r="DA1276" s="82">
        <f>IF(ISNUMBER($AV1276),$AV1276/100,"")</f>
        <v/>
      </c>
      <c r="DB1276" s="82">
        <f>IF(ISNUMBER($AW1276),$AW1276/100,"")</f>
        <v/>
      </c>
      <c r="DC1276" s="82">
        <f>IF(ISNUMBER($AX1276),$AX1276/100,"")</f>
        <v/>
      </c>
      <c r="DD1276" s="77">
        <f>IFERROR(VALUE(LEFT(TRIM($AO1276&amp;""),4)),"")</f>
        <v/>
      </c>
      <c r="DE1276" s="78">
        <f>IF(AND($BY1276=1,$BX1276=1,OR(fDeal="All Deals",$BU1276=fDeal),OR(fEntity="All Entities",$BV1276=fEntity),OR(fPType="All Property Types",$BZ1276=fPType),OR(fDefeased="Include",$CJ1276=0)),1,0)</f>
        <v/>
      </c>
      <c r="DF1276" s="83">
        <f>$DE1276*N($I1276)</f>
        <v/>
      </c>
      <c r="DG1276" s="78">
        <f>IF($DE1276=1,IF(COUNTIFS($F$8:$F1276,$F1276,$DE$8:$DE1276,1)=1,1,0),0)</f>
        <v/>
      </c>
      <c r="DH1276" s="83">
        <f>IF($DG1276=1,SUMIFS($DF$8:$DF$1600,$F$8:$F$1600,$F1276),0)</f>
        <v/>
      </c>
      <c r="DI1276" s="78">
        <f>IF($DG1276=1,COUNTIFS($F$8:$F$1600,$F1276,$DE$8:$DE$1600,1),0)</f>
        <v/>
      </c>
      <c r="DJ1276" s="84">
        <f>IF($DG1276=1,$DH1276+(100000-ROW())/mTieBreak,0)</f>
        <v/>
      </c>
    </row>
    <row r="1277">
      <c r="B1277" s="68" t="n">
        <v>44</v>
      </c>
      <c r="C1277" s="69" t="inlineStr">
        <is>
          <t>UBS18C12</t>
        </is>
      </c>
      <c r="D1277" s="69" t="inlineStr">
        <is>
          <t>44.000</t>
        </is>
      </c>
      <c r="E1277" s="69" t="inlineStr">
        <is>
          <t>Holiday Inn Express - Sandy</t>
        </is>
      </c>
      <c r="F1277" s="69" t="inlineStr">
        <is>
          <t>LNUBS18C12-44.000</t>
        </is>
      </c>
      <c r="G1277" s="70" t="n"/>
      <c r="H1277" s="71" t="n">
        <v>7200000</v>
      </c>
      <c r="I1277" s="71" t="n">
        <v>6320666.900001601</v>
      </c>
      <c r="J1277" s="72" t="n">
        <v>5.7285</v>
      </c>
      <c r="K1277" s="69" t="inlineStr">
        <is>
          <t>Fixed rate</t>
        </is>
      </c>
      <c r="L1277" s="68" t="n">
        <v>120</v>
      </c>
      <c r="M1277" s="68" t="n">
        <v>22</v>
      </c>
      <c r="N1277" s="68" t="n">
        <v>360</v>
      </c>
      <c r="O1277" s="68" t="n"/>
      <c r="P1277" s="68" t="n"/>
      <c r="Q1277" s="68" t="n">
        <v>98</v>
      </c>
      <c r="R1277" s="69" t="n"/>
      <c r="S1277" s="69" t="inlineStr">
        <is>
          <t>No</t>
        </is>
      </c>
      <c r="T1277" s="73" t="n">
        <v>43282</v>
      </c>
      <c r="U1277" s="73" t="n">
        <v>46940</v>
      </c>
      <c r="V1277" s="73" t="n"/>
      <c r="W1277" s="69" t="n"/>
      <c r="X1277" s="69" t="inlineStr">
        <is>
          <t>Current</t>
        </is>
      </c>
      <c r="Y1277" s="68" t="n"/>
      <c r="Z1277" s="69" t="inlineStr">
        <is>
          <t>Full Defeasance</t>
        </is>
      </c>
      <c r="AA1277" s="69" t="inlineStr">
        <is>
          <t>Yes</t>
        </is>
      </c>
      <c r="AB1277" s="69" t="inlineStr">
        <is>
          <t>Returned to master serv</t>
        </is>
      </c>
      <c r="AC1277" s="73" t="n"/>
      <c r="AD1277" s="69" t="inlineStr">
        <is>
          <t>Other</t>
        </is>
      </c>
      <c r="AE1277" s="69" t="inlineStr">
        <is>
          <t>Resolved</t>
        </is>
      </c>
      <c r="AF1277" s="69" t="inlineStr">
        <is>
          <t>UT</t>
        </is>
      </c>
      <c r="AG1277" s="69" t="inlineStr">
        <is>
          <t>Sandy</t>
        </is>
      </c>
      <c r="AH1277" s="69" t="inlineStr">
        <is>
          <t>Salt Lake City-Murray, UT</t>
        </is>
      </c>
      <c r="AI1277" s="69" t="inlineStr">
        <is>
          <t>West / Mountain</t>
        </is>
      </c>
      <c r="AJ1277" s="69" t="inlineStr">
        <is>
          <t>HT</t>
        </is>
      </c>
      <c r="AK1277" s="69" t="inlineStr">
        <is>
          <t>Limited Service</t>
        </is>
      </c>
      <c r="AL1277" s="68" t="n">
        <v>1</v>
      </c>
      <c r="AM1277" s="68" t="n">
        <v>88</v>
      </c>
      <c r="AN1277" s="68" t="n"/>
      <c r="AO1277" s="69" t="inlineStr">
        <is>
          <t>1998</t>
        </is>
      </c>
      <c r="AP1277" s="70" t="n">
        <v>2012</v>
      </c>
      <c r="AQ1277" s="74" t="n">
        <v>1.59</v>
      </c>
      <c r="AR1277" s="74" t="n">
        <v>0.03</v>
      </c>
      <c r="AS1277" s="74" t="n">
        <v>67.2</v>
      </c>
      <c r="AT1277" s="74" t="n">
        <v>74.36</v>
      </c>
      <c r="AU1277" s="74" t="n">
        <v>56.6</v>
      </c>
      <c r="AV1277" s="74" t="n">
        <v>11.074217778</v>
      </c>
      <c r="AW1277" s="74" t="n">
        <v>0.455321574</v>
      </c>
      <c r="AX1277" s="75" t="n">
        <v>56</v>
      </c>
      <c r="AY1277" s="71" t="n">
        <v>10700000</v>
      </c>
      <c r="AZ1277" s="71" t="n">
        <v>8500000</v>
      </c>
      <c r="BA1277" s="71" t="n">
        <v>797343.6800000001</v>
      </c>
      <c r="BB1277" s="71" t="n">
        <v>12602.17</v>
      </c>
      <c r="BC1277" s="69" t="inlineStr">
        <is>
          <t>Acquisition</t>
        </is>
      </c>
      <c r="BD1277" s="69" t="inlineStr">
        <is>
          <t>N</t>
        </is>
      </c>
      <c r="BE1277" s="71" t="n"/>
      <c r="BF1277" s="71" t="n"/>
      <c r="BG1277" s="71" t="n"/>
      <c r="BH1277" s="71" t="n">
        <v>0</v>
      </c>
      <c r="BI1277" s="71" t="n">
        <v>0</v>
      </c>
      <c r="BJ1277" s="69" t="inlineStr">
        <is>
          <t>Y</t>
        </is>
      </c>
      <c r="BK1277" s="69" t="n"/>
      <c r="BL1277" s="75" t="n"/>
      <c r="BM1277" s="73" t="n"/>
      <c r="BN1277" s="69" t="inlineStr">
        <is>
          <t>Girish Patel</t>
        </is>
      </c>
      <c r="BO1277" s="69" t="inlineStr">
        <is>
          <t>UBS</t>
        </is>
      </c>
      <c r="BP1277" s="69" t="inlineStr">
        <is>
          <t>Midland Loan Services</t>
        </is>
      </c>
      <c r="BQ1277" s="69" t="inlineStr">
        <is>
          <t>K-Star Asset Management LLC</t>
        </is>
      </c>
      <c r="BR1277" s="69" t="n"/>
      <c r="BS1277" s="73" t="n">
        <v>46276</v>
      </c>
      <c r="BU1277" s="76">
        <f>IF($C1277="","",IFERROR(INDEX(dmName,MATCH($C1277,dmID,0)),"Unmapped"))</f>
        <v/>
      </c>
      <c r="BV1277" s="76">
        <f>IF($C1277="","",IFERROR(INDEX(dmEntity,MATCH($C1277,dmID,0)),"Unmapped"))</f>
        <v/>
      </c>
      <c r="BW1277" s="77">
        <f>IF($C1277="","",IFERROR(INDEX(dmVintage,MATCH($C1277,dmID,0)),""))</f>
        <v/>
      </c>
      <c r="BX1277" s="78">
        <f>IFERROR(INDEX(dmInclude,MATCH($C1277,dmID,0)),0)</f>
        <v/>
      </c>
      <c r="BY1277" s="78">
        <f>IF(N($I1277)&gt;0,1,0)</f>
        <v/>
      </c>
      <c r="BZ1277" s="76">
        <f>IF($AJ1277="","Other / Leased Fee",IFERROR(INDEX(mapPTGroup,MATCH(LEFT(TRIM($AJ1277),2),mapPTCode,0)),"Other / Leased Fee"))</f>
        <v/>
      </c>
      <c r="CA1277" s="76">
        <f>IF(TRIM($AF1277&amp;"")="","NR",LEFT(TRIM($AF1277),2))</f>
        <v/>
      </c>
      <c r="CB1277" s="76">
        <f>IFERROR(LOOKUP(2,1/(LEFT(TRIM($AI1277&amp;""),LEN(mapRegion))=mapRegion),mapRegion),"Not Reported")</f>
        <v/>
      </c>
      <c r="CC1277" s="76">
        <f>IF($BY1277=0,"",IF(TRIM($W1277&amp;"")="REO","REO",IF(TRIM($W1277&amp;"")="FC","Foreclosure",IF(TRIM($W1277&amp;"")="90+","90+ Days Delinquent",IF(TRIM($W1277&amp;"")="60","60 Days Delinquent",IF(TRIM($W1277&amp;"")="30","30 Days Delinquent",IF($X1277="Non-Performing Matured Balloon","Non-Performing Matured Balloon",IF(OR($X1277="Late Payment But Less Than 30 Days Delinquent",LEFT($X1277&amp;"",20)="Payment Not Received"),"Late / In Grace (&lt;30 Days)",IF($X1277="Performing Matured Balloon","Performing Matured Balloon","Current")))))))))</f>
        <v/>
      </c>
      <c r="CD1277" s="78">
        <f>IF(OR($CC1277="REO",$CC1277="Foreclosure",$CC1277="90+ Days Delinquent",$CC1277="60 Days Delinquent",$CC1277="30 Days Delinquent",$CC1277="Non-Performing Matured Balloon"),1,0)</f>
        <v/>
      </c>
      <c r="CE1277" s="76">
        <f>IF($AB1277="Currently special serv","Currently Specially Serviced",IF($AB1277="Returned to master serv","Previously Specially Serviced","Never Specially Serviced"))</f>
        <v/>
      </c>
      <c r="CF1277" s="78">
        <f>IF($CE1277="Currently Specially Serviced",1,0)</f>
        <v/>
      </c>
      <c r="CG1277" s="76">
        <f>IF($AA1277="Yes","Currently on Watchlist",IF($AA1277="Previously","Previously on Watchlist","Never on Watchlist"))</f>
        <v/>
      </c>
      <c r="CH1277" s="78">
        <f>IF($CG1277="Currently on Watchlist",1,0)</f>
        <v/>
      </c>
      <c r="CI1277" s="76">
        <f>IF($Z1277="Full Defeasance","Fully Defeased",IF($Z1277="Portion Of Loan Previously Defeased","Partially Defeased",IF($Z1277="Defeasance Not Allowable","Not Defeased (Not Permitted)","Not Defeased")))</f>
        <v/>
      </c>
      <c r="CJ1277" s="78">
        <f>IF($CI1277="Fully Defeased",1,0)</f>
        <v/>
      </c>
      <c r="CK1277" s="76">
        <f>IF($R1277="IO","Full IO",IF(LEFT($R1277&amp;"",7)="IO then","Partial IO","Amortizing"))</f>
        <v/>
      </c>
      <c r="CL1277" s="78">
        <f>IF($CK1277="Full IO",1,0)</f>
        <v/>
      </c>
      <c r="CM1277" s="78">
        <f>IF($CK1277="Partial IO",1,0)</f>
        <v/>
      </c>
      <c r="CN1277" s="76">
        <f>IF(LEFT($F1277&amp;"",10)="SPLIT_LOAN","Pari Passu Split","Standalone")</f>
        <v/>
      </c>
      <c r="CO1277" s="78">
        <f>IF($CN1277="Pari Passu Split",1,0)</f>
        <v/>
      </c>
      <c r="CP1277" s="77">
        <f>IF(ISNUMBER($T1277),YEAR($T1277),"")</f>
        <v/>
      </c>
      <c r="CQ1277" s="79">
        <f>IF(ISNUMBER($V1277),$V1277,IF(ISNUMBER($U1277),$U1277,""))</f>
        <v/>
      </c>
      <c r="CR1277" s="77">
        <f>IF(ISNUMBER($CQ1277),YEAR($CQ1277),"")</f>
        <v/>
      </c>
      <c r="CS1277" s="78">
        <f>IF(ISNUMBER($M1277),MAX(0,$M1277),IF(TRIM($M1277&amp;"")="matured",0,""))</f>
        <v/>
      </c>
      <c r="CT1277" s="78">
        <f>IF(AND(ISNUMBER($CS1277),N($CS1277)&lt;=mMatWindow),1,0)</f>
        <v/>
      </c>
      <c r="CU1277" s="80">
        <f>IF(ISNUMBER($J1277),$J1277/100,"")</f>
        <v/>
      </c>
      <c r="CV1277" s="81">
        <f>IF(ISNUMBER($AQ1277),$AQ1277,"")</f>
        <v/>
      </c>
      <c r="CW1277" s="81">
        <f>IF(ISNUMBER($AR1277),$AR1277,"")</f>
        <v/>
      </c>
      <c r="CX1277" s="82">
        <f>IF(ISNUMBER($AS1277),$AS1277/100,"")</f>
        <v/>
      </c>
      <c r="CY1277" s="82">
        <f>IF(ISNUMBER($AT1277),$AT1277/100,"")</f>
        <v/>
      </c>
      <c r="CZ1277" s="82">
        <f>IF(ISNUMBER($AU1277),$AU1277/100,"")</f>
        <v/>
      </c>
      <c r="DA1277" s="82">
        <f>IF(ISNUMBER($AV1277),$AV1277/100,"")</f>
        <v/>
      </c>
      <c r="DB1277" s="82">
        <f>IF(ISNUMBER($AW1277),$AW1277/100,"")</f>
        <v/>
      </c>
      <c r="DC1277" s="82">
        <f>IF(ISNUMBER($AX1277),$AX1277/100,"")</f>
        <v/>
      </c>
      <c r="DD1277" s="77">
        <f>IFERROR(VALUE(LEFT(TRIM($AO1277&amp;""),4)),"")</f>
        <v/>
      </c>
      <c r="DE1277" s="78">
        <f>IF(AND($BY1277=1,$BX1277=1,OR(fDeal="All Deals",$BU1277=fDeal),OR(fEntity="All Entities",$BV1277=fEntity),OR(fPType="All Property Types",$BZ1277=fPType),OR(fDefeased="Include",$CJ1277=0)),1,0)</f>
        <v/>
      </c>
      <c r="DF1277" s="83">
        <f>$DE1277*N($I1277)</f>
        <v/>
      </c>
      <c r="DG1277" s="78">
        <f>IF($DE1277=1,IF(COUNTIFS($F$8:$F1277,$F1277,$DE$8:$DE1277,1)=1,1,0),0)</f>
        <v/>
      </c>
      <c r="DH1277" s="83">
        <f>IF($DG1277=1,SUMIFS($DF$8:$DF$1600,$F$8:$F$1600,$F1277),0)</f>
        <v/>
      </c>
      <c r="DI1277" s="78">
        <f>IF($DG1277=1,COUNTIFS($F$8:$F$1600,$F1277,$DE$8:$DE$1600,1),0)</f>
        <v/>
      </c>
      <c r="DJ1277" s="84">
        <f>IF($DG1277=1,$DH1277+(100000-ROW())/mTieBreak,0)</f>
        <v/>
      </c>
    </row>
    <row r="1278">
      <c r="B1278" s="68" t="n">
        <v>45</v>
      </c>
      <c r="C1278" s="69" t="inlineStr">
        <is>
          <t>UBS18C12</t>
        </is>
      </c>
      <c r="D1278" s="69" t="inlineStr">
        <is>
          <t>45.000</t>
        </is>
      </c>
      <c r="E1278" s="69" t="inlineStr">
        <is>
          <t>LA Fitness - Chandler AZ</t>
        </is>
      </c>
      <c r="F1278" s="69" t="inlineStr">
        <is>
          <t>LNUBS18C12-45.000</t>
        </is>
      </c>
      <c r="G1278" s="70" t="n"/>
      <c r="H1278" s="71" t="n">
        <v>7000000</v>
      </c>
      <c r="I1278" s="71" t="n">
        <v>6453825.549997001</v>
      </c>
      <c r="J1278" s="72" t="n">
        <v>5.08</v>
      </c>
      <c r="K1278" s="69" t="inlineStr">
        <is>
          <t>Fixed rate</t>
        </is>
      </c>
      <c r="L1278" s="68" t="n">
        <v>120</v>
      </c>
      <c r="M1278" s="68" t="n">
        <v>23</v>
      </c>
      <c r="N1278" s="68" t="n">
        <v>396</v>
      </c>
      <c r="O1278" s="68" t="n">
        <v>36</v>
      </c>
      <c r="P1278" s="68" t="n">
        <v>0</v>
      </c>
      <c r="Q1278" s="68" t="n">
        <v>97</v>
      </c>
      <c r="R1278" s="69" t="inlineStr">
        <is>
          <t>IO then Amort</t>
        </is>
      </c>
      <c r="S1278" s="69" t="inlineStr">
        <is>
          <t>No</t>
        </is>
      </c>
      <c r="T1278" s="73" t="n">
        <v>43313</v>
      </c>
      <c r="U1278" s="73" t="n">
        <v>46966</v>
      </c>
      <c r="V1278" s="73" t="n"/>
      <c r="W1278" s="69" t="n"/>
      <c r="X1278" s="69" t="inlineStr">
        <is>
          <t>Current</t>
        </is>
      </c>
      <c r="Y1278" s="68" t="n"/>
      <c r="Z1278" s="69" t="inlineStr">
        <is>
          <t>Defeasance Not Allowable</t>
        </is>
      </c>
      <c r="AA1278" s="69" t="inlineStr">
        <is>
          <t>Previously</t>
        </is>
      </c>
      <c r="AB1278" s="69" t="inlineStr">
        <is>
          <t>Never special serv</t>
        </is>
      </c>
      <c r="AC1278" s="73" t="n"/>
      <c r="AD1278" s="69" t="n"/>
      <c r="AE1278" s="69" t="n"/>
      <c r="AF1278" s="69" t="inlineStr">
        <is>
          <t>AZ</t>
        </is>
      </c>
      <c r="AG1278" s="69" t="inlineStr">
        <is>
          <t>Chandler</t>
        </is>
      </c>
      <c r="AH1278" s="69" t="inlineStr">
        <is>
          <t>Phoenix-Mesa-Chandler, AZ</t>
        </is>
      </c>
      <c r="AI1278" s="69" t="inlineStr">
        <is>
          <t>West / Mountain</t>
        </is>
      </c>
      <c r="AJ1278" s="69" t="inlineStr">
        <is>
          <t>RT</t>
        </is>
      </c>
      <c r="AK1278" s="69" t="inlineStr">
        <is>
          <t>Single Tenant</t>
        </is>
      </c>
      <c r="AL1278" s="68" t="n">
        <v>1</v>
      </c>
      <c r="AM1278" s="68" t="n"/>
      <c r="AN1278" s="68" t="n">
        <v>60000</v>
      </c>
      <c r="AO1278" s="69" t="inlineStr">
        <is>
          <t>2001</t>
        </is>
      </c>
      <c r="AP1278" s="70" t="n">
        <v>2001</v>
      </c>
      <c r="AQ1278" s="74" t="n">
        <v>1.88</v>
      </c>
      <c r="AR1278" s="74" t="n">
        <v>1.7</v>
      </c>
      <c r="AS1278" s="74" t="n">
        <v>54.1</v>
      </c>
      <c r="AT1278" s="74" t="n">
        <v>49.84</v>
      </c>
      <c r="AU1278" s="74" t="n">
        <v>47.9</v>
      </c>
      <c r="AV1278" s="74" t="n">
        <v>9.669394713999999</v>
      </c>
      <c r="AW1278" s="74" t="n">
        <v>11.955237309</v>
      </c>
      <c r="AX1278" s="75" t="n">
        <v>100</v>
      </c>
      <c r="AY1278" s="71" t="n">
        <v>12950000</v>
      </c>
      <c r="AZ1278" s="71" t="n">
        <v>12950000</v>
      </c>
      <c r="BA1278" s="71" t="n">
        <v>676857.63</v>
      </c>
      <c r="BB1278" s="71" t="n">
        <v>771570.16</v>
      </c>
      <c r="BC1278" s="69" t="inlineStr">
        <is>
          <t>Refinance</t>
        </is>
      </c>
      <c r="BD1278" s="69" t="inlineStr">
        <is>
          <t>N</t>
        </is>
      </c>
      <c r="BE1278" s="71" t="n"/>
      <c r="BF1278" s="71" t="n"/>
      <c r="BG1278" s="71" t="n"/>
      <c r="BH1278" s="71" t="n">
        <v>0</v>
      </c>
      <c r="BI1278" s="71" t="n">
        <v>0</v>
      </c>
      <c r="BJ1278" s="69" t="inlineStr">
        <is>
          <t>N</t>
        </is>
      </c>
      <c r="BK1278" s="69" t="inlineStr">
        <is>
          <t>LA Fitness</t>
        </is>
      </c>
      <c r="BL1278" s="75" t="n">
        <v>100</v>
      </c>
      <c r="BM1278" s="73" t="n">
        <v>50586</v>
      </c>
      <c r="BN1278" s="69" t="inlineStr">
        <is>
          <t>Carl J. Greenwood; James F. McKenzie; Carl J. Greenwood, as trustee of The Greenwood Family Trust dated October 16, 1985; James F. McKenzie, as trustee of the McKenzie Living Trust dated December 16, 2009</t>
        </is>
      </c>
      <c r="BO1278" s="69" t="inlineStr">
        <is>
          <t>Societe Generale</t>
        </is>
      </c>
      <c r="BP1278" s="69" t="inlineStr">
        <is>
          <t>Midland Loan Services</t>
        </is>
      </c>
      <c r="BQ1278" s="69" t="inlineStr">
        <is>
          <t>K-Star Asset Management LLC</t>
        </is>
      </c>
      <c r="BR1278" s="69" t="n"/>
      <c r="BS1278" s="73" t="n">
        <v>46276</v>
      </c>
      <c r="BU1278" s="76">
        <f>IF($C1278="","",IFERROR(INDEX(dmName,MATCH($C1278,dmID,0)),"Unmapped"))</f>
        <v/>
      </c>
      <c r="BV1278" s="76">
        <f>IF($C1278="","",IFERROR(INDEX(dmEntity,MATCH($C1278,dmID,0)),"Unmapped"))</f>
        <v/>
      </c>
      <c r="BW1278" s="77">
        <f>IF($C1278="","",IFERROR(INDEX(dmVintage,MATCH($C1278,dmID,0)),""))</f>
        <v/>
      </c>
      <c r="BX1278" s="78">
        <f>IFERROR(INDEX(dmInclude,MATCH($C1278,dmID,0)),0)</f>
        <v/>
      </c>
      <c r="BY1278" s="78">
        <f>IF(N($I1278)&gt;0,1,0)</f>
        <v/>
      </c>
      <c r="BZ1278" s="76">
        <f>IF($AJ1278="","Other / Leased Fee",IFERROR(INDEX(mapPTGroup,MATCH(LEFT(TRIM($AJ1278),2),mapPTCode,0)),"Other / Leased Fee"))</f>
        <v/>
      </c>
      <c r="CA1278" s="76">
        <f>IF(TRIM($AF1278&amp;"")="","NR",LEFT(TRIM($AF1278),2))</f>
        <v/>
      </c>
      <c r="CB1278" s="76">
        <f>IFERROR(LOOKUP(2,1/(LEFT(TRIM($AI1278&amp;""),LEN(mapRegion))=mapRegion),mapRegion),"Not Reported")</f>
        <v/>
      </c>
      <c r="CC1278" s="76">
        <f>IF($BY1278=0,"",IF(TRIM($W1278&amp;"")="REO","REO",IF(TRIM($W1278&amp;"")="FC","Foreclosure",IF(TRIM($W1278&amp;"")="90+","90+ Days Delinquent",IF(TRIM($W1278&amp;"")="60","60 Days Delinquent",IF(TRIM($W1278&amp;"")="30","30 Days Delinquent",IF($X1278="Non-Performing Matured Balloon","Non-Performing Matured Balloon",IF(OR($X1278="Late Payment But Less Than 30 Days Delinquent",LEFT($X1278&amp;"",20)="Payment Not Received"),"Late / In Grace (&lt;30 Days)",IF($X1278="Performing Matured Balloon","Performing Matured Balloon","Current")))))))))</f>
        <v/>
      </c>
      <c r="CD1278" s="78">
        <f>IF(OR($CC1278="REO",$CC1278="Foreclosure",$CC1278="90+ Days Delinquent",$CC1278="60 Days Delinquent",$CC1278="30 Days Delinquent",$CC1278="Non-Performing Matured Balloon"),1,0)</f>
        <v/>
      </c>
      <c r="CE1278" s="76">
        <f>IF($AB1278="Currently special serv","Currently Specially Serviced",IF($AB1278="Returned to master serv","Previously Specially Serviced","Never Specially Serviced"))</f>
        <v/>
      </c>
      <c r="CF1278" s="78">
        <f>IF($CE1278="Currently Specially Serviced",1,0)</f>
        <v/>
      </c>
      <c r="CG1278" s="76">
        <f>IF($AA1278="Yes","Currently on Watchlist",IF($AA1278="Previously","Previously on Watchlist","Never on Watchlist"))</f>
        <v/>
      </c>
      <c r="CH1278" s="78">
        <f>IF($CG1278="Currently on Watchlist",1,0)</f>
        <v/>
      </c>
      <c r="CI1278" s="76">
        <f>IF($Z1278="Full Defeasance","Fully Defeased",IF($Z1278="Portion Of Loan Previously Defeased","Partially Defeased",IF($Z1278="Defeasance Not Allowable","Not Defeased (Not Permitted)","Not Defeased")))</f>
        <v/>
      </c>
      <c r="CJ1278" s="78">
        <f>IF($CI1278="Fully Defeased",1,0)</f>
        <v/>
      </c>
      <c r="CK1278" s="76">
        <f>IF($R1278="IO","Full IO",IF(LEFT($R1278&amp;"",7)="IO then","Partial IO","Amortizing"))</f>
        <v/>
      </c>
      <c r="CL1278" s="78">
        <f>IF($CK1278="Full IO",1,0)</f>
        <v/>
      </c>
      <c r="CM1278" s="78">
        <f>IF($CK1278="Partial IO",1,0)</f>
        <v/>
      </c>
      <c r="CN1278" s="76">
        <f>IF(LEFT($F1278&amp;"",10)="SPLIT_LOAN","Pari Passu Split","Standalone")</f>
        <v/>
      </c>
      <c r="CO1278" s="78">
        <f>IF($CN1278="Pari Passu Split",1,0)</f>
        <v/>
      </c>
      <c r="CP1278" s="77">
        <f>IF(ISNUMBER($T1278),YEAR($T1278),"")</f>
        <v/>
      </c>
      <c r="CQ1278" s="79">
        <f>IF(ISNUMBER($V1278),$V1278,IF(ISNUMBER($U1278),$U1278,""))</f>
        <v/>
      </c>
      <c r="CR1278" s="77">
        <f>IF(ISNUMBER($CQ1278),YEAR($CQ1278),"")</f>
        <v/>
      </c>
      <c r="CS1278" s="78">
        <f>IF(ISNUMBER($M1278),MAX(0,$M1278),IF(TRIM($M1278&amp;"")="matured",0,""))</f>
        <v/>
      </c>
      <c r="CT1278" s="78">
        <f>IF(AND(ISNUMBER($CS1278),N($CS1278)&lt;=mMatWindow),1,0)</f>
        <v/>
      </c>
      <c r="CU1278" s="80">
        <f>IF(ISNUMBER($J1278),$J1278/100,"")</f>
        <v/>
      </c>
      <c r="CV1278" s="81">
        <f>IF(ISNUMBER($AQ1278),$AQ1278,"")</f>
        <v/>
      </c>
      <c r="CW1278" s="81">
        <f>IF(ISNUMBER($AR1278),$AR1278,"")</f>
        <v/>
      </c>
      <c r="CX1278" s="82">
        <f>IF(ISNUMBER($AS1278),$AS1278/100,"")</f>
        <v/>
      </c>
      <c r="CY1278" s="82">
        <f>IF(ISNUMBER($AT1278),$AT1278/100,"")</f>
        <v/>
      </c>
      <c r="CZ1278" s="82">
        <f>IF(ISNUMBER($AU1278),$AU1278/100,"")</f>
        <v/>
      </c>
      <c r="DA1278" s="82">
        <f>IF(ISNUMBER($AV1278),$AV1278/100,"")</f>
        <v/>
      </c>
      <c r="DB1278" s="82">
        <f>IF(ISNUMBER($AW1278),$AW1278/100,"")</f>
        <v/>
      </c>
      <c r="DC1278" s="82">
        <f>IF(ISNUMBER($AX1278),$AX1278/100,"")</f>
        <v/>
      </c>
      <c r="DD1278" s="77">
        <f>IFERROR(VALUE(LEFT(TRIM($AO1278&amp;""),4)),"")</f>
        <v/>
      </c>
      <c r="DE1278" s="78">
        <f>IF(AND($BY1278=1,$BX1278=1,OR(fDeal="All Deals",$BU1278=fDeal),OR(fEntity="All Entities",$BV1278=fEntity),OR(fPType="All Property Types",$BZ1278=fPType),OR(fDefeased="Include",$CJ1278=0)),1,0)</f>
        <v/>
      </c>
      <c r="DF1278" s="83">
        <f>$DE1278*N($I1278)</f>
        <v/>
      </c>
      <c r="DG1278" s="78">
        <f>IF($DE1278=1,IF(COUNTIFS($F$8:$F1278,$F1278,$DE$8:$DE1278,1)=1,1,0),0)</f>
        <v/>
      </c>
      <c r="DH1278" s="83">
        <f>IF($DG1278=1,SUMIFS($DF$8:$DF$1600,$F$8:$F$1600,$F1278),0)</f>
        <v/>
      </c>
      <c r="DI1278" s="78">
        <f>IF($DG1278=1,COUNTIFS($F$8:$F$1600,$F1278,$DE$8:$DE$1600,1),0)</f>
        <v/>
      </c>
      <c r="DJ1278" s="84">
        <f>IF($DG1278=1,$DH1278+(100000-ROW())/mTieBreak,0)</f>
        <v/>
      </c>
    </row>
    <row r="1279">
      <c r="B1279" s="68" t="n">
        <v>46</v>
      </c>
      <c r="C1279" s="69" t="inlineStr">
        <is>
          <t>UBS18C12</t>
        </is>
      </c>
      <c r="D1279" s="69" t="inlineStr">
        <is>
          <t>46.000</t>
        </is>
      </c>
      <c r="E1279" s="69" t="inlineStr">
        <is>
          <t>Holiday Inn Express - Savannah</t>
        </is>
      </c>
      <c r="F1279" s="69" t="inlineStr">
        <is>
          <t>LNUBS18C12-46.000</t>
        </is>
      </c>
      <c r="G1279" s="70" t="n"/>
      <c r="H1279" s="71" t="n">
        <v>6800000</v>
      </c>
      <c r="I1279" s="71" t="n">
        <v>5945174.720000001</v>
      </c>
      <c r="J1279" s="72" t="n">
        <v>5.5596</v>
      </c>
      <c r="K1279" s="69" t="inlineStr">
        <is>
          <t>Fixed rate</t>
        </is>
      </c>
      <c r="L1279" s="68" t="n">
        <v>120</v>
      </c>
      <c r="M1279" s="68" t="n">
        <v>22</v>
      </c>
      <c r="N1279" s="68" t="n">
        <v>360</v>
      </c>
      <c r="O1279" s="68" t="n"/>
      <c r="P1279" s="68" t="n"/>
      <c r="Q1279" s="68" t="n">
        <v>98</v>
      </c>
      <c r="R1279" s="69" t="n"/>
      <c r="S1279" s="69" t="inlineStr">
        <is>
          <t>No</t>
        </is>
      </c>
      <c r="T1279" s="73" t="n">
        <v>43282</v>
      </c>
      <c r="U1279" s="73" t="n">
        <v>46940</v>
      </c>
      <c r="V1279" s="73" t="n"/>
      <c r="W1279" s="69" t="n"/>
      <c r="X1279" s="69" t="inlineStr">
        <is>
          <t>Current</t>
        </is>
      </c>
      <c r="Y1279" s="68" t="n"/>
      <c r="Z1279" s="69" t="inlineStr">
        <is>
          <t>Full Defeasance</t>
        </is>
      </c>
      <c r="AA1279" s="69" t="inlineStr">
        <is>
          <t>Previously</t>
        </is>
      </c>
      <c r="AB1279" s="69" t="inlineStr">
        <is>
          <t>Never special serv</t>
        </is>
      </c>
      <c r="AC1279" s="73" t="n"/>
      <c r="AD1279" s="69" t="n"/>
      <c r="AE1279" s="69" t="n"/>
      <c r="AF1279" s="69" t="inlineStr">
        <is>
          <t>GA</t>
        </is>
      </c>
      <c r="AG1279" s="69" t="inlineStr">
        <is>
          <t>Savannah</t>
        </is>
      </c>
      <c r="AH1279" s="69" t="inlineStr">
        <is>
          <t>Savannah, GA</t>
        </is>
      </c>
      <c r="AI1279" s="69" t="inlineStr">
        <is>
          <t>South / Atlantic</t>
        </is>
      </c>
      <c r="AJ1279" s="69" t="inlineStr">
        <is>
          <t>HT</t>
        </is>
      </c>
      <c r="AK1279" s="69" t="inlineStr">
        <is>
          <t>Limited Service</t>
        </is>
      </c>
      <c r="AL1279" s="68" t="n">
        <v>1</v>
      </c>
      <c r="AM1279" s="68" t="n">
        <v>88</v>
      </c>
      <c r="AN1279" s="68" t="n"/>
      <c r="AO1279" s="69" t="inlineStr">
        <is>
          <t>2009</t>
        </is>
      </c>
      <c r="AP1279" s="70" t="n">
        <v>2018</v>
      </c>
      <c r="AQ1279" s="74" t="n">
        <v>1.68</v>
      </c>
      <c r="AR1279" s="74" t="n">
        <v>1.71</v>
      </c>
      <c r="AS1279" s="74" t="n">
        <v>64.09999999999999</v>
      </c>
      <c r="AT1279" s="74" t="n">
        <v>56.09</v>
      </c>
      <c r="AU1279" s="74" t="n">
        <v>53.7</v>
      </c>
      <c r="AV1279" s="74" t="n">
        <v>11.533636176</v>
      </c>
      <c r="AW1279" s="74" t="n">
        <v>7.347373804</v>
      </c>
      <c r="AX1279" s="75" t="n">
        <v>70</v>
      </c>
      <c r="AY1279" s="71" t="n">
        <v>10600000</v>
      </c>
      <c r="AZ1279" s="71" t="n">
        <v>10600000</v>
      </c>
      <c r="BA1279" s="71" t="n">
        <v>784287.26</v>
      </c>
      <c r="BB1279" s="71" t="n">
        <v>795934.9300000001</v>
      </c>
      <c r="BC1279" s="69" t="inlineStr">
        <is>
          <t>Refinance</t>
        </is>
      </c>
      <c r="BD1279" s="69" t="inlineStr">
        <is>
          <t>N</t>
        </is>
      </c>
      <c r="BE1279" s="71" t="n"/>
      <c r="BF1279" s="71" t="n"/>
      <c r="BG1279" s="71" t="n"/>
      <c r="BH1279" s="71" t="n">
        <v>0</v>
      </c>
      <c r="BI1279" s="71" t="n">
        <v>0</v>
      </c>
      <c r="BJ1279" s="69" t="inlineStr">
        <is>
          <t>N</t>
        </is>
      </c>
      <c r="BK1279" s="69" t="n"/>
      <c r="BL1279" s="75" t="n"/>
      <c r="BM1279" s="73" t="n"/>
      <c r="BN1279" s="69" t="inlineStr">
        <is>
          <t>Mehul B. Patel; Bharat M. Patel; Mayur Patel</t>
        </is>
      </c>
      <c r="BO1279" s="69" t="inlineStr">
        <is>
          <t>UBS</t>
        </is>
      </c>
      <c r="BP1279" s="69" t="inlineStr">
        <is>
          <t>Midland Loan Services</t>
        </is>
      </c>
      <c r="BQ1279" s="69" t="inlineStr">
        <is>
          <t>K-Star Asset Management LLC</t>
        </is>
      </c>
      <c r="BR1279" s="69" t="n"/>
      <c r="BS1279" s="73" t="n">
        <v>46276</v>
      </c>
      <c r="BU1279" s="76">
        <f>IF($C1279="","",IFERROR(INDEX(dmName,MATCH($C1279,dmID,0)),"Unmapped"))</f>
        <v/>
      </c>
      <c r="BV1279" s="76">
        <f>IF($C1279="","",IFERROR(INDEX(dmEntity,MATCH($C1279,dmID,0)),"Unmapped"))</f>
        <v/>
      </c>
      <c r="BW1279" s="77">
        <f>IF($C1279="","",IFERROR(INDEX(dmVintage,MATCH($C1279,dmID,0)),""))</f>
        <v/>
      </c>
      <c r="BX1279" s="78">
        <f>IFERROR(INDEX(dmInclude,MATCH($C1279,dmID,0)),0)</f>
        <v/>
      </c>
      <c r="BY1279" s="78">
        <f>IF(N($I1279)&gt;0,1,0)</f>
        <v/>
      </c>
      <c r="BZ1279" s="76">
        <f>IF($AJ1279="","Other / Leased Fee",IFERROR(INDEX(mapPTGroup,MATCH(LEFT(TRIM($AJ1279),2),mapPTCode,0)),"Other / Leased Fee"))</f>
        <v/>
      </c>
      <c r="CA1279" s="76">
        <f>IF(TRIM($AF1279&amp;"")="","NR",LEFT(TRIM($AF1279),2))</f>
        <v/>
      </c>
      <c r="CB1279" s="76">
        <f>IFERROR(LOOKUP(2,1/(LEFT(TRIM($AI1279&amp;""),LEN(mapRegion))=mapRegion),mapRegion),"Not Reported")</f>
        <v/>
      </c>
      <c r="CC1279" s="76">
        <f>IF($BY1279=0,"",IF(TRIM($W1279&amp;"")="REO","REO",IF(TRIM($W1279&amp;"")="FC","Foreclosure",IF(TRIM($W1279&amp;"")="90+","90+ Days Delinquent",IF(TRIM($W1279&amp;"")="60","60 Days Delinquent",IF(TRIM($W1279&amp;"")="30","30 Days Delinquent",IF($X1279="Non-Performing Matured Balloon","Non-Performing Matured Balloon",IF(OR($X1279="Late Payment But Less Than 30 Days Delinquent",LEFT($X1279&amp;"",20)="Payment Not Received"),"Late / In Grace (&lt;30 Days)",IF($X1279="Performing Matured Balloon","Performing Matured Balloon","Current")))))))))</f>
        <v/>
      </c>
      <c r="CD1279" s="78">
        <f>IF(OR($CC1279="REO",$CC1279="Foreclosure",$CC1279="90+ Days Delinquent",$CC1279="60 Days Delinquent",$CC1279="30 Days Delinquent",$CC1279="Non-Performing Matured Balloon"),1,0)</f>
        <v/>
      </c>
      <c r="CE1279" s="76">
        <f>IF($AB1279="Currently special serv","Currently Specially Serviced",IF($AB1279="Returned to master serv","Previously Specially Serviced","Never Specially Serviced"))</f>
        <v/>
      </c>
      <c r="CF1279" s="78">
        <f>IF($CE1279="Currently Specially Serviced",1,0)</f>
        <v/>
      </c>
      <c r="CG1279" s="76">
        <f>IF($AA1279="Yes","Currently on Watchlist",IF($AA1279="Previously","Previously on Watchlist","Never on Watchlist"))</f>
        <v/>
      </c>
      <c r="CH1279" s="78">
        <f>IF($CG1279="Currently on Watchlist",1,0)</f>
        <v/>
      </c>
      <c r="CI1279" s="76">
        <f>IF($Z1279="Full Defeasance","Fully Defeased",IF($Z1279="Portion Of Loan Previously Defeased","Partially Defeased",IF($Z1279="Defeasance Not Allowable","Not Defeased (Not Permitted)","Not Defeased")))</f>
        <v/>
      </c>
      <c r="CJ1279" s="78">
        <f>IF($CI1279="Fully Defeased",1,0)</f>
        <v/>
      </c>
      <c r="CK1279" s="76">
        <f>IF($R1279="IO","Full IO",IF(LEFT($R1279&amp;"",7)="IO then","Partial IO","Amortizing"))</f>
        <v/>
      </c>
      <c r="CL1279" s="78">
        <f>IF($CK1279="Full IO",1,0)</f>
        <v/>
      </c>
      <c r="CM1279" s="78">
        <f>IF($CK1279="Partial IO",1,0)</f>
        <v/>
      </c>
      <c r="CN1279" s="76">
        <f>IF(LEFT($F1279&amp;"",10)="SPLIT_LOAN","Pari Passu Split","Standalone")</f>
        <v/>
      </c>
      <c r="CO1279" s="78">
        <f>IF($CN1279="Pari Passu Split",1,0)</f>
        <v/>
      </c>
      <c r="CP1279" s="77">
        <f>IF(ISNUMBER($T1279),YEAR($T1279),"")</f>
        <v/>
      </c>
      <c r="CQ1279" s="79">
        <f>IF(ISNUMBER($V1279),$V1279,IF(ISNUMBER($U1279),$U1279,""))</f>
        <v/>
      </c>
      <c r="CR1279" s="77">
        <f>IF(ISNUMBER($CQ1279),YEAR($CQ1279),"")</f>
        <v/>
      </c>
      <c r="CS1279" s="78">
        <f>IF(ISNUMBER($M1279),MAX(0,$M1279),IF(TRIM($M1279&amp;"")="matured",0,""))</f>
        <v/>
      </c>
      <c r="CT1279" s="78">
        <f>IF(AND(ISNUMBER($CS1279),N($CS1279)&lt;=mMatWindow),1,0)</f>
        <v/>
      </c>
      <c r="CU1279" s="80">
        <f>IF(ISNUMBER($J1279),$J1279/100,"")</f>
        <v/>
      </c>
      <c r="CV1279" s="81">
        <f>IF(ISNUMBER($AQ1279),$AQ1279,"")</f>
        <v/>
      </c>
      <c r="CW1279" s="81">
        <f>IF(ISNUMBER($AR1279),$AR1279,"")</f>
        <v/>
      </c>
      <c r="CX1279" s="82">
        <f>IF(ISNUMBER($AS1279),$AS1279/100,"")</f>
        <v/>
      </c>
      <c r="CY1279" s="82">
        <f>IF(ISNUMBER($AT1279),$AT1279/100,"")</f>
        <v/>
      </c>
      <c r="CZ1279" s="82">
        <f>IF(ISNUMBER($AU1279),$AU1279/100,"")</f>
        <v/>
      </c>
      <c r="DA1279" s="82">
        <f>IF(ISNUMBER($AV1279),$AV1279/100,"")</f>
        <v/>
      </c>
      <c r="DB1279" s="82">
        <f>IF(ISNUMBER($AW1279),$AW1279/100,"")</f>
        <v/>
      </c>
      <c r="DC1279" s="82">
        <f>IF(ISNUMBER($AX1279),$AX1279/100,"")</f>
        <v/>
      </c>
      <c r="DD1279" s="77">
        <f>IFERROR(VALUE(LEFT(TRIM($AO1279&amp;""),4)),"")</f>
        <v/>
      </c>
      <c r="DE1279" s="78">
        <f>IF(AND($BY1279=1,$BX1279=1,OR(fDeal="All Deals",$BU1279=fDeal),OR(fEntity="All Entities",$BV1279=fEntity),OR(fPType="All Property Types",$BZ1279=fPType),OR(fDefeased="Include",$CJ1279=0)),1,0)</f>
        <v/>
      </c>
      <c r="DF1279" s="83">
        <f>$DE1279*N($I1279)</f>
        <v/>
      </c>
      <c r="DG1279" s="78">
        <f>IF($DE1279=1,IF(COUNTIFS($F$8:$F1279,$F1279,$DE$8:$DE1279,1)=1,1,0),0)</f>
        <v/>
      </c>
      <c r="DH1279" s="83">
        <f>IF($DG1279=1,SUMIFS($DF$8:$DF$1600,$F$8:$F$1600,$F1279),0)</f>
        <v/>
      </c>
      <c r="DI1279" s="78">
        <f>IF($DG1279=1,COUNTIFS($F$8:$F$1600,$F1279,$DE$8:$DE$1600,1),0)</f>
        <v/>
      </c>
      <c r="DJ1279" s="84">
        <f>IF($DG1279=1,$DH1279+(100000-ROW())/mTieBreak,0)</f>
        <v/>
      </c>
    </row>
    <row r="1280">
      <c r="B1280" s="68" t="n">
        <v>47</v>
      </c>
      <c r="C1280" s="69" t="inlineStr">
        <is>
          <t>UBS18C12</t>
        </is>
      </c>
      <c r="D1280" s="69" t="inlineStr">
        <is>
          <t>47.000</t>
        </is>
      </c>
      <c r="E1280" s="69" t="inlineStr">
        <is>
          <t>Gemstone MHC Portfolio</t>
        </is>
      </c>
      <c r="F1280" s="69" t="inlineStr">
        <is>
          <t>LNUBS18C12-47.000</t>
        </is>
      </c>
      <c r="G1280" s="70" t="n"/>
      <c r="H1280" s="71" t="n">
        <v>6500000</v>
      </c>
      <c r="I1280" s="71" t="n">
        <v>5996487.079999</v>
      </c>
      <c r="J1280" s="72" t="n">
        <v>5.12</v>
      </c>
      <c r="K1280" s="69" t="inlineStr">
        <is>
          <t>Fixed rate</t>
        </is>
      </c>
      <c r="L1280" s="68" t="n">
        <v>120</v>
      </c>
      <c r="M1280" s="68" t="n">
        <v>23</v>
      </c>
      <c r="N1280" s="68" t="n">
        <v>396</v>
      </c>
      <c r="O1280" s="68" t="n">
        <v>36</v>
      </c>
      <c r="P1280" s="68" t="n">
        <v>0</v>
      </c>
      <c r="Q1280" s="68" t="n">
        <v>97</v>
      </c>
      <c r="R1280" s="69" t="inlineStr">
        <is>
          <t>IO then Amort</t>
        </is>
      </c>
      <c r="S1280" s="69" t="inlineStr">
        <is>
          <t>No</t>
        </is>
      </c>
      <c r="T1280" s="73" t="n">
        <v>43313</v>
      </c>
      <c r="U1280" s="73" t="n">
        <v>46971</v>
      </c>
      <c r="V1280" s="73" t="n"/>
      <c r="W1280" s="69" t="n"/>
      <c r="X1280" s="69" t="inlineStr">
        <is>
          <t>Current</t>
        </is>
      </c>
      <c r="Y1280" s="68" t="n"/>
      <c r="Z1280" s="69" t="inlineStr">
        <is>
          <t>Full Defeasance</t>
        </is>
      </c>
      <c r="AA1280" s="69" t="n"/>
      <c r="AB1280" s="69" t="inlineStr">
        <is>
          <t>Never special serv</t>
        </is>
      </c>
      <c r="AC1280" s="73" t="n"/>
      <c r="AD1280" s="69" t="n"/>
      <c r="AE1280" s="69" t="n"/>
      <c r="AF1280" s="69" t="inlineStr">
        <is>
          <t>OH</t>
        </is>
      </c>
      <c r="AG1280" s="69" t="n"/>
      <c r="AH1280" s="69" t="inlineStr">
        <is>
          <t>Sandusky, OH</t>
        </is>
      </c>
      <c r="AI1280" s="69" t="inlineStr">
        <is>
          <t>Midwest / Central East</t>
        </is>
      </c>
      <c r="AJ1280" s="69" t="inlineStr">
        <is>
          <t>MH</t>
        </is>
      </c>
      <c r="AK1280" s="69" t="n"/>
      <c r="AL1280" s="68" t="n">
        <v>2</v>
      </c>
      <c r="AM1280" s="68" t="n">
        <v>190</v>
      </c>
      <c r="AN1280" s="68" t="n"/>
      <c r="AO1280" s="69" t="n"/>
      <c r="AP1280" s="70" t="n">
        <v>1975</v>
      </c>
      <c r="AQ1280" s="74" t="n">
        <v>1.73</v>
      </c>
      <c r="AR1280" s="74" t="n">
        <v>2.22</v>
      </c>
      <c r="AS1280" s="74" t="n">
        <v>67</v>
      </c>
      <c r="AT1280" s="74" t="n">
        <v>61.82</v>
      </c>
      <c r="AU1280" s="74" t="n">
        <v>59.5</v>
      </c>
      <c r="AV1280" s="74" t="n">
        <v>8.974030769000001</v>
      </c>
      <c r="AW1280" s="74" t="n">
        <v>15.494978103</v>
      </c>
      <c r="AX1280" s="75" t="n">
        <v>100</v>
      </c>
      <c r="AY1280" s="71" t="n">
        <v>9700000</v>
      </c>
      <c r="AZ1280" s="71" t="n">
        <v>9700000</v>
      </c>
      <c r="BA1280" s="71" t="n">
        <v>583312</v>
      </c>
      <c r="BB1280" s="71" t="n">
        <v>943912.12</v>
      </c>
      <c r="BC1280" s="69" t="inlineStr">
        <is>
          <t>Acquisition/Refinance</t>
        </is>
      </c>
      <c r="BD1280" s="69" t="inlineStr">
        <is>
          <t>N</t>
        </is>
      </c>
      <c r="BE1280" s="71" t="n"/>
      <c r="BF1280" s="71" t="n"/>
      <c r="BG1280" s="71" t="n"/>
      <c r="BH1280" s="71" t="n">
        <v>0</v>
      </c>
      <c r="BI1280" s="71" t="n">
        <v>0</v>
      </c>
      <c r="BJ1280" s="69" t="inlineStr">
        <is>
          <t>N</t>
        </is>
      </c>
      <c r="BK1280" s="69" t="n"/>
      <c r="BL1280" s="75" t="n"/>
      <c r="BM1280" s="73" t="n"/>
      <c r="BN1280" s="69" t="inlineStr">
        <is>
          <t>David Matthew Ruby</t>
        </is>
      </c>
      <c r="BO1280" s="69" t="inlineStr">
        <is>
          <t>Rialto</t>
        </is>
      </c>
      <c r="BP1280" s="69" t="inlineStr">
        <is>
          <t>Midland Loan Services</t>
        </is>
      </c>
      <c r="BQ1280" s="69" t="inlineStr">
        <is>
          <t>K-Star Asset Management LLC</t>
        </is>
      </c>
      <c r="BR1280" s="69" t="n"/>
      <c r="BS1280" s="73" t="n">
        <v>46276</v>
      </c>
      <c r="BU1280" s="76">
        <f>IF($C1280="","",IFERROR(INDEX(dmName,MATCH($C1280,dmID,0)),"Unmapped"))</f>
        <v/>
      </c>
      <c r="BV1280" s="76">
        <f>IF($C1280="","",IFERROR(INDEX(dmEntity,MATCH($C1280,dmID,0)),"Unmapped"))</f>
        <v/>
      </c>
      <c r="BW1280" s="77">
        <f>IF($C1280="","",IFERROR(INDEX(dmVintage,MATCH($C1280,dmID,0)),""))</f>
        <v/>
      </c>
      <c r="BX1280" s="78">
        <f>IFERROR(INDEX(dmInclude,MATCH($C1280,dmID,0)),0)</f>
        <v/>
      </c>
      <c r="BY1280" s="78">
        <f>IF(N($I1280)&gt;0,1,0)</f>
        <v/>
      </c>
      <c r="BZ1280" s="76">
        <f>IF($AJ1280="","Other / Leased Fee",IFERROR(INDEX(mapPTGroup,MATCH(LEFT(TRIM($AJ1280),2),mapPTCode,0)),"Other / Leased Fee"))</f>
        <v/>
      </c>
      <c r="CA1280" s="76">
        <f>IF(TRIM($AF1280&amp;"")="","NR",LEFT(TRIM($AF1280),2))</f>
        <v/>
      </c>
      <c r="CB1280" s="76">
        <f>IFERROR(LOOKUP(2,1/(LEFT(TRIM($AI1280&amp;""),LEN(mapRegion))=mapRegion),mapRegion),"Not Reported")</f>
        <v/>
      </c>
      <c r="CC1280" s="76">
        <f>IF($BY1280=0,"",IF(TRIM($W1280&amp;"")="REO","REO",IF(TRIM($W1280&amp;"")="FC","Foreclosure",IF(TRIM($W1280&amp;"")="90+","90+ Days Delinquent",IF(TRIM($W1280&amp;"")="60","60 Days Delinquent",IF(TRIM($W1280&amp;"")="30","30 Days Delinquent",IF($X1280="Non-Performing Matured Balloon","Non-Performing Matured Balloon",IF(OR($X1280="Late Payment But Less Than 30 Days Delinquent",LEFT($X1280&amp;"",20)="Payment Not Received"),"Late / In Grace (&lt;30 Days)",IF($X1280="Performing Matured Balloon","Performing Matured Balloon","Current")))))))))</f>
        <v/>
      </c>
      <c r="CD1280" s="78">
        <f>IF(OR($CC1280="REO",$CC1280="Foreclosure",$CC1280="90+ Days Delinquent",$CC1280="60 Days Delinquent",$CC1280="30 Days Delinquent",$CC1280="Non-Performing Matured Balloon"),1,0)</f>
        <v/>
      </c>
      <c r="CE1280" s="76">
        <f>IF($AB1280="Currently special serv","Currently Specially Serviced",IF($AB1280="Returned to master serv","Previously Specially Serviced","Never Specially Serviced"))</f>
        <v/>
      </c>
      <c r="CF1280" s="78">
        <f>IF($CE1280="Currently Specially Serviced",1,0)</f>
        <v/>
      </c>
      <c r="CG1280" s="76">
        <f>IF($AA1280="Yes","Currently on Watchlist",IF($AA1280="Previously","Previously on Watchlist","Never on Watchlist"))</f>
        <v/>
      </c>
      <c r="CH1280" s="78">
        <f>IF($CG1280="Currently on Watchlist",1,0)</f>
        <v/>
      </c>
      <c r="CI1280" s="76">
        <f>IF($Z1280="Full Defeasance","Fully Defeased",IF($Z1280="Portion Of Loan Previously Defeased","Partially Defeased",IF($Z1280="Defeasance Not Allowable","Not Defeased (Not Permitted)","Not Defeased")))</f>
        <v/>
      </c>
      <c r="CJ1280" s="78">
        <f>IF($CI1280="Fully Defeased",1,0)</f>
        <v/>
      </c>
      <c r="CK1280" s="76">
        <f>IF($R1280="IO","Full IO",IF(LEFT($R1280&amp;"",7)="IO then","Partial IO","Amortizing"))</f>
        <v/>
      </c>
      <c r="CL1280" s="78">
        <f>IF($CK1280="Full IO",1,0)</f>
        <v/>
      </c>
      <c r="CM1280" s="78">
        <f>IF($CK1280="Partial IO",1,0)</f>
        <v/>
      </c>
      <c r="CN1280" s="76">
        <f>IF(LEFT($F1280&amp;"",10)="SPLIT_LOAN","Pari Passu Split","Standalone")</f>
        <v/>
      </c>
      <c r="CO1280" s="78">
        <f>IF($CN1280="Pari Passu Split",1,0)</f>
        <v/>
      </c>
      <c r="CP1280" s="77">
        <f>IF(ISNUMBER($T1280),YEAR($T1280),"")</f>
        <v/>
      </c>
      <c r="CQ1280" s="79">
        <f>IF(ISNUMBER($V1280),$V1280,IF(ISNUMBER($U1280),$U1280,""))</f>
        <v/>
      </c>
      <c r="CR1280" s="77">
        <f>IF(ISNUMBER($CQ1280),YEAR($CQ1280),"")</f>
        <v/>
      </c>
      <c r="CS1280" s="78">
        <f>IF(ISNUMBER($M1280),MAX(0,$M1280),IF(TRIM($M1280&amp;"")="matured",0,""))</f>
        <v/>
      </c>
      <c r="CT1280" s="78">
        <f>IF(AND(ISNUMBER($CS1280),N($CS1280)&lt;=mMatWindow),1,0)</f>
        <v/>
      </c>
      <c r="CU1280" s="80">
        <f>IF(ISNUMBER($J1280),$J1280/100,"")</f>
        <v/>
      </c>
      <c r="CV1280" s="81">
        <f>IF(ISNUMBER($AQ1280),$AQ1280,"")</f>
        <v/>
      </c>
      <c r="CW1280" s="81">
        <f>IF(ISNUMBER($AR1280),$AR1280,"")</f>
        <v/>
      </c>
      <c r="CX1280" s="82">
        <f>IF(ISNUMBER($AS1280),$AS1280/100,"")</f>
        <v/>
      </c>
      <c r="CY1280" s="82">
        <f>IF(ISNUMBER($AT1280),$AT1280/100,"")</f>
        <v/>
      </c>
      <c r="CZ1280" s="82">
        <f>IF(ISNUMBER($AU1280),$AU1280/100,"")</f>
        <v/>
      </c>
      <c r="DA1280" s="82">
        <f>IF(ISNUMBER($AV1280),$AV1280/100,"")</f>
        <v/>
      </c>
      <c r="DB1280" s="82">
        <f>IF(ISNUMBER($AW1280),$AW1280/100,"")</f>
        <v/>
      </c>
      <c r="DC1280" s="82">
        <f>IF(ISNUMBER($AX1280),$AX1280/100,"")</f>
        <v/>
      </c>
      <c r="DD1280" s="77">
        <f>IFERROR(VALUE(LEFT(TRIM($AO1280&amp;""),4)),"")</f>
        <v/>
      </c>
      <c r="DE1280" s="78">
        <f>IF(AND($BY1280=1,$BX1280=1,OR(fDeal="All Deals",$BU1280=fDeal),OR(fEntity="All Entities",$BV1280=fEntity),OR(fPType="All Property Types",$BZ1280=fPType),OR(fDefeased="Include",$CJ1280=0)),1,0)</f>
        <v/>
      </c>
      <c r="DF1280" s="83">
        <f>$DE1280*N($I1280)</f>
        <v/>
      </c>
      <c r="DG1280" s="78">
        <f>IF($DE1280=1,IF(COUNTIFS($F$8:$F1280,$F1280,$DE$8:$DE1280,1)=1,1,0),0)</f>
        <v/>
      </c>
      <c r="DH1280" s="83">
        <f>IF($DG1280=1,SUMIFS($DF$8:$DF$1600,$F$8:$F$1600,$F1280),0)</f>
        <v/>
      </c>
      <c r="DI1280" s="78">
        <f>IF($DG1280=1,COUNTIFS($F$8:$F$1600,$F1280,$DE$8:$DE$1600,1),0)</f>
        <v/>
      </c>
      <c r="DJ1280" s="84">
        <f>IF($DG1280=1,$DH1280+(100000-ROW())/mTieBreak,0)</f>
        <v/>
      </c>
    </row>
    <row r="1281">
      <c r="B1281" s="68" t="n">
        <v>48</v>
      </c>
      <c r="C1281" s="69" t="inlineStr">
        <is>
          <t>UBS18C12</t>
        </is>
      </c>
      <c r="D1281" s="69" t="inlineStr">
        <is>
          <t>48.000</t>
        </is>
      </c>
      <c r="E1281" s="69" t="inlineStr">
        <is>
          <t>Holiday Inn Express &amp; Suites Jackson</t>
        </is>
      </c>
      <c r="F1281" s="69" t="inlineStr">
        <is>
          <t>LNUBS18C12-48.000</t>
        </is>
      </c>
      <c r="G1281" s="70" t="n"/>
      <c r="H1281" s="71" t="n">
        <v>6500000</v>
      </c>
      <c r="I1281" s="71" t="n">
        <v>5366115.3600015</v>
      </c>
      <c r="J1281" s="72" t="n">
        <v>5.94</v>
      </c>
      <c r="K1281" s="69" t="inlineStr">
        <is>
          <t>Fixed rate</t>
        </is>
      </c>
      <c r="L1281" s="68" t="n">
        <v>120</v>
      </c>
      <c r="M1281" s="68" t="n">
        <v>22</v>
      </c>
      <c r="N1281" s="68" t="n">
        <v>300</v>
      </c>
      <c r="O1281" s="68" t="n"/>
      <c r="P1281" s="68" t="n"/>
      <c r="Q1281" s="68" t="n">
        <v>98</v>
      </c>
      <c r="R1281" s="69" t="n"/>
      <c r="S1281" s="69" t="inlineStr">
        <is>
          <t>No</t>
        </is>
      </c>
      <c r="T1281" s="73" t="n">
        <v>43282</v>
      </c>
      <c r="U1281" s="73" t="n">
        <v>46939</v>
      </c>
      <c r="V1281" s="73" t="n"/>
      <c r="W1281" s="69" t="n"/>
      <c r="X1281" s="69" t="inlineStr">
        <is>
          <t>Current</t>
        </is>
      </c>
      <c r="Y1281" s="68" t="n"/>
      <c r="Z1281" s="69" t="inlineStr">
        <is>
          <t>No Defeasance Occurred</t>
        </is>
      </c>
      <c r="AA1281" s="69" t="inlineStr">
        <is>
          <t>Yes</t>
        </is>
      </c>
      <c r="AB1281" s="69" t="inlineStr">
        <is>
          <t>Never special serv</t>
        </is>
      </c>
      <c r="AC1281" s="73" t="n"/>
      <c r="AD1281" s="69" t="n"/>
      <c r="AE1281" s="69" t="n"/>
      <c r="AF1281" s="69" t="inlineStr">
        <is>
          <t>CA</t>
        </is>
      </c>
      <c r="AG1281" s="69" t="inlineStr">
        <is>
          <t>Jackson</t>
        </is>
      </c>
      <c r="AH1281" s="69" t="n"/>
      <c r="AI1281" s="69" t="inlineStr">
        <is>
          <t>West / Pacific South</t>
        </is>
      </c>
      <c r="AJ1281" s="69" t="inlineStr">
        <is>
          <t>HT</t>
        </is>
      </c>
      <c r="AK1281" s="69" t="inlineStr">
        <is>
          <t>Limited Service</t>
        </is>
      </c>
      <c r="AL1281" s="68" t="n">
        <v>1</v>
      </c>
      <c r="AM1281" s="68" t="n">
        <v>51</v>
      </c>
      <c r="AN1281" s="68" t="n"/>
      <c r="AO1281" s="69" t="inlineStr">
        <is>
          <t>2003</t>
        </is>
      </c>
      <c r="AP1281" s="70" t="n">
        <v>2003</v>
      </c>
      <c r="AQ1281" s="74" t="n">
        <v>1.65</v>
      </c>
      <c r="AR1281" s="74" t="n">
        <v>-0.45</v>
      </c>
      <c r="AS1281" s="74" t="n">
        <v>63.6</v>
      </c>
      <c r="AT1281" s="74" t="n">
        <v>52.61</v>
      </c>
      <c r="AU1281" s="74" t="n">
        <v>49.3</v>
      </c>
      <c r="AV1281" s="74" t="n">
        <v>12.720884615</v>
      </c>
      <c r="AW1281" s="74" t="n">
        <v>9.097403191</v>
      </c>
      <c r="AX1281" s="75" t="n">
        <v>76</v>
      </c>
      <c r="AY1281" s="71" t="n">
        <v>10200000</v>
      </c>
      <c r="AZ1281" s="71" t="n">
        <v>10200000</v>
      </c>
      <c r="BA1281" s="71" t="n">
        <v>826857.5</v>
      </c>
      <c r="BB1281" s="71" t="n">
        <v>-55858.38</v>
      </c>
      <c r="BC1281" s="69" t="inlineStr">
        <is>
          <t>Refinance</t>
        </is>
      </c>
      <c r="BD1281" s="69" t="inlineStr">
        <is>
          <t>N</t>
        </is>
      </c>
      <c r="BE1281" s="71" t="n"/>
      <c r="BF1281" s="71" t="n"/>
      <c r="BG1281" s="71" t="n"/>
      <c r="BH1281" s="71" t="n">
        <v>0</v>
      </c>
      <c r="BI1281" s="71" t="n">
        <v>0</v>
      </c>
      <c r="BJ1281" s="69" t="inlineStr">
        <is>
          <t>N</t>
        </is>
      </c>
      <c r="BK1281" s="69" t="n"/>
      <c r="BL1281" s="75" t="n"/>
      <c r="BM1281" s="73" t="n"/>
      <c r="BN1281" s="69" t="inlineStr">
        <is>
          <t>Atul N. Patel; Manisha A. Patel</t>
        </is>
      </c>
      <c r="BO1281" s="69" t="inlineStr">
        <is>
          <t>Natixis</t>
        </is>
      </c>
      <c r="BP1281" s="69" t="inlineStr">
        <is>
          <t>Midland Loan Services</t>
        </is>
      </c>
      <c r="BQ1281" s="69" t="inlineStr">
        <is>
          <t>K-Star Asset Management LLC</t>
        </is>
      </c>
      <c r="BR1281" s="69" t="n"/>
      <c r="BS1281" s="73" t="n">
        <v>46276</v>
      </c>
      <c r="BU1281" s="76">
        <f>IF($C1281="","",IFERROR(INDEX(dmName,MATCH($C1281,dmID,0)),"Unmapped"))</f>
        <v/>
      </c>
      <c r="BV1281" s="76">
        <f>IF($C1281="","",IFERROR(INDEX(dmEntity,MATCH($C1281,dmID,0)),"Unmapped"))</f>
        <v/>
      </c>
      <c r="BW1281" s="77">
        <f>IF($C1281="","",IFERROR(INDEX(dmVintage,MATCH($C1281,dmID,0)),""))</f>
        <v/>
      </c>
      <c r="BX1281" s="78">
        <f>IFERROR(INDEX(dmInclude,MATCH($C1281,dmID,0)),0)</f>
        <v/>
      </c>
      <c r="BY1281" s="78">
        <f>IF(N($I1281)&gt;0,1,0)</f>
        <v/>
      </c>
      <c r="BZ1281" s="76">
        <f>IF($AJ1281="","Other / Leased Fee",IFERROR(INDEX(mapPTGroup,MATCH(LEFT(TRIM($AJ1281),2),mapPTCode,0)),"Other / Leased Fee"))</f>
        <v/>
      </c>
      <c r="CA1281" s="76">
        <f>IF(TRIM($AF1281&amp;"")="","NR",LEFT(TRIM($AF1281),2))</f>
        <v/>
      </c>
      <c r="CB1281" s="76">
        <f>IFERROR(LOOKUP(2,1/(LEFT(TRIM($AI1281&amp;""),LEN(mapRegion))=mapRegion),mapRegion),"Not Reported")</f>
        <v/>
      </c>
      <c r="CC1281" s="76">
        <f>IF($BY1281=0,"",IF(TRIM($W1281&amp;"")="REO","REO",IF(TRIM($W1281&amp;"")="FC","Foreclosure",IF(TRIM($W1281&amp;"")="90+","90+ Days Delinquent",IF(TRIM($W1281&amp;"")="60","60 Days Delinquent",IF(TRIM($W1281&amp;"")="30","30 Days Delinquent",IF($X1281="Non-Performing Matured Balloon","Non-Performing Matured Balloon",IF(OR($X1281="Late Payment But Less Than 30 Days Delinquent",LEFT($X1281&amp;"",20)="Payment Not Received"),"Late / In Grace (&lt;30 Days)",IF($X1281="Performing Matured Balloon","Performing Matured Balloon","Current")))))))))</f>
        <v/>
      </c>
      <c r="CD1281" s="78">
        <f>IF(OR($CC1281="REO",$CC1281="Foreclosure",$CC1281="90+ Days Delinquent",$CC1281="60 Days Delinquent",$CC1281="30 Days Delinquent",$CC1281="Non-Performing Matured Balloon"),1,0)</f>
        <v/>
      </c>
      <c r="CE1281" s="76">
        <f>IF($AB1281="Currently special serv","Currently Specially Serviced",IF($AB1281="Returned to master serv","Previously Specially Serviced","Never Specially Serviced"))</f>
        <v/>
      </c>
      <c r="CF1281" s="78">
        <f>IF($CE1281="Currently Specially Serviced",1,0)</f>
        <v/>
      </c>
      <c r="CG1281" s="76">
        <f>IF($AA1281="Yes","Currently on Watchlist",IF($AA1281="Previously","Previously on Watchlist","Never on Watchlist"))</f>
        <v/>
      </c>
      <c r="CH1281" s="78">
        <f>IF($CG1281="Currently on Watchlist",1,0)</f>
        <v/>
      </c>
      <c r="CI1281" s="76">
        <f>IF($Z1281="Full Defeasance","Fully Defeased",IF($Z1281="Portion Of Loan Previously Defeased","Partially Defeased",IF($Z1281="Defeasance Not Allowable","Not Defeased (Not Permitted)","Not Defeased")))</f>
        <v/>
      </c>
      <c r="CJ1281" s="78">
        <f>IF($CI1281="Fully Defeased",1,0)</f>
        <v/>
      </c>
      <c r="CK1281" s="76">
        <f>IF($R1281="IO","Full IO",IF(LEFT($R1281&amp;"",7)="IO then","Partial IO","Amortizing"))</f>
        <v/>
      </c>
      <c r="CL1281" s="78">
        <f>IF($CK1281="Full IO",1,0)</f>
        <v/>
      </c>
      <c r="CM1281" s="78">
        <f>IF($CK1281="Partial IO",1,0)</f>
        <v/>
      </c>
      <c r="CN1281" s="76">
        <f>IF(LEFT($F1281&amp;"",10)="SPLIT_LOAN","Pari Passu Split","Standalone")</f>
        <v/>
      </c>
      <c r="CO1281" s="78">
        <f>IF($CN1281="Pari Passu Split",1,0)</f>
        <v/>
      </c>
      <c r="CP1281" s="77">
        <f>IF(ISNUMBER($T1281),YEAR($T1281),"")</f>
        <v/>
      </c>
      <c r="CQ1281" s="79">
        <f>IF(ISNUMBER($V1281),$V1281,IF(ISNUMBER($U1281),$U1281,""))</f>
        <v/>
      </c>
      <c r="CR1281" s="77">
        <f>IF(ISNUMBER($CQ1281),YEAR($CQ1281),"")</f>
        <v/>
      </c>
      <c r="CS1281" s="78">
        <f>IF(ISNUMBER($M1281),MAX(0,$M1281),IF(TRIM($M1281&amp;"")="matured",0,""))</f>
        <v/>
      </c>
      <c r="CT1281" s="78">
        <f>IF(AND(ISNUMBER($CS1281),N($CS1281)&lt;=mMatWindow),1,0)</f>
        <v/>
      </c>
      <c r="CU1281" s="80">
        <f>IF(ISNUMBER($J1281),$J1281/100,"")</f>
        <v/>
      </c>
      <c r="CV1281" s="81">
        <f>IF(ISNUMBER($AQ1281),$AQ1281,"")</f>
        <v/>
      </c>
      <c r="CW1281" s="81">
        <f>IF(ISNUMBER($AR1281),$AR1281,"")</f>
        <v/>
      </c>
      <c r="CX1281" s="82">
        <f>IF(ISNUMBER($AS1281),$AS1281/100,"")</f>
        <v/>
      </c>
      <c r="CY1281" s="82">
        <f>IF(ISNUMBER($AT1281),$AT1281/100,"")</f>
        <v/>
      </c>
      <c r="CZ1281" s="82">
        <f>IF(ISNUMBER($AU1281),$AU1281/100,"")</f>
        <v/>
      </c>
      <c r="DA1281" s="82">
        <f>IF(ISNUMBER($AV1281),$AV1281/100,"")</f>
        <v/>
      </c>
      <c r="DB1281" s="82">
        <f>IF(ISNUMBER($AW1281),$AW1281/100,"")</f>
        <v/>
      </c>
      <c r="DC1281" s="82">
        <f>IF(ISNUMBER($AX1281),$AX1281/100,"")</f>
        <v/>
      </c>
      <c r="DD1281" s="77">
        <f>IFERROR(VALUE(LEFT(TRIM($AO1281&amp;""),4)),"")</f>
        <v/>
      </c>
      <c r="DE1281" s="78">
        <f>IF(AND($BY1281=1,$BX1281=1,OR(fDeal="All Deals",$BU1281=fDeal),OR(fEntity="All Entities",$BV1281=fEntity),OR(fPType="All Property Types",$BZ1281=fPType),OR(fDefeased="Include",$CJ1281=0)),1,0)</f>
        <v/>
      </c>
      <c r="DF1281" s="83">
        <f>$DE1281*N($I1281)</f>
        <v/>
      </c>
      <c r="DG1281" s="78">
        <f>IF($DE1281=1,IF(COUNTIFS($F$8:$F1281,$F1281,$DE$8:$DE1281,1)=1,1,0),0)</f>
        <v/>
      </c>
      <c r="DH1281" s="83">
        <f>IF($DG1281=1,SUMIFS($DF$8:$DF$1600,$F$8:$F$1600,$F1281),0)</f>
        <v/>
      </c>
      <c r="DI1281" s="78">
        <f>IF($DG1281=1,COUNTIFS($F$8:$F$1600,$F1281,$DE$8:$DE$1600,1),0)</f>
        <v/>
      </c>
      <c r="DJ1281" s="84">
        <f>IF($DG1281=1,$DH1281+(100000-ROW())/mTieBreak,0)</f>
        <v/>
      </c>
    </row>
    <row r="1282">
      <c r="B1282" s="68" t="n">
        <v>49</v>
      </c>
      <c r="C1282" s="69" t="inlineStr">
        <is>
          <t>UBS18C12</t>
        </is>
      </c>
      <c r="D1282" s="69" t="inlineStr">
        <is>
          <t>49.000</t>
        </is>
      </c>
      <c r="E1282" s="69" t="inlineStr">
        <is>
          <t>24 Hour Fitness - Mansfield</t>
        </is>
      </c>
      <c r="F1282" s="69" t="inlineStr">
        <is>
          <t>LNUBS18C12-49.000</t>
        </is>
      </c>
      <c r="G1282" s="70" t="n"/>
      <c r="H1282" s="71" t="n">
        <v>6435000</v>
      </c>
      <c r="I1282" s="71" t="n">
        <v>0</v>
      </c>
      <c r="J1282" s="72" t="n">
        <v>5.0701</v>
      </c>
      <c r="K1282" s="69" t="inlineStr">
        <is>
          <t>Fixed rate</t>
        </is>
      </c>
      <c r="L1282" s="68" t="n">
        <v>84</v>
      </c>
      <c r="M1282" s="68" t="n"/>
      <c r="N1282" s="68" t="n">
        <v>84</v>
      </c>
      <c r="O1282" s="68" t="n">
        <v>84</v>
      </c>
      <c r="P1282" s="68" t="n"/>
      <c r="Q1282" s="68" t="n"/>
      <c r="R1282" s="69" t="inlineStr">
        <is>
          <t>IO</t>
        </is>
      </c>
      <c r="S1282" s="69" t="inlineStr">
        <is>
          <t>Yes</t>
        </is>
      </c>
      <c r="T1282" s="73" t="n">
        <v>43313</v>
      </c>
      <c r="U1282" s="73" t="n">
        <v>45844</v>
      </c>
      <c r="V1282" s="73" t="n"/>
      <c r="W1282" s="69" t="n"/>
      <c r="X1282" s="69" t="inlineStr">
        <is>
          <t>Current</t>
        </is>
      </c>
      <c r="Y1282" s="68" t="n"/>
      <c r="Z1282" s="69" t="inlineStr">
        <is>
          <t>Full Defeasance</t>
        </is>
      </c>
      <c r="AA1282" s="69" t="inlineStr">
        <is>
          <t>Previously</t>
        </is>
      </c>
      <c r="AB1282" s="69" t="inlineStr">
        <is>
          <t>Returned to master serv</t>
        </is>
      </c>
      <c r="AC1282" s="73" t="n"/>
      <c r="AD1282" s="69" t="inlineStr">
        <is>
          <t>Other</t>
        </is>
      </c>
      <c r="AE1282" s="69" t="inlineStr">
        <is>
          <t>Resolved</t>
        </is>
      </c>
      <c r="AF1282" s="69" t="inlineStr">
        <is>
          <t>TX</t>
        </is>
      </c>
      <c r="AG1282" s="69" t="inlineStr">
        <is>
          <t>Mansfield</t>
        </is>
      </c>
      <c r="AH1282" s="69" t="inlineStr">
        <is>
          <t>Dallas-Fort Worth-Arlington, TX</t>
        </is>
      </c>
      <c r="AI1282" s="69" t="inlineStr">
        <is>
          <t>South / Central West</t>
        </is>
      </c>
      <c r="AJ1282" s="69" t="inlineStr">
        <is>
          <t>RT</t>
        </is>
      </c>
      <c r="AK1282" s="69" t="inlineStr">
        <is>
          <t>Single Tenant</t>
        </is>
      </c>
      <c r="AL1282" s="68" t="n">
        <v>1</v>
      </c>
      <c r="AM1282" s="68" t="n"/>
      <c r="AN1282" s="68" t="n">
        <v>42600</v>
      </c>
      <c r="AO1282" s="69" t="inlineStr">
        <is>
          <t>1992</t>
        </is>
      </c>
      <c r="AP1282" s="70" t="n">
        <v>2006</v>
      </c>
      <c r="AQ1282" s="74" t="n">
        <v>2.34</v>
      </c>
      <c r="AR1282" s="74" t="n">
        <v>1.95</v>
      </c>
      <c r="AS1282" s="74" t="n">
        <v>51.7</v>
      </c>
      <c r="AT1282" s="74" t="n"/>
      <c r="AU1282" s="74" t="n">
        <v>51.7</v>
      </c>
      <c r="AV1282" s="74" t="n">
        <v>12.011610101</v>
      </c>
      <c r="AW1282" s="74" t="n"/>
      <c r="AX1282" s="75" t="n">
        <v>100</v>
      </c>
      <c r="AY1282" s="71" t="n">
        <v>12440000</v>
      </c>
      <c r="AZ1282" s="71" t="n">
        <v>12300000</v>
      </c>
      <c r="BA1282" s="71" t="n">
        <v>772947.11</v>
      </c>
      <c r="BB1282" s="71" t="n">
        <v>644496.45</v>
      </c>
      <c r="BC1282" s="69" t="inlineStr">
        <is>
          <t>Acquisition</t>
        </is>
      </c>
      <c r="BD1282" s="69" t="inlineStr">
        <is>
          <t>Y</t>
        </is>
      </c>
      <c r="BE1282" s="71" t="n"/>
      <c r="BF1282" s="71" t="n"/>
      <c r="BG1282" s="71" t="n"/>
      <c r="BH1282" s="71" t="n">
        <v>0</v>
      </c>
      <c r="BI1282" s="71" t="n">
        <v>0</v>
      </c>
      <c r="BJ1282" s="69" t="inlineStr">
        <is>
          <t>N</t>
        </is>
      </c>
      <c r="BK1282" s="69" t="inlineStr">
        <is>
          <t>24 Hour Fitness</t>
        </is>
      </c>
      <c r="BL1282" s="75" t="n">
        <v>100</v>
      </c>
      <c r="BM1282" s="73" t="n">
        <v>48730</v>
      </c>
      <c r="BN1282" s="69" t="inlineStr">
        <is>
          <t>Platform Investments, LLC</t>
        </is>
      </c>
      <c r="BO1282" s="69" t="inlineStr">
        <is>
          <t>UBS</t>
        </is>
      </c>
      <c r="BP1282" s="69" t="inlineStr">
        <is>
          <t>Midland Loan Services</t>
        </is>
      </c>
      <c r="BQ1282" s="69" t="inlineStr">
        <is>
          <t>K-Star Asset Management LLC</t>
        </is>
      </c>
      <c r="BR1282" s="69" t="inlineStr">
        <is>
          <t>Payoff Prior To Maturity</t>
        </is>
      </c>
      <c r="BS1282" s="73" t="n">
        <v>45670</v>
      </c>
      <c r="BU1282" s="76">
        <f>IF($C1282="","",IFERROR(INDEX(dmName,MATCH($C1282,dmID,0)),"Unmapped"))</f>
        <v/>
      </c>
      <c r="BV1282" s="76">
        <f>IF($C1282="","",IFERROR(INDEX(dmEntity,MATCH($C1282,dmID,0)),"Unmapped"))</f>
        <v/>
      </c>
      <c r="BW1282" s="77">
        <f>IF($C1282="","",IFERROR(INDEX(dmVintage,MATCH($C1282,dmID,0)),""))</f>
        <v/>
      </c>
      <c r="BX1282" s="78">
        <f>IFERROR(INDEX(dmInclude,MATCH($C1282,dmID,0)),0)</f>
        <v/>
      </c>
      <c r="BY1282" s="78">
        <f>IF(N($I1282)&gt;0,1,0)</f>
        <v/>
      </c>
      <c r="BZ1282" s="76">
        <f>IF($AJ1282="","Other / Leased Fee",IFERROR(INDEX(mapPTGroup,MATCH(LEFT(TRIM($AJ1282),2),mapPTCode,0)),"Other / Leased Fee"))</f>
        <v/>
      </c>
      <c r="CA1282" s="76">
        <f>IF(TRIM($AF1282&amp;"")="","NR",LEFT(TRIM($AF1282),2))</f>
        <v/>
      </c>
      <c r="CB1282" s="76">
        <f>IFERROR(LOOKUP(2,1/(LEFT(TRIM($AI1282&amp;""),LEN(mapRegion))=mapRegion),mapRegion),"Not Reported")</f>
        <v/>
      </c>
      <c r="CC1282" s="76">
        <f>IF($BY1282=0,"",IF(TRIM($W1282&amp;"")="REO","REO",IF(TRIM($W1282&amp;"")="FC","Foreclosure",IF(TRIM($W1282&amp;"")="90+","90+ Days Delinquent",IF(TRIM($W1282&amp;"")="60","60 Days Delinquent",IF(TRIM($W1282&amp;"")="30","30 Days Delinquent",IF($X1282="Non-Performing Matured Balloon","Non-Performing Matured Balloon",IF(OR($X1282="Late Payment But Less Than 30 Days Delinquent",LEFT($X1282&amp;"",20)="Payment Not Received"),"Late / In Grace (&lt;30 Days)",IF($X1282="Performing Matured Balloon","Performing Matured Balloon","Current")))))))))</f>
        <v/>
      </c>
      <c r="CD1282" s="78">
        <f>IF(OR($CC1282="REO",$CC1282="Foreclosure",$CC1282="90+ Days Delinquent",$CC1282="60 Days Delinquent",$CC1282="30 Days Delinquent",$CC1282="Non-Performing Matured Balloon"),1,0)</f>
        <v/>
      </c>
      <c r="CE1282" s="76">
        <f>IF($AB1282="Currently special serv","Currently Specially Serviced",IF($AB1282="Returned to master serv","Previously Specially Serviced","Never Specially Serviced"))</f>
        <v/>
      </c>
      <c r="CF1282" s="78">
        <f>IF($CE1282="Currently Specially Serviced",1,0)</f>
        <v/>
      </c>
      <c r="CG1282" s="76">
        <f>IF($AA1282="Yes","Currently on Watchlist",IF($AA1282="Previously","Previously on Watchlist","Never on Watchlist"))</f>
        <v/>
      </c>
      <c r="CH1282" s="78">
        <f>IF($CG1282="Currently on Watchlist",1,0)</f>
        <v/>
      </c>
      <c r="CI1282" s="76">
        <f>IF($Z1282="Full Defeasance","Fully Defeased",IF($Z1282="Portion Of Loan Previously Defeased","Partially Defeased",IF($Z1282="Defeasance Not Allowable","Not Defeased (Not Permitted)","Not Defeased")))</f>
        <v/>
      </c>
      <c r="CJ1282" s="78">
        <f>IF($CI1282="Fully Defeased",1,0)</f>
        <v/>
      </c>
      <c r="CK1282" s="76">
        <f>IF($R1282="IO","Full IO",IF(LEFT($R1282&amp;"",7)="IO then","Partial IO","Amortizing"))</f>
        <v/>
      </c>
      <c r="CL1282" s="78">
        <f>IF($CK1282="Full IO",1,0)</f>
        <v/>
      </c>
      <c r="CM1282" s="78">
        <f>IF($CK1282="Partial IO",1,0)</f>
        <v/>
      </c>
      <c r="CN1282" s="76">
        <f>IF(LEFT($F1282&amp;"",10)="SPLIT_LOAN","Pari Passu Split","Standalone")</f>
        <v/>
      </c>
      <c r="CO1282" s="78">
        <f>IF($CN1282="Pari Passu Split",1,0)</f>
        <v/>
      </c>
      <c r="CP1282" s="77">
        <f>IF(ISNUMBER($T1282),YEAR($T1282),"")</f>
        <v/>
      </c>
      <c r="CQ1282" s="79">
        <f>IF(ISNUMBER($V1282),$V1282,IF(ISNUMBER($U1282),$U1282,""))</f>
        <v/>
      </c>
      <c r="CR1282" s="77">
        <f>IF(ISNUMBER($CQ1282),YEAR($CQ1282),"")</f>
        <v/>
      </c>
      <c r="CS1282" s="78">
        <f>IF(ISNUMBER($M1282),MAX(0,$M1282),IF(TRIM($M1282&amp;"")="matured",0,""))</f>
        <v/>
      </c>
      <c r="CT1282" s="78">
        <f>IF(AND(ISNUMBER($CS1282),N($CS1282)&lt;=mMatWindow),1,0)</f>
        <v/>
      </c>
      <c r="CU1282" s="80">
        <f>IF(ISNUMBER($J1282),$J1282/100,"")</f>
        <v/>
      </c>
      <c r="CV1282" s="81">
        <f>IF(ISNUMBER($AQ1282),$AQ1282,"")</f>
        <v/>
      </c>
      <c r="CW1282" s="81">
        <f>IF(ISNUMBER($AR1282),$AR1282,"")</f>
        <v/>
      </c>
      <c r="CX1282" s="82">
        <f>IF(ISNUMBER($AS1282),$AS1282/100,"")</f>
        <v/>
      </c>
      <c r="CY1282" s="82">
        <f>IF(ISNUMBER($AT1282),$AT1282/100,"")</f>
        <v/>
      </c>
      <c r="CZ1282" s="82">
        <f>IF(ISNUMBER($AU1282),$AU1282/100,"")</f>
        <v/>
      </c>
      <c r="DA1282" s="82">
        <f>IF(ISNUMBER($AV1282),$AV1282/100,"")</f>
        <v/>
      </c>
      <c r="DB1282" s="82">
        <f>IF(ISNUMBER($AW1282),$AW1282/100,"")</f>
        <v/>
      </c>
      <c r="DC1282" s="82">
        <f>IF(ISNUMBER($AX1282),$AX1282/100,"")</f>
        <v/>
      </c>
      <c r="DD1282" s="77">
        <f>IFERROR(VALUE(LEFT(TRIM($AO1282&amp;""),4)),"")</f>
        <v/>
      </c>
      <c r="DE1282" s="78">
        <f>IF(AND($BY1282=1,$BX1282=1,OR(fDeal="All Deals",$BU1282=fDeal),OR(fEntity="All Entities",$BV1282=fEntity),OR(fPType="All Property Types",$BZ1282=fPType),OR(fDefeased="Include",$CJ1282=0)),1,0)</f>
        <v/>
      </c>
      <c r="DF1282" s="83">
        <f>$DE1282*N($I1282)</f>
        <v/>
      </c>
      <c r="DG1282" s="78">
        <f>IF($DE1282=1,IF(COUNTIFS($F$8:$F1282,$F1282,$DE$8:$DE1282,1)=1,1,0),0)</f>
        <v/>
      </c>
      <c r="DH1282" s="83">
        <f>IF($DG1282=1,SUMIFS($DF$8:$DF$1600,$F$8:$F$1600,$F1282),0)</f>
        <v/>
      </c>
      <c r="DI1282" s="78">
        <f>IF($DG1282=1,COUNTIFS($F$8:$F$1600,$F1282,$DE$8:$DE$1600,1),0)</f>
        <v/>
      </c>
      <c r="DJ1282" s="84">
        <f>IF($DG1282=1,$DH1282+(100000-ROW())/mTieBreak,0)</f>
        <v/>
      </c>
    </row>
    <row r="1283">
      <c r="B1283" s="68" t="n">
        <v>50</v>
      </c>
      <c r="C1283" s="69" t="inlineStr">
        <is>
          <t>UBS18C12</t>
        </is>
      </c>
      <c r="D1283" s="69" t="inlineStr">
        <is>
          <t>50.000</t>
        </is>
      </c>
      <c r="E1283" s="69" t="inlineStr">
        <is>
          <t>Crossroads Village</t>
        </is>
      </c>
      <c r="F1283" s="69" t="inlineStr">
        <is>
          <t>LNUBS18C12-50.000</t>
        </is>
      </c>
      <c r="G1283" s="70" t="n"/>
      <c r="H1283" s="71" t="n">
        <v>6250000</v>
      </c>
      <c r="I1283" s="71" t="n">
        <v>5436112.53</v>
      </c>
      <c r="J1283" s="72" t="n">
        <v>5.28</v>
      </c>
      <c r="K1283" s="69" t="inlineStr">
        <is>
          <t>Fixed rate</t>
        </is>
      </c>
      <c r="L1283" s="68" t="n">
        <v>120</v>
      </c>
      <c r="M1283" s="68" t="n">
        <v>23</v>
      </c>
      <c r="N1283" s="68" t="n">
        <v>360</v>
      </c>
      <c r="O1283" s="68" t="n"/>
      <c r="P1283" s="68" t="n"/>
      <c r="Q1283" s="68" t="n">
        <v>97</v>
      </c>
      <c r="R1283" s="69" t="n"/>
      <c r="S1283" s="69" t="inlineStr">
        <is>
          <t>No</t>
        </is>
      </c>
      <c r="T1283" s="73" t="n">
        <v>43313</v>
      </c>
      <c r="U1283" s="73" t="n">
        <v>46966</v>
      </c>
      <c r="V1283" s="73" t="n"/>
      <c r="W1283" s="69" t="n"/>
      <c r="X1283" s="69" t="inlineStr">
        <is>
          <t>Current</t>
        </is>
      </c>
      <c r="Y1283" s="68" t="n"/>
      <c r="Z1283" s="69" t="inlineStr">
        <is>
          <t>No Defeasance Occurred</t>
        </is>
      </c>
      <c r="AA1283" s="69" t="inlineStr">
        <is>
          <t>Previously</t>
        </is>
      </c>
      <c r="AB1283" s="69" t="inlineStr">
        <is>
          <t>Never special serv</t>
        </is>
      </c>
      <c r="AC1283" s="73" t="n"/>
      <c r="AD1283" s="69" t="n"/>
      <c r="AE1283" s="69" t="n"/>
      <c r="AF1283" s="69" t="inlineStr">
        <is>
          <t>GA</t>
        </is>
      </c>
      <c r="AG1283" s="69" t="inlineStr">
        <is>
          <t>Atlanta</t>
        </is>
      </c>
      <c r="AH1283" s="69" t="inlineStr">
        <is>
          <t>Atlanta-Sandy Springs-Roswell, GA</t>
        </is>
      </c>
      <c r="AI1283" s="69" t="inlineStr">
        <is>
          <t>South / Atlantic</t>
        </is>
      </c>
      <c r="AJ1283" s="69" t="inlineStr">
        <is>
          <t>RT</t>
        </is>
      </c>
      <c r="AK1283" s="69" t="inlineStr">
        <is>
          <t>Shadow Anchored</t>
        </is>
      </c>
      <c r="AL1283" s="68" t="n">
        <v>1</v>
      </c>
      <c r="AM1283" s="68" t="n"/>
      <c r="AN1283" s="68" t="n">
        <v>38629</v>
      </c>
      <c r="AO1283" s="69" t="inlineStr">
        <is>
          <t>2008</t>
        </is>
      </c>
      <c r="AP1283" s="70" t="n">
        <v>2008</v>
      </c>
      <c r="AQ1283" s="74" t="n">
        <v>1.8</v>
      </c>
      <c r="AR1283" s="74" t="n">
        <v>1.67</v>
      </c>
      <c r="AS1283" s="74" t="n">
        <v>65.09999999999999</v>
      </c>
      <c r="AT1283" s="74" t="n">
        <v>56.63</v>
      </c>
      <c r="AU1283" s="74" t="n">
        <v>54</v>
      </c>
      <c r="AV1283" s="74" t="n">
        <v>11.979408</v>
      </c>
      <c r="AW1283" s="74" t="n">
        <v>12.790208557</v>
      </c>
      <c r="AX1283" s="75" t="n">
        <v>96</v>
      </c>
      <c r="AY1283" s="71" t="n">
        <v>9600000</v>
      </c>
      <c r="AZ1283" s="71" t="n">
        <v>9600000</v>
      </c>
      <c r="BA1283" s="71" t="n">
        <v>748713</v>
      </c>
      <c r="BB1283" s="71" t="n">
        <v>695290.13</v>
      </c>
      <c r="BC1283" s="69" t="inlineStr">
        <is>
          <t>Acquisition</t>
        </is>
      </c>
      <c r="BD1283" s="69" t="inlineStr">
        <is>
          <t>N</t>
        </is>
      </c>
      <c r="BE1283" s="71" t="n"/>
      <c r="BF1283" s="71" t="n"/>
      <c r="BG1283" s="71" t="n"/>
      <c r="BH1283" s="71" t="n">
        <v>0</v>
      </c>
      <c r="BI1283" s="71" t="n">
        <v>0</v>
      </c>
      <c r="BJ1283" s="69" t="inlineStr">
        <is>
          <t>N</t>
        </is>
      </c>
      <c r="BK1283" s="69" t="inlineStr">
        <is>
          <t>Mariscos El Malecon</t>
        </is>
      </c>
      <c r="BL1283" s="75" t="n">
        <v>15.92</v>
      </c>
      <c r="BM1283" s="73" t="n">
        <v>46568</v>
      </c>
      <c r="BN1283" s="69" t="inlineStr">
        <is>
          <t>Eden Tekie; Rutta Tekie</t>
        </is>
      </c>
      <c r="BO1283" s="69" t="inlineStr">
        <is>
          <t>Societe Generale</t>
        </is>
      </c>
      <c r="BP1283" s="69" t="inlineStr">
        <is>
          <t>Midland Loan Services</t>
        </is>
      </c>
      <c r="BQ1283" s="69" t="inlineStr">
        <is>
          <t>K-Star Asset Management LLC</t>
        </is>
      </c>
      <c r="BR1283" s="69" t="n"/>
      <c r="BS1283" s="73" t="n">
        <v>46276</v>
      </c>
      <c r="BU1283" s="76">
        <f>IF($C1283="","",IFERROR(INDEX(dmName,MATCH($C1283,dmID,0)),"Unmapped"))</f>
        <v/>
      </c>
      <c r="BV1283" s="76">
        <f>IF($C1283="","",IFERROR(INDEX(dmEntity,MATCH($C1283,dmID,0)),"Unmapped"))</f>
        <v/>
      </c>
      <c r="BW1283" s="77">
        <f>IF($C1283="","",IFERROR(INDEX(dmVintage,MATCH($C1283,dmID,0)),""))</f>
        <v/>
      </c>
      <c r="BX1283" s="78">
        <f>IFERROR(INDEX(dmInclude,MATCH($C1283,dmID,0)),0)</f>
        <v/>
      </c>
      <c r="BY1283" s="78">
        <f>IF(N($I1283)&gt;0,1,0)</f>
        <v/>
      </c>
      <c r="BZ1283" s="76">
        <f>IF($AJ1283="","Other / Leased Fee",IFERROR(INDEX(mapPTGroup,MATCH(LEFT(TRIM($AJ1283),2),mapPTCode,0)),"Other / Leased Fee"))</f>
        <v/>
      </c>
      <c r="CA1283" s="76">
        <f>IF(TRIM($AF1283&amp;"")="","NR",LEFT(TRIM($AF1283),2))</f>
        <v/>
      </c>
      <c r="CB1283" s="76">
        <f>IFERROR(LOOKUP(2,1/(LEFT(TRIM($AI1283&amp;""),LEN(mapRegion))=mapRegion),mapRegion),"Not Reported")</f>
        <v/>
      </c>
      <c r="CC1283" s="76">
        <f>IF($BY1283=0,"",IF(TRIM($W1283&amp;"")="REO","REO",IF(TRIM($W1283&amp;"")="FC","Foreclosure",IF(TRIM($W1283&amp;"")="90+","90+ Days Delinquent",IF(TRIM($W1283&amp;"")="60","60 Days Delinquent",IF(TRIM($W1283&amp;"")="30","30 Days Delinquent",IF($X1283="Non-Performing Matured Balloon","Non-Performing Matured Balloon",IF(OR($X1283="Late Payment But Less Than 30 Days Delinquent",LEFT($X1283&amp;"",20)="Payment Not Received"),"Late / In Grace (&lt;30 Days)",IF($X1283="Performing Matured Balloon","Performing Matured Balloon","Current")))))))))</f>
        <v/>
      </c>
      <c r="CD1283" s="78">
        <f>IF(OR($CC1283="REO",$CC1283="Foreclosure",$CC1283="90+ Days Delinquent",$CC1283="60 Days Delinquent",$CC1283="30 Days Delinquent",$CC1283="Non-Performing Matured Balloon"),1,0)</f>
        <v/>
      </c>
      <c r="CE1283" s="76">
        <f>IF($AB1283="Currently special serv","Currently Specially Serviced",IF($AB1283="Returned to master serv","Previously Specially Serviced","Never Specially Serviced"))</f>
        <v/>
      </c>
      <c r="CF1283" s="78">
        <f>IF($CE1283="Currently Specially Serviced",1,0)</f>
        <v/>
      </c>
      <c r="CG1283" s="76">
        <f>IF($AA1283="Yes","Currently on Watchlist",IF($AA1283="Previously","Previously on Watchlist","Never on Watchlist"))</f>
        <v/>
      </c>
      <c r="CH1283" s="78">
        <f>IF($CG1283="Currently on Watchlist",1,0)</f>
        <v/>
      </c>
      <c r="CI1283" s="76">
        <f>IF($Z1283="Full Defeasance","Fully Defeased",IF($Z1283="Portion Of Loan Previously Defeased","Partially Defeased",IF($Z1283="Defeasance Not Allowable","Not Defeased (Not Permitted)","Not Defeased")))</f>
        <v/>
      </c>
      <c r="CJ1283" s="78">
        <f>IF($CI1283="Fully Defeased",1,0)</f>
        <v/>
      </c>
      <c r="CK1283" s="76">
        <f>IF($R1283="IO","Full IO",IF(LEFT($R1283&amp;"",7)="IO then","Partial IO","Amortizing"))</f>
        <v/>
      </c>
      <c r="CL1283" s="78">
        <f>IF($CK1283="Full IO",1,0)</f>
        <v/>
      </c>
      <c r="CM1283" s="78">
        <f>IF($CK1283="Partial IO",1,0)</f>
        <v/>
      </c>
      <c r="CN1283" s="76">
        <f>IF(LEFT($F1283&amp;"",10)="SPLIT_LOAN","Pari Passu Split","Standalone")</f>
        <v/>
      </c>
      <c r="CO1283" s="78">
        <f>IF($CN1283="Pari Passu Split",1,0)</f>
        <v/>
      </c>
      <c r="CP1283" s="77">
        <f>IF(ISNUMBER($T1283),YEAR($T1283),"")</f>
        <v/>
      </c>
      <c r="CQ1283" s="79">
        <f>IF(ISNUMBER($V1283),$V1283,IF(ISNUMBER($U1283),$U1283,""))</f>
        <v/>
      </c>
      <c r="CR1283" s="77">
        <f>IF(ISNUMBER($CQ1283),YEAR($CQ1283),"")</f>
        <v/>
      </c>
      <c r="CS1283" s="78">
        <f>IF(ISNUMBER($M1283),MAX(0,$M1283),IF(TRIM($M1283&amp;"")="matured",0,""))</f>
        <v/>
      </c>
      <c r="CT1283" s="78">
        <f>IF(AND(ISNUMBER($CS1283),N($CS1283)&lt;=mMatWindow),1,0)</f>
        <v/>
      </c>
      <c r="CU1283" s="80">
        <f>IF(ISNUMBER($J1283),$J1283/100,"")</f>
        <v/>
      </c>
      <c r="CV1283" s="81">
        <f>IF(ISNUMBER($AQ1283),$AQ1283,"")</f>
        <v/>
      </c>
      <c r="CW1283" s="81">
        <f>IF(ISNUMBER($AR1283),$AR1283,"")</f>
        <v/>
      </c>
      <c r="CX1283" s="82">
        <f>IF(ISNUMBER($AS1283),$AS1283/100,"")</f>
        <v/>
      </c>
      <c r="CY1283" s="82">
        <f>IF(ISNUMBER($AT1283),$AT1283/100,"")</f>
        <v/>
      </c>
      <c r="CZ1283" s="82">
        <f>IF(ISNUMBER($AU1283),$AU1283/100,"")</f>
        <v/>
      </c>
      <c r="DA1283" s="82">
        <f>IF(ISNUMBER($AV1283),$AV1283/100,"")</f>
        <v/>
      </c>
      <c r="DB1283" s="82">
        <f>IF(ISNUMBER($AW1283),$AW1283/100,"")</f>
        <v/>
      </c>
      <c r="DC1283" s="82">
        <f>IF(ISNUMBER($AX1283),$AX1283/100,"")</f>
        <v/>
      </c>
      <c r="DD1283" s="77">
        <f>IFERROR(VALUE(LEFT(TRIM($AO1283&amp;""),4)),"")</f>
        <v/>
      </c>
      <c r="DE1283" s="78">
        <f>IF(AND($BY1283=1,$BX1283=1,OR(fDeal="All Deals",$BU1283=fDeal),OR(fEntity="All Entities",$BV1283=fEntity),OR(fPType="All Property Types",$BZ1283=fPType),OR(fDefeased="Include",$CJ1283=0)),1,0)</f>
        <v/>
      </c>
      <c r="DF1283" s="83">
        <f>$DE1283*N($I1283)</f>
        <v/>
      </c>
      <c r="DG1283" s="78">
        <f>IF($DE1283=1,IF(COUNTIFS($F$8:$F1283,$F1283,$DE$8:$DE1283,1)=1,1,0),0)</f>
        <v/>
      </c>
      <c r="DH1283" s="83">
        <f>IF($DG1283=1,SUMIFS($DF$8:$DF$1600,$F$8:$F$1600,$F1283),0)</f>
        <v/>
      </c>
      <c r="DI1283" s="78">
        <f>IF($DG1283=1,COUNTIFS($F$8:$F$1600,$F1283,$DE$8:$DE$1600,1),0)</f>
        <v/>
      </c>
      <c r="DJ1283" s="84">
        <f>IF($DG1283=1,$DH1283+(100000-ROW())/mTieBreak,0)</f>
        <v/>
      </c>
    </row>
    <row r="1284">
      <c r="B1284" s="68" t="n">
        <v>51</v>
      </c>
      <c r="C1284" s="69" t="inlineStr">
        <is>
          <t>UBS18C12</t>
        </is>
      </c>
      <c r="D1284" s="69" t="inlineStr">
        <is>
          <t>51.000</t>
        </is>
      </c>
      <c r="E1284" s="69" t="inlineStr">
        <is>
          <t>Shorecliff Retail Center</t>
        </is>
      </c>
      <c r="F1284" s="69" t="inlineStr">
        <is>
          <t>LNUBS18C12-51.000</t>
        </is>
      </c>
      <c r="G1284" s="70" t="n"/>
      <c r="H1284" s="71" t="n">
        <v>5800000</v>
      </c>
      <c r="I1284" s="71" t="n">
        <v>5490593.260001001</v>
      </c>
      <c r="J1284" s="72" t="n">
        <v>5.7797</v>
      </c>
      <c r="K1284" s="69" t="inlineStr">
        <is>
          <t>Fixed rate</t>
        </is>
      </c>
      <c r="L1284" s="68" t="n">
        <v>120</v>
      </c>
      <c r="M1284" s="68" t="n">
        <v>23</v>
      </c>
      <c r="N1284" s="68" t="n">
        <v>408</v>
      </c>
      <c r="O1284" s="68" t="n">
        <v>48</v>
      </c>
      <c r="P1284" s="68" t="n">
        <v>0</v>
      </c>
      <c r="Q1284" s="68" t="n">
        <v>97</v>
      </c>
      <c r="R1284" s="69" t="inlineStr">
        <is>
          <t>IO then Amort</t>
        </is>
      </c>
      <c r="S1284" s="69" t="inlineStr">
        <is>
          <t>No</t>
        </is>
      </c>
      <c r="T1284" s="73" t="n">
        <v>43313</v>
      </c>
      <c r="U1284" s="73" t="n">
        <v>46971</v>
      </c>
      <c r="V1284" s="73" t="n"/>
      <c r="W1284" s="69" t="n"/>
      <c r="X1284" s="69" t="inlineStr">
        <is>
          <t>Current</t>
        </is>
      </c>
      <c r="Y1284" s="68" t="n"/>
      <c r="Z1284" s="69" t="inlineStr">
        <is>
          <t>Full Defeasance</t>
        </is>
      </c>
      <c r="AA1284" s="69" t="inlineStr">
        <is>
          <t>Previously</t>
        </is>
      </c>
      <c r="AB1284" s="69" t="inlineStr">
        <is>
          <t>Returned to master serv</t>
        </is>
      </c>
      <c r="AC1284" s="73" t="n"/>
      <c r="AD1284" s="69" t="inlineStr">
        <is>
          <t>Payment Default (all payments excluding Balloon/Maturity Payment)</t>
        </is>
      </c>
      <c r="AE1284" s="69" t="inlineStr">
        <is>
          <t>Resolved</t>
        </is>
      </c>
      <c r="AF1284" s="69" t="inlineStr">
        <is>
          <t>CA</t>
        </is>
      </c>
      <c r="AG1284" s="69" t="inlineStr">
        <is>
          <t>San Clemente</t>
        </is>
      </c>
      <c r="AH1284" s="69" t="inlineStr">
        <is>
          <t>Los Angeles-Long Beach-Anaheim, CA</t>
        </is>
      </c>
      <c r="AI1284" s="69" t="inlineStr">
        <is>
          <t>West / Pacific South</t>
        </is>
      </c>
      <c r="AJ1284" s="69" t="inlineStr">
        <is>
          <t>RT</t>
        </is>
      </c>
      <c r="AK1284" s="69" t="inlineStr">
        <is>
          <t>Anchored</t>
        </is>
      </c>
      <c r="AL1284" s="68" t="n">
        <v>1</v>
      </c>
      <c r="AM1284" s="68" t="n"/>
      <c r="AN1284" s="68" t="n">
        <v>25060</v>
      </c>
      <c r="AO1284" s="69" t="inlineStr">
        <is>
          <t>1966</t>
        </is>
      </c>
      <c r="AP1284" s="70" t="n">
        <v>1966</v>
      </c>
      <c r="AQ1284" s="74" t="n">
        <v>1.61</v>
      </c>
      <c r="AR1284" s="74" t="n">
        <v>1.45</v>
      </c>
      <c r="AS1284" s="74" t="n">
        <v>64.40000000000001</v>
      </c>
      <c r="AT1284" s="74" t="n">
        <v>61.01</v>
      </c>
      <c r="AU1284" s="74" t="n">
        <v>59.1</v>
      </c>
      <c r="AV1284" s="74" t="n">
        <v>9.418541207000001</v>
      </c>
      <c r="AW1284" s="74" t="n">
        <v>10.754125867</v>
      </c>
      <c r="AX1284" s="75" t="n">
        <v>96</v>
      </c>
      <c r="AY1284" s="71" t="n">
        <v>9000000</v>
      </c>
      <c r="AZ1284" s="71" t="n">
        <v>9000000</v>
      </c>
      <c r="BA1284" s="71" t="n">
        <v>546275.39</v>
      </c>
      <c r="BB1284" s="71" t="n">
        <v>590465.3100000001</v>
      </c>
      <c r="BC1284" s="69" t="inlineStr">
        <is>
          <t>Refinance</t>
        </is>
      </c>
      <c r="BD1284" s="69" t="inlineStr">
        <is>
          <t>N</t>
        </is>
      </c>
      <c r="BE1284" s="71" t="n"/>
      <c r="BF1284" s="71" t="n"/>
      <c r="BG1284" s="71" t="n"/>
      <c r="BH1284" s="71" t="n">
        <v>0</v>
      </c>
      <c r="BI1284" s="71" t="n">
        <v>0</v>
      </c>
      <c r="BJ1284" s="69" t="inlineStr">
        <is>
          <t>N</t>
        </is>
      </c>
      <c r="BK1284" s="69" t="inlineStr">
        <is>
          <t>Salvation Army</t>
        </is>
      </c>
      <c r="BL1284" s="75" t="n">
        <v>46.42</v>
      </c>
      <c r="BM1284" s="73" t="n">
        <v>45473</v>
      </c>
      <c r="BN1284" s="69" t="inlineStr">
        <is>
          <t>Simon Zhang</t>
        </is>
      </c>
      <c r="BO1284" s="69" t="inlineStr">
        <is>
          <t>UBS</t>
        </is>
      </c>
      <c r="BP1284" s="69" t="inlineStr">
        <is>
          <t>Midland Loan Services</t>
        </is>
      </c>
      <c r="BQ1284" s="69" t="inlineStr">
        <is>
          <t>K-Star Asset Management LLC</t>
        </is>
      </c>
      <c r="BR1284" s="69" t="n"/>
      <c r="BS1284" s="73" t="n">
        <v>46276</v>
      </c>
      <c r="BU1284" s="76">
        <f>IF($C1284="","",IFERROR(INDEX(dmName,MATCH($C1284,dmID,0)),"Unmapped"))</f>
        <v/>
      </c>
      <c r="BV1284" s="76">
        <f>IF($C1284="","",IFERROR(INDEX(dmEntity,MATCH($C1284,dmID,0)),"Unmapped"))</f>
        <v/>
      </c>
      <c r="BW1284" s="77">
        <f>IF($C1284="","",IFERROR(INDEX(dmVintage,MATCH($C1284,dmID,0)),""))</f>
        <v/>
      </c>
      <c r="BX1284" s="78">
        <f>IFERROR(INDEX(dmInclude,MATCH($C1284,dmID,0)),0)</f>
        <v/>
      </c>
      <c r="BY1284" s="78">
        <f>IF(N($I1284)&gt;0,1,0)</f>
        <v/>
      </c>
      <c r="BZ1284" s="76">
        <f>IF($AJ1284="","Other / Leased Fee",IFERROR(INDEX(mapPTGroup,MATCH(LEFT(TRIM($AJ1284),2),mapPTCode,0)),"Other / Leased Fee"))</f>
        <v/>
      </c>
      <c r="CA1284" s="76">
        <f>IF(TRIM($AF1284&amp;"")="","NR",LEFT(TRIM($AF1284),2))</f>
        <v/>
      </c>
      <c r="CB1284" s="76">
        <f>IFERROR(LOOKUP(2,1/(LEFT(TRIM($AI1284&amp;""),LEN(mapRegion))=mapRegion),mapRegion),"Not Reported")</f>
        <v/>
      </c>
      <c r="CC1284" s="76">
        <f>IF($BY1284=0,"",IF(TRIM($W1284&amp;"")="REO","REO",IF(TRIM($W1284&amp;"")="FC","Foreclosure",IF(TRIM($W1284&amp;"")="90+","90+ Days Delinquent",IF(TRIM($W1284&amp;"")="60","60 Days Delinquent",IF(TRIM($W1284&amp;"")="30","30 Days Delinquent",IF($X1284="Non-Performing Matured Balloon","Non-Performing Matured Balloon",IF(OR($X1284="Late Payment But Less Than 30 Days Delinquent",LEFT($X1284&amp;"",20)="Payment Not Received"),"Late / In Grace (&lt;30 Days)",IF($X1284="Performing Matured Balloon","Performing Matured Balloon","Current")))))))))</f>
        <v/>
      </c>
      <c r="CD1284" s="78">
        <f>IF(OR($CC1284="REO",$CC1284="Foreclosure",$CC1284="90+ Days Delinquent",$CC1284="60 Days Delinquent",$CC1284="30 Days Delinquent",$CC1284="Non-Performing Matured Balloon"),1,0)</f>
        <v/>
      </c>
      <c r="CE1284" s="76">
        <f>IF($AB1284="Currently special serv","Currently Specially Serviced",IF($AB1284="Returned to master serv","Previously Specially Serviced","Never Specially Serviced"))</f>
        <v/>
      </c>
      <c r="CF1284" s="78">
        <f>IF($CE1284="Currently Specially Serviced",1,0)</f>
        <v/>
      </c>
      <c r="CG1284" s="76">
        <f>IF($AA1284="Yes","Currently on Watchlist",IF($AA1284="Previously","Previously on Watchlist","Never on Watchlist"))</f>
        <v/>
      </c>
      <c r="CH1284" s="78">
        <f>IF($CG1284="Currently on Watchlist",1,0)</f>
        <v/>
      </c>
      <c r="CI1284" s="76">
        <f>IF($Z1284="Full Defeasance","Fully Defeased",IF($Z1284="Portion Of Loan Previously Defeased","Partially Defeased",IF($Z1284="Defeasance Not Allowable","Not Defeased (Not Permitted)","Not Defeased")))</f>
        <v/>
      </c>
      <c r="CJ1284" s="78">
        <f>IF($CI1284="Fully Defeased",1,0)</f>
        <v/>
      </c>
      <c r="CK1284" s="76">
        <f>IF($R1284="IO","Full IO",IF(LEFT($R1284&amp;"",7)="IO then","Partial IO","Amortizing"))</f>
        <v/>
      </c>
      <c r="CL1284" s="78">
        <f>IF($CK1284="Full IO",1,0)</f>
        <v/>
      </c>
      <c r="CM1284" s="78">
        <f>IF($CK1284="Partial IO",1,0)</f>
        <v/>
      </c>
      <c r="CN1284" s="76">
        <f>IF(LEFT($F1284&amp;"",10)="SPLIT_LOAN","Pari Passu Split","Standalone")</f>
        <v/>
      </c>
      <c r="CO1284" s="78">
        <f>IF($CN1284="Pari Passu Split",1,0)</f>
        <v/>
      </c>
      <c r="CP1284" s="77">
        <f>IF(ISNUMBER($T1284),YEAR($T1284),"")</f>
        <v/>
      </c>
      <c r="CQ1284" s="79">
        <f>IF(ISNUMBER($V1284),$V1284,IF(ISNUMBER($U1284),$U1284,""))</f>
        <v/>
      </c>
      <c r="CR1284" s="77">
        <f>IF(ISNUMBER($CQ1284),YEAR($CQ1284),"")</f>
        <v/>
      </c>
      <c r="CS1284" s="78">
        <f>IF(ISNUMBER($M1284),MAX(0,$M1284),IF(TRIM($M1284&amp;"")="matured",0,""))</f>
        <v/>
      </c>
      <c r="CT1284" s="78">
        <f>IF(AND(ISNUMBER($CS1284),N($CS1284)&lt;=mMatWindow),1,0)</f>
        <v/>
      </c>
      <c r="CU1284" s="80">
        <f>IF(ISNUMBER($J1284),$J1284/100,"")</f>
        <v/>
      </c>
      <c r="CV1284" s="81">
        <f>IF(ISNUMBER($AQ1284),$AQ1284,"")</f>
        <v/>
      </c>
      <c r="CW1284" s="81">
        <f>IF(ISNUMBER($AR1284),$AR1284,"")</f>
        <v/>
      </c>
      <c r="CX1284" s="82">
        <f>IF(ISNUMBER($AS1284),$AS1284/100,"")</f>
        <v/>
      </c>
      <c r="CY1284" s="82">
        <f>IF(ISNUMBER($AT1284),$AT1284/100,"")</f>
        <v/>
      </c>
      <c r="CZ1284" s="82">
        <f>IF(ISNUMBER($AU1284),$AU1284/100,"")</f>
        <v/>
      </c>
      <c r="DA1284" s="82">
        <f>IF(ISNUMBER($AV1284),$AV1284/100,"")</f>
        <v/>
      </c>
      <c r="DB1284" s="82">
        <f>IF(ISNUMBER($AW1284),$AW1284/100,"")</f>
        <v/>
      </c>
      <c r="DC1284" s="82">
        <f>IF(ISNUMBER($AX1284),$AX1284/100,"")</f>
        <v/>
      </c>
      <c r="DD1284" s="77">
        <f>IFERROR(VALUE(LEFT(TRIM($AO1284&amp;""),4)),"")</f>
        <v/>
      </c>
      <c r="DE1284" s="78">
        <f>IF(AND($BY1284=1,$BX1284=1,OR(fDeal="All Deals",$BU1284=fDeal),OR(fEntity="All Entities",$BV1284=fEntity),OR(fPType="All Property Types",$BZ1284=fPType),OR(fDefeased="Include",$CJ1284=0)),1,0)</f>
        <v/>
      </c>
      <c r="DF1284" s="83">
        <f>$DE1284*N($I1284)</f>
        <v/>
      </c>
      <c r="DG1284" s="78">
        <f>IF($DE1284=1,IF(COUNTIFS($F$8:$F1284,$F1284,$DE$8:$DE1284,1)=1,1,0),0)</f>
        <v/>
      </c>
      <c r="DH1284" s="83">
        <f>IF($DG1284=1,SUMIFS($DF$8:$DF$1600,$F$8:$F$1600,$F1284),0)</f>
        <v/>
      </c>
      <c r="DI1284" s="78">
        <f>IF($DG1284=1,COUNTIFS($F$8:$F$1600,$F1284,$DE$8:$DE$1600,1),0)</f>
        <v/>
      </c>
      <c r="DJ1284" s="84">
        <f>IF($DG1284=1,$DH1284+(100000-ROW())/mTieBreak,0)</f>
        <v/>
      </c>
    </row>
    <row r="1285">
      <c r="B1285" s="68" t="n">
        <v>52</v>
      </c>
      <c r="C1285" s="69" t="inlineStr">
        <is>
          <t>UBS18C12</t>
        </is>
      </c>
      <c r="D1285" s="69" t="inlineStr">
        <is>
          <t>52.000</t>
        </is>
      </c>
      <c r="E1285" s="69" t="inlineStr">
        <is>
          <t>Holiday Inn Express - Port Richey</t>
        </is>
      </c>
      <c r="F1285" s="69" t="inlineStr">
        <is>
          <t>LNUBS18C12-52.000</t>
        </is>
      </c>
      <c r="G1285" s="70" t="n"/>
      <c r="H1285" s="71" t="n">
        <v>5750000</v>
      </c>
      <c r="I1285" s="71" t="n">
        <v>5138310.700000501</v>
      </c>
      <c r="J1285" s="72" t="n">
        <v>6.44</v>
      </c>
      <c r="K1285" s="69" t="inlineStr">
        <is>
          <t>Fixed rate</t>
        </is>
      </c>
      <c r="L1285" s="68" t="n">
        <v>120</v>
      </c>
      <c r="M1285" s="68" t="n">
        <v>23</v>
      </c>
      <c r="N1285" s="68" t="n">
        <v>360</v>
      </c>
      <c r="O1285" s="68" t="n"/>
      <c r="P1285" s="68" t="n"/>
      <c r="Q1285" s="68" t="n">
        <v>97</v>
      </c>
      <c r="R1285" s="69" t="n"/>
      <c r="S1285" s="69" t="inlineStr">
        <is>
          <t>No</t>
        </is>
      </c>
      <c r="T1285" s="73" t="n">
        <v>43313</v>
      </c>
      <c r="U1285" s="73" t="n">
        <v>46966</v>
      </c>
      <c r="V1285" s="73" t="n"/>
      <c r="W1285" s="69" t="n"/>
      <c r="X1285" s="69" t="inlineStr">
        <is>
          <t>Current</t>
        </is>
      </c>
      <c r="Y1285" s="68" t="n"/>
      <c r="Z1285" s="69" t="inlineStr">
        <is>
          <t>No Defeasance Occurred</t>
        </is>
      </c>
      <c r="AA1285" s="69" t="inlineStr">
        <is>
          <t>Previously</t>
        </is>
      </c>
      <c r="AB1285" s="69" t="inlineStr">
        <is>
          <t>Never special serv</t>
        </is>
      </c>
      <c r="AC1285" s="73" t="n"/>
      <c r="AD1285" s="69" t="n"/>
      <c r="AE1285" s="69" t="n"/>
      <c r="AF1285" s="69" t="inlineStr">
        <is>
          <t>FL</t>
        </is>
      </c>
      <c r="AG1285" s="69" t="inlineStr">
        <is>
          <t>Port Richey</t>
        </is>
      </c>
      <c r="AH1285" s="69" t="inlineStr">
        <is>
          <t>Tampa-St. Petersburg-Clearwater, FL</t>
        </is>
      </c>
      <c r="AI1285" s="69" t="inlineStr">
        <is>
          <t>South / Atlantic</t>
        </is>
      </c>
      <c r="AJ1285" s="69" t="inlineStr">
        <is>
          <t>HT</t>
        </is>
      </c>
      <c r="AK1285" s="69" t="inlineStr">
        <is>
          <t>Limited Service</t>
        </is>
      </c>
      <c r="AL1285" s="68" t="n">
        <v>1</v>
      </c>
      <c r="AM1285" s="68" t="n">
        <v>85</v>
      </c>
      <c r="AN1285" s="68" t="n"/>
      <c r="AO1285" s="69" t="inlineStr">
        <is>
          <t>2007</t>
        </is>
      </c>
      <c r="AP1285" s="70" t="n">
        <v>2007</v>
      </c>
      <c r="AQ1285" s="74" t="n">
        <v>1.5</v>
      </c>
      <c r="AR1285" s="74" t="n">
        <v>2.41</v>
      </c>
      <c r="AS1285" s="74" t="n">
        <v>52.3</v>
      </c>
      <c r="AT1285" s="74" t="n">
        <v>46.71</v>
      </c>
      <c r="AU1285" s="74" t="n">
        <v>44.9</v>
      </c>
      <c r="AV1285" s="74" t="n">
        <v>11.343732</v>
      </c>
      <c r="AW1285" s="74" t="n">
        <v>17.26513638</v>
      </c>
      <c r="AX1285" s="75" t="n">
        <v>67</v>
      </c>
      <c r="AY1285" s="71" t="n">
        <v>11000000</v>
      </c>
      <c r="AZ1285" s="71" t="n">
        <v>11000000</v>
      </c>
      <c r="BA1285" s="71" t="n">
        <v>652264.59</v>
      </c>
      <c r="BB1285" s="71" t="n">
        <v>1045720.86</v>
      </c>
      <c r="BC1285" s="69" t="inlineStr">
        <is>
          <t>Refinance</t>
        </is>
      </c>
      <c r="BD1285" s="69" t="inlineStr">
        <is>
          <t>N</t>
        </is>
      </c>
      <c r="BE1285" s="71" t="n"/>
      <c r="BF1285" s="71" t="n"/>
      <c r="BG1285" s="71" t="n"/>
      <c r="BH1285" s="71" t="n">
        <v>0</v>
      </c>
      <c r="BI1285" s="71" t="n">
        <v>0</v>
      </c>
      <c r="BJ1285" s="69" t="inlineStr">
        <is>
          <t>N</t>
        </is>
      </c>
      <c r="BK1285" s="69" t="n"/>
      <c r="BL1285" s="75" t="n"/>
      <c r="BM1285" s="73" t="n"/>
      <c r="BN1285" s="69" t="inlineStr">
        <is>
          <t>Nagender Reddy; Geetha R. Kuchakulla</t>
        </is>
      </c>
      <c r="BO1285" s="69" t="inlineStr">
        <is>
          <t>Societe Generale</t>
        </is>
      </c>
      <c r="BP1285" s="69" t="inlineStr">
        <is>
          <t>Midland Loan Services</t>
        </is>
      </c>
      <c r="BQ1285" s="69" t="inlineStr">
        <is>
          <t>K-Star Asset Management LLC</t>
        </is>
      </c>
      <c r="BR1285" s="69" t="n"/>
      <c r="BS1285" s="73" t="n">
        <v>46276</v>
      </c>
      <c r="BU1285" s="76">
        <f>IF($C1285="","",IFERROR(INDEX(dmName,MATCH($C1285,dmID,0)),"Unmapped"))</f>
        <v/>
      </c>
      <c r="BV1285" s="76">
        <f>IF($C1285="","",IFERROR(INDEX(dmEntity,MATCH($C1285,dmID,0)),"Unmapped"))</f>
        <v/>
      </c>
      <c r="BW1285" s="77">
        <f>IF($C1285="","",IFERROR(INDEX(dmVintage,MATCH($C1285,dmID,0)),""))</f>
        <v/>
      </c>
      <c r="BX1285" s="78">
        <f>IFERROR(INDEX(dmInclude,MATCH($C1285,dmID,0)),0)</f>
        <v/>
      </c>
      <c r="BY1285" s="78">
        <f>IF(N($I1285)&gt;0,1,0)</f>
        <v/>
      </c>
      <c r="BZ1285" s="76">
        <f>IF($AJ1285="","Other / Leased Fee",IFERROR(INDEX(mapPTGroup,MATCH(LEFT(TRIM($AJ1285),2),mapPTCode,0)),"Other / Leased Fee"))</f>
        <v/>
      </c>
      <c r="CA1285" s="76">
        <f>IF(TRIM($AF1285&amp;"")="","NR",LEFT(TRIM($AF1285),2))</f>
        <v/>
      </c>
      <c r="CB1285" s="76">
        <f>IFERROR(LOOKUP(2,1/(LEFT(TRIM($AI1285&amp;""),LEN(mapRegion))=mapRegion),mapRegion),"Not Reported")</f>
        <v/>
      </c>
      <c r="CC1285" s="76">
        <f>IF($BY1285=0,"",IF(TRIM($W1285&amp;"")="REO","REO",IF(TRIM($W1285&amp;"")="FC","Foreclosure",IF(TRIM($W1285&amp;"")="90+","90+ Days Delinquent",IF(TRIM($W1285&amp;"")="60","60 Days Delinquent",IF(TRIM($W1285&amp;"")="30","30 Days Delinquent",IF($X1285="Non-Performing Matured Balloon","Non-Performing Matured Balloon",IF(OR($X1285="Late Payment But Less Than 30 Days Delinquent",LEFT($X1285&amp;"",20)="Payment Not Received"),"Late / In Grace (&lt;30 Days)",IF($X1285="Performing Matured Balloon","Performing Matured Balloon","Current")))))))))</f>
        <v/>
      </c>
      <c r="CD1285" s="78">
        <f>IF(OR($CC1285="REO",$CC1285="Foreclosure",$CC1285="90+ Days Delinquent",$CC1285="60 Days Delinquent",$CC1285="30 Days Delinquent",$CC1285="Non-Performing Matured Balloon"),1,0)</f>
        <v/>
      </c>
      <c r="CE1285" s="76">
        <f>IF($AB1285="Currently special serv","Currently Specially Serviced",IF($AB1285="Returned to master serv","Previously Specially Serviced","Never Specially Serviced"))</f>
        <v/>
      </c>
      <c r="CF1285" s="78">
        <f>IF($CE1285="Currently Specially Serviced",1,0)</f>
        <v/>
      </c>
      <c r="CG1285" s="76">
        <f>IF($AA1285="Yes","Currently on Watchlist",IF($AA1285="Previously","Previously on Watchlist","Never on Watchlist"))</f>
        <v/>
      </c>
      <c r="CH1285" s="78">
        <f>IF($CG1285="Currently on Watchlist",1,0)</f>
        <v/>
      </c>
      <c r="CI1285" s="76">
        <f>IF($Z1285="Full Defeasance","Fully Defeased",IF($Z1285="Portion Of Loan Previously Defeased","Partially Defeased",IF($Z1285="Defeasance Not Allowable","Not Defeased (Not Permitted)","Not Defeased")))</f>
        <v/>
      </c>
      <c r="CJ1285" s="78">
        <f>IF($CI1285="Fully Defeased",1,0)</f>
        <v/>
      </c>
      <c r="CK1285" s="76">
        <f>IF($R1285="IO","Full IO",IF(LEFT($R1285&amp;"",7)="IO then","Partial IO","Amortizing"))</f>
        <v/>
      </c>
      <c r="CL1285" s="78">
        <f>IF($CK1285="Full IO",1,0)</f>
        <v/>
      </c>
      <c r="CM1285" s="78">
        <f>IF($CK1285="Partial IO",1,0)</f>
        <v/>
      </c>
      <c r="CN1285" s="76">
        <f>IF(LEFT($F1285&amp;"",10)="SPLIT_LOAN","Pari Passu Split","Standalone")</f>
        <v/>
      </c>
      <c r="CO1285" s="78">
        <f>IF($CN1285="Pari Passu Split",1,0)</f>
        <v/>
      </c>
      <c r="CP1285" s="77">
        <f>IF(ISNUMBER($T1285),YEAR($T1285),"")</f>
        <v/>
      </c>
      <c r="CQ1285" s="79">
        <f>IF(ISNUMBER($V1285),$V1285,IF(ISNUMBER($U1285),$U1285,""))</f>
        <v/>
      </c>
      <c r="CR1285" s="77">
        <f>IF(ISNUMBER($CQ1285),YEAR($CQ1285),"")</f>
        <v/>
      </c>
      <c r="CS1285" s="78">
        <f>IF(ISNUMBER($M1285),MAX(0,$M1285),IF(TRIM($M1285&amp;"")="matured",0,""))</f>
        <v/>
      </c>
      <c r="CT1285" s="78">
        <f>IF(AND(ISNUMBER($CS1285),N($CS1285)&lt;=mMatWindow),1,0)</f>
        <v/>
      </c>
      <c r="CU1285" s="80">
        <f>IF(ISNUMBER($J1285),$J1285/100,"")</f>
        <v/>
      </c>
      <c r="CV1285" s="81">
        <f>IF(ISNUMBER($AQ1285),$AQ1285,"")</f>
        <v/>
      </c>
      <c r="CW1285" s="81">
        <f>IF(ISNUMBER($AR1285),$AR1285,"")</f>
        <v/>
      </c>
      <c r="CX1285" s="82">
        <f>IF(ISNUMBER($AS1285),$AS1285/100,"")</f>
        <v/>
      </c>
      <c r="CY1285" s="82">
        <f>IF(ISNUMBER($AT1285),$AT1285/100,"")</f>
        <v/>
      </c>
      <c r="CZ1285" s="82">
        <f>IF(ISNUMBER($AU1285),$AU1285/100,"")</f>
        <v/>
      </c>
      <c r="DA1285" s="82">
        <f>IF(ISNUMBER($AV1285),$AV1285/100,"")</f>
        <v/>
      </c>
      <c r="DB1285" s="82">
        <f>IF(ISNUMBER($AW1285),$AW1285/100,"")</f>
        <v/>
      </c>
      <c r="DC1285" s="82">
        <f>IF(ISNUMBER($AX1285),$AX1285/100,"")</f>
        <v/>
      </c>
      <c r="DD1285" s="77">
        <f>IFERROR(VALUE(LEFT(TRIM($AO1285&amp;""),4)),"")</f>
        <v/>
      </c>
      <c r="DE1285" s="78">
        <f>IF(AND($BY1285=1,$BX1285=1,OR(fDeal="All Deals",$BU1285=fDeal),OR(fEntity="All Entities",$BV1285=fEntity),OR(fPType="All Property Types",$BZ1285=fPType),OR(fDefeased="Include",$CJ1285=0)),1,0)</f>
        <v/>
      </c>
      <c r="DF1285" s="83">
        <f>$DE1285*N($I1285)</f>
        <v/>
      </c>
      <c r="DG1285" s="78">
        <f>IF($DE1285=1,IF(COUNTIFS($F$8:$F1285,$F1285,$DE$8:$DE1285,1)=1,1,0),0)</f>
        <v/>
      </c>
      <c r="DH1285" s="83">
        <f>IF($DG1285=1,SUMIFS($DF$8:$DF$1600,$F$8:$F$1600,$F1285),0)</f>
        <v/>
      </c>
      <c r="DI1285" s="78">
        <f>IF($DG1285=1,COUNTIFS($F$8:$F$1600,$F1285,$DE$8:$DE$1600,1),0)</f>
        <v/>
      </c>
      <c r="DJ1285" s="84">
        <f>IF($DG1285=1,$DH1285+(100000-ROW())/mTieBreak,0)</f>
        <v/>
      </c>
    </row>
    <row r="1286">
      <c r="B1286" s="68" t="n">
        <v>53</v>
      </c>
      <c r="C1286" s="69" t="inlineStr">
        <is>
          <t>UBS18C12</t>
        </is>
      </c>
      <c r="D1286" s="69" t="inlineStr">
        <is>
          <t>53.000</t>
        </is>
      </c>
      <c r="E1286" s="69" t="inlineStr">
        <is>
          <t>Liberty Business Park</t>
        </is>
      </c>
      <c r="F1286" s="69" t="inlineStr">
        <is>
          <t>LNUBS18C12-53.000</t>
        </is>
      </c>
      <c r="G1286" s="70" t="n"/>
      <c r="H1286" s="71" t="n">
        <v>5000000</v>
      </c>
      <c r="I1286" s="71" t="n">
        <v>5000000</v>
      </c>
      <c r="J1286" s="72" t="n">
        <v>4.55</v>
      </c>
      <c r="K1286" s="69" t="inlineStr">
        <is>
          <t>Fixed rate</t>
        </is>
      </c>
      <c r="L1286" s="68" t="n">
        <v>120</v>
      </c>
      <c r="M1286" s="68" t="n">
        <v>23</v>
      </c>
      <c r="N1286" s="68" t="n">
        <v>120</v>
      </c>
      <c r="O1286" s="68" t="n">
        <v>120</v>
      </c>
      <c r="P1286" s="68" t="n">
        <v>23</v>
      </c>
      <c r="Q1286" s="68" t="n">
        <v>97</v>
      </c>
      <c r="R1286" s="69" t="inlineStr">
        <is>
          <t>IO</t>
        </is>
      </c>
      <c r="S1286" s="69" t="inlineStr">
        <is>
          <t>Yes</t>
        </is>
      </c>
      <c r="T1286" s="73" t="n">
        <v>43313</v>
      </c>
      <c r="U1286" s="73" t="n">
        <v>46966</v>
      </c>
      <c r="V1286" s="73" t="n"/>
      <c r="W1286" s="69" t="n"/>
      <c r="X1286" s="69" t="inlineStr">
        <is>
          <t>Current</t>
        </is>
      </c>
      <c r="Y1286" s="68" t="n"/>
      <c r="Z1286" s="69" t="inlineStr">
        <is>
          <t>Defeasance Not Allowable</t>
        </is>
      </c>
      <c r="AA1286" s="69" t="inlineStr">
        <is>
          <t>Previously</t>
        </is>
      </c>
      <c r="AB1286" s="69" t="inlineStr">
        <is>
          <t>Never special serv</t>
        </is>
      </c>
      <c r="AC1286" s="73" t="n"/>
      <c r="AD1286" s="69" t="n"/>
      <c r="AE1286" s="69" t="n"/>
      <c r="AF1286" s="69" t="inlineStr">
        <is>
          <t>CA</t>
        </is>
      </c>
      <c r="AG1286" s="69" t="inlineStr">
        <is>
          <t>Ontario</t>
        </is>
      </c>
      <c r="AH1286" s="69" t="inlineStr">
        <is>
          <t>Riverside-San Bernardino-Ontario, CA</t>
        </is>
      </c>
      <c r="AI1286" s="69" t="inlineStr">
        <is>
          <t>West / Pacific South</t>
        </is>
      </c>
      <c r="AJ1286" s="69" t="inlineStr">
        <is>
          <t>IN</t>
        </is>
      </c>
      <c r="AK1286" s="69" t="inlineStr">
        <is>
          <t>Flex</t>
        </is>
      </c>
      <c r="AL1286" s="68" t="n">
        <v>1</v>
      </c>
      <c r="AM1286" s="68" t="n"/>
      <c r="AN1286" s="68" t="n">
        <v>84229</v>
      </c>
      <c r="AO1286" s="69" t="inlineStr">
        <is>
          <t>1991</t>
        </is>
      </c>
      <c r="AP1286" s="70" t="n">
        <v>1991</v>
      </c>
      <c r="AQ1286" s="74" t="n">
        <v>2.53</v>
      </c>
      <c r="AR1286" s="74" t="n">
        <v>3.51</v>
      </c>
      <c r="AS1286" s="74" t="n">
        <v>39.4</v>
      </c>
      <c r="AT1286" s="74" t="n">
        <v>39.37</v>
      </c>
      <c r="AU1286" s="74" t="n">
        <v>39.4</v>
      </c>
      <c r="AV1286" s="74" t="n">
        <v>11.6597988</v>
      </c>
      <c r="AW1286" s="74" t="n">
        <v>17.4261466</v>
      </c>
      <c r="AX1286" s="75" t="n">
        <v>100</v>
      </c>
      <c r="AY1286" s="71" t="n">
        <v>12700000</v>
      </c>
      <c r="AZ1286" s="71" t="n">
        <v>12700000</v>
      </c>
      <c r="BA1286" s="71" t="n">
        <v>582989.9399999999</v>
      </c>
      <c r="BB1286" s="71" t="n">
        <v>809830.2</v>
      </c>
      <c r="BC1286" s="69" t="inlineStr">
        <is>
          <t>Refinance</t>
        </is>
      </c>
      <c r="BD1286" s="69" t="inlineStr">
        <is>
          <t>N</t>
        </is>
      </c>
      <c r="BE1286" s="71" t="n"/>
      <c r="BF1286" s="71" t="n"/>
      <c r="BG1286" s="71" t="n"/>
      <c r="BH1286" s="71" t="n">
        <v>0</v>
      </c>
      <c r="BI1286" s="71" t="n">
        <v>0</v>
      </c>
      <c r="BJ1286" s="69" t="inlineStr">
        <is>
          <t>N</t>
        </is>
      </c>
      <c r="BK1286" s="69" t="inlineStr">
        <is>
          <t>POCHAR LLC</t>
        </is>
      </c>
      <c r="BL1286" s="75" t="n">
        <v>25.73</v>
      </c>
      <c r="BM1286" s="73" t="n">
        <v>46904</v>
      </c>
      <c r="BN1286" s="69" t="inlineStr">
        <is>
          <t>Peter Snowden; Kevin S. Pitts</t>
        </is>
      </c>
      <c r="BO1286" s="69" t="inlineStr">
        <is>
          <t>CIBC</t>
        </is>
      </c>
      <c r="BP1286" s="69" t="inlineStr">
        <is>
          <t>Midland Loan Services</t>
        </is>
      </c>
      <c r="BQ1286" s="69" t="inlineStr">
        <is>
          <t>K-Star Asset Management LLC</t>
        </is>
      </c>
      <c r="BR1286" s="69" t="n"/>
      <c r="BS1286" s="73" t="n">
        <v>46276</v>
      </c>
      <c r="BU1286" s="76">
        <f>IF($C1286="","",IFERROR(INDEX(dmName,MATCH($C1286,dmID,0)),"Unmapped"))</f>
        <v/>
      </c>
      <c r="BV1286" s="76">
        <f>IF($C1286="","",IFERROR(INDEX(dmEntity,MATCH($C1286,dmID,0)),"Unmapped"))</f>
        <v/>
      </c>
      <c r="BW1286" s="77">
        <f>IF($C1286="","",IFERROR(INDEX(dmVintage,MATCH($C1286,dmID,0)),""))</f>
        <v/>
      </c>
      <c r="BX1286" s="78">
        <f>IFERROR(INDEX(dmInclude,MATCH($C1286,dmID,0)),0)</f>
        <v/>
      </c>
      <c r="BY1286" s="78">
        <f>IF(N($I1286)&gt;0,1,0)</f>
        <v/>
      </c>
      <c r="BZ1286" s="76">
        <f>IF($AJ1286="","Other / Leased Fee",IFERROR(INDEX(mapPTGroup,MATCH(LEFT(TRIM($AJ1286),2),mapPTCode,0)),"Other / Leased Fee"))</f>
        <v/>
      </c>
      <c r="CA1286" s="76">
        <f>IF(TRIM($AF1286&amp;"")="","NR",LEFT(TRIM($AF1286),2))</f>
        <v/>
      </c>
      <c r="CB1286" s="76">
        <f>IFERROR(LOOKUP(2,1/(LEFT(TRIM($AI1286&amp;""),LEN(mapRegion))=mapRegion),mapRegion),"Not Reported")</f>
        <v/>
      </c>
      <c r="CC1286" s="76">
        <f>IF($BY1286=0,"",IF(TRIM($W1286&amp;"")="REO","REO",IF(TRIM($W1286&amp;"")="FC","Foreclosure",IF(TRIM($W1286&amp;"")="90+","90+ Days Delinquent",IF(TRIM($W1286&amp;"")="60","60 Days Delinquent",IF(TRIM($W1286&amp;"")="30","30 Days Delinquent",IF($X1286="Non-Performing Matured Balloon","Non-Performing Matured Balloon",IF(OR($X1286="Late Payment But Less Than 30 Days Delinquent",LEFT($X1286&amp;"",20)="Payment Not Received"),"Late / In Grace (&lt;30 Days)",IF($X1286="Performing Matured Balloon","Performing Matured Balloon","Current")))))))))</f>
        <v/>
      </c>
      <c r="CD1286" s="78">
        <f>IF(OR($CC1286="REO",$CC1286="Foreclosure",$CC1286="90+ Days Delinquent",$CC1286="60 Days Delinquent",$CC1286="30 Days Delinquent",$CC1286="Non-Performing Matured Balloon"),1,0)</f>
        <v/>
      </c>
      <c r="CE1286" s="76">
        <f>IF($AB1286="Currently special serv","Currently Specially Serviced",IF($AB1286="Returned to master serv","Previously Specially Serviced","Never Specially Serviced"))</f>
        <v/>
      </c>
      <c r="CF1286" s="78">
        <f>IF($CE1286="Currently Specially Serviced",1,0)</f>
        <v/>
      </c>
      <c r="CG1286" s="76">
        <f>IF($AA1286="Yes","Currently on Watchlist",IF($AA1286="Previously","Previously on Watchlist","Never on Watchlist"))</f>
        <v/>
      </c>
      <c r="CH1286" s="78">
        <f>IF($CG1286="Currently on Watchlist",1,0)</f>
        <v/>
      </c>
      <c r="CI1286" s="76">
        <f>IF($Z1286="Full Defeasance","Fully Defeased",IF($Z1286="Portion Of Loan Previously Defeased","Partially Defeased",IF($Z1286="Defeasance Not Allowable","Not Defeased (Not Permitted)","Not Defeased")))</f>
        <v/>
      </c>
      <c r="CJ1286" s="78">
        <f>IF($CI1286="Fully Defeased",1,0)</f>
        <v/>
      </c>
      <c r="CK1286" s="76">
        <f>IF($R1286="IO","Full IO",IF(LEFT($R1286&amp;"",7)="IO then","Partial IO","Amortizing"))</f>
        <v/>
      </c>
      <c r="CL1286" s="78">
        <f>IF($CK1286="Full IO",1,0)</f>
        <v/>
      </c>
      <c r="CM1286" s="78">
        <f>IF($CK1286="Partial IO",1,0)</f>
        <v/>
      </c>
      <c r="CN1286" s="76">
        <f>IF(LEFT($F1286&amp;"",10)="SPLIT_LOAN","Pari Passu Split","Standalone")</f>
        <v/>
      </c>
      <c r="CO1286" s="78">
        <f>IF($CN1286="Pari Passu Split",1,0)</f>
        <v/>
      </c>
      <c r="CP1286" s="77">
        <f>IF(ISNUMBER($T1286),YEAR($T1286),"")</f>
        <v/>
      </c>
      <c r="CQ1286" s="79">
        <f>IF(ISNUMBER($V1286),$V1286,IF(ISNUMBER($U1286),$U1286,""))</f>
        <v/>
      </c>
      <c r="CR1286" s="77">
        <f>IF(ISNUMBER($CQ1286),YEAR($CQ1286),"")</f>
        <v/>
      </c>
      <c r="CS1286" s="78">
        <f>IF(ISNUMBER($M1286),MAX(0,$M1286),IF(TRIM($M1286&amp;"")="matured",0,""))</f>
        <v/>
      </c>
      <c r="CT1286" s="78">
        <f>IF(AND(ISNUMBER($CS1286),N($CS1286)&lt;=mMatWindow),1,0)</f>
        <v/>
      </c>
      <c r="CU1286" s="80">
        <f>IF(ISNUMBER($J1286),$J1286/100,"")</f>
        <v/>
      </c>
      <c r="CV1286" s="81">
        <f>IF(ISNUMBER($AQ1286),$AQ1286,"")</f>
        <v/>
      </c>
      <c r="CW1286" s="81">
        <f>IF(ISNUMBER($AR1286),$AR1286,"")</f>
        <v/>
      </c>
      <c r="CX1286" s="82">
        <f>IF(ISNUMBER($AS1286),$AS1286/100,"")</f>
        <v/>
      </c>
      <c r="CY1286" s="82">
        <f>IF(ISNUMBER($AT1286),$AT1286/100,"")</f>
        <v/>
      </c>
      <c r="CZ1286" s="82">
        <f>IF(ISNUMBER($AU1286),$AU1286/100,"")</f>
        <v/>
      </c>
      <c r="DA1286" s="82">
        <f>IF(ISNUMBER($AV1286),$AV1286/100,"")</f>
        <v/>
      </c>
      <c r="DB1286" s="82">
        <f>IF(ISNUMBER($AW1286),$AW1286/100,"")</f>
        <v/>
      </c>
      <c r="DC1286" s="82">
        <f>IF(ISNUMBER($AX1286),$AX1286/100,"")</f>
        <v/>
      </c>
      <c r="DD1286" s="77">
        <f>IFERROR(VALUE(LEFT(TRIM($AO1286&amp;""),4)),"")</f>
        <v/>
      </c>
      <c r="DE1286" s="78">
        <f>IF(AND($BY1286=1,$BX1286=1,OR(fDeal="All Deals",$BU1286=fDeal),OR(fEntity="All Entities",$BV1286=fEntity),OR(fPType="All Property Types",$BZ1286=fPType),OR(fDefeased="Include",$CJ1286=0)),1,0)</f>
        <v/>
      </c>
      <c r="DF1286" s="83">
        <f>$DE1286*N($I1286)</f>
        <v/>
      </c>
      <c r="DG1286" s="78">
        <f>IF($DE1286=1,IF(COUNTIFS($F$8:$F1286,$F1286,$DE$8:$DE1286,1)=1,1,0),0)</f>
        <v/>
      </c>
      <c r="DH1286" s="83">
        <f>IF($DG1286=1,SUMIFS($DF$8:$DF$1600,$F$8:$F$1600,$F1286),0)</f>
        <v/>
      </c>
      <c r="DI1286" s="78">
        <f>IF($DG1286=1,COUNTIFS($F$8:$F$1600,$F1286,$DE$8:$DE$1600,1),0)</f>
        <v/>
      </c>
      <c r="DJ1286" s="84">
        <f>IF($DG1286=1,$DH1286+(100000-ROW())/mTieBreak,0)</f>
        <v/>
      </c>
    </row>
    <row r="1287">
      <c r="B1287" s="68" t="n">
        <v>54</v>
      </c>
      <c r="C1287" s="69" t="inlineStr">
        <is>
          <t>UBS18C12</t>
        </is>
      </c>
      <c r="D1287" s="69" t="inlineStr">
        <is>
          <t>54.000</t>
        </is>
      </c>
      <c r="E1287" s="69" t="inlineStr">
        <is>
          <t>Kensington Office Plaza</t>
        </is>
      </c>
      <c r="F1287" s="69" t="inlineStr">
        <is>
          <t>LNUBS18C12-54.000</t>
        </is>
      </c>
      <c r="G1287" s="70" t="n"/>
      <c r="H1287" s="71" t="n">
        <v>4840000</v>
      </c>
      <c r="I1287" s="71" t="n">
        <v>2214318.8200012</v>
      </c>
      <c r="J1287" s="72" t="n">
        <v>5.53</v>
      </c>
      <c r="K1287" s="69" t="inlineStr">
        <is>
          <t>Fixed rate</t>
        </is>
      </c>
      <c r="L1287" s="68" t="n">
        <v>120</v>
      </c>
      <c r="M1287" s="68" t="n">
        <v>21</v>
      </c>
      <c r="N1287" s="68" t="n">
        <v>360</v>
      </c>
      <c r="O1287" s="68" t="n"/>
      <c r="P1287" s="68" t="n"/>
      <c r="Q1287" s="68" t="n">
        <v>99</v>
      </c>
      <c r="R1287" s="69" t="n"/>
      <c r="S1287" s="69" t="inlineStr">
        <is>
          <t>No</t>
        </is>
      </c>
      <c r="T1287" s="73" t="n">
        <v>43252</v>
      </c>
      <c r="U1287" s="73" t="n">
        <v>46910</v>
      </c>
      <c r="V1287" s="73" t="n"/>
      <c r="W1287" s="69" t="inlineStr">
        <is>
          <t>90+</t>
        </is>
      </c>
      <c r="X1287" s="69" t="inlineStr">
        <is>
          <t>121+ Days Delinquent</t>
        </is>
      </c>
      <c r="Y1287" s="68" t="n">
        <v>4</v>
      </c>
      <c r="Z1287" s="69" t="inlineStr">
        <is>
          <t>No Defeasance Occurred</t>
        </is>
      </c>
      <c r="AA1287" s="69" t="inlineStr">
        <is>
          <t>Previously</t>
        </is>
      </c>
      <c r="AB1287" s="69" t="inlineStr">
        <is>
          <t>Currently special serv</t>
        </is>
      </c>
      <c r="AC1287" s="73" t="n">
        <v>46038</v>
      </c>
      <c r="AD1287" s="69" t="inlineStr">
        <is>
          <t>Imminent Monetary Default (excluding Balloon/Maturity Default &amp; Single Tenant Bankruptcy/Vacate)</t>
        </is>
      </c>
      <c r="AE1287" s="69" t="inlineStr">
        <is>
          <t>Foreclosure</t>
        </is>
      </c>
      <c r="AF1287" s="69" t="inlineStr">
        <is>
          <t>IL</t>
        </is>
      </c>
      <c r="AG1287" s="69" t="inlineStr">
        <is>
          <t>Mount Prospect</t>
        </is>
      </c>
      <c r="AH1287" s="69" t="inlineStr">
        <is>
          <t>Chicago-Naperville-Elgin, IL-IN</t>
        </is>
      </c>
      <c r="AI1287" s="69" t="inlineStr">
        <is>
          <t>Midwest / Central East</t>
        </is>
      </c>
      <c r="AJ1287" s="69" t="inlineStr">
        <is>
          <t>OF</t>
        </is>
      </c>
      <c r="AK1287" s="69" t="inlineStr">
        <is>
          <t>Suburban</t>
        </is>
      </c>
      <c r="AL1287" s="68" t="n">
        <v>1</v>
      </c>
      <c r="AM1287" s="68" t="n"/>
      <c r="AN1287" s="68" t="n">
        <v>85955</v>
      </c>
      <c r="AO1287" s="69" t="inlineStr">
        <is>
          <t>1986</t>
        </is>
      </c>
      <c r="AP1287" s="70" t="n">
        <v>1986</v>
      </c>
      <c r="AQ1287" s="74" t="n">
        <v>1.59</v>
      </c>
      <c r="AR1287" s="74" t="n">
        <v>-2.1</v>
      </c>
      <c r="AS1287" s="74" t="n">
        <v>66.2</v>
      </c>
      <c r="AT1287" s="74" t="n">
        <v>30.33</v>
      </c>
      <c r="AU1287" s="74" t="n">
        <v>55.4</v>
      </c>
      <c r="AV1287" s="74" t="n">
        <v>10.900570868</v>
      </c>
      <c r="AW1287" s="74" t="n">
        <v>22.782980727</v>
      </c>
      <c r="AX1287" s="75" t="n">
        <v>21</v>
      </c>
      <c r="AY1287" s="71" t="n">
        <v>7300000</v>
      </c>
      <c r="AZ1287" s="71" t="n">
        <v>7300000</v>
      </c>
      <c r="BA1287" s="71" t="n">
        <v>527587.63</v>
      </c>
      <c r="BB1287" s="71" t="n">
        <v>-695597.04</v>
      </c>
      <c r="BC1287" s="69" t="inlineStr">
        <is>
          <t>Acquisition</t>
        </is>
      </c>
      <c r="BD1287" s="69" t="inlineStr">
        <is>
          <t>N</t>
        </is>
      </c>
      <c r="BE1287" s="71" t="n"/>
      <c r="BF1287" s="71" t="n"/>
      <c r="BG1287" s="71" t="n"/>
      <c r="BH1287" s="71" t="n">
        <v>0</v>
      </c>
      <c r="BI1287" s="71" t="n">
        <v>137836.74</v>
      </c>
      <c r="BJ1287" s="69" t="inlineStr">
        <is>
          <t>N</t>
        </is>
      </c>
      <c r="BK1287" s="69" t="inlineStr">
        <is>
          <t>First Industrial Realty Trust Inc.</t>
        </is>
      </c>
      <c r="BL1287" s="75" t="n">
        <v>8.359999999999999</v>
      </c>
      <c r="BM1287" s="73" t="n">
        <v>47026</v>
      </c>
      <c r="BN1287" s="69" t="inlineStr">
        <is>
          <t>Ilya Spivak; Vladimir Budker</t>
        </is>
      </c>
      <c r="BO1287" s="69" t="inlineStr">
        <is>
          <t>Ladder Capital Finance</t>
        </is>
      </c>
      <c r="BP1287" s="69" t="inlineStr">
        <is>
          <t>Midland Loan Services</t>
        </is>
      </c>
      <c r="BQ1287" s="69" t="inlineStr">
        <is>
          <t>K-Star Asset Management LLC</t>
        </is>
      </c>
      <c r="BR1287" s="69" t="inlineStr">
        <is>
          <t>Partial Liquidation (Curtailment)</t>
        </is>
      </c>
      <c r="BS1287" s="73" t="n">
        <v>46276</v>
      </c>
      <c r="BU1287" s="76">
        <f>IF($C1287="","",IFERROR(INDEX(dmName,MATCH($C1287,dmID,0)),"Unmapped"))</f>
        <v/>
      </c>
      <c r="BV1287" s="76">
        <f>IF($C1287="","",IFERROR(INDEX(dmEntity,MATCH($C1287,dmID,0)),"Unmapped"))</f>
        <v/>
      </c>
      <c r="BW1287" s="77">
        <f>IF($C1287="","",IFERROR(INDEX(dmVintage,MATCH($C1287,dmID,0)),""))</f>
        <v/>
      </c>
      <c r="BX1287" s="78">
        <f>IFERROR(INDEX(dmInclude,MATCH($C1287,dmID,0)),0)</f>
        <v/>
      </c>
      <c r="BY1287" s="78">
        <f>IF(N($I1287)&gt;0,1,0)</f>
        <v/>
      </c>
      <c r="BZ1287" s="76">
        <f>IF($AJ1287="","Other / Leased Fee",IFERROR(INDEX(mapPTGroup,MATCH(LEFT(TRIM($AJ1287),2),mapPTCode,0)),"Other / Leased Fee"))</f>
        <v/>
      </c>
      <c r="CA1287" s="76">
        <f>IF(TRIM($AF1287&amp;"")="","NR",LEFT(TRIM($AF1287),2))</f>
        <v/>
      </c>
      <c r="CB1287" s="76">
        <f>IFERROR(LOOKUP(2,1/(LEFT(TRIM($AI1287&amp;""),LEN(mapRegion))=mapRegion),mapRegion),"Not Reported")</f>
        <v/>
      </c>
      <c r="CC1287" s="76">
        <f>IF($BY1287=0,"",IF(TRIM($W1287&amp;"")="REO","REO",IF(TRIM($W1287&amp;"")="FC","Foreclosure",IF(TRIM($W1287&amp;"")="90+","90+ Days Delinquent",IF(TRIM($W1287&amp;"")="60","60 Days Delinquent",IF(TRIM($W1287&amp;"")="30","30 Days Delinquent",IF($X1287="Non-Performing Matured Balloon","Non-Performing Matured Balloon",IF(OR($X1287="Late Payment But Less Than 30 Days Delinquent",LEFT($X1287&amp;"",20)="Payment Not Received"),"Late / In Grace (&lt;30 Days)",IF($X1287="Performing Matured Balloon","Performing Matured Balloon","Current")))))))))</f>
        <v/>
      </c>
      <c r="CD1287" s="78">
        <f>IF(OR($CC1287="REO",$CC1287="Foreclosure",$CC1287="90+ Days Delinquent",$CC1287="60 Days Delinquent",$CC1287="30 Days Delinquent",$CC1287="Non-Performing Matured Balloon"),1,0)</f>
        <v/>
      </c>
      <c r="CE1287" s="76">
        <f>IF($AB1287="Currently special serv","Currently Specially Serviced",IF($AB1287="Returned to master serv","Previously Specially Serviced","Never Specially Serviced"))</f>
        <v/>
      </c>
      <c r="CF1287" s="78">
        <f>IF($CE1287="Currently Specially Serviced",1,0)</f>
        <v/>
      </c>
      <c r="CG1287" s="76">
        <f>IF($AA1287="Yes","Currently on Watchlist",IF($AA1287="Previously","Previously on Watchlist","Never on Watchlist"))</f>
        <v/>
      </c>
      <c r="CH1287" s="78">
        <f>IF($CG1287="Currently on Watchlist",1,0)</f>
        <v/>
      </c>
      <c r="CI1287" s="76">
        <f>IF($Z1287="Full Defeasance","Fully Defeased",IF($Z1287="Portion Of Loan Previously Defeased","Partially Defeased",IF($Z1287="Defeasance Not Allowable","Not Defeased (Not Permitted)","Not Defeased")))</f>
        <v/>
      </c>
      <c r="CJ1287" s="78">
        <f>IF($CI1287="Fully Defeased",1,0)</f>
        <v/>
      </c>
      <c r="CK1287" s="76">
        <f>IF($R1287="IO","Full IO",IF(LEFT($R1287&amp;"",7)="IO then","Partial IO","Amortizing"))</f>
        <v/>
      </c>
      <c r="CL1287" s="78">
        <f>IF($CK1287="Full IO",1,0)</f>
        <v/>
      </c>
      <c r="CM1287" s="78">
        <f>IF($CK1287="Partial IO",1,0)</f>
        <v/>
      </c>
      <c r="CN1287" s="76">
        <f>IF(LEFT($F1287&amp;"",10)="SPLIT_LOAN","Pari Passu Split","Standalone")</f>
        <v/>
      </c>
      <c r="CO1287" s="78">
        <f>IF($CN1287="Pari Passu Split",1,0)</f>
        <v/>
      </c>
      <c r="CP1287" s="77">
        <f>IF(ISNUMBER($T1287),YEAR($T1287),"")</f>
        <v/>
      </c>
      <c r="CQ1287" s="79">
        <f>IF(ISNUMBER($V1287),$V1287,IF(ISNUMBER($U1287),$U1287,""))</f>
        <v/>
      </c>
      <c r="CR1287" s="77">
        <f>IF(ISNUMBER($CQ1287),YEAR($CQ1287),"")</f>
        <v/>
      </c>
      <c r="CS1287" s="78">
        <f>IF(ISNUMBER($M1287),MAX(0,$M1287),IF(TRIM($M1287&amp;"")="matured",0,""))</f>
        <v/>
      </c>
      <c r="CT1287" s="78">
        <f>IF(AND(ISNUMBER($CS1287),N($CS1287)&lt;=mMatWindow),1,0)</f>
        <v/>
      </c>
      <c r="CU1287" s="80">
        <f>IF(ISNUMBER($J1287),$J1287/100,"")</f>
        <v/>
      </c>
      <c r="CV1287" s="81">
        <f>IF(ISNUMBER($AQ1287),$AQ1287,"")</f>
        <v/>
      </c>
      <c r="CW1287" s="81">
        <f>IF(ISNUMBER($AR1287),$AR1287,"")</f>
        <v/>
      </c>
      <c r="CX1287" s="82">
        <f>IF(ISNUMBER($AS1287),$AS1287/100,"")</f>
        <v/>
      </c>
      <c r="CY1287" s="82">
        <f>IF(ISNUMBER($AT1287),$AT1287/100,"")</f>
        <v/>
      </c>
      <c r="CZ1287" s="82">
        <f>IF(ISNUMBER($AU1287),$AU1287/100,"")</f>
        <v/>
      </c>
      <c r="DA1287" s="82">
        <f>IF(ISNUMBER($AV1287),$AV1287/100,"")</f>
        <v/>
      </c>
      <c r="DB1287" s="82">
        <f>IF(ISNUMBER($AW1287),$AW1287/100,"")</f>
        <v/>
      </c>
      <c r="DC1287" s="82">
        <f>IF(ISNUMBER($AX1287),$AX1287/100,"")</f>
        <v/>
      </c>
      <c r="DD1287" s="77">
        <f>IFERROR(VALUE(LEFT(TRIM($AO1287&amp;""),4)),"")</f>
        <v/>
      </c>
      <c r="DE1287" s="78">
        <f>IF(AND($BY1287=1,$BX1287=1,OR(fDeal="All Deals",$BU1287=fDeal),OR(fEntity="All Entities",$BV1287=fEntity),OR(fPType="All Property Types",$BZ1287=fPType),OR(fDefeased="Include",$CJ1287=0)),1,0)</f>
        <v/>
      </c>
      <c r="DF1287" s="83">
        <f>$DE1287*N($I1287)</f>
        <v/>
      </c>
      <c r="DG1287" s="78">
        <f>IF($DE1287=1,IF(COUNTIFS($F$8:$F1287,$F1287,$DE$8:$DE1287,1)=1,1,0),0)</f>
        <v/>
      </c>
      <c r="DH1287" s="83">
        <f>IF($DG1287=1,SUMIFS($DF$8:$DF$1600,$F$8:$F$1600,$F1287),0)</f>
        <v/>
      </c>
      <c r="DI1287" s="78">
        <f>IF($DG1287=1,COUNTIFS($F$8:$F$1600,$F1287,$DE$8:$DE$1600,1),0)</f>
        <v/>
      </c>
      <c r="DJ1287" s="84">
        <f>IF($DG1287=1,$DH1287+(100000-ROW())/mTieBreak,0)</f>
        <v/>
      </c>
    </row>
    <row r="1288">
      <c r="B1288" s="68" t="n">
        <v>55</v>
      </c>
      <c r="C1288" s="69" t="inlineStr">
        <is>
          <t>UBS18C12</t>
        </is>
      </c>
      <c r="D1288" s="69" t="inlineStr">
        <is>
          <t>55.000</t>
        </is>
      </c>
      <c r="E1288" s="69" t="inlineStr">
        <is>
          <t>Hempstead Highway Industrial</t>
        </is>
      </c>
      <c r="F1288" s="69" t="inlineStr">
        <is>
          <t>LNUBS18C12-55.000</t>
        </is>
      </c>
      <c r="G1288" s="70" t="n"/>
      <c r="H1288" s="71" t="n">
        <v>4500000</v>
      </c>
      <c r="I1288" s="71" t="n">
        <v>4286603.269998</v>
      </c>
      <c r="J1288" s="72" t="n">
        <v>4.92</v>
      </c>
      <c r="K1288" s="69" t="inlineStr">
        <is>
          <t>Fixed rate</t>
        </is>
      </c>
      <c r="L1288" s="68" t="n">
        <v>120</v>
      </c>
      <c r="M1288" s="68" t="n">
        <v>22</v>
      </c>
      <c r="N1288" s="68" t="n">
        <v>420</v>
      </c>
      <c r="O1288" s="68" t="n">
        <v>60</v>
      </c>
      <c r="P1288" s="68" t="n">
        <v>0</v>
      </c>
      <c r="Q1288" s="68" t="n">
        <v>98</v>
      </c>
      <c r="R1288" s="69" t="inlineStr">
        <is>
          <t>IO then Amort</t>
        </is>
      </c>
      <c r="S1288" s="69" t="inlineStr">
        <is>
          <t>No</t>
        </is>
      </c>
      <c r="T1288" s="73" t="n">
        <v>43282</v>
      </c>
      <c r="U1288" s="73" t="n">
        <v>46935</v>
      </c>
      <c r="V1288" s="73" t="n"/>
      <c r="W1288" s="69" t="n"/>
      <c r="X1288" s="69" t="inlineStr">
        <is>
          <t>Current</t>
        </is>
      </c>
      <c r="Y1288" s="68" t="n"/>
      <c r="Z1288" s="69" t="inlineStr">
        <is>
          <t>Full Defeasance</t>
        </is>
      </c>
      <c r="AA1288" s="69" t="inlineStr">
        <is>
          <t>Previously</t>
        </is>
      </c>
      <c r="AB1288" s="69" t="inlineStr">
        <is>
          <t>Never special serv</t>
        </is>
      </c>
      <c r="AC1288" s="73" t="n"/>
      <c r="AD1288" s="69" t="n"/>
      <c r="AE1288" s="69" t="n"/>
      <c r="AF1288" s="69" t="inlineStr">
        <is>
          <t>TX</t>
        </is>
      </c>
      <c r="AG1288" s="69" t="inlineStr">
        <is>
          <t>Houston</t>
        </is>
      </c>
      <c r="AH1288" s="69" t="inlineStr">
        <is>
          <t>Houston-Pasadena-The Woodlands, TX</t>
        </is>
      </c>
      <c r="AI1288" s="69" t="inlineStr">
        <is>
          <t>South / Central West</t>
        </is>
      </c>
      <c r="AJ1288" s="69" t="inlineStr">
        <is>
          <t>IN</t>
        </is>
      </c>
      <c r="AK1288" s="69" t="inlineStr">
        <is>
          <t>Warehouse</t>
        </is>
      </c>
      <c r="AL1288" s="68" t="n">
        <v>1</v>
      </c>
      <c r="AM1288" s="68" t="n"/>
      <c r="AN1288" s="68" t="n">
        <v>133850</v>
      </c>
      <c r="AO1288" s="69" t="inlineStr">
        <is>
          <t>1970</t>
        </is>
      </c>
      <c r="AP1288" s="70" t="n">
        <v>2014</v>
      </c>
      <c r="AQ1288" s="74" t="n">
        <v>2.07</v>
      </c>
      <c r="AR1288" s="74" t="n">
        <v>2.32</v>
      </c>
      <c r="AS1288" s="74" t="n">
        <v>68.3</v>
      </c>
      <c r="AT1288" s="74" t="n">
        <v>65.05</v>
      </c>
      <c r="AU1288" s="74" t="n">
        <v>62.9</v>
      </c>
      <c r="AV1288" s="74" t="n">
        <v>10.307584</v>
      </c>
      <c r="AW1288" s="74" t="n">
        <v>11.831611606</v>
      </c>
      <c r="AX1288" s="75" t="n">
        <v>89</v>
      </c>
      <c r="AY1288" s="71" t="n">
        <v>6590000</v>
      </c>
      <c r="AZ1288" s="71" t="n">
        <v>6590000</v>
      </c>
      <c r="BA1288" s="71" t="n">
        <v>463841.28</v>
      </c>
      <c r="BB1288" s="71" t="n">
        <v>520679.23</v>
      </c>
      <c r="BC1288" s="69" t="inlineStr">
        <is>
          <t>Acquisition</t>
        </is>
      </c>
      <c r="BD1288" s="69" t="inlineStr">
        <is>
          <t>N</t>
        </is>
      </c>
      <c r="BE1288" s="71" t="n"/>
      <c r="BF1288" s="71" t="n"/>
      <c r="BG1288" s="71" t="n"/>
      <c r="BH1288" s="71" t="n">
        <v>0</v>
      </c>
      <c r="BI1288" s="71" t="n">
        <v>0</v>
      </c>
      <c r="BJ1288" s="69" t="inlineStr">
        <is>
          <t>N</t>
        </is>
      </c>
      <c r="BK1288" s="69" t="inlineStr">
        <is>
          <t>LECHUGA &amp; SOSA GLASS</t>
        </is>
      </c>
      <c r="BL1288" s="75" t="n">
        <v>11.21</v>
      </c>
      <c r="BM1288" s="73" t="n">
        <v>44957</v>
      </c>
      <c r="BN1288" s="69" t="inlineStr">
        <is>
          <t>Brennan Investment Group</t>
        </is>
      </c>
      <c r="BO1288" s="69" t="inlineStr">
        <is>
          <t>CIBC</t>
        </is>
      </c>
      <c r="BP1288" s="69" t="inlineStr">
        <is>
          <t>Midland Loan Services</t>
        </is>
      </c>
      <c r="BQ1288" s="69" t="inlineStr">
        <is>
          <t>K-Star Asset Management LLC</t>
        </is>
      </c>
      <c r="BR1288" s="69" t="n"/>
      <c r="BS1288" s="73" t="n">
        <v>46276</v>
      </c>
      <c r="BU1288" s="76">
        <f>IF($C1288="","",IFERROR(INDEX(dmName,MATCH($C1288,dmID,0)),"Unmapped"))</f>
        <v/>
      </c>
      <c r="BV1288" s="76">
        <f>IF($C1288="","",IFERROR(INDEX(dmEntity,MATCH($C1288,dmID,0)),"Unmapped"))</f>
        <v/>
      </c>
      <c r="BW1288" s="77">
        <f>IF($C1288="","",IFERROR(INDEX(dmVintage,MATCH($C1288,dmID,0)),""))</f>
        <v/>
      </c>
      <c r="BX1288" s="78">
        <f>IFERROR(INDEX(dmInclude,MATCH($C1288,dmID,0)),0)</f>
        <v/>
      </c>
      <c r="BY1288" s="78">
        <f>IF(N($I1288)&gt;0,1,0)</f>
        <v/>
      </c>
      <c r="BZ1288" s="76">
        <f>IF($AJ1288="","Other / Leased Fee",IFERROR(INDEX(mapPTGroup,MATCH(LEFT(TRIM($AJ1288),2),mapPTCode,0)),"Other / Leased Fee"))</f>
        <v/>
      </c>
      <c r="CA1288" s="76">
        <f>IF(TRIM($AF1288&amp;"")="","NR",LEFT(TRIM($AF1288),2))</f>
        <v/>
      </c>
      <c r="CB1288" s="76">
        <f>IFERROR(LOOKUP(2,1/(LEFT(TRIM($AI1288&amp;""),LEN(mapRegion))=mapRegion),mapRegion),"Not Reported")</f>
        <v/>
      </c>
      <c r="CC1288" s="76">
        <f>IF($BY1288=0,"",IF(TRIM($W1288&amp;"")="REO","REO",IF(TRIM($W1288&amp;"")="FC","Foreclosure",IF(TRIM($W1288&amp;"")="90+","90+ Days Delinquent",IF(TRIM($W1288&amp;"")="60","60 Days Delinquent",IF(TRIM($W1288&amp;"")="30","30 Days Delinquent",IF($X1288="Non-Performing Matured Balloon","Non-Performing Matured Balloon",IF(OR($X1288="Late Payment But Less Than 30 Days Delinquent",LEFT($X1288&amp;"",20)="Payment Not Received"),"Late / In Grace (&lt;30 Days)",IF($X1288="Performing Matured Balloon","Performing Matured Balloon","Current")))))))))</f>
        <v/>
      </c>
      <c r="CD1288" s="78">
        <f>IF(OR($CC1288="REO",$CC1288="Foreclosure",$CC1288="90+ Days Delinquent",$CC1288="60 Days Delinquent",$CC1288="30 Days Delinquent",$CC1288="Non-Performing Matured Balloon"),1,0)</f>
        <v/>
      </c>
      <c r="CE1288" s="76">
        <f>IF($AB1288="Currently special serv","Currently Specially Serviced",IF($AB1288="Returned to master serv","Previously Specially Serviced","Never Specially Serviced"))</f>
        <v/>
      </c>
      <c r="CF1288" s="78">
        <f>IF($CE1288="Currently Specially Serviced",1,0)</f>
        <v/>
      </c>
      <c r="CG1288" s="76">
        <f>IF($AA1288="Yes","Currently on Watchlist",IF($AA1288="Previously","Previously on Watchlist","Never on Watchlist"))</f>
        <v/>
      </c>
      <c r="CH1288" s="78">
        <f>IF($CG1288="Currently on Watchlist",1,0)</f>
        <v/>
      </c>
      <c r="CI1288" s="76">
        <f>IF($Z1288="Full Defeasance","Fully Defeased",IF($Z1288="Portion Of Loan Previously Defeased","Partially Defeased",IF($Z1288="Defeasance Not Allowable","Not Defeased (Not Permitted)","Not Defeased")))</f>
        <v/>
      </c>
      <c r="CJ1288" s="78">
        <f>IF($CI1288="Fully Defeased",1,0)</f>
        <v/>
      </c>
      <c r="CK1288" s="76">
        <f>IF($R1288="IO","Full IO",IF(LEFT($R1288&amp;"",7)="IO then","Partial IO","Amortizing"))</f>
        <v/>
      </c>
      <c r="CL1288" s="78">
        <f>IF($CK1288="Full IO",1,0)</f>
        <v/>
      </c>
      <c r="CM1288" s="78">
        <f>IF($CK1288="Partial IO",1,0)</f>
        <v/>
      </c>
      <c r="CN1288" s="76">
        <f>IF(LEFT($F1288&amp;"",10)="SPLIT_LOAN","Pari Passu Split","Standalone")</f>
        <v/>
      </c>
      <c r="CO1288" s="78">
        <f>IF($CN1288="Pari Passu Split",1,0)</f>
        <v/>
      </c>
      <c r="CP1288" s="77">
        <f>IF(ISNUMBER($T1288),YEAR($T1288),"")</f>
        <v/>
      </c>
      <c r="CQ1288" s="79">
        <f>IF(ISNUMBER($V1288),$V1288,IF(ISNUMBER($U1288),$U1288,""))</f>
        <v/>
      </c>
      <c r="CR1288" s="77">
        <f>IF(ISNUMBER($CQ1288),YEAR($CQ1288),"")</f>
        <v/>
      </c>
      <c r="CS1288" s="78">
        <f>IF(ISNUMBER($M1288),MAX(0,$M1288),IF(TRIM($M1288&amp;"")="matured",0,""))</f>
        <v/>
      </c>
      <c r="CT1288" s="78">
        <f>IF(AND(ISNUMBER($CS1288),N($CS1288)&lt;=mMatWindow),1,0)</f>
        <v/>
      </c>
      <c r="CU1288" s="80">
        <f>IF(ISNUMBER($J1288),$J1288/100,"")</f>
        <v/>
      </c>
      <c r="CV1288" s="81">
        <f>IF(ISNUMBER($AQ1288),$AQ1288,"")</f>
        <v/>
      </c>
      <c r="CW1288" s="81">
        <f>IF(ISNUMBER($AR1288),$AR1288,"")</f>
        <v/>
      </c>
      <c r="CX1288" s="82">
        <f>IF(ISNUMBER($AS1288),$AS1288/100,"")</f>
        <v/>
      </c>
      <c r="CY1288" s="82">
        <f>IF(ISNUMBER($AT1288),$AT1288/100,"")</f>
        <v/>
      </c>
      <c r="CZ1288" s="82">
        <f>IF(ISNUMBER($AU1288),$AU1288/100,"")</f>
        <v/>
      </c>
      <c r="DA1288" s="82">
        <f>IF(ISNUMBER($AV1288),$AV1288/100,"")</f>
        <v/>
      </c>
      <c r="DB1288" s="82">
        <f>IF(ISNUMBER($AW1288),$AW1288/100,"")</f>
        <v/>
      </c>
      <c r="DC1288" s="82">
        <f>IF(ISNUMBER($AX1288),$AX1288/100,"")</f>
        <v/>
      </c>
      <c r="DD1288" s="77">
        <f>IFERROR(VALUE(LEFT(TRIM($AO1288&amp;""),4)),"")</f>
        <v/>
      </c>
      <c r="DE1288" s="78">
        <f>IF(AND($BY1288=1,$BX1288=1,OR(fDeal="All Deals",$BU1288=fDeal),OR(fEntity="All Entities",$BV1288=fEntity),OR(fPType="All Property Types",$BZ1288=fPType),OR(fDefeased="Include",$CJ1288=0)),1,0)</f>
        <v/>
      </c>
      <c r="DF1288" s="83">
        <f>$DE1288*N($I1288)</f>
        <v/>
      </c>
      <c r="DG1288" s="78">
        <f>IF($DE1288=1,IF(COUNTIFS($F$8:$F1288,$F1288,$DE$8:$DE1288,1)=1,1,0),0)</f>
        <v/>
      </c>
      <c r="DH1288" s="83">
        <f>IF($DG1288=1,SUMIFS($DF$8:$DF$1600,$F$8:$F$1600,$F1288),0)</f>
        <v/>
      </c>
      <c r="DI1288" s="78">
        <f>IF($DG1288=1,COUNTIFS($F$8:$F$1600,$F1288,$DE$8:$DE$1600,1),0)</f>
        <v/>
      </c>
      <c r="DJ1288" s="84">
        <f>IF($DG1288=1,$DH1288+(100000-ROW())/mTieBreak,0)</f>
        <v/>
      </c>
    </row>
    <row r="1289">
      <c r="B1289" s="68" t="n">
        <v>56</v>
      </c>
      <c r="C1289" s="69" t="inlineStr">
        <is>
          <t>UBS18C12</t>
        </is>
      </c>
      <c r="D1289" s="69" t="inlineStr">
        <is>
          <t>56.000</t>
        </is>
      </c>
      <c r="E1289" s="69" t="inlineStr">
        <is>
          <t>TD Bank Long Island City</t>
        </is>
      </c>
      <c r="F1289" s="69" t="inlineStr">
        <is>
          <t>LNUBS18C12-56.000</t>
        </is>
      </c>
      <c r="G1289" s="70" t="n"/>
      <c r="H1289" s="71" t="n">
        <v>4500000</v>
      </c>
      <c r="I1289" s="71" t="n">
        <v>4500000</v>
      </c>
      <c r="J1289" s="72" t="n">
        <v>5.5</v>
      </c>
      <c r="K1289" s="69" t="inlineStr">
        <is>
          <t>Fixed rate</t>
        </is>
      </c>
      <c r="L1289" s="68" t="n">
        <v>120</v>
      </c>
      <c r="M1289" s="68" t="n">
        <v>23</v>
      </c>
      <c r="N1289" s="68" t="n">
        <v>120</v>
      </c>
      <c r="O1289" s="68" t="n">
        <v>120</v>
      </c>
      <c r="P1289" s="68" t="n">
        <v>23</v>
      </c>
      <c r="Q1289" s="68" t="n">
        <v>97</v>
      </c>
      <c r="R1289" s="69" t="inlineStr">
        <is>
          <t>IO</t>
        </is>
      </c>
      <c r="S1289" s="69" t="inlineStr">
        <is>
          <t>Yes</t>
        </is>
      </c>
      <c r="T1289" s="73" t="n">
        <v>43313</v>
      </c>
      <c r="U1289" s="73" t="n">
        <v>46971</v>
      </c>
      <c r="V1289" s="73" t="n"/>
      <c r="W1289" s="69" t="n"/>
      <c r="X1289" s="69" t="inlineStr">
        <is>
          <t>Current</t>
        </is>
      </c>
      <c r="Y1289" s="68" t="n"/>
      <c r="Z1289" s="69" t="inlineStr">
        <is>
          <t>No Defeasance Occurred</t>
        </is>
      </c>
      <c r="AA1289" s="69" t="n"/>
      <c r="AB1289" s="69" t="inlineStr">
        <is>
          <t>Never special serv</t>
        </is>
      </c>
      <c r="AC1289" s="73" t="n"/>
      <c r="AD1289" s="69" t="n"/>
      <c r="AE1289" s="69" t="n"/>
      <c r="AF1289" s="69" t="inlineStr">
        <is>
          <t>NY</t>
        </is>
      </c>
      <c r="AG1289" s="69" t="inlineStr">
        <is>
          <t>Long Island City</t>
        </is>
      </c>
      <c r="AH1289" s="69" t="inlineStr">
        <is>
          <t>New York-Newark-Jersey City, NY-NJ</t>
        </is>
      </c>
      <c r="AI1289" s="69" t="inlineStr">
        <is>
          <t>Northeast / Mid-Atlantic</t>
        </is>
      </c>
      <c r="AJ1289" s="69" t="inlineStr">
        <is>
          <t>OT</t>
        </is>
      </c>
      <c r="AK1289" s="69" t="n"/>
      <c r="AL1289" s="68" t="n">
        <v>1</v>
      </c>
      <c r="AM1289" s="68" t="n"/>
      <c r="AN1289" s="68" t="n">
        <v>4800</v>
      </c>
      <c r="AO1289" s="69" t="inlineStr">
        <is>
          <t>1931</t>
        </is>
      </c>
      <c r="AP1289" s="70" t="n">
        <v>2012</v>
      </c>
      <c r="AQ1289" s="74" t="n">
        <v>1.8</v>
      </c>
      <c r="AR1289" s="74" t="n">
        <v>1.67</v>
      </c>
      <c r="AS1289" s="74" t="n">
        <v>43.3</v>
      </c>
      <c r="AT1289" s="74" t="n">
        <v>43.27</v>
      </c>
      <c r="AU1289" s="74" t="n">
        <v>43.3</v>
      </c>
      <c r="AV1289" s="74" t="n">
        <v>10.058747778</v>
      </c>
      <c r="AW1289" s="74" t="n">
        <v>9.285278443999999</v>
      </c>
      <c r="AX1289" s="75" t="n">
        <v>100</v>
      </c>
      <c r="AY1289" s="71" t="n">
        <v>10400000</v>
      </c>
      <c r="AZ1289" s="71" t="n">
        <v>10400000</v>
      </c>
      <c r="BA1289" s="71" t="n">
        <v>452643.65</v>
      </c>
      <c r="BB1289" s="71" t="n">
        <v>417837.53</v>
      </c>
      <c r="BC1289" s="69" t="inlineStr">
        <is>
          <t>Recapitalization</t>
        </is>
      </c>
      <c r="BD1289" s="69" t="inlineStr">
        <is>
          <t>N</t>
        </is>
      </c>
      <c r="BE1289" s="71" t="n"/>
      <c r="BF1289" s="71" t="n"/>
      <c r="BG1289" s="71" t="n"/>
      <c r="BH1289" s="71" t="n">
        <v>0</v>
      </c>
      <c r="BI1289" s="71" t="n">
        <v>0</v>
      </c>
      <c r="BJ1289" s="69" t="inlineStr">
        <is>
          <t>N</t>
        </is>
      </c>
      <c r="BK1289" s="69" t="inlineStr">
        <is>
          <t>TD Bank N.A.</t>
        </is>
      </c>
      <c r="BL1289" s="75" t="n">
        <v>100</v>
      </c>
      <c r="BM1289" s="73" t="n">
        <v>48487</v>
      </c>
      <c r="BN1289" s="69" t="inlineStr">
        <is>
          <t>George Fina</t>
        </is>
      </c>
      <c r="BO1289" s="69" t="inlineStr">
        <is>
          <t>Ladder Capital Finance</t>
        </is>
      </c>
      <c r="BP1289" s="69" t="inlineStr">
        <is>
          <t>Midland Loan Services</t>
        </is>
      </c>
      <c r="BQ1289" s="69" t="inlineStr">
        <is>
          <t>K-Star Asset Management LLC</t>
        </is>
      </c>
      <c r="BR1289" s="69" t="n"/>
      <c r="BS1289" s="73" t="n">
        <v>46276</v>
      </c>
      <c r="BU1289" s="76">
        <f>IF($C1289="","",IFERROR(INDEX(dmName,MATCH($C1289,dmID,0)),"Unmapped"))</f>
        <v/>
      </c>
      <c r="BV1289" s="76">
        <f>IF($C1289="","",IFERROR(INDEX(dmEntity,MATCH($C1289,dmID,0)),"Unmapped"))</f>
        <v/>
      </c>
      <c r="BW1289" s="77">
        <f>IF($C1289="","",IFERROR(INDEX(dmVintage,MATCH($C1289,dmID,0)),""))</f>
        <v/>
      </c>
      <c r="BX1289" s="78">
        <f>IFERROR(INDEX(dmInclude,MATCH($C1289,dmID,0)),0)</f>
        <v/>
      </c>
      <c r="BY1289" s="78">
        <f>IF(N($I1289)&gt;0,1,0)</f>
        <v/>
      </c>
      <c r="BZ1289" s="76">
        <f>IF($AJ1289="","Other / Leased Fee",IFERROR(INDEX(mapPTGroup,MATCH(LEFT(TRIM($AJ1289),2),mapPTCode,0)),"Other / Leased Fee"))</f>
        <v/>
      </c>
      <c r="CA1289" s="76">
        <f>IF(TRIM($AF1289&amp;"")="","NR",LEFT(TRIM($AF1289),2))</f>
        <v/>
      </c>
      <c r="CB1289" s="76">
        <f>IFERROR(LOOKUP(2,1/(LEFT(TRIM($AI1289&amp;""),LEN(mapRegion))=mapRegion),mapRegion),"Not Reported")</f>
        <v/>
      </c>
      <c r="CC1289" s="76">
        <f>IF($BY1289=0,"",IF(TRIM($W1289&amp;"")="REO","REO",IF(TRIM($W1289&amp;"")="FC","Foreclosure",IF(TRIM($W1289&amp;"")="90+","90+ Days Delinquent",IF(TRIM($W1289&amp;"")="60","60 Days Delinquent",IF(TRIM($W1289&amp;"")="30","30 Days Delinquent",IF($X1289="Non-Performing Matured Balloon","Non-Performing Matured Balloon",IF(OR($X1289="Late Payment But Less Than 30 Days Delinquent",LEFT($X1289&amp;"",20)="Payment Not Received"),"Late / In Grace (&lt;30 Days)",IF($X1289="Performing Matured Balloon","Performing Matured Balloon","Current")))))))))</f>
        <v/>
      </c>
      <c r="CD1289" s="78">
        <f>IF(OR($CC1289="REO",$CC1289="Foreclosure",$CC1289="90+ Days Delinquent",$CC1289="60 Days Delinquent",$CC1289="30 Days Delinquent",$CC1289="Non-Performing Matured Balloon"),1,0)</f>
        <v/>
      </c>
      <c r="CE1289" s="76">
        <f>IF($AB1289="Currently special serv","Currently Specially Serviced",IF($AB1289="Returned to master serv","Previously Specially Serviced","Never Specially Serviced"))</f>
        <v/>
      </c>
      <c r="CF1289" s="78">
        <f>IF($CE1289="Currently Specially Serviced",1,0)</f>
        <v/>
      </c>
      <c r="CG1289" s="76">
        <f>IF($AA1289="Yes","Currently on Watchlist",IF($AA1289="Previously","Previously on Watchlist","Never on Watchlist"))</f>
        <v/>
      </c>
      <c r="CH1289" s="78">
        <f>IF($CG1289="Currently on Watchlist",1,0)</f>
        <v/>
      </c>
      <c r="CI1289" s="76">
        <f>IF($Z1289="Full Defeasance","Fully Defeased",IF($Z1289="Portion Of Loan Previously Defeased","Partially Defeased",IF($Z1289="Defeasance Not Allowable","Not Defeased (Not Permitted)","Not Defeased")))</f>
        <v/>
      </c>
      <c r="CJ1289" s="78">
        <f>IF($CI1289="Fully Defeased",1,0)</f>
        <v/>
      </c>
      <c r="CK1289" s="76">
        <f>IF($R1289="IO","Full IO",IF(LEFT($R1289&amp;"",7)="IO then","Partial IO","Amortizing"))</f>
        <v/>
      </c>
      <c r="CL1289" s="78">
        <f>IF($CK1289="Full IO",1,0)</f>
        <v/>
      </c>
      <c r="CM1289" s="78">
        <f>IF($CK1289="Partial IO",1,0)</f>
        <v/>
      </c>
      <c r="CN1289" s="76">
        <f>IF(LEFT($F1289&amp;"",10)="SPLIT_LOAN","Pari Passu Split","Standalone")</f>
        <v/>
      </c>
      <c r="CO1289" s="78">
        <f>IF($CN1289="Pari Passu Split",1,0)</f>
        <v/>
      </c>
      <c r="CP1289" s="77">
        <f>IF(ISNUMBER($T1289),YEAR($T1289),"")</f>
        <v/>
      </c>
      <c r="CQ1289" s="79">
        <f>IF(ISNUMBER($V1289),$V1289,IF(ISNUMBER($U1289),$U1289,""))</f>
        <v/>
      </c>
      <c r="CR1289" s="77">
        <f>IF(ISNUMBER($CQ1289),YEAR($CQ1289),"")</f>
        <v/>
      </c>
      <c r="CS1289" s="78">
        <f>IF(ISNUMBER($M1289),MAX(0,$M1289),IF(TRIM($M1289&amp;"")="matured",0,""))</f>
        <v/>
      </c>
      <c r="CT1289" s="78">
        <f>IF(AND(ISNUMBER($CS1289),N($CS1289)&lt;=mMatWindow),1,0)</f>
        <v/>
      </c>
      <c r="CU1289" s="80">
        <f>IF(ISNUMBER($J1289),$J1289/100,"")</f>
        <v/>
      </c>
      <c r="CV1289" s="81">
        <f>IF(ISNUMBER($AQ1289),$AQ1289,"")</f>
        <v/>
      </c>
      <c r="CW1289" s="81">
        <f>IF(ISNUMBER($AR1289),$AR1289,"")</f>
        <v/>
      </c>
      <c r="CX1289" s="82">
        <f>IF(ISNUMBER($AS1289),$AS1289/100,"")</f>
        <v/>
      </c>
      <c r="CY1289" s="82">
        <f>IF(ISNUMBER($AT1289),$AT1289/100,"")</f>
        <v/>
      </c>
      <c r="CZ1289" s="82">
        <f>IF(ISNUMBER($AU1289),$AU1289/100,"")</f>
        <v/>
      </c>
      <c r="DA1289" s="82">
        <f>IF(ISNUMBER($AV1289),$AV1289/100,"")</f>
        <v/>
      </c>
      <c r="DB1289" s="82">
        <f>IF(ISNUMBER($AW1289),$AW1289/100,"")</f>
        <v/>
      </c>
      <c r="DC1289" s="82">
        <f>IF(ISNUMBER($AX1289),$AX1289/100,"")</f>
        <v/>
      </c>
      <c r="DD1289" s="77">
        <f>IFERROR(VALUE(LEFT(TRIM($AO1289&amp;""),4)),"")</f>
        <v/>
      </c>
      <c r="DE1289" s="78">
        <f>IF(AND($BY1289=1,$BX1289=1,OR(fDeal="All Deals",$BU1289=fDeal),OR(fEntity="All Entities",$BV1289=fEntity),OR(fPType="All Property Types",$BZ1289=fPType),OR(fDefeased="Include",$CJ1289=0)),1,0)</f>
        <v/>
      </c>
      <c r="DF1289" s="83">
        <f>$DE1289*N($I1289)</f>
        <v/>
      </c>
      <c r="DG1289" s="78">
        <f>IF($DE1289=1,IF(COUNTIFS($F$8:$F1289,$F1289,$DE$8:$DE1289,1)=1,1,0),0)</f>
        <v/>
      </c>
      <c r="DH1289" s="83">
        <f>IF($DG1289=1,SUMIFS($DF$8:$DF$1600,$F$8:$F$1600,$F1289),0)</f>
        <v/>
      </c>
      <c r="DI1289" s="78">
        <f>IF($DG1289=1,COUNTIFS($F$8:$F$1600,$F1289,$DE$8:$DE$1600,1),0)</f>
        <v/>
      </c>
      <c r="DJ1289" s="84">
        <f>IF($DG1289=1,$DH1289+(100000-ROW())/mTieBreak,0)</f>
        <v/>
      </c>
    </row>
    <row r="1290">
      <c r="B1290" s="68" t="n">
        <v>57</v>
      </c>
      <c r="C1290" s="69" t="inlineStr">
        <is>
          <t>UBS18C12</t>
        </is>
      </c>
      <c r="D1290" s="69" t="inlineStr">
        <is>
          <t>57.000</t>
        </is>
      </c>
      <c r="E1290" s="69" t="inlineStr">
        <is>
          <t>Walgreens &amp; PDQ Retail Portfolio</t>
        </is>
      </c>
      <c r="F1290" s="69" t="inlineStr">
        <is>
          <t>LNUBS18C12-57.000</t>
        </is>
      </c>
      <c r="G1290" s="70" t="n"/>
      <c r="H1290" s="71" t="n">
        <v>4500000</v>
      </c>
      <c r="I1290" s="71" t="n">
        <v>4500000</v>
      </c>
      <c r="J1290" s="72" t="n">
        <v>5.06</v>
      </c>
      <c r="K1290" s="69" t="inlineStr">
        <is>
          <t>Fixed rate</t>
        </is>
      </c>
      <c r="L1290" s="68" t="n">
        <v>120</v>
      </c>
      <c r="M1290" s="68" t="n">
        <v>22</v>
      </c>
      <c r="N1290" s="68" t="n">
        <v>120</v>
      </c>
      <c r="O1290" s="68" t="n">
        <v>120</v>
      </c>
      <c r="P1290" s="68" t="n">
        <v>22</v>
      </c>
      <c r="Q1290" s="68" t="n">
        <v>98</v>
      </c>
      <c r="R1290" s="69" t="inlineStr">
        <is>
          <t>IO</t>
        </is>
      </c>
      <c r="S1290" s="69" t="inlineStr">
        <is>
          <t>Yes</t>
        </is>
      </c>
      <c r="T1290" s="73" t="n">
        <v>43282</v>
      </c>
      <c r="U1290" s="73" t="n">
        <v>46940</v>
      </c>
      <c r="V1290" s="73" t="n"/>
      <c r="W1290" s="69" t="n"/>
      <c r="X1290" s="69" t="inlineStr">
        <is>
          <t>Current</t>
        </is>
      </c>
      <c r="Y1290" s="68" t="n"/>
      <c r="Z1290" s="69" t="inlineStr">
        <is>
          <t>Full Defeasance</t>
        </is>
      </c>
      <c r="AA1290" s="69" t="inlineStr">
        <is>
          <t>Previously</t>
        </is>
      </c>
      <c r="AB1290" s="69" t="inlineStr">
        <is>
          <t>Never special serv</t>
        </is>
      </c>
      <c r="AC1290" s="73" t="n"/>
      <c r="AD1290" s="69" t="n"/>
      <c r="AE1290" s="69" t="n"/>
      <c r="AF1290" s="69" t="inlineStr">
        <is>
          <t>FL</t>
        </is>
      </c>
      <c r="AG1290" s="69" t="n"/>
      <c r="AH1290" s="69" t="inlineStr">
        <is>
          <t>Orlando-Kissimmee-Sanford, FL</t>
        </is>
      </c>
      <c r="AI1290" s="69" t="inlineStr">
        <is>
          <t>South / Atlantic</t>
        </is>
      </c>
      <c r="AJ1290" s="69" t="inlineStr">
        <is>
          <t>RT</t>
        </is>
      </c>
      <c r="AK1290" s="69" t="inlineStr">
        <is>
          <t>Single Tenant</t>
        </is>
      </c>
      <c r="AL1290" s="68" t="n">
        <v>2</v>
      </c>
      <c r="AM1290" s="68" t="n"/>
      <c r="AN1290" s="68" t="n">
        <v>18714</v>
      </c>
      <c r="AO1290" s="69" t="n"/>
      <c r="AP1290" s="70" t="n">
        <v>2018</v>
      </c>
      <c r="AQ1290" s="74" t="n">
        <v>2.15</v>
      </c>
      <c r="AR1290" s="74" t="n">
        <v>1.39</v>
      </c>
      <c r="AS1290" s="74" t="n">
        <v>48.9</v>
      </c>
      <c r="AT1290" s="74" t="n">
        <v>48.91</v>
      </c>
      <c r="AU1290" s="74" t="n">
        <v>48.9</v>
      </c>
      <c r="AV1290" s="74" t="n">
        <v>11.022044444</v>
      </c>
      <c r="AW1290" s="74" t="n">
        <v>9.271668</v>
      </c>
      <c r="AX1290" s="75" t="n"/>
      <c r="AY1290" s="71" t="n">
        <v>9200000</v>
      </c>
      <c r="AZ1290" s="71" t="n">
        <v>9200000</v>
      </c>
      <c r="BA1290" s="71" t="n">
        <v>495992</v>
      </c>
      <c r="BB1290" s="71" t="n">
        <v>321745.67</v>
      </c>
      <c r="BC1290" s="69" t="inlineStr">
        <is>
          <t>Acquisition</t>
        </is>
      </c>
      <c r="BD1290" s="69" t="inlineStr">
        <is>
          <t>N</t>
        </is>
      </c>
      <c r="BE1290" s="71" t="n"/>
      <c r="BF1290" s="71" t="n"/>
      <c r="BG1290" s="71" t="n"/>
      <c r="BH1290" s="71" t="n">
        <v>0</v>
      </c>
      <c r="BI1290" s="71" t="n">
        <v>0</v>
      </c>
      <c r="BJ1290" s="69" t="inlineStr">
        <is>
          <t>N</t>
        </is>
      </c>
      <c r="BK1290" s="69" t="inlineStr">
        <is>
          <t>Captiva MVP</t>
        </is>
      </c>
      <c r="BL1290" s="75" t="n">
        <v>85.12</v>
      </c>
      <c r="BM1290" s="73" t="n">
        <v>58653</v>
      </c>
      <c r="BN1290" s="69" t="inlineStr">
        <is>
          <t>Emilia Karsh</t>
        </is>
      </c>
      <c r="BO1290" s="69" t="inlineStr">
        <is>
          <t>Rialto</t>
        </is>
      </c>
      <c r="BP1290" s="69" t="inlineStr">
        <is>
          <t>Midland Loan Services</t>
        </is>
      </c>
      <c r="BQ1290" s="69" t="inlineStr">
        <is>
          <t>K-Star Asset Management LLC</t>
        </is>
      </c>
      <c r="BR1290" s="69" t="n"/>
      <c r="BS1290" s="73" t="n">
        <v>46276</v>
      </c>
      <c r="BU1290" s="76">
        <f>IF($C1290="","",IFERROR(INDEX(dmName,MATCH($C1290,dmID,0)),"Unmapped"))</f>
        <v/>
      </c>
      <c r="BV1290" s="76">
        <f>IF($C1290="","",IFERROR(INDEX(dmEntity,MATCH($C1290,dmID,0)),"Unmapped"))</f>
        <v/>
      </c>
      <c r="BW1290" s="77">
        <f>IF($C1290="","",IFERROR(INDEX(dmVintage,MATCH($C1290,dmID,0)),""))</f>
        <v/>
      </c>
      <c r="BX1290" s="78">
        <f>IFERROR(INDEX(dmInclude,MATCH($C1290,dmID,0)),0)</f>
        <v/>
      </c>
      <c r="BY1290" s="78">
        <f>IF(N($I1290)&gt;0,1,0)</f>
        <v/>
      </c>
      <c r="BZ1290" s="76">
        <f>IF($AJ1290="","Other / Leased Fee",IFERROR(INDEX(mapPTGroup,MATCH(LEFT(TRIM($AJ1290),2),mapPTCode,0)),"Other / Leased Fee"))</f>
        <v/>
      </c>
      <c r="CA1290" s="76">
        <f>IF(TRIM($AF1290&amp;"")="","NR",LEFT(TRIM($AF1290),2))</f>
        <v/>
      </c>
      <c r="CB1290" s="76">
        <f>IFERROR(LOOKUP(2,1/(LEFT(TRIM($AI1290&amp;""),LEN(mapRegion))=mapRegion),mapRegion),"Not Reported")</f>
        <v/>
      </c>
      <c r="CC1290" s="76">
        <f>IF($BY1290=0,"",IF(TRIM($W1290&amp;"")="REO","REO",IF(TRIM($W1290&amp;"")="FC","Foreclosure",IF(TRIM($W1290&amp;"")="90+","90+ Days Delinquent",IF(TRIM($W1290&amp;"")="60","60 Days Delinquent",IF(TRIM($W1290&amp;"")="30","30 Days Delinquent",IF($X1290="Non-Performing Matured Balloon","Non-Performing Matured Balloon",IF(OR($X1290="Late Payment But Less Than 30 Days Delinquent",LEFT($X1290&amp;"",20)="Payment Not Received"),"Late / In Grace (&lt;30 Days)",IF($X1290="Performing Matured Balloon","Performing Matured Balloon","Current")))))))))</f>
        <v/>
      </c>
      <c r="CD1290" s="78">
        <f>IF(OR($CC1290="REO",$CC1290="Foreclosure",$CC1290="90+ Days Delinquent",$CC1290="60 Days Delinquent",$CC1290="30 Days Delinquent",$CC1290="Non-Performing Matured Balloon"),1,0)</f>
        <v/>
      </c>
      <c r="CE1290" s="76">
        <f>IF($AB1290="Currently special serv","Currently Specially Serviced",IF($AB1290="Returned to master serv","Previously Specially Serviced","Never Specially Serviced"))</f>
        <v/>
      </c>
      <c r="CF1290" s="78">
        <f>IF($CE1290="Currently Specially Serviced",1,0)</f>
        <v/>
      </c>
      <c r="CG1290" s="76">
        <f>IF($AA1290="Yes","Currently on Watchlist",IF($AA1290="Previously","Previously on Watchlist","Never on Watchlist"))</f>
        <v/>
      </c>
      <c r="CH1290" s="78">
        <f>IF($CG1290="Currently on Watchlist",1,0)</f>
        <v/>
      </c>
      <c r="CI1290" s="76">
        <f>IF($Z1290="Full Defeasance","Fully Defeased",IF($Z1290="Portion Of Loan Previously Defeased","Partially Defeased",IF($Z1290="Defeasance Not Allowable","Not Defeased (Not Permitted)","Not Defeased")))</f>
        <v/>
      </c>
      <c r="CJ1290" s="78">
        <f>IF($CI1290="Fully Defeased",1,0)</f>
        <v/>
      </c>
      <c r="CK1290" s="76">
        <f>IF($R1290="IO","Full IO",IF(LEFT($R1290&amp;"",7)="IO then","Partial IO","Amortizing"))</f>
        <v/>
      </c>
      <c r="CL1290" s="78">
        <f>IF($CK1290="Full IO",1,0)</f>
        <v/>
      </c>
      <c r="CM1290" s="78">
        <f>IF($CK1290="Partial IO",1,0)</f>
        <v/>
      </c>
      <c r="CN1290" s="76">
        <f>IF(LEFT($F1290&amp;"",10)="SPLIT_LOAN","Pari Passu Split","Standalone")</f>
        <v/>
      </c>
      <c r="CO1290" s="78">
        <f>IF($CN1290="Pari Passu Split",1,0)</f>
        <v/>
      </c>
      <c r="CP1290" s="77">
        <f>IF(ISNUMBER($T1290),YEAR($T1290),"")</f>
        <v/>
      </c>
      <c r="CQ1290" s="79">
        <f>IF(ISNUMBER($V1290),$V1290,IF(ISNUMBER($U1290),$U1290,""))</f>
        <v/>
      </c>
      <c r="CR1290" s="77">
        <f>IF(ISNUMBER($CQ1290),YEAR($CQ1290),"")</f>
        <v/>
      </c>
      <c r="CS1290" s="78">
        <f>IF(ISNUMBER($M1290),MAX(0,$M1290),IF(TRIM($M1290&amp;"")="matured",0,""))</f>
        <v/>
      </c>
      <c r="CT1290" s="78">
        <f>IF(AND(ISNUMBER($CS1290),N($CS1290)&lt;=mMatWindow),1,0)</f>
        <v/>
      </c>
      <c r="CU1290" s="80">
        <f>IF(ISNUMBER($J1290),$J1290/100,"")</f>
        <v/>
      </c>
      <c r="CV1290" s="81">
        <f>IF(ISNUMBER($AQ1290),$AQ1290,"")</f>
        <v/>
      </c>
      <c r="CW1290" s="81">
        <f>IF(ISNUMBER($AR1290),$AR1290,"")</f>
        <v/>
      </c>
      <c r="CX1290" s="82">
        <f>IF(ISNUMBER($AS1290),$AS1290/100,"")</f>
        <v/>
      </c>
      <c r="CY1290" s="82">
        <f>IF(ISNUMBER($AT1290),$AT1290/100,"")</f>
        <v/>
      </c>
      <c r="CZ1290" s="82">
        <f>IF(ISNUMBER($AU1290),$AU1290/100,"")</f>
        <v/>
      </c>
      <c r="DA1290" s="82">
        <f>IF(ISNUMBER($AV1290),$AV1290/100,"")</f>
        <v/>
      </c>
      <c r="DB1290" s="82">
        <f>IF(ISNUMBER($AW1290),$AW1290/100,"")</f>
        <v/>
      </c>
      <c r="DC1290" s="82">
        <f>IF(ISNUMBER($AX1290),$AX1290/100,"")</f>
        <v/>
      </c>
      <c r="DD1290" s="77">
        <f>IFERROR(VALUE(LEFT(TRIM($AO1290&amp;""),4)),"")</f>
        <v/>
      </c>
      <c r="DE1290" s="78">
        <f>IF(AND($BY1290=1,$BX1290=1,OR(fDeal="All Deals",$BU1290=fDeal),OR(fEntity="All Entities",$BV1290=fEntity),OR(fPType="All Property Types",$BZ1290=fPType),OR(fDefeased="Include",$CJ1290=0)),1,0)</f>
        <v/>
      </c>
      <c r="DF1290" s="83">
        <f>$DE1290*N($I1290)</f>
        <v/>
      </c>
      <c r="DG1290" s="78">
        <f>IF($DE1290=1,IF(COUNTIFS($F$8:$F1290,$F1290,$DE$8:$DE1290,1)=1,1,0),0)</f>
        <v/>
      </c>
      <c r="DH1290" s="83">
        <f>IF($DG1290=1,SUMIFS($DF$8:$DF$1600,$F$8:$F$1600,$F1290),0)</f>
        <v/>
      </c>
      <c r="DI1290" s="78">
        <f>IF($DG1290=1,COUNTIFS($F$8:$F$1600,$F1290,$DE$8:$DE$1600,1),0)</f>
        <v/>
      </c>
      <c r="DJ1290" s="84">
        <f>IF($DG1290=1,$DH1290+(100000-ROW())/mTieBreak,0)</f>
        <v/>
      </c>
    </row>
    <row r="1291">
      <c r="B1291" s="68" t="n">
        <v>58</v>
      </c>
      <c r="C1291" s="69" t="inlineStr">
        <is>
          <t>UBS18C12</t>
        </is>
      </c>
      <c r="D1291" s="69" t="inlineStr">
        <is>
          <t>58.000</t>
        </is>
      </c>
      <c r="E1291" s="69" t="inlineStr">
        <is>
          <t>24 Hour Fitness - Cedar Hill</t>
        </is>
      </c>
      <c r="F1291" s="69" t="inlineStr">
        <is>
          <t>LNUBS18C12-58.000</t>
        </is>
      </c>
      <c r="G1291" s="70" t="n"/>
      <c r="H1291" s="71" t="n">
        <v>4235000</v>
      </c>
      <c r="I1291" s="71" t="n">
        <v>0</v>
      </c>
      <c r="J1291" s="72" t="n">
        <v>5.0604</v>
      </c>
      <c r="K1291" s="69" t="inlineStr">
        <is>
          <t>Fixed rate</t>
        </is>
      </c>
      <c r="L1291" s="68" t="n">
        <v>84</v>
      </c>
      <c r="M1291" s="68" t="n"/>
      <c r="N1291" s="68" t="n">
        <v>84</v>
      </c>
      <c r="O1291" s="68" t="n">
        <v>84</v>
      </c>
      <c r="P1291" s="68" t="n"/>
      <c r="Q1291" s="68" t="n"/>
      <c r="R1291" s="69" t="inlineStr">
        <is>
          <t>IO</t>
        </is>
      </c>
      <c r="S1291" s="69" t="inlineStr">
        <is>
          <t>Yes</t>
        </is>
      </c>
      <c r="T1291" s="73" t="n">
        <v>43313</v>
      </c>
      <c r="U1291" s="73" t="n">
        <v>45844</v>
      </c>
      <c r="V1291" s="73" t="n"/>
      <c r="W1291" s="69" t="n"/>
      <c r="X1291" s="69" t="inlineStr">
        <is>
          <t>Performing Matured Balloon</t>
        </is>
      </c>
      <c r="Y1291" s="68" t="n"/>
      <c r="Z1291" s="69" t="inlineStr">
        <is>
          <t>No Defeasance Occurred</t>
        </is>
      </c>
      <c r="AA1291" s="69" t="inlineStr">
        <is>
          <t>Previously</t>
        </is>
      </c>
      <c r="AB1291" s="69" t="inlineStr">
        <is>
          <t>Currently special serv</t>
        </is>
      </c>
      <c r="AC1291" s="73" t="n">
        <v>43993</v>
      </c>
      <c r="AD1291" s="69" t="inlineStr">
        <is>
          <t>Other</t>
        </is>
      </c>
      <c r="AE1291" s="69" t="inlineStr">
        <is>
          <t>REO</t>
        </is>
      </c>
      <c r="AF1291" s="69" t="inlineStr">
        <is>
          <t>TX</t>
        </is>
      </c>
      <c r="AG1291" s="69" t="inlineStr">
        <is>
          <t>Cedar Hill</t>
        </is>
      </c>
      <c r="AH1291" s="69" t="inlineStr">
        <is>
          <t>Dallas-Fort Worth-Arlington, TX</t>
        </is>
      </c>
      <c r="AI1291" s="69" t="inlineStr">
        <is>
          <t>South / Central West</t>
        </is>
      </c>
      <c r="AJ1291" s="69" t="inlineStr">
        <is>
          <t>RT</t>
        </is>
      </c>
      <c r="AK1291" s="69" t="inlineStr">
        <is>
          <t>Single Tenant</t>
        </is>
      </c>
      <c r="AL1291" s="68" t="n">
        <v>1</v>
      </c>
      <c r="AM1291" s="68" t="n"/>
      <c r="AN1291" s="68" t="n">
        <v>32231</v>
      </c>
      <c r="AO1291" s="69" t="inlineStr">
        <is>
          <t>2002</t>
        </is>
      </c>
      <c r="AP1291" s="70" t="n">
        <v>2002</v>
      </c>
      <c r="AQ1291" s="74" t="n">
        <v>2.36</v>
      </c>
      <c r="AR1291" s="74" t="n">
        <v>0.76</v>
      </c>
      <c r="AS1291" s="74" t="n">
        <v>49.8</v>
      </c>
      <c r="AT1291" s="74" t="n"/>
      <c r="AU1291" s="74" t="n">
        <v>49.8</v>
      </c>
      <c r="AV1291" s="74" t="n">
        <v>12.125900118</v>
      </c>
      <c r="AW1291" s="74" t="n"/>
      <c r="AX1291" s="75" t="n">
        <v>100</v>
      </c>
      <c r="AY1291" s="71" t="n">
        <v>8500000</v>
      </c>
      <c r="AZ1291" s="71" t="n">
        <v>4025000</v>
      </c>
      <c r="BA1291" s="71" t="n">
        <v>513531.87</v>
      </c>
      <c r="BB1291" s="71" t="n">
        <v>165414.82</v>
      </c>
      <c r="BC1291" s="69" t="inlineStr">
        <is>
          <t>Recapitalization</t>
        </is>
      </c>
      <c r="BD1291" s="69" t="inlineStr">
        <is>
          <t>Y</t>
        </is>
      </c>
      <c r="BE1291" s="71" t="n"/>
      <c r="BF1291" s="71" t="n"/>
      <c r="BG1291" s="71" t="n"/>
      <c r="BH1291" s="71" t="n">
        <v>0</v>
      </c>
      <c r="BI1291" s="71" t="n">
        <v>0</v>
      </c>
      <c r="BJ1291" s="69" t="inlineStr">
        <is>
          <t>N</t>
        </is>
      </c>
      <c r="BK1291" s="69" t="inlineStr">
        <is>
          <t>Crunch Fitness</t>
        </is>
      </c>
      <c r="BL1291" s="75" t="n">
        <v>100</v>
      </c>
      <c r="BM1291" s="73" t="n">
        <v>49979</v>
      </c>
      <c r="BN1291" s="69" t="inlineStr">
        <is>
          <t>Platform Investments, LLC</t>
        </is>
      </c>
      <c r="BO1291" s="69" t="inlineStr">
        <is>
          <t>UBS</t>
        </is>
      </c>
      <c r="BP1291" s="69" t="inlineStr">
        <is>
          <t>Midland Loan Services</t>
        </is>
      </c>
      <c r="BQ1291" s="69" t="inlineStr">
        <is>
          <t>K-Star Asset Management LLC</t>
        </is>
      </c>
      <c r="BR1291" s="69" t="inlineStr">
        <is>
          <t>Disposition / Liquidation</t>
        </is>
      </c>
      <c r="BS1291" s="73" t="n">
        <v>46276</v>
      </c>
      <c r="BU1291" s="76">
        <f>IF($C1291="","",IFERROR(INDEX(dmName,MATCH($C1291,dmID,0)),"Unmapped"))</f>
        <v/>
      </c>
      <c r="BV1291" s="76">
        <f>IF($C1291="","",IFERROR(INDEX(dmEntity,MATCH($C1291,dmID,0)),"Unmapped"))</f>
        <v/>
      </c>
      <c r="BW1291" s="77">
        <f>IF($C1291="","",IFERROR(INDEX(dmVintage,MATCH($C1291,dmID,0)),""))</f>
        <v/>
      </c>
      <c r="BX1291" s="78">
        <f>IFERROR(INDEX(dmInclude,MATCH($C1291,dmID,0)),0)</f>
        <v/>
      </c>
      <c r="BY1291" s="78">
        <f>IF(N($I1291)&gt;0,1,0)</f>
        <v/>
      </c>
      <c r="BZ1291" s="76">
        <f>IF($AJ1291="","Other / Leased Fee",IFERROR(INDEX(mapPTGroup,MATCH(LEFT(TRIM($AJ1291),2),mapPTCode,0)),"Other / Leased Fee"))</f>
        <v/>
      </c>
      <c r="CA1291" s="76">
        <f>IF(TRIM($AF1291&amp;"")="","NR",LEFT(TRIM($AF1291),2))</f>
        <v/>
      </c>
      <c r="CB1291" s="76">
        <f>IFERROR(LOOKUP(2,1/(LEFT(TRIM($AI1291&amp;""),LEN(mapRegion))=mapRegion),mapRegion),"Not Reported")</f>
        <v/>
      </c>
      <c r="CC1291" s="76">
        <f>IF($BY1291=0,"",IF(TRIM($W1291&amp;"")="REO","REO",IF(TRIM($W1291&amp;"")="FC","Foreclosure",IF(TRIM($W1291&amp;"")="90+","90+ Days Delinquent",IF(TRIM($W1291&amp;"")="60","60 Days Delinquent",IF(TRIM($W1291&amp;"")="30","30 Days Delinquent",IF($X1291="Non-Performing Matured Balloon","Non-Performing Matured Balloon",IF(OR($X1291="Late Payment But Less Than 30 Days Delinquent",LEFT($X1291&amp;"",20)="Payment Not Received"),"Late / In Grace (&lt;30 Days)",IF($X1291="Performing Matured Balloon","Performing Matured Balloon","Current")))))))))</f>
        <v/>
      </c>
      <c r="CD1291" s="78">
        <f>IF(OR($CC1291="REO",$CC1291="Foreclosure",$CC1291="90+ Days Delinquent",$CC1291="60 Days Delinquent",$CC1291="30 Days Delinquent",$CC1291="Non-Performing Matured Balloon"),1,0)</f>
        <v/>
      </c>
      <c r="CE1291" s="76">
        <f>IF($AB1291="Currently special serv","Currently Specially Serviced",IF($AB1291="Returned to master serv","Previously Specially Serviced","Never Specially Serviced"))</f>
        <v/>
      </c>
      <c r="CF1291" s="78">
        <f>IF($CE1291="Currently Specially Serviced",1,0)</f>
        <v/>
      </c>
      <c r="CG1291" s="76">
        <f>IF($AA1291="Yes","Currently on Watchlist",IF($AA1291="Previously","Previously on Watchlist","Never on Watchlist"))</f>
        <v/>
      </c>
      <c r="CH1291" s="78">
        <f>IF($CG1291="Currently on Watchlist",1,0)</f>
        <v/>
      </c>
      <c r="CI1291" s="76">
        <f>IF($Z1291="Full Defeasance","Fully Defeased",IF($Z1291="Portion Of Loan Previously Defeased","Partially Defeased",IF($Z1291="Defeasance Not Allowable","Not Defeased (Not Permitted)","Not Defeased")))</f>
        <v/>
      </c>
      <c r="CJ1291" s="78">
        <f>IF($CI1291="Fully Defeased",1,0)</f>
        <v/>
      </c>
      <c r="CK1291" s="76">
        <f>IF($R1291="IO","Full IO",IF(LEFT($R1291&amp;"",7)="IO then","Partial IO","Amortizing"))</f>
        <v/>
      </c>
      <c r="CL1291" s="78">
        <f>IF($CK1291="Full IO",1,0)</f>
        <v/>
      </c>
      <c r="CM1291" s="78">
        <f>IF($CK1291="Partial IO",1,0)</f>
        <v/>
      </c>
      <c r="CN1291" s="76">
        <f>IF(LEFT($F1291&amp;"",10)="SPLIT_LOAN","Pari Passu Split","Standalone")</f>
        <v/>
      </c>
      <c r="CO1291" s="78">
        <f>IF($CN1291="Pari Passu Split",1,0)</f>
        <v/>
      </c>
      <c r="CP1291" s="77">
        <f>IF(ISNUMBER($T1291),YEAR($T1291),"")</f>
        <v/>
      </c>
      <c r="CQ1291" s="79">
        <f>IF(ISNUMBER($V1291),$V1291,IF(ISNUMBER($U1291),$U1291,""))</f>
        <v/>
      </c>
      <c r="CR1291" s="77">
        <f>IF(ISNUMBER($CQ1291),YEAR($CQ1291),"")</f>
        <v/>
      </c>
      <c r="CS1291" s="78">
        <f>IF(ISNUMBER($M1291),MAX(0,$M1291),IF(TRIM($M1291&amp;"")="matured",0,""))</f>
        <v/>
      </c>
      <c r="CT1291" s="78">
        <f>IF(AND(ISNUMBER($CS1291),N($CS1291)&lt;=mMatWindow),1,0)</f>
        <v/>
      </c>
      <c r="CU1291" s="80">
        <f>IF(ISNUMBER($J1291),$J1291/100,"")</f>
        <v/>
      </c>
      <c r="CV1291" s="81">
        <f>IF(ISNUMBER($AQ1291),$AQ1291,"")</f>
        <v/>
      </c>
      <c r="CW1291" s="81">
        <f>IF(ISNUMBER($AR1291),$AR1291,"")</f>
        <v/>
      </c>
      <c r="CX1291" s="82">
        <f>IF(ISNUMBER($AS1291),$AS1291/100,"")</f>
        <v/>
      </c>
      <c r="CY1291" s="82">
        <f>IF(ISNUMBER($AT1291),$AT1291/100,"")</f>
        <v/>
      </c>
      <c r="CZ1291" s="82">
        <f>IF(ISNUMBER($AU1291),$AU1291/100,"")</f>
        <v/>
      </c>
      <c r="DA1291" s="82">
        <f>IF(ISNUMBER($AV1291),$AV1291/100,"")</f>
        <v/>
      </c>
      <c r="DB1291" s="82">
        <f>IF(ISNUMBER($AW1291),$AW1291/100,"")</f>
        <v/>
      </c>
      <c r="DC1291" s="82">
        <f>IF(ISNUMBER($AX1291),$AX1291/100,"")</f>
        <v/>
      </c>
      <c r="DD1291" s="77">
        <f>IFERROR(VALUE(LEFT(TRIM($AO1291&amp;""),4)),"")</f>
        <v/>
      </c>
      <c r="DE1291" s="78">
        <f>IF(AND($BY1291=1,$BX1291=1,OR(fDeal="All Deals",$BU1291=fDeal),OR(fEntity="All Entities",$BV1291=fEntity),OR(fPType="All Property Types",$BZ1291=fPType),OR(fDefeased="Include",$CJ1291=0)),1,0)</f>
        <v/>
      </c>
      <c r="DF1291" s="83">
        <f>$DE1291*N($I1291)</f>
        <v/>
      </c>
      <c r="DG1291" s="78">
        <f>IF($DE1291=1,IF(COUNTIFS($F$8:$F1291,$F1291,$DE$8:$DE1291,1)=1,1,0),0)</f>
        <v/>
      </c>
      <c r="DH1291" s="83">
        <f>IF($DG1291=1,SUMIFS($DF$8:$DF$1600,$F$8:$F$1600,$F1291),0)</f>
        <v/>
      </c>
      <c r="DI1291" s="78">
        <f>IF($DG1291=1,COUNTIFS($F$8:$F$1600,$F1291,$DE$8:$DE$1600,1),0)</f>
        <v/>
      </c>
      <c r="DJ1291" s="84">
        <f>IF($DG1291=1,$DH1291+(100000-ROW())/mTieBreak,0)</f>
        <v/>
      </c>
    </row>
    <row r="1292">
      <c r="B1292" s="68" t="n">
        <v>59</v>
      </c>
      <c r="C1292" s="69" t="inlineStr">
        <is>
          <t>UBS18C12</t>
        </is>
      </c>
      <c r="D1292" s="69" t="inlineStr">
        <is>
          <t>59.000</t>
        </is>
      </c>
      <c r="E1292" s="69" t="inlineStr">
        <is>
          <t>Quality Inn - Florissant</t>
        </is>
      </c>
      <c r="F1292" s="69" t="inlineStr">
        <is>
          <t>LNUBS18C12-59.000</t>
        </is>
      </c>
      <c r="G1292" s="70" t="n"/>
      <c r="H1292" s="71" t="n">
        <v>3900000</v>
      </c>
      <c r="I1292" s="71" t="n">
        <v>3215861.4700017</v>
      </c>
      <c r="J1292" s="72" t="n">
        <v>5.8</v>
      </c>
      <c r="K1292" s="69" t="inlineStr">
        <is>
          <t>Fixed rate</t>
        </is>
      </c>
      <c r="L1292" s="68" t="n">
        <v>120</v>
      </c>
      <c r="M1292" s="68" t="n">
        <v>23</v>
      </c>
      <c r="N1292" s="68" t="n">
        <v>300</v>
      </c>
      <c r="O1292" s="68" t="n"/>
      <c r="P1292" s="68" t="n"/>
      <c r="Q1292" s="68" t="n">
        <v>97</v>
      </c>
      <c r="R1292" s="69" t="n"/>
      <c r="S1292" s="69" t="inlineStr">
        <is>
          <t>No</t>
        </is>
      </c>
      <c r="T1292" s="73" t="n">
        <v>43313</v>
      </c>
      <c r="U1292" s="73" t="n">
        <v>46971</v>
      </c>
      <c r="V1292" s="73" t="n"/>
      <c r="W1292" s="69" t="n"/>
      <c r="X1292" s="69" t="inlineStr">
        <is>
          <t>Current</t>
        </is>
      </c>
      <c r="Y1292" s="68" t="n"/>
      <c r="Z1292" s="69" t="inlineStr">
        <is>
          <t>Full Defeasance</t>
        </is>
      </c>
      <c r="AA1292" s="69" t="inlineStr">
        <is>
          <t>Yes</t>
        </is>
      </c>
      <c r="AB1292" s="69" t="inlineStr">
        <is>
          <t>Never special serv</t>
        </is>
      </c>
      <c r="AC1292" s="73" t="n"/>
      <c r="AD1292" s="69" t="n"/>
      <c r="AE1292" s="69" t="n"/>
      <c r="AF1292" s="69" t="inlineStr">
        <is>
          <t>MO</t>
        </is>
      </c>
      <c r="AG1292" s="69" t="inlineStr">
        <is>
          <t>Florissant</t>
        </is>
      </c>
      <c r="AH1292" s="69" t="inlineStr">
        <is>
          <t>St. Louis, MO-IL</t>
        </is>
      </c>
      <c r="AI1292" s="69" t="inlineStr">
        <is>
          <t>Midwest / Central West</t>
        </is>
      </c>
      <c r="AJ1292" s="69" t="inlineStr">
        <is>
          <t>HT</t>
        </is>
      </c>
      <c r="AK1292" s="69" t="inlineStr">
        <is>
          <t>Limited Service</t>
        </is>
      </c>
      <c r="AL1292" s="68" t="n">
        <v>1</v>
      </c>
      <c r="AM1292" s="68" t="n">
        <v>125</v>
      </c>
      <c r="AN1292" s="68" t="n"/>
      <c r="AO1292" s="69" t="inlineStr">
        <is>
          <t>1989</t>
        </is>
      </c>
      <c r="AP1292" s="70" t="n">
        <v>1989</v>
      </c>
      <c r="AQ1292" s="74" t="n">
        <v>1.72</v>
      </c>
      <c r="AR1292" s="74" t="n">
        <v>1.6</v>
      </c>
      <c r="AS1292" s="74" t="n">
        <v>62.9</v>
      </c>
      <c r="AT1292" s="74" t="n">
        <v>51.87</v>
      </c>
      <c r="AU1292" s="74" t="n">
        <v>48.4</v>
      </c>
      <c r="AV1292" s="74" t="n">
        <v>13.081465385</v>
      </c>
      <c r="AW1292" s="74" t="n">
        <v>15.637481113</v>
      </c>
      <c r="AX1292" s="75" t="n">
        <v>49</v>
      </c>
      <c r="AY1292" s="71" t="n">
        <v>6200000</v>
      </c>
      <c r="AZ1292" s="71" t="n">
        <v>6200000</v>
      </c>
      <c r="BA1292" s="71" t="n">
        <v>510177.15</v>
      </c>
      <c r="BB1292" s="71" t="n">
        <v>472787.64</v>
      </c>
      <c r="BC1292" s="69" t="inlineStr">
        <is>
          <t>Refinance</t>
        </is>
      </c>
      <c r="BD1292" s="69" t="inlineStr">
        <is>
          <t>N</t>
        </is>
      </c>
      <c r="BE1292" s="71" t="n"/>
      <c r="BF1292" s="71" t="n"/>
      <c r="BG1292" s="71" t="n"/>
      <c r="BH1292" s="71" t="n">
        <v>0</v>
      </c>
      <c r="BI1292" s="71" t="n">
        <v>0</v>
      </c>
      <c r="BJ1292" s="69" t="inlineStr">
        <is>
          <t>N</t>
        </is>
      </c>
      <c r="BK1292" s="69" t="n"/>
      <c r="BL1292" s="75" t="n"/>
      <c r="BM1292" s="73" t="n"/>
      <c r="BN1292" s="69" t="inlineStr">
        <is>
          <t>Avinash Peddi; Akkina Narayana Murthy; Sreemanth Chowdary Gollamudi</t>
        </is>
      </c>
      <c r="BO1292" s="69" t="inlineStr">
        <is>
          <t>UBS</t>
        </is>
      </c>
      <c r="BP1292" s="69" t="inlineStr">
        <is>
          <t>Midland Loan Services</t>
        </is>
      </c>
      <c r="BQ1292" s="69" t="inlineStr">
        <is>
          <t>K-Star Asset Management LLC</t>
        </is>
      </c>
      <c r="BR1292" s="69" t="n"/>
      <c r="BS1292" s="73" t="n">
        <v>46276</v>
      </c>
      <c r="BU1292" s="76">
        <f>IF($C1292="","",IFERROR(INDEX(dmName,MATCH($C1292,dmID,0)),"Unmapped"))</f>
        <v/>
      </c>
      <c r="BV1292" s="76">
        <f>IF($C1292="","",IFERROR(INDEX(dmEntity,MATCH($C1292,dmID,0)),"Unmapped"))</f>
        <v/>
      </c>
      <c r="BW1292" s="77">
        <f>IF($C1292="","",IFERROR(INDEX(dmVintage,MATCH($C1292,dmID,0)),""))</f>
        <v/>
      </c>
      <c r="BX1292" s="78">
        <f>IFERROR(INDEX(dmInclude,MATCH($C1292,dmID,0)),0)</f>
        <v/>
      </c>
      <c r="BY1292" s="78">
        <f>IF(N($I1292)&gt;0,1,0)</f>
        <v/>
      </c>
      <c r="BZ1292" s="76">
        <f>IF($AJ1292="","Other / Leased Fee",IFERROR(INDEX(mapPTGroup,MATCH(LEFT(TRIM($AJ1292),2),mapPTCode,0)),"Other / Leased Fee"))</f>
        <v/>
      </c>
      <c r="CA1292" s="76">
        <f>IF(TRIM($AF1292&amp;"")="","NR",LEFT(TRIM($AF1292),2))</f>
        <v/>
      </c>
      <c r="CB1292" s="76">
        <f>IFERROR(LOOKUP(2,1/(LEFT(TRIM($AI1292&amp;""),LEN(mapRegion))=mapRegion),mapRegion),"Not Reported")</f>
        <v/>
      </c>
      <c r="CC1292" s="76">
        <f>IF($BY1292=0,"",IF(TRIM($W1292&amp;"")="REO","REO",IF(TRIM($W1292&amp;"")="FC","Foreclosure",IF(TRIM($W1292&amp;"")="90+","90+ Days Delinquent",IF(TRIM($W1292&amp;"")="60","60 Days Delinquent",IF(TRIM($W1292&amp;"")="30","30 Days Delinquent",IF($X1292="Non-Performing Matured Balloon","Non-Performing Matured Balloon",IF(OR($X1292="Late Payment But Less Than 30 Days Delinquent",LEFT($X1292&amp;"",20)="Payment Not Received"),"Late / In Grace (&lt;30 Days)",IF($X1292="Performing Matured Balloon","Performing Matured Balloon","Current")))))))))</f>
        <v/>
      </c>
      <c r="CD1292" s="78">
        <f>IF(OR($CC1292="REO",$CC1292="Foreclosure",$CC1292="90+ Days Delinquent",$CC1292="60 Days Delinquent",$CC1292="30 Days Delinquent",$CC1292="Non-Performing Matured Balloon"),1,0)</f>
        <v/>
      </c>
      <c r="CE1292" s="76">
        <f>IF($AB1292="Currently special serv","Currently Specially Serviced",IF($AB1292="Returned to master serv","Previously Specially Serviced","Never Specially Serviced"))</f>
        <v/>
      </c>
      <c r="CF1292" s="78">
        <f>IF($CE1292="Currently Specially Serviced",1,0)</f>
        <v/>
      </c>
      <c r="CG1292" s="76">
        <f>IF($AA1292="Yes","Currently on Watchlist",IF($AA1292="Previously","Previously on Watchlist","Never on Watchlist"))</f>
        <v/>
      </c>
      <c r="CH1292" s="78">
        <f>IF($CG1292="Currently on Watchlist",1,0)</f>
        <v/>
      </c>
      <c r="CI1292" s="76">
        <f>IF($Z1292="Full Defeasance","Fully Defeased",IF($Z1292="Portion Of Loan Previously Defeased","Partially Defeased",IF($Z1292="Defeasance Not Allowable","Not Defeased (Not Permitted)","Not Defeased")))</f>
        <v/>
      </c>
      <c r="CJ1292" s="78">
        <f>IF($CI1292="Fully Defeased",1,0)</f>
        <v/>
      </c>
      <c r="CK1292" s="76">
        <f>IF($R1292="IO","Full IO",IF(LEFT($R1292&amp;"",7)="IO then","Partial IO","Amortizing"))</f>
        <v/>
      </c>
      <c r="CL1292" s="78">
        <f>IF($CK1292="Full IO",1,0)</f>
        <v/>
      </c>
      <c r="CM1292" s="78">
        <f>IF($CK1292="Partial IO",1,0)</f>
        <v/>
      </c>
      <c r="CN1292" s="76">
        <f>IF(LEFT($F1292&amp;"",10)="SPLIT_LOAN","Pari Passu Split","Standalone")</f>
        <v/>
      </c>
      <c r="CO1292" s="78">
        <f>IF($CN1292="Pari Passu Split",1,0)</f>
        <v/>
      </c>
      <c r="CP1292" s="77">
        <f>IF(ISNUMBER($T1292),YEAR($T1292),"")</f>
        <v/>
      </c>
      <c r="CQ1292" s="79">
        <f>IF(ISNUMBER($V1292),$V1292,IF(ISNUMBER($U1292),$U1292,""))</f>
        <v/>
      </c>
      <c r="CR1292" s="77">
        <f>IF(ISNUMBER($CQ1292),YEAR($CQ1292),"")</f>
        <v/>
      </c>
      <c r="CS1292" s="78">
        <f>IF(ISNUMBER($M1292),MAX(0,$M1292),IF(TRIM($M1292&amp;"")="matured",0,""))</f>
        <v/>
      </c>
      <c r="CT1292" s="78">
        <f>IF(AND(ISNUMBER($CS1292),N($CS1292)&lt;=mMatWindow),1,0)</f>
        <v/>
      </c>
      <c r="CU1292" s="80">
        <f>IF(ISNUMBER($J1292),$J1292/100,"")</f>
        <v/>
      </c>
      <c r="CV1292" s="81">
        <f>IF(ISNUMBER($AQ1292),$AQ1292,"")</f>
        <v/>
      </c>
      <c r="CW1292" s="81">
        <f>IF(ISNUMBER($AR1292),$AR1292,"")</f>
        <v/>
      </c>
      <c r="CX1292" s="82">
        <f>IF(ISNUMBER($AS1292),$AS1292/100,"")</f>
        <v/>
      </c>
      <c r="CY1292" s="82">
        <f>IF(ISNUMBER($AT1292),$AT1292/100,"")</f>
        <v/>
      </c>
      <c r="CZ1292" s="82">
        <f>IF(ISNUMBER($AU1292),$AU1292/100,"")</f>
        <v/>
      </c>
      <c r="DA1292" s="82">
        <f>IF(ISNUMBER($AV1292),$AV1292/100,"")</f>
        <v/>
      </c>
      <c r="DB1292" s="82">
        <f>IF(ISNUMBER($AW1292),$AW1292/100,"")</f>
        <v/>
      </c>
      <c r="DC1292" s="82">
        <f>IF(ISNUMBER($AX1292),$AX1292/100,"")</f>
        <v/>
      </c>
      <c r="DD1292" s="77">
        <f>IFERROR(VALUE(LEFT(TRIM($AO1292&amp;""),4)),"")</f>
        <v/>
      </c>
      <c r="DE1292" s="78">
        <f>IF(AND($BY1292=1,$BX1292=1,OR(fDeal="All Deals",$BU1292=fDeal),OR(fEntity="All Entities",$BV1292=fEntity),OR(fPType="All Property Types",$BZ1292=fPType),OR(fDefeased="Include",$CJ1292=0)),1,0)</f>
        <v/>
      </c>
      <c r="DF1292" s="83">
        <f>$DE1292*N($I1292)</f>
        <v/>
      </c>
      <c r="DG1292" s="78">
        <f>IF($DE1292=1,IF(COUNTIFS($F$8:$F1292,$F1292,$DE$8:$DE1292,1)=1,1,0),0)</f>
        <v/>
      </c>
      <c r="DH1292" s="83">
        <f>IF($DG1292=1,SUMIFS($DF$8:$DF$1600,$F$8:$F$1600,$F1292),0)</f>
        <v/>
      </c>
      <c r="DI1292" s="78">
        <f>IF($DG1292=1,COUNTIFS($F$8:$F$1600,$F1292,$DE$8:$DE$1600,1),0)</f>
        <v/>
      </c>
      <c r="DJ1292" s="84">
        <f>IF($DG1292=1,$DH1292+(100000-ROW())/mTieBreak,0)</f>
        <v/>
      </c>
    </row>
    <row r="1293">
      <c r="B1293" s="68" t="n">
        <v>60</v>
      </c>
      <c r="C1293" s="69" t="inlineStr">
        <is>
          <t>UBS18C12</t>
        </is>
      </c>
      <c r="D1293" s="69" t="inlineStr">
        <is>
          <t>60.000</t>
        </is>
      </c>
      <c r="E1293" s="69" t="inlineStr">
        <is>
          <t>Greater American Self Storage</t>
        </is>
      </c>
      <c r="F1293" s="69" t="inlineStr">
        <is>
          <t>LNUBS18C12-60.000</t>
        </is>
      </c>
      <c r="G1293" s="70" t="n"/>
      <c r="H1293" s="71" t="n">
        <v>3750000</v>
      </c>
      <c r="I1293" s="71" t="n">
        <v>3750000</v>
      </c>
      <c r="J1293" s="72" t="n">
        <v>4.963</v>
      </c>
      <c r="K1293" s="69" t="inlineStr">
        <is>
          <t>Fixed rate</t>
        </is>
      </c>
      <c r="L1293" s="68" t="n">
        <v>120</v>
      </c>
      <c r="M1293" s="68" t="n">
        <v>22</v>
      </c>
      <c r="N1293" s="68" t="n">
        <v>120</v>
      </c>
      <c r="O1293" s="68" t="n">
        <v>120</v>
      </c>
      <c r="P1293" s="68" t="n">
        <v>22</v>
      </c>
      <c r="Q1293" s="68" t="n">
        <v>98</v>
      </c>
      <c r="R1293" s="69" t="inlineStr">
        <is>
          <t>IO</t>
        </is>
      </c>
      <c r="S1293" s="69" t="inlineStr">
        <is>
          <t>Yes</t>
        </is>
      </c>
      <c r="T1293" s="73" t="n">
        <v>43282</v>
      </c>
      <c r="U1293" s="73" t="n">
        <v>46940</v>
      </c>
      <c r="V1293" s="73" t="n"/>
      <c r="W1293" s="69" t="n"/>
      <c r="X1293" s="69" t="inlineStr">
        <is>
          <t>Current</t>
        </is>
      </c>
      <c r="Y1293" s="68" t="n"/>
      <c r="Z1293" s="69" t="inlineStr">
        <is>
          <t>No Defeasance Occurred</t>
        </is>
      </c>
      <c r="AA1293" s="69" t="n"/>
      <c r="AB1293" s="69" t="inlineStr">
        <is>
          <t>Never special serv</t>
        </is>
      </c>
      <c r="AC1293" s="73" t="n"/>
      <c r="AD1293" s="69" t="n"/>
      <c r="AE1293" s="69" t="n"/>
      <c r="AF1293" s="69" t="inlineStr">
        <is>
          <t>CA</t>
        </is>
      </c>
      <c r="AG1293" s="69" t="inlineStr">
        <is>
          <t>Yuba City</t>
        </is>
      </c>
      <c r="AH1293" s="69" t="inlineStr">
        <is>
          <t>Yuba City, CA</t>
        </is>
      </c>
      <c r="AI1293" s="69" t="inlineStr">
        <is>
          <t>West / Pacific North</t>
        </is>
      </c>
      <c r="AJ1293" s="69" t="inlineStr">
        <is>
          <t>SS</t>
        </is>
      </c>
      <c r="AK1293" s="69" t="n"/>
      <c r="AL1293" s="68" t="n">
        <v>1</v>
      </c>
      <c r="AM1293" s="68" t="n"/>
      <c r="AN1293" s="68" t="n">
        <v>69700</v>
      </c>
      <c r="AO1293" s="69" t="inlineStr">
        <is>
          <t>1990</t>
        </is>
      </c>
      <c r="AP1293" s="70" t="n">
        <v>1990</v>
      </c>
      <c r="AQ1293" s="74" t="n">
        <v>2.09</v>
      </c>
      <c r="AR1293" s="74" t="n">
        <v>3.1</v>
      </c>
      <c r="AS1293" s="74" t="n">
        <v>58.6</v>
      </c>
      <c r="AT1293" s="74" t="n">
        <v>58.59</v>
      </c>
      <c r="AU1293" s="74" t="n">
        <v>58.6</v>
      </c>
      <c r="AV1293" s="74" t="n">
        <v>10.51886</v>
      </c>
      <c r="AW1293" s="74" t="n">
        <v>12.6717792</v>
      </c>
      <c r="AX1293" s="75" t="n">
        <v>88</v>
      </c>
      <c r="AY1293" s="71" t="n">
        <v>6400000</v>
      </c>
      <c r="AZ1293" s="71" t="n">
        <v>6400000</v>
      </c>
      <c r="BA1293" s="71" t="n">
        <v>394457.25</v>
      </c>
      <c r="BB1293" s="71" t="n">
        <v>584988.24</v>
      </c>
      <c r="BC1293" s="69" t="inlineStr">
        <is>
          <t>Refinance</t>
        </is>
      </c>
      <c r="BD1293" s="69" t="inlineStr">
        <is>
          <t>N</t>
        </is>
      </c>
      <c r="BE1293" s="71" t="n"/>
      <c r="BF1293" s="71" t="n"/>
      <c r="BG1293" s="71" t="n"/>
      <c r="BH1293" s="71" t="n">
        <v>0</v>
      </c>
      <c r="BI1293" s="71" t="n">
        <v>0</v>
      </c>
      <c r="BJ1293" s="69" t="inlineStr">
        <is>
          <t>N</t>
        </is>
      </c>
      <c r="BK1293" s="69" t="n"/>
      <c r="BL1293" s="75" t="n"/>
      <c r="BM1293" s="73" t="n"/>
      <c r="BN1293" s="69" t="inlineStr">
        <is>
          <t>Matthew N. Follett</t>
        </is>
      </c>
      <c r="BO1293" s="69" t="inlineStr">
        <is>
          <t>Ladder Capital Finance</t>
        </is>
      </c>
      <c r="BP1293" s="69" t="inlineStr">
        <is>
          <t>Midland Loan Services</t>
        </is>
      </c>
      <c r="BQ1293" s="69" t="inlineStr">
        <is>
          <t>K-Star Asset Management LLC</t>
        </is>
      </c>
      <c r="BR1293" s="69" t="n"/>
      <c r="BS1293" s="73" t="n">
        <v>46276</v>
      </c>
      <c r="BU1293" s="76">
        <f>IF($C1293="","",IFERROR(INDEX(dmName,MATCH($C1293,dmID,0)),"Unmapped"))</f>
        <v/>
      </c>
      <c r="BV1293" s="76">
        <f>IF($C1293="","",IFERROR(INDEX(dmEntity,MATCH($C1293,dmID,0)),"Unmapped"))</f>
        <v/>
      </c>
      <c r="BW1293" s="77">
        <f>IF($C1293="","",IFERROR(INDEX(dmVintage,MATCH($C1293,dmID,0)),""))</f>
        <v/>
      </c>
      <c r="BX1293" s="78">
        <f>IFERROR(INDEX(dmInclude,MATCH($C1293,dmID,0)),0)</f>
        <v/>
      </c>
      <c r="BY1293" s="78">
        <f>IF(N($I1293)&gt;0,1,0)</f>
        <v/>
      </c>
      <c r="BZ1293" s="76">
        <f>IF($AJ1293="","Other / Leased Fee",IFERROR(INDEX(mapPTGroup,MATCH(LEFT(TRIM($AJ1293),2),mapPTCode,0)),"Other / Leased Fee"))</f>
        <v/>
      </c>
      <c r="CA1293" s="76">
        <f>IF(TRIM($AF1293&amp;"")="","NR",LEFT(TRIM($AF1293),2))</f>
        <v/>
      </c>
      <c r="CB1293" s="76">
        <f>IFERROR(LOOKUP(2,1/(LEFT(TRIM($AI1293&amp;""),LEN(mapRegion))=mapRegion),mapRegion),"Not Reported")</f>
        <v/>
      </c>
      <c r="CC1293" s="76">
        <f>IF($BY1293=0,"",IF(TRIM($W1293&amp;"")="REO","REO",IF(TRIM($W1293&amp;"")="FC","Foreclosure",IF(TRIM($W1293&amp;"")="90+","90+ Days Delinquent",IF(TRIM($W1293&amp;"")="60","60 Days Delinquent",IF(TRIM($W1293&amp;"")="30","30 Days Delinquent",IF($X1293="Non-Performing Matured Balloon","Non-Performing Matured Balloon",IF(OR($X1293="Late Payment But Less Than 30 Days Delinquent",LEFT($X1293&amp;"",20)="Payment Not Received"),"Late / In Grace (&lt;30 Days)",IF($X1293="Performing Matured Balloon","Performing Matured Balloon","Current")))))))))</f>
        <v/>
      </c>
      <c r="CD1293" s="78">
        <f>IF(OR($CC1293="REO",$CC1293="Foreclosure",$CC1293="90+ Days Delinquent",$CC1293="60 Days Delinquent",$CC1293="30 Days Delinquent",$CC1293="Non-Performing Matured Balloon"),1,0)</f>
        <v/>
      </c>
      <c r="CE1293" s="76">
        <f>IF($AB1293="Currently special serv","Currently Specially Serviced",IF($AB1293="Returned to master serv","Previously Specially Serviced","Never Specially Serviced"))</f>
        <v/>
      </c>
      <c r="CF1293" s="78">
        <f>IF($CE1293="Currently Specially Serviced",1,0)</f>
        <v/>
      </c>
      <c r="CG1293" s="76">
        <f>IF($AA1293="Yes","Currently on Watchlist",IF($AA1293="Previously","Previously on Watchlist","Never on Watchlist"))</f>
        <v/>
      </c>
      <c r="CH1293" s="78">
        <f>IF($CG1293="Currently on Watchlist",1,0)</f>
        <v/>
      </c>
      <c r="CI1293" s="76">
        <f>IF($Z1293="Full Defeasance","Fully Defeased",IF($Z1293="Portion Of Loan Previously Defeased","Partially Defeased",IF($Z1293="Defeasance Not Allowable","Not Defeased (Not Permitted)","Not Defeased")))</f>
        <v/>
      </c>
      <c r="CJ1293" s="78">
        <f>IF($CI1293="Fully Defeased",1,0)</f>
        <v/>
      </c>
      <c r="CK1293" s="76">
        <f>IF($R1293="IO","Full IO",IF(LEFT($R1293&amp;"",7)="IO then","Partial IO","Amortizing"))</f>
        <v/>
      </c>
      <c r="CL1293" s="78">
        <f>IF($CK1293="Full IO",1,0)</f>
        <v/>
      </c>
      <c r="CM1293" s="78">
        <f>IF($CK1293="Partial IO",1,0)</f>
        <v/>
      </c>
      <c r="CN1293" s="76">
        <f>IF(LEFT($F1293&amp;"",10)="SPLIT_LOAN","Pari Passu Split","Standalone")</f>
        <v/>
      </c>
      <c r="CO1293" s="78">
        <f>IF($CN1293="Pari Passu Split",1,0)</f>
        <v/>
      </c>
      <c r="CP1293" s="77">
        <f>IF(ISNUMBER($T1293),YEAR($T1293),"")</f>
        <v/>
      </c>
      <c r="CQ1293" s="79">
        <f>IF(ISNUMBER($V1293),$V1293,IF(ISNUMBER($U1293),$U1293,""))</f>
        <v/>
      </c>
      <c r="CR1293" s="77">
        <f>IF(ISNUMBER($CQ1293),YEAR($CQ1293),"")</f>
        <v/>
      </c>
      <c r="CS1293" s="78">
        <f>IF(ISNUMBER($M1293),MAX(0,$M1293),IF(TRIM($M1293&amp;"")="matured",0,""))</f>
        <v/>
      </c>
      <c r="CT1293" s="78">
        <f>IF(AND(ISNUMBER($CS1293),N($CS1293)&lt;=mMatWindow),1,0)</f>
        <v/>
      </c>
      <c r="CU1293" s="80">
        <f>IF(ISNUMBER($J1293),$J1293/100,"")</f>
        <v/>
      </c>
      <c r="CV1293" s="81">
        <f>IF(ISNUMBER($AQ1293),$AQ1293,"")</f>
        <v/>
      </c>
      <c r="CW1293" s="81">
        <f>IF(ISNUMBER($AR1293),$AR1293,"")</f>
        <v/>
      </c>
      <c r="CX1293" s="82">
        <f>IF(ISNUMBER($AS1293),$AS1293/100,"")</f>
        <v/>
      </c>
      <c r="CY1293" s="82">
        <f>IF(ISNUMBER($AT1293),$AT1293/100,"")</f>
        <v/>
      </c>
      <c r="CZ1293" s="82">
        <f>IF(ISNUMBER($AU1293),$AU1293/100,"")</f>
        <v/>
      </c>
      <c r="DA1293" s="82">
        <f>IF(ISNUMBER($AV1293),$AV1293/100,"")</f>
        <v/>
      </c>
      <c r="DB1293" s="82">
        <f>IF(ISNUMBER($AW1293),$AW1293/100,"")</f>
        <v/>
      </c>
      <c r="DC1293" s="82">
        <f>IF(ISNUMBER($AX1293),$AX1293/100,"")</f>
        <v/>
      </c>
      <c r="DD1293" s="77">
        <f>IFERROR(VALUE(LEFT(TRIM($AO1293&amp;""),4)),"")</f>
        <v/>
      </c>
      <c r="DE1293" s="78">
        <f>IF(AND($BY1293=1,$BX1293=1,OR(fDeal="All Deals",$BU1293=fDeal),OR(fEntity="All Entities",$BV1293=fEntity),OR(fPType="All Property Types",$BZ1293=fPType),OR(fDefeased="Include",$CJ1293=0)),1,0)</f>
        <v/>
      </c>
      <c r="DF1293" s="83">
        <f>$DE1293*N($I1293)</f>
        <v/>
      </c>
      <c r="DG1293" s="78">
        <f>IF($DE1293=1,IF(COUNTIFS($F$8:$F1293,$F1293,$DE$8:$DE1293,1)=1,1,0),0)</f>
        <v/>
      </c>
      <c r="DH1293" s="83">
        <f>IF($DG1293=1,SUMIFS($DF$8:$DF$1600,$F$8:$F$1600,$F1293),0)</f>
        <v/>
      </c>
      <c r="DI1293" s="78">
        <f>IF($DG1293=1,COUNTIFS($F$8:$F$1600,$F1293,$DE$8:$DE$1600,1),0)</f>
        <v/>
      </c>
      <c r="DJ1293" s="84">
        <f>IF($DG1293=1,$DH1293+(100000-ROW())/mTieBreak,0)</f>
        <v/>
      </c>
    </row>
    <row r="1294">
      <c r="B1294" s="68" t="n">
        <v>61</v>
      </c>
      <c r="C1294" s="69" t="inlineStr">
        <is>
          <t>UBS18C12</t>
        </is>
      </c>
      <c r="D1294" s="69" t="inlineStr">
        <is>
          <t>61.000</t>
        </is>
      </c>
      <c r="E1294" s="69" t="inlineStr">
        <is>
          <t>2036 TC Jester</t>
        </is>
      </c>
      <c r="F1294" s="69" t="inlineStr">
        <is>
          <t>LNUBS18C12-61.000</t>
        </is>
      </c>
      <c r="G1294" s="70" t="n"/>
      <c r="H1294" s="71" t="n">
        <v>3681000</v>
      </c>
      <c r="I1294" s="71" t="n">
        <v>3681000</v>
      </c>
      <c r="J1294" s="72" t="n">
        <v>5.2819</v>
      </c>
      <c r="K1294" s="69" t="inlineStr">
        <is>
          <t>Fixed rate</t>
        </is>
      </c>
      <c r="L1294" s="68" t="n">
        <v>120</v>
      </c>
      <c r="M1294" s="68" t="n">
        <v>23</v>
      </c>
      <c r="N1294" s="68" t="n">
        <v>120</v>
      </c>
      <c r="O1294" s="68" t="n">
        <v>120</v>
      </c>
      <c r="P1294" s="68" t="n">
        <v>23</v>
      </c>
      <c r="Q1294" s="68" t="n">
        <v>97</v>
      </c>
      <c r="R1294" s="69" t="inlineStr">
        <is>
          <t>IO</t>
        </is>
      </c>
      <c r="S1294" s="69" t="inlineStr">
        <is>
          <t>Yes</t>
        </is>
      </c>
      <c r="T1294" s="73" t="n">
        <v>43313</v>
      </c>
      <c r="U1294" s="73" t="n">
        <v>46971</v>
      </c>
      <c r="V1294" s="73" t="n"/>
      <c r="W1294" s="69" t="n"/>
      <c r="X1294" s="69" t="inlineStr">
        <is>
          <t>Current</t>
        </is>
      </c>
      <c r="Y1294" s="68" t="n"/>
      <c r="Z1294" s="69" t="inlineStr">
        <is>
          <t>Defeasance Not Allowable</t>
        </is>
      </c>
      <c r="AA1294" s="69" t="inlineStr">
        <is>
          <t>Yes</t>
        </is>
      </c>
      <c r="AB1294" s="69" t="inlineStr">
        <is>
          <t>Never special serv</t>
        </is>
      </c>
      <c r="AC1294" s="73" t="n"/>
      <c r="AD1294" s="69" t="n"/>
      <c r="AE1294" s="69" t="n"/>
      <c r="AF1294" s="69" t="inlineStr">
        <is>
          <t>TX</t>
        </is>
      </c>
      <c r="AG1294" s="69" t="inlineStr">
        <is>
          <t>Houston</t>
        </is>
      </c>
      <c r="AH1294" s="69" t="inlineStr">
        <is>
          <t>Houston-Pasadena-The Woodlands, TX</t>
        </is>
      </c>
      <c r="AI1294" s="69" t="inlineStr">
        <is>
          <t>South / Central West</t>
        </is>
      </c>
      <c r="AJ1294" s="69" t="inlineStr">
        <is>
          <t>RT</t>
        </is>
      </c>
      <c r="AK1294" s="69" t="inlineStr">
        <is>
          <t>Shadow Anchored</t>
        </is>
      </c>
      <c r="AL1294" s="68" t="n">
        <v>1</v>
      </c>
      <c r="AM1294" s="68" t="n"/>
      <c r="AN1294" s="68" t="n">
        <v>17876</v>
      </c>
      <c r="AO1294" s="69" t="inlineStr">
        <is>
          <t>1968</t>
        </is>
      </c>
      <c r="AP1294" s="70" t="n">
        <v>2013</v>
      </c>
      <c r="AQ1294" s="74" t="n">
        <v>1.84</v>
      </c>
      <c r="AR1294" s="74" t="n">
        <v>0.51</v>
      </c>
      <c r="AS1294" s="74" t="n">
        <v>60.3</v>
      </c>
      <c r="AT1294" s="74" t="n">
        <v>60.34</v>
      </c>
      <c r="AU1294" s="74" t="n">
        <v>60.3</v>
      </c>
      <c r="AV1294" s="74" t="n">
        <v>9.863257267</v>
      </c>
      <c r="AW1294" s="74" t="n">
        <v>-3.894481391</v>
      </c>
      <c r="AX1294" s="75" t="n">
        <v>65</v>
      </c>
      <c r="AY1294" s="71" t="n">
        <v>6100000</v>
      </c>
      <c r="AZ1294" s="71" t="n">
        <v>6100000</v>
      </c>
      <c r="BA1294" s="71" t="n">
        <v>363066.5</v>
      </c>
      <c r="BB1294" s="71" t="n">
        <v>25129.67</v>
      </c>
      <c r="BC1294" s="69" t="inlineStr">
        <is>
          <t>Refinance</t>
        </is>
      </c>
      <c r="BD1294" s="69" t="inlineStr">
        <is>
          <t>N</t>
        </is>
      </c>
      <c r="BE1294" s="71" t="n"/>
      <c r="BF1294" s="71" t="n"/>
      <c r="BG1294" s="71" t="n"/>
      <c r="BH1294" s="71" t="n">
        <v>0</v>
      </c>
      <c r="BI1294" s="71" t="n">
        <v>0</v>
      </c>
      <c r="BJ1294" s="69" t="inlineStr">
        <is>
          <t>N</t>
        </is>
      </c>
      <c r="BK1294" s="69" t="inlineStr">
        <is>
          <t>Long Weekend</t>
        </is>
      </c>
      <c r="BL1294" s="75" t="n">
        <v>45.65</v>
      </c>
      <c r="BM1294" s="73" t="n">
        <v>49856</v>
      </c>
      <c r="BN1294" s="69" t="inlineStr">
        <is>
          <t>Neil P. Martin; Michael W. Sperandio; Matthew T. Donowho</t>
        </is>
      </c>
      <c r="BO1294" s="69" t="inlineStr">
        <is>
          <t>UBS</t>
        </is>
      </c>
      <c r="BP1294" s="69" t="inlineStr">
        <is>
          <t>Midland Loan Services</t>
        </is>
      </c>
      <c r="BQ1294" s="69" t="inlineStr">
        <is>
          <t>K-Star Asset Management LLC</t>
        </is>
      </c>
      <c r="BR1294" s="69" t="n"/>
      <c r="BS1294" s="73" t="n">
        <v>46276</v>
      </c>
      <c r="BU1294" s="76">
        <f>IF($C1294="","",IFERROR(INDEX(dmName,MATCH($C1294,dmID,0)),"Unmapped"))</f>
        <v/>
      </c>
      <c r="BV1294" s="76">
        <f>IF($C1294="","",IFERROR(INDEX(dmEntity,MATCH($C1294,dmID,0)),"Unmapped"))</f>
        <v/>
      </c>
      <c r="BW1294" s="77">
        <f>IF($C1294="","",IFERROR(INDEX(dmVintage,MATCH($C1294,dmID,0)),""))</f>
        <v/>
      </c>
      <c r="BX1294" s="78">
        <f>IFERROR(INDEX(dmInclude,MATCH($C1294,dmID,0)),0)</f>
        <v/>
      </c>
      <c r="BY1294" s="78">
        <f>IF(N($I1294)&gt;0,1,0)</f>
        <v/>
      </c>
      <c r="BZ1294" s="76">
        <f>IF($AJ1294="","Other / Leased Fee",IFERROR(INDEX(mapPTGroup,MATCH(LEFT(TRIM($AJ1294),2),mapPTCode,0)),"Other / Leased Fee"))</f>
        <v/>
      </c>
      <c r="CA1294" s="76">
        <f>IF(TRIM($AF1294&amp;"")="","NR",LEFT(TRIM($AF1294),2))</f>
        <v/>
      </c>
      <c r="CB1294" s="76">
        <f>IFERROR(LOOKUP(2,1/(LEFT(TRIM($AI1294&amp;""),LEN(mapRegion))=mapRegion),mapRegion),"Not Reported")</f>
        <v/>
      </c>
      <c r="CC1294" s="76">
        <f>IF($BY1294=0,"",IF(TRIM($W1294&amp;"")="REO","REO",IF(TRIM($W1294&amp;"")="FC","Foreclosure",IF(TRIM($W1294&amp;"")="90+","90+ Days Delinquent",IF(TRIM($W1294&amp;"")="60","60 Days Delinquent",IF(TRIM($W1294&amp;"")="30","30 Days Delinquent",IF($X1294="Non-Performing Matured Balloon","Non-Performing Matured Balloon",IF(OR($X1294="Late Payment But Less Than 30 Days Delinquent",LEFT($X1294&amp;"",20)="Payment Not Received"),"Late / In Grace (&lt;30 Days)",IF($X1294="Performing Matured Balloon","Performing Matured Balloon","Current")))))))))</f>
        <v/>
      </c>
      <c r="CD1294" s="78">
        <f>IF(OR($CC1294="REO",$CC1294="Foreclosure",$CC1294="90+ Days Delinquent",$CC1294="60 Days Delinquent",$CC1294="30 Days Delinquent",$CC1294="Non-Performing Matured Balloon"),1,0)</f>
        <v/>
      </c>
      <c r="CE1294" s="76">
        <f>IF($AB1294="Currently special serv","Currently Specially Serviced",IF($AB1294="Returned to master serv","Previously Specially Serviced","Never Specially Serviced"))</f>
        <v/>
      </c>
      <c r="CF1294" s="78">
        <f>IF($CE1294="Currently Specially Serviced",1,0)</f>
        <v/>
      </c>
      <c r="CG1294" s="76">
        <f>IF($AA1294="Yes","Currently on Watchlist",IF($AA1294="Previously","Previously on Watchlist","Never on Watchlist"))</f>
        <v/>
      </c>
      <c r="CH1294" s="78">
        <f>IF($CG1294="Currently on Watchlist",1,0)</f>
        <v/>
      </c>
      <c r="CI1294" s="76">
        <f>IF($Z1294="Full Defeasance","Fully Defeased",IF($Z1294="Portion Of Loan Previously Defeased","Partially Defeased",IF($Z1294="Defeasance Not Allowable","Not Defeased (Not Permitted)","Not Defeased")))</f>
        <v/>
      </c>
      <c r="CJ1294" s="78">
        <f>IF($CI1294="Fully Defeased",1,0)</f>
        <v/>
      </c>
      <c r="CK1294" s="76">
        <f>IF($R1294="IO","Full IO",IF(LEFT($R1294&amp;"",7)="IO then","Partial IO","Amortizing"))</f>
        <v/>
      </c>
      <c r="CL1294" s="78">
        <f>IF($CK1294="Full IO",1,0)</f>
        <v/>
      </c>
      <c r="CM1294" s="78">
        <f>IF($CK1294="Partial IO",1,0)</f>
        <v/>
      </c>
      <c r="CN1294" s="76">
        <f>IF(LEFT($F1294&amp;"",10)="SPLIT_LOAN","Pari Passu Split","Standalone")</f>
        <v/>
      </c>
      <c r="CO1294" s="78">
        <f>IF($CN1294="Pari Passu Split",1,0)</f>
        <v/>
      </c>
      <c r="CP1294" s="77">
        <f>IF(ISNUMBER($T1294),YEAR($T1294),"")</f>
        <v/>
      </c>
      <c r="CQ1294" s="79">
        <f>IF(ISNUMBER($V1294),$V1294,IF(ISNUMBER($U1294),$U1294,""))</f>
        <v/>
      </c>
      <c r="CR1294" s="77">
        <f>IF(ISNUMBER($CQ1294),YEAR($CQ1294),"")</f>
        <v/>
      </c>
      <c r="CS1294" s="78">
        <f>IF(ISNUMBER($M1294),MAX(0,$M1294),IF(TRIM($M1294&amp;"")="matured",0,""))</f>
        <v/>
      </c>
      <c r="CT1294" s="78">
        <f>IF(AND(ISNUMBER($CS1294),N($CS1294)&lt;=mMatWindow),1,0)</f>
        <v/>
      </c>
      <c r="CU1294" s="80">
        <f>IF(ISNUMBER($J1294),$J1294/100,"")</f>
        <v/>
      </c>
      <c r="CV1294" s="81">
        <f>IF(ISNUMBER($AQ1294),$AQ1294,"")</f>
        <v/>
      </c>
      <c r="CW1294" s="81">
        <f>IF(ISNUMBER($AR1294),$AR1294,"")</f>
        <v/>
      </c>
      <c r="CX1294" s="82">
        <f>IF(ISNUMBER($AS1294),$AS1294/100,"")</f>
        <v/>
      </c>
      <c r="CY1294" s="82">
        <f>IF(ISNUMBER($AT1294),$AT1294/100,"")</f>
        <v/>
      </c>
      <c r="CZ1294" s="82">
        <f>IF(ISNUMBER($AU1294),$AU1294/100,"")</f>
        <v/>
      </c>
      <c r="DA1294" s="82">
        <f>IF(ISNUMBER($AV1294),$AV1294/100,"")</f>
        <v/>
      </c>
      <c r="DB1294" s="82">
        <f>IF(ISNUMBER($AW1294),$AW1294/100,"")</f>
        <v/>
      </c>
      <c r="DC1294" s="82">
        <f>IF(ISNUMBER($AX1294),$AX1294/100,"")</f>
        <v/>
      </c>
      <c r="DD1294" s="77">
        <f>IFERROR(VALUE(LEFT(TRIM($AO1294&amp;""),4)),"")</f>
        <v/>
      </c>
      <c r="DE1294" s="78">
        <f>IF(AND($BY1294=1,$BX1294=1,OR(fDeal="All Deals",$BU1294=fDeal),OR(fEntity="All Entities",$BV1294=fEntity),OR(fPType="All Property Types",$BZ1294=fPType),OR(fDefeased="Include",$CJ1294=0)),1,0)</f>
        <v/>
      </c>
      <c r="DF1294" s="83">
        <f>$DE1294*N($I1294)</f>
        <v/>
      </c>
      <c r="DG1294" s="78">
        <f>IF($DE1294=1,IF(COUNTIFS($F$8:$F1294,$F1294,$DE$8:$DE1294,1)=1,1,0),0)</f>
        <v/>
      </c>
      <c r="DH1294" s="83">
        <f>IF($DG1294=1,SUMIFS($DF$8:$DF$1600,$F$8:$F$1600,$F1294),0)</f>
        <v/>
      </c>
      <c r="DI1294" s="78">
        <f>IF($DG1294=1,COUNTIFS($F$8:$F$1600,$F1294,$DE$8:$DE$1600,1),0)</f>
        <v/>
      </c>
      <c r="DJ1294" s="84">
        <f>IF($DG1294=1,$DH1294+(100000-ROW())/mTieBreak,0)</f>
        <v/>
      </c>
    </row>
    <row r="1295">
      <c r="B1295" s="68" t="n">
        <v>62</v>
      </c>
      <c r="C1295" s="69" t="inlineStr">
        <is>
          <t>UBS18C12</t>
        </is>
      </c>
      <c r="D1295" s="69" t="inlineStr">
        <is>
          <t>62.000</t>
        </is>
      </c>
      <c r="E1295" s="69" t="inlineStr">
        <is>
          <t>Zavarella Industrial</t>
        </is>
      </c>
      <c r="F1295" s="69" t="inlineStr">
        <is>
          <t>LNUBS18C12-62.000</t>
        </is>
      </c>
      <c r="G1295" s="70" t="n"/>
      <c r="H1295" s="71" t="n">
        <v>3400000</v>
      </c>
      <c r="I1295" s="71" t="n">
        <v>0</v>
      </c>
      <c r="J1295" s="72" t="n">
        <v>5.75</v>
      </c>
      <c r="K1295" s="69" t="inlineStr">
        <is>
          <t>Fixed rate</t>
        </is>
      </c>
      <c r="L1295" s="68" t="n">
        <v>120</v>
      </c>
      <c r="M1295" s="68" t="n"/>
      <c r="N1295" s="68" t="n">
        <v>360</v>
      </c>
      <c r="O1295" s="68" t="n"/>
      <c r="P1295" s="68" t="n"/>
      <c r="Q1295" s="68" t="n"/>
      <c r="R1295" s="69" t="n"/>
      <c r="S1295" s="69" t="inlineStr">
        <is>
          <t>No</t>
        </is>
      </c>
      <c r="T1295" s="73" t="n">
        <v>43313</v>
      </c>
      <c r="U1295" s="73" t="n">
        <v>46966</v>
      </c>
      <c r="V1295" s="73" t="n"/>
      <c r="W1295" s="69" t="n"/>
      <c r="X1295" s="69" t="inlineStr">
        <is>
          <t>Current</t>
        </is>
      </c>
      <c r="Y1295" s="68" t="n"/>
      <c r="Z1295" s="69" t="inlineStr">
        <is>
          <t>No Defeasance Occurred</t>
        </is>
      </c>
      <c r="AA1295" s="69" t="inlineStr">
        <is>
          <t>Previously</t>
        </is>
      </c>
      <c r="AB1295" s="69" t="inlineStr">
        <is>
          <t>Currently special serv</t>
        </is>
      </c>
      <c r="AC1295" s="73" t="n">
        <v>45903</v>
      </c>
      <c r="AD1295" s="69" t="inlineStr">
        <is>
          <t>Payment Default (all payments excluding Balloon/Maturity Payment)</t>
        </is>
      </c>
      <c r="AE1295" s="69" t="inlineStr">
        <is>
          <t>Other</t>
        </is>
      </c>
      <c r="AF1295" s="69" t="inlineStr">
        <is>
          <t>OH</t>
        </is>
      </c>
      <c r="AG1295" s="69" t="inlineStr">
        <is>
          <t>Warrensville Heights</t>
        </is>
      </c>
      <c r="AH1295" s="69" t="inlineStr">
        <is>
          <t>Cleveland, OH</t>
        </is>
      </c>
      <c r="AI1295" s="69" t="inlineStr">
        <is>
          <t>Midwest / Central East</t>
        </is>
      </c>
      <c r="AJ1295" s="69" t="inlineStr">
        <is>
          <t>IN</t>
        </is>
      </c>
      <c r="AK1295" s="69" t="inlineStr">
        <is>
          <t>Flex</t>
        </is>
      </c>
      <c r="AL1295" s="68" t="n">
        <v>1</v>
      </c>
      <c r="AM1295" s="68" t="n"/>
      <c r="AN1295" s="68" t="n">
        <v>58430</v>
      </c>
      <c r="AO1295" s="69" t="inlineStr">
        <is>
          <t>1964, 2001</t>
        </is>
      </c>
      <c r="AP1295" s="70" t="n">
        <v>2001</v>
      </c>
      <c r="AQ1295" s="74" t="n">
        <v>1.4</v>
      </c>
      <c r="AR1295" s="74" t="n">
        <v>2.78</v>
      </c>
      <c r="AS1295" s="74" t="n">
        <v>64.8</v>
      </c>
      <c r="AT1295" s="74" t="n"/>
      <c r="AU1295" s="74" t="n">
        <v>54.5</v>
      </c>
      <c r="AV1295" s="74" t="n">
        <v>9.831702353000001</v>
      </c>
      <c r="AW1295" s="74" t="n"/>
      <c r="AX1295" s="75" t="n">
        <v>100</v>
      </c>
      <c r="AY1295" s="71" t="n">
        <v>5250000</v>
      </c>
      <c r="AZ1295" s="71" t="n">
        <v>5250000</v>
      </c>
      <c r="BA1295" s="71" t="n">
        <v>334277.88</v>
      </c>
      <c r="BB1295" s="71" t="n">
        <v>165616.16</v>
      </c>
      <c r="BC1295" s="69" t="inlineStr">
        <is>
          <t>Refinance</t>
        </is>
      </c>
      <c r="BD1295" s="69" t="inlineStr">
        <is>
          <t>N</t>
        </is>
      </c>
      <c r="BE1295" s="71" t="n"/>
      <c r="BF1295" s="71" t="n"/>
      <c r="BG1295" s="71" t="n"/>
      <c r="BH1295" s="71" t="n">
        <v>0</v>
      </c>
      <c r="BI1295" s="71" t="n">
        <v>0</v>
      </c>
      <c r="BJ1295" s="69" t="inlineStr">
        <is>
          <t>N</t>
        </is>
      </c>
      <c r="BK1295" s="69" t="inlineStr">
        <is>
          <t>Gino's Awards Inc.</t>
        </is>
      </c>
      <c r="BL1295" s="75" t="n">
        <v>64.48</v>
      </c>
      <c r="BM1295" s="73" t="n">
        <v>48304</v>
      </c>
      <c r="BN1295" s="69" t="inlineStr">
        <is>
          <t>Gino Zavarella; Gino Zavarella</t>
        </is>
      </c>
      <c r="BO1295" s="69" t="inlineStr">
        <is>
          <t>CIBC</t>
        </is>
      </c>
      <c r="BP1295" s="69" t="inlineStr">
        <is>
          <t>Midland Loan Services</t>
        </is>
      </c>
      <c r="BQ1295" s="69" t="inlineStr">
        <is>
          <t>K-Star Asset Management LLC</t>
        </is>
      </c>
      <c r="BR1295" s="69" t="inlineStr">
        <is>
          <t>Payoff With Yield Maintenance</t>
        </is>
      </c>
      <c r="BS1295" s="73" t="n">
        <v>45944</v>
      </c>
      <c r="BU1295" s="76">
        <f>IF($C1295="","",IFERROR(INDEX(dmName,MATCH($C1295,dmID,0)),"Unmapped"))</f>
        <v/>
      </c>
      <c r="BV1295" s="76">
        <f>IF($C1295="","",IFERROR(INDEX(dmEntity,MATCH($C1295,dmID,0)),"Unmapped"))</f>
        <v/>
      </c>
      <c r="BW1295" s="77">
        <f>IF($C1295="","",IFERROR(INDEX(dmVintage,MATCH($C1295,dmID,0)),""))</f>
        <v/>
      </c>
      <c r="BX1295" s="78">
        <f>IFERROR(INDEX(dmInclude,MATCH($C1295,dmID,0)),0)</f>
        <v/>
      </c>
      <c r="BY1295" s="78">
        <f>IF(N($I1295)&gt;0,1,0)</f>
        <v/>
      </c>
      <c r="BZ1295" s="76">
        <f>IF($AJ1295="","Other / Leased Fee",IFERROR(INDEX(mapPTGroup,MATCH(LEFT(TRIM($AJ1295),2),mapPTCode,0)),"Other / Leased Fee"))</f>
        <v/>
      </c>
      <c r="CA1295" s="76">
        <f>IF(TRIM($AF1295&amp;"")="","NR",LEFT(TRIM($AF1295),2))</f>
        <v/>
      </c>
      <c r="CB1295" s="76">
        <f>IFERROR(LOOKUP(2,1/(LEFT(TRIM($AI1295&amp;""),LEN(mapRegion))=mapRegion),mapRegion),"Not Reported")</f>
        <v/>
      </c>
      <c r="CC1295" s="76">
        <f>IF($BY1295=0,"",IF(TRIM($W1295&amp;"")="REO","REO",IF(TRIM($W1295&amp;"")="FC","Foreclosure",IF(TRIM($W1295&amp;"")="90+","90+ Days Delinquent",IF(TRIM($W1295&amp;"")="60","60 Days Delinquent",IF(TRIM($W1295&amp;"")="30","30 Days Delinquent",IF($X1295="Non-Performing Matured Balloon","Non-Performing Matured Balloon",IF(OR($X1295="Late Payment But Less Than 30 Days Delinquent",LEFT($X1295&amp;"",20)="Payment Not Received"),"Late / In Grace (&lt;30 Days)",IF($X1295="Performing Matured Balloon","Performing Matured Balloon","Current")))))))))</f>
        <v/>
      </c>
      <c r="CD1295" s="78">
        <f>IF(OR($CC1295="REO",$CC1295="Foreclosure",$CC1295="90+ Days Delinquent",$CC1295="60 Days Delinquent",$CC1295="30 Days Delinquent",$CC1295="Non-Performing Matured Balloon"),1,0)</f>
        <v/>
      </c>
      <c r="CE1295" s="76">
        <f>IF($AB1295="Currently special serv","Currently Specially Serviced",IF($AB1295="Returned to master serv","Previously Specially Serviced","Never Specially Serviced"))</f>
        <v/>
      </c>
      <c r="CF1295" s="78">
        <f>IF($CE1295="Currently Specially Serviced",1,0)</f>
        <v/>
      </c>
      <c r="CG1295" s="76">
        <f>IF($AA1295="Yes","Currently on Watchlist",IF($AA1295="Previously","Previously on Watchlist","Never on Watchlist"))</f>
        <v/>
      </c>
      <c r="CH1295" s="78">
        <f>IF($CG1295="Currently on Watchlist",1,0)</f>
        <v/>
      </c>
      <c r="CI1295" s="76">
        <f>IF($Z1295="Full Defeasance","Fully Defeased",IF($Z1295="Portion Of Loan Previously Defeased","Partially Defeased",IF($Z1295="Defeasance Not Allowable","Not Defeased (Not Permitted)","Not Defeased")))</f>
        <v/>
      </c>
      <c r="CJ1295" s="78">
        <f>IF($CI1295="Fully Defeased",1,0)</f>
        <v/>
      </c>
      <c r="CK1295" s="76">
        <f>IF($R1295="IO","Full IO",IF(LEFT($R1295&amp;"",7)="IO then","Partial IO","Amortizing"))</f>
        <v/>
      </c>
      <c r="CL1295" s="78">
        <f>IF($CK1295="Full IO",1,0)</f>
        <v/>
      </c>
      <c r="CM1295" s="78">
        <f>IF($CK1295="Partial IO",1,0)</f>
        <v/>
      </c>
      <c r="CN1295" s="76">
        <f>IF(LEFT($F1295&amp;"",10)="SPLIT_LOAN","Pari Passu Split","Standalone")</f>
        <v/>
      </c>
      <c r="CO1295" s="78">
        <f>IF($CN1295="Pari Passu Split",1,0)</f>
        <v/>
      </c>
      <c r="CP1295" s="77">
        <f>IF(ISNUMBER($T1295),YEAR($T1295),"")</f>
        <v/>
      </c>
      <c r="CQ1295" s="79">
        <f>IF(ISNUMBER($V1295),$V1295,IF(ISNUMBER($U1295),$U1295,""))</f>
        <v/>
      </c>
      <c r="CR1295" s="77">
        <f>IF(ISNUMBER($CQ1295),YEAR($CQ1295),"")</f>
        <v/>
      </c>
      <c r="CS1295" s="78">
        <f>IF(ISNUMBER($M1295),MAX(0,$M1295),IF(TRIM($M1295&amp;"")="matured",0,""))</f>
        <v/>
      </c>
      <c r="CT1295" s="78">
        <f>IF(AND(ISNUMBER($CS1295),N($CS1295)&lt;=mMatWindow),1,0)</f>
        <v/>
      </c>
      <c r="CU1295" s="80">
        <f>IF(ISNUMBER($J1295),$J1295/100,"")</f>
        <v/>
      </c>
      <c r="CV1295" s="81">
        <f>IF(ISNUMBER($AQ1295),$AQ1295,"")</f>
        <v/>
      </c>
      <c r="CW1295" s="81">
        <f>IF(ISNUMBER($AR1295),$AR1295,"")</f>
        <v/>
      </c>
      <c r="CX1295" s="82">
        <f>IF(ISNUMBER($AS1295),$AS1295/100,"")</f>
        <v/>
      </c>
      <c r="CY1295" s="82">
        <f>IF(ISNUMBER($AT1295),$AT1295/100,"")</f>
        <v/>
      </c>
      <c r="CZ1295" s="82">
        <f>IF(ISNUMBER($AU1295),$AU1295/100,"")</f>
        <v/>
      </c>
      <c r="DA1295" s="82">
        <f>IF(ISNUMBER($AV1295),$AV1295/100,"")</f>
        <v/>
      </c>
      <c r="DB1295" s="82">
        <f>IF(ISNUMBER($AW1295),$AW1295/100,"")</f>
        <v/>
      </c>
      <c r="DC1295" s="82">
        <f>IF(ISNUMBER($AX1295),$AX1295/100,"")</f>
        <v/>
      </c>
      <c r="DD1295" s="77">
        <f>IFERROR(VALUE(LEFT(TRIM($AO1295&amp;""),4)),"")</f>
        <v/>
      </c>
      <c r="DE1295" s="78">
        <f>IF(AND($BY1295=1,$BX1295=1,OR(fDeal="All Deals",$BU1295=fDeal),OR(fEntity="All Entities",$BV1295=fEntity),OR(fPType="All Property Types",$BZ1295=fPType),OR(fDefeased="Include",$CJ1295=0)),1,0)</f>
        <v/>
      </c>
      <c r="DF1295" s="83">
        <f>$DE1295*N($I1295)</f>
        <v/>
      </c>
      <c r="DG1295" s="78">
        <f>IF($DE1295=1,IF(COUNTIFS($F$8:$F1295,$F1295,$DE$8:$DE1295,1)=1,1,0),0)</f>
        <v/>
      </c>
      <c r="DH1295" s="83">
        <f>IF($DG1295=1,SUMIFS($DF$8:$DF$1600,$F$8:$F$1600,$F1295),0)</f>
        <v/>
      </c>
      <c r="DI1295" s="78">
        <f>IF($DG1295=1,COUNTIFS($F$8:$F$1600,$F1295,$DE$8:$DE$1600,1),0)</f>
        <v/>
      </c>
      <c r="DJ1295" s="84">
        <f>IF($DG1295=1,$DH1295+(100000-ROW())/mTieBreak,0)</f>
        <v/>
      </c>
    </row>
    <row r="1296">
      <c r="B1296" s="68" t="n">
        <v>63</v>
      </c>
      <c r="C1296" s="69" t="inlineStr">
        <is>
          <t>UBS18C12</t>
        </is>
      </c>
      <c r="D1296" s="69" t="inlineStr">
        <is>
          <t>63.000</t>
        </is>
      </c>
      <c r="E1296" s="69" t="inlineStr">
        <is>
          <t>42 Corporate Park</t>
        </is>
      </c>
      <c r="F1296" s="69" t="inlineStr">
        <is>
          <t>LNUBS18C12-63.000</t>
        </is>
      </c>
      <c r="G1296" s="70" t="n"/>
      <c r="H1296" s="71" t="n">
        <v>2700000</v>
      </c>
      <c r="I1296" s="71" t="n">
        <v>2700000</v>
      </c>
      <c r="J1296" s="72" t="n">
        <v>4.77</v>
      </c>
      <c r="K1296" s="69" t="inlineStr">
        <is>
          <t>Fixed rate</t>
        </is>
      </c>
      <c r="L1296" s="68" t="n">
        <v>120</v>
      </c>
      <c r="M1296" s="68" t="n">
        <v>23</v>
      </c>
      <c r="N1296" s="68" t="n">
        <v>120</v>
      </c>
      <c r="O1296" s="68" t="n">
        <v>120</v>
      </c>
      <c r="P1296" s="68" t="n">
        <v>23</v>
      </c>
      <c r="Q1296" s="68" t="n">
        <v>97</v>
      </c>
      <c r="R1296" s="69" t="inlineStr">
        <is>
          <t>IO</t>
        </is>
      </c>
      <c r="S1296" s="69" t="inlineStr">
        <is>
          <t>Yes</t>
        </is>
      </c>
      <c r="T1296" s="73" t="n">
        <v>43313</v>
      </c>
      <c r="U1296" s="73" t="n">
        <v>46966</v>
      </c>
      <c r="V1296" s="73" t="n"/>
      <c r="W1296" s="69" t="n"/>
      <c r="X1296" s="69" t="inlineStr">
        <is>
          <t>Current</t>
        </is>
      </c>
      <c r="Y1296" s="68" t="n"/>
      <c r="Z1296" s="69" t="inlineStr">
        <is>
          <t>Defeasance Not Allowable</t>
        </is>
      </c>
      <c r="AA1296" s="69" t="inlineStr">
        <is>
          <t>Previously</t>
        </is>
      </c>
      <c r="AB1296" s="69" t="inlineStr">
        <is>
          <t>Never special serv</t>
        </is>
      </c>
      <c r="AC1296" s="73" t="n"/>
      <c r="AD1296" s="69" t="n"/>
      <c r="AE1296" s="69" t="n"/>
      <c r="AF1296" s="69" t="inlineStr">
        <is>
          <t>CA</t>
        </is>
      </c>
      <c r="AG1296" s="69" t="inlineStr">
        <is>
          <t>Irvine</t>
        </is>
      </c>
      <c r="AH1296" s="69" t="inlineStr">
        <is>
          <t>Los Angeles-Long Beach-Anaheim, CA</t>
        </is>
      </c>
      <c r="AI1296" s="69" t="inlineStr">
        <is>
          <t>West / Pacific South</t>
        </is>
      </c>
      <c r="AJ1296" s="69" t="inlineStr">
        <is>
          <t>OF</t>
        </is>
      </c>
      <c r="AK1296" s="69" t="inlineStr">
        <is>
          <t>Suburban</t>
        </is>
      </c>
      <c r="AL1296" s="68" t="n">
        <v>1</v>
      </c>
      <c r="AM1296" s="68" t="n"/>
      <c r="AN1296" s="68" t="n">
        <v>18929</v>
      </c>
      <c r="AO1296" s="69" t="inlineStr">
        <is>
          <t>1985</t>
        </is>
      </c>
      <c r="AP1296" s="70" t="n">
        <v>2017</v>
      </c>
      <c r="AQ1296" s="74" t="n">
        <v>2.09</v>
      </c>
      <c r="AR1296" s="74" t="n">
        <v>1.91</v>
      </c>
      <c r="AS1296" s="74" t="n">
        <v>54</v>
      </c>
      <c r="AT1296" s="74" t="n">
        <v>54</v>
      </c>
      <c r="AU1296" s="74" t="n">
        <v>54</v>
      </c>
      <c r="AV1296" s="74" t="n">
        <v>10.089835556</v>
      </c>
      <c r="AW1296" s="74" t="n">
        <v>9.255125926</v>
      </c>
      <c r="AX1296" s="75" t="n">
        <v>100</v>
      </c>
      <c r="AY1296" s="71" t="n">
        <v>5000000</v>
      </c>
      <c r="AZ1296" s="71" t="n">
        <v>5000000</v>
      </c>
      <c r="BA1296" s="71" t="n">
        <v>272425.56</v>
      </c>
      <c r="BB1296" s="71" t="n">
        <v>249888.4</v>
      </c>
      <c r="BC1296" s="69" t="inlineStr">
        <is>
          <t>Refinance</t>
        </is>
      </c>
      <c r="BD1296" s="69" t="inlineStr">
        <is>
          <t>N</t>
        </is>
      </c>
      <c r="BE1296" s="71" t="n"/>
      <c r="BF1296" s="71" t="n"/>
      <c r="BG1296" s="71" t="n"/>
      <c r="BH1296" s="71" t="n">
        <v>0</v>
      </c>
      <c r="BI1296" s="71" t="n">
        <v>0</v>
      </c>
      <c r="BJ1296" s="69" t="inlineStr">
        <is>
          <t>N</t>
        </is>
      </c>
      <c r="BK1296" s="69" t="inlineStr">
        <is>
          <t>AERONET WORLDWIDE CALIF. CORP</t>
        </is>
      </c>
      <c r="BL1296" s="75" t="n">
        <v>50.57</v>
      </c>
      <c r="BM1296" s="73" t="n">
        <v>47208</v>
      </c>
      <c r="BN1296" s="69" t="inlineStr">
        <is>
          <t>Peter Snowden; Kevin S. Pitts</t>
        </is>
      </c>
      <c r="BO1296" s="69" t="inlineStr">
        <is>
          <t>CIBC</t>
        </is>
      </c>
      <c r="BP1296" s="69" t="inlineStr">
        <is>
          <t>Midland Loan Services</t>
        </is>
      </c>
      <c r="BQ1296" s="69" t="inlineStr">
        <is>
          <t>K-Star Asset Management LLC</t>
        </is>
      </c>
      <c r="BR1296" s="69" t="n"/>
      <c r="BS1296" s="73" t="n">
        <v>46276</v>
      </c>
      <c r="BU1296" s="76">
        <f>IF($C1296="","",IFERROR(INDEX(dmName,MATCH($C1296,dmID,0)),"Unmapped"))</f>
        <v/>
      </c>
      <c r="BV1296" s="76">
        <f>IF($C1296="","",IFERROR(INDEX(dmEntity,MATCH($C1296,dmID,0)),"Unmapped"))</f>
        <v/>
      </c>
      <c r="BW1296" s="77">
        <f>IF($C1296="","",IFERROR(INDEX(dmVintage,MATCH($C1296,dmID,0)),""))</f>
        <v/>
      </c>
      <c r="BX1296" s="78">
        <f>IFERROR(INDEX(dmInclude,MATCH($C1296,dmID,0)),0)</f>
        <v/>
      </c>
      <c r="BY1296" s="78">
        <f>IF(N($I1296)&gt;0,1,0)</f>
        <v/>
      </c>
      <c r="BZ1296" s="76">
        <f>IF($AJ1296="","Other / Leased Fee",IFERROR(INDEX(mapPTGroup,MATCH(LEFT(TRIM($AJ1296),2),mapPTCode,0)),"Other / Leased Fee"))</f>
        <v/>
      </c>
      <c r="CA1296" s="76">
        <f>IF(TRIM($AF1296&amp;"")="","NR",LEFT(TRIM($AF1296),2))</f>
        <v/>
      </c>
      <c r="CB1296" s="76">
        <f>IFERROR(LOOKUP(2,1/(LEFT(TRIM($AI1296&amp;""),LEN(mapRegion))=mapRegion),mapRegion),"Not Reported")</f>
        <v/>
      </c>
      <c r="CC1296" s="76">
        <f>IF($BY1296=0,"",IF(TRIM($W1296&amp;"")="REO","REO",IF(TRIM($W1296&amp;"")="FC","Foreclosure",IF(TRIM($W1296&amp;"")="90+","90+ Days Delinquent",IF(TRIM($W1296&amp;"")="60","60 Days Delinquent",IF(TRIM($W1296&amp;"")="30","30 Days Delinquent",IF($X1296="Non-Performing Matured Balloon","Non-Performing Matured Balloon",IF(OR($X1296="Late Payment But Less Than 30 Days Delinquent",LEFT($X1296&amp;"",20)="Payment Not Received"),"Late / In Grace (&lt;30 Days)",IF($X1296="Performing Matured Balloon","Performing Matured Balloon","Current")))))))))</f>
        <v/>
      </c>
      <c r="CD1296" s="78">
        <f>IF(OR($CC1296="REO",$CC1296="Foreclosure",$CC1296="90+ Days Delinquent",$CC1296="60 Days Delinquent",$CC1296="30 Days Delinquent",$CC1296="Non-Performing Matured Balloon"),1,0)</f>
        <v/>
      </c>
      <c r="CE1296" s="76">
        <f>IF($AB1296="Currently special serv","Currently Specially Serviced",IF($AB1296="Returned to master serv","Previously Specially Serviced","Never Specially Serviced"))</f>
        <v/>
      </c>
      <c r="CF1296" s="78">
        <f>IF($CE1296="Currently Specially Serviced",1,0)</f>
        <v/>
      </c>
      <c r="CG1296" s="76">
        <f>IF($AA1296="Yes","Currently on Watchlist",IF($AA1296="Previously","Previously on Watchlist","Never on Watchlist"))</f>
        <v/>
      </c>
      <c r="CH1296" s="78">
        <f>IF($CG1296="Currently on Watchlist",1,0)</f>
        <v/>
      </c>
      <c r="CI1296" s="76">
        <f>IF($Z1296="Full Defeasance","Fully Defeased",IF($Z1296="Portion Of Loan Previously Defeased","Partially Defeased",IF($Z1296="Defeasance Not Allowable","Not Defeased (Not Permitted)","Not Defeased")))</f>
        <v/>
      </c>
      <c r="CJ1296" s="78">
        <f>IF($CI1296="Fully Defeased",1,0)</f>
        <v/>
      </c>
      <c r="CK1296" s="76">
        <f>IF($R1296="IO","Full IO",IF(LEFT($R1296&amp;"",7)="IO then","Partial IO","Amortizing"))</f>
        <v/>
      </c>
      <c r="CL1296" s="78">
        <f>IF($CK1296="Full IO",1,0)</f>
        <v/>
      </c>
      <c r="CM1296" s="78">
        <f>IF($CK1296="Partial IO",1,0)</f>
        <v/>
      </c>
      <c r="CN1296" s="76">
        <f>IF(LEFT($F1296&amp;"",10)="SPLIT_LOAN","Pari Passu Split","Standalone")</f>
        <v/>
      </c>
      <c r="CO1296" s="78">
        <f>IF($CN1296="Pari Passu Split",1,0)</f>
        <v/>
      </c>
      <c r="CP1296" s="77">
        <f>IF(ISNUMBER($T1296),YEAR($T1296),"")</f>
        <v/>
      </c>
      <c r="CQ1296" s="79">
        <f>IF(ISNUMBER($V1296),$V1296,IF(ISNUMBER($U1296),$U1296,""))</f>
        <v/>
      </c>
      <c r="CR1296" s="77">
        <f>IF(ISNUMBER($CQ1296),YEAR($CQ1296),"")</f>
        <v/>
      </c>
      <c r="CS1296" s="78">
        <f>IF(ISNUMBER($M1296),MAX(0,$M1296),IF(TRIM($M1296&amp;"")="matured",0,""))</f>
        <v/>
      </c>
      <c r="CT1296" s="78">
        <f>IF(AND(ISNUMBER($CS1296),N($CS1296)&lt;=mMatWindow),1,0)</f>
        <v/>
      </c>
      <c r="CU1296" s="80">
        <f>IF(ISNUMBER($J1296),$J1296/100,"")</f>
        <v/>
      </c>
      <c r="CV1296" s="81">
        <f>IF(ISNUMBER($AQ1296),$AQ1296,"")</f>
        <v/>
      </c>
      <c r="CW1296" s="81">
        <f>IF(ISNUMBER($AR1296),$AR1296,"")</f>
        <v/>
      </c>
      <c r="CX1296" s="82">
        <f>IF(ISNUMBER($AS1296),$AS1296/100,"")</f>
        <v/>
      </c>
      <c r="CY1296" s="82">
        <f>IF(ISNUMBER($AT1296),$AT1296/100,"")</f>
        <v/>
      </c>
      <c r="CZ1296" s="82">
        <f>IF(ISNUMBER($AU1296),$AU1296/100,"")</f>
        <v/>
      </c>
      <c r="DA1296" s="82">
        <f>IF(ISNUMBER($AV1296),$AV1296/100,"")</f>
        <v/>
      </c>
      <c r="DB1296" s="82">
        <f>IF(ISNUMBER($AW1296),$AW1296/100,"")</f>
        <v/>
      </c>
      <c r="DC1296" s="82">
        <f>IF(ISNUMBER($AX1296),$AX1296/100,"")</f>
        <v/>
      </c>
      <c r="DD1296" s="77">
        <f>IFERROR(VALUE(LEFT(TRIM($AO1296&amp;""),4)),"")</f>
        <v/>
      </c>
      <c r="DE1296" s="78">
        <f>IF(AND($BY1296=1,$BX1296=1,OR(fDeal="All Deals",$BU1296=fDeal),OR(fEntity="All Entities",$BV1296=fEntity),OR(fPType="All Property Types",$BZ1296=fPType),OR(fDefeased="Include",$CJ1296=0)),1,0)</f>
        <v/>
      </c>
      <c r="DF1296" s="83">
        <f>$DE1296*N($I1296)</f>
        <v/>
      </c>
      <c r="DG1296" s="78">
        <f>IF($DE1296=1,IF(COUNTIFS($F$8:$F1296,$F1296,$DE$8:$DE1296,1)=1,1,0),0)</f>
        <v/>
      </c>
      <c r="DH1296" s="83">
        <f>IF($DG1296=1,SUMIFS($DF$8:$DF$1600,$F$8:$F$1600,$F1296),0)</f>
        <v/>
      </c>
      <c r="DI1296" s="78">
        <f>IF($DG1296=1,COUNTIFS($F$8:$F$1600,$F1296,$DE$8:$DE$1600,1),0)</f>
        <v/>
      </c>
      <c r="DJ1296" s="84">
        <f>IF($DG1296=1,$DH1296+(100000-ROW())/mTieBreak,0)</f>
        <v/>
      </c>
    </row>
    <row r="1297">
      <c r="B1297" s="68" t="n">
        <v>64</v>
      </c>
      <c r="C1297" s="69" t="inlineStr">
        <is>
          <t>UBS18C12</t>
        </is>
      </c>
      <c r="D1297" s="69" t="inlineStr">
        <is>
          <t>64.000</t>
        </is>
      </c>
      <c r="E1297" s="69" t="inlineStr">
        <is>
          <t>Dollar General Wonder Lake</t>
        </is>
      </c>
      <c r="F1297" s="69" t="inlineStr">
        <is>
          <t>LNUBS18C12-64.000</t>
        </is>
      </c>
      <c r="G1297" s="70" t="n"/>
      <c r="H1297" s="71" t="n">
        <v>980000</v>
      </c>
      <c r="I1297" s="71" t="n">
        <v>980000</v>
      </c>
      <c r="J1297" s="72" t="n">
        <v>5.7</v>
      </c>
      <c r="K1297" s="69" t="inlineStr">
        <is>
          <t>Fixed rate</t>
        </is>
      </c>
      <c r="L1297" s="68" t="n">
        <v>120</v>
      </c>
      <c r="M1297" s="68" t="n">
        <v>23</v>
      </c>
      <c r="N1297" s="68" t="n">
        <v>120</v>
      </c>
      <c r="O1297" s="68" t="n">
        <v>120</v>
      </c>
      <c r="P1297" s="68" t="n">
        <v>23</v>
      </c>
      <c r="Q1297" s="68" t="n">
        <v>97</v>
      </c>
      <c r="R1297" s="69" t="inlineStr">
        <is>
          <t>IO</t>
        </is>
      </c>
      <c r="S1297" s="69" t="inlineStr">
        <is>
          <t>Yes</t>
        </is>
      </c>
      <c r="T1297" s="73" t="n">
        <v>43313</v>
      </c>
      <c r="U1297" s="73" t="n">
        <v>48797</v>
      </c>
      <c r="V1297" s="73" t="n">
        <v>46971</v>
      </c>
      <c r="W1297" s="69" t="n"/>
      <c r="X1297" s="69" t="inlineStr">
        <is>
          <t>Current</t>
        </is>
      </c>
      <c r="Y1297" s="68" t="n"/>
      <c r="Z1297" s="69" t="inlineStr">
        <is>
          <t>No Defeasance Occurred</t>
        </is>
      </c>
      <c r="AA1297" s="69" t="inlineStr">
        <is>
          <t>Previously</t>
        </is>
      </c>
      <c r="AB1297" s="69" t="inlineStr">
        <is>
          <t>Never special serv</t>
        </is>
      </c>
      <c r="AC1297" s="73" t="n"/>
      <c r="AD1297" s="69" t="n"/>
      <c r="AE1297" s="69" t="n"/>
      <c r="AF1297" s="69" t="inlineStr">
        <is>
          <t>IL</t>
        </is>
      </c>
      <c r="AG1297" s="69" t="inlineStr">
        <is>
          <t>Wonder Lake</t>
        </is>
      </c>
      <c r="AH1297" s="69" t="inlineStr">
        <is>
          <t>Chicago-Naperville-Elgin, IL-IN</t>
        </is>
      </c>
      <c r="AI1297" s="69" t="inlineStr">
        <is>
          <t>Midwest / Central East</t>
        </is>
      </c>
      <c r="AJ1297" s="69" t="inlineStr">
        <is>
          <t>RT</t>
        </is>
      </c>
      <c r="AK1297" s="69" t="inlineStr">
        <is>
          <t>Single Tenant</t>
        </is>
      </c>
      <c r="AL1297" s="68" t="n">
        <v>1</v>
      </c>
      <c r="AM1297" s="68" t="n"/>
      <c r="AN1297" s="68" t="n">
        <v>9100</v>
      </c>
      <c r="AO1297" s="69" t="inlineStr">
        <is>
          <t>2017</t>
        </is>
      </c>
      <c r="AP1297" s="70" t="n">
        <v>2017</v>
      </c>
      <c r="AQ1297" s="74" t="n">
        <v>1.48</v>
      </c>
      <c r="AR1297" s="74" t="n">
        <v>1.58</v>
      </c>
      <c r="AS1297" s="74" t="n">
        <v>70</v>
      </c>
      <c r="AT1297" s="74" t="n">
        <v>70</v>
      </c>
      <c r="AU1297" s="74" t="n">
        <v>70</v>
      </c>
      <c r="AV1297" s="74" t="n">
        <v>8.552899999999999</v>
      </c>
      <c r="AW1297" s="74" t="n">
        <v>9.154077551</v>
      </c>
      <c r="AX1297" s="75" t="n">
        <v>100</v>
      </c>
      <c r="AY1297" s="71" t="n">
        <v>1400000</v>
      </c>
      <c r="AZ1297" s="71" t="n">
        <v>1400000</v>
      </c>
      <c r="BA1297" s="71" t="n">
        <v>83818.42</v>
      </c>
      <c r="BB1297" s="71" t="n">
        <v>89709.96000000001</v>
      </c>
      <c r="BC1297" s="69" t="inlineStr">
        <is>
          <t>Acquisition</t>
        </is>
      </c>
      <c r="BD1297" s="69" t="inlineStr">
        <is>
          <t>N</t>
        </is>
      </c>
      <c r="BE1297" s="71" t="n"/>
      <c r="BF1297" s="71" t="n"/>
      <c r="BG1297" s="71" t="n"/>
      <c r="BH1297" s="71" t="n">
        <v>0</v>
      </c>
      <c r="BI1297" s="71" t="n">
        <v>0</v>
      </c>
      <c r="BJ1297" s="69" t="inlineStr">
        <is>
          <t>N</t>
        </is>
      </c>
      <c r="BK1297" s="69" t="inlineStr">
        <is>
          <t>DG - Wonder Lake IL</t>
        </is>
      </c>
      <c r="BL1297" s="75" t="n">
        <v>100</v>
      </c>
      <c r="BM1297" s="73" t="n">
        <v>48426</v>
      </c>
      <c r="BN1297" s="69" t="inlineStr">
        <is>
          <t>Ladder Capital CRE Equity LLC</t>
        </is>
      </c>
      <c r="BO1297" s="69" t="inlineStr">
        <is>
          <t>Ladder Capital Finance</t>
        </is>
      </c>
      <c r="BP1297" s="69" t="inlineStr">
        <is>
          <t>Midland Loan Services</t>
        </is>
      </c>
      <c r="BQ1297" s="69" t="inlineStr">
        <is>
          <t>K-Star Asset Management LLC</t>
        </is>
      </c>
      <c r="BR1297" s="69" t="n"/>
      <c r="BS1297" s="73" t="n">
        <v>46276</v>
      </c>
      <c r="BU1297" s="76">
        <f>IF($C1297="","",IFERROR(INDEX(dmName,MATCH($C1297,dmID,0)),"Unmapped"))</f>
        <v/>
      </c>
      <c r="BV1297" s="76">
        <f>IF($C1297="","",IFERROR(INDEX(dmEntity,MATCH($C1297,dmID,0)),"Unmapped"))</f>
        <v/>
      </c>
      <c r="BW1297" s="77">
        <f>IF($C1297="","",IFERROR(INDEX(dmVintage,MATCH($C1297,dmID,0)),""))</f>
        <v/>
      </c>
      <c r="BX1297" s="78">
        <f>IFERROR(INDEX(dmInclude,MATCH($C1297,dmID,0)),0)</f>
        <v/>
      </c>
      <c r="BY1297" s="78">
        <f>IF(N($I1297)&gt;0,1,0)</f>
        <v/>
      </c>
      <c r="BZ1297" s="76">
        <f>IF($AJ1297="","Other / Leased Fee",IFERROR(INDEX(mapPTGroup,MATCH(LEFT(TRIM($AJ1297),2),mapPTCode,0)),"Other / Leased Fee"))</f>
        <v/>
      </c>
      <c r="CA1297" s="76">
        <f>IF(TRIM($AF1297&amp;"")="","NR",LEFT(TRIM($AF1297),2))</f>
        <v/>
      </c>
      <c r="CB1297" s="76">
        <f>IFERROR(LOOKUP(2,1/(LEFT(TRIM($AI1297&amp;""),LEN(mapRegion))=mapRegion),mapRegion),"Not Reported")</f>
        <v/>
      </c>
      <c r="CC1297" s="76">
        <f>IF($BY1297=0,"",IF(TRIM($W1297&amp;"")="REO","REO",IF(TRIM($W1297&amp;"")="FC","Foreclosure",IF(TRIM($W1297&amp;"")="90+","90+ Days Delinquent",IF(TRIM($W1297&amp;"")="60","60 Days Delinquent",IF(TRIM($W1297&amp;"")="30","30 Days Delinquent",IF($X1297="Non-Performing Matured Balloon","Non-Performing Matured Balloon",IF(OR($X1297="Late Payment But Less Than 30 Days Delinquent",LEFT($X1297&amp;"",20)="Payment Not Received"),"Late / In Grace (&lt;30 Days)",IF($X1297="Performing Matured Balloon","Performing Matured Balloon","Current")))))))))</f>
        <v/>
      </c>
      <c r="CD1297" s="78">
        <f>IF(OR($CC1297="REO",$CC1297="Foreclosure",$CC1297="90+ Days Delinquent",$CC1297="60 Days Delinquent",$CC1297="30 Days Delinquent",$CC1297="Non-Performing Matured Balloon"),1,0)</f>
        <v/>
      </c>
      <c r="CE1297" s="76">
        <f>IF($AB1297="Currently special serv","Currently Specially Serviced",IF($AB1297="Returned to master serv","Previously Specially Serviced","Never Specially Serviced"))</f>
        <v/>
      </c>
      <c r="CF1297" s="78">
        <f>IF($CE1297="Currently Specially Serviced",1,0)</f>
        <v/>
      </c>
      <c r="CG1297" s="76">
        <f>IF($AA1297="Yes","Currently on Watchlist",IF($AA1297="Previously","Previously on Watchlist","Never on Watchlist"))</f>
        <v/>
      </c>
      <c r="CH1297" s="78">
        <f>IF($CG1297="Currently on Watchlist",1,0)</f>
        <v/>
      </c>
      <c r="CI1297" s="76">
        <f>IF($Z1297="Full Defeasance","Fully Defeased",IF($Z1297="Portion Of Loan Previously Defeased","Partially Defeased",IF($Z1297="Defeasance Not Allowable","Not Defeased (Not Permitted)","Not Defeased")))</f>
        <v/>
      </c>
      <c r="CJ1297" s="78">
        <f>IF($CI1297="Fully Defeased",1,0)</f>
        <v/>
      </c>
      <c r="CK1297" s="76">
        <f>IF($R1297="IO","Full IO",IF(LEFT($R1297&amp;"",7)="IO then","Partial IO","Amortizing"))</f>
        <v/>
      </c>
      <c r="CL1297" s="78">
        <f>IF($CK1297="Full IO",1,0)</f>
        <v/>
      </c>
      <c r="CM1297" s="78">
        <f>IF($CK1297="Partial IO",1,0)</f>
        <v/>
      </c>
      <c r="CN1297" s="76">
        <f>IF(LEFT($F1297&amp;"",10)="SPLIT_LOAN","Pari Passu Split","Standalone")</f>
        <v/>
      </c>
      <c r="CO1297" s="78">
        <f>IF($CN1297="Pari Passu Split",1,0)</f>
        <v/>
      </c>
      <c r="CP1297" s="77">
        <f>IF(ISNUMBER($T1297),YEAR($T1297),"")</f>
        <v/>
      </c>
      <c r="CQ1297" s="79">
        <f>IF(ISNUMBER($V1297),$V1297,IF(ISNUMBER($U1297),$U1297,""))</f>
        <v/>
      </c>
      <c r="CR1297" s="77">
        <f>IF(ISNUMBER($CQ1297),YEAR($CQ1297),"")</f>
        <v/>
      </c>
      <c r="CS1297" s="78">
        <f>IF(ISNUMBER($M1297),MAX(0,$M1297),IF(TRIM($M1297&amp;"")="matured",0,""))</f>
        <v/>
      </c>
      <c r="CT1297" s="78">
        <f>IF(AND(ISNUMBER($CS1297),N($CS1297)&lt;=mMatWindow),1,0)</f>
        <v/>
      </c>
      <c r="CU1297" s="80">
        <f>IF(ISNUMBER($J1297),$J1297/100,"")</f>
        <v/>
      </c>
      <c r="CV1297" s="81">
        <f>IF(ISNUMBER($AQ1297),$AQ1297,"")</f>
        <v/>
      </c>
      <c r="CW1297" s="81">
        <f>IF(ISNUMBER($AR1297),$AR1297,"")</f>
        <v/>
      </c>
      <c r="CX1297" s="82">
        <f>IF(ISNUMBER($AS1297),$AS1297/100,"")</f>
        <v/>
      </c>
      <c r="CY1297" s="82">
        <f>IF(ISNUMBER($AT1297),$AT1297/100,"")</f>
        <v/>
      </c>
      <c r="CZ1297" s="82">
        <f>IF(ISNUMBER($AU1297),$AU1297/100,"")</f>
        <v/>
      </c>
      <c r="DA1297" s="82">
        <f>IF(ISNUMBER($AV1297),$AV1297/100,"")</f>
        <v/>
      </c>
      <c r="DB1297" s="82">
        <f>IF(ISNUMBER($AW1297),$AW1297/100,"")</f>
        <v/>
      </c>
      <c r="DC1297" s="82">
        <f>IF(ISNUMBER($AX1297),$AX1297/100,"")</f>
        <v/>
      </c>
      <c r="DD1297" s="77">
        <f>IFERROR(VALUE(LEFT(TRIM($AO1297&amp;""),4)),"")</f>
        <v/>
      </c>
      <c r="DE1297" s="78">
        <f>IF(AND($BY1297=1,$BX1297=1,OR(fDeal="All Deals",$BU1297=fDeal),OR(fEntity="All Entities",$BV1297=fEntity),OR(fPType="All Property Types",$BZ1297=fPType),OR(fDefeased="Include",$CJ1297=0)),1,0)</f>
        <v/>
      </c>
      <c r="DF1297" s="83">
        <f>$DE1297*N($I1297)</f>
        <v/>
      </c>
      <c r="DG1297" s="78">
        <f>IF($DE1297=1,IF(COUNTIFS($F$8:$F1297,$F1297,$DE$8:$DE1297,1)=1,1,0),0)</f>
        <v/>
      </c>
      <c r="DH1297" s="83">
        <f>IF($DG1297=1,SUMIFS($DF$8:$DF$1600,$F$8:$F$1600,$F1297),0)</f>
        <v/>
      </c>
      <c r="DI1297" s="78">
        <f>IF($DG1297=1,COUNTIFS($F$8:$F$1600,$F1297,$DE$8:$DE$1600,1),0)</f>
        <v/>
      </c>
      <c r="DJ1297" s="84">
        <f>IF($DG1297=1,$DH1297+(100000-ROW())/mTieBreak,0)</f>
        <v/>
      </c>
    </row>
    <row r="1298">
      <c r="B1298" s="68" t="n">
        <v>65</v>
      </c>
      <c r="C1298" s="69" t="inlineStr">
        <is>
          <t>UBS18C12</t>
        </is>
      </c>
      <c r="D1298" s="69" t="inlineStr">
        <is>
          <t>65.000</t>
        </is>
      </c>
      <c r="E1298" s="69" t="inlineStr">
        <is>
          <t>Dollar General Moscow Mills</t>
        </is>
      </c>
      <c r="F1298" s="69" t="inlineStr">
        <is>
          <t>LNUBS18C12-65.000</t>
        </is>
      </c>
      <c r="G1298" s="70" t="n"/>
      <c r="H1298" s="71" t="n">
        <v>931000</v>
      </c>
      <c r="I1298" s="71" t="n">
        <v>931000</v>
      </c>
      <c r="J1298" s="72" t="n">
        <v>5.76</v>
      </c>
      <c r="K1298" s="69" t="inlineStr">
        <is>
          <t>Fixed rate</t>
        </is>
      </c>
      <c r="L1298" s="68" t="n">
        <v>120</v>
      </c>
      <c r="M1298" s="68" t="n">
        <v>23</v>
      </c>
      <c r="N1298" s="68" t="n">
        <v>120</v>
      </c>
      <c r="O1298" s="68" t="n">
        <v>120</v>
      </c>
      <c r="P1298" s="68" t="n">
        <v>23</v>
      </c>
      <c r="Q1298" s="68" t="n">
        <v>97</v>
      </c>
      <c r="R1298" s="69" t="inlineStr">
        <is>
          <t>IO</t>
        </is>
      </c>
      <c r="S1298" s="69" t="inlineStr">
        <is>
          <t>Yes</t>
        </is>
      </c>
      <c r="T1298" s="73" t="n">
        <v>43313</v>
      </c>
      <c r="U1298" s="73" t="n">
        <v>48797</v>
      </c>
      <c r="V1298" s="73" t="n">
        <v>46971</v>
      </c>
      <c r="W1298" s="69" t="n"/>
      <c r="X1298" s="69" t="inlineStr">
        <is>
          <t>Current</t>
        </is>
      </c>
      <c r="Y1298" s="68" t="n"/>
      <c r="Z1298" s="69" t="inlineStr">
        <is>
          <t>No Defeasance Occurred</t>
        </is>
      </c>
      <c r="AA1298" s="69" t="inlineStr">
        <is>
          <t>Previously</t>
        </is>
      </c>
      <c r="AB1298" s="69" t="inlineStr">
        <is>
          <t>Never special serv</t>
        </is>
      </c>
      <c r="AC1298" s="73" t="n"/>
      <c r="AD1298" s="69" t="n"/>
      <c r="AE1298" s="69" t="n"/>
      <c r="AF1298" s="69" t="inlineStr">
        <is>
          <t>MO</t>
        </is>
      </c>
      <c r="AG1298" s="69" t="inlineStr">
        <is>
          <t>Moscow Mills</t>
        </is>
      </c>
      <c r="AH1298" s="69" t="inlineStr">
        <is>
          <t>St. Louis, MO-IL</t>
        </is>
      </c>
      <c r="AI1298" s="69" t="inlineStr">
        <is>
          <t>Midwest / Central West</t>
        </is>
      </c>
      <c r="AJ1298" s="69" t="inlineStr">
        <is>
          <t>RT</t>
        </is>
      </c>
      <c r="AK1298" s="69" t="inlineStr">
        <is>
          <t>Single Tenant</t>
        </is>
      </c>
      <c r="AL1298" s="68" t="n">
        <v>1</v>
      </c>
      <c r="AM1298" s="68" t="n"/>
      <c r="AN1298" s="68" t="n">
        <v>9100</v>
      </c>
      <c r="AO1298" s="69" t="inlineStr">
        <is>
          <t>2018</t>
        </is>
      </c>
      <c r="AP1298" s="70" t="n">
        <v>2018</v>
      </c>
      <c r="AQ1298" s="74" t="n">
        <v>1.52</v>
      </c>
      <c r="AR1298" s="74" t="n">
        <v>1.36</v>
      </c>
      <c r="AS1298" s="74" t="n">
        <v>70</v>
      </c>
      <c r="AT1298" s="74" t="n">
        <v>70</v>
      </c>
      <c r="AU1298" s="74" t="n">
        <v>70</v>
      </c>
      <c r="AV1298" s="74" t="n">
        <v>8.868444683</v>
      </c>
      <c r="AW1298" s="74" t="n">
        <v>7.929199785</v>
      </c>
      <c r="AX1298" s="75" t="n">
        <v>100</v>
      </c>
      <c r="AY1298" s="71" t="n">
        <v>1330000</v>
      </c>
      <c r="AZ1298" s="71" t="n">
        <v>1330000</v>
      </c>
      <c r="BA1298" s="71" t="n">
        <v>82565.22</v>
      </c>
      <c r="BB1298" s="71" t="n">
        <v>73820.85000000001</v>
      </c>
      <c r="BC1298" s="69" t="inlineStr">
        <is>
          <t>Acquisition</t>
        </is>
      </c>
      <c r="BD1298" s="69" t="inlineStr">
        <is>
          <t>N</t>
        </is>
      </c>
      <c r="BE1298" s="71" t="n"/>
      <c r="BF1298" s="71" t="n"/>
      <c r="BG1298" s="71" t="n"/>
      <c r="BH1298" s="71" t="n">
        <v>0</v>
      </c>
      <c r="BI1298" s="71" t="n">
        <v>0</v>
      </c>
      <c r="BJ1298" s="69" t="inlineStr">
        <is>
          <t>N</t>
        </is>
      </c>
      <c r="BK1298" s="69" t="inlineStr">
        <is>
          <t>Dollar General</t>
        </is>
      </c>
      <c r="BL1298" s="75" t="n">
        <v>100</v>
      </c>
      <c r="BM1298" s="73" t="n">
        <v>48610</v>
      </c>
      <c r="BN1298" s="69" t="inlineStr">
        <is>
          <t>Ladder Capital CRE Equity LLC</t>
        </is>
      </c>
      <c r="BO1298" s="69" t="inlineStr">
        <is>
          <t>Ladder Capital Finance</t>
        </is>
      </c>
      <c r="BP1298" s="69" t="inlineStr">
        <is>
          <t>Midland Loan Services</t>
        </is>
      </c>
      <c r="BQ1298" s="69" t="inlineStr">
        <is>
          <t>K-Star Asset Management LLC</t>
        </is>
      </c>
      <c r="BR1298" s="69" t="n"/>
      <c r="BS1298" s="73" t="n">
        <v>46276</v>
      </c>
      <c r="BU1298" s="76">
        <f>IF($C1298="","",IFERROR(INDEX(dmName,MATCH($C1298,dmID,0)),"Unmapped"))</f>
        <v/>
      </c>
      <c r="BV1298" s="76">
        <f>IF($C1298="","",IFERROR(INDEX(dmEntity,MATCH($C1298,dmID,0)),"Unmapped"))</f>
        <v/>
      </c>
      <c r="BW1298" s="77">
        <f>IF($C1298="","",IFERROR(INDEX(dmVintage,MATCH($C1298,dmID,0)),""))</f>
        <v/>
      </c>
      <c r="BX1298" s="78">
        <f>IFERROR(INDEX(dmInclude,MATCH($C1298,dmID,0)),0)</f>
        <v/>
      </c>
      <c r="BY1298" s="78">
        <f>IF(N($I1298)&gt;0,1,0)</f>
        <v/>
      </c>
      <c r="BZ1298" s="76">
        <f>IF($AJ1298="","Other / Leased Fee",IFERROR(INDEX(mapPTGroup,MATCH(LEFT(TRIM($AJ1298),2),mapPTCode,0)),"Other / Leased Fee"))</f>
        <v/>
      </c>
      <c r="CA1298" s="76">
        <f>IF(TRIM($AF1298&amp;"")="","NR",LEFT(TRIM($AF1298),2))</f>
        <v/>
      </c>
      <c r="CB1298" s="76">
        <f>IFERROR(LOOKUP(2,1/(LEFT(TRIM($AI1298&amp;""),LEN(mapRegion))=mapRegion),mapRegion),"Not Reported")</f>
        <v/>
      </c>
      <c r="CC1298" s="76">
        <f>IF($BY1298=0,"",IF(TRIM($W1298&amp;"")="REO","REO",IF(TRIM($W1298&amp;"")="FC","Foreclosure",IF(TRIM($W1298&amp;"")="90+","90+ Days Delinquent",IF(TRIM($W1298&amp;"")="60","60 Days Delinquent",IF(TRIM($W1298&amp;"")="30","30 Days Delinquent",IF($X1298="Non-Performing Matured Balloon","Non-Performing Matured Balloon",IF(OR($X1298="Late Payment But Less Than 30 Days Delinquent",LEFT($X1298&amp;"",20)="Payment Not Received"),"Late / In Grace (&lt;30 Days)",IF($X1298="Performing Matured Balloon","Performing Matured Balloon","Current")))))))))</f>
        <v/>
      </c>
      <c r="CD1298" s="78">
        <f>IF(OR($CC1298="REO",$CC1298="Foreclosure",$CC1298="90+ Days Delinquent",$CC1298="60 Days Delinquent",$CC1298="30 Days Delinquent",$CC1298="Non-Performing Matured Balloon"),1,0)</f>
        <v/>
      </c>
      <c r="CE1298" s="76">
        <f>IF($AB1298="Currently special serv","Currently Specially Serviced",IF($AB1298="Returned to master serv","Previously Specially Serviced","Never Specially Serviced"))</f>
        <v/>
      </c>
      <c r="CF1298" s="78">
        <f>IF($CE1298="Currently Specially Serviced",1,0)</f>
        <v/>
      </c>
      <c r="CG1298" s="76">
        <f>IF($AA1298="Yes","Currently on Watchlist",IF($AA1298="Previously","Previously on Watchlist","Never on Watchlist"))</f>
        <v/>
      </c>
      <c r="CH1298" s="78">
        <f>IF($CG1298="Currently on Watchlist",1,0)</f>
        <v/>
      </c>
      <c r="CI1298" s="76">
        <f>IF($Z1298="Full Defeasance","Fully Defeased",IF($Z1298="Portion Of Loan Previously Defeased","Partially Defeased",IF($Z1298="Defeasance Not Allowable","Not Defeased (Not Permitted)","Not Defeased")))</f>
        <v/>
      </c>
      <c r="CJ1298" s="78">
        <f>IF($CI1298="Fully Defeased",1,0)</f>
        <v/>
      </c>
      <c r="CK1298" s="76">
        <f>IF($R1298="IO","Full IO",IF(LEFT($R1298&amp;"",7)="IO then","Partial IO","Amortizing"))</f>
        <v/>
      </c>
      <c r="CL1298" s="78">
        <f>IF($CK1298="Full IO",1,0)</f>
        <v/>
      </c>
      <c r="CM1298" s="78">
        <f>IF($CK1298="Partial IO",1,0)</f>
        <v/>
      </c>
      <c r="CN1298" s="76">
        <f>IF(LEFT($F1298&amp;"",10)="SPLIT_LOAN","Pari Passu Split","Standalone")</f>
        <v/>
      </c>
      <c r="CO1298" s="78">
        <f>IF($CN1298="Pari Passu Split",1,0)</f>
        <v/>
      </c>
      <c r="CP1298" s="77">
        <f>IF(ISNUMBER($T1298),YEAR($T1298),"")</f>
        <v/>
      </c>
      <c r="CQ1298" s="79">
        <f>IF(ISNUMBER($V1298),$V1298,IF(ISNUMBER($U1298),$U1298,""))</f>
        <v/>
      </c>
      <c r="CR1298" s="77">
        <f>IF(ISNUMBER($CQ1298),YEAR($CQ1298),"")</f>
        <v/>
      </c>
      <c r="CS1298" s="78">
        <f>IF(ISNUMBER($M1298),MAX(0,$M1298),IF(TRIM($M1298&amp;"")="matured",0,""))</f>
        <v/>
      </c>
      <c r="CT1298" s="78">
        <f>IF(AND(ISNUMBER($CS1298),N($CS1298)&lt;=mMatWindow),1,0)</f>
        <v/>
      </c>
      <c r="CU1298" s="80">
        <f>IF(ISNUMBER($J1298),$J1298/100,"")</f>
        <v/>
      </c>
      <c r="CV1298" s="81">
        <f>IF(ISNUMBER($AQ1298),$AQ1298,"")</f>
        <v/>
      </c>
      <c r="CW1298" s="81">
        <f>IF(ISNUMBER($AR1298),$AR1298,"")</f>
        <v/>
      </c>
      <c r="CX1298" s="82">
        <f>IF(ISNUMBER($AS1298),$AS1298/100,"")</f>
        <v/>
      </c>
      <c r="CY1298" s="82">
        <f>IF(ISNUMBER($AT1298),$AT1298/100,"")</f>
        <v/>
      </c>
      <c r="CZ1298" s="82">
        <f>IF(ISNUMBER($AU1298),$AU1298/100,"")</f>
        <v/>
      </c>
      <c r="DA1298" s="82">
        <f>IF(ISNUMBER($AV1298),$AV1298/100,"")</f>
        <v/>
      </c>
      <c r="DB1298" s="82">
        <f>IF(ISNUMBER($AW1298),$AW1298/100,"")</f>
        <v/>
      </c>
      <c r="DC1298" s="82">
        <f>IF(ISNUMBER($AX1298),$AX1298/100,"")</f>
        <v/>
      </c>
      <c r="DD1298" s="77">
        <f>IFERROR(VALUE(LEFT(TRIM($AO1298&amp;""),4)),"")</f>
        <v/>
      </c>
      <c r="DE1298" s="78">
        <f>IF(AND($BY1298=1,$BX1298=1,OR(fDeal="All Deals",$BU1298=fDeal),OR(fEntity="All Entities",$BV1298=fEntity),OR(fPType="All Property Types",$BZ1298=fPType),OR(fDefeased="Include",$CJ1298=0)),1,0)</f>
        <v/>
      </c>
      <c r="DF1298" s="83">
        <f>$DE1298*N($I1298)</f>
        <v/>
      </c>
      <c r="DG1298" s="78">
        <f>IF($DE1298=1,IF(COUNTIFS($F$8:$F1298,$F1298,$DE$8:$DE1298,1)=1,1,0),0)</f>
        <v/>
      </c>
      <c r="DH1298" s="83">
        <f>IF($DG1298=1,SUMIFS($DF$8:$DF$1600,$F$8:$F$1600,$F1298),0)</f>
        <v/>
      </c>
      <c r="DI1298" s="78">
        <f>IF($DG1298=1,COUNTIFS($F$8:$F$1600,$F1298,$DE$8:$DE$1600,1),0)</f>
        <v/>
      </c>
      <c r="DJ1298" s="84">
        <f>IF($DG1298=1,$DH1298+(100000-ROW())/mTieBreak,0)</f>
        <v/>
      </c>
    </row>
    <row r="1299">
      <c r="B1299" s="68" t="n">
        <v>1</v>
      </c>
      <c r="C1299" s="69" t="inlineStr">
        <is>
          <t>CD17CD3</t>
        </is>
      </c>
      <c r="D1299" s="69" t="inlineStr">
        <is>
          <t>1.000</t>
        </is>
      </c>
      <c r="E1299" s="69" t="inlineStr">
        <is>
          <t>229 West 43rd Street Retail Condo</t>
        </is>
      </c>
      <c r="F1299" s="69" t="inlineStr">
        <is>
          <t>SPLIT_LOAN_00911</t>
        </is>
      </c>
      <c r="G1299" s="70" t="n">
        <v>911</v>
      </c>
      <c r="H1299" s="71" t="n">
        <v>100000000</v>
      </c>
      <c r="I1299" s="71" t="n">
        <v>0</v>
      </c>
      <c r="J1299" s="72" t="n">
        <v>4.0055</v>
      </c>
      <c r="K1299" s="69" t="inlineStr">
        <is>
          <t>Fixed rate</t>
        </is>
      </c>
      <c r="L1299" s="68" t="n">
        <v>120</v>
      </c>
      <c r="M1299" s="68" t="n"/>
      <c r="N1299" s="68" t="n">
        <v>120</v>
      </c>
      <c r="O1299" s="68" t="n">
        <v>120</v>
      </c>
      <c r="P1299" s="68" t="n"/>
      <c r="Q1299" s="68" t="n"/>
      <c r="R1299" s="69" t="inlineStr">
        <is>
          <t>IO</t>
        </is>
      </c>
      <c r="S1299" s="69" t="inlineStr">
        <is>
          <t>Yes</t>
        </is>
      </c>
      <c r="T1299" s="73" t="n">
        <v>42675</v>
      </c>
      <c r="U1299" s="73" t="n">
        <v>46332</v>
      </c>
      <c r="V1299" s="73" t="n"/>
      <c r="W1299" s="69" t="n"/>
      <c r="X1299" s="69" t="inlineStr">
        <is>
          <t>Current</t>
        </is>
      </c>
      <c r="Y1299" s="68" t="n"/>
      <c r="Z1299" s="69" t="inlineStr">
        <is>
          <t>No Defeasance Occurred</t>
        </is>
      </c>
      <c r="AA1299" s="69" t="inlineStr">
        <is>
          <t>Previously</t>
        </is>
      </c>
      <c r="AB1299" s="69" t="inlineStr">
        <is>
          <t>Currently special serv</t>
        </is>
      </c>
      <c r="AC1299" s="73" t="n">
        <v>43823</v>
      </c>
      <c r="AD1299" s="69" t="inlineStr">
        <is>
          <t>Imminent Monetary Default (excluding Balloon/Maturity Default &amp; Single Tenant Bankruptcy/Vacate)</t>
        </is>
      </c>
      <c r="AE1299" s="69" t="inlineStr">
        <is>
          <t>REO</t>
        </is>
      </c>
      <c r="AF1299" s="69" t="inlineStr">
        <is>
          <t>NY</t>
        </is>
      </c>
      <c r="AG1299" s="69" t="inlineStr">
        <is>
          <t>New York</t>
        </is>
      </c>
      <c r="AH1299" s="69" t="inlineStr">
        <is>
          <t>New York-Newark-Jersey City, NY-NJ</t>
        </is>
      </c>
      <c r="AI1299" s="69" t="inlineStr">
        <is>
          <t>Northeast / Mid-Atlantic</t>
        </is>
      </c>
      <c r="AJ1299" s="69" t="inlineStr">
        <is>
          <t>RT</t>
        </is>
      </c>
      <c r="AK1299" s="69" t="inlineStr">
        <is>
          <t>Anchored</t>
        </is>
      </c>
      <c r="AL1299" s="68" t="n">
        <v>1</v>
      </c>
      <c r="AM1299" s="68" t="n"/>
      <c r="AN1299" s="68" t="n">
        <v>248457</v>
      </c>
      <c r="AO1299" s="69" t="inlineStr">
        <is>
          <t>1913-1947</t>
        </is>
      </c>
      <c r="AP1299" s="70" t="n">
        <v>2009</v>
      </c>
      <c r="AQ1299" s="74" t="n">
        <v>1.75</v>
      </c>
      <c r="AR1299" s="74" t="n">
        <v>0.9399999999999999</v>
      </c>
      <c r="AS1299" s="74" t="n">
        <v>60.6</v>
      </c>
      <c r="AT1299" s="74" t="n"/>
      <c r="AU1299" s="74" t="n">
        <v>60.6</v>
      </c>
      <c r="AV1299" s="74" t="n">
        <v>7.090405263</v>
      </c>
      <c r="AW1299" s="74" t="n"/>
      <c r="AX1299" s="75" t="n">
        <v>95</v>
      </c>
      <c r="AY1299" s="71" t="n">
        <v>470000000</v>
      </c>
      <c r="AZ1299" s="71" t="n">
        <v>48000000</v>
      </c>
      <c r="BA1299" s="71" t="n">
        <v>20207655</v>
      </c>
      <c r="BB1299" s="71" t="n">
        <v>8142868</v>
      </c>
      <c r="BC1299" s="69" t="inlineStr">
        <is>
          <t>Refinance</t>
        </is>
      </c>
      <c r="BD1299" s="69" t="inlineStr">
        <is>
          <t>N</t>
        </is>
      </c>
      <c r="BE1299" s="71" t="n">
        <v>0</v>
      </c>
      <c r="BF1299" s="71" t="n"/>
      <c r="BG1299" s="71" t="n">
        <v>85000000</v>
      </c>
      <c r="BH1299" s="71" t="n">
        <v>0</v>
      </c>
      <c r="BI1299" s="71" t="n">
        <v>0</v>
      </c>
      <c r="BJ1299" s="69" t="inlineStr">
        <is>
          <t>N</t>
        </is>
      </c>
      <c r="BK1299" s="69" t="inlineStr">
        <is>
          <t>BOWLMOR TIMES SQUARE</t>
        </is>
      </c>
      <c r="BL1299" s="75" t="n">
        <v>31.21</v>
      </c>
      <c r="BM1299" s="73" t="n">
        <v>49156</v>
      </c>
      <c r="BN1299" s="69" t="inlineStr">
        <is>
          <t>Jared Kushner</t>
        </is>
      </c>
      <c r="BO1299" s="69" t="inlineStr">
        <is>
          <t>GACC</t>
        </is>
      </c>
      <c r="BP1299" s="69" t="inlineStr">
        <is>
          <t>Midland Loan Services</t>
        </is>
      </c>
      <c r="BQ1299" s="69" t="inlineStr">
        <is>
          <t>KeyBank National Association</t>
        </is>
      </c>
      <c r="BR1299" s="69" t="inlineStr">
        <is>
          <t>Disposition / Liquidation</t>
        </is>
      </c>
      <c r="BS1299" s="73" t="n">
        <v>46273</v>
      </c>
      <c r="BU1299" s="76">
        <f>IF($C1299="","",IFERROR(INDEX(dmName,MATCH($C1299,dmID,0)),"Unmapped"))</f>
        <v/>
      </c>
      <c r="BV1299" s="76">
        <f>IF($C1299="","",IFERROR(INDEX(dmEntity,MATCH($C1299,dmID,0)),"Unmapped"))</f>
        <v/>
      </c>
      <c r="BW1299" s="77">
        <f>IF($C1299="","",IFERROR(INDEX(dmVintage,MATCH($C1299,dmID,0)),""))</f>
        <v/>
      </c>
      <c r="BX1299" s="78">
        <f>IFERROR(INDEX(dmInclude,MATCH($C1299,dmID,0)),0)</f>
        <v/>
      </c>
      <c r="BY1299" s="78">
        <f>IF(N($I1299)&gt;0,1,0)</f>
        <v/>
      </c>
      <c r="BZ1299" s="76">
        <f>IF($AJ1299="","Other / Leased Fee",IFERROR(INDEX(mapPTGroup,MATCH(LEFT(TRIM($AJ1299),2),mapPTCode,0)),"Other / Leased Fee"))</f>
        <v/>
      </c>
      <c r="CA1299" s="76">
        <f>IF(TRIM($AF1299&amp;"")="","NR",LEFT(TRIM($AF1299),2))</f>
        <v/>
      </c>
      <c r="CB1299" s="76">
        <f>IFERROR(LOOKUP(2,1/(LEFT(TRIM($AI1299&amp;""),LEN(mapRegion))=mapRegion),mapRegion),"Not Reported")</f>
        <v/>
      </c>
      <c r="CC1299" s="76">
        <f>IF($BY1299=0,"",IF(TRIM($W1299&amp;"")="REO","REO",IF(TRIM($W1299&amp;"")="FC","Foreclosure",IF(TRIM($W1299&amp;"")="90+","90+ Days Delinquent",IF(TRIM($W1299&amp;"")="60","60 Days Delinquent",IF(TRIM($W1299&amp;"")="30","30 Days Delinquent",IF($X1299="Non-Performing Matured Balloon","Non-Performing Matured Balloon",IF(OR($X1299="Late Payment But Less Than 30 Days Delinquent",LEFT($X1299&amp;"",20)="Payment Not Received"),"Late / In Grace (&lt;30 Days)",IF($X1299="Performing Matured Balloon","Performing Matured Balloon","Current")))))))))</f>
        <v/>
      </c>
      <c r="CD1299" s="78">
        <f>IF(OR($CC1299="REO",$CC1299="Foreclosure",$CC1299="90+ Days Delinquent",$CC1299="60 Days Delinquent",$CC1299="30 Days Delinquent",$CC1299="Non-Performing Matured Balloon"),1,0)</f>
        <v/>
      </c>
      <c r="CE1299" s="76">
        <f>IF($AB1299="Currently special serv","Currently Specially Serviced",IF($AB1299="Returned to master serv","Previously Specially Serviced","Never Specially Serviced"))</f>
        <v/>
      </c>
      <c r="CF1299" s="78">
        <f>IF($CE1299="Currently Specially Serviced",1,0)</f>
        <v/>
      </c>
      <c r="CG1299" s="76">
        <f>IF($AA1299="Yes","Currently on Watchlist",IF($AA1299="Previously","Previously on Watchlist","Never on Watchlist"))</f>
        <v/>
      </c>
      <c r="CH1299" s="78">
        <f>IF($CG1299="Currently on Watchlist",1,0)</f>
        <v/>
      </c>
      <c r="CI1299" s="76">
        <f>IF($Z1299="Full Defeasance","Fully Defeased",IF($Z1299="Portion Of Loan Previously Defeased","Partially Defeased",IF($Z1299="Defeasance Not Allowable","Not Defeased (Not Permitted)","Not Defeased")))</f>
        <v/>
      </c>
      <c r="CJ1299" s="78">
        <f>IF($CI1299="Fully Defeased",1,0)</f>
        <v/>
      </c>
      <c r="CK1299" s="76">
        <f>IF($R1299="IO","Full IO",IF(LEFT($R1299&amp;"",7)="IO then","Partial IO","Amortizing"))</f>
        <v/>
      </c>
      <c r="CL1299" s="78">
        <f>IF($CK1299="Full IO",1,0)</f>
        <v/>
      </c>
      <c r="CM1299" s="78">
        <f>IF($CK1299="Partial IO",1,0)</f>
        <v/>
      </c>
      <c r="CN1299" s="76">
        <f>IF(LEFT($F1299&amp;"",10)="SPLIT_LOAN","Pari Passu Split","Standalone")</f>
        <v/>
      </c>
      <c r="CO1299" s="78">
        <f>IF($CN1299="Pari Passu Split",1,0)</f>
        <v/>
      </c>
      <c r="CP1299" s="77">
        <f>IF(ISNUMBER($T1299),YEAR($T1299),"")</f>
        <v/>
      </c>
      <c r="CQ1299" s="79">
        <f>IF(ISNUMBER($V1299),$V1299,IF(ISNUMBER($U1299),$U1299,""))</f>
        <v/>
      </c>
      <c r="CR1299" s="77">
        <f>IF(ISNUMBER($CQ1299),YEAR($CQ1299),"")</f>
        <v/>
      </c>
      <c r="CS1299" s="78">
        <f>IF(ISNUMBER($M1299),MAX(0,$M1299),IF(TRIM($M1299&amp;"")="matured",0,""))</f>
        <v/>
      </c>
      <c r="CT1299" s="78">
        <f>IF(AND(ISNUMBER($CS1299),N($CS1299)&lt;=mMatWindow),1,0)</f>
        <v/>
      </c>
      <c r="CU1299" s="80">
        <f>IF(ISNUMBER($J1299),$J1299/100,"")</f>
        <v/>
      </c>
      <c r="CV1299" s="81">
        <f>IF(ISNUMBER($AQ1299),$AQ1299,"")</f>
        <v/>
      </c>
      <c r="CW1299" s="81">
        <f>IF(ISNUMBER($AR1299),$AR1299,"")</f>
        <v/>
      </c>
      <c r="CX1299" s="82">
        <f>IF(ISNUMBER($AS1299),$AS1299/100,"")</f>
        <v/>
      </c>
      <c r="CY1299" s="82">
        <f>IF(ISNUMBER($AT1299),$AT1299/100,"")</f>
        <v/>
      </c>
      <c r="CZ1299" s="82">
        <f>IF(ISNUMBER($AU1299),$AU1299/100,"")</f>
        <v/>
      </c>
      <c r="DA1299" s="82">
        <f>IF(ISNUMBER($AV1299),$AV1299/100,"")</f>
        <v/>
      </c>
      <c r="DB1299" s="82">
        <f>IF(ISNUMBER($AW1299),$AW1299/100,"")</f>
        <v/>
      </c>
      <c r="DC1299" s="82">
        <f>IF(ISNUMBER($AX1299),$AX1299/100,"")</f>
        <v/>
      </c>
      <c r="DD1299" s="77">
        <f>IFERROR(VALUE(LEFT(TRIM($AO1299&amp;""),4)),"")</f>
        <v/>
      </c>
      <c r="DE1299" s="78">
        <f>IF(AND($BY1299=1,$BX1299=1,OR(fDeal="All Deals",$BU1299=fDeal),OR(fEntity="All Entities",$BV1299=fEntity),OR(fPType="All Property Types",$BZ1299=fPType),OR(fDefeased="Include",$CJ1299=0)),1,0)</f>
        <v/>
      </c>
      <c r="DF1299" s="83">
        <f>$DE1299*N($I1299)</f>
        <v/>
      </c>
      <c r="DG1299" s="78">
        <f>IF($DE1299=1,IF(COUNTIFS($F$8:$F1299,$F1299,$DE$8:$DE1299,1)=1,1,0),0)</f>
        <v/>
      </c>
      <c r="DH1299" s="83">
        <f>IF($DG1299=1,SUMIFS($DF$8:$DF$1600,$F$8:$F$1600,$F1299),0)</f>
        <v/>
      </c>
      <c r="DI1299" s="78">
        <f>IF($DG1299=1,COUNTIFS($F$8:$F$1600,$F1299,$DE$8:$DE$1600,1),0)</f>
        <v/>
      </c>
      <c r="DJ1299" s="84">
        <f>IF($DG1299=1,$DH1299+(100000-ROW())/mTieBreak,0)</f>
        <v/>
      </c>
    </row>
    <row r="1300">
      <c r="B1300" s="68" t="n">
        <v>2</v>
      </c>
      <c r="C1300" s="69" t="inlineStr">
        <is>
          <t>CD17CD3</t>
        </is>
      </c>
      <c r="D1300" s="69" t="inlineStr">
        <is>
          <t>2.000</t>
        </is>
      </c>
      <c r="E1300" s="69" t="inlineStr">
        <is>
          <t>1384 Broadway</t>
        </is>
      </c>
      <c r="F1300" s="69" t="inlineStr">
        <is>
          <t>LNCD17CD3-2.000</t>
        </is>
      </c>
      <c r="G1300" s="70" t="n"/>
      <c r="H1300" s="71" t="n">
        <v>88000000</v>
      </c>
      <c r="I1300" s="71" t="n">
        <v>88000000</v>
      </c>
      <c r="J1300" s="72" t="n">
        <v>4.84</v>
      </c>
      <c r="K1300" s="69" t="inlineStr">
        <is>
          <t>Fixed rate</t>
        </is>
      </c>
      <c r="L1300" s="68" t="n">
        <v>120</v>
      </c>
      <c r="M1300" s="68" t="n">
        <v>4</v>
      </c>
      <c r="N1300" s="68" t="n">
        <v>120</v>
      </c>
      <c r="O1300" s="68" t="n">
        <v>120</v>
      </c>
      <c r="P1300" s="68" t="n">
        <v>4</v>
      </c>
      <c r="Q1300" s="68" t="n">
        <v>116</v>
      </c>
      <c r="R1300" s="69" t="inlineStr">
        <is>
          <t>IO</t>
        </is>
      </c>
      <c r="S1300" s="69" t="inlineStr">
        <is>
          <t>Yes</t>
        </is>
      </c>
      <c r="T1300" s="73" t="n">
        <v>42736</v>
      </c>
      <c r="U1300" s="73" t="n">
        <v>46393</v>
      </c>
      <c r="V1300" s="73" t="n"/>
      <c r="W1300" s="69" t="n"/>
      <c r="X1300" s="69" t="inlineStr">
        <is>
          <t>Current</t>
        </is>
      </c>
      <c r="Y1300" s="68" t="n"/>
      <c r="Z1300" s="69" t="inlineStr">
        <is>
          <t>No Defeasance Occurred</t>
        </is>
      </c>
      <c r="AA1300" s="69" t="inlineStr">
        <is>
          <t>Previously</t>
        </is>
      </c>
      <c r="AB1300" s="69" t="inlineStr">
        <is>
          <t>Currently special serv</t>
        </is>
      </c>
      <c r="AC1300" s="73" t="n">
        <v>45999</v>
      </c>
      <c r="AD1300" s="69" t="inlineStr">
        <is>
          <t>Imminent Monetary Default (excluding Balloon/Maturity Default &amp; Single Tenant Bankruptcy/Vacate)</t>
        </is>
      </c>
      <c r="AE1300" s="69" t="inlineStr">
        <is>
          <t>DPO</t>
        </is>
      </c>
      <c r="AF1300" s="69" t="inlineStr">
        <is>
          <t>NY</t>
        </is>
      </c>
      <c r="AG1300" s="69" t="inlineStr">
        <is>
          <t>New York</t>
        </is>
      </c>
      <c r="AH1300" s="69" t="inlineStr">
        <is>
          <t>New York-Newark-Jersey City, NY-NJ</t>
        </is>
      </c>
      <c r="AI1300" s="69" t="inlineStr">
        <is>
          <t>Northeast / Mid-Atlantic</t>
        </is>
      </c>
      <c r="AJ1300" s="69" t="inlineStr">
        <is>
          <t>OF</t>
        </is>
      </c>
      <c r="AK1300" s="69" t="inlineStr">
        <is>
          <t>CBD</t>
        </is>
      </c>
      <c r="AL1300" s="68" t="n">
        <v>1</v>
      </c>
      <c r="AM1300" s="68" t="n"/>
      <c r="AN1300" s="68" t="n">
        <v>213450</v>
      </c>
      <c r="AO1300" s="69" t="inlineStr">
        <is>
          <t>1928</t>
        </is>
      </c>
      <c r="AP1300" s="70" t="n">
        <v>2016</v>
      </c>
      <c r="AQ1300" s="74" t="n">
        <v>1.5</v>
      </c>
      <c r="AR1300" s="74" t="n">
        <v>0.8100000000000001</v>
      </c>
      <c r="AS1300" s="74" t="n">
        <v>55</v>
      </c>
      <c r="AT1300" s="74" t="n">
        <v>55</v>
      </c>
      <c r="AU1300" s="74" t="n">
        <v>55</v>
      </c>
      <c r="AV1300" s="74" t="n">
        <v>7.345148864</v>
      </c>
      <c r="AW1300" s="74" t="n">
        <v>4.857690466</v>
      </c>
      <c r="AX1300" s="75" t="n">
        <v>78</v>
      </c>
      <c r="AY1300" s="71" t="n">
        <v>160000000</v>
      </c>
      <c r="AZ1300" s="71" t="n">
        <v>160000000</v>
      </c>
      <c r="BA1300" s="71" t="n">
        <v>6463731</v>
      </c>
      <c r="BB1300" s="71" t="n">
        <v>878188.5699999999</v>
      </c>
      <c r="BC1300" s="69" t="inlineStr">
        <is>
          <t>Refinance</t>
        </is>
      </c>
      <c r="BD1300" s="69" t="inlineStr">
        <is>
          <t>N</t>
        </is>
      </c>
      <c r="BE1300" s="71" t="n"/>
      <c r="BF1300" s="71" t="n"/>
      <c r="BG1300" s="71" t="n"/>
      <c r="BH1300" s="71" t="n">
        <v>0</v>
      </c>
      <c r="BI1300" s="71" t="n">
        <v>0</v>
      </c>
      <c r="BJ1300" s="69" t="inlineStr">
        <is>
          <t>N</t>
        </is>
      </c>
      <c r="BK1300" s="69" t="inlineStr">
        <is>
          <t>RADIOSURGERY AMERICA P</t>
        </is>
      </c>
      <c r="BL1300" s="75" t="n">
        <v>4.92</v>
      </c>
      <c r="BM1300" s="73" t="n">
        <v>47573</v>
      </c>
      <c r="BN1300" s="69" t="inlineStr">
        <is>
          <t>Juda Chetrit</t>
        </is>
      </c>
      <c r="BO1300" s="69" t="inlineStr">
        <is>
          <t>Citigroup Global Markets</t>
        </is>
      </c>
      <c r="BP1300" s="69" t="inlineStr">
        <is>
          <t>Midland Loan Services</t>
        </is>
      </c>
      <c r="BQ1300" s="69" t="inlineStr">
        <is>
          <t>K-Star Asset Management LLC</t>
        </is>
      </c>
      <c r="BR1300" s="69" t="n"/>
      <c r="BS1300" s="73" t="n">
        <v>46273</v>
      </c>
      <c r="BU1300" s="76">
        <f>IF($C1300="","",IFERROR(INDEX(dmName,MATCH($C1300,dmID,0)),"Unmapped"))</f>
        <v/>
      </c>
      <c r="BV1300" s="76">
        <f>IF($C1300="","",IFERROR(INDEX(dmEntity,MATCH($C1300,dmID,0)),"Unmapped"))</f>
        <v/>
      </c>
      <c r="BW1300" s="77">
        <f>IF($C1300="","",IFERROR(INDEX(dmVintage,MATCH($C1300,dmID,0)),""))</f>
        <v/>
      </c>
      <c r="BX1300" s="78">
        <f>IFERROR(INDEX(dmInclude,MATCH($C1300,dmID,0)),0)</f>
        <v/>
      </c>
      <c r="BY1300" s="78">
        <f>IF(N($I1300)&gt;0,1,0)</f>
        <v/>
      </c>
      <c r="BZ1300" s="76">
        <f>IF($AJ1300="","Other / Leased Fee",IFERROR(INDEX(mapPTGroup,MATCH(LEFT(TRIM($AJ1300),2),mapPTCode,0)),"Other / Leased Fee"))</f>
        <v/>
      </c>
      <c r="CA1300" s="76">
        <f>IF(TRIM($AF1300&amp;"")="","NR",LEFT(TRIM($AF1300),2))</f>
        <v/>
      </c>
      <c r="CB1300" s="76">
        <f>IFERROR(LOOKUP(2,1/(LEFT(TRIM($AI1300&amp;""),LEN(mapRegion))=mapRegion),mapRegion),"Not Reported")</f>
        <v/>
      </c>
      <c r="CC1300" s="76">
        <f>IF($BY1300=0,"",IF(TRIM($W1300&amp;"")="REO","REO",IF(TRIM($W1300&amp;"")="FC","Foreclosure",IF(TRIM($W1300&amp;"")="90+","90+ Days Delinquent",IF(TRIM($W1300&amp;"")="60","60 Days Delinquent",IF(TRIM($W1300&amp;"")="30","30 Days Delinquent",IF($X1300="Non-Performing Matured Balloon","Non-Performing Matured Balloon",IF(OR($X1300="Late Payment But Less Than 30 Days Delinquent",LEFT($X1300&amp;"",20)="Payment Not Received"),"Late / In Grace (&lt;30 Days)",IF($X1300="Performing Matured Balloon","Performing Matured Balloon","Current")))))))))</f>
        <v/>
      </c>
      <c r="CD1300" s="78">
        <f>IF(OR($CC1300="REO",$CC1300="Foreclosure",$CC1300="90+ Days Delinquent",$CC1300="60 Days Delinquent",$CC1300="30 Days Delinquent",$CC1300="Non-Performing Matured Balloon"),1,0)</f>
        <v/>
      </c>
      <c r="CE1300" s="76">
        <f>IF($AB1300="Currently special serv","Currently Specially Serviced",IF($AB1300="Returned to master serv","Previously Specially Serviced","Never Specially Serviced"))</f>
        <v/>
      </c>
      <c r="CF1300" s="78">
        <f>IF($CE1300="Currently Specially Serviced",1,0)</f>
        <v/>
      </c>
      <c r="CG1300" s="76">
        <f>IF($AA1300="Yes","Currently on Watchlist",IF($AA1300="Previously","Previously on Watchlist","Never on Watchlist"))</f>
        <v/>
      </c>
      <c r="CH1300" s="78">
        <f>IF($CG1300="Currently on Watchlist",1,0)</f>
        <v/>
      </c>
      <c r="CI1300" s="76">
        <f>IF($Z1300="Full Defeasance","Fully Defeased",IF($Z1300="Portion Of Loan Previously Defeased","Partially Defeased",IF($Z1300="Defeasance Not Allowable","Not Defeased (Not Permitted)","Not Defeased")))</f>
        <v/>
      </c>
      <c r="CJ1300" s="78">
        <f>IF($CI1300="Fully Defeased",1,0)</f>
        <v/>
      </c>
      <c r="CK1300" s="76">
        <f>IF($R1300="IO","Full IO",IF(LEFT($R1300&amp;"",7)="IO then","Partial IO","Amortizing"))</f>
        <v/>
      </c>
      <c r="CL1300" s="78">
        <f>IF($CK1300="Full IO",1,0)</f>
        <v/>
      </c>
      <c r="CM1300" s="78">
        <f>IF($CK1300="Partial IO",1,0)</f>
        <v/>
      </c>
      <c r="CN1300" s="76">
        <f>IF(LEFT($F1300&amp;"",10)="SPLIT_LOAN","Pari Passu Split","Standalone")</f>
        <v/>
      </c>
      <c r="CO1300" s="78">
        <f>IF($CN1300="Pari Passu Split",1,0)</f>
        <v/>
      </c>
      <c r="CP1300" s="77">
        <f>IF(ISNUMBER($T1300),YEAR($T1300),"")</f>
        <v/>
      </c>
      <c r="CQ1300" s="79">
        <f>IF(ISNUMBER($V1300),$V1300,IF(ISNUMBER($U1300),$U1300,""))</f>
        <v/>
      </c>
      <c r="CR1300" s="77">
        <f>IF(ISNUMBER($CQ1300),YEAR($CQ1300),"")</f>
        <v/>
      </c>
      <c r="CS1300" s="78">
        <f>IF(ISNUMBER($M1300),MAX(0,$M1300),IF(TRIM($M1300&amp;"")="matured",0,""))</f>
        <v/>
      </c>
      <c r="CT1300" s="78">
        <f>IF(AND(ISNUMBER($CS1300),N($CS1300)&lt;=mMatWindow),1,0)</f>
        <v/>
      </c>
      <c r="CU1300" s="80">
        <f>IF(ISNUMBER($J1300),$J1300/100,"")</f>
        <v/>
      </c>
      <c r="CV1300" s="81">
        <f>IF(ISNUMBER($AQ1300),$AQ1300,"")</f>
        <v/>
      </c>
      <c r="CW1300" s="81">
        <f>IF(ISNUMBER($AR1300),$AR1300,"")</f>
        <v/>
      </c>
      <c r="CX1300" s="82">
        <f>IF(ISNUMBER($AS1300),$AS1300/100,"")</f>
        <v/>
      </c>
      <c r="CY1300" s="82">
        <f>IF(ISNUMBER($AT1300),$AT1300/100,"")</f>
        <v/>
      </c>
      <c r="CZ1300" s="82">
        <f>IF(ISNUMBER($AU1300),$AU1300/100,"")</f>
        <v/>
      </c>
      <c r="DA1300" s="82">
        <f>IF(ISNUMBER($AV1300),$AV1300/100,"")</f>
        <v/>
      </c>
      <c r="DB1300" s="82">
        <f>IF(ISNUMBER($AW1300),$AW1300/100,"")</f>
        <v/>
      </c>
      <c r="DC1300" s="82">
        <f>IF(ISNUMBER($AX1300),$AX1300/100,"")</f>
        <v/>
      </c>
      <c r="DD1300" s="77">
        <f>IFERROR(VALUE(LEFT(TRIM($AO1300&amp;""),4)),"")</f>
        <v/>
      </c>
      <c r="DE1300" s="78">
        <f>IF(AND($BY1300=1,$BX1300=1,OR(fDeal="All Deals",$BU1300=fDeal),OR(fEntity="All Entities",$BV1300=fEntity),OR(fPType="All Property Types",$BZ1300=fPType),OR(fDefeased="Include",$CJ1300=0)),1,0)</f>
        <v/>
      </c>
      <c r="DF1300" s="83">
        <f>$DE1300*N($I1300)</f>
        <v/>
      </c>
      <c r="DG1300" s="78">
        <f>IF($DE1300=1,IF(COUNTIFS($F$8:$F1300,$F1300,$DE$8:$DE1300,1)=1,1,0),0)</f>
        <v/>
      </c>
      <c r="DH1300" s="83">
        <f>IF($DG1300=1,SUMIFS($DF$8:$DF$1600,$F$8:$F$1600,$F1300),0)</f>
        <v/>
      </c>
      <c r="DI1300" s="78">
        <f>IF($DG1300=1,COUNTIFS($F$8:$F$1600,$F1300,$DE$8:$DE$1600,1),0)</f>
        <v/>
      </c>
      <c r="DJ1300" s="84">
        <f>IF($DG1300=1,$DH1300+(100000-ROW())/mTieBreak,0)</f>
        <v/>
      </c>
    </row>
    <row r="1301">
      <c r="B1301" s="68" t="n">
        <v>3</v>
      </c>
      <c r="C1301" s="69" t="inlineStr">
        <is>
          <t>CD17CD3</t>
        </is>
      </c>
      <c r="D1301" s="69" t="inlineStr">
        <is>
          <t>3.TR</t>
        </is>
      </c>
      <c r="E1301" s="69" t="inlineStr">
        <is>
          <t>85 Tenth Avenue -Trust</t>
        </is>
      </c>
      <c r="F1301" s="69" t="inlineStr">
        <is>
          <t>SPLIT_LOAN_00922</t>
        </is>
      </c>
      <c r="G1301" s="70" t="n">
        <v>922</v>
      </c>
      <c r="H1301" s="71" t="n">
        <v>75000000</v>
      </c>
      <c r="I1301" s="71" t="n">
        <v>75000000</v>
      </c>
      <c r="J1301" s="72" t="n">
        <v>3.8206</v>
      </c>
      <c r="K1301" s="69" t="inlineStr">
        <is>
          <t>Fixed rate</t>
        </is>
      </c>
      <c r="L1301" s="68" t="n">
        <v>120</v>
      </c>
      <c r="M1301" s="68" t="n">
        <v>3</v>
      </c>
      <c r="N1301" s="68" t="n">
        <v>120</v>
      </c>
      <c r="O1301" s="68" t="n">
        <v>120</v>
      </c>
      <c r="P1301" s="68" t="n">
        <v>3</v>
      </c>
      <c r="Q1301" s="68" t="n">
        <v>117</v>
      </c>
      <c r="R1301" s="69" t="inlineStr">
        <is>
          <t>IO</t>
        </is>
      </c>
      <c r="S1301" s="69" t="inlineStr">
        <is>
          <t>Yes</t>
        </is>
      </c>
      <c r="T1301" s="73" t="n">
        <v>42705</v>
      </c>
      <c r="U1301" s="73" t="n">
        <v>46362</v>
      </c>
      <c r="V1301" s="73" t="n"/>
      <c r="W1301" s="69" t="n"/>
      <c r="X1301" s="69" t="inlineStr">
        <is>
          <t>Late Payment But Less Than 30 Days Delinquent</t>
        </is>
      </c>
      <c r="Y1301" s="68" t="n"/>
      <c r="Z1301" s="69" t="inlineStr">
        <is>
          <t>No Defeasance Occurred</t>
        </is>
      </c>
      <c r="AA1301" s="69" t="inlineStr">
        <is>
          <t>Previously</t>
        </is>
      </c>
      <c r="AB1301" s="69" t="inlineStr">
        <is>
          <t>Currently special serv</t>
        </is>
      </c>
      <c r="AC1301" s="73" t="n">
        <v>46234</v>
      </c>
      <c r="AD1301" s="69" t="inlineStr">
        <is>
          <t>Imminent Monetary Default (Balloon/Maturity Default)</t>
        </is>
      </c>
      <c r="AE1301" s="69" t="inlineStr">
        <is>
          <t>Other</t>
        </is>
      </c>
      <c r="AF1301" s="69" t="inlineStr">
        <is>
          <t>NY</t>
        </is>
      </c>
      <c r="AG1301" s="69" t="inlineStr">
        <is>
          <t>New York</t>
        </is>
      </c>
      <c r="AH1301" s="69" t="inlineStr">
        <is>
          <t>New York-Newark-Jersey City, NY-NJ</t>
        </is>
      </c>
      <c r="AI1301" s="69" t="inlineStr">
        <is>
          <t>Northeast / Mid-Atlantic</t>
        </is>
      </c>
      <c r="AJ1301" s="69" t="inlineStr">
        <is>
          <t>MX</t>
        </is>
      </c>
      <c r="AK1301" s="69" t="inlineStr">
        <is>
          <t>Office/Retail/Self Storage</t>
        </is>
      </c>
      <c r="AL1301" s="68" t="n">
        <v>1</v>
      </c>
      <c r="AM1301" s="68" t="n"/>
      <c r="AN1301" s="68" t="n">
        <v>632584</v>
      </c>
      <c r="AO1301" s="69" t="inlineStr">
        <is>
          <t>1914</t>
        </is>
      </c>
      <c r="AP1301" s="70" t="n">
        <v>2016</v>
      </c>
      <c r="AQ1301" s="74" t="n">
        <v>3.66</v>
      </c>
      <c r="AR1301" s="74" t="n">
        <v>1.83</v>
      </c>
      <c r="AS1301" s="74" t="n">
        <v>30.54</v>
      </c>
      <c r="AT1301" s="74" t="n">
        <v>30.54</v>
      </c>
      <c r="AU1301" s="74" t="n"/>
      <c r="AV1301" s="74" t="n">
        <v>14.191798039</v>
      </c>
      <c r="AW1301" s="74" t="n">
        <v>10.241897514</v>
      </c>
      <c r="AX1301" s="75" t="n">
        <v>89</v>
      </c>
      <c r="AY1301" s="71" t="n">
        <v>835000000</v>
      </c>
      <c r="AZ1301" s="71" t="n">
        <v>835000000</v>
      </c>
      <c r="BA1301" s="71" t="n">
        <v>36189085</v>
      </c>
      <c r="BB1301" s="71" t="n">
        <v>4518637.15</v>
      </c>
      <c r="BC1301" s="69" t="inlineStr">
        <is>
          <t>Refinance</t>
        </is>
      </c>
      <c r="BD1301" s="69" t="inlineStr">
        <is>
          <t>N</t>
        </is>
      </c>
      <c r="BE1301" s="71" t="n">
        <v>180000000</v>
      </c>
      <c r="BF1301" s="71" t="n">
        <v>141000000</v>
      </c>
      <c r="BG1301" s="71" t="n">
        <v>229000000</v>
      </c>
      <c r="BH1301" s="71" t="n">
        <v>0</v>
      </c>
      <c r="BI1301" s="71" t="n">
        <v>246424.17</v>
      </c>
      <c r="BJ1301" s="69" t="inlineStr">
        <is>
          <t>N</t>
        </is>
      </c>
      <c r="BK1301" s="69" t="inlineStr">
        <is>
          <t>Google</t>
        </is>
      </c>
      <c r="BL1301" s="75" t="n">
        <v>46.38</v>
      </c>
      <c r="BM1301" s="73" t="n">
        <v>49003</v>
      </c>
      <c r="BN1301" s="69" t="inlineStr">
        <is>
          <t>Related Special Assets LLC and Vornado Realty L.P.</t>
        </is>
      </c>
      <c r="BO1301" s="69" t="inlineStr">
        <is>
          <t>GACC</t>
        </is>
      </c>
      <c r="BP1301" s="69" t="inlineStr">
        <is>
          <t>Midland Loan Services</t>
        </is>
      </c>
      <c r="BQ1301" s="69" t="inlineStr">
        <is>
          <t>Situs</t>
        </is>
      </c>
      <c r="BR1301" s="69" t="n"/>
      <c r="BS1301" s="73" t="n">
        <v>46273</v>
      </c>
      <c r="BU1301" s="76">
        <f>IF($C1301="","",IFERROR(INDEX(dmName,MATCH($C1301,dmID,0)),"Unmapped"))</f>
        <v/>
      </c>
      <c r="BV1301" s="76">
        <f>IF($C1301="","",IFERROR(INDEX(dmEntity,MATCH($C1301,dmID,0)),"Unmapped"))</f>
        <v/>
      </c>
      <c r="BW1301" s="77">
        <f>IF($C1301="","",IFERROR(INDEX(dmVintage,MATCH($C1301,dmID,0)),""))</f>
        <v/>
      </c>
      <c r="BX1301" s="78">
        <f>IFERROR(INDEX(dmInclude,MATCH($C1301,dmID,0)),0)</f>
        <v/>
      </c>
      <c r="BY1301" s="78">
        <f>IF(N($I1301)&gt;0,1,0)</f>
        <v/>
      </c>
      <c r="BZ1301" s="76">
        <f>IF($AJ1301="","Other / Leased Fee",IFERROR(INDEX(mapPTGroup,MATCH(LEFT(TRIM($AJ1301),2),mapPTCode,0)),"Other / Leased Fee"))</f>
        <v/>
      </c>
      <c r="CA1301" s="76">
        <f>IF(TRIM($AF1301&amp;"")="","NR",LEFT(TRIM($AF1301),2))</f>
        <v/>
      </c>
      <c r="CB1301" s="76">
        <f>IFERROR(LOOKUP(2,1/(LEFT(TRIM($AI1301&amp;""),LEN(mapRegion))=mapRegion),mapRegion),"Not Reported")</f>
        <v/>
      </c>
      <c r="CC1301" s="76">
        <f>IF($BY1301=0,"",IF(TRIM($W1301&amp;"")="REO","REO",IF(TRIM($W1301&amp;"")="FC","Foreclosure",IF(TRIM($W1301&amp;"")="90+","90+ Days Delinquent",IF(TRIM($W1301&amp;"")="60","60 Days Delinquent",IF(TRIM($W1301&amp;"")="30","30 Days Delinquent",IF($X1301="Non-Performing Matured Balloon","Non-Performing Matured Balloon",IF(OR($X1301="Late Payment But Less Than 30 Days Delinquent",LEFT($X1301&amp;"",20)="Payment Not Received"),"Late / In Grace (&lt;30 Days)",IF($X1301="Performing Matured Balloon","Performing Matured Balloon","Current")))))))))</f>
        <v/>
      </c>
      <c r="CD1301" s="78">
        <f>IF(OR($CC1301="REO",$CC1301="Foreclosure",$CC1301="90+ Days Delinquent",$CC1301="60 Days Delinquent",$CC1301="30 Days Delinquent",$CC1301="Non-Performing Matured Balloon"),1,0)</f>
        <v/>
      </c>
      <c r="CE1301" s="76">
        <f>IF($AB1301="Currently special serv","Currently Specially Serviced",IF($AB1301="Returned to master serv","Previously Specially Serviced","Never Specially Serviced"))</f>
        <v/>
      </c>
      <c r="CF1301" s="78">
        <f>IF($CE1301="Currently Specially Serviced",1,0)</f>
        <v/>
      </c>
      <c r="CG1301" s="76">
        <f>IF($AA1301="Yes","Currently on Watchlist",IF($AA1301="Previously","Previously on Watchlist","Never on Watchlist"))</f>
        <v/>
      </c>
      <c r="CH1301" s="78">
        <f>IF($CG1301="Currently on Watchlist",1,0)</f>
        <v/>
      </c>
      <c r="CI1301" s="76">
        <f>IF($Z1301="Full Defeasance","Fully Defeased",IF($Z1301="Portion Of Loan Previously Defeased","Partially Defeased",IF($Z1301="Defeasance Not Allowable","Not Defeased (Not Permitted)","Not Defeased")))</f>
        <v/>
      </c>
      <c r="CJ1301" s="78">
        <f>IF($CI1301="Fully Defeased",1,0)</f>
        <v/>
      </c>
      <c r="CK1301" s="76">
        <f>IF($R1301="IO","Full IO",IF(LEFT($R1301&amp;"",7)="IO then","Partial IO","Amortizing"))</f>
        <v/>
      </c>
      <c r="CL1301" s="78">
        <f>IF($CK1301="Full IO",1,0)</f>
        <v/>
      </c>
      <c r="CM1301" s="78">
        <f>IF($CK1301="Partial IO",1,0)</f>
        <v/>
      </c>
      <c r="CN1301" s="76">
        <f>IF(LEFT($F1301&amp;"",10)="SPLIT_LOAN","Pari Passu Split","Standalone")</f>
        <v/>
      </c>
      <c r="CO1301" s="78">
        <f>IF($CN1301="Pari Passu Split",1,0)</f>
        <v/>
      </c>
      <c r="CP1301" s="77">
        <f>IF(ISNUMBER($T1301),YEAR($T1301),"")</f>
        <v/>
      </c>
      <c r="CQ1301" s="79">
        <f>IF(ISNUMBER($V1301),$V1301,IF(ISNUMBER($U1301),$U1301,""))</f>
        <v/>
      </c>
      <c r="CR1301" s="77">
        <f>IF(ISNUMBER($CQ1301),YEAR($CQ1301),"")</f>
        <v/>
      </c>
      <c r="CS1301" s="78">
        <f>IF(ISNUMBER($M1301),MAX(0,$M1301),IF(TRIM($M1301&amp;"")="matured",0,""))</f>
        <v/>
      </c>
      <c r="CT1301" s="78">
        <f>IF(AND(ISNUMBER($CS1301),N($CS1301)&lt;=mMatWindow),1,0)</f>
        <v/>
      </c>
      <c r="CU1301" s="80">
        <f>IF(ISNUMBER($J1301),$J1301/100,"")</f>
        <v/>
      </c>
      <c r="CV1301" s="81">
        <f>IF(ISNUMBER($AQ1301),$AQ1301,"")</f>
        <v/>
      </c>
      <c r="CW1301" s="81">
        <f>IF(ISNUMBER($AR1301),$AR1301,"")</f>
        <v/>
      </c>
      <c r="CX1301" s="82">
        <f>IF(ISNUMBER($AS1301),$AS1301/100,"")</f>
        <v/>
      </c>
      <c r="CY1301" s="82">
        <f>IF(ISNUMBER($AT1301),$AT1301/100,"")</f>
        <v/>
      </c>
      <c r="CZ1301" s="82">
        <f>IF(ISNUMBER($AU1301),$AU1301/100,"")</f>
        <v/>
      </c>
      <c r="DA1301" s="82">
        <f>IF(ISNUMBER($AV1301),$AV1301/100,"")</f>
        <v/>
      </c>
      <c r="DB1301" s="82">
        <f>IF(ISNUMBER($AW1301),$AW1301/100,"")</f>
        <v/>
      </c>
      <c r="DC1301" s="82">
        <f>IF(ISNUMBER($AX1301),$AX1301/100,"")</f>
        <v/>
      </c>
      <c r="DD1301" s="77">
        <f>IFERROR(VALUE(LEFT(TRIM($AO1301&amp;""),4)),"")</f>
        <v/>
      </c>
      <c r="DE1301" s="78">
        <f>IF(AND($BY1301=1,$BX1301=1,OR(fDeal="All Deals",$BU1301=fDeal),OR(fEntity="All Entities",$BV1301=fEntity),OR(fPType="All Property Types",$BZ1301=fPType),OR(fDefeased="Include",$CJ1301=0)),1,0)</f>
        <v/>
      </c>
      <c r="DF1301" s="83">
        <f>$DE1301*N($I1301)</f>
        <v/>
      </c>
      <c r="DG1301" s="78">
        <f>IF($DE1301=1,IF(COUNTIFS($F$8:$F1301,$F1301,$DE$8:$DE1301,1)=1,1,0),0)</f>
        <v/>
      </c>
      <c r="DH1301" s="83">
        <f>IF($DG1301=1,SUMIFS($DF$8:$DF$1600,$F$8:$F$1600,$F1301),0)</f>
        <v/>
      </c>
      <c r="DI1301" s="78">
        <f>IF($DG1301=1,COUNTIFS($F$8:$F$1600,$F1301,$DE$8:$DE$1600,1),0)</f>
        <v/>
      </c>
      <c r="DJ1301" s="84">
        <f>IF($DG1301=1,$DH1301+(100000-ROW())/mTieBreak,0)</f>
        <v/>
      </c>
    </row>
    <row r="1302">
      <c r="B1302" s="68" t="n">
        <v>4</v>
      </c>
      <c r="C1302" s="69" t="inlineStr">
        <is>
          <t>CD17CD3</t>
        </is>
      </c>
      <c r="D1302" s="69" t="inlineStr">
        <is>
          <t>4.000</t>
        </is>
      </c>
      <c r="E1302" s="69" t="inlineStr">
        <is>
          <t>Medical Centre of Santa Monica</t>
        </is>
      </c>
      <c r="F1302" s="69" t="inlineStr">
        <is>
          <t>LNCD17CD3-4.000</t>
        </is>
      </c>
      <c r="G1302" s="70" t="n"/>
      <c r="H1302" s="71" t="n">
        <v>71000000</v>
      </c>
      <c r="I1302" s="71" t="n">
        <v>71000000</v>
      </c>
      <c r="J1302" s="72" t="n">
        <v>4.06</v>
      </c>
      <c r="K1302" s="69" t="inlineStr">
        <is>
          <t>Fixed rate</t>
        </is>
      </c>
      <c r="L1302" s="68" t="n">
        <v>120</v>
      </c>
      <c r="M1302" s="68" t="n">
        <v>4</v>
      </c>
      <c r="N1302" s="68" t="n">
        <v>120</v>
      </c>
      <c r="O1302" s="68" t="n">
        <v>120</v>
      </c>
      <c r="P1302" s="68" t="n">
        <v>4</v>
      </c>
      <c r="Q1302" s="68" t="n">
        <v>116</v>
      </c>
      <c r="R1302" s="69" t="inlineStr">
        <is>
          <t>IO</t>
        </is>
      </c>
      <c r="S1302" s="69" t="inlineStr">
        <is>
          <t>Yes</t>
        </is>
      </c>
      <c r="T1302" s="73" t="n">
        <v>42736</v>
      </c>
      <c r="U1302" s="73" t="n">
        <v>46388</v>
      </c>
      <c r="V1302" s="73" t="n"/>
      <c r="W1302" s="69" t="n"/>
      <c r="X1302" s="69" t="inlineStr">
        <is>
          <t>Current</t>
        </is>
      </c>
      <c r="Y1302" s="68" t="n"/>
      <c r="Z1302" s="69" t="inlineStr">
        <is>
          <t>Defeasance Not Allowable</t>
        </is>
      </c>
      <c r="AA1302" s="69" t="inlineStr">
        <is>
          <t>Previously</t>
        </is>
      </c>
      <c r="AB1302" s="69" t="inlineStr">
        <is>
          <t>Never special serv</t>
        </is>
      </c>
      <c r="AC1302" s="73" t="n"/>
      <c r="AD1302" s="69" t="n"/>
      <c r="AE1302" s="69" t="n"/>
      <c r="AF1302" s="69" t="inlineStr">
        <is>
          <t>CA</t>
        </is>
      </c>
      <c r="AG1302" s="69" t="n"/>
      <c r="AH1302" s="69" t="inlineStr">
        <is>
          <t>Los Angeles-Long Beach-Anaheim, CA</t>
        </is>
      </c>
      <c r="AI1302" s="69" t="inlineStr">
        <is>
          <t>West / Pacific South</t>
        </is>
      </c>
      <c r="AJ1302" s="69" t="inlineStr">
        <is>
          <t>OF</t>
        </is>
      </c>
      <c r="AK1302" s="69" t="inlineStr">
        <is>
          <t>Medical</t>
        </is>
      </c>
      <c r="AL1302" s="68" t="n">
        <v>2</v>
      </c>
      <c r="AM1302" s="68" t="n"/>
      <c r="AN1302" s="68" t="n">
        <v>204414</v>
      </c>
      <c r="AO1302" s="69" t="n"/>
      <c r="AP1302" s="70" t="n">
        <v>1976</v>
      </c>
      <c r="AQ1302" s="74" t="n">
        <v>3.04</v>
      </c>
      <c r="AR1302" s="74" t="n">
        <v>2.99</v>
      </c>
      <c r="AS1302" s="74" t="n">
        <v>47.33</v>
      </c>
      <c r="AT1302" s="74" t="n">
        <v>47.33</v>
      </c>
      <c r="AU1302" s="74" t="n">
        <v>47.33</v>
      </c>
      <c r="AV1302" s="74" t="n">
        <v>12.525748254</v>
      </c>
      <c r="AW1302" s="74" t="n">
        <v>13.75248631</v>
      </c>
      <c r="AX1302" s="75" t="n">
        <v>95</v>
      </c>
      <c r="AY1302" s="71" t="n">
        <v>150000000</v>
      </c>
      <c r="AZ1302" s="71" t="n">
        <v>150000000</v>
      </c>
      <c r="BA1302" s="71" t="n">
        <v>8893281.26</v>
      </c>
      <c r="BB1302" s="71" t="n">
        <v>8742001</v>
      </c>
      <c r="BC1302" s="69" t="inlineStr">
        <is>
          <t>Refinance</t>
        </is>
      </c>
      <c r="BD1302" s="69" t="inlineStr">
        <is>
          <t>Y</t>
        </is>
      </c>
      <c r="BE1302" s="71" t="n"/>
      <c r="BF1302" s="71" t="n"/>
      <c r="BG1302" s="71" t="n"/>
      <c r="BH1302" s="71" t="n">
        <v>0</v>
      </c>
      <c r="BI1302" s="71" t="n">
        <v>0</v>
      </c>
      <c r="BJ1302" s="69" t="inlineStr">
        <is>
          <t>N</t>
        </is>
      </c>
      <c r="BK1302" s="69" t="inlineStr">
        <is>
          <t>Providence Health</t>
        </is>
      </c>
      <c r="BL1302" s="75" t="n">
        <v>11.7</v>
      </c>
      <c r="BM1302" s="73" t="n">
        <v>47726</v>
      </c>
      <c r="BN1302" s="69" t="inlineStr">
        <is>
          <t>Robert D. Held; Melissa Held Bordy and Joseph R. Held</t>
        </is>
      </c>
      <c r="BO1302" s="69" t="inlineStr">
        <is>
          <t>Citigroup Global Markets</t>
        </is>
      </c>
      <c r="BP1302" s="69" t="inlineStr">
        <is>
          <t>Midland Loan Services</t>
        </is>
      </c>
      <c r="BQ1302" s="69" t="inlineStr">
        <is>
          <t>K-Star Asset Management LLC</t>
        </is>
      </c>
      <c r="BR1302" s="69" t="n"/>
      <c r="BS1302" s="73" t="n">
        <v>46273</v>
      </c>
      <c r="BU1302" s="76">
        <f>IF($C1302="","",IFERROR(INDEX(dmName,MATCH($C1302,dmID,0)),"Unmapped"))</f>
        <v/>
      </c>
      <c r="BV1302" s="76">
        <f>IF($C1302="","",IFERROR(INDEX(dmEntity,MATCH($C1302,dmID,0)),"Unmapped"))</f>
        <v/>
      </c>
      <c r="BW1302" s="77">
        <f>IF($C1302="","",IFERROR(INDEX(dmVintage,MATCH($C1302,dmID,0)),""))</f>
        <v/>
      </c>
      <c r="BX1302" s="78">
        <f>IFERROR(INDEX(dmInclude,MATCH($C1302,dmID,0)),0)</f>
        <v/>
      </c>
      <c r="BY1302" s="78">
        <f>IF(N($I1302)&gt;0,1,0)</f>
        <v/>
      </c>
      <c r="BZ1302" s="76">
        <f>IF($AJ1302="","Other / Leased Fee",IFERROR(INDEX(mapPTGroup,MATCH(LEFT(TRIM($AJ1302),2),mapPTCode,0)),"Other / Leased Fee"))</f>
        <v/>
      </c>
      <c r="CA1302" s="76">
        <f>IF(TRIM($AF1302&amp;"")="","NR",LEFT(TRIM($AF1302),2))</f>
        <v/>
      </c>
      <c r="CB1302" s="76">
        <f>IFERROR(LOOKUP(2,1/(LEFT(TRIM($AI1302&amp;""),LEN(mapRegion))=mapRegion),mapRegion),"Not Reported")</f>
        <v/>
      </c>
      <c r="CC1302" s="76">
        <f>IF($BY1302=0,"",IF(TRIM($W1302&amp;"")="REO","REO",IF(TRIM($W1302&amp;"")="FC","Foreclosure",IF(TRIM($W1302&amp;"")="90+","90+ Days Delinquent",IF(TRIM($W1302&amp;"")="60","60 Days Delinquent",IF(TRIM($W1302&amp;"")="30","30 Days Delinquent",IF($X1302="Non-Performing Matured Balloon","Non-Performing Matured Balloon",IF(OR($X1302="Late Payment But Less Than 30 Days Delinquent",LEFT($X1302&amp;"",20)="Payment Not Received"),"Late / In Grace (&lt;30 Days)",IF($X1302="Performing Matured Balloon","Performing Matured Balloon","Current")))))))))</f>
        <v/>
      </c>
      <c r="CD1302" s="78">
        <f>IF(OR($CC1302="REO",$CC1302="Foreclosure",$CC1302="90+ Days Delinquent",$CC1302="60 Days Delinquent",$CC1302="30 Days Delinquent",$CC1302="Non-Performing Matured Balloon"),1,0)</f>
        <v/>
      </c>
      <c r="CE1302" s="76">
        <f>IF($AB1302="Currently special serv","Currently Specially Serviced",IF($AB1302="Returned to master serv","Previously Specially Serviced","Never Specially Serviced"))</f>
        <v/>
      </c>
      <c r="CF1302" s="78">
        <f>IF($CE1302="Currently Specially Serviced",1,0)</f>
        <v/>
      </c>
      <c r="CG1302" s="76">
        <f>IF($AA1302="Yes","Currently on Watchlist",IF($AA1302="Previously","Previously on Watchlist","Never on Watchlist"))</f>
        <v/>
      </c>
      <c r="CH1302" s="78">
        <f>IF($CG1302="Currently on Watchlist",1,0)</f>
        <v/>
      </c>
      <c r="CI1302" s="76">
        <f>IF($Z1302="Full Defeasance","Fully Defeased",IF($Z1302="Portion Of Loan Previously Defeased","Partially Defeased",IF($Z1302="Defeasance Not Allowable","Not Defeased (Not Permitted)","Not Defeased")))</f>
        <v/>
      </c>
      <c r="CJ1302" s="78">
        <f>IF($CI1302="Fully Defeased",1,0)</f>
        <v/>
      </c>
      <c r="CK1302" s="76">
        <f>IF($R1302="IO","Full IO",IF(LEFT($R1302&amp;"",7)="IO then","Partial IO","Amortizing"))</f>
        <v/>
      </c>
      <c r="CL1302" s="78">
        <f>IF($CK1302="Full IO",1,0)</f>
        <v/>
      </c>
      <c r="CM1302" s="78">
        <f>IF($CK1302="Partial IO",1,0)</f>
        <v/>
      </c>
      <c r="CN1302" s="76">
        <f>IF(LEFT($F1302&amp;"",10)="SPLIT_LOAN","Pari Passu Split","Standalone")</f>
        <v/>
      </c>
      <c r="CO1302" s="78">
        <f>IF($CN1302="Pari Passu Split",1,0)</f>
        <v/>
      </c>
      <c r="CP1302" s="77">
        <f>IF(ISNUMBER($T1302),YEAR($T1302),"")</f>
        <v/>
      </c>
      <c r="CQ1302" s="79">
        <f>IF(ISNUMBER($V1302),$V1302,IF(ISNUMBER($U1302),$U1302,""))</f>
        <v/>
      </c>
      <c r="CR1302" s="77">
        <f>IF(ISNUMBER($CQ1302),YEAR($CQ1302),"")</f>
        <v/>
      </c>
      <c r="CS1302" s="78">
        <f>IF(ISNUMBER($M1302),MAX(0,$M1302),IF(TRIM($M1302&amp;"")="matured",0,""))</f>
        <v/>
      </c>
      <c r="CT1302" s="78">
        <f>IF(AND(ISNUMBER($CS1302),N($CS1302)&lt;=mMatWindow),1,0)</f>
        <v/>
      </c>
      <c r="CU1302" s="80">
        <f>IF(ISNUMBER($J1302),$J1302/100,"")</f>
        <v/>
      </c>
      <c r="CV1302" s="81">
        <f>IF(ISNUMBER($AQ1302),$AQ1302,"")</f>
        <v/>
      </c>
      <c r="CW1302" s="81">
        <f>IF(ISNUMBER($AR1302),$AR1302,"")</f>
        <v/>
      </c>
      <c r="CX1302" s="82">
        <f>IF(ISNUMBER($AS1302),$AS1302/100,"")</f>
        <v/>
      </c>
      <c r="CY1302" s="82">
        <f>IF(ISNUMBER($AT1302),$AT1302/100,"")</f>
        <v/>
      </c>
      <c r="CZ1302" s="82">
        <f>IF(ISNUMBER($AU1302),$AU1302/100,"")</f>
        <v/>
      </c>
      <c r="DA1302" s="82">
        <f>IF(ISNUMBER($AV1302),$AV1302/100,"")</f>
        <v/>
      </c>
      <c r="DB1302" s="82">
        <f>IF(ISNUMBER($AW1302),$AW1302/100,"")</f>
        <v/>
      </c>
      <c r="DC1302" s="82">
        <f>IF(ISNUMBER($AX1302),$AX1302/100,"")</f>
        <v/>
      </c>
      <c r="DD1302" s="77">
        <f>IFERROR(VALUE(LEFT(TRIM($AO1302&amp;""),4)),"")</f>
        <v/>
      </c>
      <c r="DE1302" s="78">
        <f>IF(AND($BY1302=1,$BX1302=1,OR(fDeal="All Deals",$BU1302=fDeal),OR(fEntity="All Entities",$BV1302=fEntity),OR(fPType="All Property Types",$BZ1302=fPType),OR(fDefeased="Include",$CJ1302=0)),1,0)</f>
        <v/>
      </c>
      <c r="DF1302" s="83">
        <f>$DE1302*N($I1302)</f>
        <v/>
      </c>
      <c r="DG1302" s="78">
        <f>IF($DE1302=1,IF(COUNTIFS($F$8:$F1302,$F1302,$DE$8:$DE1302,1)=1,1,0),0)</f>
        <v/>
      </c>
      <c r="DH1302" s="83">
        <f>IF($DG1302=1,SUMIFS($DF$8:$DF$1600,$F$8:$F$1600,$F1302),0)</f>
        <v/>
      </c>
      <c r="DI1302" s="78">
        <f>IF($DG1302=1,COUNTIFS($F$8:$F$1600,$F1302,$DE$8:$DE$1600,1),0)</f>
        <v/>
      </c>
      <c r="DJ1302" s="84">
        <f>IF($DG1302=1,$DH1302+(100000-ROW())/mTieBreak,0)</f>
        <v/>
      </c>
    </row>
    <row r="1303">
      <c r="B1303" s="68" t="n">
        <v>5</v>
      </c>
      <c r="C1303" s="69" t="inlineStr">
        <is>
          <t>CD17CD3</t>
        </is>
      </c>
      <c r="D1303" s="69" t="inlineStr">
        <is>
          <t>5.000</t>
        </is>
      </c>
      <c r="E1303" s="69" t="inlineStr">
        <is>
          <t>Prudential Plaza</t>
        </is>
      </c>
      <c r="F1303" s="69" t="inlineStr">
        <is>
          <t>SPLIT_LOAN_00686</t>
        </is>
      </c>
      <c r="G1303" s="70" t="n">
        <v>686</v>
      </c>
      <c r="H1303" s="71" t="n">
        <v>70000000</v>
      </c>
      <c r="I1303" s="71" t="n">
        <v>65031770.86000001</v>
      </c>
      <c r="J1303" s="72" t="n">
        <v>4.61</v>
      </c>
      <c r="K1303" s="69" t="inlineStr">
        <is>
          <t>Fixed rate</t>
        </is>
      </c>
      <c r="L1303" s="68" t="n">
        <v>144</v>
      </c>
      <c r="M1303" s="68" t="n">
        <v>11</v>
      </c>
      <c r="N1303" s="68" t="n">
        <v>408</v>
      </c>
      <c r="O1303" s="68" t="n">
        <v>144</v>
      </c>
      <c r="P1303" s="68" t="n">
        <v>11</v>
      </c>
      <c r="Q1303" s="68" t="n">
        <v>133</v>
      </c>
      <c r="R1303" s="69" t="inlineStr">
        <is>
          <t>IO</t>
        </is>
      </c>
      <c r="S1303" s="69" t="inlineStr">
        <is>
          <t>Yes</t>
        </is>
      </c>
      <c r="T1303" s="73" t="n">
        <v>42217</v>
      </c>
      <c r="U1303" s="73" t="n">
        <v>46605</v>
      </c>
      <c r="V1303" s="73" t="n"/>
      <c r="W1303" s="69" t="n"/>
      <c r="X1303" s="69" t="inlineStr">
        <is>
          <t>Current</t>
        </is>
      </c>
      <c r="Y1303" s="68" t="n"/>
      <c r="Z1303" s="69" t="inlineStr">
        <is>
          <t>No Defeasance Occurred</t>
        </is>
      </c>
      <c r="AA1303" s="69" t="inlineStr">
        <is>
          <t>Previously</t>
        </is>
      </c>
      <c r="AB1303" s="69" t="inlineStr">
        <is>
          <t>Returned to master serv</t>
        </is>
      </c>
      <c r="AC1303" s="73" t="n"/>
      <c r="AD1303" s="69" t="inlineStr">
        <is>
          <t>Imminent Monetary Default (excluding Balloon/Maturity Default &amp; Single Tenant Bankruptcy/Vacate)</t>
        </is>
      </c>
      <c r="AE1303" s="69" t="inlineStr">
        <is>
          <t>Resolved</t>
        </is>
      </c>
      <c r="AF1303" s="69" t="inlineStr">
        <is>
          <t>IL</t>
        </is>
      </c>
      <c r="AG1303" s="69" t="inlineStr">
        <is>
          <t>Chicago</t>
        </is>
      </c>
      <c r="AH1303" s="69" t="inlineStr">
        <is>
          <t>Chicago-Naperville-Elgin, IL-IN</t>
        </is>
      </c>
      <c r="AI1303" s="69" t="inlineStr">
        <is>
          <t>Midwest / Central East</t>
        </is>
      </c>
      <c r="AJ1303" s="69" t="inlineStr">
        <is>
          <t>OF</t>
        </is>
      </c>
      <c r="AK1303" s="69" t="inlineStr">
        <is>
          <t>CBD</t>
        </is>
      </c>
      <c r="AL1303" s="68" t="n">
        <v>1</v>
      </c>
      <c r="AM1303" s="68" t="n"/>
      <c r="AN1303" s="68" t="n">
        <v>2269632</v>
      </c>
      <c r="AO1303" s="69" t="inlineStr">
        <is>
          <t>1955, 1990</t>
        </is>
      </c>
      <c r="AP1303" s="70" t="n">
        <v>2015</v>
      </c>
      <c r="AQ1303" s="74" t="n">
        <v>1.33</v>
      </c>
      <c r="AR1303" s="74" t="n">
        <v>1.8</v>
      </c>
      <c r="AS1303" s="74" t="n">
        <v>59.3</v>
      </c>
      <c r="AT1303" s="74" t="n">
        <v>55.08</v>
      </c>
      <c r="AU1303" s="74" t="n">
        <v>53.2</v>
      </c>
      <c r="AV1303" s="74" t="n">
        <v>8.16930807</v>
      </c>
      <c r="AW1303" s="74" t="n">
        <v>9.644603979999999</v>
      </c>
      <c r="AX1303" s="75" t="n">
        <v>63</v>
      </c>
      <c r="AY1303" s="71" t="n">
        <v>700000000</v>
      </c>
      <c r="AZ1303" s="71" t="n">
        <v>700000000</v>
      </c>
      <c r="BA1303" s="71" t="n">
        <v>33902628.49</v>
      </c>
      <c r="BB1303" s="71" t="n">
        <v>32267273.32</v>
      </c>
      <c r="BC1303" s="69" t="inlineStr">
        <is>
          <t>Refinance</t>
        </is>
      </c>
      <c r="BD1303" s="69" t="inlineStr">
        <is>
          <t>N</t>
        </is>
      </c>
      <c r="BE1303" s="71" t="n">
        <v>320513727.81</v>
      </c>
      <c r="BF1303" s="71" t="n"/>
      <c r="BG1303" s="71" t="n"/>
      <c r="BH1303" s="71" t="n">
        <v>0</v>
      </c>
      <c r="BI1303" s="71" t="n">
        <v>0</v>
      </c>
      <c r="BJ1303" s="69" t="inlineStr">
        <is>
          <t>Y</t>
        </is>
      </c>
      <c r="BK1303" s="69" t="inlineStr">
        <is>
          <t>Optiver Services US LLC</t>
        </is>
      </c>
      <c r="BL1303" s="75" t="n">
        <v>4.55</v>
      </c>
      <c r="BM1303" s="73" t="n">
        <v>50648</v>
      </c>
      <c r="BN1303" s="69" t="inlineStr">
        <is>
          <t>Michael Silberberg and Mark Karasick</t>
        </is>
      </c>
      <c r="BO1303" s="69" t="inlineStr">
        <is>
          <t>GACC</t>
        </is>
      </c>
      <c r="BP1303" s="69" t="inlineStr">
        <is>
          <t>Midland Loan Services</t>
        </is>
      </c>
      <c r="BQ1303" s="69" t="inlineStr">
        <is>
          <t>CWCapital</t>
        </is>
      </c>
      <c r="BR1303" s="69" t="n"/>
      <c r="BS1303" s="73" t="n">
        <v>46273</v>
      </c>
      <c r="BU1303" s="76">
        <f>IF($C1303="","",IFERROR(INDEX(dmName,MATCH($C1303,dmID,0)),"Unmapped"))</f>
        <v/>
      </c>
      <c r="BV1303" s="76">
        <f>IF($C1303="","",IFERROR(INDEX(dmEntity,MATCH($C1303,dmID,0)),"Unmapped"))</f>
        <v/>
      </c>
      <c r="BW1303" s="77">
        <f>IF($C1303="","",IFERROR(INDEX(dmVintage,MATCH($C1303,dmID,0)),""))</f>
        <v/>
      </c>
      <c r="BX1303" s="78">
        <f>IFERROR(INDEX(dmInclude,MATCH($C1303,dmID,0)),0)</f>
        <v/>
      </c>
      <c r="BY1303" s="78">
        <f>IF(N($I1303)&gt;0,1,0)</f>
        <v/>
      </c>
      <c r="BZ1303" s="76">
        <f>IF($AJ1303="","Other / Leased Fee",IFERROR(INDEX(mapPTGroup,MATCH(LEFT(TRIM($AJ1303),2),mapPTCode,0)),"Other / Leased Fee"))</f>
        <v/>
      </c>
      <c r="CA1303" s="76">
        <f>IF(TRIM($AF1303&amp;"")="","NR",LEFT(TRIM($AF1303),2))</f>
        <v/>
      </c>
      <c r="CB1303" s="76">
        <f>IFERROR(LOOKUP(2,1/(LEFT(TRIM($AI1303&amp;""),LEN(mapRegion))=mapRegion),mapRegion),"Not Reported")</f>
        <v/>
      </c>
      <c r="CC1303" s="76">
        <f>IF($BY1303=0,"",IF(TRIM($W1303&amp;"")="REO","REO",IF(TRIM($W1303&amp;"")="FC","Foreclosure",IF(TRIM($W1303&amp;"")="90+","90+ Days Delinquent",IF(TRIM($W1303&amp;"")="60","60 Days Delinquent",IF(TRIM($W1303&amp;"")="30","30 Days Delinquent",IF($X1303="Non-Performing Matured Balloon","Non-Performing Matured Balloon",IF(OR($X1303="Late Payment But Less Than 30 Days Delinquent",LEFT($X1303&amp;"",20)="Payment Not Received"),"Late / In Grace (&lt;30 Days)",IF($X1303="Performing Matured Balloon","Performing Matured Balloon","Current")))))))))</f>
        <v/>
      </c>
      <c r="CD1303" s="78">
        <f>IF(OR($CC1303="REO",$CC1303="Foreclosure",$CC1303="90+ Days Delinquent",$CC1303="60 Days Delinquent",$CC1303="30 Days Delinquent",$CC1303="Non-Performing Matured Balloon"),1,0)</f>
        <v/>
      </c>
      <c r="CE1303" s="76">
        <f>IF($AB1303="Currently special serv","Currently Specially Serviced",IF($AB1303="Returned to master serv","Previously Specially Serviced","Never Specially Serviced"))</f>
        <v/>
      </c>
      <c r="CF1303" s="78">
        <f>IF($CE1303="Currently Specially Serviced",1,0)</f>
        <v/>
      </c>
      <c r="CG1303" s="76">
        <f>IF($AA1303="Yes","Currently on Watchlist",IF($AA1303="Previously","Previously on Watchlist","Never on Watchlist"))</f>
        <v/>
      </c>
      <c r="CH1303" s="78">
        <f>IF($CG1303="Currently on Watchlist",1,0)</f>
        <v/>
      </c>
      <c r="CI1303" s="76">
        <f>IF($Z1303="Full Defeasance","Fully Defeased",IF($Z1303="Portion Of Loan Previously Defeased","Partially Defeased",IF($Z1303="Defeasance Not Allowable","Not Defeased (Not Permitted)","Not Defeased")))</f>
        <v/>
      </c>
      <c r="CJ1303" s="78">
        <f>IF($CI1303="Fully Defeased",1,0)</f>
        <v/>
      </c>
      <c r="CK1303" s="76">
        <f>IF($R1303="IO","Full IO",IF(LEFT($R1303&amp;"",7)="IO then","Partial IO","Amortizing"))</f>
        <v/>
      </c>
      <c r="CL1303" s="78">
        <f>IF($CK1303="Full IO",1,0)</f>
        <v/>
      </c>
      <c r="CM1303" s="78">
        <f>IF($CK1303="Partial IO",1,0)</f>
        <v/>
      </c>
      <c r="CN1303" s="76">
        <f>IF(LEFT($F1303&amp;"",10)="SPLIT_LOAN","Pari Passu Split","Standalone")</f>
        <v/>
      </c>
      <c r="CO1303" s="78">
        <f>IF($CN1303="Pari Passu Split",1,0)</f>
        <v/>
      </c>
      <c r="CP1303" s="77">
        <f>IF(ISNUMBER($T1303),YEAR($T1303),"")</f>
        <v/>
      </c>
      <c r="CQ1303" s="79">
        <f>IF(ISNUMBER($V1303),$V1303,IF(ISNUMBER($U1303),$U1303,""))</f>
        <v/>
      </c>
      <c r="CR1303" s="77">
        <f>IF(ISNUMBER($CQ1303),YEAR($CQ1303),"")</f>
        <v/>
      </c>
      <c r="CS1303" s="78">
        <f>IF(ISNUMBER($M1303),MAX(0,$M1303),IF(TRIM($M1303&amp;"")="matured",0,""))</f>
        <v/>
      </c>
      <c r="CT1303" s="78">
        <f>IF(AND(ISNUMBER($CS1303),N($CS1303)&lt;=mMatWindow),1,0)</f>
        <v/>
      </c>
      <c r="CU1303" s="80">
        <f>IF(ISNUMBER($J1303),$J1303/100,"")</f>
        <v/>
      </c>
      <c r="CV1303" s="81">
        <f>IF(ISNUMBER($AQ1303),$AQ1303,"")</f>
        <v/>
      </c>
      <c r="CW1303" s="81">
        <f>IF(ISNUMBER($AR1303),$AR1303,"")</f>
        <v/>
      </c>
      <c r="CX1303" s="82">
        <f>IF(ISNUMBER($AS1303),$AS1303/100,"")</f>
        <v/>
      </c>
      <c r="CY1303" s="82">
        <f>IF(ISNUMBER($AT1303),$AT1303/100,"")</f>
        <v/>
      </c>
      <c r="CZ1303" s="82">
        <f>IF(ISNUMBER($AU1303),$AU1303/100,"")</f>
        <v/>
      </c>
      <c r="DA1303" s="82">
        <f>IF(ISNUMBER($AV1303),$AV1303/100,"")</f>
        <v/>
      </c>
      <c r="DB1303" s="82">
        <f>IF(ISNUMBER($AW1303),$AW1303/100,"")</f>
        <v/>
      </c>
      <c r="DC1303" s="82">
        <f>IF(ISNUMBER($AX1303),$AX1303/100,"")</f>
        <v/>
      </c>
      <c r="DD1303" s="77">
        <f>IFERROR(VALUE(LEFT(TRIM($AO1303&amp;""),4)),"")</f>
        <v/>
      </c>
      <c r="DE1303" s="78">
        <f>IF(AND($BY1303=1,$BX1303=1,OR(fDeal="All Deals",$BU1303=fDeal),OR(fEntity="All Entities",$BV1303=fEntity),OR(fPType="All Property Types",$BZ1303=fPType),OR(fDefeased="Include",$CJ1303=0)),1,0)</f>
        <v/>
      </c>
      <c r="DF1303" s="83">
        <f>$DE1303*N($I1303)</f>
        <v/>
      </c>
      <c r="DG1303" s="78">
        <f>IF($DE1303=1,IF(COUNTIFS($F$8:$F1303,$F1303,$DE$8:$DE1303,1)=1,1,0),0)</f>
        <v/>
      </c>
      <c r="DH1303" s="83">
        <f>IF($DG1303=1,SUMIFS($DF$8:$DF$1600,$F$8:$F$1600,$F1303),0)</f>
        <v/>
      </c>
      <c r="DI1303" s="78">
        <f>IF($DG1303=1,COUNTIFS($F$8:$F$1600,$F1303,$DE$8:$DE$1600,1),0)</f>
        <v/>
      </c>
      <c r="DJ1303" s="84">
        <f>IF($DG1303=1,$DH1303+(100000-ROW())/mTieBreak,0)</f>
        <v/>
      </c>
    </row>
    <row r="1304">
      <c r="B1304" s="68" t="n">
        <v>6</v>
      </c>
      <c r="C1304" s="69" t="inlineStr">
        <is>
          <t>CD17CD3</t>
        </is>
      </c>
      <c r="D1304" s="69" t="inlineStr">
        <is>
          <t>6.000</t>
        </is>
      </c>
      <c r="E1304" s="69" t="inlineStr">
        <is>
          <t>Moffett Place Google</t>
        </is>
      </c>
      <c r="F1304" s="69" t="inlineStr">
        <is>
          <t>SPLIT_LOAN_00929</t>
        </is>
      </c>
      <c r="G1304" s="70" t="n">
        <v>929</v>
      </c>
      <c r="H1304" s="71" t="n">
        <v>70000000</v>
      </c>
      <c r="I1304" s="71" t="n">
        <v>64864192.91002</v>
      </c>
      <c r="J1304" s="72" t="n">
        <v>4.549797</v>
      </c>
      <c r="K1304" s="69" t="inlineStr">
        <is>
          <t>Fixed rate</t>
        </is>
      </c>
      <c r="L1304" s="68" t="n">
        <v>120</v>
      </c>
      <c r="M1304" s="68" t="n">
        <v>4</v>
      </c>
      <c r="N1304" s="68" t="n">
        <v>420</v>
      </c>
      <c r="O1304" s="68" t="n">
        <v>60</v>
      </c>
      <c r="P1304" s="68" t="n">
        <v>0</v>
      </c>
      <c r="Q1304" s="68" t="n">
        <v>116</v>
      </c>
      <c r="R1304" s="69" t="inlineStr">
        <is>
          <t>IO then Sched</t>
        </is>
      </c>
      <c r="S1304" s="69" t="inlineStr">
        <is>
          <t>No</t>
        </is>
      </c>
      <c r="T1304" s="73" t="n">
        <v>42736</v>
      </c>
      <c r="U1304" s="73" t="n">
        <v>46393</v>
      </c>
      <c r="V1304" s="73" t="n"/>
      <c r="W1304" s="69" t="n"/>
      <c r="X1304" s="69" t="inlineStr">
        <is>
          <t>Current</t>
        </is>
      </c>
      <c r="Y1304" s="68" t="n"/>
      <c r="Z1304" s="69" t="inlineStr">
        <is>
          <t>No Defeasance Occurred</t>
        </is>
      </c>
      <c r="AA1304" s="69" t="inlineStr">
        <is>
          <t>Yes</t>
        </is>
      </c>
      <c r="AB1304" s="69" t="inlineStr">
        <is>
          <t>Never special serv</t>
        </is>
      </c>
      <c r="AC1304" s="73" t="n"/>
      <c r="AD1304" s="69" t="n"/>
      <c r="AE1304" s="69" t="n"/>
      <c r="AF1304" s="69" t="inlineStr">
        <is>
          <t>CA</t>
        </is>
      </c>
      <c r="AG1304" s="69" t="inlineStr">
        <is>
          <t>Sunnyvale</t>
        </is>
      </c>
      <c r="AH1304" s="69" t="inlineStr">
        <is>
          <t>San Jose-Sunnyvale-Santa Clara, CA</t>
        </is>
      </c>
      <c r="AI1304" s="69" t="inlineStr">
        <is>
          <t>West / Pacific North</t>
        </is>
      </c>
      <c r="AJ1304" s="69" t="inlineStr">
        <is>
          <t>OF</t>
        </is>
      </c>
      <c r="AK1304" s="69" t="inlineStr">
        <is>
          <t>CBD</t>
        </is>
      </c>
      <c r="AL1304" s="68" t="n">
        <v>1</v>
      </c>
      <c r="AM1304" s="68" t="n"/>
      <c r="AN1304" s="68" t="n">
        <v>314352</v>
      </c>
      <c r="AO1304" s="69" t="inlineStr">
        <is>
          <t>2016</t>
        </is>
      </c>
      <c r="AP1304" s="70" t="n">
        <v>2016</v>
      </c>
      <c r="AQ1304" s="74" t="n">
        <v>1.38</v>
      </c>
      <c r="AR1304" s="74" t="n">
        <v>1.11</v>
      </c>
      <c r="AS1304" s="74" t="n">
        <v>59.5</v>
      </c>
      <c r="AT1304" s="74" t="n">
        <v>55.1</v>
      </c>
      <c r="AU1304" s="74" t="n">
        <v>54.8</v>
      </c>
      <c r="AV1304" s="74" t="n">
        <v>8.309840951</v>
      </c>
      <c r="AW1304" s="74" t="n">
        <v>7.62342979</v>
      </c>
      <c r="AX1304" s="75" t="n">
        <v>100</v>
      </c>
      <c r="AY1304" s="71" t="n">
        <v>311100000</v>
      </c>
      <c r="AZ1304" s="71" t="n">
        <v>311100000</v>
      </c>
      <c r="BA1304" s="71" t="n">
        <v>15373205.76</v>
      </c>
      <c r="BB1304" s="71" t="n">
        <v>3103262.71</v>
      </c>
      <c r="BC1304" s="69" t="inlineStr">
        <is>
          <t>Refinance</t>
        </is>
      </c>
      <c r="BD1304" s="69" t="inlineStr">
        <is>
          <t>N</t>
        </is>
      </c>
      <c r="BE1304" s="71" t="n">
        <v>106562602.64</v>
      </c>
      <c r="BF1304" s="71" t="n"/>
      <c r="BG1304" s="71" t="n">
        <v>40000000</v>
      </c>
      <c r="BH1304" s="71" t="n">
        <v>0</v>
      </c>
      <c r="BI1304" s="71" t="n">
        <v>0</v>
      </c>
      <c r="BJ1304" s="69" t="inlineStr">
        <is>
          <t>N</t>
        </is>
      </c>
      <c r="BK1304" s="69" t="inlineStr">
        <is>
          <t>Google LLC</t>
        </is>
      </c>
      <c r="BL1304" s="75" t="n">
        <v>100</v>
      </c>
      <c r="BM1304" s="73" t="n">
        <v>47087</v>
      </c>
      <c r="BN1304" s="69" t="inlineStr">
        <is>
          <t>Joseph K. Paul (A/K/A Jay Paul), Jay Paul Revocable Living Trust Dated November 9, 1999 As Amended a</t>
        </is>
      </c>
      <c r="BO1304" s="69" t="inlineStr">
        <is>
          <t>GACC</t>
        </is>
      </c>
      <c r="BP1304" s="69" t="inlineStr">
        <is>
          <t>Midland Loan Services</t>
        </is>
      </c>
      <c r="BQ1304" s="69" t="inlineStr">
        <is>
          <t>K-Star Asset Management LLC</t>
        </is>
      </c>
      <c r="BR1304" s="69" t="n"/>
      <c r="BS1304" s="73" t="n">
        <v>46273</v>
      </c>
      <c r="BU1304" s="76">
        <f>IF($C1304="","",IFERROR(INDEX(dmName,MATCH($C1304,dmID,0)),"Unmapped"))</f>
        <v/>
      </c>
      <c r="BV1304" s="76">
        <f>IF($C1304="","",IFERROR(INDEX(dmEntity,MATCH($C1304,dmID,0)),"Unmapped"))</f>
        <v/>
      </c>
      <c r="BW1304" s="77">
        <f>IF($C1304="","",IFERROR(INDEX(dmVintage,MATCH($C1304,dmID,0)),""))</f>
        <v/>
      </c>
      <c r="BX1304" s="78">
        <f>IFERROR(INDEX(dmInclude,MATCH($C1304,dmID,0)),0)</f>
        <v/>
      </c>
      <c r="BY1304" s="78">
        <f>IF(N($I1304)&gt;0,1,0)</f>
        <v/>
      </c>
      <c r="BZ1304" s="76">
        <f>IF($AJ1304="","Other / Leased Fee",IFERROR(INDEX(mapPTGroup,MATCH(LEFT(TRIM($AJ1304),2),mapPTCode,0)),"Other / Leased Fee"))</f>
        <v/>
      </c>
      <c r="CA1304" s="76">
        <f>IF(TRIM($AF1304&amp;"")="","NR",LEFT(TRIM($AF1304),2))</f>
        <v/>
      </c>
      <c r="CB1304" s="76">
        <f>IFERROR(LOOKUP(2,1/(LEFT(TRIM($AI1304&amp;""),LEN(mapRegion))=mapRegion),mapRegion),"Not Reported")</f>
        <v/>
      </c>
      <c r="CC1304" s="76">
        <f>IF($BY1304=0,"",IF(TRIM($W1304&amp;"")="REO","REO",IF(TRIM($W1304&amp;"")="FC","Foreclosure",IF(TRIM($W1304&amp;"")="90+","90+ Days Delinquent",IF(TRIM($W1304&amp;"")="60","60 Days Delinquent",IF(TRIM($W1304&amp;"")="30","30 Days Delinquent",IF($X1304="Non-Performing Matured Balloon","Non-Performing Matured Balloon",IF(OR($X1304="Late Payment But Less Than 30 Days Delinquent",LEFT($X1304&amp;"",20)="Payment Not Received"),"Late / In Grace (&lt;30 Days)",IF($X1304="Performing Matured Balloon","Performing Matured Balloon","Current")))))))))</f>
        <v/>
      </c>
      <c r="CD1304" s="78">
        <f>IF(OR($CC1304="REO",$CC1304="Foreclosure",$CC1304="90+ Days Delinquent",$CC1304="60 Days Delinquent",$CC1304="30 Days Delinquent",$CC1304="Non-Performing Matured Balloon"),1,0)</f>
        <v/>
      </c>
      <c r="CE1304" s="76">
        <f>IF($AB1304="Currently special serv","Currently Specially Serviced",IF($AB1304="Returned to master serv","Previously Specially Serviced","Never Specially Serviced"))</f>
        <v/>
      </c>
      <c r="CF1304" s="78">
        <f>IF($CE1304="Currently Specially Serviced",1,0)</f>
        <v/>
      </c>
      <c r="CG1304" s="76">
        <f>IF($AA1304="Yes","Currently on Watchlist",IF($AA1304="Previously","Previously on Watchlist","Never on Watchlist"))</f>
        <v/>
      </c>
      <c r="CH1304" s="78">
        <f>IF($CG1304="Currently on Watchlist",1,0)</f>
        <v/>
      </c>
      <c r="CI1304" s="76">
        <f>IF($Z1304="Full Defeasance","Fully Defeased",IF($Z1304="Portion Of Loan Previously Defeased","Partially Defeased",IF($Z1304="Defeasance Not Allowable","Not Defeased (Not Permitted)","Not Defeased")))</f>
        <v/>
      </c>
      <c r="CJ1304" s="78">
        <f>IF($CI1304="Fully Defeased",1,0)</f>
        <v/>
      </c>
      <c r="CK1304" s="76">
        <f>IF($R1304="IO","Full IO",IF(LEFT($R1304&amp;"",7)="IO then","Partial IO","Amortizing"))</f>
        <v/>
      </c>
      <c r="CL1304" s="78">
        <f>IF($CK1304="Full IO",1,0)</f>
        <v/>
      </c>
      <c r="CM1304" s="78">
        <f>IF($CK1304="Partial IO",1,0)</f>
        <v/>
      </c>
      <c r="CN1304" s="76">
        <f>IF(LEFT($F1304&amp;"",10)="SPLIT_LOAN","Pari Passu Split","Standalone")</f>
        <v/>
      </c>
      <c r="CO1304" s="78">
        <f>IF($CN1304="Pari Passu Split",1,0)</f>
        <v/>
      </c>
      <c r="CP1304" s="77">
        <f>IF(ISNUMBER($T1304),YEAR($T1304),"")</f>
        <v/>
      </c>
      <c r="CQ1304" s="79">
        <f>IF(ISNUMBER($V1304),$V1304,IF(ISNUMBER($U1304),$U1304,""))</f>
        <v/>
      </c>
      <c r="CR1304" s="77">
        <f>IF(ISNUMBER($CQ1304),YEAR($CQ1304),"")</f>
        <v/>
      </c>
      <c r="CS1304" s="78">
        <f>IF(ISNUMBER($M1304),MAX(0,$M1304),IF(TRIM($M1304&amp;"")="matured",0,""))</f>
        <v/>
      </c>
      <c r="CT1304" s="78">
        <f>IF(AND(ISNUMBER($CS1304),N($CS1304)&lt;=mMatWindow),1,0)</f>
        <v/>
      </c>
      <c r="CU1304" s="80">
        <f>IF(ISNUMBER($J1304),$J1304/100,"")</f>
        <v/>
      </c>
      <c r="CV1304" s="81">
        <f>IF(ISNUMBER($AQ1304),$AQ1304,"")</f>
        <v/>
      </c>
      <c r="CW1304" s="81">
        <f>IF(ISNUMBER($AR1304),$AR1304,"")</f>
        <v/>
      </c>
      <c r="CX1304" s="82">
        <f>IF(ISNUMBER($AS1304),$AS1304/100,"")</f>
        <v/>
      </c>
      <c r="CY1304" s="82">
        <f>IF(ISNUMBER($AT1304),$AT1304/100,"")</f>
        <v/>
      </c>
      <c r="CZ1304" s="82">
        <f>IF(ISNUMBER($AU1304),$AU1304/100,"")</f>
        <v/>
      </c>
      <c r="DA1304" s="82">
        <f>IF(ISNUMBER($AV1304),$AV1304/100,"")</f>
        <v/>
      </c>
      <c r="DB1304" s="82">
        <f>IF(ISNUMBER($AW1304),$AW1304/100,"")</f>
        <v/>
      </c>
      <c r="DC1304" s="82">
        <f>IF(ISNUMBER($AX1304),$AX1304/100,"")</f>
        <v/>
      </c>
      <c r="DD1304" s="77">
        <f>IFERROR(VALUE(LEFT(TRIM($AO1304&amp;""),4)),"")</f>
        <v/>
      </c>
      <c r="DE1304" s="78">
        <f>IF(AND($BY1304=1,$BX1304=1,OR(fDeal="All Deals",$BU1304=fDeal),OR(fEntity="All Entities",$BV1304=fEntity),OR(fPType="All Property Types",$BZ1304=fPType),OR(fDefeased="Include",$CJ1304=0)),1,0)</f>
        <v/>
      </c>
      <c r="DF1304" s="83">
        <f>$DE1304*N($I1304)</f>
        <v/>
      </c>
      <c r="DG1304" s="78">
        <f>IF($DE1304=1,IF(COUNTIFS($F$8:$F1304,$F1304,$DE$8:$DE1304,1)=1,1,0),0)</f>
        <v/>
      </c>
      <c r="DH1304" s="83">
        <f>IF($DG1304=1,SUMIFS($DF$8:$DF$1600,$F$8:$F$1600,$F1304),0)</f>
        <v/>
      </c>
      <c r="DI1304" s="78">
        <f>IF($DG1304=1,COUNTIFS($F$8:$F$1600,$F1304,$DE$8:$DE$1600,1),0)</f>
        <v/>
      </c>
      <c r="DJ1304" s="84">
        <f>IF($DG1304=1,$DH1304+(100000-ROW())/mTieBreak,0)</f>
        <v/>
      </c>
    </row>
    <row r="1305">
      <c r="B1305" s="68" t="n">
        <v>7</v>
      </c>
      <c r="C1305" s="69" t="inlineStr">
        <is>
          <t>CD17CD3</t>
        </is>
      </c>
      <c r="D1305" s="69" t="inlineStr">
        <is>
          <t>7.000</t>
        </is>
      </c>
      <c r="E1305" s="69" t="inlineStr">
        <is>
          <t>111 Livingston Street</t>
        </is>
      </c>
      <c r="F1305" s="69" t="inlineStr">
        <is>
          <t>SPLIT_LOAN_00930</t>
        </is>
      </c>
      <c r="G1305" s="70" t="n">
        <v>930</v>
      </c>
      <c r="H1305" s="71" t="n">
        <v>67000000</v>
      </c>
      <c r="I1305" s="71" t="n">
        <v>67000000</v>
      </c>
      <c r="J1305" s="72" t="n">
        <v>4.73</v>
      </c>
      <c r="K1305" s="69" t="inlineStr">
        <is>
          <t>Fixed rate</t>
        </is>
      </c>
      <c r="L1305" s="68" t="n">
        <v>120</v>
      </c>
      <c r="M1305" s="68" t="n">
        <v>4</v>
      </c>
      <c r="N1305" s="68" t="n">
        <v>120</v>
      </c>
      <c r="O1305" s="68" t="n">
        <v>120</v>
      </c>
      <c r="P1305" s="68" t="n">
        <v>4</v>
      </c>
      <c r="Q1305" s="68" t="n">
        <v>116</v>
      </c>
      <c r="R1305" s="69" t="inlineStr">
        <is>
          <t>IO</t>
        </is>
      </c>
      <c r="S1305" s="69" t="inlineStr">
        <is>
          <t>Yes</t>
        </is>
      </c>
      <c r="T1305" s="73" t="n">
        <v>42736</v>
      </c>
      <c r="U1305" s="73" t="n">
        <v>46393</v>
      </c>
      <c r="V1305" s="73" t="n"/>
      <c r="W1305" s="69" t="n"/>
      <c r="X1305" s="69" t="inlineStr">
        <is>
          <t>Current</t>
        </is>
      </c>
      <c r="Y1305" s="68" t="n"/>
      <c r="Z1305" s="69" t="inlineStr">
        <is>
          <t>No Defeasance Occurred</t>
        </is>
      </c>
      <c r="AA1305" s="69" t="inlineStr">
        <is>
          <t>Previously</t>
        </is>
      </c>
      <c r="AB1305" s="69" t="inlineStr">
        <is>
          <t>Currently special serv</t>
        </is>
      </c>
      <c r="AC1305" s="73" t="n">
        <v>46218</v>
      </c>
      <c r="AD1305" s="69" t="inlineStr">
        <is>
          <t>Imminent Monetary Default (Balloon/Maturity Default)</t>
        </is>
      </c>
      <c r="AE1305" s="69" t="inlineStr">
        <is>
          <t>Other</t>
        </is>
      </c>
      <c r="AF1305" s="69" t="inlineStr">
        <is>
          <t>NY</t>
        </is>
      </c>
      <c r="AG1305" s="69" t="inlineStr">
        <is>
          <t>Brooklyn</t>
        </is>
      </c>
      <c r="AH1305" s="69" t="inlineStr">
        <is>
          <t>New York-Newark-Jersey City, NY-NJ</t>
        </is>
      </c>
      <c r="AI1305" s="69" t="inlineStr">
        <is>
          <t>Northeast / Mid-Atlantic</t>
        </is>
      </c>
      <c r="AJ1305" s="69" t="inlineStr">
        <is>
          <t>OF</t>
        </is>
      </c>
      <c r="AK1305" s="69" t="inlineStr">
        <is>
          <t>CBD</t>
        </is>
      </c>
      <c r="AL1305" s="68" t="n">
        <v>1</v>
      </c>
      <c r="AM1305" s="68" t="n"/>
      <c r="AN1305" s="68" t="n">
        <v>434000</v>
      </c>
      <c r="AO1305" s="69" t="inlineStr">
        <is>
          <t>1969</t>
        </is>
      </c>
      <c r="AP1305" s="70" t="n">
        <v>2001</v>
      </c>
      <c r="AQ1305" s="74" t="n">
        <v>1.56</v>
      </c>
      <c r="AR1305" s="74" t="n">
        <v>0.39</v>
      </c>
      <c r="AS1305" s="74" t="n">
        <v>54.79</v>
      </c>
      <c r="AT1305" s="74" t="n">
        <v>54.79</v>
      </c>
      <c r="AU1305" s="74" t="n">
        <v>54.8</v>
      </c>
      <c r="AV1305" s="74" t="n">
        <v>7.472084167</v>
      </c>
      <c r="AW1305" s="74" t="n">
        <v>1.892502767</v>
      </c>
      <c r="AX1305" s="75" t="n">
        <v>55</v>
      </c>
      <c r="AY1305" s="71" t="n">
        <v>219000000</v>
      </c>
      <c r="AZ1305" s="71" t="n">
        <v>219000000</v>
      </c>
      <c r="BA1305" s="71" t="n">
        <v>8966501</v>
      </c>
      <c r="BB1305" s="71" t="n">
        <v>2271003.32</v>
      </c>
      <c r="BC1305" s="69" t="inlineStr">
        <is>
          <t>Refinance</t>
        </is>
      </c>
      <c r="BD1305" s="69" t="inlineStr">
        <is>
          <t>N</t>
        </is>
      </c>
      <c r="BE1305" s="71" t="n">
        <v>53000000</v>
      </c>
      <c r="BF1305" s="71" t="n"/>
      <c r="BG1305" s="71" t="n"/>
      <c r="BH1305" s="71" t="n">
        <v>0</v>
      </c>
      <c r="BI1305" s="71" t="n">
        <v>0</v>
      </c>
      <c r="BJ1305" s="69" t="inlineStr">
        <is>
          <t>N</t>
        </is>
      </c>
      <c r="BK1305" s="69" t="inlineStr">
        <is>
          <t>The Legal Aid Society</t>
        </is>
      </c>
      <c r="BL1305" s="75" t="n">
        <v>27</v>
      </c>
      <c r="BM1305" s="73" t="n">
        <v>50344</v>
      </c>
      <c r="BN1305" s="69" t="inlineStr">
        <is>
          <t>Abraham Leser; Harry Gold; Robert Schachter and Edith Leser</t>
        </is>
      </c>
      <c r="BO1305" s="69" t="inlineStr">
        <is>
          <t>Citigroup Global Markets / GACC</t>
        </is>
      </c>
      <c r="BP1305" s="69" t="inlineStr">
        <is>
          <t>Midland Loan Services</t>
        </is>
      </c>
      <c r="BQ1305" s="69" t="inlineStr">
        <is>
          <t>K-Star Asset Management LLC</t>
        </is>
      </c>
      <c r="BR1305" s="69" t="n"/>
      <c r="BS1305" s="73" t="n">
        <v>46273</v>
      </c>
      <c r="BU1305" s="76">
        <f>IF($C1305="","",IFERROR(INDEX(dmName,MATCH($C1305,dmID,0)),"Unmapped"))</f>
        <v/>
      </c>
      <c r="BV1305" s="76">
        <f>IF($C1305="","",IFERROR(INDEX(dmEntity,MATCH($C1305,dmID,0)),"Unmapped"))</f>
        <v/>
      </c>
      <c r="BW1305" s="77">
        <f>IF($C1305="","",IFERROR(INDEX(dmVintage,MATCH($C1305,dmID,0)),""))</f>
        <v/>
      </c>
      <c r="BX1305" s="78">
        <f>IFERROR(INDEX(dmInclude,MATCH($C1305,dmID,0)),0)</f>
        <v/>
      </c>
      <c r="BY1305" s="78">
        <f>IF(N($I1305)&gt;0,1,0)</f>
        <v/>
      </c>
      <c r="BZ1305" s="76">
        <f>IF($AJ1305="","Other / Leased Fee",IFERROR(INDEX(mapPTGroup,MATCH(LEFT(TRIM($AJ1305),2),mapPTCode,0)),"Other / Leased Fee"))</f>
        <v/>
      </c>
      <c r="CA1305" s="76">
        <f>IF(TRIM($AF1305&amp;"")="","NR",LEFT(TRIM($AF1305),2))</f>
        <v/>
      </c>
      <c r="CB1305" s="76">
        <f>IFERROR(LOOKUP(2,1/(LEFT(TRIM($AI1305&amp;""),LEN(mapRegion))=mapRegion),mapRegion),"Not Reported")</f>
        <v/>
      </c>
      <c r="CC1305" s="76">
        <f>IF($BY1305=0,"",IF(TRIM($W1305&amp;"")="REO","REO",IF(TRIM($W1305&amp;"")="FC","Foreclosure",IF(TRIM($W1305&amp;"")="90+","90+ Days Delinquent",IF(TRIM($W1305&amp;"")="60","60 Days Delinquent",IF(TRIM($W1305&amp;"")="30","30 Days Delinquent",IF($X1305="Non-Performing Matured Balloon","Non-Performing Matured Balloon",IF(OR($X1305="Late Payment But Less Than 30 Days Delinquent",LEFT($X1305&amp;"",20)="Payment Not Received"),"Late / In Grace (&lt;30 Days)",IF($X1305="Performing Matured Balloon","Performing Matured Balloon","Current")))))))))</f>
        <v/>
      </c>
      <c r="CD1305" s="78">
        <f>IF(OR($CC1305="REO",$CC1305="Foreclosure",$CC1305="90+ Days Delinquent",$CC1305="60 Days Delinquent",$CC1305="30 Days Delinquent",$CC1305="Non-Performing Matured Balloon"),1,0)</f>
        <v/>
      </c>
      <c r="CE1305" s="76">
        <f>IF($AB1305="Currently special serv","Currently Specially Serviced",IF($AB1305="Returned to master serv","Previously Specially Serviced","Never Specially Serviced"))</f>
        <v/>
      </c>
      <c r="CF1305" s="78">
        <f>IF($CE1305="Currently Specially Serviced",1,0)</f>
        <v/>
      </c>
      <c r="CG1305" s="76">
        <f>IF($AA1305="Yes","Currently on Watchlist",IF($AA1305="Previously","Previously on Watchlist","Never on Watchlist"))</f>
        <v/>
      </c>
      <c r="CH1305" s="78">
        <f>IF($CG1305="Currently on Watchlist",1,0)</f>
        <v/>
      </c>
      <c r="CI1305" s="76">
        <f>IF($Z1305="Full Defeasance","Fully Defeased",IF($Z1305="Portion Of Loan Previously Defeased","Partially Defeased",IF($Z1305="Defeasance Not Allowable","Not Defeased (Not Permitted)","Not Defeased")))</f>
        <v/>
      </c>
      <c r="CJ1305" s="78">
        <f>IF($CI1305="Fully Defeased",1,0)</f>
        <v/>
      </c>
      <c r="CK1305" s="76">
        <f>IF($R1305="IO","Full IO",IF(LEFT($R1305&amp;"",7)="IO then","Partial IO","Amortizing"))</f>
        <v/>
      </c>
      <c r="CL1305" s="78">
        <f>IF($CK1305="Full IO",1,0)</f>
        <v/>
      </c>
      <c r="CM1305" s="78">
        <f>IF($CK1305="Partial IO",1,0)</f>
        <v/>
      </c>
      <c r="CN1305" s="76">
        <f>IF(LEFT($F1305&amp;"",10)="SPLIT_LOAN","Pari Passu Split","Standalone")</f>
        <v/>
      </c>
      <c r="CO1305" s="78">
        <f>IF($CN1305="Pari Passu Split",1,0)</f>
        <v/>
      </c>
      <c r="CP1305" s="77">
        <f>IF(ISNUMBER($T1305),YEAR($T1305),"")</f>
        <v/>
      </c>
      <c r="CQ1305" s="79">
        <f>IF(ISNUMBER($V1305),$V1305,IF(ISNUMBER($U1305),$U1305,""))</f>
        <v/>
      </c>
      <c r="CR1305" s="77">
        <f>IF(ISNUMBER($CQ1305),YEAR($CQ1305),"")</f>
        <v/>
      </c>
      <c r="CS1305" s="78">
        <f>IF(ISNUMBER($M1305),MAX(0,$M1305),IF(TRIM($M1305&amp;"")="matured",0,""))</f>
        <v/>
      </c>
      <c r="CT1305" s="78">
        <f>IF(AND(ISNUMBER($CS1305),N($CS1305)&lt;=mMatWindow),1,0)</f>
        <v/>
      </c>
      <c r="CU1305" s="80">
        <f>IF(ISNUMBER($J1305),$J1305/100,"")</f>
        <v/>
      </c>
      <c r="CV1305" s="81">
        <f>IF(ISNUMBER($AQ1305),$AQ1305,"")</f>
        <v/>
      </c>
      <c r="CW1305" s="81">
        <f>IF(ISNUMBER($AR1305),$AR1305,"")</f>
        <v/>
      </c>
      <c r="CX1305" s="82">
        <f>IF(ISNUMBER($AS1305),$AS1305/100,"")</f>
        <v/>
      </c>
      <c r="CY1305" s="82">
        <f>IF(ISNUMBER($AT1305),$AT1305/100,"")</f>
        <v/>
      </c>
      <c r="CZ1305" s="82">
        <f>IF(ISNUMBER($AU1305),$AU1305/100,"")</f>
        <v/>
      </c>
      <c r="DA1305" s="82">
        <f>IF(ISNUMBER($AV1305),$AV1305/100,"")</f>
        <v/>
      </c>
      <c r="DB1305" s="82">
        <f>IF(ISNUMBER($AW1305),$AW1305/100,"")</f>
        <v/>
      </c>
      <c r="DC1305" s="82">
        <f>IF(ISNUMBER($AX1305),$AX1305/100,"")</f>
        <v/>
      </c>
      <c r="DD1305" s="77">
        <f>IFERROR(VALUE(LEFT(TRIM($AO1305&amp;""),4)),"")</f>
        <v/>
      </c>
      <c r="DE1305" s="78">
        <f>IF(AND($BY1305=1,$BX1305=1,OR(fDeal="All Deals",$BU1305=fDeal),OR(fEntity="All Entities",$BV1305=fEntity),OR(fPType="All Property Types",$BZ1305=fPType),OR(fDefeased="Include",$CJ1305=0)),1,0)</f>
        <v/>
      </c>
      <c r="DF1305" s="83">
        <f>$DE1305*N($I1305)</f>
        <v/>
      </c>
      <c r="DG1305" s="78">
        <f>IF($DE1305=1,IF(COUNTIFS($F$8:$F1305,$F1305,$DE$8:$DE1305,1)=1,1,0),0)</f>
        <v/>
      </c>
      <c r="DH1305" s="83">
        <f>IF($DG1305=1,SUMIFS($DF$8:$DF$1600,$F$8:$F$1600,$F1305),0)</f>
        <v/>
      </c>
      <c r="DI1305" s="78">
        <f>IF($DG1305=1,COUNTIFS($F$8:$F$1600,$F1305,$DE$8:$DE$1600,1),0)</f>
        <v/>
      </c>
      <c r="DJ1305" s="84">
        <f>IF($DG1305=1,$DH1305+(100000-ROW())/mTieBreak,0)</f>
        <v/>
      </c>
    </row>
    <row r="1306">
      <c r="B1306" s="68" t="n">
        <v>8</v>
      </c>
      <c r="C1306" s="69" t="inlineStr">
        <is>
          <t>CD17CD3</t>
        </is>
      </c>
      <c r="D1306" s="69" t="inlineStr">
        <is>
          <t>8.TR</t>
        </is>
      </c>
      <c r="E1306" s="69" t="inlineStr">
        <is>
          <t>Hilton Hawaiian Village Waikiki Beach Resort - Trust</t>
        </is>
      </c>
      <c r="F1306" s="69" t="inlineStr">
        <is>
          <t>SPLIT_LOAN_00917</t>
        </is>
      </c>
      <c r="G1306" s="70" t="n">
        <v>917</v>
      </c>
      <c r="H1306" s="71" t="n">
        <v>60000000</v>
      </c>
      <c r="I1306" s="71" t="n">
        <v>60000000</v>
      </c>
      <c r="J1306" s="72" t="n">
        <v>4.1995</v>
      </c>
      <c r="K1306" s="69" t="inlineStr">
        <is>
          <t>Fixed rate</t>
        </is>
      </c>
      <c r="L1306" s="68" t="n">
        <v>120</v>
      </c>
      <c r="M1306" s="68" t="n">
        <v>2</v>
      </c>
      <c r="N1306" s="68" t="n">
        <v>120</v>
      </c>
      <c r="O1306" s="68" t="n">
        <v>120</v>
      </c>
      <c r="P1306" s="68" t="n">
        <v>2</v>
      </c>
      <c r="Q1306" s="68" t="n">
        <v>118</v>
      </c>
      <c r="R1306" s="69" t="inlineStr">
        <is>
          <t>IO</t>
        </is>
      </c>
      <c r="S1306" s="69" t="inlineStr">
        <is>
          <t>Yes</t>
        </is>
      </c>
      <c r="T1306" s="73" t="n">
        <v>42675</v>
      </c>
      <c r="U1306" s="73" t="n">
        <v>46327</v>
      </c>
      <c r="V1306" s="73" t="n"/>
      <c r="W1306" s="69" t="n"/>
      <c r="X1306" s="69" t="inlineStr">
        <is>
          <t>Current</t>
        </is>
      </c>
      <c r="Y1306" s="68" t="n"/>
      <c r="Z1306" s="69" t="inlineStr">
        <is>
          <t>No Defeasance Occurred</t>
        </is>
      </c>
      <c r="AA1306" s="69" t="inlineStr">
        <is>
          <t>Yes</t>
        </is>
      </c>
      <c r="AB1306" s="69" t="inlineStr">
        <is>
          <t>Never special serv</t>
        </is>
      </c>
      <c r="AC1306" s="73" t="n"/>
      <c r="AD1306" s="69" t="n"/>
      <c r="AE1306" s="69" t="n"/>
      <c r="AF1306" s="69" t="inlineStr">
        <is>
          <t>HI</t>
        </is>
      </c>
      <c r="AG1306" s="69" t="inlineStr">
        <is>
          <t>Honolulu</t>
        </is>
      </c>
      <c r="AH1306" s="69" t="inlineStr">
        <is>
          <t>Urban Honolulu, HI</t>
        </is>
      </c>
      <c r="AI1306" s="69" t="inlineStr">
        <is>
          <t>West / Pacific South</t>
        </is>
      </c>
      <c r="AJ1306" s="69" t="inlineStr">
        <is>
          <t>HT</t>
        </is>
      </c>
      <c r="AK1306" s="69" t="inlineStr">
        <is>
          <t>Full Service</t>
        </is>
      </c>
      <c r="AL1306" s="68" t="n">
        <v>1</v>
      </c>
      <c r="AM1306" s="68" t="n">
        <v>2860</v>
      </c>
      <c r="AN1306" s="68" t="n"/>
      <c r="AO1306" s="69" t="inlineStr">
        <is>
          <t>1961</t>
        </is>
      </c>
      <c r="AP1306" s="70" t="n">
        <v>2016</v>
      </c>
      <c r="AQ1306" s="74" t="n">
        <v>4.47</v>
      </c>
      <c r="AR1306" s="74" t="n">
        <v>4.45</v>
      </c>
      <c r="AS1306" s="74" t="n">
        <v>31.2</v>
      </c>
      <c r="AT1306" s="74" t="n">
        <v>31.24</v>
      </c>
      <c r="AU1306" s="74" t="n"/>
      <c r="AV1306" s="74" t="n">
        <v>19.033444588</v>
      </c>
      <c r="AW1306" s="74" t="n">
        <v>18.305448895</v>
      </c>
      <c r="AX1306" s="75" t="n">
        <v>85</v>
      </c>
      <c r="AY1306" s="71" t="n">
        <v>2230000000</v>
      </c>
      <c r="AZ1306" s="71" t="n">
        <v>2230000000</v>
      </c>
      <c r="BA1306" s="71" t="n">
        <v>132586975</v>
      </c>
      <c r="BB1306" s="71" t="n">
        <v>132183797</v>
      </c>
      <c r="BC1306" s="69" t="inlineStr">
        <is>
          <t>Refinance</t>
        </is>
      </c>
      <c r="BD1306" s="69" t="inlineStr">
        <is>
          <t>Y</t>
        </is>
      </c>
      <c r="BE1306" s="71" t="n">
        <v>636600000</v>
      </c>
      <c r="BF1306" s="71" t="n">
        <v>578400000</v>
      </c>
      <c r="BG1306" s="71" t="n"/>
      <c r="BH1306" s="71" t="n">
        <v>0</v>
      </c>
      <c r="BI1306" s="71" t="n">
        <v>0</v>
      </c>
      <c r="BJ1306" s="69" t="inlineStr">
        <is>
          <t>N</t>
        </is>
      </c>
      <c r="BK1306" s="69" t="n"/>
      <c r="BL1306" s="75" t="n"/>
      <c r="BM1306" s="73" t="n"/>
      <c r="BN1306" s="69" t="inlineStr">
        <is>
          <t>Park Intermediate Holdings LLC</t>
        </is>
      </c>
      <c r="BO1306" s="69" t="inlineStr">
        <is>
          <t>GACC</t>
        </is>
      </c>
      <c r="BP1306" s="69" t="inlineStr">
        <is>
          <t>Midland Loan Services</t>
        </is>
      </c>
      <c r="BQ1306" s="69" t="inlineStr">
        <is>
          <t>CWCapital</t>
        </is>
      </c>
      <c r="BR1306" s="69" t="n"/>
      <c r="BS1306" s="73" t="n">
        <v>46273</v>
      </c>
      <c r="BU1306" s="76">
        <f>IF($C1306="","",IFERROR(INDEX(dmName,MATCH($C1306,dmID,0)),"Unmapped"))</f>
        <v/>
      </c>
      <c r="BV1306" s="76">
        <f>IF($C1306="","",IFERROR(INDEX(dmEntity,MATCH($C1306,dmID,0)),"Unmapped"))</f>
        <v/>
      </c>
      <c r="BW1306" s="77">
        <f>IF($C1306="","",IFERROR(INDEX(dmVintage,MATCH($C1306,dmID,0)),""))</f>
        <v/>
      </c>
      <c r="BX1306" s="78">
        <f>IFERROR(INDEX(dmInclude,MATCH($C1306,dmID,0)),0)</f>
        <v/>
      </c>
      <c r="BY1306" s="78">
        <f>IF(N($I1306)&gt;0,1,0)</f>
        <v/>
      </c>
      <c r="BZ1306" s="76">
        <f>IF($AJ1306="","Other / Leased Fee",IFERROR(INDEX(mapPTGroup,MATCH(LEFT(TRIM($AJ1306),2),mapPTCode,0)),"Other / Leased Fee"))</f>
        <v/>
      </c>
      <c r="CA1306" s="76">
        <f>IF(TRIM($AF1306&amp;"")="","NR",LEFT(TRIM($AF1306),2))</f>
        <v/>
      </c>
      <c r="CB1306" s="76">
        <f>IFERROR(LOOKUP(2,1/(LEFT(TRIM($AI1306&amp;""),LEN(mapRegion))=mapRegion),mapRegion),"Not Reported")</f>
        <v/>
      </c>
      <c r="CC1306" s="76">
        <f>IF($BY1306=0,"",IF(TRIM($W1306&amp;"")="REO","REO",IF(TRIM($W1306&amp;"")="FC","Foreclosure",IF(TRIM($W1306&amp;"")="90+","90+ Days Delinquent",IF(TRIM($W1306&amp;"")="60","60 Days Delinquent",IF(TRIM($W1306&amp;"")="30","30 Days Delinquent",IF($X1306="Non-Performing Matured Balloon","Non-Performing Matured Balloon",IF(OR($X1306="Late Payment But Less Than 30 Days Delinquent",LEFT($X1306&amp;"",20)="Payment Not Received"),"Late / In Grace (&lt;30 Days)",IF($X1306="Performing Matured Balloon","Performing Matured Balloon","Current")))))))))</f>
        <v/>
      </c>
      <c r="CD1306" s="78">
        <f>IF(OR($CC1306="REO",$CC1306="Foreclosure",$CC1306="90+ Days Delinquent",$CC1306="60 Days Delinquent",$CC1306="30 Days Delinquent",$CC1306="Non-Performing Matured Balloon"),1,0)</f>
        <v/>
      </c>
      <c r="CE1306" s="76">
        <f>IF($AB1306="Currently special serv","Currently Specially Serviced",IF($AB1306="Returned to master serv","Previously Specially Serviced","Never Specially Serviced"))</f>
        <v/>
      </c>
      <c r="CF1306" s="78">
        <f>IF($CE1306="Currently Specially Serviced",1,0)</f>
        <v/>
      </c>
      <c r="CG1306" s="76">
        <f>IF($AA1306="Yes","Currently on Watchlist",IF($AA1306="Previously","Previously on Watchlist","Never on Watchlist"))</f>
        <v/>
      </c>
      <c r="CH1306" s="78">
        <f>IF($CG1306="Currently on Watchlist",1,0)</f>
        <v/>
      </c>
      <c r="CI1306" s="76">
        <f>IF($Z1306="Full Defeasance","Fully Defeased",IF($Z1306="Portion Of Loan Previously Defeased","Partially Defeased",IF($Z1306="Defeasance Not Allowable","Not Defeased (Not Permitted)","Not Defeased")))</f>
        <v/>
      </c>
      <c r="CJ1306" s="78">
        <f>IF($CI1306="Fully Defeased",1,0)</f>
        <v/>
      </c>
      <c r="CK1306" s="76">
        <f>IF($R1306="IO","Full IO",IF(LEFT($R1306&amp;"",7)="IO then","Partial IO","Amortizing"))</f>
        <v/>
      </c>
      <c r="CL1306" s="78">
        <f>IF($CK1306="Full IO",1,0)</f>
        <v/>
      </c>
      <c r="CM1306" s="78">
        <f>IF($CK1306="Partial IO",1,0)</f>
        <v/>
      </c>
      <c r="CN1306" s="76">
        <f>IF(LEFT($F1306&amp;"",10)="SPLIT_LOAN","Pari Passu Split","Standalone")</f>
        <v/>
      </c>
      <c r="CO1306" s="78">
        <f>IF($CN1306="Pari Passu Split",1,0)</f>
        <v/>
      </c>
      <c r="CP1306" s="77">
        <f>IF(ISNUMBER($T1306),YEAR($T1306),"")</f>
        <v/>
      </c>
      <c r="CQ1306" s="79">
        <f>IF(ISNUMBER($V1306),$V1306,IF(ISNUMBER($U1306),$U1306,""))</f>
        <v/>
      </c>
      <c r="CR1306" s="77">
        <f>IF(ISNUMBER($CQ1306),YEAR($CQ1306),"")</f>
        <v/>
      </c>
      <c r="CS1306" s="78">
        <f>IF(ISNUMBER($M1306),MAX(0,$M1306),IF(TRIM($M1306&amp;"")="matured",0,""))</f>
        <v/>
      </c>
      <c r="CT1306" s="78">
        <f>IF(AND(ISNUMBER($CS1306),N($CS1306)&lt;=mMatWindow),1,0)</f>
        <v/>
      </c>
      <c r="CU1306" s="80">
        <f>IF(ISNUMBER($J1306),$J1306/100,"")</f>
        <v/>
      </c>
      <c r="CV1306" s="81">
        <f>IF(ISNUMBER($AQ1306),$AQ1306,"")</f>
        <v/>
      </c>
      <c r="CW1306" s="81">
        <f>IF(ISNUMBER($AR1306),$AR1306,"")</f>
        <v/>
      </c>
      <c r="CX1306" s="82">
        <f>IF(ISNUMBER($AS1306),$AS1306/100,"")</f>
        <v/>
      </c>
      <c r="CY1306" s="82">
        <f>IF(ISNUMBER($AT1306),$AT1306/100,"")</f>
        <v/>
      </c>
      <c r="CZ1306" s="82">
        <f>IF(ISNUMBER($AU1306),$AU1306/100,"")</f>
        <v/>
      </c>
      <c r="DA1306" s="82">
        <f>IF(ISNUMBER($AV1306),$AV1306/100,"")</f>
        <v/>
      </c>
      <c r="DB1306" s="82">
        <f>IF(ISNUMBER($AW1306),$AW1306/100,"")</f>
        <v/>
      </c>
      <c r="DC1306" s="82">
        <f>IF(ISNUMBER($AX1306),$AX1306/100,"")</f>
        <v/>
      </c>
      <c r="DD1306" s="77">
        <f>IFERROR(VALUE(LEFT(TRIM($AO1306&amp;""),4)),"")</f>
        <v/>
      </c>
      <c r="DE1306" s="78">
        <f>IF(AND($BY1306=1,$BX1306=1,OR(fDeal="All Deals",$BU1306=fDeal),OR(fEntity="All Entities",$BV1306=fEntity),OR(fPType="All Property Types",$BZ1306=fPType),OR(fDefeased="Include",$CJ1306=0)),1,0)</f>
        <v/>
      </c>
      <c r="DF1306" s="83">
        <f>$DE1306*N($I1306)</f>
        <v/>
      </c>
      <c r="DG1306" s="78">
        <f>IF($DE1306=1,IF(COUNTIFS($F$8:$F1306,$F1306,$DE$8:$DE1306,1)=1,1,0),0)</f>
        <v/>
      </c>
      <c r="DH1306" s="83">
        <f>IF($DG1306=1,SUMIFS($DF$8:$DF$1600,$F$8:$F$1600,$F1306),0)</f>
        <v/>
      </c>
      <c r="DI1306" s="78">
        <f>IF($DG1306=1,COUNTIFS($F$8:$F$1600,$F1306,$DE$8:$DE$1600,1),0)</f>
        <v/>
      </c>
      <c r="DJ1306" s="84">
        <f>IF($DG1306=1,$DH1306+(100000-ROW())/mTieBreak,0)</f>
        <v/>
      </c>
    </row>
    <row r="1307">
      <c r="B1307" s="68" t="n">
        <v>9</v>
      </c>
      <c r="C1307" s="69" t="inlineStr">
        <is>
          <t>CD17CD3</t>
        </is>
      </c>
      <c r="D1307" s="69" t="inlineStr">
        <is>
          <t>9.000</t>
        </is>
      </c>
      <c r="E1307" s="69" t="inlineStr">
        <is>
          <t>State Farm Data Center</t>
        </is>
      </c>
      <c r="F1307" s="69" t="inlineStr">
        <is>
          <t>SPLIT_LOAN_00931</t>
        </is>
      </c>
      <c r="G1307" s="70" t="n">
        <v>931</v>
      </c>
      <c r="H1307" s="71" t="n">
        <v>55000000</v>
      </c>
      <c r="I1307" s="71" t="n">
        <v>0</v>
      </c>
      <c r="J1307" s="72" t="n">
        <v>4.64</v>
      </c>
      <c r="K1307" s="69" t="inlineStr">
        <is>
          <t>Fixed rate</t>
        </is>
      </c>
      <c r="L1307" s="68" t="n">
        <v>120</v>
      </c>
      <c r="M1307" s="68" t="n"/>
      <c r="N1307" s="68" t="n">
        <v>120</v>
      </c>
      <c r="O1307" s="68" t="n">
        <v>120</v>
      </c>
      <c r="P1307" s="68" t="n"/>
      <c r="Q1307" s="68" t="n"/>
      <c r="R1307" s="69" t="inlineStr">
        <is>
          <t>IO</t>
        </is>
      </c>
      <c r="S1307" s="69" t="inlineStr">
        <is>
          <t>Yes</t>
        </is>
      </c>
      <c r="T1307" s="73" t="n">
        <v>42767</v>
      </c>
      <c r="U1307" s="73" t="n">
        <v>48158</v>
      </c>
      <c r="V1307" s="73" t="n">
        <v>46424</v>
      </c>
      <c r="W1307" s="69" t="n"/>
      <c r="X1307" s="69" t="inlineStr">
        <is>
          <t>Current</t>
        </is>
      </c>
      <c r="Y1307" s="68" t="n"/>
      <c r="Z1307" s="69" t="inlineStr">
        <is>
          <t>Defeasance Not Allowable</t>
        </is>
      </c>
      <c r="AA1307" s="69" t="n"/>
      <c r="AB1307" s="69" t="inlineStr">
        <is>
          <t>Never special serv</t>
        </is>
      </c>
      <c r="AC1307" s="73" t="n"/>
      <c r="AD1307" s="69" t="n"/>
      <c r="AE1307" s="69" t="n"/>
      <c r="AF1307" s="69" t="inlineStr">
        <is>
          <t>KS</t>
        </is>
      </c>
      <c r="AG1307" s="69" t="inlineStr">
        <is>
          <t>Olathe</t>
        </is>
      </c>
      <c r="AH1307" s="69" t="inlineStr">
        <is>
          <t>Kansas City, MO-KS</t>
        </is>
      </c>
      <c r="AI1307" s="69" t="inlineStr">
        <is>
          <t>Midwest / Central West</t>
        </is>
      </c>
      <c r="AJ1307" s="69" t="inlineStr">
        <is>
          <t>OF</t>
        </is>
      </c>
      <c r="AK1307" s="69" t="inlineStr">
        <is>
          <t>Data Center</t>
        </is>
      </c>
      <c r="AL1307" s="68" t="n">
        <v>1</v>
      </c>
      <c r="AM1307" s="68" t="n"/>
      <c r="AN1307" s="68" t="n">
        <v>193953</v>
      </c>
      <c r="AO1307" s="69" t="inlineStr">
        <is>
          <t>2016</t>
        </is>
      </c>
      <c r="AP1307" s="70" t="n">
        <v>2016</v>
      </c>
      <c r="AQ1307" s="74" t="n">
        <v>2.42</v>
      </c>
      <c r="AR1307" s="74" t="n">
        <v>3.1</v>
      </c>
      <c r="AS1307" s="74" t="n">
        <v>62.5</v>
      </c>
      <c r="AT1307" s="74" t="n"/>
      <c r="AU1307" s="74" t="n">
        <v>62.5</v>
      </c>
      <c r="AV1307" s="74" t="n">
        <v>11.380816262</v>
      </c>
      <c r="AW1307" s="74" t="n"/>
      <c r="AX1307" s="75" t="n">
        <v>100</v>
      </c>
      <c r="AY1307" s="71" t="n">
        <v>128000000</v>
      </c>
      <c r="AZ1307" s="71" t="n">
        <v>128000000</v>
      </c>
      <c r="BA1307" s="71" t="n">
        <v>9104653.01</v>
      </c>
      <c r="BB1307" s="71" t="n">
        <v>11654941.36</v>
      </c>
      <c r="BC1307" s="69" t="inlineStr">
        <is>
          <t>Acquisition/Refinance</t>
        </is>
      </c>
      <c r="BD1307" s="69" t="inlineStr">
        <is>
          <t>N</t>
        </is>
      </c>
      <c r="BE1307" s="71" t="n">
        <v>0</v>
      </c>
      <c r="BF1307" s="71" t="n"/>
      <c r="BG1307" s="71" t="n"/>
      <c r="BH1307" s="71" t="n">
        <v>0</v>
      </c>
      <c r="BI1307" s="71" t="n">
        <v>0</v>
      </c>
      <c r="BJ1307" s="69" t="inlineStr">
        <is>
          <t>N</t>
        </is>
      </c>
      <c r="BK1307" s="69" t="inlineStr">
        <is>
          <t>State Farm Insurance Company</t>
        </is>
      </c>
      <c r="BL1307" s="75" t="n">
        <v>100</v>
      </c>
      <c r="BM1307" s="73" t="n">
        <v>48182</v>
      </c>
      <c r="BN1307" s="69" t="inlineStr">
        <is>
          <t>JDM Partners Opportunity Fund III LLC</t>
        </is>
      </c>
      <c r="BO1307" s="69" t="inlineStr">
        <is>
          <t>GACC</t>
        </is>
      </c>
      <c r="BP1307" s="69" t="inlineStr">
        <is>
          <t>Midland Loan Services</t>
        </is>
      </c>
      <c r="BQ1307" s="69" t="inlineStr">
        <is>
          <t>K-Star Asset Management LLC</t>
        </is>
      </c>
      <c r="BR1307" s="69" t="inlineStr">
        <is>
          <t>Payoff With Penalty</t>
        </is>
      </c>
      <c r="BS1307" s="73" t="n">
        <v>45663</v>
      </c>
      <c r="BU1307" s="76">
        <f>IF($C1307="","",IFERROR(INDEX(dmName,MATCH($C1307,dmID,0)),"Unmapped"))</f>
        <v/>
      </c>
      <c r="BV1307" s="76">
        <f>IF($C1307="","",IFERROR(INDEX(dmEntity,MATCH($C1307,dmID,0)),"Unmapped"))</f>
        <v/>
      </c>
      <c r="BW1307" s="77">
        <f>IF($C1307="","",IFERROR(INDEX(dmVintage,MATCH($C1307,dmID,0)),""))</f>
        <v/>
      </c>
      <c r="BX1307" s="78">
        <f>IFERROR(INDEX(dmInclude,MATCH($C1307,dmID,0)),0)</f>
        <v/>
      </c>
      <c r="BY1307" s="78">
        <f>IF(N($I1307)&gt;0,1,0)</f>
        <v/>
      </c>
      <c r="BZ1307" s="76">
        <f>IF($AJ1307="","Other / Leased Fee",IFERROR(INDEX(mapPTGroup,MATCH(LEFT(TRIM($AJ1307),2),mapPTCode,0)),"Other / Leased Fee"))</f>
        <v/>
      </c>
      <c r="CA1307" s="76">
        <f>IF(TRIM($AF1307&amp;"")="","NR",LEFT(TRIM($AF1307),2))</f>
        <v/>
      </c>
      <c r="CB1307" s="76">
        <f>IFERROR(LOOKUP(2,1/(LEFT(TRIM($AI1307&amp;""),LEN(mapRegion))=mapRegion),mapRegion),"Not Reported")</f>
        <v/>
      </c>
      <c r="CC1307" s="76">
        <f>IF($BY1307=0,"",IF(TRIM($W1307&amp;"")="REO","REO",IF(TRIM($W1307&amp;"")="FC","Foreclosure",IF(TRIM($W1307&amp;"")="90+","90+ Days Delinquent",IF(TRIM($W1307&amp;"")="60","60 Days Delinquent",IF(TRIM($W1307&amp;"")="30","30 Days Delinquent",IF($X1307="Non-Performing Matured Balloon","Non-Performing Matured Balloon",IF(OR($X1307="Late Payment But Less Than 30 Days Delinquent",LEFT($X1307&amp;"",20)="Payment Not Received"),"Late / In Grace (&lt;30 Days)",IF($X1307="Performing Matured Balloon","Performing Matured Balloon","Current")))))))))</f>
        <v/>
      </c>
      <c r="CD1307" s="78">
        <f>IF(OR($CC1307="REO",$CC1307="Foreclosure",$CC1307="90+ Days Delinquent",$CC1307="60 Days Delinquent",$CC1307="30 Days Delinquent",$CC1307="Non-Performing Matured Balloon"),1,0)</f>
        <v/>
      </c>
      <c r="CE1307" s="76">
        <f>IF($AB1307="Currently special serv","Currently Specially Serviced",IF($AB1307="Returned to master serv","Previously Specially Serviced","Never Specially Serviced"))</f>
        <v/>
      </c>
      <c r="CF1307" s="78">
        <f>IF($CE1307="Currently Specially Serviced",1,0)</f>
        <v/>
      </c>
      <c r="CG1307" s="76">
        <f>IF($AA1307="Yes","Currently on Watchlist",IF($AA1307="Previously","Previously on Watchlist","Never on Watchlist"))</f>
        <v/>
      </c>
      <c r="CH1307" s="78">
        <f>IF($CG1307="Currently on Watchlist",1,0)</f>
        <v/>
      </c>
      <c r="CI1307" s="76">
        <f>IF($Z1307="Full Defeasance","Fully Defeased",IF($Z1307="Portion Of Loan Previously Defeased","Partially Defeased",IF($Z1307="Defeasance Not Allowable","Not Defeased (Not Permitted)","Not Defeased")))</f>
        <v/>
      </c>
      <c r="CJ1307" s="78">
        <f>IF($CI1307="Fully Defeased",1,0)</f>
        <v/>
      </c>
      <c r="CK1307" s="76">
        <f>IF($R1307="IO","Full IO",IF(LEFT($R1307&amp;"",7)="IO then","Partial IO","Amortizing"))</f>
        <v/>
      </c>
      <c r="CL1307" s="78">
        <f>IF($CK1307="Full IO",1,0)</f>
        <v/>
      </c>
      <c r="CM1307" s="78">
        <f>IF($CK1307="Partial IO",1,0)</f>
        <v/>
      </c>
      <c r="CN1307" s="76">
        <f>IF(LEFT($F1307&amp;"",10)="SPLIT_LOAN","Pari Passu Split","Standalone")</f>
        <v/>
      </c>
      <c r="CO1307" s="78">
        <f>IF($CN1307="Pari Passu Split",1,0)</f>
        <v/>
      </c>
      <c r="CP1307" s="77">
        <f>IF(ISNUMBER($T1307),YEAR($T1307),"")</f>
        <v/>
      </c>
      <c r="CQ1307" s="79">
        <f>IF(ISNUMBER($V1307),$V1307,IF(ISNUMBER($U1307),$U1307,""))</f>
        <v/>
      </c>
      <c r="CR1307" s="77">
        <f>IF(ISNUMBER($CQ1307),YEAR($CQ1307),"")</f>
        <v/>
      </c>
      <c r="CS1307" s="78">
        <f>IF(ISNUMBER($M1307),MAX(0,$M1307),IF(TRIM($M1307&amp;"")="matured",0,""))</f>
        <v/>
      </c>
      <c r="CT1307" s="78">
        <f>IF(AND(ISNUMBER($CS1307),N($CS1307)&lt;=mMatWindow),1,0)</f>
        <v/>
      </c>
      <c r="CU1307" s="80">
        <f>IF(ISNUMBER($J1307),$J1307/100,"")</f>
        <v/>
      </c>
      <c r="CV1307" s="81">
        <f>IF(ISNUMBER($AQ1307),$AQ1307,"")</f>
        <v/>
      </c>
      <c r="CW1307" s="81">
        <f>IF(ISNUMBER($AR1307),$AR1307,"")</f>
        <v/>
      </c>
      <c r="CX1307" s="82">
        <f>IF(ISNUMBER($AS1307),$AS1307/100,"")</f>
        <v/>
      </c>
      <c r="CY1307" s="82">
        <f>IF(ISNUMBER($AT1307),$AT1307/100,"")</f>
        <v/>
      </c>
      <c r="CZ1307" s="82">
        <f>IF(ISNUMBER($AU1307),$AU1307/100,"")</f>
        <v/>
      </c>
      <c r="DA1307" s="82">
        <f>IF(ISNUMBER($AV1307),$AV1307/100,"")</f>
        <v/>
      </c>
      <c r="DB1307" s="82">
        <f>IF(ISNUMBER($AW1307),$AW1307/100,"")</f>
        <v/>
      </c>
      <c r="DC1307" s="82">
        <f>IF(ISNUMBER($AX1307),$AX1307/100,"")</f>
        <v/>
      </c>
      <c r="DD1307" s="77">
        <f>IFERROR(VALUE(LEFT(TRIM($AO1307&amp;""),4)),"")</f>
        <v/>
      </c>
      <c r="DE1307" s="78">
        <f>IF(AND($BY1307=1,$BX1307=1,OR(fDeal="All Deals",$BU1307=fDeal),OR(fEntity="All Entities",$BV1307=fEntity),OR(fPType="All Property Types",$BZ1307=fPType),OR(fDefeased="Include",$CJ1307=0)),1,0)</f>
        <v/>
      </c>
      <c r="DF1307" s="83">
        <f>$DE1307*N($I1307)</f>
        <v/>
      </c>
      <c r="DG1307" s="78">
        <f>IF($DE1307=1,IF(COUNTIFS($F$8:$F1307,$F1307,$DE$8:$DE1307,1)=1,1,0),0)</f>
        <v/>
      </c>
      <c r="DH1307" s="83">
        <f>IF($DG1307=1,SUMIFS($DF$8:$DF$1600,$F$8:$F$1600,$F1307),0)</f>
        <v/>
      </c>
      <c r="DI1307" s="78">
        <f>IF($DG1307=1,COUNTIFS($F$8:$F$1600,$F1307,$DE$8:$DE$1600,1),0)</f>
        <v/>
      </c>
      <c r="DJ1307" s="84">
        <f>IF($DG1307=1,$DH1307+(100000-ROW())/mTieBreak,0)</f>
        <v/>
      </c>
    </row>
    <row r="1308">
      <c r="B1308" s="68" t="n">
        <v>10</v>
      </c>
      <c r="C1308" s="69" t="inlineStr">
        <is>
          <t>CD17CD3</t>
        </is>
      </c>
      <c r="D1308" s="69" t="inlineStr">
        <is>
          <t>10.000</t>
        </is>
      </c>
      <c r="E1308" s="69" t="inlineStr">
        <is>
          <t>Courtyard Century City</t>
        </is>
      </c>
      <c r="F1308" s="69" t="inlineStr">
        <is>
          <t>LNCD17CD3-10.000</t>
        </is>
      </c>
      <c r="G1308" s="70" t="n"/>
      <c r="H1308" s="71" t="n">
        <v>41000000</v>
      </c>
      <c r="I1308" s="71" t="n">
        <v>33021644.670001</v>
      </c>
      <c r="J1308" s="72" t="n">
        <v>4.25</v>
      </c>
      <c r="K1308" s="69" t="inlineStr">
        <is>
          <t>Fixed rate</t>
        </is>
      </c>
      <c r="L1308" s="68" t="n">
        <v>120</v>
      </c>
      <c r="M1308" s="68" t="n">
        <v>2</v>
      </c>
      <c r="N1308" s="68" t="n">
        <v>360</v>
      </c>
      <c r="O1308" s="68" t="n"/>
      <c r="P1308" s="68" t="n"/>
      <c r="Q1308" s="68" t="n">
        <v>118</v>
      </c>
      <c r="R1308" s="69" t="n"/>
      <c r="S1308" s="69" t="inlineStr">
        <is>
          <t>No</t>
        </is>
      </c>
      <c r="T1308" s="73" t="n">
        <v>42675</v>
      </c>
      <c r="U1308" s="73" t="n">
        <v>46332</v>
      </c>
      <c r="V1308" s="73" t="n"/>
      <c r="W1308" s="69" t="n"/>
      <c r="X1308" s="69" t="inlineStr">
        <is>
          <t>Current</t>
        </is>
      </c>
      <c r="Y1308" s="68" t="n"/>
      <c r="Z1308" s="69" t="inlineStr">
        <is>
          <t>No Defeasance Occurred</t>
        </is>
      </c>
      <c r="AA1308" s="69" t="inlineStr">
        <is>
          <t>Previously</t>
        </is>
      </c>
      <c r="AB1308" s="69" t="inlineStr">
        <is>
          <t>Never special serv</t>
        </is>
      </c>
      <c r="AC1308" s="73" t="n"/>
      <c r="AD1308" s="69" t="n"/>
      <c r="AE1308" s="69" t="n"/>
      <c r="AF1308" s="69" t="inlineStr">
        <is>
          <t>CA</t>
        </is>
      </c>
      <c r="AG1308" s="69" t="inlineStr">
        <is>
          <t>Los Angeles</t>
        </is>
      </c>
      <c r="AH1308" s="69" t="inlineStr">
        <is>
          <t>Los Angeles-Long Beach-Anaheim, CA</t>
        </is>
      </c>
      <c r="AI1308" s="69" t="inlineStr">
        <is>
          <t>West / Pacific South</t>
        </is>
      </c>
      <c r="AJ1308" s="69" t="inlineStr">
        <is>
          <t>HT</t>
        </is>
      </c>
      <c r="AK1308" s="69" t="inlineStr">
        <is>
          <t>Limited Service</t>
        </is>
      </c>
      <c r="AL1308" s="68" t="n">
        <v>1</v>
      </c>
      <c r="AM1308" s="68" t="n">
        <v>136</v>
      </c>
      <c r="AN1308" s="68" t="n"/>
      <c r="AO1308" s="69" t="inlineStr">
        <is>
          <t>1987</t>
        </is>
      </c>
      <c r="AP1308" s="70" t="n">
        <v>2014</v>
      </c>
      <c r="AQ1308" s="74" t="n">
        <v>2.17</v>
      </c>
      <c r="AR1308" s="74" t="n">
        <v>2.02</v>
      </c>
      <c r="AS1308" s="74" t="n">
        <v>62.9</v>
      </c>
      <c r="AT1308" s="74" t="n">
        <v>50.88</v>
      </c>
      <c r="AU1308" s="74" t="n">
        <v>50.6</v>
      </c>
      <c r="AV1308" s="74" t="n">
        <v>12.810487976</v>
      </c>
      <c r="AW1308" s="74" t="n">
        <v>15.21377333</v>
      </c>
      <c r="AX1308" s="75" t="n">
        <v>78</v>
      </c>
      <c r="AY1308" s="71" t="n">
        <v>64900000</v>
      </c>
      <c r="AZ1308" s="71" t="n">
        <v>64900000</v>
      </c>
      <c r="BA1308" s="71" t="n">
        <v>5252300.07</v>
      </c>
      <c r="BB1308" s="71" t="n">
        <v>4898527.48</v>
      </c>
      <c r="BC1308" s="69" t="inlineStr">
        <is>
          <t>Refinance</t>
        </is>
      </c>
      <c r="BD1308" s="69" t="inlineStr">
        <is>
          <t>N</t>
        </is>
      </c>
      <c r="BE1308" s="71" t="n"/>
      <c r="BF1308" s="71" t="n"/>
      <c r="BG1308" s="71" t="n"/>
      <c r="BH1308" s="71" t="n">
        <v>0</v>
      </c>
      <c r="BI1308" s="71" t="n">
        <v>0</v>
      </c>
      <c r="BJ1308" s="69" t="inlineStr">
        <is>
          <t>N</t>
        </is>
      </c>
      <c r="BK1308" s="69" t="inlineStr">
        <is>
          <t>NAP, Inc.</t>
        </is>
      </c>
      <c r="BL1308" s="75" t="n">
        <v>100</v>
      </c>
      <c r="BM1308" s="73" t="n"/>
      <c r="BN1308" s="69" t="inlineStr">
        <is>
          <t>Pacifica Hosts, Inc.</t>
        </is>
      </c>
      <c r="BO1308" s="69" t="inlineStr">
        <is>
          <t>GACC</t>
        </is>
      </c>
      <c r="BP1308" s="69" t="inlineStr">
        <is>
          <t>Midland Loan Services</t>
        </is>
      </c>
      <c r="BQ1308" s="69" t="inlineStr">
        <is>
          <t>K-Star Asset Management LLC</t>
        </is>
      </c>
      <c r="BR1308" s="69" t="n"/>
      <c r="BS1308" s="73" t="n">
        <v>46273</v>
      </c>
      <c r="BU1308" s="76">
        <f>IF($C1308="","",IFERROR(INDEX(dmName,MATCH($C1308,dmID,0)),"Unmapped"))</f>
        <v/>
      </c>
      <c r="BV1308" s="76">
        <f>IF($C1308="","",IFERROR(INDEX(dmEntity,MATCH($C1308,dmID,0)),"Unmapped"))</f>
        <v/>
      </c>
      <c r="BW1308" s="77">
        <f>IF($C1308="","",IFERROR(INDEX(dmVintage,MATCH($C1308,dmID,0)),""))</f>
        <v/>
      </c>
      <c r="BX1308" s="78">
        <f>IFERROR(INDEX(dmInclude,MATCH($C1308,dmID,0)),0)</f>
        <v/>
      </c>
      <c r="BY1308" s="78">
        <f>IF(N($I1308)&gt;0,1,0)</f>
        <v/>
      </c>
      <c r="BZ1308" s="76">
        <f>IF($AJ1308="","Other / Leased Fee",IFERROR(INDEX(mapPTGroup,MATCH(LEFT(TRIM($AJ1308),2),mapPTCode,0)),"Other / Leased Fee"))</f>
        <v/>
      </c>
      <c r="CA1308" s="76">
        <f>IF(TRIM($AF1308&amp;"")="","NR",LEFT(TRIM($AF1308),2))</f>
        <v/>
      </c>
      <c r="CB1308" s="76">
        <f>IFERROR(LOOKUP(2,1/(LEFT(TRIM($AI1308&amp;""),LEN(mapRegion))=mapRegion),mapRegion),"Not Reported")</f>
        <v/>
      </c>
      <c r="CC1308" s="76">
        <f>IF($BY1308=0,"",IF(TRIM($W1308&amp;"")="REO","REO",IF(TRIM($W1308&amp;"")="FC","Foreclosure",IF(TRIM($W1308&amp;"")="90+","90+ Days Delinquent",IF(TRIM($W1308&amp;"")="60","60 Days Delinquent",IF(TRIM($W1308&amp;"")="30","30 Days Delinquent",IF($X1308="Non-Performing Matured Balloon","Non-Performing Matured Balloon",IF(OR($X1308="Late Payment But Less Than 30 Days Delinquent",LEFT($X1308&amp;"",20)="Payment Not Received"),"Late / In Grace (&lt;30 Days)",IF($X1308="Performing Matured Balloon","Performing Matured Balloon","Current")))))))))</f>
        <v/>
      </c>
      <c r="CD1308" s="78">
        <f>IF(OR($CC1308="REO",$CC1308="Foreclosure",$CC1308="90+ Days Delinquent",$CC1308="60 Days Delinquent",$CC1308="30 Days Delinquent",$CC1308="Non-Performing Matured Balloon"),1,0)</f>
        <v/>
      </c>
      <c r="CE1308" s="76">
        <f>IF($AB1308="Currently special serv","Currently Specially Serviced",IF($AB1308="Returned to master serv","Previously Specially Serviced","Never Specially Serviced"))</f>
        <v/>
      </c>
      <c r="CF1308" s="78">
        <f>IF($CE1308="Currently Specially Serviced",1,0)</f>
        <v/>
      </c>
      <c r="CG1308" s="76">
        <f>IF($AA1308="Yes","Currently on Watchlist",IF($AA1308="Previously","Previously on Watchlist","Never on Watchlist"))</f>
        <v/>
      </c>
      <c r="CH1308" s="78">
        <f>IF($CG1308="Currently on Watchlist",1,0)</f>
        <v/>
      </c>
      <c r="CI1308" s="76">
        <f>IF($Z1308="Full Defeasance","Fully Defeased",IF($Z1308="Portion Of Loan Previously Defeased","Partially Defeased",IF($Z1308="Defeasance Not Allowable","Not Defeased (Not Permitted)","Not Defeased")))</f>
        <v/>
      </c>
      <c r="CJ1308" s="78">
        <f>IF($CI1308="Fully Defeased",1,0)</f>
        <v/>
      </c>
      <c r="CK1308" s="76">
        <f>IF($R1308="IO","Full IO",IF(LEFT($R1308&amp;"",7)="IO then","Partial IO","Amortizing"))</f>
        <v/>
      </c>
      <c r="CL1308" s="78">
        <f>IF($CK1308="Full IO",1,0)</f>
        <v/>
      </c>
      <c r="CM1308" s="78">
        <f>IF($CK1308="Partial IO",1,0)</f>
        <v/>
      </c>
      <c r="CN1308" s="76">
        <f>IF(LEFT($F1308&amp;"",10)="SPLIT_LOAN","Pari Passu Split","Standalone")</f>
        <v/>
      </c>
      <c r="CO1308" s="78">
        <f>IF($CN1308="Pari Passu Split",1,0)</f>
        <v/>
      </c>
      <c r="CP1308" s="77">
        <f>IF(ISNUMBER($T1308),YEAR($T1308),"")</f>
        <v/>
      </c>
      <c r="CQ1308" s="79">
        <f>IF(ISNUMBER($V1308),$V1308,IF(ISNUMBER($U1308),$U1308,""))</f>
        <v/>
      </c>
      <c r="CR1308" s="77">
        <f>IF(ISNUMBER($CQ1308),YEAR($CQ1308),"")</f>
        <v/>
      </c>
      <c r="CS1308" s="78">
        <f>IF(ISNUMBER($M1308),MAX(0,$M1308),IF(TRIM($M1308&amp;"")="matured",0,""))</f>
        <v/>
      </c>
      <c r="CT1308" s="78">
        <f>IF(AND(ISNUMBER($CS1308),N($CS1308)&lt;=mMatWindow),1,0)</f>
        <v/>
      </c>
      <c r="CU1308" s="80">
        <f>IF(ISNUMBER($J1308),$J1308/100,"")</f>
        <v/>
      </c>
      <c r="CV1308" s="81">
        <f>IF(ISNUMBER($AQ1308),$AQ1308,"")</f>
        <v/>
      </c>
      <c r="CW1308" s="81">
        <f>IF(ISNUMBER($AR1308),$AR1308,"")</f>
        <v/>
      </c>
      <c r="CX1308" s="82">
        <f>IF(ISNUMBER($AS1308),$AS1308/100,"")</f>
        <v/>
      </c>
      <c r="CY1308" s="82">
        <f>IF(ISNUMBER($AT1308),$AT1308/100,"")</f>
        <v/>
      </c>
      <c r="CZ1308" s="82">
        <f>IF(ISNUMBER($AU1308),$AU1308/100,"")</f>
        <v/>
      </c>
      <c r="DA1308" s="82">
        <f>IF(ISNUMBER($AV1308),$AV1308/100,"")</f>
        <v/>
      </c>
      <c r="DB1308" s="82">
        <f>IF(ISNUMBER($AW1308),$AW1308/100,"")</f>
        <v/>
      </c>
      <c r="DC1308" s="82">
        <f>IF(ISNUMBER($AX1308),$AX1308/100,"")</f>
        <v/>
      </c>
      <c r="DD1308" s="77">
        <f>IFERROR(VALUE(LEFT(TRIM($AO1308&amp;""),4)),"")</f>
        <v/>
      </c>
      <c r="DE1308" s="78">
        <f>IF(AND($BY1308=1,$BX1308=1,OR(fDeal="All Deals",$BU1308=fDeal),OR(fEntity="All Entities",$BV1308=fEntity),OR(fPType="All Property Types",$BZ1308=fPType),OR(fDefeased="Include",$CJ1308=0)),1,0)</f>
        <v/>
      </c>
      <c r="DF1308" s="83">
        <f>$DE1308*N($I1308)</f>
        <v/>
      </c>
      <c r="DG1308" s="78">
        <f>IF($DE1308=1,IF(COUNTIFS($F$8:$F1308,$F1308,$DE$8:$DE1308,1)=1,1,0),0)</f>
        <v/>
      </c>
      <c r="DH1308" s="83">
        <f>IF($DG1308=1,SUMIFS($DF$8:$DF$1600,$F$8:$F$1600,$F1308),0)</f>
        <v/>
      </c>
      <c r="DI1308" s="78">
        <f>IF($DG1308=1,COUNTIFS($F$8:$F$1600,$F1308,$DE$8:$DE$1600,1),0)</f>
        <v/>
      </c>
      <c r="DJ1308" s="84">
        <f>IF($DG1308=1,$DH1308+(100000-ROW())/mTieBreak,0)</f>
        <v/>
      </c>
    </row>
    <row r="1309">
      <c r="B1309" s="68" t="n">
        <v>11</v>
      </c>
      <c r="C1309" s="69" t="inlineStr">
        <is>
          <t>CD17CD3</t>
        </is>
      </c>
      <c r="D1309" s="69" t="inlineStr">
        <is>
          <t>11.000</t>
        </is>
      </c>
      <c r="E1309" s="69" t="inlineStr">
        <is>
          <t>Silverado Ranch</t>
        </is>
      </c>
      <c r="F1309" s="69" t="inlineStr">
        <is>
          <t>LNCD17CD3-11.000</t>
        </is>
      </c>
      <c r="G1309" s="70" t="n"/>
      <c r="H1309" s="71" t="n">
        <v>40000000</v>
      </c>
      <c r="I1309" s="71" t="n">
        <v>37022967.16</v>
      </c>
      <c r="J1309" s="72" t="n">
        <v>4.92</v>
      </c>
      <c r="K1309" s="69" t="inlineStr">
        <is>
          <t>Fixed rate</t>
        </is>
      </c>
      <c r="L1309" s="68" t="n">
        <v>120</v>
      </c>
      <c r="M1309" s="68" t="n">
        <v>3</v>
      </c>
      <c r="N1309" s="68" t="n">
        <v>420</v>
      </c>
      <c r="O1309" s="68" t="n">
        <v>60</v>
      </c>
      <c r="P1309" s="68" t="n">
        <v>0</v>
      </c>
      <c r="Q1309" s="68" t="n">
        <v>117</v>
      </c>
      <c r="R1309" s="69" t="inlineStr">
        <is>
          <t>IO then Amort</t>
        </is>
      </c>
      <c r="S1309" s="69" t="inlineStr">
        <is>
          <t>No</t>
        </is>
      </c>
      <c r="T1309" s="73" t="n">
        <v>42705</v>
      </c>
      <c r="U1309" s="73" t="n">
        <v>46362</v>
      </c>
      <c r="V1309" s="73" t="n"/>
      <c r="W1309" s="69" t="n"/>
      <c r="X1309" s="69" t="inlineStr">
        <is>
          <t>Current</t>
        </is>
      </c>
      <c r="Y1309" s="68" t="n"/>
      <c r="Z1309" s="69" t="inlineStr">
        <is>
          <t>No Defeasance Occurred</t>
        </is>
      </c>
      <c r="AA1309" s="69" t="inlineStr">
        <is>
          <t>Previously</t>
        </is>
      </c>
      <c r="AB1309" s="69" t="inlineStr">
        <is>
          <t>Never special serv</t>
        </is>
      </c>
      <c r="AC1309" s="73" t="n"/>
      <c r="AD1309" s="69" t="n"/>
      <c r="AE1309" s="69" t="n"/>
      <c r="AF1309" s="69" t="inlineStr">
        <is>
          <t>NV</t>
        </is>
      </c>
      <c r="AG1309" s="69" t="inlineStr">
        <is>
          <t>Las Vegas</t>
        </is>
      </c>
      <c r="AH1309" s="69" t="inlineStr">
        <is>
          <t>Las Vegas-Henderson-North Las Vegas, NV</t>
        </is>
      </c>
      <c r="AI1309" s="69" t="inlineStr">
        <is>
          <t>West / Mountain</t>
        </is>
      </c>
      <c r="AJ1309" s="69" t="inlineStr">
        <is>
          <t>RT</t>
        </is>
      </c>
      <c r="AK1309" s="69" t="inlineStr">
        <is>
          <t>Anchored</t>
        </is>
      </c>
      <c r="AL1309" s="68" t="n">
        <v>1</v>
      </c>
      <c r="AM1309" s="68" t="n"/>
      <c r="AN1309" s="68" t="n">
        <v>234306</v>
      </c>
      <c r="AO1309" s="69" t="inlineStr">
        <is>
          <t>2000</t>
        </is>
      </c>
      <c r="AP1309" s="70" t="n">
        <v>2000</v>
      </c>
      <c r="AQ1309" s="74" t="n">
        <v>1.34</v>
      </c>
      <c r="AR1309" s="74" t="n">
        <v>1.43</v>
      </c>
      <c r="AS1309" s="74" t="n">
        <v>66.67</v>
      </c>
      <c r="AT1309" s="74" t="n">
        <v>61.7</v>
      </c>
      <c r="AU1309" s="74" t="n">
        <v>61.41</v>
      </c>
      <c r="AV1309" s="74" t="n">
        <v>8.543235474999999</v>
      </c>
      <c r="AW1309" s="74" t="n">
        <v>8.771010103</v>
      </c>
      <c r="AX1309" s="75" t="n">
        <v>100</v>
      </c>
      <c r="AY1309" s="71" t="n">
        <v>60000000</v>
      </c>
      <c r="AZ1309" s="71" t="n">
        <v>60000000</v>
      </c>
      <c r="BA1309" s="71" t="n">
        <v>3417294.19</v>
      </c>
      <c r="BB1309" s="71" t="n">
        <v>3645166.4</v>
      </c>
      <c r="BC1309" s="69" t="inlineStr">
        <is>
          <t>Refinance</t>
        </is>
      </c>
      <c r="BD1309" s="69" t="inlineStr">
        <is>
          <t>N</t>
        </is>
      </c>
      <c r="BE1309" s="71" t="n"/>
      <c r="BF1309" s="71" t="n"/>
      <c r="BG1309" s="71" t="n"/>
      <c r="BH1309" s="71" t="n">
        <v>0</v>
      </c>
      <c r="BI1309" s="71" t="n">
        <v>0</v>
      </c>
      <c r="BJ1309" s="69" t="inlineStr">
        <is>
          <t>N</t>
        </is>
      </c>
      <c r="BK1309" s="69" t="inlineStr">
        <is>
          <t>Marshall's</t>
        </is>
      </c>
      <c r="BL1309" s="75" t="n">
        <v>13.06</v>
      </c>
      <c r="BM1309" s="73" t="n">
        <v>48610</v>
      </c>
      <c r="BN1309" s="69" t="inlineStr">
        <is>
          <t>Scott J. Seligman Revocable Living Trust Dated 12/17/92 and Scott J. Seligman</t>
        </is>
      </c>
      <c r="BO1309" s="69" t="inlineStr">
        <is>
          <t>Citigroup Global Markets</t>
        </is>
      </c>
      <c r="BP1309" s="69" t="inlineStr">
        <is>
          <t>Midland Loan Services</t>
        </is>
      </c>
      <c r="BQ1309" s="69" t="inlineStr">
        <is>
          <t>K-Star Asset Management LLC</t>
        </is>
      </c>
      <c r="BR1309" s="69" t="n"/>
      <c r="BS1309" s="73" t="n">
        <v>46273</v>
      </c>
      <c r="BU1309" s="76">
        <f>IF($C1309="","",IFERROR(INDEX(dmName,MATCH($C1309,dmID,0)),"Unmapped"))</f>
        <v/>
      </c>
      <c r="BV1309" s="76">
        <f>IF($C1309="","",IFERROR(INDEX(dmEntity,MATCH($C1309,dmID,0)),"Unmapped"))</f>
        <v/>
      </c>
      <c r="BW1309" s="77">
        <f>IF($C1309="","",IFERROR(INDEX(dmVintage,MATCH($C1309,dmID,0)),""))</f>
        <v/>
      </c>
      <c r="BX1309" s="78">
        <f>IFERROR(INDEX(dmInclude,MATCH($C1309,dmID,0)),0)</f>
        <v/>
      </c>
      <c r="BY1309" s="78">
        <f>IF(N($I1309)&gt;0,1,0)</f>
        <v/>
      </c>
      <c r="BZ1309" s="76">
        <f>IF($AJ1309="","Other / Leased Fee",IFERROR(INDEX(mapPTGroup,MATCH(LEFT(TRIM($AJ1309),2),mapPTCode,0)),"Other / Leased Fee"))</f>
        <v/>
      </c>
      <c r="CA1309" s="76">
        <f>IF(TRIM($AF1309&amp;"")="","NR",LEFT(TRIM($AF1309),2))</f>
        <v/>
      </c>
      <c r="CB1309" s="76">
        <f>IFERROR(LOOKUP(2,1/(LEFT(TRIM($AI1309&amp;""),LEN(mapRegion))=mapRegion),mapRegion),"Not Reported")</f>
        <v/>
      </c>
      <c r="CC1309" s="76">
        <f>IF($BY1309=0,"",IF(TRIM($W1309&amp;"")="REO","REO",IF(TRIM($W1309&amp;"")="FC","Foreclosure",IF(TRIM($W1309&amp;"")="90+","90+ Days Delinquent",IF(TRIM($W1309&amp;"")="60","60 Days Delinquent",IF(TRIM($W1309&amp;"")="30","30 Days Delinquent",IF($X1309="Non-Performing Matured Balloon","Non-Performing Matured Balloon",IF(OR($X1309="Late Payment But Less Than 30 Days Delinquent",LEFT($X1309&amp;"",20)="Payment Not Received"),"Late / In Grace (&lt;30 Days)",IF($X1309="Performing Matured Balloon","Performing Matured Balloon","Current")))))))))</f>
        <v/>
      </c>
      <c r="CD1309" s="78">
        <f>IF(OR($CC1309="REO",$CC1309="Foreclosure",$CC1309="90+ Days Delinquent",$CC1309="60 Days Delinquent",$CC1309="30 Days Delinquent",$CC1309="Non-Performing Matured Balloon"),1,0)</f>
        <v/>
      </c>
      <c r="CE1309" s="76">
        <f>IF($AB1309="Currently special serv","Currently Specially Serviced",IF($AB1309="Returned to master serv","Previously Specially Serviced","Never Specially Serviced"))</f>
        <v/>
      </c>
      <c r="CF1309" s="78">
        <f>IF($CE1309="Currently Specially Serviced",1,0)</f>
        <v/>
      </c>
      <c r="CG1309" s="76">
        <f>IF($AA1309="Yes","Currently on Watchlist",IF($AA1309="Previously","Previously on Watchlist","Never on Watchlist"))</f>
        <v/>
      </c>
      <c r="CH1309" s="78">
        <f>IF($CG1309="Currently on Watchlist",1,0)</f>
        <v/>
      </c>
      <c r="CI1309" s="76">
        <f>IF($Z1309="Full Defeasance","Fully Defeased",IF($Z1309="Portion Of Loan Previously Defeased","Partially Defeased",IF($Z1309="Defeasance Not Allowable","Not Defeased (Not Permitted)","Not Defeased")))</f>
        <v/>
      </c>
      <c r="CJ1309" s="78">
        <f>IF($CI1309="Fully Defeased",1,0)</f>
        <v/>
      </c>
      <c r="CK1309" s="76">
        <f>IF($R1309="IO","Full IO",IF(LEFT($R1309&amp;"",7)="IO then","Partial IO","Amortizing"))</f>
        <v/>
      </c>
      <c r="CL1309" s="78">
        <f>IF($CK1309="Full IO",1,0)</f>
        <v/>
      </c>
      <c r="CM1309" s="78">
        <f>IF($CK1309="Partial IO",1,0)</f>
        <v/>
      </c>
      <c r="CN1309" s="76">
        <f>IF(LEFT($F1309&amp;"",10)="SPLIT_LOAN","Pari Passu Split","Standalone")</f>
        <v/>
      </c>
      <c r="CO1309" s="78">
        <f>IF($CN1309="Pari Passu Split",1,0)</f>
        <v/>
      </c>
      <c r="CP1309" s="77">
        <f>IF(ISNUMBER($T1309),YEAR($T1309),"")</f>
        <v/>
      </c>
      <c r="CQ1309" s="79">
        <f>IF(ISNUMBER($V1309),$V1309,IF(ISNUMBER($U1309),$U1309,""))</f>
        <v/>
      </c>
      <c r="CR1309" s="77">
        <f>IF(ISNUMBER($CQ1309),YEAR($CQ1309),"")</f>
        <v/>
      </c>
      <c r="CS1309" s="78">
        <f>IF(ISNUMBER($M1309),MAX(0,$M1309),IF(TRIM($M1309&amp;"")="matured",0,""))</f>
        <v/>
      </c>
      <c r="CT1309" s="78">
        <f>IF(AND(ISNUMBER($CS1309),N($CS1309)&lt;=mMatWindow),1,0)</f>
        <v/>
      </c>
      <c r="CU1309" s="80">
        <f>IF(ISNUMBER($J1309),$J1309/100,"")</f>
        <v/>
      </c>
      <c r="CV1309" s="81">
        <f>IF(ISNUMBER($AQ1309),$AQ1309,"")</f>
        <v/>
      </c>
      <c r="CW1309" s="81">
        <f>IF(ISNUMBER($AR1309),$AR1309,"")</f>
        <v/>
      </c>
      <c r="CX1309" s="82">
        <f>IF(ISNUMBER($AS1309),$AS1309/100,"")</f>
        <v/>
      </c>
      <c r="CY1309" s="82">
        <f>IF(ISNUMBER($AT1309),$AT1309/100,"")</f>
        <v/>
      </c>
      <c r="CZ1309" s="82">
        <f>IF(ISNUMBER($AU1309),$AU1309/100,"")</f>
        <v/>
      </c>
      <c r="DA1309" s="82">
        <f>IF(ISNUMBER($AV1309),$AV1309/100,"")</f>
        <v/>
      </c>
      <c r="DB1309" s="82">
        <f>IF(ISNUMBER($AW1309),$AW1309/100,"")</f>
        <v/>
      </c>
      <c r="DC1309" s="82">
        <f>IF(ISNUMBER($AX1309),$AX1309/100,"")</f>
        <v/>
      </c>
      <c r="DD1309" s="77">
        <f>IFERROR(VALUE(LEFT(TRIM($AO1309&amp;""),4)),"")</f>
        <v/>
      </c>
      <c r="DE1309" s="78">
        <f>IF(AND($BY1309=1,$BX1309=1,OR(fDeal="All Deals",$BU1309=fDeal),OR(fEntity="All Entities",$BV1309=fEntity),OR(fPType="All Property Types",$BZ1309=fPType),OR(fDefeased="Include",$CJ1309=0)),1,0)</f>
        <v/>
      </c>
      <c r="DF1309" s="83">
        <f>$DE1309*N($I1309)</f>
        <v/>
      </c>
      <c r="DG1309" s="78">
        <f>IF($DE1309=1,IF(COUNTIFS($F$8:$F1309,$F1309,$DE$8:$DE1309,1)=1,1,0),0)</f>
        <v/>
      </c>
      <c r="DH1309" s="83">
        <f>IF($DG1309=1,SUMIFS($DF$8:$DF$1600,$F$8:$F$1600,$F1309),0)</f>
        <v/>
      </c>
      <c r="DI1309" s="78">
        <f>IF($DG1309=1,COUNTIFS($F$8:$F$1600,$F1309,$DE$8:$DE$1600,1),0)</f>
        <v/>
      </c>
      <c r="DJ1309" s="84">
        <f>IF($DG1309=1,$DH1309+(100000-ROW())/mTieBreak,0)</f>
        <v/>
      </c>
    </row>
    <row r="1310">
      <c r="B1310" s="68" t="n">
        <v>12</v>
      </c>
      <c r="C1310" s="69" t="inlineStr">
        <is>
          <t>CD17CD3</t>
        </is>
      </c>
      <c r="D1310" s="69" t="inlineStr">
        <is>
          <t>12.000</t>
        </is>
      </c>
      <c r="E1310" s="69" t="inlineStr">
        <is>
          <t>Summit Place Wisconsin</t>
        </is>
      </c>
      <c r="F1310" s="69" t="inlineStr">
        <is>
          <t>SPLIT_LOAN_00932</t>
        </is>
      </c>
      <c r="G1310" s="70" t="n">
        <v>932</v>
      </c>
      <c r="H1310" s="71" t="n">
        <v>40000000</v>
      </c>
      <c r="I1310" s="71" t="n">
        <v>35524066.75</v>
      </c>
      <c r="J1310" s="72" t="n">
        <v>4.89</v>
      </c>
      <c r="K1310" s="69" t="inlineStr">
        <is>
          <t>Fixed rate</t>
        </is>
      </c>
      <c r="L1310" s="68" t="n">
        <v>120</v>
      </c>
      <c r="M1310" s="68" t="n">
        <v>3</v>
      </c>
      <c r="N1310" s="68" t="n">
        <v>396</v>
      </c>
      <c r="O1310" s="68" t="n">
        <v>36</v>
      </c>
      <c r="P1310" s="68" t="n">
        <v>0</v>
      </c>
      <c r="Q1310" s="68" t="n">
        <v>117</v>
      </c>
      <c r="R1310" s="69" t="inlineStr">
        <is>
          <t>IO then Amort</t>
        </is>
      </c>
      <c r="S1310" s="69" t="inlineStr">
        <is>
          <t>No</t>
        </is>
      </c>
      <c r="T1310" s="73" t="n">
        <v>42705</v>
      </c>
      <c r="U1310" s="73" t="n">
        <v>46362</v>
      </c>
      <c r="V1310" s="73" t="n"/>
      <c r="W1310" s="69" t="n"/>
      <c r="X1310" s="69" t="inlineStr">
        <is>
          <t>Current</t>
        </is>
      </c>
      <c r="Y1310" s="68" t="n"/>
      <c r="Z1310" s="69" t="inlineStr">
        <is>
          <t>No Defeasance Occurred</t>
        </is>
      </c>
      <c r="AA1310" s="69" t="inlineStr">
        <is>
          <t>Previously</t>
        </is>
      </c>
      <c r="AB1310" s="69" t="inlineStr">
        <is>
          <t>Currently special serv</t>
        </is>
      </c>
      <c r="AC1310" s="73" t="n">
        <v>46118</v>
      </c>
      <c r="AD1310" s="69" t="inlineStr">
        <is>
          <t>Other</t>
        </is>
      </c>
      <c r="AE1310" s="69" t="inlineStr">
        <is>
          <t>Other</t>
        </is>
      </c>
      <c r="AF1310" s="69" t="inlineStr">
        <is>
          <t>WI</t>
        </is>
      </c>
      <c r="AG1310" s="69" t="inlineStr">
        <is>
          <t>West Allis</t>
        </is>
      </c>
      <c r="AH1310" s="69" t="inlineStr">
        <is>
          <t>Milwaukee-Waukesha, WI</t>
        </is>
      </c>
      <c r="AI1310" s="69" t="inlineStr">
        <is>
          <t>Midwest / Central East</t>
        </is>
      </c>
      <c r="AJ1310" s="69" t="inlineStr">
        <is>
          <t>OF</t>
        </is>
      </c>
      <c r="AK1310" s="69" t="inlineStr">
        <is>
          <t>Suburban</t>
        </is>
      </c>
      <c r="AL1310" s="68" t="n">
        <v>1</v>
      </c>
      <c r="AM1310" s="68" t="n"/>
      <c r="AN1310" s="68" t="n">
        <v>664479</v>
      </c>
      <c r="AO1310" s="69" t="inlineStr">
        <is>
          <t>1905</t>
        </is>
      </c>
      <c r="AP1310" s="70" t="n">
        <v>2003</v>
      </c>
      <c r="AQ1310" s="74" t="n">
        <v>1.37</v>
      </c>
      <c r="AR1310" s="74" t="n">
        <v>0.93</v>
      </c>
      <c r="AS1310" s="74" t="n">
        <v>72.7</v>
      </c>
      <c r="AT1310" s="74" t="n">
        <v>119.08</v>
      </c>
      <c r="AU1310" s="74" t="n">
        <v>64.2</v>
      </c>
      <c r="AV1310" s="74" t="n">
        <v>8.722225903</v>
      </c>
      <c r="AW1310" s="74" t="n">
        <v>6.681253648</v>
      </c>
      <c r="AX1310" s="75" t="n">
        <v>71</v>
      </c>
      <c r="AY1310" s="71" t="n">
        <v>99000000</v>
      </c>
      <c r="AZ1310" s="71" t="n">
        <v>53700000</v>
      </c>
      <c r="BA1310" s="71" t="n">
        <v>6280002.65</v>
      </c>
      <c r="BB1310" s="71" t="n">
        <v>4272215.41</v>
      </c>
      <c r="BC1310" s="69" t="inlineStr">
        <is>
          <t>Refinance</t>
        </is>
      </c>
      <c r="BD1310" s="69" t="inlineStr">
        <is>
          <t>N</t>
        </is>
      </c>
      <c r="BE1310" s="71" t="n">
        <v>28419253.4</v>
      </c>
      <c r="BF1310" s="71" t="n"/>
      <c r="BG1310" s="71" t="n"/>
      <c r="BH1310" s="71" t="n">
        <v>0</v>
      </c>
      <c r="BI1310" s="71" t="n">
        <v>0</v>
      </c>
      <c r="BJ1310" s="69" t="inlineStr">
        <is>
          <t>N</t>
        </is>
      </c>
      <c r="BK1310" s="69" t="inlineStr">
        <is>
          <t>Mead &amp; Hunt</t>
        </is>
      </c>
      <c r="BL1310" s="75" t="n">
        <v>7.76</v>
      </c>
      <c r="BM1310" s="73" t="n">
        <v>47968</v>
      </c>
      <c r="BN1310" s="69" t="inlineStr">
        <is>
          <t>Richard G. Carlson; The Richard G. Carlson 1990 Revocable Trust; The Sandra K. Carlson 1990 Revocabl</t>
        </is>
      </c>
      <c r="BO1310" s="69" t="inlineStr">
        <is>
          <t>GACC</t>
        </is>
      </c>
      <c r="BP1310" s="69" t="inlineStr">
        <is>
          <t>Midland Loan Services</t>
        </is>
      </c>
      <c r="BQ1310" s="69" t="inlineStr">
        <is>
          <t>K-Star Asset Management LLC</t>
        </is>
      </c>
      <c r="BR1310" s="69" t="n"/>
      <c r="BS1310" s="73" t="n">
        <v>46273</v>
      </c>
      <c r="BU1310" s="76">
        <f>IF($C1310="","",IFERROR(INDEX(dmName,MATCH($C1310,dmID,0)),"Unmapped"))</f>
        <v/>
      </c>
      <c r="BV1310" s="76">
        <f>IF($C1310="","",IFERROR(INDEX(dmEntity,MATCH($C1310,dmID,0)),"Unmapped"))</f>
        <v/>
      </c>
      <c r="BW1310" s="77">
        <f>IF($C1310="","",IFERROR(INDEX(dmVintage,MATCH($C1310,dmID,0)),""))</f>
        <v/>
      </c>
      <c r="BX1310" s="78">
        <f>IFERROR(INDEX(dmInclude,MATCH($C1310,dmID,0)),0)</f>
        <v/>
      </c>
      <c r="BY1310" s="78">
        <f>IF(N($I1310)&gt;0,1,0)</f>
        <v/>
      </c>
      <c r="BZ1310" s="76">
        <f>IF($AJ1310="","Other / Leased Fee",IFERROR(INDEX(mapPTGroup,MATCH(LEFT(TRIM($AJ1310),2),mapPTCode,0)),"Other / Leased Fee"))</f>
        <v/>
      </c>
      <c r="CA1310" s="76">
        <f>IF(TRIM($AF1310&amp;"")="","NR",LEFT(TRIM($AF1310),2))</f>
        <v/>
      </c>
      <c r="CB1310" s="76">
        <f>IFERROR(LOOKUP(2,1/(LEFT(TRIM($AI1310&amp;""),LEN(mapRegion))=mapRegion),mapRegion),"Not Reported")</f>
        <v/>
      </c>
      <c r="CC1310" s="76">
        <f>IF($BY1310=0,"",IF(TRIM($W1310&amp;"")="REO","REO",IF(TRIM($W1310&amp;"")="FC","Foreclosure",IF(TRIM($W1310&amp;"")="90+","90+ Days Delinquent",IF(TRIM($W1310&amp;"")="60","60 Days Delinquent",IF(TRIM($W1310&amp;"")="30","30 Days Delinquent",IF($X1310="Non-Performing Matured Balloon","Non-Performing Matured Balloon",IF(OR($X1310="Late Payment But Less Than 30 Days Delinquent",LEFT($X1310&amp;"",20)="Payment Not Received"),"Late / In Grace (&lt;30 Days)",IF($X1310="Performing Matured Balloon","Performing Matured Balloon","Current")))))))))</f>
        <v/>
      </c>
      <c r="CD1310" s="78">
        <f>IF(OR($CC1310="REO",$CC1310="Foreclosure",$CC1310="90+ Days Delinquent",$CC1310="60 Days Delinquent",$CC1310="30 Days Delinquent",$CC1310="Non-Performing Matured Balloon"),1,0)</f>
        <v/>
      </c>
      <c r="CE1310" s="76">
        <f>IF($AB1310="Currently special serv","Currently Specially Serviced",IF($AB1310="Returned to master serv","Previously Specially Serviced","Never Specially Serviced"))</f>
        <v/>
      </c>
      <c r="CF1310" s="78">
        <f>IF($CE1310="Currently Specially Serviced",1,0)</f>
        <v/>
      </c>
      <c r="CG1310" s="76">
        <f>IF($AA1310="Yes","Currently on Watchlist",IF($AA1310="Previously","Previously on Watchlist","Never on Watchlist"))</f>
        <v/>
      </c>
      <c r="CH1310" s="78">
        <f>IF($CG1310="Currently on Watchlist",1,0)</f>
        <v/>
      </c>
      <c r="CI1310" s="76">
        <f>IF($Z1310="Full Defeasance","Fully Defeased",IF($Z1310="Portion Of Loan Previously Defeased","Partially Defeased",IF($Z1310="Defeasance Not Allowable","Not Defeased (Not Permitted)","Not Defeased")))</f>
        <v/>
      </c>
      <c r="CJ1310" s="78">
        <f>IF($CI1310="Fully Defeased",1,0)</f>
        <v/>
      </c>
      <c r="CK1310" s="76">
        <f>IF($R1310="IO","Full IO",IF(LEFT($R1310&amp;"",7)="IO then","Partial IO","Amortizing"))</f>
        <v/>
      </c>
      <c r="CL1310" s="78">
        <f>IF($CK1310="Full IO",1,0)</f>
        <v/>
      </c>
      <c r="CM1310" s="78">
        <f>IF($CK1310="Partial IO",1,0)</f>
        <v/>
      </c>
      <c r="CN1310" s="76">
        <f>IF(LEFT($F1310&amp;"",10)="SPLIT_LOAN","Pari Passu Split","Standalone")</f>
        <v/>
      </c>
      <c r="CO1310" s="78">
        <f>IF($CN1310="Pari Passu Split",1,0)</f>
        <v/>
      </c>
      <c r="CP1310" s="77">
        <f>IF(ISNUMBER($T1310),YEAR($T1310),"")</f>
        <v/>
      </c>
      <c r="CQ1310" s="79">
        <f>IF(ISNUMBER($V1310),$V1310,IF(ISNUMBER($U1310),$U1310,""))</f>
        <v/>
      </c>
      <c r="CR1310" s="77">
        <f>IF(ISNUMBER($CQ1310),YEAR($CQ1310),"")</f>
        <v/>
      </c>
      <c r="CS1310" s="78">
        <f>IF(ISNUMBER($M1310),MAX(0,$M1310),IF(TRIM($M1310&amp;"")="matured",0,""))</f>
        <v/>
      </c>
      <c r="CT1310" s="78">
        <f>IF(AND(ISNUMBER($CS1310),N($CS1310)&lt;=mMatWindow),1,0)</f>
        <v/>
      </c>
      <c r="CU1310" s="80">
        <f>IF(ISNUMBER($J1310),$J1310/100,"")</f>
        <v/>
      </c>
      <c r="CV1310" s="81">
        <f>IF(ISNUMBER($AQ1310),$AQ1310,"")</f>
        <v/>
      </c>
      <c r="CW1310" s="81">
        <f>IF(ISNUMBER($AR1310),$AR1310,"")</f>
        <v/>
      </c>
      <c r="CX1310" s="82">
        <f>IF(ISNUMBER($AS1310),$AS1310/100,"")</f>
        <v/>
      </c>
      <c r="CY1310" s="82">
        <f>IF(ISNUMBER($AT1310),$AT1310/100,"")</f>
        <v/>
      </c>
      <c r="CZ1310" s="82">
        <f>IF(ISNUMBER($AU1310),$AU1310/100,"")</f>
        <v/>
      </c>
      <c r="DA1310" s="82">
        <f>IF(ISNUMBER($AV1310),$AV1310/100,"")</f>
        <v/>
      </c>
      <c r="DB1310" s="82">
        <f>IF(ISNUMBER($AW1310),$AW1310/100,"")</f>
        <v/>
      </c>
      <c r="DC1310" s="82">
        <f>IF(ISNUMBER($AX1310),$AX1310/100,"")</f>
        <v/>
      </c>
      <c r="DD1310" s="77">
        <f>IFERROR(VALUE(LEFT(TRIM($AO1310&amp;""),4)),"")</f>
        <v/>
      </c>
      <c r="DE1310" s="78">
        <f>IF(AND($BY1310=1,$BX1310=1,OR(fDeal="All Deals",$BU1310=fDeal),OR(fEntity="All Entities",$BV1310=fEntity),OR(fPType="All Property Types",$BZ1310=fPType),OR(fDefeased="Include",$CJ1310=0)),1,0)</f>
        <v/>
      </c>
      <c r="DF1310" s="83">
        <f>$DE1310*N($I1310)</f>
        <v/>
      </c>
      <c r="DG1310" s="78">
        <f>IF($DE1310=1,IF(COUNTIFS($F$8:$F1310,$F1310,$DE$8:$DE1310,1)=1,1,0),0)</f>
        <v/>
      </c>
      <c r="DH1310" s="83">
        <f>IF($DG1310=1,SUMIFS($DF$8:$DF$1600,$F$8:$F$1600,$F1310),0)</f>
        <v/>
      </c>
      <c r="DI1310" s="78">
        <f>IF($DG1310=1,COUNTIFS($F$8:$F$1600,$F1310,$DE$8:$DE$1600,1),0)</f>
        <v/>
      </c>
      <c r="DJ1310" s="84">
        <f>IF($DG1310=1,$DH1310+(100000-ROW())/mTieBreak,0)</f>
        <v/>
      </c>
    </row>
    <row r="1311">
      <c r="B1311" s="68" t="n">
        <v>13</v>
      </c>
      <c r="C1311" s="69" t="inlineStr">
        <is>
          <t>CD17CD3</t>
        </is>
      </c>
      <c r="D1311" s="69" t="inlineStr">
        <is>
          <t>13.000</t>
        </is>
      </c>
      <c r="E1311" s="69" t="inlineStr">
        <is>
          <t>Dunn Hospitality Portfolio</t>
        </is>
      </c>
      <c r="F1311" s="69" t="inlineStr">
        <is>
          <t>LNCD17CD3-13.000</t>
        </is>
      </c>
      <c r="G1311" s="70" t="n"/>
      <c r="H1311" s="71" t="n">
        <v>32400000</v>
      </c>
      <c r="I1311" s="71" t="n">
        <v>26953206.3400032</v>
      </c>
      <c r="J1311" s="72" t="n">
        <v>5.16</v>
      </c>
      <c r="K1311" s="69" t="inlineStr">
        <is>
          <t>Fixed rate</t>
        </is>
      </c>
      <c r="L1311" s="68" t="n">
        <v>120</v>
      </c>
      <c r="M1311" s="68" t="n">
        <v>3</v>
      </c>
      <c r="N1311" s="68" t="n">
        <v>360</v>
      </c>
      <c r="O1311" s="68" t="n"/>
      <c r="P1311" s="68" t="n"/>
      <c r="Q1311" s="68" t="n">
        <v>117</v>
      </c>
      <c r="R1311" s="69" t="n"/>
      <c r="S1311" s="69" t="inlineStr">
        <is>
          <t>No</t>
        </is>
      </c>
      <c r="T1311" s="73" t="n">
        <v>42705</v>
      </c>
      <c r="U1311" s="73" t="n">
        <v>46362</v>
      </c>
      <c r="V1311" s="73" t="n"/>
      <c r="W1311" s="69" t="n"/>
      <c r="X1311" s="69" t="inlineStr">
        <is>
          <t>Current</t>
        </is>
      </c>
      <c r="Y1311" s="68" t="n"/>
      <c r="Z1311" s="69" t="inlineStr">
        <is>
          <t>No Defeasance Occurred</t>
        </is>
      </c>
      <c r="AA1311" s="69" t="inlineStr">
        <is>
          <t>Previously</t>
        </is>
      </c>
      <c r="AB1311" s="69" t="inlineStr">
        <is>
          <t>Never special serv</t>
        </is>
      </c>
      <c r="AC1311" s="73" t="n"/>
      <c r="AD1311" s="69" t="n"/>
      <c r="AE1311" s="69" t="n"/>
      <c r="AF1311" s="69" t="inlineStr">
        <is>
          <t>IN</t>
        </is>
      </c>
      <c r="AG1311" s="69" t="n"/>
      <c r="AH1311" s="69" t="inlineStr">
        <is>
          <t>Evansville, IN-78.117284720% Columbus, IN-21.882715280%</t>
        </is>
      </c>
      <c r="AI1311" s="69" t="inlineStr">
        <is>
          <t>Midwest / Central East</t>
        </is>
      </c>
      <c r="AJ1311" s="69" t="inlineStr">
        <is>
          <t>HT</t>
        </is>
      </c>
      <c r="AK1311" s="69" t="n"/>
      <c r="AL1311" s="68" t="n">
        <v>3</v>
      </c>
      <c r="AM1311" s="68" t="n">
        <v>314</v>
      </c>
      <c r="AN1311" s="68" t="n"/>
      <c r="AO1311" s="69" t="n"/>
      <c r="AP1311" s="70" t="n">
        <v>2013</v>
      </c>
      <c r="AQ1311" s="74" t="n">
        <v>1.76</v>
      </c>
      <c r="AR1311" s="74" t="n">
        <v>0.86</v>
      </c>
      <c r="AS1311" s="74" t="n">
        <v>67.40000000000001</v>
      </c>
      <c r="AT1311" s="74" t="n">
        <v>56.15</v>
      </c>
      <c r="AU1311" s="74" t="n">
        <v>55.8</v>
      </c>
      <c r="AV1311" s="74" t="n">
        <v>11.568021605</v>
      </c>
      <c r="AW1311" s="74" t="n">
        <v>11.576422303</v>
      </c>
      <c r="AX1311" s="75" t="n">
        <v>63</v>
      </c>
      <c r="AY1311" s="71" t="n">
        <v>48000000</v>
      </c>
      <c r="AZ1311" s="71" t="n">
        <v>48000000</v>
      </c>
      <c r="BA1311" s="71" t="n">
        <v>3748039</v>
      </c>
      <c r="BB1311" s="71" t="n">
        <v>741492.8100000001</v>
      </c>
      <c r="BC1311" s="69" t="inlineStr">
        <is>
          <t>Acquisition</t>
        </is>
      </c>
      <c r="BD1311" s="69" t="inlineStr">
        <is>
          <t>N</t>
        </is>
      </c>
      <c r="BE1311" s="71" t="n"/>
      <c r="BF1311" s="71" t="n"/>
      <c r="BG1311" s="71" t="n"/>
      <c r="BH1311" s="71" t="n">
        <v>0</v>
      </c>
      <c r="BI1311" s="71" t="n">
        <v>0</v>
      </c>
      <c r="BJ1311" s="69" t="inlineStr">
        <is>
          <t>N</t>
        </is>
      </c>
      <c r="BK1311" s="69" t="n"/>
      <c r="BL1311" s="75" t="n"/>
      <c r="BM1311" s="73" t="n"/>
      <c r="BN1311" s="69" t="inlineStr">
        <is>
          <t>Mark E. Hamister</t>
        </is>
      </c>
      <c r="BO1311" s="69" t="inlineStr">
        <is>
          <t>GACC</t>
        </is>
      </c>
      <c r="BP1311" s="69" t="inlineStr">
        <is>
          <t>Midland Loan Services</t>
        </is>
      </c>
      <c r="BQ1311" s="69" t="inlineStr">
        <is>
          <t>K-Star Asset Management LLC</t>
        </is>
      </c>
      <c r="BR1311" s="69" t="n"/>
      <c r="BS1311" s="73" t="n">
        <v>46273</v>
      </c>
      <c r="BU1311" s="76">
        <f>IF($C1311="","",IFERROR(INDEX(dmName,MATCH($C1311,dmID,0)),"Unmapped"))</f>
        <v/>
      </c>
      <c r="BV1311" s="76">
        <f>IF($C1311="","",IFERROR(INDEX(dmEntity,MATCH($C1311,dmID,0)),"Unmapped"))</f>
        <v/>
      </c>
      <c r="BW1311" s="77">
        <f>IF($C1311="","",IFERROR(INDEX(dmVintage,MATCH($C1311,dmID,0)),""))</f>
        <v/>
      </c>
      <c r="BX1311" s="78">
        <f>IFERROR(INDEX(dmInclude,MATCH($C1311,dmID,0)),0)</f>
        <v/>
      </c>
      <c r="BY1311" s="78">
        <f>IF(N($I1311)&gt;0,1,0)</f>
        <v/>
      </c>
      <c r="BZ1311" s="76">
        <f>IF($AJ1311="","Other / Leased Fee",IFERROR(INDEX(mapPTGroup,MATCH(LEFT(TRIM($AJ1311),2),mapPTCode,0)),"Other / Leased Fee"))</f>
        <v/>
      </c>
      <c r="CA1311" s="76">
        <f>IF(TRIM($AF1311&amp;"")="","NR",LEFT(TRIM($AF1311),2))</f>
        <v/>
      </c>
      <c r="CB1311" s="76">
        <f>IFERROR(LOOKUP(2,1/(LEFT(TRIM($AI1311&amp;""),LEN(mapRegion))=mapRegion),mapRegion),"Not Reported")</f>
        <v/>
      </c>
      <c r="CC1311" s="76">
        <f>IF($BY1311=0,"",IF(TRIM($W1311&amp;"")="REO","REO",IF(TRIM($W1311&amp;"")="FC","Foreclosure",IF(TRIM($W1311&amp;"")="90+","90+ Days Delinquent",IF(TRIM($W1311&amp;"")="60","60 Days Delinquent",IF(TRIM($W1311&amp;"")="30","30 Days Delinquent",IF($X1311="Non-Performing Matured Balloon","Non-Performing Matured Balloon",IF(OR($X1311="Late Payment But Less Than 30 Days Delinquent",LEFT($X1311&amp;"",20)="Payment Not Received"),"Late / In Grace (&lt;30 Days)",IF($X1311="Performing Matured Balloon","Performing Matured Balloon","Current")))))))))</f>
        <v/>
      </c>
      <c r="CD1311" s="78">
        <f>IF(OR($CC1311="REO",$CC1311="Foreclosure",$CC1311="90+ Days Delinquent",$CC1311="60 Days Delinquent",$CC1311="30 Days Delinquent",$CC1311="Non-Performing Matured Balloon"),1,0)</f>
        <v/>
      </c>
      <c r="CE1311" s="76">
        <f>IF($AB1311="Currently special serv","Currently Specially Serviced",IF($AB1311="Returned to master serv","Previously Specially Serviced","Never Specially Serviced"))</f>
        <v/>
      </c>
      <c r="CF1311" s="78">
        <f>IF($CE1311="Currently Specially Serviced",1,0)</f>
        <v/>
      </c>
      <c r="CG1311" s="76">
        <f>IF($AA1311="Yes","Currently on Watchlist",IF($AA1311="Previously","Previously on Watchlist","Never on Watchlist"))</f>
        <v/>
      </c>
      <c r="CH1311" s="78">
        <f>IF($CG1311="Currently on Watchlist",1,0)</f>
        <v/>
      </c>
      <c r="CI1311" s="76">
        <f>IF($Z1311="Full Defeasance","Fully Defeased",IF($Z1311="Portion Of Loan Previously Defeased","Partially Defeased",IF($Z1311="Defeasance Not Allowable","Not Defeased (Not Permitted)","Not Defeased")))</f>
        <v/>
      </c>
      <c r="CJ1311" s="78">
        <f>IF($CI1311="Fully Defeased",1,0)</f>
        <v/>
      </c>
      <c r="CK1311" s="76">
        <f>IF($R1311="IO","Full IO",IF(LEFT($R1311&amp;"",7)="IO then","Partial IO","Amortizing"))</f>
        <v/>
      </c>
      <c r="CL1311" s="78">
        <f>IF($CK1311="Full IO",1,0)</f>
        <v/>
      </c>
      <c r="CM1311" s="78">
        <f>IF($CK1311="Partial IO",1,0)</f>
        <v/>
      </c>
      <c r="CN1311" s="76">
        <f>IF(LEFT($F1311&amp;"",10)="SPLIT_LOAN","Pari Passu Split","Standalone")</f>
        <v/>
      </c>
      <c r="CO1311" s="78">
        <f>IF($CN1311="Pari Passu Split",1,0)</f>
        <v/>
      </c>
      <c r="CP1311" s="77">
        <f>IF(ISNUMBER($T1311),YEAR($T1311),"")</f>
        <v/>
      </c>
      <c r="CQ1311" s="79">
        <f>IF(ISNUMBER($V1311),$V1311,IF(ISNUMBER($U1311),$U1311,""))</f>
        <v/>
      </c>
      <c r="CR1311" s="77">
        <f>IF(ISNUMBER($CQ1311),YEAR($CQ1311),"")</f>
        <v/>
      </c>
      <c r="CS1311" s="78">
        <f>IF(ISNUMBER($M1311),MAX(0,$M1311),IF(TRIM($M1311&amp;"")="matured",0,""))</f>
        <v/>
      </c>
      <c r="CT1311" s="78">
        <f>IF(AND(ISNUMBER($CS1311),N($CS1311)&lt;=mMatWindow),1,0)</f>
        <v/>
      </c>
      <c r="CU1311" s="80">
        <f>IF(ISNUMBER($J1311),$J1311/100,"")</f>
        <v/>
      </c>
      <c r="CV1311" s="81">
        <f>IF(ISNUMBER($AQ1311),$AQ1311,"")</f>
        <v/>
      </c>
      <c r="CW1311" s="81">
        <f>IF(ISNUMBER($AR1311),$AR1311,"")</f>
        <v/>
      </c>
      <c r="CX1311" s="82">
        <f>IF(ISNUMBER($AS1311),$AS1311/100,"")</f>
        <v/>
      </c>
      <c r="CY1311" s="82">
        <f>IF(ISNUMBER($AT1311),$AT1311/100,"")</f>
        <v/>
      </c>
      <c r="CZ1311" s="82">
        <f>IF(ISNUMBER($AU1311),$AU1311/100,"")</f>
        <v/>
      </c>
      <c r="DA1311" s="82">
        <f>IF(ISNUMBER($AV1311),$AV1311/100,"")</f>
        <v/>
      </c>
      <c r="DB1311" s="82">
        <f>IF(ISNUMBER($AW1311),$AW1311/100,"")</f>
        <v/>
      </c>
      <c r="DC1311" s="82">
        <f>IF(ISNUMBER($AX1311),$AX1311/100,"")</f>
        <v/>
      </c>
      <c r="DD1311" s="77">
        <f>IFERROR(VALUE(LEFT(TRIM($AO1311&amp;""),4)),"")</f>
        <v/>
      </c>
      <c r="DE1311" s="78">
        <f>IF(AND($BY1311=1,$BX1311=1,OR(fDeal="All Deals",$BU1311=fDeal),OR(fEntity="All Entities",$BV1311=fEntity),OR(fPType="All Property Types",$BZ1311=fPType),OR(fDefeased="Include",$CJ1311=0)),1,0)</f>
        <v/>
      </c>
      <c r="DF1311" s="83">
        <f>$DE1311*N($I1311)</f>
        <v/>
      </c>
      <c r="DG1311" s="78">
        <f>IF($DE1311=1,IF(COUNTIFS($F$8:$F1311,$F1311,$DE$8:$DE1311,1)=1,1,0),0)</f>
        <v/>
      </c>
      <c r="DH1311" s="83">
        <f>IF($DG1311=1,SUMIFS($DF$8:$DF$1600,$F$8:$F$1600,$F1311),0)</f>
        <v/>
      </c>
      <c r="DI1311" s="78">
        <f>IF($DG1311=1,COUNTIFS($F$8:$F$1600,$F1311,$DE$8:$DE$1600,1),0)</f>
        <v/>
      </c>
      <c r="DJ1311" s="84">
        <f>IF($DG1311=1,$DH1311+(100000-ROW())/mTieBreak,0)</f>
        <v/>
      </c>
    </row>
    <row r="1312">
      <c r="B1312" s="68" t="n">
        <v>14</v>
      </c>
      <c r="C1312" s="69" t="inlineStr">
        <is>
          <t>CD17CD3</t>
        </is>
      </c>
      <c r="D1312" s="69" t="inlineStr">
        <is>
          <t>14.000</t>
        </is>
      </c>
      <c r="E1312" s="69" t="inlineStr">
        <is>
          <t>Cherry Creek Place I &amp; II</t>
        </is>
      </c>
      <c r="F1312" s="69" t="inlineStr">
        <is>
          <t>LNCD17CD3-14.000</t>
        </is>
      </c>
      <c r="G1312" s="70" t="n"/>
      <c r="H1312" s="71" t="n">
        <v>32000000</v>
      </c>
      <c r="I1312" s="71" t="n">
        <v>0</v>
      </c>
      <c r="J1312" s="72" t="n">
        <v>5.09</v>
      </c>
      <c r="K1312" s="69" t="inlineStr">
        <is>
          <t>Fixed rate</t>
        </is>
      </c>
      <c r="L1312" s="68" t="n">
        <v>120</v>
      </c>
      <c r="M1312" s="68" t="n"/>
      <c r="N1312" s="68" t="n">
        <v>360</v>
      </c>
      <c r="O1312" s="68" t="n"/>
      <c r="P1312" s="68" t="n"/>
      <c r="Q1312" s="68" t="n"/>
      <c r="R1312" s="69" t="n"/>
      <c r="S1312" s="69" t="inlineStr">
        <is>
          <t>No</t>
        </is>
      </c>
      <c r="T1312" s="73" t="n">
        <v>42736</v>
      </c>
      <c r="U1312" s="73" t="n">
        <v>46393</v>
      </c>
      <c r="V1312" s="73" t="n"/>
      <c r="W1312" s="69" t="n"/>
      <c r="X1312" s="69" t="inlineStr">
        <is>
          <t>Current</t>
        </is>
      </c>
      <c r="Y1312" s="68" t="n"/>
      <c r="Z1312" s="69" t="inlineStr">
        <is>
          <t>No Defeasance Occurred</t>
        </is>
      </c>
      <c r="AA1312" s="69" t="inlineStr">
        <is>
          <t>Previously</t>
        </is>
      </c>
      <c r="AB1312" s="69" t="inlineStr">
        <is>
          <t>Currently special serv</t>
        </is>
      </c>
      <c r="AC1312" s="73" t="n">
        <v>45279</v>
      </c>
      <c r="AD1312" s="69" t="inlineStr">
        <is>
          <t>Imminent Monetary Default (excluding Balloon/Maturity Default &amp; Single Tenant Bankruptcy/Vacate)</t>
        </is>
      </c>
      <c r="AE1312" s="69" t="inlineStr">
        <is>
          <t>Foreclosure</t>
        </is>
      </c>
      <c r="AF1312" s="69" t="inlineStr">
        <is>
          <t>CO</t>
        </is>
      </c>
      <c r="AG1312" s="69" t="n"/>
      <c r="AH1312" s="69" t="inlineStr">
        <is>
          <t>Denver-Aurora-Centennial, CO</t>
        </is>
      </c>
      <c r="AI1312" s="69" t="inlineStr">
        <is>
          <t>West / Mountain</t>
        </is>
      </c>
      <c r="AJ1312" s="69" t="inlineStr">
        <is>
          <t>OF</t>
        </is>
      </c>
      <c r="AK1312" s="69" t="inlineStr">
        <is>
          <t>Suburban</t>
        </is>
      </c>
      <c r="AL1312" s="68" t="n">
        <v>2</v>
      </c>
      <c r="AM1312" s="68" t="n"/>
      <c r="AN1312" s="68" t="n">
        <v>399967</v>
      </c>
      <c r="AO1312" s="69" t="n"/>
      <c r="AP1312" s="70" t="n">
        <v>2013</v>
      </c>
      <c r="AQ1312" s="74" t="n">
        <v>1.38</v>
      </c>
      <c r="AR1312" s="74" t="n">
        <v>0.31</v>
      </c>
      <c r="AS1312" s="74" t="n">
        <v>61.95</v>
      </c>
      <c r="AT1312" s="74" t="n"/>
      <c r="AU1312" s="74" t="n">
        <v>51.12</v>
      </c>
      <c r="AV1312" s="74" t="n">
        <v>8.987701938000001</v>
      </c>
      <c r="AW1312" s="74" t="n"/>
      <c r="AX1312" s="75" t="n">
        <v>77</v>
      </c>
      <c r="AY1312" s="71" t="n">
        <v>51600000</v>
      </c>
      <c r="AZ1312" s="71" t="n">
        <v>51600000</v>
      </c>
      <c r="BA1312" s="71" t="n">
        <v>2876064.62</v>
      </c>
      <c r="BB1312" s="71" t="n">
        <v>642517.8100000001</v>
      </c>
      <c r="BC1312" s="69" t="inlineStr">
        <is>
          <t>Refinance</t>
        </is>
      </c>
      <c r="BD1312" s="69" t="inlineStr">
        <is>
          <t>N</t>
        </is>
      </c>
      <c r="BE1312" s="71" t="n"/>
      <c r="BF1312" s="71" t="n"/>
      <c r="BG1312" s="71" t="n"/>
      <c r="BH1312" s="71" t="n">
        <v>0</v>
      </c>
      <c r="BI1312" s="71" t="n">
        <v>0</v>
      </c>
      <c r="BJ1312" s="69" t="inlineStr">
        <is>
          <t>Y</t>
        </is>
      </c>
      <c r="BK1312" s="69" t="inlineStr">
        <is>
          <t>State Of Colorado</t>
        </is>
      </c>
      <c r="BL1312" s="75" t="n">
        <v>11.8</v>
      </c>
      <c r="BM1312" s="73" t="n">
        <v>47848</v>
      </c>
      <c r="BN1312" s="69" t="inlineStr">
        <is>
          <t>R. Brian Watson</t>
        </is>
      </c>
      <c r="BO1312" s="69" t="inlineStr">
        <is>
          <t>Citigroup Global Markets</t>
        </is>
      </c>
      <c r="BP1312" s="69" t="inlineStr">
        <is>
          <t>Midland Loan Services</t>
        </is>
      </c>
      <c r="BQ1312" s="69" t="inlineStr">
        <is>
          <t>K-Star Asset Management LLC</t>
        </is>
      </c>
      <c r="BR1312" s="69" t="inlineStr">
        <is>
          <t>Disposition / Liquidation</t>
        </is>
      </c>
      <c r="BS1312" s="73" t="n">
        <v>46273</v>
      </c>
      <c r="BU1312" s="76">
        <f>IF($C1312="","",IFERROR(INDEX(dmName,MATCH($C1312,dmID,0)),"Unmapped"))</f>
        <v/>
      </c>
      <c r="BV1312" s="76">
        <f>IF($C1312="","",IFERROR(INDEX(dmEntity,MATCH($C1312,dmID,0)),"Unmapped"))</f>
        <v/>
      </c>
      <c r="BW1312" s="77">
        <f>IF($C1312="","",IFERROR(INDEX(dmVintage,MATCH($C1312,dmID,0)),""))</f>
        <v/>
      </c>
      <c r="BX1312" s="78">
        <f>IFERROR(INDEX(dmInclude,MATCH($C1312,dmID,0)),0)</f>
        <v/>
      </c>
      <c r="BY1312" s="78">
        <f>IF(N($I1312)&gt;0,1,0)</f>
        <v/>
      </c>
      <c r="BZ1312" s="76">
        <f>IF($AJ1312="","Other / Leased Fee",IFERROR(INDEX(mapPTGroup,MATCH(LEFT(TRIM($AJ1312),2),mapPTCode,0)),"Other / Leased Fee"))</f>
        <v/>
      </c>
      <c r="CA1312" s="76">
        <f>IF(TRIM($AF1312&amp;"")="","NR",LEFT(TRIM($AF1312),2))</f>
        <v/>
      </c>
      <c r="CB1312" s="76">
        <f>IFERROR(LOOKUP(2,1/(LEFT(TRIM($AI1312&amp;""),LEN(mapRegion))=mapRegion),mapRegion),"Not Reported")</f>
        <v/>
      </c>
      <c r="CC1312" s="76">
        <f>IF($BY1312=0,"",IF(TRIM($W1312&amp;"")="REO","REO",IF(TRIM($W1312&amp;"")="FC","Foreclosure",IF(TRIM($W1312&amp;"")="90+","90+ Days Delinquent",IF(TRIM($W1312&amp;"")="60","60 Days Delinquent",IF(TRIM($W1312&amp;"")="30","30 Days Delinquent",IF($X1312="Non-Performing Matured Balloon","Non-Performing Matured Balloon",IF(OR($X1312="Late Payment But Less Than 30 Days Delinquent",LEFT($X1312&amp;"",20)="Payment Not Received"),"Late / In Grace (&lt;30 Days)",IF($X1312="Performing Matured Balloon","Performing Matured Balloon","Current")))))))))</f>
        <v/>
      </c>
      <c r="CD1312" s="78">
        <f>IF(OR($CC1312="REO",$CC1312="Foreclosure",$CC1312="90+ Days Delinquent",$CC1312="60 Days Delinquent",$CC1312="30 Days Delinquent",$CC1312="Non-Performing Matured Balloon"),1,0)</f>
        <v/>
      </c>
      <c r="CE1312" s="76">
        <f>IF($AB1312="Currently special serv","Currently Specially Serviced",IF($AB1312="Returned to master serv","Previously Specially Serviced","Never Specially Serviced"))</f>
        <v/>
      </c>
      <c r="CF1312" s="78">
        <f>IF($CE1312="Currently Specially Serviced",1,0)</f>
        <v/>
      </c>
      <c r="CG1312" s="76">
        <f>IF($AA1312="Yes","Currently on Watchlist",IF($AA1312="Previously","Previously on Watchlist","Never on Watchlist"))</f>
        <v/>
      </c>
      <c r="CH1312" s="78">
        <f>IF($CG1312="Currently on Watchlist",1,0)</f>
        <v/>
      </c>
      <c r="CI1312" s="76">
        <f>IF($Z1312="Full Defeasance","Fully Defeased",IF($Z1312="Portion Of Loan Previously Defeased","Partially Defeased",IF($Z1312="Defeasance Not Allowable","Not Defeased (Not Permitted)","Not Defeased")))</f>
        <v/>
      </c>
      <c r="CJ1312" s="78">
        <f>IF($CI1312="Fully Defeased",1,0)</f>
        <v/>
      </c>
      <c r="CK1312" s="76">
        <f>IF($R1312="IO","Full IO",IF(LEFT($R1312&amp;"",7)="IO then","Partial IO","Amortizing"))</f>
        <v/>
      </c>
      <c r="CL1312" s="78">
        <f>IF($CK1312="Full IO",1,0)</f>
        <v/>
      </c>
      <c r="CM1312" s="78">
        <f>IF($CK1312="Partial IO",1,0)</f>
        <v/>
      </c>
      <c r="CN1312" s="76">
        <f>IF(LEFT($F1312&amp;"",10)="SPLIT_LOAN","Pari Passu Split","Standalone")</f>
        <v/>
      </c>
      <c r="CO1312" s="78">
        <f>IF($CN1312="Pari Passu Split",1,0)</f>
        <v/>
      </c>
      <c r="CP1312" s="77">
        <f>IF(ISNUMBER($T1312),YEAR($T1312),"")</f>
        <v/>
      </c>
      <c r="CQ1312" s="79">
        <f>IF(ISNUMBER($V1312),$V1312,IF(ISNUMBER($U1312),$U1312,""))</f>
        <v/>
      </c>
      <c r="CR1312" s="77">
        <f>IF(ISNUMBER($CQ1312),YEAR($CQ1312),"")</f>
        <v/>
      </c>
      <c r="CS1312" s="78">
        <f>IF(ISNUMBER($M1312),MAX(0,$M1312),IF(TRIM($M1312&amp;"")="matured",0,""))</f>
        <v/>
      </c>
      <c r="CT1312" s="78">
        <f>IF(AND(ISNUMBER($CS1312),N($CS1312)&lt;=mMatWindow),1,0)</f>
        <v/>
      </c>
      <c r="CU1312" s="80">
        <f>IF(ISNUMBER($J1312),$J1312/100,"")</f>
        <v/>
      </c>
      <c r="CV1312" s="81">
        <f>IF(ISNUMBER($AQ1312),$AQ1312,"")</f>
        <v/>
      </c>
      <c r="CW1312" s="81">
        <f>IF(ISNUMBER($AR1312),$AR1312,"")</f>
        <v/>
      </c>
      <c r="CX1312" s="82">
        <f>IF(ISNUMBER($AS1312),$AS1312/100,"")</f>
        <v/>
      </c>
      <c r="CY1312" s="82">
        <f>IF(ISNUMBER($AT1312),$AT1312/100,"")</f>
        <v/>
      </c>
      <c r="CZ1312" s="82">
        <f>IF(ISNUMBER($AU1312),$AU1312/100,"")</f>
        <v/>
      </c>
      <c r="DA1312" s="82">
        <f>IF(ISNUMBER($AV1312),$AV1312/100,"")</f>
        <v/>
      </c>
      <c r="DB1312" s="82">
        <f>IF(ISNUMBER($AW1312),$AW1312/100,"")</f>
        <v/>
      </c>
      <c r="DC1312" s="82">
        <f>IF(ISNUMBER($AX1312),$AX1312/100,"")</f>
        <v/>
      </c>
      <c r="DD1312" s="77">
        <f>IFERROR(VALUE(LEFT(TRIM($AO1312&amp;""),4)),"")</f>
        <v/>
      </c>
      <c r="DE1312" s="78">
        <f>IF(AND($BY1312=1,$BX1312=1,OR(fDeal="All Deals",$BU1312=fDeal),OR(fEntity="All Entities",$BV1312=fEntity),OR(fPType="All Property Types",$BZ1312=fPType),OR(fDefeased="Include",$CJ1312=0)),1,0)</f>
        <v/>
      </c>
      <c r="DF1312" s="83">
        <f>$DE1312*N($I1312)</f>
        <v/>
      </c>
      <c r="DG1312" s="78">
        <f>IF($DE1312=1,IF(COUNTIFS($F$8:$F1312,$F1312,$DE$8:$DE1312,1)=1,1,0),0)</f>
        <v/>
      </c>
      <c r="DH1312" s="83">
        <f>IF($DG1312=1,SUMIFS($DF$8:$DF$1600,$F$8:$F$1600,$F1312),0)</f>
        <v/>
      </c>
      <c r="DI1312" s="78">
        <f>IF($DG1312=1,COUNTIFS($F$8:$F$1600,$F1312,$DE$8:$DE$1600,1),0)</f>
        <v/>
      </c>
      <c r="DJ1312" s="84">
        <f>IF($DG1312=1,$DH1312+(100000-ROW())/mTieBreak,0)</f>
        <v/>
      </c>
    </row>
    <row r="1313">
      <c r="B1313" s="68" t="n">
        <v>15</v>
      </c>
      <c r="C1313" s="69" t="inlineStr">
        <is>
          <t>CD17CD3</t>
        </is>
      </c>
      <c r="D1313" s="69" t="inlineStr">
        <is>
          <t>15.000</t>
        </is>
      </c>
      <c r="E1313" s="69" t="inlineStr">
        <is>
          <t>16 E 40th Street</t>
        </is>
      </c>
      <c r="F1313" s="69" t="inlineStr">
        <is>
          <t>LNCD17CD3-15.000</t>
        </is>
      </c>
      <c r="G1313" s="70" t="n"/>
      <c r="H1313" s="71" t="n">
        <v>31500000</v>
      </c>
      <c r="I1313" s="71" t="n">
        <v>31500000</v>
      </c>
      <c r="J1313" s="72" t="n">
        <v>4.5</v>
      </c>
      <c r="K1313" s="69" t="inlineStr">
        <is>
          <t>Fixed rate</t>
        </is>
      </c>
      <c r="L1313" s="68" t="n">
        <v>120</v>
      </c>
      <c r="M1313" s="68" t="n">
        <v>4</v>
      </c>
      <c r="N1313" s="68" t="n">
        <v>120</v>
      </c>
      <c r="O1313" s="68" t="n">
        <v>120</v>
      </c>
      <c r="P1313" s="68" t="n">
        <v>4</v>
      </c>
      <c r="Q1313" s="68" t="n">
        <v>116</v>
      </c>
      <c r="R1313" s="69" t="inlineStr">
        <is>
          <t>IO</t>
        </is>
      </c>
      <c r="S1313" s="69" t="inlineStr">
        <is>
          <t>Yes</t>
        </is>
      </c>
      <c r="T1313" s="73" t="n">
        <v>42736</v>
      </c>
      <c r="U1313" s="73" t="n">
        <v>46393</v>
      </c>
      <c r="V1313" s="73" t="n"/>
      <c r="W1313" s="69" t="inlineStr">
        <is>
          <t>FC</t>
        </is>
      </c>
      <c r="X1313" s="69" t="inlineStr">
        <is>
          <t>121+ Days Delinquent</t>
        </is>
      </c>
      <c r="Y1313" s="68" t="n">
        <v>41</v>
      </c>
      <c r="Z1313" s="69" t="inlineStr">
        <is>
          <t>No Defeasance Occurred</t>
        </is>
      </c>
      <c r="AA1313" s="69" t="inlineStr">
        <is>
          <t>Previously</t>
        </is>
      </c>
      <c r="AB1313" s="69" t="inlineStr">
        <is>
          <t>Currently special serv</t>
        </is>
      </c>
      <c r="AC1313" s="73" t="n">
        <v>45085</v>
      </c>
      <c r="AD1313" s="69" t="inlineStr">
        <is>
          <t>Payment Default (all payments excluding Balloon/Maturity Payment)</t>
        </is>
      </c>
      <c r="AE1313" s="69" t="inlineStr">
        <is>
          <t>Foreclosure</t>
        </is>
      </c>
      <c r="AF1313" s="69" t="inlineStr">
        <is>
          <t>NY</t>
        </is>
      </c>
      <c r="AG1313" s="69" t="inlineStr">
        <is>
          <t>New York</t>
        </is>
      </c>
      <c r="AH1313" s="69" t="inlineStr">
        <is>
          <t>New York-Newark-Jersey City, NY-NJ</t>
        </is>
      </c>
      <c r="AI1313" s="69" t="inlineStr">
        <is>
          <t>Northeast / Mid-Atlantic</t>
        </is>
      </c>
      <c r="AJ1313" s="69" t="inlineStr">
        <is>
          <t>OF</t>
        </is>
      </c>
      <c r="AK1313" s="69" t="inlineStr">
        <is>
          <t>CBD</t>
        </is>
      </c>
      <c r="AL1313" s="68" t="n">
        <v>1</v>
      </c>
      <c r="AM1313" s="68" t="n"/>
      <c r="AN1313" s="68" t="n">
        <v>96182</v>
      </c>
      <c r="AO1313" s="69" t="inlineStr">
        <is>
          <t>1911</t>
        </is>
      </c>
      <c r="AP1313" s="70" t="n">
        <v>2005</v>
      </c>
      <c r="AQ1313" s="74" t="n">
        <v>1.82</v>
      </c>
      <c r="AR1313" s="74" t="n">
        <v>-0.06</v>
      </c>
      <c r="AS1313" s="74" t="n">
        <v>51.6</v>
      </c>
      <c r="AT1313" s="74" t="n">
        <v>143.18</v>
      </c>
      <c r="AU1313" s="74" t="n">
        <v>51.6</v>
      </c>
      <c r="AV1313" s="74" t="n">
        <v>8.306106159</v>
      </c>
      <c r="AW1313" s="74" t="n">
        <v>-0.267925905</v>
      </c>
      <c r="AX1313" s="75" t="n">
        <v>36</v>
      </c>
      <c r="AY1313" s="71" t="n">
        <v>61000000</v>
      </c>
      <c r="AZ1313" s="71" t="n">
        <v>22000000</v>
      </c>
      <c r="BA1313" s="71" t="n">
        <v>2616423.44</v>
      </c>
      <c r="BB1313" s="71" t="n">
        <v>-84396.66</v>
      </c>
      <c r="BC1313" s="69" t="inlineStr">
        <is>
          <t>Refinance</t>
        </is>
      </c>
      <c r="BD1313" s="69" t="inlineStr">
        <is>
          <t>N</t>
        </is>
      </c>
      <c r="BE1313" s="71" t="n"/>
      <c r="BF1313" s="71" t="n"/>
      <c r="BG1313" s="71" t="n"/>
      <c r="BH1313" s="71" t="n">
        <v>14036285.28</v>
      </c>
      <c r="BI1313" s="71" t="n">
        <v>961939.1</v>
      </c>
      <c r="BJ1313" s="69" t="inlineStr">
        <is>
          <t>N</t>
        </is>
      </c>
      <c r="BK1313" s="69" t="inlineStr">
        <is>
          <t>40th street 99 cent Corp</t>
        </is>
      </c>
      <c r="BL1313" s="75" t="n">
        <v>10.4</v>
      </c>
      <c r="BM1313" s="73" t="n">
        <v>46022</v>
      </c>
      <c r="BN1313" s="69" t="inlineStr">
        <is>
          <t>Nader Hakakian and Albert Monasebian</t>
        </is>
      </c>
      <c r="BO1313" s="69" t="inlineStr">
        <is>
          <t>GACC</t>
        </is>
      </c>
      <c r="BP1313" s="69" t="inlineStr">
        <is>
          <t>Midland Loan Services</t>
        </is>
      </c>
      <c r="BQ1313" s="69" t="inlineStr">
        <is>
          <t>K-Star Asset Management LLC</t>
        </is>
      </c>
      <c r="BR1313" s="69" t="n"/>
      <c r="BS1313" s="73" t="n">
        <v>46273</v>
      </c>
      <c r="BU1313" s="76">
        <f>IF($C1313="","",IFERROR(INDEX(dmName,MATCH($C1313,dmID,0)),"Unmapped"))</f>
        <v/>
      </c>
      <c r="BV1313" s="76">
        <f>IF($C1313="","",IFERROR(INDEX(dmEntity,MATCH($C1313,dmID,0)),"Unmapped"))</f>
        <v/>
      </c>
      <c r="BW1313" s="77">
        <f>IF($C1313="","",IFERROR(INDEX(dmVintage,MATCH($C1313,dmID,0)),""))</f>
        <v/>
      </c>
      <c r="BX1313" s="78">
        <f>IFERROR(INDEX(dmInclude,MATCH($C1313,dmID,0)),0)</f>
        <v/>
      </c>
      <c r="BY1313" s="78">
        <f>IF(N($I1313)&gt;0,1,0)</f>
        <v/>
      </c>
      <c r="BZ1313" s="76">
        <f>IF($AJ1313="","Other / Leased Fee",IFERROR(INDEX(mapPTGroup,MATCH(LEFT(TRIM($AJ1313),2),mapPTCode,0)),"Other / Leased Fee"))</f>
        <v/>
      </c>
      <c r="CA1313" s="76">
        <f>IF(TRIM($AF1313&amp;"")="","NR",LEFT(TRIM($AF1313),2))</f>
        <v/>
      </c>
      <c r="CB1313" s="76">
        <f>IFERROR(LOOKUP(2,1/(LEFT(TRIM($AI1313&amp;""),LEN(mapRegion))=mapRegion),mapRegion),"Not Reported")</f>
        <v/>
      </c>
      <c r="CC1313" s="76">
        <f>IF($BY1313=0,"",IF(TRIM($W1313&amp;"")="REO","REO",IF(TRIM($W1313&amp;"")="FC","Foreclosure",IF(TRIM($W1313&amp;"")="90+","90+ Days Delinquent",IF(TRIM($W1313&amp;"")="60","60 Days Delinquent",IF(TRIM($W1313&amp;"")="30","30 Days Delinquent",IF($X1313="Non-Performing Matured Balloon","Non-Performing Matured Balloon",IF(OR($X1313="Late Payment But Less Than 30 Days Delinquent",LEFT($X1313&amp;"",20)="Payment Not Received"),"Late / In Grace (&lt;30 Days)",IF($X1313="Performing Matured Balloon","Performing Matured Balloon","Current")))))))))</f>
        <v/>
      </c>
      <c r="CD1313" s="78">
        <f>IF(OR($CC1313="REO",$CC1313="Foreclosure",$CC1313="90+ Days Delinquent",$CC1313="60 Days Delinquent",$CC1313="30 Days Delinquent",$CC1313="Non-Performing Matured Balloon"),1,0)</f>
        <v/>
      </c>
      <c r="CE1313" s="76">
        <f>IF($AB1313="Currently special serv","Currently Specially Serviced",IF($AB1313="Returned to master serv","Previously Specially Serviced","Never Specially Serviced"))</f>
        <v/>
      </c>
      <c r="CF1313" s="78">
        <f>IF($CE1313="Currently Specially Serviced",1,0)</f>
        <v/>
      </c>
      <c r="CG1313" s="76">
        <f>IF($AA1313="Yes","Currently on Watchlist",IF($AA1313="Previously","Previously on Watchlist","Never on Watchlist"))</f>
        <v/>
      </c>
      <c r="CH1313" s="78">
        <f>IF($CG1313="Currently on Watchlist",1,0)</f>
        <v/>
      </c>
      <c r="CI1313" s="76">
        <f>IF($Z1313="Full Defeasance","Fully Defeased",IF($Z1313="Portion Of Loan Previously Defeased","Partially Defeased",IF($Z1313="Defeasance Not Allowable","Not Defeased (Not Permitted)","Not Defeased")))</f>
        <v/>
      </c>
      <c r="CJ1313" s="78">
        <f>IF($CI1313="Fully Defeased",1,0)</f>
        <v/>
      </c>
      <c r="CK1313" s="76">
        <f>IF($R1313="IO","Full IO",IF(LEFT($R1313&amp;"",7)="IO then","Partial IO","Amortizing"))</f>
        <v/>
      </c>
      <c r="CL1313" s="78">
        <f>IF($CK1313="Full IO",1,0)</f>
        <v/>
      </c>
      <c r="CM1313" s="78">
        <f>IF($CK1313="Partial IO",1,0)</f>
        <v/>
      </c>
      <c r="CN1313" s="76">
        <f>IF(LEFT($F1313&amp;"",10)="SPLIT_LOAN","Pari Passu Split","Standalone")</f>
        <v/>
      </c>
      <c r="CO1313" s="78">
        <f>IF($CN1313="Pari Passu Split",1,0)</f>
        <v/>
      </c>
      <c r="CP1313" s="77">
        <f>IF(ISNUMBER($T1313),YEAR($T1313),"")</f>
        <v/>
      </c>
      <c r="CQ1313" s="79">
        <f>IF(ISNUMBER($V1313),$V1313,IF(ISNUMBER($U1313),$U1313,""))</f>
        <v/>
      </c>
      <c r="CR1313" s="77">
        <f>IF(ISNUMBER($CQ1313),YEAR($CQ1313),"")</f>
        <v/>
      </c>
      <c r="CS1313" s="78">
        <f>IF(ISNUMBER($M1313),MAX(0,$M1313),IF(TRIM($M1313&amp;"")="matured",0,""))</f>
        <v/>
      </c>
      <c r="CT1313" s="78">
        <f>IF(AND(ISNUMBER($CS1313),N($CS1313)&lt;=mMatWindow),1,0)</f>
        <v/>
      </c>
      <c r="CU1313" s="80">
        <f>IF(ISNUMBER($J1313),$J1313/100,"")</f>
        <v/>
      </c>
      <c r="CV1313" s="81">
        <f>IF(ISNUMBER($AQ1313),$AQ1313,"")</f>
        <v/>
      </c>
      <c r="CW1313" s="81">
        <f>IF(ISNUMBER($AR1313),$AR1313,"")</f>
        <v/>
      </c>
      <c r="CX1313" s="82">
        <f>IF(ISNUMBER($AS1313),$AS1313/100,"")</f>
        <v/>
      </c>
      <c r="CY1313" s="82">
        <f>IF(ISNUMBER($AT1313),$AT1313/100,"")</f>
        <v/>
      </c>
      <c r="CZ1313" s="82">
        <f>IF(ISNUMBER($AU1313),$AU1313/100,"")</f>
        <v/>
      </c>
      <c r="DA1313" s="82">
        <f>IF(ISNUMBER($AV1313),$AV1313/100,"")</f>
        <v/>
      </c>
      <c r="DB1313" s="82">
        <f>IF(ISNUMBER($AW1313),$AW1313/100,"")</f>
        <v/>
      </c>
      <c r="DC1313" s="82">
        <f>IF(ISNUMBER($AX1313),$AX1313/100,"")</f>
        <v/>
      </c>
      <c r="DD1313" s="77">
        <f>IFERROR(VALUE(LEFT(TRIM($AO1313&amp;""),4)),"")</f>
        <v/>
      </c>
      <c r="DE1313" s="78">
        <f>IF(AND($BY1313=1,$BX1313=1,OR(fDeal="All Deals",$BU1313=fDeal),OR(fEntity="All Entities",$BV1313=fEntity),OR(fPType="All Property Types",$BZ1313=fPType),OR(fDefeased="Include",$CJ1313=0)),1,0)</f>
        <v/>
      </c>
      <c r="DF1313" s="83">
        <f>$DE1313*N($I1313)</f>
        <v/>
      </c>
      <c r="DG1313" s="78">
        <f>IF($DE1313=1,IF(COUNTIFS($F$8:$F1313,$F1313,$DE$8:$DE1313,1)=1,1,0),0)</f>
        <v/>
      </c>
      <c r="DH1313" s="83">
        <f>IF($DG1313=1,SUMIFS($DF$8:$DF$1600,$F$8:$F$1600,$F1313),0)</f>
        <v/>
      </c>
      <c r="DI1313" s="78">
        <f>IF($DG1313=1,COUNTIFS($F$8:$F$1600,$F1313,$DE$8:$DE$1600,1),0)</f>
        <v/>
      </c>
      <c r="DJ1313" s="84">
        <f>IF($DG1313=1,$DH1313+(100000-ROW())/mTieBreak,0)</f>
        <v/>
      </c>
    </row>
    <row r="1314">
      <c r="B1314" s="68" t="n">
        <v>16</v>
      </c>
      <c r="C1314" s="69" t="inlineStr">
        <is>
          <t>CD17CD3</t>
        </is>
      </c>
      <c r="D1314" s="69" t="inlineStr">
        <is>
          <t>16.000</t>
        </is>
      </c>
      <c r="E1314" s="69" t="inlineStr">
        <is>
          <t>K2M Leesburg HQ</t>
        </is>
      </c>
      <c r="F1314" s="69" t="inlineStr">
        <is>
          <t>LNCD17CD3-16.000</t>
        </is>
      </c>
      <c r="G1314" s="70" t="n"/>
      <c r="H1314" s="71" t="n">
        <v>29670000</v>
      </c>
      <c r="I1314" s="71" t="n">
        <v>27533337.26000046</v>
      </c>
      <c r="J1314" s="72" t="n">
        <v>5</v>
      </c>
      <c r="K1314" s="69" t="inlineStr">
        <is>
          <t>Fixed rate</t>
        </is>
      </c>
      <c r="L1314" s="68" t="n">
        <v>120</v>
      </c>
      <c r="M1314" s="68" t="n">
        <v>4</v>
      </c>
      <c r="N1314" s="68" t="n">
        <v>420</v>
      </c>
      <c r="O1314" s="68" t="n">
        <v>60</v>
      </c>
      <c r="P1314" s="68" t="n">
        <v>0</v>
      </c>
      <c r="Q1314" s="68" t="n">
        <v>116</v>
      </c>
      <c r="R1314" s="69" t="inlineStr">
        <is>
          <t>IO then Amort</t>
        </is>
      </c>
      <c r="S1314" s="69" t="inlineStr">
        <is>
          <t>No</t>
        </is>
      </c>
      <c r="T1314" s="73" t="n">
        <v>42736</v>
      </c>
      <c r="U1314" s="73" t="n">
        <v>46393</v>
      </c>
      <c r="V1314" s="73" t="n"/>
      <c r="W1314" s="69" t="n"/>
      <c r="X1314" s="69" t="inlineStr">
        <is>
          <t>Current</t>
        </is>
      </c>
      <c r="Y1314" s="68" t="n"/>
      <c r="Z1314" s="69" t="inlineStr">
        <is>
          <t>Defeasance Not Allowable</t>
        </is>
      </c>
      <c r="AA1314" s="69" t="n"/>
      <c r="AB1314" s="69" t="inlineStr">
        <is>
          <t>Never special serv</t>
        </is>
      </c>
      <c r="AC1314" s="73" t="n"/>
      <c r="AD1314" s="69" t="n"/>
      <c r="AE1314" s="69" t="n"/>
      <c r="AF1314" s="69" t="inlineStr">
        <is>
          <t>VA</t>
        </is>
      </c>
      <c r="AG1314" s="69" t="inlineStr">
        <is>
          <t>Leesburg</t>
        </is>
      </c>
      <c r="AH1314" s="69" t="inlineStr">
        <is>
          <t>Washington-Arlington-Alexandria, DC-VA-MD-WV</t>
        </is>
      </c>
      <c r="AI1314" s="69" t="inlineStr">
        <is>
          <t>South / Atlantic</t>
        </is>
      </c>
      <c r="AJ1314" s="69" t="inlineStr">
        <is>
          <t>OF</t>
        </is>
      </c>
      <c r="AK1314" s="69" t="inlineStr">
        <is>
          <t>Suburban</t>
        </is>
      </c>
      <c r="AL1314" s="68" t="n">
        <v>1</v>
      </c>
      <c r="AM1314" s="68" t="n"/>
      <c r="AN1314" s="68" t="n">
        <v>145819</v>
      </c>
      <c r="AO1314" s="69" t="inlineStr">
        <is>
          <t>2016</t>
        </is>
      </c>
      <c r="AP1314" s="70" t="n">
        <v>2016</v>
      </c>
      <c r="AQ1314" s="74" t="n">
        <v>1.5</v>
      </c>
      <c r="AR1314" s="74" t="n">
        <v>1.71</v>
      </c>
      <c r="AS1314" s="74" t="n">
        <v>63.67</v>
      </c>
      <c r="AT1314" s="74" t="n">
        <v>59.08</v>
      </c>
      <c r="AU1314" s="74" t="n">
        <v>58.72</v>
      </c>
      <c r="AV1314" s="74" t="n">
        <v>9.678826153999999</v>
      </c>
      <c r="AW1314" s="74" t="n">
        <v>11.874989796</v>
      </c>
      <c r="AX1314" s="75" t="n">
        <v>100</v>
      </c>
      <c r="AY1314" s="71" t="n">
        <v>46600000</v>
      </c>
      <c r="AZ1314" s="71" t="n">
        <v>46600000</v>
      </c>
      <c r="BA1314" s="71" t="n">
        <v>2871707.72</v>
      </c>
      <c r="BB1314" s="71" t="n">
        <v>3269580.99</v>
      </c>
      <c r="BC1314" s="69" t="inlineStr">
        <is>
          <t>Acquisition</t>
        </is>
      </c>
      <c r="BD1314" s="69" t="inlineStr">
        <is>
          <t>N</t>
        </is>
      </c>
      <c r="BE1314" s="71" t="n"/>
      <c r="BF1314" s="71" t="n"/>
      <c r="BG1314" s="71" t="n"/>
      <c r="BH1314" s="71" t="n">
        <v>0</v>
      </c>
      <c r="BI1314" s="71" t="n">
        <v>0</v>
      </c>
      <c r="BJ1314" s="69" t="inlineStr">
        <is>
          <t>N</t>
        </is>
      </c>
      <c r="BK1314" s="69" t="inlineStr">
        <is>
          <t>K2M / Stryker</t>
        </is>
      </c>
      <c r="BL1314" s="75" t="n">
        <v>100</v>
      </c>
      <c r="BM1314" s="73" t="n">
        <v>48121</v>
      </c>
      <c r="BN1314" s="69" t="inlineStr">
        <is>
          <t>AG Net Lease III Corp. and AG Net Lease III (SO) Corp.</t>
        </is>
      </c>
      <c r="BO1314" s="69" t="inlineStr">
        <is>
          <t>Citigroup Global Markets</t>
        </is>
      </c>
      <c r="BP1314" s="69" t="inlineStr">
        <is>
          <t>Midland Loan Services</t>
        </is>
      </c>
      <c r="BQ1314" s="69" t="inlineStr">
        <is>
          <t>K-Star Asset Management LLC</t>
        </is>
      </c>
      <c r="BR1314" s="69" t="n"/>
      <c r="BS1314" s="73" t="n">
        <v>46273</v>
      </c>
      <c r="BU1314" s="76">
        <f>IF($C1314="","",IFERROR(INDEX(dmName,MATCH($C1314,dmID,0)),"Unmapped"))</f>
        <v/>
      </c>
      <c r="BV1314" s="76">
        <f>IF($C1314="","",IFERROR(INDEX(dmEntity,MATCH($C1314,dmID,0)),"Unmapped"))</f>
        <v/>
      </c>
      <c r="BW1314" s="77">
        <f>IF($C1314="","",IFERROR(INDEX(dmVintage,MATCH($C1314,dmID,0)),""))</f>
        <v/>
      </c>
      <c r="BX1314" s="78">
        <f>IFERROR(INDEX(dmInclude,MATCH($C1314,dmID,0)),0)</f>
        <v/>
      </c>
      <c r="BY1314" s="78">
        <f>IF(N($I1314)&gt;0,1,0)</f>
        <v/>
      </c>
      <c r="BZ1314" s="76">
        <f>IF($AJ1314="","Other / Leased Fee",IFERROR(INDEX(mapPTGroup,MATCH(LEFT(TRIM($AJ1314),2),mapPTCode,0)),"Other / Leased Fee"))</f>
        <v/>
      </c>
      <c r="CA1314" s="76">
        <f>IF(TRIM($AF1314&amp;"")="","NR",LEFT(TRIM($AF1314),2))</f>
        <v/>
      </c>
      <c r="CB1314" s="76">
        <f>IFERROR(LOOKUP(2,1/(LEFT(TRIM($AI1314&amp;""),LEN(mapRegion))=mapRegion),mapRegion),"Not Reported")</f>
        <v/>
      </c>
      <c r="CC1314" s="76">
        <f>IF($BY1314=0,"",IF(TRIM($W1314&amp;"")="REO","REO",IF(TRIM($W1314&amp;"")="FC","Foreclosure",IF(TRIM($W1314&amp;"")="90+","90+ Days Delinquent",IF(TRIM($W1314&amp;"")="60","60 Days Delinquent",IF(TRIM($W1314&amp;"")="30","30 Days Delinquent",IF($X1314="Non-Performing Matured Balloon","Non-Performing Matured Balloon",IF(OR($X1314="Late Payment But Less Than 30 Days Delinquent",LEFT($X1314&amp;"",20)="Payment Not Received"),"Late / In Grace (&lt;30 Days)",IF($X1314="Performing Matured Balloon","Performing Matured Balloon","Current")))))))))</f>
        <v/>
      </c>
      <c r="CD1314" s="78">
        <f>IF(OR($CC1314="REO",$CC1314="Foreclosure",$CC1314="90+ Days Delinquent",$CC1314="60 Days Delinquent",$CC1314="30 Days Delinquent",$CC1314="Non-Performing Matured Balloon"),1,0)</f>
        <v/>
      </c>
      <c r="CE1314" s="76">
        <f>IF($AB1314="Currently special serv","Currently Specially Serviced",IF($AB1314="Returned to master serv","Previously Specially Serviced","Never Specially Serviced"))</f>
        <v/>
      </c>
      <c r="CF1314" s="78">
        <f>IF($CE1314="Currently Specially Serviced",1,0)</f>
        <v/>
      </c>
      <c r="CG1314" s="76">
        <f>IF($AA1314="Yes","Currently on Watchlist",IF($AA1314="Previously","Previously on Watchlist","Never on Watchlist"))</f>
        <v/>
      </c>
      <c r="CH1314" s="78">
        <f>IF($CG1314="Currently on Watchlist",1,0)</f>
        <v/>
      </c>
      <c r="CI1314" s="76">
        <f>IF($Z1314="Full Defeasance","Fully Defeased",IF($Z1314="Portion Of Loan Previously Defeased","Partially Defeased",IF($Z1314="Defeasance Not Allowable","Not Defeased (Not Permitted)","Not Defeased")))</f>
        <v/>
      </c>
      <c r="CJ1314" s="78">
        <f>IF($CI1314="Fully Defeased",1,0)</f>
        <v/>
      </c>
      <c r="CK1314" s="76">
        <f>IF($R1314="IO","Full IO",IF(LEFT($R1314&amp;"",7)="IO then","Partial IO","Amortizing"))</f>
        <v/>
      </c>
      <c r="CL1314" s="78">
        <f>IF($CK1314="Full IO",1,0)</f>
        <v/>
      </c>
      <c r="CM1314" s="78">
        <f>IF($CK1314="Partial IO",1,0)</f>
        <v/>
      </c>
      <c r="CN1314" s="76">
        <f>IF(LEFT($F1314&amp;"",10)="SPLIT_LOAN","Pari Passu Split","Standalone")</f>
        <v/>
      </c>
      <c r="CO1314" s="78">
        <f>IF($CN1314="Pari Passu Split",1,0)</f>
        <v/>
      </c>
      <c r="CP1314" s="77">
        <f>IF(ISNUMBER($T1314),YEAR($T1314),"")</f>
        <v/>
      </c>
      <c r="CQ1314" s="79">
        <f>IF(ISNUMBER($V1314),$V1314,IF(ISNUMBER($U1314),$U1314,""))</f>
        <v/>
      </c>
      <c r="CR1314" s="77">
        <f>IF(ISNUMBER($CQ1314),YEAR($CQ1314),"")</f>
        <v/>
      </c>
      <c r="CS1314" s="78">
        <f>IF(ISNUMBER($M1314),MAX(0,$M1314),IF(TRIM($M1314&amp;"")="matured",0,""))</f>
        <v/>
      </c>
      <c r="CT1314" s="78">
        <f>IF(AND(ISNUMBER($CS1314),N($CS1314)&lt;=mMatWindow),1,0)</f>
        <v/>
      </c>
      <c r="CU1314" s="80">
        <f>IF(ISNUMBER($J1314),$J1314/100,"")</f>
        <v/>
      </c>
      <c r="CV1314" s="81">
        <f>IF(ISNUMBER($AQ1314),$AQ1314,"")</f>
        <v/>
      </c>
      <c r="CW1314" s="81">
        <f>IF(ISNUMBER($AR1314),$AR1314,"")</f>
        <v/>
      </c>
      <c r="CX1314" s="82">
        <f>IF(ISNUMBER($AS1314),$AS1314/100,"")</f>
        <v/>
      </c>
      <c r="CY1314" s="82">
        <f>IF(ISNUMBER($AT1314),$AT1314/100,"")</f>
        <v/>
      </c>
      <c r="CZ1314" s="82">
        <f>IF(ISNUMBER($AU1314),$AU1314/100,"")</f>
        <v/>
      </c>
      <c r="DA1314" s="82">
        <f>IF(ISNUMBER($AV1314),$AV1314/100,"")</f>
        <v/>
      </c>
      <c r="DB1314" s="82">
        <f>IF(ISNUMBER($AW1314),$AW1314/100,"")</f>
        <v/>
      </c>
      <c r="DC1314" s="82">
        <f>IF(ISNUMBER($AX1314),$AX1314/100,"")</f>
        <v/>
      </c>
      <c r="DD1314" s="77">
        <f>IFERROR(VALUE(LEFT(TRIM($AO1314&amp;""),4)),"")</f>
        <v/>
      </c>
      <c r="DE1314" s="78">
        <f>IF(AND($BY1314=1,$BX1314=1,OR(fDeal="All Deals",$BU1314=fDeal),OR(fEntity="All Entities",$BV1314=fEntity),OR(fPType="All Property Types",$BZ1314=fPType),OR(fDefeased="Include",$CJ1314=0)),1,0)</f>
        <v/>
      </c>
      <c r="DF1314" s="83">
        <f>$DE1314*N($I1314)</f>
        <v/>
      </c>
      <c r="DG1314" s="78">
        <f>IF($DE1314=1,IF(COUNTIFS($F$8:$F1314,$F1314,$DE$8:$DE1314,1)=1,1,0),0)</f>
        <v/>
      </c>
      <c r="DH1314" s="83">
        <f>IF($DG1314=1,SUMIFS($DF$8:$DF$1600,$F$8:$F$1600,$F1314),0)</f>
        <v/>
      </c>
      <c r="DI1314" s="78">
        <f>IF($DG1314=1,COUNTIFS($F$8:$F$1600,$F1314,$DE$8:$DE$1600,1),0)</f>
        <v/>
      </c>
      <c r="DJ1314" s="84">
        <f>IF($DG1314=1,$DH1314+(100000-ROW())/mTieBreak,0)</f>
        <v/>
      </c>
    </row>
    <row r="1315">
      <c r="B1315" s="68" t="n">
        <v>17</v>
      </c>
      <c r="C1315" s="69" t="inlineStr">
        <is>
          <t>CD17CD3</t>
        </is>
      </c>
      <c r="D1315" s="69" t="inlineStr">
        <is>
          <t>17.000</t>
        </is>
      </c>
      <c r="E1315" s="69" t="inlineStr">
        <is>
          <t>681 Fifth Avenue</t>
        </is>
      </c>
      <c r="F1315" s="69" t="inlineStr">
        <is>
          <t>SPLIT_LOAN_00912</t>
        </is>
      </c>
      <c r="G1315" s="70" t="n">
        <v>912</v>
      </c>
      <c r="H1315" s="71" t="n">
        <v>28500000</v>
      </c>
      <c r="I1315" s="71" t="n">
        <v>28500000</v>
      </c>
      <c r="J1315" s="72" t="n">
        <v>4.1265</v>
      </c>
      <c r="K1315" s="69" t="inlineStr">
        <is>
          <t>Fixed rate</t>
        </is>
      </c>
      <c r="L1315" s="68" t="n">
        <v>120</v>
      </c>
      <c r="M1315" s="68" t="n">
        <v>2</v>
      </c>
      <c r="N1315" s="68" t="n">
        <v>120</v>
      </c>
      <c r="O1315" s="68" t="n">
        <v>120</v>
      </c>
      <c r="P1315" s="68" t="n">
        <v>2</v>
      </c>
      <c r="Q1315" s="68" t="n">
        <v>118</v>
      </c>
      <c r="R1315" s="69" t="inlineStr">
        <is>
          <t>IO</t>
        </is>
      </c>
      <c r="S1315" s="69" t="inlineStr">
        <is>
          <t>Yes</t>
        </is>
      </c>
      <c r="T1315" s="73" t="n">
        <v>42675</v>
      </c>
      <c r="U1315" s="73" t="n">
        <v>46332</v>
      </c>
      <c r="V1315" s="73" t="n"/>
      <c r="W1315" s="69" t="inlineStr">
        <is>
          <t>REO</t>
        </is>
      </c>
      <c r="X1315" s="69" t="inlineStr">
        <is>
          <t>121+ Days Delinquent</t>
        </is>
      </c>
      <c r="Y1315" s="68" t="n">
        <v>33</v>
      </c>
      <c r="Z1315" s="69" t="inlineStr">
        <is>
          <t>No Defeasance Occurred</t>
        </is>
      </c>
      <c r="AA1315" s="69" t="inlineStr">
        <is>
          <t>Previously</t>
        </is>
      </c>
      <c r="AB1315" s="69" t="inlineStr">
        <is>
          <t>Currently special serv</t>
        </is>
      </c>
      <c r="AC1315" s="73" t="n">
        <v>45175</v>
      </c>
      <c r="AD1315" s="69" t="inlineStr">
        <is>
          <t>Payment Default (all payments excluding Balloon/Maturity Payment)</t>
        </is>
      </c>
      <c r="AE1315" s="69" t="inlineStr">
        <is>
          <t>REO</t>
        </is>
      </c>
      <c r="AF1315" s="69" t="inlineStr">
        <is>
          <t>NY</t>
        </is>
      </c>
      <c r="AG1315" s="69" t="inlineStr">
        <is>
          <t>New York</t>
        </is>
      </c>
      <c r="AH1315" s="69" t="inlineStr">
        <is>
          <t>New York-Newark-Jersey City, NY-NJ</t>
        </is>
      </c>
      <c r="AI1315" s="69" t="inlineStr">
        <is>
          <t>Northeast / Mid-Atlantic</t>
        </is>
      </c>
      <c r="AJ1315" s="69" t="inlineStr">
        <is>
          <t>MX</t>
        </is>
      </c>
      <c r="AK1315" s="69" t="inlineStr">
        <is>
          <t>Office/Retail</t>
        </is>
      </c>
      <c r="AL1315" s="68" t="n">
        <v>1</v>
      </c>
      <c r="AM1315" s="68" t="n"/>
      <c r="AN1315" s="68" t="n">
        <v>82573</v>
      </c>
      <c r="AO1315" s="69" t="inlineStr">
        <is>
          <t>1913</t>
        </is>
      </c>
      <c r="AP1315" s="70" t="n">
        <v>2009</v>
      </c>
      <c r="AQ1315" s="74" t="n">
        <v>1.67</v>
      </c>
      <c r="AR1315" s="74" t="n">
        <v>0.16</v>
      </c>
      <c r="AS1315" s="74" t="n">
        <v>48.86</v>
      </c>
      <c r="AT1315" s="74" t="n">
        <v>204.76</v>
      </c>
      <c r="AU1315" s="74" t="n">
        <v>48.86</v>
      </c>
      <c r="AV1315" s="74" t="n">
        <v>6.987038558</v>
      </c>
      <c r="AW1315" s="74" t="n">
        <v>0.19004186</v>
      </c>
      <c r="AX1315" s="75" t="n">
        <v>66</v>
      </c>
      <c r="AY1315" s="71" t="n">
        <v>440000000</v>
      </c>
      <c r="AZ1315" s="71" t="n">
        <v>105000000</v>
      </c>
      <c r="BA1315" s="71" t="n">
        <v>15022132.9</v>
      </c>
      <c r="BB1315" s="71" t="n">
        <v>362055.18</v>
      </c>
      <c r="BC1315" s="69" t="inlineStr">
        <is>
          <t>Refinance</t>
        </is>
      </c>
      <c r="BD1315" s="69" t="inlineStr">
        <is>
          <t>N</t>
        </is>
      </c>
      <c r="BE1315" s="71" t="n">
        <v>186500000</v>
      </c>
      <c r="BF1315" s="71" t="n"/>
      <c r="BG1315" s="71" t="n"/>
      <c r="BH1315" s="71" t="n">
        <v>19328016.53</v>
      </c>
      <c r="BI1315" s="71" t="n">
        <v>1236035.67</v>
      </c>
      <c r="BJ1315" s="69" t="inlineStr">
        <is>
          <t>Y</t>
        </is>
      </c>
      <c r="BK1315" s="69" t="inlineStr">
        <is>
          <t>Kiton Corporation</t>
        </is>
      </c>
      <c r="BL1315" s="75" t="n">
        <v>14.13</v>
      </c>
      <c r="BM1315" s="73" t="n">
        <v>49916</v>
      </c>
      <c r="BN1315" s="69" t="inlineStr">
        <is>
          <t>Robert Siegel</t>
        </is>
      </c>
      <c r="BO1315" s="69" t="inlineStr">
        <is>
          <t>Citigroup Global Markets</t>
        </is>
      </c>
      <c r="BP1315" s="69" t="inlineStr">
        <is>
          <t>Midland Loan Services</t>
        </is>
      </c>
      <c r="BQ1315" s="69" t="inlineStr">
        <is>
          <t>Rialto Capital</t>
        </is>
      </c>
      <c r="BR1315" s="69" t="n"/>
      <c r="BS1315" s="73" t="n">
        <v>46273</v>
      </c>
      <c r="BU1315" s="76">
        <f>IF($C1315="","",IFERROR(INDEX(dmName,MATCH($C1315,dmID,0)),"Unmapped"))</f>
        <v/>
      </c>
      <c r="BV1315" s="76">
        <f>IF($C1315="","",IFERROR(INDEX(dmEntity,MATCH($C1315,dmID,0)),"Unmapped"))</f>
        <v/>
      </c>
      <c r="BW1315" s="77">
        <f>IF($C1315="","",IFERROR(INDEX(dmVintage,MATCH($C1315,dmID,0)),""))</f>
        <v/>
      </c>
      <c r="BX1315" s="78">
        <f>IFERROR(INDEX(dmInclude,MATCH($C1315,dmID,0)),0)</f>
        <v/>
      </c>
      <c r="BY1315" s="78">
        <f>IF(N($I1315)&gt;0,1,0)</f>
        <v/>
      </c>
      <c r="BZ1315" s="76">
        <f>IF($AJ1315="","Other / Leased Fee",IFERROR(INDEX(mapPTGroup,MATCH(LEFT(TRIM($AJ1315),2),mapPTCode,0)),"Other / Leased Fee"))</f>
        <v/>
      </c>
      <c r="CA1315" s="76">
        <f>IF(TRIM($AF1315&amp;"")="","NR",LEFT(TRIM($AF1315),2))</f>
        <v/>
      </c>
      <c r="CB1315" s="76">
        <f>IFERROR(LOOKUP(2,1/(LEFT(TRIM($AI1315&amp;""),LEN(mapRegion))=mapRegion),mapRegion),"Not Reported")</f>
        <v/>
      </c>
      <c r="CC1315" s="76">
        <f>IF($BY1315=0,"",IF(TRIM($W1315&amp;"")="REO","REO",IF(TRIM($W1315&amp;"")="FC","Foreclosure",IF(TRIM($W1315&amp;"")="90+","90+ Days Delinquent",IF(TRIM($W1315&amp;"")="60","60 Days Delinquent",IF(TRIM($W1315&amp;"")="30","30 Days Delinquent",IF($X1315="Non-Performing Matured Balloon","Non-Performing Matured Balloon",IF(OR($X1315="Late Payment But Less Than 30 Days Delinquent",LEFT($X1315&amp;"",20)="Payment Not Received"),"Late / In Grace (&lt;30 Days)",IF($X1315="Performing Matured Balloon","Performing Matured Balloon","Current")))))))))</f>
        <v/>
      </c>
      <c r="CD1315" s="78">
        <f>IF(OR($CC1315="REO",$CC1315="Foreclosure",$CC1315="90+ Days Delinquent",$CC1315="60 Days Delinquent",$CC1315="30 Days Delinquent",$CC1315="Non-Performing Matured Balloon"),1,0)</f>
        <v/>
      </c>
      <c r="CE1315" s="76">
        <f>IF($AB1315="Currently special serv","Currently Specially Serviced",IF($AB1315="Returned to master serv","Previously Specially Serviced","Never Specially Serviced"))</f>
        <v/>
      </c>
      <c r="CF1315" s="78">
        <f>IF($CE1315="Currently Specially Serviced",1,0)</f>
        <v/>
      </c>
      <c r="CG1315" s="76">
        <f>IF($AA1315="Yes","Currently on Watchlist",IF($AA1315="Previously","Previously on Watchlist","Never on Watchlist"))</f>
        <v/>
      </c>
      <c r="CH1315" s="78">
        <f>IF($CG1315="Currently on Watchlist",1,0)</f>
        <v/>
      </c>
      <c r="CI1315" s="76">
        <f>IF($Z1315="Full Defeasance","Fully Defeased",IF($Z1315="Portion Of Loan Previously Defeased","Partially Defeased",IF($Z1315="Defeasance Not Allowable","Not Defeased (Not Permitted)","Not Defeased")))</f>
        <v/>
      </c>
      <c r="CJ1315" s="78">
        <f>IF($CI1315="Fully Defeased",1,0)</f>
        <v/>
      </c>
      <c r="CK1315" s="76">
        <f>IF($R1315="IO","Full IO",IF(LEFT($R1315&amp;"",7)="IO then","Partial IO","Amortizing"))</f>
        <v/>
      </c>
      <c r="CL1315" s="78">
        <f>IF($CK1315="Full IO",1,0)</f>
        <v/>
      </c>
      <c r="CM1315" s="78">
        <f>IF($CK1315="Partial IO",1,0)</f>
        <v/>
      </c>
      <c r="CN1315" s="76">
        <f>IF(LEFT($F1315&amp;"",10)="SPLIT_LOAN","Pari Passu Split","Standalone")</f>
        <v/>
      </c>
      <c r="CO1315" s="78">
        <f>IF($CN1315="Pari Passu Split",1,0)</f>
        <v/>
      </c>
      <c r="CP1315" s="77">
        <f>IF(ISNUMBER($T1315),YEAR($T1315),"")</f>
        <v/>
      </c>
      <c r="CQ1315" s="79">
        <f>IF(ISNUMBER($V1315),$V1315,IF(ISNUMBER($U1315),$U1315,""))</f>
        <v/>
      </c>
      <c r="CR1315" s="77">
        <f>IF(ISNUMBER($CQ1315),YEAR($CQ1315),"")</f>
        <v/>
      </c>
      <c r="CS1315" s="78">
        <f>IF(ISNUMBER($M1315),MAX(0,$M1315),IF(TRIM($M1315&amp;"")="matured",0,""))</f>
        <v/>
      </c>
      <c r="CT1315" s="78">
        <f>IF(AND(ISNUMBER($CS1315),N($CS1315)&lt;=mMatWindow),1,0)</f>
        <v/>
      </c>
      <c r="CU1315" s="80">
        <f>IF(ISNUMBER($J1315),$J1315/100,"")</f>
        <v/>
      </c>
      <c r="CV1315" s="81">
        <f>IF(ISNUMBER($AQ1315),$AQ1315,"")</f>
        <v/>
      </c>
      <c r="CW1315" s="81">
        <f>IF(ISNUMBER($AR1315),$AR1315,"")</f>
        <v/>
      </c>
      <c r="CX1315" s="82">
        <f>IF(ISNUMBER($AS1315),$AS1315/100,"")</f>
        <v/>
      </c>
      <c r="CY1315" s="82">
        <f>IF(ISNUMBER($AT1315),$AT1315/100,"")</f>
        <v/>
      </c>
      <c r="CZ1315" s="82">
        <f>IF(ISNUMBER($AU1315),$AU1315/100,"")</f>
        <v/>
      </c>
      <c r="DA1315" s="82">
        <f>IF(ISNUMBER($AV1315),$AV1315/100,"")</f>
        <v/>
      </c>
      <c r="DB1315" s="82">
        <f>IF(ISNUMBER($AW1315),$AW1315/100,"")</f>
        <v/>
      </c>
      <c r="DC1315" s="82">
        <f>IF(ISNUMBER($AX1315),$AX1315/100,"")</f>
        <v/>
      </c>
      <c r="DD1315" s="77">
        <f>IFERROR(VALUE(LEFT(TRIM($AO1315&amp;""),4)),"")</f>
        <v/>
      </c>
      <c r="DE1315" s="78">
        <f>IF(AND($BY1315=1,$BX1315=1,OR(fDeal="All Deals",$BU1315=fDeal),OR(fEntity="All Entities",$BV1315=fEntity),OR(fPType="All Property Types",$BZ1315=fPType),OR(fDefeased="Include",$CJ1315=0)),1,0)</f>
        <v/>
      </c>
      <c r="DF1315" s="83">
        <f>$DE1315*N($I1315)</f>
        <v/>
      </c>
      <c r="DG1315" s="78">
        <f>IF($DE1315=1,IF(COUNTIFS($F$8:$F1315,$F1315,$DE$8:$DE1315,1)=1,1,0),0)</f>
        <v/>
      </c>
      <c r="DH1315" s="83">
        <f>IF($DG1315=1,SUMIFS($DF$8:$DF$1600,$F$8:$F$1600,$F1315),0)</f>
        <v/>
      </c>
      <c r="DI1315" s="78">
        <f>IF($DG1315=1,COUNTIFS($F$8:$F$1600,$F1315,$DE$8:$DE$1600,1),0)</f>
        <v/>
      </c>
      <c r="DJ1315" s="84">
        <f>IF($DG1315=1,$DH1315+(100000-ROW())/mTieBreak,0)</f>
        <v/>
      </c>
    </row>
    <row r="1316">
      <c r="B1316" s="68" t="n">
        <v>18</v>
      </c>
      <c r="C1316" s="69" t="inlineStr">
        <is>
          <t>CD17CD3</t>
        </is>
      </c>
      <c r="D1316" s="69" t="inlineStr">
        <is>
          <t>18.000</t>
        </is>
      </c>
      <c r="E1316" s="69" t="inlineStr">
        <is>
          <t>166 Geary Street</t>
        </is>
      </c>
      <c r="F1316" s="69" t="inlineStr">
        <is>
          <t>LNCD17CD3-18.000</t>
        </is>
      </c>
      <c r="G1316" s="70" t="n"/>
      <c r="H1316" s="71" t="n">
        <v>28500000</v>
      </c>
      <c r="I1316" s="71" t="n">
        <v>0</v>
      </c>
      <c r="J1316" s="72" t="n">
        <v>4.81</v>
      </c>
      <c r="K1316" s="69" t="inlineStr">
        <is>
          <t>Fixed rate</t>
        </is>
      </c>
      <c r="L1316" s="68" t="n">
        <v>120</v>
      </c>
      <c r="M1316" s="68" t="n"/>
      <c r="N1316" s="68" t="n">
        <v>120</v>
      </c>
      <c r="O1316" s="68" t="n">
        <v>120</v>
      </c>
      <c r="P1316" s="68" t="n"/>
      <c r="Q1316" s="68" t="n"/>
      <c r="R1316" s="69" t="inlineStr">
        <is>
          <t>IO</t>
        </is>
      </c>
      <c r="S1316" s="69" t="inlineStr">
        <is>
          <t>Yes</t>
        </is>
      </c>
      <c r="T1316" s="73" t="n">
        <v>42736</v>
      </c>
      <c r="U1316" s="73" t="n">
        <v>46388</v>
      </c>
      <c r="V1316" s="73" t="n"/>
      <c r="W1316" s="69" t="n"/>
      <c r="X1316" s="69" t="inlineStr">
        <is>
          <t>Current</t>
        </is>
      </c>
      <c r="Y1316" s="68" t="n"/>
      <c r="Z1316" s="69" t="inlineStr">
        <is>
          <t>No Defeasance Occurred</t>
        </is>
      </c>
      <c r="AA1316" s="69" t="inlineStr">
        <is>
          <t>Previously</t>
        </is>
      </c>
      <c r="AB1316" s="69" t="inlineStr">
        <is>
          <t>Currently special serv</t>
        </is>
      </c>
      <c r="AC1316" s="73" t="n">
        <v>44301</v>
      </c>
      <c r="AD1316" s="69" t="inlineStr">
        <is>
          <t>Imminent Monetary Default (excluding Balloon/Maturity Default &amp; Single Tenant Bankruptcy/Vacate)</t>
        </is>
      </c>
      <c r="AE1316" s="69" t="inlineStr">
        <is>
          <t>Note Sale</t>
        </is>
      </c>
      <c r="AF1316" s="69" t="inlineStr">
        <is>
          <t>CA</t>
        </is>
      </c>
      <c r="AG1316" s="69" t="inlineStr">
        <is>
          <t>San Francisco</t>
        </is>
      </c>
      <c r="AH1316" s="69" t="inlineStr">
        <is>
          <t>San Francisco-Oakland-Fremont, CA</t>
        </is>
      </c>
      <c r="AI1316" s="69" t="inlineStr">
        <is>
          <t>West / Pacific North</t>
        </is>
      </c>
      <c r="AJ1316" s="69" t="inlineStr">
        <is>
          <t>RT</t>
        </is>
      </c>
      <c r="AK1316" s="69" t="inlineStr">
        <is>
          <t>Unanchored</t>
        </is>
      </c>
      <c r="AL1316" s="68" t="n">
        <v>1</v>
      </c>
      <c r="AM1316" s="68" t="n"/>
      <c r="AN1316" s="68" t="n">
        <v>12713</v>
      </c>
      <c r="AO1316" s="69" t="inlineStr">
        <is>
          <t>1907</t>
        </is>
      </c>
      <c r="AP1316" s="70" t="n">
        <v>2016</v>
      </c>
      <c r="AQ1316" s="74" t="n">
        <v>1.49</v>
      </c>
      <c r="AR1316" s="74" t="n">
        <v>0.2</v>
      </c>
      <c r="AS1316" s="74" t="n">
        <v>61.96</v>
      </c>
      <c r="AT1316" s="74" t="n"/>
      <c r="AU1316" s="74" t="n">
        <v>61.96</v>
      </c>
      <c r="AV1316" s="74" t="n">
        <v>7.271038596</v>
      </c>
      <c r="AW1316" s="74" t="n"/>
      <c r="AX1316" s="75" t="n">
        <v>62</v>
      </c>
      <c r="AY1316" s="71" t="n">
        <v>46000000</v>
      </c>
      <c r="AZ1316" s="71" t="n">
        <v>17300000</v>
      </c>
      <c r="BA1316" s="71" t="n">
        <v>2072246</v>
      </c>
      <c r="BB1316" s="71" t="n">
        <v>282548.07</v>
      </c>
      <c r="BC1316" s="69" t="inlineStr">
        <is>
          <t>Refinance</t>
        </is>
      </c>
      <c r="BD1316" s="69" t="inlineStr">
        <is>
          <t>N</t>
        </is>
      </c>
      <c r="BE1316" s="71" t="n"/>
      <c r="BF1316" s="71" t="n"/>
      <c r="BG1316" s="71" t="n"/>
      <c r="BH1316" s="71" t="n">
        <v>0</v>
      </c>
      <c r="BI1316" s="71" t="n">
        <v>0</v>
      </c>
      <c r="BJ1316" s="69" t="inlineStr">
        <is>
          <t>N</t>
        </is>
      </c>
      <c r="BK1316" s="69" t="inlineStr">
        <is>
          <t>SUIT SUPPLY SAN FRANCISCO INC</t>
        </is>
      </c>
      <c r="BL1316" s="75" t="n">
        <v>46.82</v>
      </c>
      <c r="BM1316" s="73" t="n">
        <v>45808</v>
      </c>
      <c r="BN1316" s="69" t="inlineStr">
        <is>
          <t>Gabriel J. Chehebar</t>
        </is>
      </c>
      <c r="BO1316" s="69" t="inlineStr">
        <is>
          <t>Citigroup Global Markets</t>
        </is>
      </c>
      <c r="BP1316" s="69" t="inlineStr">
        <is>
          <t>Midland Loan Services</t>
        </is>
      </c>
      <c r="BQ1316" s="69" t="inlineStr">
        <is>
          <t>K-Star Asset Management LLC</t>
        </is>
      </c>
      <c r="BR1316" s="69" t="inlineStr">
        <is>
          <t>Payoff Prior To Maturity</t>
        </is>
      </c>
      <c r="BS1316" s="73" t="n">
        <v>46273</v>
      </c>
      <c r="BU1316" s="76">
        <f>IF($C1316="","",IFERROR(INDEX(dmName,MATCH($C1316,dmID,0)),"Unmapped"))</f>
        <v/>
      </c>
      <c r="BV1316" s="76">
        <f>IF($C1316="","",IFERROR(INDEX(dmEntity,MATCH($C1316,dmID,0)),"Unmapped"))</f>
        <v/>
      </c>
      <c r="BW1316" s="77">
        <f>IF($C1316="","",IFERROR(INDEX(dmVintage,MATCH($C1316,dmID,0)),""))</f>
        <v/>
      </c>
      <c r="BX1316" s="78">
        <f>IFERROR(INDEX(dmInclude,MATCH($C1316,dmID,0)),0)</f>
        <v/>
      </c>
      <c r="BY1316" s="78">
        <f>IF(N($I1316)&gt;0,1,0)</f>
        <v/>
      </c>
      <c r="BZ1316" s="76">
        <f>IF($AJ1316="","Other / Leased Fee",IFERROR(INDEX(mapPTGroup,MATCH(LEFT(TRIM($AJ1316),2),mapPTCode,0)),"Other / Leased Fee"))</f>
        <v/>
      </c>
      <c r="CA1316" s="76">
        <f>IF(TRIM($AF1316&amp;"")="","NR",LEFT(TRIM($AF1316),2))</f>
        <v/>
      </c>
      <c r="CB1316" s="76">
        <f>IFERROR(LOOKUP(2,1/(LEFT(TRIM($AI1316&amp;""),LEN(mapRegion))=mapRegion),mapRegion),"Not Reported")</f>
        <v/>
      </c>
      <c r="CC1316" s="76">
        <f>IF($BY1316=0,"",IF(TRIM($W1316&amp;"")="REO","REO",IF(TRIM($W1316&amp;"")="FC","Foreclosure",IF(TRIM($W1316&amp;"")="90+","90+ Days Delinquent",IF(TRIM($W1316&amp;"")="60","60 Days Delinquent",IF(TRIM($W1316&amp;"")="30","30 Days Delinquent",IF($X1316="Non-Performing Matured Balloon","Non-Performing Matured Balloon",IF(OR($X1316="Late Payment But Less Than 30 Days Delinquent",LEFT($X1316&amp;"",20)="Payment Not Received"),"Late / In Grace (&lt;30 Days)",IF($X1316="Performing Matured Balloon","Performing Matured Balloon","Current")))))))))</f>
        <v/>
      </c>
      <c r="CD1316" s="78">
        <f>IF(OR($CC1316="REO",$CC1316="Foreclosure",$CC1316="90+ Days Delinquent",$CC1316="60 Days Delinquent",$CC1316="30 Days Delinquent",$CC1316="Non-Performing Matured Balloon"),1,0)</f>
        <v/>
      </c>
      <c r="CE1316" s="76">
        <f>IF($AB1316="Currently special serv","Currently Specially Serviced",IF($AB1316="Returned to master serv","Previously Specially Serviced","Never Specially Serviced"))</f>
        <v/>
      </c>
      <c r="CF1316" s="78">
        <f>IF($CE1316="Currently Specially Serviced",1,0)</f>
        <v/>
      </c>
      <c r="CG1316" s="76">
        <f>IF($AA1316="Yes","Currently on Watchlist",IF($AA1316="Previously","Previously on Watchlist","Never on Watchlist"))</f>
        <v/>
      </c>
      <c r="CH1316" s="78">
        <f>IF($CG1316="Currently on Watchlist",1,0)</f>
        <v/>
      </c>
      <c r="CI1316" s="76">
        <f>IF($Z1316="Full Defeasance","Fully Defeased",IF($Z1316="Portion Of Loan Previously Defeased","Partially Defeased",IF($Z1316="Defeasance Not Allowable","Not Defeased (Not Permitted)","Not Defeased")))</f>
        <v/>
      </c>
      <c r="CJ1316" s="78">
        <f>IF($CI1316="Fully Defeased",1,0)</f>
        <v/>
      </c>
      <c r="CK1316" s="76">
        <f>IF($R1316="IO","Full IO",IF(LEFT($R1316&amp;"",7)="IO then","Partial IO","Amortizing"))</f>
        <v/>
      </c>
      <c r="CL1316" s="78">
        <f>IF($CK1316="Full IO",1,0)</f>
        <v/>
      </c>
      <c r="CM1316" s="78">
        <f>IF($CK1316="Partial IO",1,0)</f>
        <v/>
      </c>
      <c r="CN1316" s="76">
        <f>IF(LEFT($F1316&amp;"",10)="SPLIT_LOAN","Pari Passu Split","Standalone")</f>
        <v/>
      </c>
      <c r="CO1316" s="78">
        <f>IF($CN1316="Pari Passu Split",1,0)</f>
        <v/>
      </c>
      <c r="CP1316" s="77">
        <f>IF(ISNUMBER($T1316),YEAR($T1316),"")</f>
        <v/>
      </c>
      <c r="CQ1316" s="79">
        <f>IF(ISNUMBER($V1316),$V1316,IF(ISNUMBER($U1316),$U1316,""))</f>
        <v/>
      </c>
      <c r="CR1316" s="77">
        <f>IF(ISNUMBER($CQ1316),YEAR($CQ1316),"")</f>
        <v/>
      </c>
      <c r="CS1316" s="78">
        <f>IF(ISNUMBER($M1316),MAX(0,$M1316),IF(TRIM($M1316&amp;"")="matured",0,""))</f>
        <v/>
      </c>
      <c r="CT1316" s="78">
        <f>IF(AND(ISNUMBER($CS1316),N($CS1316)&lt;=mMatWindow),1,0)</f>
        <v/>
      </c>
      <c r="CU1316" s="80">
        <f>IF(ISNUMBER($J1316),$J1316/100,"")</f>
        <v/>
      </c>
      <c r="CV1316" s="81">
        <f>IF(ISNUMBER($AQ1316),$AQ1316,"")</f>
        <v/>
      </c>
      <c r="CW1316" s="81">
        <f>IF(ISNUMBER($AR1316),$AR1316,"")</f>
        <v/>
      </c>
      <c r="CX1316" s="82">
        <f>IF(ISNUMBER($AS1316),$AS1316/100,"")</f>
        <v/>
      </c>
      <c r="CY1316" s="82">
        <f>IF(ISNUMBER($AT1316),$AT1316/100,"")</f>
        <v/>
      </c>
      <c r="CZ1316" s="82">
        <f>IF(ISNUMBER($AU1316),$AU1316/100,"")</f>
        <v/>
      </c>
      <c r="DA1316" s="82">
        <f>IF(ISNUMBER($AV1316),$AV1316/100,"")</f>
        <v/>
      </c>
      <c r="DB1316" s="82">
        <f>IF(ISNUMBER($AW1316),$AW1316/100,"")</f>
        <v/>
      </c>
      <c r="DC1316" s="82">
        <f>IF(ISNUMBER($AX1316),$AX1316/100,"")</f>
        <v/>
      </c>
      <c r="DD1316" s="77">
        <f>IFERROR(VALUE(LEFT(TRIM($AO1316&amp;""),4)),"")</f>
        <v/>
      </c>
      <c r="DE1316" s="78">
        <f>IF(AND($BY1316=1,$BX1316=1,OR(fDeal="All Deals",$BU1316=fDeal),OR(fEntity="All Entities",$BV1316=fEntity),OR(fPType="All Property Types",$BZ1316=fPType),OR(fDefeased="Include",$CJ1316=0)),1,0)</f>
        <v/>
      </c>
      <c r="DF1316" s="83">
        <f>$DE1316*N($I1316)</f>
        <v/>
      </c>
      <c r="DG1316" s="78">
        <f>IF($DE1316=1,IF(COUNTIFS($F$8:$F1316,$F1316,$DE$8:$DE1316,1)=1,1,0),0)</f>
        <v/>
      </c>
      <c r="DH1316" s="83">
        <f>IF($DG1316=1,SUMIFS($DF$8:$DF$1600,$F$8:$F$1600,$F1316),0)</f>
        <v/>
      </c>
      <c r="DI1316" s="78">
        <f>IF($DG1316=1,COUNTIFS($F$8:$F$1600,$F1316,$DE$8:$DE$1600,1),0)</f>
        <v/>
      </c>
      <c r="DJ1316" s="84">
        <f>IF($DG1316=1,$DH1316+(100000-ROW())/mTieBreak,0)</f>
        <v/>
      </c>
    </row>
    <row r="1317">
      <c r="B1317" s="68" t="n">
        <v>19</v>
      </c>
      <c r="C1317" s="69" t="inlineStr">
        <is>
          <t>CD17CD3</t>
        </is>
      </c>
      <c r="D1317" s="69" t="inlineStr">
        <is>
          <t>19.000</t>
        </is>
      </c>
      <c r="E1317" s="69" t="inlineStr">
        <is>
          <t>AHIP FLTN 3-Pack</t>
        </is>
      </c>
      <c r="F1317" s="69" t="inlineStr">
        <is>
          <t>LNCD17CD3-19.000</t>
        </is>
      </c>
      <c r="G1317" s="70" t="n"/>
      <c r="H1317" s="71" t="n">
        <v>27500000</v>
      </c>
      <c r="I1317" s="71" t="n">
        <v>22285557.640005</v>
      </c>
      <c r="J1317" s="72" t="n">
        <v>4.43</v>
      </c>
      <c r="K1317" s="69" t="inlineStr">
        <is>
          <t>Fixed rate</t>
        </is>
      </c>
      <c r="L1317" s="68" t="n">
        <v>120</v>
      </c>
      <c r="M1317" s="68" t="n">
        <v>2</v>
      </c>
      <c r="N1317" s="68" t="n">
        <v>360</v>
      </c>
      <c r="O1317" s="68" t="n"/>
      <c r="P1317" s="68" t="n"/>
      <c r="Q1317" s="68" t="n">
        <v>118</v>
      </c>
      <c r="R1317" s="69" t="n"/>
      <c r="S1317" s="69" t="inlineStr">
        <is>
          <t>No</t>
        </is>
      </c>
      <c r="T1317" s="73" t="n">
        <v>42675</v>
      </c>
      <c r="U1317" s="73" t="n">
        <v>46332</v>
      </c>
      <c r="V1317" s="73" t="n"/>
      <c r="W1317" s="69" t="n"/>
      <c r="X1317" s="69" t="inlineStr">
        <is>
          <t>Current</t>
        </is>
      </c>
      <c r="Y1317" s="68" t="n"/>
      <c r="Z1317" s="69" t="inlineStr">
        <is>
          <t>No Defeasance Occurred</t>
        </is>
      </c>
      <c r="AA1317" s="69" t="inlineStr">
        <is>
          <t>Previously</t>
        </is>
      </c>
      <c r="AB1317" s="69" t="inlineStr">
        <is>
          <t>Currently special serv</t>
        </is>
      </c>
      <c r="AC1317" s="73" t="n">
        <v>46160</v>
      </c>
      <c r="AD1317" s="69" t="inlineStr">
        <is>
          <t>Imminent Monetary Default (Balloon/Maturity Default)</t>
        </is>
      </c>
      <c r="AE1317" s="69" t="inlineStr">
        <is>
          <t>Full Payoff</t>
        </is>
      </c>
      <c r="AF1317" s="69" t="inlineStr">
        <is>
          <t>TN-77.108436359% FL-22.891563641%</t>
        </is>
      </c>
      <c r="AG1317" s="69" t="n"/>
      <c r="AH1317" s="69" t="inlineStr">
        <is>
          <t>Chattanooga, TN-GA-77.108436359% Jacksonville, FL-22.891563641%</t>
        </is>
      </c>
      <c r="AI1317" s="69" t="inlineStr">
        <is>
          <t>South / Central East-77.108436359% South / Atlantic-22.891563641%</t>
        </is>
      </c>
      <c r="AJ1317" s="69" t="inlineStr">
        <is>
          <t>HT</t>
        </is>
      </c>
      <c r="AK1317" s="69" t="n"/>
      <c r="AL1317" s="68" t="n">
        <v>3</v>
      </c>
      <c r="AM1317" s="68" t="n">
        <v>285</v>
      </c>
      <c r="AN1317" s="68" t="n"/>
      <c r="AO1317" s="69" t="n"/>
      <c r="AP1317" s="70" t="n">
        <v>2012</v>
      </c>
      <c r="AQ1317" s="74" t="n">
        <v>2.16</v>
      </c>
      <c r="AR1317" s="74" t="n">
        <v>0.79</v>
      </c>
      <c r="AS1317" s="74" t="n">
        <v>72.09999999999999</v>
      </c>
      <c r="AT1317" s="74" t="n">
        <v>58.65</v>
      </c>
      <c r="AU1317" s="74" t="n">
        <v>58.4</v>
      </c>
      <c r="AV1317" s="74" t="n">
        <v>13.014181818</v>
      </c>
      <c r="AW1317" s="74" t="n">
        <v>13.506726099</v>
      </c>
      <c r="AX1317" s="75" t="n">
        <v>70</v>
      </c>
      <c r="AY1317" s="71" t="n">
        <v>38000000</v>
      </c>
      <c r="AZ1317" s="71" t="n">
        <v>38000000</v>
      </c>
      <c r="BA1317" s="71" t="n">
        <v>3578900</v>
      </c>
      <c r="BB1317" s="71" t="n">
        <v>241730.41</v>
      </c>
      <c r="BC1317" s="69" t="inlineStr">
        <is>
          <t>Acquisition</t>
        </is>
      </c>
      <c r="BD1317" s="69" t="inlineStr">
        <is>
          <t>N</t>
        </is>
      </c>
      <c r="BE1317" s="71" t="n"/>
      <c r="BF1317" s="71" t="n"/>
      <c r="BG1317" s="71" t="n"/>
      <c r="BH1317" s="71" t="n">
        <v>0</v>
      </c>
      <c r="BI1317" s="71" t="n">
        <v>0</v>
      </c>
      <c r="BJ1317" s="69" t="inlineStr">
        <is>
          <t>Y</t>
        </is>
      </c>
      <c r="BK1317" s="69" t="n"/>
      <c r="BL1317" s="75" t="n"/>
      <c r="BM1317" s="73" t="n"/>
      <c r="BN1317" s="69" t="inlineStr">
        <is>
          <t>American Hotel Income Properties REIT Inc.</t>
        </is>
      </c>
      <c r="BO1317" s="69" t="inlineStr">
        <is>
          <t>GACC</t>
        </is>
      </c>
      <c r="BP1317" s="69" t="inlineStr">
        <is>
          <t>Midland Loan Services</t>
        </is>
      </c>
      <c r="BQ1317" s="69" t="inlineStr">
        <is>
          <t>K-Star Asset Management LLC</t>
        </is>
      </c>
      <c r="BR1317" s="69" t="n"/>
      <c r="BS1317" s="73" t="n">
        <v>46273</v>
      </c>
      <c r="BU1317" s="76">
        <f>IF($C1317="","",IFERROR(INDEX(dmName,MATCH($C1317,dmID,0)),"Unmapped"))</f>
        <v/>
      </c>
      <c r="BV1317" s="76">
        <f>IF($C1317="","",IFERROR(INDEX(dmEntity,MATCH($C1317,dmID,0)),"Unmapped"))</f>
        <v/>
      </c>
      <c r="BW1317" s="77">
        <f>IF($C1317="","",IFERROR(INDEX(dmVintage,MATCH($C1317,dmID,0)),""))</f>
        <v/>
      </c>
      <c r="BX1317" s="78">
        <f>IFERROR(INDEX(dmInclude,MATCH($C1317,dmID,0)),0)</f>
        <v/>
      </c>
      <c r="BY1317" s="78">
        <f>IF(N($I1317)&gt;0,1,0)</f>
        <v/>
      </c>
      <c r="BZ1317" s="76">
        <f>IF($AJ1317="","Other / Leased Fee",IFERROR(INDEX(mapPTGroup,MATCH(LEFT(TRIM($AJ1317),2),mapPTCode,0)),"Other / Leased Fee"))</f>
        <v/>
      </c>
      <c r="CA1317" s="76">
        <f>IF(TRIM($AF1317&amp;"")="","NR",LEFT(TRIM($AF1317),2))</f>
        <v/>
      </c>
      <c r="CB1317" s="76">
        <f>IFERROR(LOOKUP(2,1/(LEFT(TRIM($AI1317&amp;""),LEN(mapRegion))=mapRegion),mapRegion),"Not Reported")</f>
        <v/>
      </c>
      <c r="CC1317" s="76">
        <f>IF($BY1317=0,"",IF(TRIM($W1317&amp;"")="REO","REO",IF(TRIM($W1317&amp;"")="FC","Foreclosure",IF(TRIM($W1317&amp;"")="90+","90+ Days Delinquent",IF(TRIM($W1317&amp;"")="60","60 Days Delinquent",IF(TRIM($W1317&amp;"")="30","30 Days Delinquent",IF($X1317="Non-Performing Matured Balloon","Non-Performing Matured Balloon",IF(OR($X1317="Late Payment But Less Than 30 Days Delinquent",LEFT($X1317&amp;"",20)="Payment Not Received"),"Late / In Grace (&lt;30 Days)",IF($X1317="Performing Matured Balloon","Performing Matured Balloon","Current")))))))))</f>
        <v/>
      </c>
      <c r="CD1317" s="78">
        <f>IF(OR($CC1317="REO",$CC1317="Foreclosure",$CC1317="90+ Days Delinquent",$CC1317="60 Days Delinquent",$CC1317="30 Days Delinquent",$CC1317="Non-Performing Matured Balloon"),1,0)</f>
        <v/>
      </c>
      <c r="CE1317" s="76">
        <f>IF($AB1317="Currently special serv","Currently Specially Serviced",IF($AB1317="Returned to master serv","Previously Specially Serviced","Never Specially Serviced"))</f>
        <v/>
      </c>
      <c r="CF1317" s="78">
        <f>IF($CE1317="Currently Specially Serviced",1,0)</f>
        <v/>
      </c>
      <c r="CG1317" s="76">
        <f>IF($AA1317="Yes","Currently on Watchlist",IF($AA1317="Previously","Previously on Watchlist","Never on Watchlist"))</f>
        <v/>
      </c>
      <c r="CH1317" s="78">
        <f>IF($CG1317="Currently on Watchlist",1,0)</f>
        <v/>
      </c>
      <c r="CI1317" s="76">
        <f>IF($Z1317="Full Defeasance","Fully Defeased",IF($Z1317="Portion Of Loan Previously Defeased","Partially Defeased",IF($Z1317="Defeasance Not Allowable","Not Defeased (Not Permitted)","Not Defeased")))</f>
        <v/>
      </c>
      <c r="CJ1317" s="78">
        <f>IF($CI1317="Fully Defeased",1,0)</f>
        <v/>
      </c>
      <c r="CK1317" s="76">
        <f>IF($R1317="IO","Full IO",IF(LEFT($R1317&amp;"",7)="IO then","Partial IO","Amortizing"))</f>
        <v/>
      </c>
      <c r="CL1317" s="78">
        <f>IF($CK1317="Full IO",1,0)</f>
        <v/>
      </c>
      <c r="CM1317" s="78">
        <f>IF($CK1317="Partial IO",1,0)</f>
        <v/>
      </c>
      <c r="CN1317" s="76">
        <f>IF(LEFT($F1317&amp;"",10)="SPLIT_LOAN","Pari Passu Split","Standalone")</f>
        <v/>
      </c>
      <c r="CO1317" s="78">
        <f>IF($CN1317="Pari Passu Split",1,0)</f>
        <v/>
      </c>
      <c r="CP1317" s="77">
        <f>IF(ISNUMBER($T1317),YEAR($T1317),"")</f>
        <v/>
      </c>
      <c r="CQ1317" s="79">
        <f>IF(ISNUMBER($V1317),$V1317,IF(ISNUMBER($U1317),$U1317,""))</f>
        <v/>
      </c>
      <c r="CR1317" s="77">
        <f>IF(ISNUMBER($CQ1317),YEAR($CQ1317),"")</f>
        <v/>
      </c>
      <c r="CS1317" s="78">
        <f>IF(ISNUMBER($M1317),MAX(0,$M1317),IF(TRIM($M1317&amp;"")="matured",0,""))</f>
        <v/>
      </c>
      <c r="CT1317" s="78">
        <f>IF(AND(ISNUMBER($CS1317),N($CS1317)&lt;=mMatWindow),1,0)</f>
        <v/>
      </c>
      <c r="CU1317" s="80">
        <f>IF(ISNUMBER($J1317),$J1317/100,"")</f>
        <v/>
      </c>
      <c r="CV1317" s="81">
        <f>IF(ISNUMBER($AQ1317),$AQ1317,"")</f>
        <v/>
      </c>
      <c r="CW1317" s="81">
        <f>IF(ISNUMBER($AR1317),$AR1317,"")</f>
        <v/>
      </c>
      <c r="CX1317" s="82">
        <f>IF(ISNUMBER($AS1317),$AS1317/100,"")</f>
        <v/>
      </c>
      <c r="CY1317" s="82">
        <f>IF(ISNUMBER($AT1317),$AT1317/100,"")</f>
        <v/>
      </c>
      <c r="CZ1317" s="82">
        <f>IF(ISNUMBER($AU1317),$AU1317/100,"")</f>
        <v/>
      </c>
      <c r="DA1317" s="82">
        <f>IF(ISNUMBER($AV1317),$AV1317/100,"")</f>
        <v/>
      </c>
      <c r="DB1317" s="82">
        <f>IF(ISNUMBER($AW1317),$AW1317/100,"")</f>
        <v/>
      </c>
      <c r="DC1317" s="82">
        <f>IF(ISNUMBER($AX1317),$AX1317/100,"")</f>
        <v/>
      </c>
      <c r="DD1317" s="77">
        <f>IFERROR(VALUE(LEFT(TRIM($AO1317&amp;""),4)),"")</f>
        <v/>
      </c>
      <c r="DE1317" s="78">
        <f>IF(AND($BY1317=1,$BX1317=1,OR(fDeal="All Deals",$BU1317=fDeal),OR(fEntity="All Entities",$BV1317=fEntity),OR(fPType="All Property Types",$BZ1317=fPType),OR(fDefeased="Include",$CJ1317=0)),1,0)</f>
        <v/>
      </c>
      <c r="DF1317" s="83">
        <f>$DE1317*N($I1317)</f>
        <v/>
      </c>
      <c r="DG1317" s="78">
        <f>IF($DE1317=1,IF(COUNTIFS($F$8:$F1317,$F1317,$DE$8:$DE1317,1)=1,1,0),0)</f>
        <v/>
      </c>
      <c r="DH1317" s="83">
        <f>IF($DG1317=1,SUMIFS($DF$8:$DF$1600,$F$8:$F$1600,$F1317),0)</f>
        <v/>
      </c>
      <c r="DI1317" s="78">
        <f>IF($DG1317=1,COUNTIFS($F$8:$F$1600,$F1317,$DE$8:$DE$1600,1),0)</f>
        <v/>
      </c>
      <c r="DJ1317" s="84">
        <f>IF($DG1317=1,$DH1317+(100000-ROW())/mTieBreak,0)</f>
        <v/>
      </c>
    </row>
    <row r="1318">
      <c r="B1318" s="68" t="n">
        <v>20</v>
      </c>
      <c r="C1318" s="69" t="inlineStr">
        <is>
          <t>CD17CD3</t>
        </is>
      </c>
      <c r="D1318" s="69" t="inlineStr">
        <is>
          <t>20.000</t>
        </is>
      </c>
      <c r="E1318" s="69" t="inlineStr">
        <is>
          <t>Christiana Executive Campus</t>
        </is>
      </c>
      <c r="F1318" s="69" t="inlineStr">
        <is>
          <t>LNCD17CD3-20.000</t>
        </is>
      </c>
      <c r="G1318" s="70" t="n"/>
      <c r="H1318" s="71" t="n">
        <v>26250000</v>
      </c>
      <c r="I1318" s="71" t="n">
        <v>21962174.4500025</v>
      </c>
      <c r="J1318" s="72" t="n">
        <v>5.28</v>
      </c>
      <c r="K1318" s="69" t="inlineStr">
        <is>
          <t>Fixed rate</t>
        </is>
      </c>
      <c r="L1318" s="68" t="n">
        <v>120</v>
      </c>
      <c r="M1318" s="68" t="n">
        <v>4</v>
      </c>
      <c r="N1318" s="68" t="n">
        <v>360</v>
      </c>
      <c r="O1318" s="68" t="n"/>
      <c r="P1318" s="68" t="n"/>
      <c r="Q1318" s="68" t="n">
        <v>116</v>
      </c>
      <c r="R1318" s="69" t="n"/>
      <c r="S1318" s="69" t="inlineStr">
        <is>
          <t>No</t>
        </is>
      </c>
      <c r="T1318" s="73" t="n">
        <v>42736</v>
      </c>
      <c r="U1318" s="73" t="n">
        <v>46393</v>
      </c>
      <c r="V1318" s="73" t="n"/>
      <c r="W1318" s="69" t="n"/>
      <c r="X1318" s="69" t="inlineStr">
        <is>
          <t>Current</t>
        </is>
      </c>
      <c r="Y1318" s="68" t="n"/>
      <c r="Z1318" s="69" t="inlineStr">
        <is>
          <t>Full Defeasance</t>
        </is>
      </c>
      <c r="AA1318" s="69" t="n"/>
      <c r="AB1318" s="69" t="inlineStr">
        <is>
          <t>Never special serv</t>
        </is>
      </c>
      <c r="AC1318" s="73" t="n"/>
      <c r="AD1318" s="69" t="n"/>
      <c r="AE1318" s="69" t="n"/>
      <c r="AF1318" s="69" t="inlineStr">
        <is>
          <t>DE</t>
        </is>
      </c>
      <c r="AG1318" s="69" t="inlineStr">
        <is>
          <t>Newark</t>
        </is>
      </c>
      <c r="AH1318" s="69" t="inlineStr">
        <is>
          <t>Philadelphia-Camden-Wilmington, PA-NJ-DE-MD</t>
        </is>
      </c>
      <c r="AI1318" s="69" t="inlineStr">
        <is>
          <t>Northeast / Mid-Atlantic</t>
        </is>
      </c>
      <c r="AJ1318" s="69" t="inlineStr">
        <is>
          <t>OF</t>
        </is>
      </c>
      <c r="AK1318" s="69" t="inlineStr">
        <is>
          <t>Suburban</t>
        </is>
      </c>
      <c r="AL1318" s="68" t="n">
        <v>1</v>
      </c>
      <c r="AM1318" s="68" t="n"/>
      <c r="AN1318" s="68" t="n">
        <v>234772</v>
      </c>
      <c r="AO1318" s="69" t="inlineStr">
        <is>
          <t>1990, 1998, 2000</t>
        </is>
      </c>
      <c r="AP1318" s="70" t="n">
        <v>2000</v>
      </c>
      <c r="AQ1318" s="74" t="n">
        <v>1.44</v>
      </c>
      <c r="AR1318" s="74" t="n">
        <v>1.54</v>
      </c>
      <c r="AS1318" s="74" t="n">
        <v>74.5</v>
      </c>
      <c r="AT1318" s="74" t="n">
        <v>62.39</v>
      </c>
      <c r="AU1318" s="74" t="n">
        <v>61.85</v>
      </c>
      <c r="AV1318" s="74" t="n">
        <v>9.566860952000001</v>
      </c>
      <c r="AW1318" s="74" t="n">
        <v>12.253498059</v>
      </c>
      <c r="AX1318" s="75" t="n">
        <v>85</v>
      </c>
      <c r="AY1318" s="71" t="n">
        <v>35200000</v>
      </c>
      <c r="AZ1318" s="71" t="n">
        <v>35200000</v>
      </c>
      <c r="BA1318" s="71" t="n">
        <v>2511301</v>
      </c>
      <c r="BB1318" s="71" t="n">
        <v>2691134.62</v>
      </c>
      <c r="BC1318" s="69" t="inlineStr">
        <is>
          <t>Acquisition</t>
        </is>
      </c>
      <c r="BD1318" s="69" t="inlineStr">
        <is>
          <t>N</t>
        </is>
      </c>
      <c r="BE1318" s="71" t="n"/>
      <c r="BF1318" s="71" t="n"/>
      <c r="BG1318" s="71" t="n"/>
      <c r="BH1318" s="71" t="n">
        <v>0</v>
      </c>
      <c r="BI1318" s="71" t="n">
        <v>0</v>
      </c>
      <c r="BJ1318" s="69" t="inlineStr">
        <is>
          <t>N</t>
        </is>
      </c>
      <c r="BK1318" s="69" t="inlineStr">
        <is>
          <t>PENNONI ASSOCIATES</t>
        </is>
      </c>
      <c r="BL1318" s="75" t="n">
        <v>9.06</v>
      </c>
      <c r="BM1318" s="73" t="n">
        <v>45808</v>
      </c>
      <c r="BN1318" s="69" t="inlineStr">
        <is>
          <t>Ernest Delle Donne</t>
        </is>
      </c>
      <c r="BO1318" s="69" t="inlineStr">
        <is>
          <t>Citigroup Global Markets</t>
        </is>
      </c>
      <c r="BP1318" s="69" t="inlineStr">
        <is>
          <t>Midland Loan Services</t>
        </is>
      </c>
      <c r="BQ1318" s="69" t="inlineStr">
        <is>
          <t>K-Star Asset Management LLC</t>
        </is>
      </c>
      <c r="BR1318" s="69" t="n"/>
      <c r="BS1318" s="73" t="n">
        <v>46273</v>
      </c>
      <c r="BU1318" s="76">
        <f>IF($C1318="","",IFERROR(INDEX(dmName,MATCH($C1318,dmID,0)),"Unmapped"))</f>
        <v/>
      </c>
      <c r="BV1318" s="76">
        <f>IF($C1318="","",IFERROR(INDEX(dmEntity,MATCH($C1318,dmID,0)),"Unmapped"))</f>
        <v/>
      </c>
      <c r="BW1318" s="77">
        <f>IF($C1318="","",IFERROR(INDEX(dmVintage,MATCH($C1318,dmID,0)),""))</f>
        <v/>
      </c>
      <c r="BX1318" s="78">
        <f>IFERROR(INDEX(dmInclude,MATCH($C1318,dmID,0)),0)</f>
        <v/>
      </c>
      <c r="BY1318" s="78">
        <f>IF(N($I1318)&gt;0,1,0)</f>
        <v/>
      </c>
      <c r="BZ1318" s="76">
        <f>IF($AJ1318="","Other / Leased Fee",IFERROR(INDEX(mapPTGroup,MATCH(LEFT(TRIM($AJ1318),2),mapPTCode,0)),"Other / Leased Fee"))</f>
        <v/>
      </c>
      <c r="CA1318" s="76">
        <f>IF(TRIM($AF1318&amp;"")="","NR",LEFT(TRIM($AF1318),2))</f>
        <v/>
      </c>
      <c r="CB1318" s="76">
        <f>IFERROR(LOOKUP(2,1/(LEFT(TRIM($AI1318&amp;""),LEN(mapRegion))=mapRegion),mapRegion),"Not Reported")</f>
        <v/>
      </c>
      <c r="CC1318" s="76">
        <f>IF($BY1318=0,"",IF(TRIM($W1318&amp;"")="REO","REO",IF(TRIM($W1318&amp;"")="FC","Foreclosure",IF(TRIM($W1318&amp;"")="90+","90+ Days Delinquent",IF(TRIM($W1318&amp;"")="60","60 Days Delinquent",IF(TRIM($W1318&amp;"")="30","30 Days Delinquent",IF($X1318="Non-Performing Matured Balloon","Non-Performing Matured Balloon",IF(OR($X1318="Late Payment But Less Than 30 Days Delinquent",LEFT($X1318&amp;"",20)="Payment Not Received"),"Late / In Grace (&lt;30 Days)",IF($X1318="Performing Matured Balloon","Performing Matured Balloon","Current")))))))))</f>
        <v/>
      </c>
      <c r="CD1318" s="78">
        <f>IF(OR($CC1318="REO",$CC1318="Foreclosure",$CC1318="90+ Days Delinquent",$CC1318="60 Days Delinquent",$CC1318="30 Days Delinquent",$CC1318="Non-Performing Matured Balloon"),1,0)</f>
        <v/>
      </c>
      <c r="CE1318" s="76">
        <f>IF($AB1318="Currently special serv","Currently Specially Serviced",IF($AB1318="Returned to master serv","Previously Specially Serviced","Never Specially Serviced"))</f>
        <v/>
      </c>
      <c r="CF1318" s="78">
        <f>IF($CE1318="Currently Specially Serviced",1,0)</f>
        <v/>
      </c>
      <c r="CG1318" s="76">
        <f>IF($AA1318="Yes","Currently on Watchlist",IF($AA1318="Previously","Previously on Watchlist","Never on Watchlist"))</f>
        <v/>
      </c>
      <c r="CH1318" s="78">
        <f>IF($CG1318="Currently on Watchlist",1,0)</f>
        <v/>
      </c>
      <c r="CI1318" s="76">
        <f>IF($Z1318="Full Defeasance","Fully Defeased",IF($Z1318="Portion Of Loan Previously Defeased","Partially Defeased",IF($Z1318="Defeasance Not Allowable","Not Defeased (Not Permitted)","Not Defeased")))</f>
        <v/>
      </c>
      <c r="CJ1318" s="78">
        <f>IF($CI1318="Fully Defeased",1,0)</f>
        <v/>
      </c>
      <c r="CK1318" s="76">
        <f>IF($R1318="IO","Full IO",IF(LEFT($R1318&amp;"",7)="IO then","Partial IO","Amortizing"))</f>
        <v/>
      </c>
      <c r="CL1318" s="78">
        <f>IF($CK1318="Full IO",1,0)</f>
        <v/>
      </c>
      <c r="CM1318" s="78">
        <f>IF($CK1318="Partial IO",1,0)</f>
        <v/>
      </c>
      <c r="CN1318" s="76">
        <f>IF(LEFT($F1318&amp;"",10)="SPLIT_LOAN","Pari Passu Split","Standalone")</f>
        <v/>
      </c>
      <c r="CO1318" s="78">
        <f>IF($CN1318="Pari Passu Split",1,0)</f>
        <v/>
      </c>
      <c r="CP1318" s="77">
        <f>IF(ISNUMBER($T1318),YEAR($T1318),"")</f>
        <v/>
      </c>
      <c r="CQ1318" s="79">
        <f>IF(ISNUMBER($V1318),$V1318,IF(ISNUMBER($U1318),$U1318,""))</f>
        <v/>
      </c>
      <c r="CR1318" s="77">
        <f>IF(ISNUMBER($CQ1318),YEAR($CQ1318),"")</f>
        <v/>
      </c>
      <c r="CS1318" s="78">
        <f>IF(ISNUMBER($M1318),MAX(0,$M1318),IF(TRIM($M1318&amp;"")="matured",0,""))</f>
        <v/>
      </c>
      <c r="CT1318" s="78">
        <f>IF(AND(ISNUMBER($CS1318),N($CS1318)&lt;=mMatWindow),1,0)</f>
        <v/>
      </c>
      <c r="CU1318" s="80">
        <f>IF(ISNUMBER($J1318),$J1318/100,"")</f>
        <v/>
      </c>
      <c r="CV1318" s="81">
        <f>IF(ISNUMBER($AQ1318),$AQ1318,"")</f>
        <v/>
      </c>
      <c r="CW1318" s="81">
        <f>IF(ISNUMBER($AR1318),$AR1318,"")</f>
        <v/>
      </c>
      <c r="CX1318" s="82">
        <f>IF(ISNUMBER($AS1318),$AS1318/100,"")</f>
        <v/>
      </c>
      <c r="CY1318" s="82">
        <f>IF(ISNUMBER($AT1318),$AT1318/100,"")</f>
        <v/>
      </c>
      <c r="CZ1318" s="82">
        <f>IF(ISNUMBER($AU1318),$AU1318/100,"")</f>
        <v/>
      </c>
      <c r="DA1318" s="82">
        <f>IF(ISNUMBER($AV1318),$AV1318/100,"")</f>
        <v/>
      </c>
      <c r="DB1318" s="82">
        <f>IF(ISNUMBER($AW1318),$AW1318/100,"")</f>
        <v/>
      </c>
      <c r="DC1318" s="82">
        <f>IF(ISNUMBER($AX1318),$AX1318/100,"")</f>
        <v/>
      </c>
      <c r="DD1318" s="77">
        <f>IFERROR(VALUE(LEFT(TRIM($AO1318&amp;""),4)),"")</f>
        <v/>
      </c>
      <c r="DE1318" s="78">
        <f>IF(AND($BY1318=1,$BX1318=1,OR(fDeal="All Deals",$BU1318=fDeal),OR(fEntity="All Entities",$BV1318=fEntity),OR(fPType="All Property Types",$BZ1318=fPType),OR(fDefeased="Include",$CJ1318=0)),1,0)</f>
        <v/>
      </c>
      <c r="DF1318" s="83">
        <f>$DE1318*N($I1318)</f>
        <v/>
      </c>
      <c r="DG1318" s="78">
        <f>IF($DE1318=1,IF(COUNTIFS($F$8:$F1318,$F1318,$DE$8:$DE1318,1)=1,1,0),0)</f>
        <v/>
      </c>
      <c r="DH1318" s="83">
        <f>IF($DG1318=1,SUMIFS($DF$8:$DF$1600,$F$8:$F$1600,$F1318),0)</f>
        <v/>
      </c>
      <c r="DI1318" s="78">
        <f>IF($DG1318=1,COUNTIFS($F$8:$F$1600,$F1318,$DE$8:$DE$1600,1),0)</f>
        <v/>
      </c>
      <c r="DJ1318" s="84">
        <f>IF($DG1318=1,$DH1318+(100000-ROW())/mTieBreak,0)</f>
        <v/>
      </c>
    </row>
    <row r="1319">
      <c r="B1319" s="68" t="n">
        <v>21</v>
      </c>
      <c r="C1319" s="69" t="inlineStr">
        <is>
          <t>CD17CD3</t>
        </is>
      </c>
      <c r="D1319" s="69" t="inlineStr">
        <is>
          <t>21.000</t>
        </is>
      </c>
      <c r="E1319" s="69" t="inlineStr">
        <is>
          <t>8 Times Square &amp; 1460 Broadway</t>
        </is>
      </c>
      <c r="F1319" s="69" t="inlineStr">
        <is>
          <t>SPLIT_LOAN_00909</t>
        </is>
      </c>
      <c r="G1319" s="70" t="n">
        <v>909</v>
      </c>
      <c r="H1319" s="71" t="n">
        <v>25000000</v>
      </c>
      <c r="I1319" s="71" t="n">
        <v>25000000</v>
      </c>
      <c r="J1319" s="72" t="n">
        <v>4.05</v>
      </c>
      <c r="K1319" s="69" t="inlineStr">
        <is>
          <t>Fixed rate</t>
        </is>
      </c>
      <c r="L1319" s="68" t="n">
        <v>120</v>
      </c>
      <c r="M1319" s="68" t="n">
        <v>2</v>
      </c>
      <c r="N1319" s="68" t="n">
        <v>120</v>
      </c>
      <c r="O1319" s="68" t="n">
        <v>120</v>
      </c>
      <c r="P1319" s="68" t="n">
        <v>2</v>
      </c>
      <c r="Q1319" s="68" t="n">
        <v>118</v>
      </c>
      <c r="R1319" s="69" t="inlineStr">
        <is>
          <t>IO</t>
        </is>
      </c>
      <c r="S1319" s="69" t="inlineStr">
        <is>
          <t>Yes</t>
        </is>
      </c>
      <c r="T1319" s="73" t="n">
        <v>42675</v>
      </c>
      <c r="U1319" s="73" t="n">
        <v>46332</v>
      </c>
      <c r="V1319" s="73" t="n"/>
      <c r="W1319" s="69" t="n"/>
      <c r="X1319" s="69" t="inlineStr">
        <is>
          <t>Late Payment But Less Than 30 Days Delinquent</t>
        </is>
      </c>
      <c r="Y1319" s="68" t="n"/>
      <c r="Z1319" s="69" t="inlineStr">
        <is>
          <t>No Defeasance Occurred</t>
        </is>
      </c>
      <c r="AA1319" s="69" t="inlineStr">
        <is>
          <t>Yes</t>
        </is>
      </c>
      <c r="AB1319" s="69" t="inlineStr">
        <is>
          <t>Never special serv</t>
        </is>
      </c>
      <c r="AC1319" s="73" t="n"/>
      <c r="AD1319" s="69" t="n"/>
      <c r="AE1319" s="69" t="n"/>
      <c r="AF1319" s="69" t="inlineStr">
        <is>
          <t>NY</t>
        </is>
      </c>
      <c r="AG1319" s="69" t="inlineStr">
        <is>
          <t>New York</t>
        </is>
      </c>
      <c r="AH1319" s="69" t="inlineStr">
        <is>
          <t>New York-Newark-Jersey City, NY-NJ</t>
        </is>
      </c>
      <c r="AI1319" s="69" t="inlineStr">
        <is>
          <t>Northeast / Mid-Atlantic</t>
        </is>
      </c>
      <c r="AJ1319" s="69" t="inlineStr">
        <is>
          <t>MX</t>
        </is>
      </c>
      <c r="AK1319" s="69" t="inlineStr">
        <is>
          <t>Office/Retail</t>
        </is>
      </c>
      <c r="AL1319" s="68" t="n">
        <v>1</v>
      </c>
      <c r="AM1319" s="68" t="n"/>
      <c r="AN1319" s="68" t="n">
        <v>214341</v>
      </c>
      <c r="AO1319" s="69" t="inlineStr">
        <is>
          <t>1952</t>
        </is>
      </c>
      <c r="AP1319" s="70" t="n">
        <v>2015</v>
      </c>
      <c r="AQ1319" s="74" t="n">
        <v>1.71</v>
      </c>
      <c r="AR1319" s="74" t="n">
        <v>1.92</v>
      </c>
      <c r="AS1319" s="74" t="n">
        <v>55.56</v>
      </c>
      <c r="AT1319" s="74" t="n">
        <v>55.56</v>
      </c>
      <c r="AU1319" s="74" t="n">
        <v>55.56</v>
      </c>
      <c r="AV1319" s="74" t="n">
        <v>7.03812932</v>
      </c>
      <c r="AW1319" s="74" t="n">
        <v>6.43661233</v>
      </c>
      <c r="AX1319" s="75" t="n">
        <v>100</v>
      </c>
      <c r="AY1319" s="71" t="n">
        <v>360000000</v>
      </c>
      <c r="AZ1319" s="71" t="n">
        <v>360000000</v>
      </c>
      <c r="BA1319" s="71" t="n">
        <v>14076258.64</v>
      </c>
      <c r="BB1319" s="71" t="n">
        <v>15714268.82</v>
      </c>
      <c r="BC1319" s="69" t="inlineStr">
        <is>
          <t>Refinance</t>
        </is>
      </c>
      <c r="BD1319" s="69" t="inlineStr">
        <is>
          <t>N</t>
        </is>
      </c>
      <c r="BE1319" s="71" t="n">
        <v>175000000</v>
      </c>
      <c r="BF1319" s="71" t="n"/>
      <c r="BG1319" s="71" t="n"/>
      <c r="BH1319" s="71" t="n">
        <v>0</v>
      </c>
      <c r="BI1319" s="71" t="n">
        <v>87079.86</v>
      </c>
      <c r="BJ1319" s="69" t="inlineStr">
        <is>
          <t>N</t>
        </is>
      </c>
      <c r="BK1319" s="69" t="inlineStr">
        <is>
          <t>1460 Broadway Tenant - WEWORK</t>
        </is>
      </c>
      <c r="BL1319" s="75" t="n">
        <v>83.15000000000001</v>
      </c>
      <c r="BM1319" s="73" t="n">
        <v>49187</v>
      </c>
      <c r="BN1319" s="69" t="inlineStr">
        <is>
          <t>Swig Investment Company, LLC</t>
        </is>
      </c>
      <c r="BO1319" s="69" t="inlineStr">
        <is>
          <t>Citigroup Global Markets</t>
        </is>
      </c>
      <c r="BP1319" s="69" t="inlineStr">
        <is>
          <t>Midland Loan Services</t>
        </is>
      </c>
      <c r="BQ1319" s="69" t="inlineStr">
        <is>
          <t>KeyBank National Association</t>
        </is>
      </c>
      <c r="BR1319" s="69" t="n"/>
      <c r="BS1319" s="73" t="n">
        <v>46273</v>
      </c>
      <c r="BU1319" s="76">
        <f>IF($C1319="","",IFERROR(INDEX(dmName,MATCH($C1319,dmID,0)),"Unmapped"))</f>
        <v/>
      </c>
      <c r="BV1319" s="76">
        <f>IF($C1319="","",IFERROR(INDEX(dmEntity,MATCH($C1319,dmID,0)),"Unmapped"))</f>
        <v/>
      </c>
      <c r="BW1319" s="77">
        <f>IF($C1319="","",IFERROR(INDEX(dmVintage,MATCH($C1319,dmID,0)),""))</f>
        <v/>
      </c>
      <c r="BX1319" s="78">
        <f>IFERROR(INDEX(dmInclude,MATCH($C1319,dmID,0)),0)</f>
        <v/>
      </c>
      <c r="BY1319" s="78">
        <f>IF(N($I1319)&gt;0,1,0)</f>
        <v/>
      </c>
      <c r="BZ1319" s="76">
        <f>IF($AJ1319="","Other / Leased Fee",IFERROR(INDEX(mapPTGroup,MATCH(LEFT(TRIM($AJ1319),2),mapPTCode,0)),"Other / Leased Fee"))</f>
        <v/>
      </c>
      <c r="CA1319" s="76">
        <f>IF(TRIM($AF1319&amp;"")="","NR",LEFT(TRIM($AF1319),2))</f>
        <v/>
      </c>
      <c r="CB1319" s="76">
        <f>IFERROR(LOOKUP(2,1/(LEFT(TRIM($AI1319&amp;""),LEN(mapRegion))=mapRegion),mapRegion),"Not Reported")</f>
        <v/>
      </c>
      <c r="CC1319" s="76">
        <f>IF($BY1319=0,"",IF(TRIM($W1319&amp;"")="REO","REO",IF(TRIM($W1319&amp;"")="FC","Foreclosure",IF(TRIM($W1319&amp;"")="90+","90+ Days Delinquent",IF(TRIM($W1319&amp;"")="60","60 Days Delinquent",IF(TRIM($W1319&amp;"")="30","30 Days Delinquent",IF($X1319="Non-Performing Matured Balloon","Non-Performing Matured Balloon",IF(OR($X1319="Late Payment But Less Than 30 Days Delinquent",LEFT($X1319&amp;"",20)="Payment Not Received"),"Late / In Grace (&lt;30 Days)",IF($X1319="Performing Matured Balloon","Performing Matured Balloon","Current")))))))))</f>
        <v/>
      </c>
      <c r="CD1319" s="78">
        <f>IF(OR($CC1319="REO",$CC1319="Foreclosure",$CC1319="90+ Days Delinquent",$CC1319="60 Days Delinquent",$CC1319="30 Days Delinquent",$CC1319="Non-Performing Matured Balloon"),1,0)</f>
        <v/>
      </c>
      <c r="CE1319" s="76">
        <f>IF($AB1319="Currently special serv","Currently Specially Serviced",IF($AB1319="Returned to master serv","Previously Specially Serviced","Never Specially Serviced"))</f>
        <v/>
      </c>
      <c r="CF1319" s="78">
        <f>IF($CE1319="Currently Specially Serviced",1,0)</f>
        <v/>
      </c>
      <c r="CG1319" s="76">
        <f>IF($AA1319="Yes","Currently on Watchlist",IF($AA1319="Previously","Previously on Watchlist","Never on Watchlist"))</f>
        <v/>
      </c>
      <c r="CH1319" s="78">
        <f>IF($CG1319="Currently on Watchlist",1,0)</f>
        <v/>
      </c>
      <c r="CI1319" s="76">
        <f>IF($Z1319="Full Defeasance","Fully Defeased",IF($Z1319="Portion Of Loan Previously Defeased","Partially Defeased",IF($Z1319="Defeasance Not Allowable","Not Defeased (Not Permitted)","Not Defeased")))</f>
        <v/>
      </c>
      <c r="CJ1319" s="78">
        <f>IF($CI1319="Fully Defeased",1,0)</f>
        <v/>
      </c>
      <c r="CK1319" s="76">
        <f>IF($R1319="IO","Full IO",IF(LEFT($R1319&amp;"",7)="IO then","Partial IO","Amortizing"))</f>
        <v/>
      </c>
      <c r="CL1319" s="78">
        <f>IF($CK1319="Full IO",1,0)</f>
        <v/>
      </c>
      <c r="CM1319" s="78">
        <f>IF($CK1319="Partial IO",1,0)</f>
        <v/>
      </c>
      <c r="CN1319" s="76">
        <f>IF(LEFT($F1319&amp;"",10)="SPLIT_LOAN","Pari Passu Split","Standalone")</f>
        <v/>
      </c>
      <c r="CO1319" s="78">
        <f>IF($CN1319="Pari Passu Split",1,0)</f>
        <v/>
      </c>
      <c r="CP1319" s="77">
        <f>IF(ISNUMBER($T1319),YEAR($T1319),"")</f>
        <v/>
      </c>
      <c r="CQ1319" s="79">
        <f>IF(ISNUMBER($V1319),$V1319,IF(ISNUMBER($U1319),$U1319,""))</f>
        <v/>
      </c>
      <c r="CR1319" s="77">
        <f>IF(ISNUMBER($CQ1319),YEAR($CQ1319),"")</f>
        <v/>
      </c>
      <c r="CS1319" s="78">
        <f>IF(ISNUMBER($M1319),MAX(0,$M1319),IF(TRIM($M1319&amp;"")="matured",0,""))</f>
        <v/>
      </c>
      <c r="CT1319" s="78">
        <f>IF(AND(ISNUMBER($CS1319),N($CS1319)&lt;=mMatWindow),1,0)</f>
        <v/>
      </c>
      <c r="CU1319" s="80">
        <f>IF(ISNUMBER($J1319),$J1319/100,"")</f>
        <v/>
      </c>
      <c r="CV1319" s="81">
        <f>IF(ISNUMBER($AQ1319),$AQ1319,"")</f>
        <v/>
      </c>
      <c r="CW1319" s="81">
        <f>IF(ISNUMBER($AR1319),$AR1319,"")</f>
        <v/>
      </c>
      <c r="CX1319" s="82">
        <f>IF(ISNUMBER($AS1319),$AS1319/100,"")</f>
        <v/>
      </c>
      <c r="CY1319" s="82">
        <f>IF(ISNUMBER($AT1319),$AT1319/100,"")</f>
        <v/>
      </c>
      <c r="CZ1319" s="82">
        <f>IF(ISNUMBER($AU1319),$AU1319/100,"")</f>
        <v/>
      </c>
      <c r="DA1319" s="82">
        <f>IF(ISNUMBER($AV1319),$AV1319/100,"")</f>
        <v/>
      </c>
      <c r="DB1319" s="82">
        <f>IF(ISNUMBER($AW1319),$AW1319/100,"")</f>
        <v/>
      </c>
      <c r="DC1319" s="82">
        <f>IF(ISNUMBER($AX1319),$AX1319/100,"")</f>
        <v/>
      </c>
      <c r="DD1319" s="77">
        <f>IFERROR(VALUE(LEFT(TRIM($AO1319&amp;""),4)),"")</f>
        <v/>
      </c>
      <c r="DE1319" s="78">
        <f>IF(AND($BY1319=1,$BX1319=1,OR(fDeal="All Deals",$BU1319=fDeal),OR(fEntity="All Entities",$BV1319=fEntity),OR(fPType="All Property Types",$BZ1319=fPType),OR(fDefeased="Include",$CJ1319=0)),1,0)</f>
        <v/>
      </c>
      <c r="DF1319" s="83">
        <f>$DE1319*N($I1319)</f>
        <v/>
      </c>
      <c r="DG1319" s="78">
        <f>IF($DE1319=1,IF(COUNTIFS($F$8:$F1319,$F1319,$DE$8:$DE1319,1)=1,1,0),0)</f>
        <v/>
      </c>
      <c r="DH1319" s="83">
        <f>IF($DG1319=1,SUMIFS($DF$8:$DF$1600,$F$8:$F$1600,$F1319),0)</f>
        <v/>
      </c>
      <c r="DI1319" s="78">
        <f>IF($DG1319=1,COUNTIFS($F$8:$F$1600,$F1319,$DE$8:$DE$1600,1),0)</f>
        <v/>
      </c>
      <c r="DJ1319" s="84">
        <f>IF($DG1319=1,$DH1319+(100000-ROW())/mTieBreak,0)</f>
        <v/>
      </c>
    </row>
    <row r="1320">
      <c r="B1320" s="68" t="n">
        <v>22</v>
      </c>
      <c r="C1320" s="69" t="inlineStr">
        <is>
          <t>CD17CD3</t>
        </is>
      </c>
      <c r="D1320" s="69" t="inlineStr">
        <is>
          <t>22.000</t>
        </is>
      </c>
      <c r="E1320" s="69" t="inlineStr">
        <is>
          <t>5400 Fulton</t>
        </is>
      </c>
      <c r="F1320" s="69" t="inlineStr">
        <is>
          <t>LNCD17CD3-22.000</t>
        </is>
      </c>
      <c r="G1320" s="70" t="n"/>
      <c r="H1320" s="71" t="n">
        <v>22220000</v>
      </c>
      <c r="I1320" s="71" t="n">
        <v>0</v>
      </c>
      <c r="J1320" s="72" t="n">
        <v>4.87</v>
      </c>
      <c r="K1320" s="69" t="inlineStr">
        <is>
          <t>Fixed rate</t>
        </is>
      </c>
      <c r="L1320" s="68" t="n">
        <v>120</v>
      </c>
      <c r="M1320" s="68" t="n"/>
      <c r="N1320" s="68" t="n">
        <v>384</v>
      </c>
      <c r="O1320" s="68" t="n">
        <v>24</v>
      </c>
      <c r="P1320" s="68" t="n"/>
      <c r="Q1320" s="68" t="n"/>
      <c r="R1320" s="69" t="inlineStr">
        <is>
          <t>IO then Amort</t>
        </is>
      </c>
      <c r="S1320" s="69" t="inlineStr">
        <is>
          <t>No</t>
        </is>
      </c>
      <c r="T1320" s="73" t="n">
        <v>42705</v>
      </c>
      <c r="U1320" s="73" t="n">
        <v>46362</v>
      </c>
      <c r="V1320" s="73" t="n"/>
      <c r="W1320" s="69" t="n"/>
      <c r="X1320" s="69" t="inlineStr">
        <is>
          <t>Current</t>
        </is>
      </c>
      <c r="Y1320" s="68" t="n"/>
      <c r="Z1320" s="69" t="inlineStr">
        <is>
          <t>Full Defeasance</t>
        </is>
      </c>
      <c r="AA1320" s="69" t="inlineStr">
        <is>
          <t>Previously</t>
        </is>
      </c>
      <c r="AB1320" s="69" t="inlineStr">
        <is>
          <t>Never special serv</t>
        </is>
      </c>
      <c r="AC1320" s="73" t="n"/>
      <c r="AD1320" s="69" t="n"/>
      <c r="AE1320" s="69" t="n"/>
      <c r="AF1320" s="69" t="inlineStr">
        <is>
          <t>GA</t>
        </is>
      </c>
      <c r="AG1320" s="69" t="inlineStr">
        <is>
          <t>Atlanta</t>
        </is>
      </c>
      <c r="AH1320" s="69" t="inlineStr">
        <is>
          <t>Atlanta-Sandy Springs-Roswell, GA</t>
        </is>
      </c>
      <c r="AI1320" s="69" t="inlineStr">
        <is>
          <t>South / Atlantic</t>
        </is>
      </c>
      <c r="AJ1320" s="69" t="inlineStr">
        <is>
          <t>IN</t>
        </is>
      </c>
      <c r="AK1320" s="69" t="inlineStr">
        <is>
          <t>Warehouse/Distribution</t>
        </is>
      </c>
      <c r="AL1320" s="68" t="n">
        <v>1</v>
      </c>
      <c r="AM1320" s="68" t="n"/>
      <c r="AN1320" s="68" t="n">
        <v>682750</v>
      </c>
      <c r="AO1320" s="69" t="inlineStr">
        <is>
          <t>1968</t>
        </is>
      </c>
      <c r="AP1320" s="70" t="n">
        <v>2016</v>
      </c>
      <c r="AQ1320" s="74" t="n">
        <v>1.56</v>
      </c>
      <c r="AR1320" s="74" t="n">
        <v>0.93</v>
      </c>
      <c r="AS1320" s="74" t="n">
        <v>71.2</v>
      </c>
      <c r="AT1320" s="74" t="n"/>
      <c r="AU1320" s="74" t="n">
        <v>61.4</v>
      </c>
      <c r="AV1320" s="74" t="n">
        <v>9.894484247999999</v>
      </c>
      <c r="AW1320" s="74" t="n"/>
      <c r="AX1320" s="75" t="n">
        <v>44</v>
      </c>
      <c r="AY1320" s="71" t="n">
        <v>31200000</v>
      </c>
      <c r="AZ1320" s="71" t="n">
        <v>31200000</v>
      </c>
      <c r="BA1320" s="71" t="n">
        <v>2198554.4</v>
      </c>
      <c r="BB1320" s="71" t="n">
        <v>1308570.47</v>
      </c>
      <c r="BC1320" s="69" t="inlineStr">
        <is>
          <t>Acquisition</t>
        </is>
      </c>
      <c r="BD1320" s="69" t="inlineStr">
        <is>
          <t>N</t>
        </is>
      </c>
      <c r="BE1320" s="71" t="n"/>
      <c r="BF1320" s="71" t="n"/>
      <c r="BG1320" s="71" t="n"/>
      <c r="BH1320" s="71" t="n">
        <v>0</v>
      </c>
      <c r="BI1320" s="71" t="n">
        <v>0</v>
      </c>
      <c r="BJ1320" s="69" t="inlineStr">
        <is>
          <t>N</t>
        </is>
      </c>
      <c r="BK1320" s="69" t="inlineStr">
        <is>
          <t>Bonded Services Ind Warehouse Inc.</t>
        </is>
      </c>
      <c r="BL1320" s="75" t="n">
        <v>43.71</v>
      </c>
      <c r="BM1320" s="73" t="n">
        <v>46053</v>
      </c>
      <c r="BN1320" s="69" t="inlineStr">
        <is>
          <t>Kenneth Levy</t>
        </is>
      </c>
      <c r="BO1320" s="69" t="inlineStr">
        <is>
          <t>GACC</t>
        </is>
      </c>
      <c r="BP1320" s="69" t="inlineStr">
        <is>
          <t>Midland Loan Services</t>
        </is>
      </c>
      <c r="BQ1320" s="69" t="inlineStr">
        <is>
          <t>K-Star Asset Management LLC</t>
        </is>
      </c>
      <c r="BR1320" s="69" t="inlineStr">
        <is>
          <t>Payoff Prior To Maturity</t>
        </is>
      </c>
      <c r="BS1320" s="73" t="n">
        <v>46240</v>
      </c>
      <c r="BU1320" s="76">
        <f>IF($C1320="","",IFERROR(INDEX(dmName,MATCH($C1320,dmID,0)),"Unmapped"))</f>
        <v/>
      </c>
      <c r="BV1320" s="76">
        <f>IF($C1320="","",IFERROR(INDEX(dmEntity,MATCH($C1320,dmID,0)),"Unmapped"))</f>
        <v/>
      </c>
      <c r="BW1320" s="77">
        <f>IF($C1320="","",IFERROR(INDEX(dmVintage,MATCH($C1320,dmID,0)),""))</f>
        <v/>
      </c>
      <c r="BX1320" s="78">
        <f>IFERROR(INDEX(dmInclude,MATCH($C1320,dmID,0)),0)</f>
        <v/>
      </c>
      <c r="BY1320" s="78">
        <f>IF(N($I1320)&gt;0,1,0)</f>
        <v/>
      </c>
      <c r="BZ1320" s="76">
        <f>IF($AJ1320="","Other / Leased Fee",IFERROR(INDEX(mapPTGroup,MATCH(LEFT(TRIM($AJ1320),2),mapPTCode,0)),"Other / Leased Fee"))</f>
        <v/>
      </c>
      <c r="CA1320" s="76">
        <f>IF(TRIM($AF1320&amp;"")="","NR",LEFT(TRIM($AF1320),2))</f>
        <v/>
      </c>
      <c r="CB1320" s="76">
        <f>IFERROR(LOOKUP(2,1/(LEFT(TRIM($AI1320&amp;""),LEN(mapRegion))=mapRegion),mapRegion),"Not Reported")</f>
        <v/>
      </c>
      <c r="CC1320" s="76">
        <f>IF($BY1320=0,"",IF(TRIM($W1320&amp;"")="REO","REO",IF(TRIM($W1320&amp;"")="FC","Foreclosure",IF(TRIM($W1320&amp;"")="90+","90+ Days Delinquent",IF(TRIM($W1320&amp;"")="60","60 Days Delinquent",IF(TRIM($W1320&amp;"")="30","30 Days Delinquent",IF($X1320="Non-Performing Matured Balloon","Non-Performing Matured Balloon",IF(OR($X1320="Late Payment But Less Than 30 Days Delinquent",LEFT($X1320&amp;"",20)="Payment Not Received"),"Late / In Grace (&lt;30 Days)",IF($X1320="Performing Matured Balloon","Performing Matured Balloon","Current")))))))))</f>
        <v/>
      </c>
      <c r="CD1320" s="78">
        <f>IF(OR($CC1320="REO",$CC1320="Foreclosure",$CC1320="90+ Days Delinquent",$CC1320="60 Days Delinquent",$CC1320="30 Days Delinquent",$CC1320="Non-Performing Matured Balloon"),1,0)</f>
        <v/>
      </c>
      <c r="CE1320" s="76">
        <f>IF($AB1320="Currently special serv","Currently Specially Serviced",IF($AB1320="Returned to master serv","Previously Specially Serviced","Never Specially Serviced"))</f>
        <v/>
      </c>
      <c r="CF1320" s="78">
        <f>IF($CE1320="Currently Specially Serviced",1,0)</f>
        <v/>
      </c>
      <c r="CG1320" s="76">
        <f>IF($AA1320="Yes","Currently on Watchlist",IF($AA1320="Previously","Previously on Watchlist","Never on Watchlist"))</f>
        <v/>
      </c>
      <c r="CH1320" s="78">
        <f>IF($CG1320="Currently on Watchlist",1,0)</f>
        <v/>
      </c>
      <c r="CI1320" s="76">
        <f>IF($Z1320="Full Defeasance","Fully Defeased",IF($Z1320="Portion Of Loan Previously Defeased","Partially Defeased",IF($Z1320="Defeasance Not Allowable","Not Defeased (Not Permitted)","Not Defeased")))</f>
        <v/>
      </c>
      <c r="CJ1320" s="78">
        <f>IF($CI1320="Fully Defeased",1,0)</f>
        <v/>
      </c>
      <c r="CK1320" s="76">
        <f>IF($R1320="IO","Full IO",IF(LEFT($R1320&amp;"",7)="IO then","Partial IO","Amortizing"))</f>
        <v/>
      </c>
      <c r="CL1320" s="78">
        <f>IF($CK1320="Full IO",1,0)</f>
        <v/>
      </c>
      <c r="CM1320" s="78">
        <f>IF($CK1320="Partial IO",1,0)</f>
        <v/>
      </c>
      <c r="CN1320" s="76">
        <f>IF(LEFT($F1320&amp;"",10)="SPLIT_LOAN","Pari Passu Split","Standalone")</f>
        <v/>
      </c>
      <c r="CO1320" s="78">
        <f>IF($CN1320="Pari Passu Split",1,0)</f>
        <v/>
      </c>
      <c r="CP1320" s="77">
        <f>IF(ISNUMBER($T1320),YEAR($T1320),"")</f>
        <v/>
      </c>
      <c r="CQ1320" s="79">
        <f>IF(ISNUMBER($V1320),$V1320,IF(ISNUMBER($U1320),$U1320,""))</f>
        <v/>
      </c>
      <c r="CR1320" s="77">
        <f>IF(ISNUMBER($CQ1320),YEAR($CQ1320),"")</f>
        <v/>
      </c>
      <c r="CS1320" s="78">
        <f>IF(ISNUMBER($M1320),MAX(0,$M1320),IF(TRIM($M1320&amp;"")="matured",0,""))</f>
        <v/>
      </c>
      <c r="CT1320" s="78">
        <f>IF(AND(ISNUMBER($CS1320),N($CS1320)&lt;=mMatWindow),1,0)</f>
        <v/>
      </c>
      <c r="CU1320" s="80">
        <f>IF(ISNUMBER($J1320),$J1320/100,"")</f>
        <v/>
      </c>
      <c r="CV1320" s="81">
        <f>IF(ISNUMBER($AQ1320),$AQ1320,"")</f>
        <v/>
      </c>
      <c r="CW1320" s="81">
        <f>IF(ISNUMBER($AR1320),$AR1320,"")</f>
        <v/>
      </c>
      <c r="CX1320" s="82">
        <f>IF(ISNUMBER($AS1320),$AS1320/100,"")</f>
        <v/>
      </c>
      <c r="CY1320" s="82">
        <f>IF(ISNUMBER($AT1320),$AT1320/100,"")</f>
        <v/>
      </c>
      <c r="CZ1320" s="82">
        <f>IF(ISNUMBER($AU1320),$AU1320/100,"")</f>
        <v/>
      </c>
      <c r="DA1320" s="82">
        <f>IF(ISNUMBER($AV1320),$AV1320/100,"")</f>
        <v/>
      </c>
      <c r="DB1320" s="82">
        <f>IF(ISNUMBER($AW1320),$AW1320/100,"")</f>
        <v/>
      </c>
      <c r="DC1320" s="82">
        <f>IF(ISNUMBER($AX1320),$AX1320/100,"")</f>
        <v/>
      </c>
      <c r="DD1320" s="77">
        <f>IFERROR(VALUE(LEFT(TRIM($AO1320&amp;""),4)),"")</f>
        <v/>
      </c>
      <c r="DE1320" s="78">
        <f>IF(AND($BY1320=1,$BX1320=1,OR(fDeal="All Deals",$BU1320=fDeal),OR(fEntity="All Entities",$BV1320=fEntity),OR(fPType="All Property Types",$BZ1320=fPType),OR(fDefeased="Include",$CJ1320=0)),1,0)</f>
        <v/>
      </c>
      <c r="DF1320" s="83">
        <f>$DE1320*N($I1320)</f>
        <v/>
      </c>
      <c r="DG1320" s="78">
        <f>IF($DE1320=1,IF(COUNTIFS($F$8:$F1320,$F1320,$DE$8:$DE1320,1)=1,1,0),0)</f>
        <v/>
      </c>
      <c r="DH1320" s="83">
        <f>IF($DG1320=1,SUMIFS($DF$8:$DF$1600,$F$8:$F$1600,$F1320),0)</f>
        <v/>
      </c>
      <c r="DI1320" s="78">
        <f>IF($DG1320=1,COUNTIFS($F$8:$F$1600,$F1320,$DE$8:$DE$1600,1),0)</f>
        <v/>
      </c>
      <c r="DJ1320" s="84">
        <f>IF($DG1320=1,$DH1320+(100000-ROW())/mTieBreak,0)</f>
        <v/>
      </c>
    </row>
    <row r="1321">
      <c r="B1321" s="68" t="n">
        <v>23</v>
      </c>
      <c r="C1321" s="69" t="inlineStr">
        <is>
          <t>CD17CD3</t>
        </is>
      </c>
      <c r="D1321" s="69" t="inlineStr">
        <is>
          <t>23.000</t>
        </is>
      </c>
      <c r="E1321" s="69" t="inlineStr">
        <is>
          <t>Midtown Crossing</t>
        </is>
      </c>
      <c r="F1321" s="69" t="inlineStr">
        <is>
          <t>LNCD17CD3-23.000</t>
        </is>
      </c>
      <c r="G1321" s="70" t="n"/>
      <c r="H1321" s="71" t="n">
        <v>21000000</v>
      </c>
      <c r="I1321" s="71" t="n">
        <v>19493159.55999301</v>
      </c>
      <c r="J1321" s="72" t="n">
        <v>5.02</v>
      </c>
      <c r="K1321" s="69" t="inlineStr">
        <is>
          <t>Fixed rate</t>
        </is>
      </c>
      <c r="L1321" s="68" t="n">
        <v>120</v>
      </c>
      <c r="M1321" s="68" t="n">
        <v>4</v>
      </c>
      <c r="N1321" s="68" t="n">
        <v>420</v>
      </c>
      <c r="O1321" s="68" t="n">
        <v>60</v>
      </c>
      <c r="P1321" s="68" t="n">
        <v>0</v>
      </c>
      <c r="Q1321" s="68" t="n">
        <v>116</v>
      </c>
      <c r="R1321" s="69" t="inlineStr">
        <is>
          <t>IO then Amort</t>
        </is>
      </c>
      <c r="S1321" s="69" t="inlineStr">
        <is>
          <t>No</t>
        </is>
      </c>
      <c r="T1321" s="73" t="n">
        <v>42736</v>
      </c>
      <c r="U1321" s="73" t="n">
        <v>46393</v>
      </c>
      <c r="V1321" s="73" t="n"/>
      <c r="W1321" s="69" t="n"/>
      <c r="X1321" s="69" t="inlineStr">
        <is>
          <t>Current</t>
        </is>
      </c>
      <c r="Y1321" s="68" t="n"/>
      <c r="Z1321" s="69" t="inlineStr">
        <is>
          <t>No Defeasance Occurred</t>
        </is>
      </c>
      <c r="AA1321" s="69" t="inlineStr">
        <is>
          <t>Yes</t>
        </is>
      </c>
      <c r="AB1321" s="69" t="inlineStr">
        <is>
          <t>Never special serv</t>
        </is>
      </c>
      <c r="AC1321" s="73" t="n"/>
      <c r="AD1321" s="69" t="n"/>
      <c r="AE1321" s="69" t="n"/>
      <c r="AF1321" s="69" t="inlineStr">
        <is>
          <t>NC</t>
        </is>
      </c>
      <c r="AG1321" s="69" t="inlineStr">
        <is>
          <t>Charlotte</t>
        </is>
      </c>
      <c r="AH1321" s="69" t="inlineStr">
        <is>
          <t>Charlotte-Concord-Gastonia, NC-SC</t>
        </is>
      </c>
      <c r="AI1321" s="69" t="inlineStr">
        <is>
          <t>South / Atlantic</t>
        </is>
      </c>
      <c r="AJ1321" s="69" t="inlineStr">
        <is>
          <t>RT</t>
        </is>
      </c>
      <c r="AK1321" s="69" t="inlineStr">
        <is>
          <t>Anchored</t>
        </is>
      </c>
      <c r="AL1321" s="68" t="n">
        <v>1</v>
      </c>
      <c r="AM1321" s="68" t="n"/>
      <c r="AN1321" s="68" t="n">
        <v>122599</v>
      </c>
      <c r="AO1321" s="69" t="inlineStr">
        <is>
          <t>2006</t>
        </is>
      </c>
      <c r="AP1321" s="70" t="n">
        <v>2006</v>
      </c>
      <c r="AQ1321" s="74" t="n">
        <v>1.29</v>
      </c>
      <c r="AR1321" s="74" t="n">
        <v>1.66</v>
      </c>
      <c r="AS1321" s="74" t="n">
        <v>70</v>
      </c>
      <c r="AT1321" s="74" t="n">
        <v>64.98</v>
      </c>
      <c r="AU1321" s="74" t="n">
        <v>64.56999999999999</v>
      </c>
      <c r="AV1321" s="74" t="n">
        <v>8.298533333</v>
      </c>
      <c r="AW1321" s="74" t="n">
        <v>10.060471849</v>
      </c>
      <c r="AX1321" s="75" t="n">
        <v>100</v>
      </c>
      <c r="AY1321" s="71" t="n">
        <v>30000000</v>
      </c>
      <c r="AZ1321" s="71" t="n">
        <v>30000000</v>
      </c>
      <c r="BA1321" s="71" t="n">
        <v>1742692</v>
      </c>
      <c r="BB1321" s="71" t="n">
        <v>562276.34</v>
      </c>
      <c r="BC1321" s="69" t="inlineStr">
        <is>
          <t>Acquisition</t>
        </is>
      </c>
      <c r="BD1321" s="69" t="inlineStr">
        <is>
          <t>N</t>
        </is>
      </c>
      <c r="BE1321" s="71" t="n"/>
      <c r="BF1321" s="71" t="n"/>
      <c r="BG1321" s="71" t="n"/>
      <c r="BH1321" s="71" t="n">
        <v>0</v>
      </c>
      <c r="BI1321" s="71" t="n">
        <v>0</v>
      </c>
      <c r="BJ1321" s="69" t="inlineStr">
        <is>
          <t>N</t>
        </is>
      </c>
      <c r="BK1321" s="69" t="inlineStr">
        <is>
          <t>BJ's Wholesale Club</t>
        </is>
      </c>
      <c r="BL1321" s="75" t="n">
        <v>82.45999999999999</v>
      </c>
      <c r="BM1321" s="73" t="n">
        <v>49643</v>
      </c>
      <c r="BN1321" s="69" t="inlineStr">
        <is>
          <t>Marc Jacobowitz and Yerachmeal Jacobson</t>
        </is>
      </c>
      <c r="BO1321" s="69" t="inlineStr">
        <is>
          <t>Citigroup Global Markets</t>
        </is>
      </c>
      <c r="BP1321" s="69" t="inlineStr">
        <is>
          <t>Midland Loan Services</t>
        </is>
      </c>
      <c r="BQ1321" s="69" t="inlineStr">
        <is>
          <t>K-Star Asset Management LLC</t>
        </is>
      </c>
      <c r="BR1321" s="69" t="n"/>
      <c r="BS1321" s="73" t="n">
        <v>46273</v>
      </c>
      <c r="BU1321" s="76">
        <f>IF($C1321="","",IFERROR(INDEX(dmName,MATCH($C1321,dmID,0)),"Unmapped"))</f>
        <v/>
      </c>
      <c r="BV1321" s="76">
        <f>IF($C1321="","",IFERROR(INDEX(dmEntity,MATCH($C1321,dmID,0)),"Unmapped"))</f>
        <v/>
      </c>
      <c r="BW1321" s="77">
        <f>IF($C1321="","",IFERROR(INDEX(dmVintage,MATCH($C1321,dmID,0)),""))</f>
        <v/>
      </c>
      <c r="BX1321" s="78">
        <f>IFERROR(INDEX(dmInclude,MATCH($C1321,dmID,0)),0)</f>
        <v/>
      </c>
      <c r="BY1321" s="78">
        <f>IF(N($I1321)&gt;0,1,0)</f>
        <v/>
      </c>
      <c r="BZ1321" s="76">
        <f>IF($AJ1321="","Other / Leased Fee",IFERROR(INDEX(mapPTGroup,MATCH(LEFT(TRIM($AJ1321),2),mapPTCode,0)),"Other / Leased Fee"))</f>
        <v/>
      </c>
      <c r="CA1321" s="76">
        <f>IF(TRIM($AF1321&amp;"")="","NR",LEFT(TRIM($AF1321),2))</f>
        <v/>
      </c>
      <c r="CB1321" s="76">
        <f>IFERROR(LOOKUP(2,1/(LEFT(TRIM($AI1321&amp;""),LEN(mapRegion))=mapRegion),mapRegion),"Not Reported")</f>
        <v/>
      </c>
      <c r="CC1321" s="76">
        <f>IF($BY1321=0,"",IF(TRIM($W1321&amp;"")="REO","REO",IF(TRIM($W1321&amp;"")="FC","Foreclosure",IF(TRIM($W1321&amp;"")="90+","90+ Days Delinquent",IF(TRIM($W1321&amp;"")="60","60 Days Delinquent",IF(TRIM($W1321&amp;"")="30","30 Days Delinquent",IF($X1321="Non-Performing Matured Balloon","Non-Performing Matured Balloon",IF(OR($X1321="Late Payment But Less Than 30 Days Delinquent",LEFT($X1321&amp;"",20)="Payment Not Received"),"Late / In Grace (&lt;30 Days)",IF($X1321="Performing Matured Balloon","Performing Matured Balloon","Current")))))))))</f>
        <v/>
      </c>
      <c r="CD1321" s="78">
        <f>IF(OR($CC1321="REO",$CC1321="Foreclosure",$CC1321="90+ Days Delinquent",$CC1321="60 Days Delinquent",$CC1321="30 Days Delinquent",$CC1321="Non-Performing Matured Balloon"),1,0)</f>
        <v/>
      </c>
      <c r="CE1321" s="76">
        <f>IF($AB1321="Currently special serv","Currently Specially Serviced",IF($AB1321="Returned to master serv","Previously Specially Serviced","Never Specially Serviced"))</f>
        <v/>
      </c>
      <c r="CF1321" s="78">
        <f>IF($CE1321="Currently Specially Serviced",1,0)</f>
        <v/>
      </c>
      <c r="CG1321" s="76">
        <f>IF($AA1321="Yes","Currently on Watchlist",IF($AA1321="Previously","Previously on Watchlist","Never on Watchlist"))</f>
        <v/>
      </c>
      <c r="CH1321" s="78">
        <f>IF($CG1321="Currently on Watchlist",1,0)</f>
        <v/>
      </c>
      <c r="CI1321" s="76">
        <f>IF($Z1321="Full Defeasance","Fully Defeased",IF($Z1321="Portion Of Loan Previously Defeased","Partially Defeased",IF($Z1321="Defeasance Not Allowable","Not Defeased (Not Permitted)","Not Defeased")))</f>
        <v/>
      </c>
      <c r="CJ1321" s="78">
        <f>IF($CI1321="Fully Defeased",1,0)</f>
        <v/>
      </c>
      <c r="CK1321" s="76">
        <f>IF($R1321="IO","Full IO",IF(LEFT($R1321&amp;"",7)="IO then","Partial IO","Amortizing"))</f>
        <v/>
      </c>
      <c r="CL1321" s="78">
        <f>IF($CK1321="Full IO",1,0)</f>
        <v/>
      </c>
      <c r="CM1321" s="78">
        <f>IF($CK1321="Partial IO",1,0)</f>
        <v/>
      </c>
      <c r="CN1321" s="76">
        <f>IF(LEFT($F1321&amp;"",10)="SPLIT_LOAN","Pari Passu Split","Standalone")</f>
        <v/>
      </c>
      <c r="CO1321" s="78">
        <f>IF($CN1321="Pari Passu Split",1,0)</f>
        <v/>
      </c>
      <c r="CP1321" s="77">
        <f>IF(ISNUMBER($T1321),YEAR($T1321),"")</f>
        <v/>
      </c>
      <c r="CQ1321" s="79">
        <f>IF(ISNUMBER($V1321),$V1321,IF(ISNUMBER($U1321),$U1321,""))</f>
        <v/>
      </c>
      <c r="CR1321" s="77">
        <f>IF(ISNUMBER($CQ1321),YEAR($CQ1321),"")</f>
        <v/>
      </c>
      <c r="CS1321" s="78">
        <f>IF(ISNUMBER($M1321),MAX(0,$M1321),IF(TRIM($M1321&amp;"")="matured",0,""))</f>
        <v/>
      </c>
      <c r="CT1321" s="78">
        <f>IF(AND(ISNUMBER($CS1321),N($CS1321)&lt;=mMatWindow),1,0)</f>
        <v/>
      </c>
      <c r="CU1321" s="80">
        <f>IF(ISNUMBER($J1321),$J1321/100,"")</f>
        <v/>
      </c>
      <c r="CV1321" s="81">
        <f>IF(ISNUMBER($AQ1321),$AQ1321,"")</f>
        <v/>
      </c>
      <c r="CW1321" s="81">
        <f>IF(ISNUMBER($AR1321),$AR1321,"")</f>
        <v/>
      </c>
      <c r="CX1321" s="82">
        <f>IF(ISNUMBER($AS1321),$AS1321/100,"")</f>
        <v/>
      </c>
      <c r="CY1321" s="82">
        <f>IF(ISNUMBER($AT1321),$AT1321/100,"")</f>
        <v/>
      </c>
      <c r="CZ1321" s="82">
        <f>IF(ISNUMBER($AU1321),$AU1321/100,"")</f>
        <v/>
      </c>
      <c r="DA1321" s="82">
        <f>IF(ISNUMBER($AV1321),$AV1321/100,"")</f>
        <v/>
      </c>
      <c r="DB1321" s="82">
        <f>IF(ISNUMBER($AW1321),$AW1321/100,"")</f>
        <v/>
      </c>
      <c r="DC1321" s="82">
        <f>IF(ISNUMBER($AX1321),$AX1321/100,"")</f>
        <v/>
      </c>
      <c r="DD1321" s="77">
        <f>IFERROR(VALUE(LEFT(TRIM($AO1321&amp;""),4)),"")</f>
        <v/>
      </c>
      <c r="DE1321" s="78">
        <f>IF(AND($BY1321=1,$BX1321=1,OR(fDeal="All Deals",$BU1321=fDeal),OR(fEntity="All Entities",$BV1321=fEntity),OR(fPType="All Property Types",$BZ1321=fPType),OR(fDefeased="Include",$CJ1321=0)),1,0)</f>
        <v/>
      </c>
      <c r="DF1321" s="83">
        <f>$DE1321*N($I1321)</f>
        <v/>
      </c>
      <c r="DG1321" s="78">
        <f>IF($DE1321=1,IF(COUNTIFS($F$8:$F1321,$F1321,$DE$8:$DE1321,1)=1,1,0),0)</f>
        <v/>
      </c>
      <c r="DH1321" s="83">
        <f>IF($DG1321=1,SUMIFS($DF$8:$DF$1600,$F$8:$F$1600,$F1321),0)</f>
        <v/>
      </c>
      <c r="DI1321" s="78">
        <f>IF($DG1321=1,COUNTIFS($F$8:$F$1600,$F1321,$DE$8:$DE$1600,1),0)</f>
        <v/>
      </c>
      <c r="DJ1321" s="84">
        <f>IF($DG1321=1,$DH1321+(100000-ROW())/mTieBreak,0)</f>
        <v/>
      </c>
    </row>
    <row r="1322">
      <c r="B1322" s="68" t="n">
        <v>24</v>
      </c>
      <c r="C1322" s="69" t="inlineStr">
        <is>
          <t>CD17CD3</t>
        </is>
      </c>
      <c r="D1322" s="69" t="inlineStr">
        <is>
          <t>24.000</t>
        </is>
      </c>
      <c r="E1322" s="69" t="inlineStr">
        <is>
          <t>Plaza at the Pointe</t>
        </is>
      </c>
      <c r="F1322" s="69" t="inlineStr">
        <is>
          <t>LNCD17CD3-24.000</t>
        </is>
      </c>
      <c r="G1322" s="70" t="n"/>
      <c r="H1322" s="71" t="n">
        <v>16250000</v>
      </c>
      <c r="I1322" s="71" t="n">
        <v>0</v>
      </c>
      <c r="J1322" s="72" t="n">
        <v>3.9</v>
      </c>
      <c r="K1322" s="69" t="inlineStr">
        <is>
          <t>Fixed rate</t>
        </is>
      </c>
      <c r="L1322" s="68" t="n">
        <v>60</v>
      </c>
      <c r="M1322" s="68" t="n"/>
      <c r="N1322" s="68" t="n">
        <v>60</v>
      </c>
      <c r="O1322" s="68" t="n">
        <v>60</v>
      </c>
      <c r="P1322" s="68" t="n"/>
      <c r="Q1322" s="68" t="n"/>
      <c r="R1322" s="69" t="inlineStr">
        <is>
          <t>IO</t>
        </is>
      </c>
      <c r="S1322" s="69" t="inlineStr">
        <is>
          <t>Yes</t>
        </is>
      </c>
      <c r="T1322" s="73" t="n">
        <v>42705</v>
      </c>
      <c r="U1322" s="73" t="n">
        <v>44506</v>
      </c>
      <c r="V1322" s="73" t="n"/>
      <c r="W1322" s="69" t="n"/>
      <c r="X1322" s="69" t="inlineStr">
        <is>
          <t>Current</t>
        </is>
      </c>
      <c r="Y1322" s="68" t="n"/>
      <c r="Z1322" s="69" t="inlineStr">
        <is>
          <t>No Defeasance Occurred</t>
        </is>
      </c>
      <c r="AA1322" s="69" t="inlineStr">
        <is>
          <t>Previously</t>
        </is>
      </c>
      <c r="AB1322" s="69" t="inlineStr">
        <is>
          <t>Never special serv</t>
        </is>
      </c>
      <c r="AC1322" s="73" t="n"/>
      <c r="AD1322" s="69" t="n"/>
      <c r="AE1322" s="69" t="n"/>
      <c r="AF1322" s="69" t="inlineStr">
        <is>
          <t>PA</t>
        </is>
      </c>
      <c r="AG1322" s="69" t="inlineStr">
        <is>
          <t>North Fayette</t>
        </is>
      </c>
      <c r="AH1322" s="69" t="inlineStr">
        <is>
          <t>Pittsburgh, PA</t>
        </is>
      </c>
      <c r="AI1322" s="69" t="inlineStr">
        <is>
          <t>Northeast / Mid-Atlantic</t>
        </is>
      </c>
      <c r="AJ1322" s="69" t="inlineStr">
        <is>
          <t>RT</t>
        </is>
      </c>
      <c r="AK1322" s="69" t="inlineStr">
        <is>
          <t>Anchored</t>
        </is>
      </c>
      <c r="AL1322" s="68" t="n">
        <v>1</v>
      </c>
      <c r="AM1322" s="68" t="n"/>
      <c r="AN1322" s="68" t="n">
        <v>149943</v>
      </c>
      <c r="AO1322" s="69" t="inlineStr">
        <is>
          <t>1998</t>
        </is>
      </c>
      <c r="AP1322" s="70" t="n">
        <v>1998</v>
      </c>
      <c r="AQ1322" s="74" t="n">
        <v>2.86</v>
      </c>
      <c r="AR1322" s="74" t="n">
        <v>2.41</v>
      </c>
      <c r="AS1322" s="74" t="n">
        <v>65</v>
      </c>
      <c r="AT1322" s="74" t="n"/>
      <c r="AU1322" s="74" t="n">
        <v>65</v>
      </c>
      <c r="AV1322" s="74" t="n">
        <v>11.289275385</v>
      </c>
      <c r="AW1322" s="74" t="n"/>
      <c r="AX1322" s="75" t="n">
        <v>83</v>
      </c>
      <c r="AY1322" s="71" t="n">
        <v>25000000</v>
      </c>
      <c r="AZ1322" s="71" t="n">
        <v>25000000</v>
      </c>
      <c r="BA1322" s="71" t="n">
        <v>1834507.25</v>
      </c>
      <c r="BB1322" s="71" t="n">
        <v>387288.23</v>
      </c>
      <c r="BC1322" s="69" t="inlineStr">
        <is>
          <t>Acquisition</t>
        </is>
      </c>
      <c r="BD1322" s="69" t="inlineStr">
        <is>
          <t>N</t>
        </is>
      </c>
      <c r="BE1322" s="71" t="n"/>
      <c r="BF1322" s="71" t="n"/>
      <c r="BG1322" s="71" t="n"/>
      <c r="BH1322" s="71" t="n">
        <v>0</v>
      </c>
      <c r="BI1322" s="71" t="n">
        <v>0</v>
      </c>
      <c r="BJ1322" s="69" t="inlineStr">
        <is>
          <t>N</t>
        </is>
      </c>
      <c r="BK1322" s="69" t="inlineStr">
        <is>
          <t>Bed Bath &amp; Beyond</t>
        </is>
      </c>
      <c r="BL1322" s="75" t="n">
        <v>18.84</v>
      </c>
      <c r="BM1322" s="73" t="n">
        <v>44592</v>
      </c>
      <c r="BN1322" s="69" t="inlineStr">
        <is>
          <t>M &amp; J Wilkow, Ltd.</t>
        </is>
      </c>
      <c r="BO1322" s="69" t="inlineStr">
        <is>
          <t>GACC</t>
        </is>
      </c>
      <c r="BP1322" s="69" t="inlineStr">
        <is>
          <t>Midland Loan Services</t>
        </is>
      </c>
      <c r="BQ1322" s="69" t="inlineStr">
        <is>
          <t>Midland Loan Services</t>
        </is>
      </c>
      <c r="BR1322" s="69" t="inlineStr">
        <is>
          <t>Payoff Prior To Maturity</t>
        </is>
      </c>
      <c r="BS1322" s="73" t="n">
        <v>44475</v>
      </c>
      <c r="BU1322" s="76">
        <f>IF($C1322="","",IFERROR(INDEX(dmName,MATCH($C1322,dmID,0)),"Unmapped"))</f>
        <v/>
      </c>
      <c r="BV1322" s="76">
        <f>IF($C1322="","",IFERROR(INDEX(dmEntity,MATCH($C1322,dmID,0)),"Unmapped"))</f>
        <v/>
      </c>
      <c r="BW1322" s="77">
        <f>IF($C1322="","",IFERROR(INDEX(dmVintage,MATCH($C1322,dmID,0)),""))</f>
        <v/>
      </c>
      <c r="BX1322" s="78">
        <f>IFERROR(INDEX(dmInclude,MATCH($C1322,dmID,0)),0)</f>
        <v/>
      </c>
      <c r="BY1322" s="78">
        <f>IF(N($I1322)&gt;0,1,0)</f>
        <v/>
      </c>
      <c r="BZ1322" s="76">
        <f>IF($AJ1322="","Other / Leased Fee",IFERROR(INDEX(mapPTGroup,MATCH(LEFT(TRIM($AJ1322),2),mapPTCode,0)),"Other / Leased Fee"))</f>
        <v/>
      </c>
      <c r="CA1322" s="76">
        <f>IF(TRIM($AF1322&amp;"")="","NR",LEFT(TRIM($AF1322),2))</f>
        <v/>
      </c>
      <c r="CB1322" s="76">
        <f>IFERROR(LOOKUP(2,1/(LEFT(TRIM($AI1322&amp;""),LEN(mapRegion))=mapRegion),mapRegion),"Not Reported")</f>
        <v/>
      </c>
      <c r="CC1322" s="76">
        <f>IF($BY1322=0,"",IF(TRIM($W1322&amp;"")="REO","REO",IF(TRIM($W1322&amp;"")="FC","Foreclosure",IF(TRIM($W1322&amp;"")="90+","90+ Days Delinquent",IF(TRIM($W1322&amp;"")="60","60 Days Delinquent",IF(TRIM($W1322&amp;"")="30","30 Days Delinquent",IF($X1322="Non-Performing Matured Balloon","Non-Performing Matured Balloon",IF(OR($X1322="Late Payment But Less Than 30 Days Delinquent",LEFT($X1322&amp;"",20)="Payment Not Received"),"Late / In Grace (&lt;30 Days)",IF($X1322="Performing Matured Balloon","Performing Matured Balloon","Current")))))))))</f>
        <v/>
      </c>
      <c r="CD1322" s="78">
        <f>IF(OR($CC1322="REO",$CC1322="Foreclosure",$CC1322="90+ Days Delinquent",$CC1322="60 Days Delinquent",$CC1322="30 Days Delinquent",$CC1322="Non-Performing Matured Balloon"),1,0)</f>
        <v/>
      </c>
      <c r="CE1322" s="76">
        <f>IF($AB1322="Currently special serv","Currently Specially Serviced",IF($AB1322="Returned to master serv","Previously Specially Serviced","Never Specially Serviced"))</f>
        <v/>
      </c>
      <c r="CF1322" s="78">
        <f>IF($CE1322="Currently Specially Serviced",1,0)</f>
        <v/>
      </c>
      <c r="CG1322" s="76">
        <f>IF($AA1322="Yes","Currently on Watchlist",IF($AA1322="Previously","Previously on Watchlist","Never on Watchlist"))</f>
        <v/>
      </c>
      <c r="CH1322" s="78">
        <f>IF($CG1322="Currently on Watchlist",1,0)</f>
        <v/>
      </c>
      <c r="CI1322" s="76">
        <f>IF($Z1322="Full Defeasance","Fully Defeased",IF($Z1322="Portion Of Loan Previously Defeased","Partially Defeased",IF($Z1322="Defeasance Not Allowable","Not Defeased (Not Permitted)","Not Defeased")))</f>
        <v/>
      </c>
      <c r="CJ1322" s="78">
        <f>IF($CI1322="Fully Defeased",1,0)</f>
        <v/>
      </c>
      <c r="CK1322" s="76">
        <f>IF($R1322="IO","Full IO",IF(LEFT($R1322&amp;"",7)="IO then","Partial IO","Amortizing"))</f>
        <v/>
      </c>
      <c r="CL1322" s="78">
        <f>IF($CK1322="Full IO",1,0)</f>
        <v/>
      </c>
      <c r="CM1322" s="78">
        <f>IF($CK1322="Partial IO",1,0)</f>
        <v/>
      </c>
      <c r="CN1322" s="76">
        <f>IF(LEFT($F1322&amp;"",10)="SPLIT_LOAN","Pari Passu Split","Standalone")</f>
        <v/>
      </c>
      <c r="CO1322" s="78">
        <f>IF($CN1322="Pari Passu Split",1,0)</f>
        <v/>
      </c>
      <c r="CP1322" s="77">
        <f>IF(ISNUMBER($T1322),YEAR($T1322),"")</f>
        <v/>
      </c>
      <c r="CQ1322" s="79">
        <f>IF(ISNUMBER($V1322),$V1322,IF(ISNUMBER($U1322),$U1322,""))</f>
        <v/>
      </c>
      <c r="CR1322" s="77">
        <f>IF(ISNUMBER($CQ1322),YEAR($CQ1322),"")</f>
        <v/>
      </c>
      <c r="CS1322" s="78">
        <f>IF(ISNUMBER($M1322),MAX(0,$M1322),IF(TRIM($M1322&amp;"")="matured",0,""))</f>
        <v/>
      </c>
      <c r="CT1322" s="78">
        <f>IF(AND(ISNUMBER($CS1322),N($CS1322)&lt;=mMatWindow),1,0)</f>
        <v/>
      </c>
      <c r="CU1322" s="80">
        <f>IF(ISNUMBER($J1322),$J1322/100,"")</f>
        <v/>
      </c>
      <c r="CV1322" s="81">
        <f>IF(ISNUMBER($AQ1322),$AQ1322,"")</f>
        <v/>
      </c>
      <c r="CW1322" s="81">
        <f>IF(ISNUMBER($AR1322),$AR1322,"")</f>
        <v/>
      </c>
      <c r="CX1322" s="82">
        <f>IF(ISNUMBER($AS1322),$AS1322/100,"")</f>
        <v/>
      </c>
      <c r="CY1322" s="82">
        <f>IF(ISNUMBER($AT1322),$AT1322/100,"")</f>
        <v/>
      </c>
      <c r="CZ1322" s="82">
        <f>IF(ISNUMBER($AU1322),$AU1322/100,"")</f>
        <v/>
      </c>
      <c r="DA1322" s="82">
        <f>IF(ISNUMBER($AV1322),$AV1322/100,"")</f>
        <v/>
      </c>
      <c r="DB1322" s="82">
        <f>IF(ISNUMBER($AW1322),$AW1322/100,"")</f>
        <v/>
      </c>
      <c r="DC1322" s="82">
        <f>IF(ISNUMBER($AX1322),$AX1322/100,"")</f>
        <v/>
      </c>
      <c r="DD1322" s="77">
        <f>IFERROR(VALUE(LEFT(TRIM($AO1322&amp;""),4)),"")</f>
        <v/>
      </c>
      <c r="DE1322" s="78">
        <f>IF(AND($BY1322=1,$BX1322=1,OR(fDeal="All Deals",$BU1322=fDeal),OR(fEntity="All Entities",$BV1322=fEntity),OR(fPType="All Property Types",$BZ1322=fPType),OR(fDefeased="Include",$CJ1322=0)),1,0)</f>
        <v/>
      </c>
      <c r="DF1322" s="83">
        <f>$DE1322*N($I1322)</f>
        <v/>
      </c>
      <c r="DG1322" s="78">
        <f>IF($DE1322=1,IF(COUNTIFS($F$8:$F1322,$F1322,$DE$8:$DE1322,1)=1,1,0),0)</f>
        <v/>
      </c>
      <c r="DH1322" s="83">
        <f>IF($DG1322=1,SUMIFS($DF$8:$DF$1600,$F$8:$F$1600,$F1322),0)</f>
        <v/>
      </c>
      <c r="DI1322" s="78">
        <f>IF($DG1322=1,COUNTIFS($F$8:$F$1600,$F1322,$DE$8:$DE$1600,1),0)</f>
        <v/>
      </c>
      <c r="DJ1322" s="84">
        <f>IF($DG1322=1,$DH1322+(100000-ROW())/mTieBreak,0)</f>
        <v/>
      </c>
    </row>
    <row r="1323">
      <c r="B1323" s="68" t="n">
        <v>25</v>
      </c>
      <c r="C1323" s="69" t="inlineStr">
        <is>
          <t>CD17CD3</t>
        </is>
      </c>
      <c r="D1323" s="69" t="inlineStr">
        <is>
          <t>25.000</t>
        </is>
      </c>
      <c r="E1323" s="69" t="inlineStr">
        <is>
          <t>Melrose Place</t>
        </is>
      </c>
      <c r="F1323" s="69" t="inlineStr">
        <is>
          <t>LNCD17CD3-25.000</t>
        </is>
      </c>
      <c r="G1323" s="70" t="n"/>
      <c r="H1323" s="71" t="n">
        <v>16000000</v>
      </c>
      <c r="I1323" s="71" t="n">
        <v>16000000</v>
      </c>
      <c r="J1323" s="72" t="n">
        <v>4.452</v>
      </c>
      <c r="K1323" s="69" t="inlineStr">
        <is>
          <t>Fixed rate</t>
        </is>
      </c>
      <c r="L1323" s="68" t="n">
        <v>120</v>
      </c>
      <c r="M1323" s="68" t="n">
        <v>3</v>
      </c>
      <c r="N1323" s="68" t="n">
        <v>120</v>
      </c>
      <c r="O1323" s="68" t="n">
        <v>120</v>
      </c>
      <c r="P1323" s="68" t="n">
        <v>3</v>
      </c>
      <c r="Q1323" s="68" t="n">
        <v>117</v>
      </c>
      <c r="R1323" s="69" t="inlineStr">
        <is>
          <t>IO</t>
        </is>
      </c>
      <c r="S1323" s="69" t="inlineStr">
        <is>
          <t>Yes</t>
        </is>
      </c>
      <c r="T1323" s="73" t="n">
        <v>42705</v>
      </c>
      <c r="U1323" s="73" t="n">
        <v>46362</v>
      </c>
      <c r="V1323" s="73" t="n"/>
      <c r="W1323" s="69" t="n"/>
      <c r="X1323" s="69" t="inlineStr">
        <is>
          <t>Current</t>
        </is>
      </c>
      <c r="Y1323" s="68" t="n"/>
      <c r="Z1323" s="69" t="inlineStr">
        <is>
          <t>No Defeasance Occurred</t>
        </is>
      </c>
      <c r="AA1323" s="69" t="inlineStr">
        <is>
          <t>Previously</t>
        </is>
      </c>
      <c r="AB1323" s="69" t="inlineStr">
        <is>
          <t>Never special serv</t>
        </is>
      </c>
      <c r="AC1323" s="73" t="n"/>
      <c r="AD1323" s="69" t="n"/>
      <c r="AE1323" s="69" t="n"/>
      <c r="AF1323" s="69" t="inlineStr">
        <is>
          <t>CA</t>
        </is>
      </c>
      <c r="AG1323" s="69" t="inlineStr">
        <is>
          <t>Los Angeles</t>
        </is>
      </c>
      <c r="AH1323" s="69" t="inlineStr">
        <is>
          <t>Los Angeles-Long Beach-Anaheim, CA</t>
        </is>
      </c>
      <c r="AI1323" s="69" t="inlineStr">
        <is>
          <t>West / Pacific South</t>
        </is>
      </c>
      <c r="AJ1323" s="69" t="inlineStr">
        <is>
          <t>RT</t>
        </is>
      </c>
      <c r="AK1323" s="69" t="inlineStr">
        <is>
          <t>Shadow Anchored</t>
        </is>
      </c>
      <c r="AL1323" s="68" t="n">
        <v>1</v>
      </c>
      <c r="AM1323" s="68" t="n"/>
      <c r="AN1323" s="68" t="n">
        <v>5281</v>
      </c>
      <c r="AO1323" s="69" t="inlineStr">
        <is>
          <t>1948</t>
        </is>
      </c>
      <c r="AP1323" s="70" t="n">
        <v>2016</v>
      </c>
      <c r="AQ1323" s="74" t="n">
        <v>1.76</v>
      </c>
      <c r="AR1323" s="74" t="n">
        <v>2.23</v>
      </c>
      <c r="AS1323" s="74" t="n">
        <v>53.3</v>
      </c>
      <c r="AT1323" s="74" t="n">
        <v>53.33</v>
      </c>
      <c r="AU1323" s="74" t="n">
        <v>53.3</v>
      </c>
      <c r="AV1323" s="74" t="n">
        <v>7.929733687</v>
      </c>
      <c r="AW1323" s="74" t="n">
        <v>10.084544875</v>
      </c>
      <c r="AX1323" s="75" t="n">
        <v>100</v>
      </c>
      <c r="AY1323" s="71" t="n">
        <v>30000000</v>
      </c>
      <c r="AZ1323" s="71" t="n">
        <v>30000000</v>
      </c>
      <c r="BA1323" s="71" t="n">
        <v>1268757.39</v>
      </c>
      <c r="BB1323" s="71" t="n">
        <v>1613527.18</v>
      </c>
      <c r="BC1323" s="69" t="inlineStr">
        <is>
          <t>Refinance</t>
        </is>
      </c>
      <c r="BD1323" s="69" t="inlineStr">
        <is>
          <t>N</t>
        </is>
      </c>
      <c r="BE1323" s="71" t="n"/>
      <c r="BF1323" s="71" t="n"/>
      <c r="BG1323" s="71" t="n"/>
      <c r="BH1323" s="71" t="n">
        <v>0</v>
      </c>
      <c r="BI1323" s="71" t="n">
        <v>0</v>
      </c>
      <c r="BJ1323" s="69" t="inlineStr">
        <is>
          <t>N</t>
        </is>
      </c>
      <c r="BK1323" s="69" t="inlineStr">
        <is>
          <t>Balmain Los Angeles LLC</t>
        </is>
      </c>
      <c r="BL1323" s="75" t="n">
        <v>58.7</v>
      </c>
      <c r="BM1323" s="73" t="n">
        <v>46477</v>
      </c>
      <c r="BN1323" s="69" t="inlineStr">
        <is>
          <t>Jason Illoulian and Michael Shabani</t>
        </is>
      </c>
      <c r="BO1323" s="69" t="inlineStr">
        <is>
          <t>GACC</t>
        </is>
      </c>
      <c r="BP1323" s="69" t="inlineStr">
        <is>
          <t>Midland Loan Services</t>
        </is>
      </c>
      <c r="BQ1323" s="69" t="inlineStr">
        <is>
          <t>K-Star Asset Management LLC</t>
        </is>
      </c>
      <c r="BR1323" s="69" t="n"/>
      <c r="BS1323" s="73" t="n">
        <v>46273</v>
      </c>
      <c r="BU1323" s="76">
        <f>IF($C1323="","",IFERROR(INDEX(dmName,MATCH($C1323,dmID,0)),"Unmapped"))</f>
        <v/>
      </c>
      <c r="BV1323" s="76">
        <f>IF($C1323="","",IFERROR(INDEX(dmEntity,MATCH($C1323,dmID,0)),"Unmapped"))</f>
        <v/>
      </c>
      <c r="BW1323" s="77">
        <f>IF($C1323="","",IFERROR(INDEX(dmVintage,MATCH($C1323,dmID,0)),""))</f>
        <v/>
      </c>
      <c r="BX1323" s="78">
        <f>IFERROR(INDEX(dmInclude,MATCH($C1323,dmID,0)),0)</f>
        <v/>
      </c>
      <c r="BY1323" s="78">
        <f>IF(N($I1323)&gt;0,1,0)</f>
        <v/>
      </c>
      <c r="BZ1323" s="76">
        <f>IF($AJ1323="","Other / Leased Fee",IFERROR(INDEX(mapPTGroup,MATCH(LEFT(TRIM($AJ1323),2),mapPTCode,0)),"Other / Leased Fee"))</f>
        <v/>
      </c>
      <c r="CA1323" s="76">
        <f>IF(TRIM($AF1323&amp;"")="","NR",LEFT(TRIM($AF1323),2))</f>
        <v/>
      </c>
      <c r="CB1323" s="76">
        <f>IFERROR(LOOKUP(2,1/(LEFT(TRIM($AI1323&amp;""),LEN(mapRegion))=mapRegion),mapRegion),"Not Reported")</f>
        <v/>
      </c>
      <c r="CC1323" s="76">
        <f>IF($BY1323=0,"",IF(TRIM($W1323&amp;"")="REO","REO",IF(TRIM($W1323&amp;"")="FC","Foreclosure",IF(TRIM($W1323&amp;"")="90+","90+ Days Delinquent",IF(TRIM($W1323&amp;"")="60","60 Days Delinquent",IF(TRIM($W1323&amp;"")="30","30 Days Delinquent",IF($X1323="Non-Performing Matured Balloon","Non-Performing Matured Balloon",IF(OR($X1323="Late Payment But Less Than 30 Days Delinquent",LEFT($X1323&amp;"",20)="Payment Not Received"),"Late / In Grace (&lt;30 Days)",IF($X1323="Performing Matured Balloon","Performing Matured Balloon","Current")))))))))</f>
        <v/>
      </c>
      <c r="CD1323" s="78">
        <f>IF(OR($CC1323="REO",$CC1323="Foreclosure",$CC1323="90+ Days Delinquent",$CC1323="60 Days Delinquent",$CC1323="30 Days Delinquent",$CC1323="Non-Performing Matured Balloon"),1,0)</f>
        <v/>
      </c>
      <c r="CE1323" s="76">
        <f>IF($AB1323="Currently special serv","Currently Specially Serviced",IF($AB1323="Returned to master serv","Previously Specially Serviced","Never Specially Serviced"))</f>
        <v/>
      </c>
      <c r="CF1323" s="78">
        <f>IF($CE1323="Currently Specially Serviced",1,0)</f>
        <v/>
      </c>
      <c r="CG1323" s="76">
        <f>IF($AA1323="Yes","Currently on Watchlist",IF($AA1323="Previously","Previously on Watchlist","Never on Watchlist"))</f>
        <v/>
      </c>
      <c r="CH1323" s="78">
        <f>IF($CG1323="Currently on Watchlist",1,0)</f>
        <v/>
      </c>
      <c r="CI1323" s="76">
        <f>IF($Z1323="Full Defeasance","Fully Defeased",IF($Z1323="Portion Of Loan Previously Defeased","Partially Defeased",IF($Z1323="Defeasance Not Allowable","Not Defeased (Not Permitted)","Not Defeased")))</f>
        <v/>
      </c>
      <c r="CJ1323" s="78">
        <f>IF($CI1323="Fully Defeased",1,0)</f>
        <v/>
      </c>
      <c r="CK1323" s="76">
        <f>IF($R1323="IO","Full IO",IF(LEFT($R1323&amp;"",7)="IO then","Partial IO","Amortizing"))</f>
        <v/>
      </c>
      <c r="CL1323" s="78">
        <f>IF($CK1323="Full IO",1,0)</f>
        <v/>
      </c>
      <c r="CM1323" s="78">
        <f>IF($CK1323="Partial IO",1,0)</f>
        <v/>
      </c>
      <c r="CN1323" s="76">
        <f>IF(LEFT($F1323&amp;"",10)="SPLIT_LOAN","Pari Passu Split","Standalone")</f>
        <v/>
      </c>
      <c r="CO1323" s="78">
        <f>IF($CN1323="Pari Passu Split",1,0)</f>
        <v/>
      </c>
      <c r="CP1323" s="77">
        <f>IF(ISNUMBER($T1323),YEAR($T1323),"")</f>
        <v/>
      </c>
      <c r="CQ1323" s="79">
        <f>IF(ISNUMBER($V1323),$V1323,IF(ISNUMBER($U1323),$U1323,""))</f>
        <v/>
      </c>
      <c r="CR1323" s="77">
        <f>IF(ISNUMBER($CQ1323),YEAR($CQ1323),"")</f>
        <v/>
      </c>
      <c r="CS1323" s="78">
        <f>IF(ISNUMBER($M1323),MAX(0,$M1323),IF(TRIM($M1323&amp;"")="matured",0,""))</f>
        <v/>
      </c>
      <c r="CT1323" s="78">
        <f>IF(AND(ISNUMBER($CS1323),N($CS1323)&lt;=mMatWindow),1,0)</f>
        <v/>
      </c>
      <c r="CU1323" s="80">
        <f>IF(ISNUMBER($J1323),$J1323/100,"")</f>
        <v/>
      </c>
      <c r="CV1323" s="81">
        <f>IF(ISNUMBER($AQ1323),$AQ1323,"")</f>
        <v/>
      </c>
      <c r="CW1323" s="81">
        <f>IF(ISNUMBER($AR1323),$AR1323,"")</f>
        <v/>
      </c>
      <c r="CX1323" s="82">
        <f>IF(ISNUMBER($AS1323),$AS1323/100,"")</f>
        <v/>
      </c>
      <c r="CY1323" s="82">
        <f>IF(ISNUMBER($AT1323),$AT1323/100,"")</f>
        <v/>
      </c>
      <c r="CZ1323" s="82">
        <f>IF(ISNUMBER($AU1323),$AU1323/100,"")</f>
        <v/>
      </c>
      <c r="DA1323" s="82">
        <f>IF(ISNUMBER($AV1323),$AV1323/100,"")</f>
        <v/>
      </c>
      <c r="DB1323" s="82">
        <f>IF(ISNUMBER($AW1323),$AW1323/100,"")</f>
        <v/>
      </c>
      <c r="DC1323" s="82">
        <f>IF(ISNUMBER($AX1323),$AX1323/100,"")</f>
        <v/>
      </c>
      <c r="DD1323" s="77">
        <f>IFERROR(VALUE(LEFT(TRIM($AO1323&amp;""),4)),"")</f>
        <v/>
      </c>
      <c r="DE1323" s="78">
        <f>IF(AND($BY1323=1,$BX1323=1,OR(fDeal="All Deals",$BU1323=fDeal),OR(fEntity="All Entities",$BV1323=fEntity),OR(fPType="All Property Types",$BZ1323=fPType),OR(fDefeased="Include",$CJ1323=0)),1,0)</f>
        <v/>
      </c>
      <c r="DF1323" s="83">
        <f>$DE1323*N($I1323)</f>
        <v/>
      </c>
      <c r="DG1323" s="78">
        <f>IF($DE1323=1,IF(COUNTIFS($F$8:$F1323,$F1323,$DE$8:$DE1323,1)=1,1,0),0)</f>
        <v/>
      </c>
      <c r="DH1323" s="83">
        <f>IF($DG1323=1,SUMIFS($DF$8:$DF$1600,$F$8:$F$1600,$F1323),0)</f>
        <v/>
      </c>
      <c r="DI1323" s="78">
        <f>IF($DG1323=1,COUNTIFS($F$8:$F$1600,$F1323,$DE$8:$DE$1600,1),0)</f>
        <v/>
      </c>
      <c r="DJ1323" s="84">
        <f>IF($DG1323=1,$DH1323+(100000-ROW())/mTieBreak,0)</f>
        <v/>
      </c>
    </row>
    <row r="1324">
      <c r="B1324" s="68" t="n">
        <v>26</v>
      </c>
      <c r="C1324" s="69" t="inlineStr">
        <is>
          <t>CD17CD3</t>
        </is>
      </c>
      <c r="D1324" s="69" t="inlineStr">
        <is>
          <t>26.000</t>
        </is>
      </c>
      <c r="E1324" s="69" t="inlineStr">
        <is>
          <t>Patriot Crossing</t>
        </is>
      </c>
      <c r="F1324" s="69" t="inlineStr">
        <is>
          <t>LNCD17CD3-26.000</t>
        </is>
      </c>
      <c r="G1324" s="70" t="n"/>
      <c r="H1324" s="71" t="n">
        <v>15000000</v>
      </c>
      <c r="I1324" s="71" t="n">
        <v>0</v>
      </c>
      <c r="J1324" s="72" t="n">
        <v>5.21</v>
      </c>
      <c r="K1324" s="69" t="inlineStr">
        <is>
          <t>Fixed rate</t>
        </is>
      </c>
      <c r="L1324" s="68" t="n">
        <v>60</v>
      </c>
      <c r="M1324" s="68" t="n"/>
      <c r="N1324" s="68" t="n">
        <v>372</v>
      </c>
      <c r="O1324" s="68" t="n">
        <v>12</v>
      </c>
      <c r="P1324" s="68" t="n"/>
      <c r="Q1324" s="68" t="n"/>
      <c r="R1324" s="69" t="inlineStr">
        <is>
          <t>IO then Amort</t>
        </is>
      </c>
      <c r="S1324" s="69" t="inlineStr">
        <is>
          <t>No</t>
        </is>
      </c>
      <c r="T1324" s="73" t="n">
        <v>42644</v>
      </c>
      <c r="U1324" s="73" t="n">
        <v>44475</v>
      </c>
      <c r="V1324" s="73" t="n"/>
      <c r="W1324" s="69" t="n"/>
      <c r="X1324" s="69" t="inlineStr">
        <is>
          <t>Current</t>
        </is>
      </c>
      <c r="Y1324" s="68" t="n"/>
      <c r="Z1324" s="69" t="inlineStr">
        <is>
          <t>Full Defeasance</t>
        </is>
      </c>
      <c r="AA1324" s="69" t="n"/>
      <c r="AB1324" s="69" t="inlineStr">
        <is>
          <t>Never special serv</t>
        </is>
      </c>
      <c r="AC1324" s="73" t="n"/>
      <c r="AD1324" s="69" t="n"/>
      <c r="AE1324" s="69" t="n"/>
      <c r="AF1324" s="69" t="inlineStr">
        <is>
          <t>KY</t>
        </is>
      </c>
      <c r="AG1324" s="69" t="inlineStr">
        <is>
          <t>Louisville</t>
        </is>
      </c>
      <c r="AH1324" s="69" t="inlineStr">
        <is>
          <t>Louisville/Jefferson County, KY-IN</t>
        </is>
      </c>
      <c r="AI1324" s="69" t="inlineStr">
        <is>
          <t>South / Central East</t>
        </is>
      </c>
      <c r="AJ1324" s="69" t="inlineStr">
        <is>
          <t>MF</t>
        </is>
      </c>
      <c r="AK1324" s="69" t="inlineStr">
        <is>
          <t>Garden</t>
        </is>
      </c>
      <c r="AL1324" s="68" t="n">
        <v>1</v>
      </c>
      <c r="AM1324" s="68" t="n">
        <v>362</v>
      </c>
      <c r="AN1324" s="68" t="n"/>
      <c r="AO1324" s="69" t="inlineStr">
        <is>
          <t>1970-1972</t>
        </is>
      </c>
      <c r="AP1324" s="70" t="n">
        <v>2016</v>
      </c>
      <c r="AQ1324" s="74" t="n">
        <v>1.29</v>
      </c>
      <c r="AR1324" s="74" t="n">
        <v>1.3</v>
      </c>
      <c r="AS1324" s="74" t="n">
        <v>74.09999999999999</v>
      </c>
      <c r="AT1324" s="74" t="n"/>
      <c r="AU1324" s="74" t="n">
        <v>69.8</v>
      </c>
      <c r="AV1324" s="74" t="n">
        <v>8.534129399999999</v>
      </c>
      <c r="AW1324" s="74" t="n"/>
      <c r="AX1324" s="75" t="n">
        <v>95</v>
      </c>
      <c r="AY1324" s="71" t="n">
        <v>20250000</v>
      </c>
      <c r="AZ1324" s="71" t="n">
        <v>20250000</v>
      </c>
      <c r="BA1324" s="71" t="n">
        <v>1280119.41</v>
      </c>
      <c r="BB1324" s="71" t="n">
        <v>1288711.48</v>
      </c>
      <c r="BC1324" s="69" t="inlineStr">
        <is>
          <t>Refinance</t>
        </is>
      </c>
      <c r="BD1324" s="69" t="inlineStr">
        <is>
          <t>N</t>
        </is>
      </c>
      <c r="BE1324" s="71" t="n"/>
      <c r="BF1324" s="71" t="n"/>
      <c r="BG1324" s="71" t="n"/>
      <c r="BH1324" s="71" t="n">
        <v>0</v>
      </c>
      <c r="BI1324" s="71" t="n">
        <v>0</v>
      </c>
      <c r="BJ1324" s="69" t="inlineStr">
        <is>
          <t>N</t>
        </is>
      </c>
      <c r="BK1324" s="69" t="n"/>
      <c r="BL1324" s="75" t="n"/>
      <c r="BM1324" s="73" t="n"/>
      <c r="BN1324" s="69" t="inlineStr">
        <is>
          <t>A. Brandon Denton and Thomas J. Floyd</t>
        </is>
      </c>
      <c r="BO1324" s="69" t="inlineStr">
        <is>
          <t>GACC</t>
        </is>
      </c>
      <c r="BP1324" s="69" t="inlineStr">
        <is>
          <t>Midland Loan Services</t>
        </is>
      </c>
      <c r="BQ1324" s="69" t="inlineStr">
        <is>
          <t>Midland Loan Services</t>
        </is>
      </c>
      <c r="BR1324" s="69" t="inlineStr">
        <is>
          <t>Payoff Prior To Maturity</t>
        </is>
      </c>
      <c r="BS1324" s="73" t="n">
        <v>44383</v>
      </c>
      <c r="BU1324" s="76">
        <f>IF($C1324="","",IFERROR(INDEX(dmName,MATCH($C1324,dmID,0)),"Unmapped"))</f>
        <v/>
      </c>
      <c r="BV1324" s="76">
        <f>IF($C1324="","",IFERROR(INDEX(dmEntity,MATCH($C1324,dmID,0)),"Unmapped"))</f>
        <v/>
      </c>
      <c r="BW1324" s="77">
        <f>IF($C1324="","",IFERROR(INDEX(dmVintage,MATCH($C1324,dmID,0)),""))</f>
        <v/>
      </c>
      <c r="BX1324" s="78">
        <f>IFERROR(INDEX(dmInclude,MATCH($C1324,dmID,0)),0)</f>
        <v/>
      </c>
      <c r="BY1324" s="78">
        <f>IF(N($I1324)&gt;0,1,0)</f>
        <v/>
      </c>
      <c r="BZ1324" s="76">
        <f>IF($AJ1324="","Other / Leased Fee",IFERROR(INDEX(mapPTGroup,MATCH(LEFT(TRIM($AJ1324),2),mapPTCode,0)),"Other / Leased Fee"))</f>
        <v/>
      </c>
      <c r="CA1324" s="76">
        <f>IF(TRIM($AF1324&amp;"")="","NR",LEFT(TRIM($AF1324),2))</f>
        <v/>
      </c>
      <c r="CB1324" s="76">
        <f>IFERROR(LOOKUP(2,1/(LEFT(TRIM($AI1324&amp;""),LEN(mapRegion))=mapRegion),mapRegion),"Not Reported")</f>
        <v/>
      </c>
      <c r="CC1324" s="76">
        <f>IF($BY1324=0,"",IF(TRIM($W1324&amp;"")="REO","REO",IF(TRIM($W1324&amp;"")="FC","Foreclosure",IF(TRIM($W1324&amp;"")="90+","90+ Days Delinquent",IF(TRIM($W1324&amp;"")="60","60 Days Delinquent",IF(TRIM($W1324&amp;"")="30","30 Days Delinquent",IF($X1324="Non-Performing Matured Balloon","Non-Performing Matured Balloon",IF(OR($X1324="Late Payment But Less Than 30 Days Delinquent",LEFT($X1324&amp;"",20)="Payment Not Received"),"Late / In Grace (&lt;30 Days)",IF($X1324="Performing Matured Balloon","Performing Matured Balloon","Current")))))))))</f>
        <v/>
      </c>
      <c r="CD1324" s="78">
        <f>IF(OR($CC1324="REO",$CC1324="Foreclosure",$CC1324="90+ Days Delinquent",$CC1324="60 Days Delinquent",$CC1324="30 Days Delinquent",$CC1324="Non-Performing Matured Balloon"),1,0)</f>
        <v/>
      </c>
      <c r="CE1324" s="76">
        <f>IF($AB1324="Currently special serv","Currently Specially Serviced",IF($AB1324="Returned to master serv","Previously Specially Serviced","Never Specially Serviced"))</f>
        <v/>
      </c>
      <c r="CF1324" s="78">
        <f>IF($CE1324="Currently Specially Serviced",1,0)</f>
        <v/>
      </c>
      <c r="CG1324" s="76">
        <f>IF($AA1324="Yes","Currently on Watchlist",IF($AA1324="Previously","Previously on Watchlist","Never on Watchlist"))</f>
        <v/>
      </c>
      <c r="CH1324" s="78">
        <f>IF($CG1324="Currently on Watchlist",1,0)</f>
        <v/>
      </c>
      <c r="CI1324" s="76">
        <f>IF($Z1324="Full Defeasance","Fully Defeased",IF($Z1324="Portion Of Loan Previously Defeased","Partially Defeased",IF($Z1324="Defeasance Not Allowable","Not Defeased (Not Permitted)","Not Defeased")))</f>
        <v/>
      </c>
      <c r="CJ1324" s="78">
        <f>IF($CI1324="Fully Defeased",1,0)</f>
        <v/>
      </c>
      <c r="CK1324" s="76">
        <f>IF($R1324="IO","Full IO",IF(LEFT($R1324&amp;"",7)="IO then","Partial IO","Amortizing"))</f>
        <v/>
      </c>
      <c r="CL1324" s="78">
        <f>IF($CK1324="Full IO",1,0)</f>
        <v/>
      </c>
      <c r="CM1324" s="78">
        <f>IF($CK1324="Partial IO",1,0)</f>
        <v/>
      </c>
      <c r="CN1324" s="76">
        <f>IF(LEFT($F1324&amp;"",10)="SPLIT_LOAN","Pari Passu Split","Standalone")</f>
        <v/>
      </c>
      <c r="CO1324" s="78">
        <f>IF($CN1324="Pari Passu Split",1,0)</f>
        <v/>
      </c>
      <c r="CP1324" s="77">
        <f>IF(ISNUMBER($T1324),YEAR($T1324),"")</f>
        <v/>
      </c>
      <c r="CQ1324" s="79">
        <f>IF(ISNUMBER($V1324),$V1324,IF(ISNUMBER($U1324),$U1324,""))</f>
        <v/>
      </c>
      <c r="CR1324" s="77">
        <f>IF(ISNUMBER($CQ1324),YEAR($CQ1324),"")</f>
        <v/>
      </c>
      <c r="CS1324" s="78">
        <f>IF(ISNUMBER($M1324),MAX(0,$M1324),IF(TRIM($M1324&amp;"")="matured",0,""))</f>
        <v/>
      </c>
      <c r="CT1324" s="78">
        <f>IF(AND(ISNUMBER($CS1324),N($CS1324)&lt;=mMatWindow),1,0)</f>
        <v/>
      </c>
      <c r="CU1324" s="80">
        <f>IF(ISNUMBER($J1324),$J1324/100,"")</f>
        <v/>
      </c>
      <c r="CV1324" s="81">
        <f>IF(ISNUMBER($AQ1324),$AQ1324,"")</f>
        <v/>
      </c>
      <c r="CW1324" s="81">
        <f>IF(ISNUMBER($AR1324),$AR1324,"")</f>
        <v/>
      </c>
      <c r="CX1324" s="82">
        <f>IF(ISNUMBER($AS1324),$AS1324/100,"")</f>
        <v/>
      </c>
      <c r="CY1324" s="82">
        <f>IF(ISNUMBER($AT1324),$AT1324/100,"")</f>
        <v/>
      </c>
      <c r="CZ1324" s="82">
        <f>IF(ISNUMBER($AU1324),$AU1324/100,"")</f>
        <v/>
      </c>
      <c r="DA1324" s="82">
        <f>IF(ISNUMBER($AV1324),$AV1324/100,"")</f>
        <v/>
      </c>
      <c r="DB1324" s="82">
        <f>IF(ISNUMBER($AW1324),$AW1324/100,"")</f>
        <v/>
      </c>
      <c r="DC1324" s="82">
        <f>IF(ISNUMBER($AX1324),$AX1324/100,"")</f>
        <v/>
      </c>
      <c r="DD1324" s="77">
        <f>IFERROR(VALUE(LEFT(TRIM($AO1324&amp;""),4)),"")</f>
        <v/>
      </c>
      <c r="DE1324" s="78">
        <f>IF(AND($BY1324=1,$BX1324=1,OR(fDeal="All Deals",$BU1324=fDeal),OR(fEntity="All Entities",$BV1324=fEntity),OR(fPType="All Property Types",$BZ1324=fPType),OR(fDefeased="Include",$CJ1324=0)),1,0)</f>
        <v/>
      </c>
      <c r="DF1324" s="83">
        <f>$DE1324*N($I1324)</f>
        <v/>
      </c>
      <c r="DG1324" s="78">
        <f>IF($DE1324=1,IF(COUNTIFS($F$8:$F1324,$F1324,$DE$8:$DE1324,1)=1,1,0),0)</f>
        <v/>
      </c>
      <c r="DH1324" s="83">
        <f>IF($DG1324=1,SUMIFS($DF$8:$DF$1600,$F$8:$F$1600,$F1324),0)</f>
        <v/>
      </c>
      <c r="DI1324" s="78">
        <f>IF($DG1324=1,COUNTIFS($F$8:$F$1600,$F1324,$DE$8:$DE$1600,1),0)</f>
        <v/>
      </c>
      <c r="DJ1324" s="84">
        <f>IF($DG1324=1,$DH1324+(100000-ROW())/mTieBreak,0)</f>
        <v/>
      </c>
    </row>
    <row r="1325">
      <c r="B1325" s="68" t="n">
        <v>27</v>
      </c>
      <c r="C1325" s="69" t="inlineStr">
        <is>
          <t>CD17CD3</t>
        </is>
      </c>
      <c r="D1325" s="69" t="inlineStr">
        <is>
          <t>27.000</t>
        </is>
      </c>
      <c r="E1325" s="69" t="inlineStr">
        <is>
          <t>Marriott Hilton Head Resort &amp; Spa</t>
        </is>
      </c>
      <c r="F1325" s="69" t="inlineStr">
        <is>
          <t>SPLIT_LOAN_00899</t>
        </is>
      </c>
      <c r="G1325" s="70" t="n">
        <v>899</v>
      </c>
      <c r="H1325" s="71" t="n">
        <v>15000000</v>
      </c>
      <c r="I1325" s="71" t="n">
        <v>0</v>
      </c>
      <c r="J1325" s="72" t="n">
        <v>4.92</v>
      </c>
      <c r="K1325" s="69" t="inlineStr">
        <is>
          <t>Fixed rate</t>
        </is>
      </c>
      <c r="L1325" s="68" t="n">
        <v>120</v>
      </c>
      <c r="M1325" s="68" t="n"/>
      <c r="N1325" s="68" t="n">
        <v>300</v>
      </c>
      <c r="O1325" s="68" t="n"/>
      <c r="P1325" s="68" t="n"/>
      <c r="Q1325" s="68" t="n"/>
      <c r="R1325" s="69" t="n"/>
      <c r="S1325" s="69" t="inlineStr">
        <is>
          <t>No</t>
        </is>
      </c>
      <c r="T1325" s="73" t="n">
        <v>42644</v>
      </c>
      <c r="U1325" s="73" t="n">
        <v>46301</v>
      </c>
      <c r="V1325" s="73" t="n"/>
      <c r="W1325" s="69" t="n"/>
      <c r="X1325" s="69" t="inlineStr">
        <is>
          <t>Current</t>
        </is>
      </c>
      <c r="Y1325" s="68" t="n"/>
      <c r="Z1325" s="69" t="inlineStr">
        <is>
          <t>No Defeasance Occurred</t>
        </is>
      </c>
      <c r="AA1325" s="69" t="inlineStr">
        <is>
          <t>Yes</t>
        </is>
      </c>
      <c r="AB1325" s="69" t="inlineStr">
        <is>
          <t>Never special serv</t>
        </is>
      </c>
      <c r="AC1325" s="73" t="n"/>
      <c r="AD1325" s="69" t="n"/>
      <c r="AE1325" s="69" t="n"/>
      <c r="AF1325" s="69" t="inlineStr">
        <is>
          <t>SC</t>
        </is>
      </c>
      <c r="AG1325" s="69" t="inlineStr">
        <is>
          <t>Hilton Head Island</t>
        </is>
      </c>
      <c r="AH1325" s="69" t="inlineStr">
        <is>
          <t>Hilton Head Island-Bluffton-Port Royal, SC</t>
        </is>
      </c>
      <c r="AI1325" s="69" t="inlineStr">
        <is>
          <t>South / Atlantic</t>
        </is>
      </c>
      <c r="AJ1325" s="69" t="inlineStr">
        <is>
          <t>HT</t>
        </is>
      </c>
      <c r="AK1325" s="69" t="inlineStr">
        <is>
          <t>Full Service</t>
        </is>
      </c>
      <c r="AL1325" s="68" t="n">
        <v>1</v>
      </c>
      <c r="AM1325" s="68" t="n">
        <v>513</v>
      </c>
      <c r="AN1325" s="68" t="n"/>
      <c r="AO1325" s="69" t="inlineStr">
        <is>
          <t>1976, 1985</t>
        </is>
      </c>
      <c r="AP1325" s="70" t="n">
        <v>2015</v>
      </c>
      <c r="AQ1325" s="74" t="n">
        <v>1.47</v>
      </c>
      <c r="AR1325" s="74" t="n">
        <v>1.65</v>
      </c>
      <c r="AS1325" s="74" t="n">
        <v>59.55</v>
      </c>
      <c r="AT1325" s="74" t="n"/>
      <c r="AU1325" s="74" t="n">
        <v>44.68</v>
      </c>
      <c r="AV1325" s="74" t="n">
        <v>10.23005102</v>
      </c>
      <c r="AW1325" s="74" t="n"/>
      <c r="AX1325" s="75" t="n">
        <v>46</v>
      </c>
      <c r="AY1325" s="71" t="n">
        <v>163500000</v>
      </c>
      <c r="AZ1325" s="71" t="n">
        <v>163500000</v>
      </c>
      <c r="BA1325" s="71" t="n">
        <v>10025450</v>
      </c>
      <c r="BB1325" s="71" t="n">
        <v>11237481.12</v>
      </c>
      <c r="BC1325" s="69" t="inlineStr">
        <is>
          <t>Refinance</t>
        </is>
      </c>
      <c r="BD1325" s="69" t="inlineStr">
        <is>
          <t>N</t>
        </is>
      </c>
      <c r="BE1325" s="71" t="n">
        <v>0</v>
      </c>
      <c r="BF1325" s="71" t="n"/>
      <c r="BG1325" s="71" t="n"/>
      <c r="BH1325" s="71" t="n">
        <v>0</v>
      </c>
      <c r="BI1325" s="71" t="n">
        <v>0</v>
      </c>
      <c r="BJ1325" s="69" t="inlineStr">
        <is>
          <t>N</t>
        </is>
      </c>
      <c r="BK1325" s="69" t="n"/>
      <c r="BL1325" s="75" t="n"/>
      <c r="BM1325" s="73" t="n"/>
      <c r="BN1325" s="69" t="inlineStr">
        <is>
          <t>Columbia Sussex Corporation</t>
        </is>
      </c>
      <c r="BO1325" s="69" t="inlineStr">
        <is>
          <t>Citigroup Global Markets</t>
        </is>
      </c>
      <c r="BP1325" s="69" t="inlineStr">
        <is>
          <t>Midland Loan Services</t>
        </is>
      </c>
      <c r="BQ1325" s="69" t="inlineStr">
        <is>
          <t>LNR Partners</t>
        </is>
      </c>
      <c r="BR1325" s="69" t="inlineStr">
        <is>
          <t>Payoff Prior To Maturity</t>
        </is>
      </c>
      <c r="BS1325" s="73" t="n">
        <v>46273</v>
      </c>
      <c r="BU1325" s="76">
        <f>IF($C1325="","",IFERROR(INDEX(dmName,MATCH($C1325,dmID,0)),"Unmapped"))</f>
        <v/>
      </c>
      <c r="BV1325" s="76">
        <f>IF($C1325="","",IFERROR(INDEX(dmEntity,MATCH($C1325,dmID,0)),"Unmapped"))</f>
        <v/>
      </c>
      <c r="BW1325" s="77">
        <f>IF($C1325="","",IFERROR(INDEX(dmVintage,MATCH($C1325,dmID,0)),""))</f>
        <v/>
      </c>
      <c r="BX1325" s="78">
        <f>IFERROR(INDEX(dmInclude,MATCH($C1325,dmID,0)),0)</f>
        <v/>
      </c>
      <c r="BY1325" s="78">
        <f>IF(N($I1325)&gt;0,1,0)</f>
        <v/>
      </c>
      <c r="BZ1325" s="76">
        <f>IF($AJ1325="","Other / Leased Fee",IFERROR(INDEX(mapPTGroup,MATCH(LEFT(TRIM($AJ1325),2),mapPTCode,0)),"Other / Leased Fee"))</f>
        <v/>
      </c>
      <c r="CA1325" s="76">
        <f>IF(TRIM($AF1325&amp;"")="","NR",LEFT(TRIM($AF1325),2))</f>
        <v/>
      </c>
      <c r="CB1325" s="76">
        <f>IFERROR(LOOKUP(2,1/(LEFT(TRIM($AI1325&amp;""),LEN(mapRegion))=mapRegion),mapRegion),"Not Reported")</f>
        <v/>
      </c>
      <c r="CC1325" s="76">
        <f>IF($BY1325=0,"",IF(TRIM($W1325&amp;"")="REO","REO",IF(TRIM($W1325&amp;"")="FC","Foreclosure",IF(TRIM($W1325&amp;"")="90+","90+ Days Delinquent",IF(TRIM($W1325&amp;"")="60","60 Days Delinquent",IF(TRIM($W1325&amp;"")="30","30 Days Delinquent",IF($X1325="Non-Performing Matured Balloon","Non-Performing Matured Balloon",IF(OR($X1325="Late Payment But Less Than 30 Days Delinquent",LEFT($X1325&amp;"",20)="Payment Not Received"),"Late / In Grace (&lt;30 Days)",IF($X1325="Performing Matured Balloon","Performing Matured Balloon","Current")))))))))</f>
        <v/>
      </c>
      <c r="CD1325" s="78">
        <f>IF(OR($CC1325="REO",$CC1325="Foreclosure",$CC1325="90+ Days Delinquent",$CC1325="60 Days Delinquent",$CC1325="30 Days Delinquent",$CC1325="Non-Performing Matured Balloon"),1,0)</f>
        <v/>
      </c>
      <c r="CE1325" s="76">
        <f>IF($AB1325="Currently special serv","Currently Specially Serviced",IF($AB1325="Returned to master serv","Previously Specially Serviced","Never Specially Serviced"))</f>
        <v/>
      </c>
      <c r="CF1325" s="78">
        <f>IF($CE1325="Currently Specially Serviced",1,0)</f>
        <v/>
      </c>
      <c r="CG1325" s="76">
        <f>IF($AA1325="Yes","Currently on Watchlist",IF($AA1325="Previously","Previously on Watchlist","Never on Watchlist"))</f>
        <v/>
      </c>
      <c r="CH1325" s="78">
        <f>IF($CG1325="Currently on Watchlist",1,0)</f>
        <v/>
      </c>
      <c r="CI1325" s="76">
        <f>IF($Z1325="Full Defeasance","Fully Defeased",IF($Z1325="Portion Of Loan Previously Defeased","Partially Defeased",IF($Z1325="Defeasance Not Allowable","Not Defeased (Not Permitted)","Not Defeased")))</f>
        <v/>
      </c>
      <c r="CJ1325" s="78">
        <f>IF($CI1325="Fully Defeased",1,0)</f>
        <v/>
      </c>
      <c r="CK1325" s="76">
        <f>IF($R1325="IO","Full IO",IF(LEFT($R1325&amp;"",7)="IO then","Partial IO","Amortizing"))</f>
        <v/>
      </c>
      <c r="CL1325" s="78">
        <f>IF($CK1325="Full IO",1,0)</f>
        <v/>
      </c>
      <c r="CM1325" s="78">
        <f>IF($CK1325="Partial IO",1,0)</f>
        <v/>
      </c>
      <c r="CN1325" s="76">
        <f>IF(LEFT($F1325&amp;"",10)="SPLIT_LOAN","Pari Passu Split","Standalone")</f>
        <v/>
      </c>
      <c r="CO1325" s="78">
        <f>IF($CN1325="Pari Passu Split",1,0)</f>
        <v/>
      </c>
      <c r="CP1325" s="77">
        <f>IF(ISNUMBER($T1325),YEAR($T1325),"")</f>
        <v/>
      </c>
      <c r="CQ1325" s="79">
        <f>IF(ISNUMBER($V1325),$V1325,IF(ISNUMBER($U1325),$U1325,""))</f>
        <v/>
      </c>
      <c r="CR1325" s="77">
        <f>IF(ISNUMBER($CQ1325),YEAR($CQ1325),"")</f>
        <v/>
      </c>
      <c r="CS1325" s="78">
        <f>IF(ISNUMBER($M1325),MAX(0,$M1325),IF(TRIM($M1325&amp;"")="matured",0,""))</f>
        <v/>
      </c>
      <c r="CT1325" s="78">
        <f>IF(AND(ISNUMBER($CS1325),N($CS1325)&lt;=mMatWindow),1,0)</f>
        <v/>
      </c>
      <c r="CU1325" s="80">
        <f>IF(ISNUMBER($J1325),$J1325/100,"")</f>
        <v/>
      </c>
      <c r="CV1325" s="81">
        <f>IF(ISNUMBER($AQ1325),$AQ1325,"")</f>
        <v/>
      </c>
      <c r="CW1325" s="81">
        <f>IF(ISNUMBER($AR1325),$AR1325,"")</f>
        <v/>
      </c>
      <c r="CX1325" s="82">
        <f>IF(ISNUMBER($AS1325),$AS1325/100,"")</f>
        <v/>
      </c>
      <c r="CY1325" s="82">
        <f>IF(ISNUMBER($AT1325),$AT1325/100,"")</f>
        <v/>
      </c>
      <c r="CZ1325" s="82">
        <f>IF(ISNUMBER($AU1325),$AU1325/100,"")</f>
        <v/>
      </c>
      <c r="DA1325" s="82">
        <f>IF(ISNUMBER($AV1325),$AV1325/100,"")</f>
        <v/>
      </c>
      <c r="DB1325" s="82">
        <f>IF(ISNUMBER($AW1325),$AW1325/100,"")</f>
        <v/>
      </c>
      <c r="DC1325" s="82">
        <f>IF(ISNUMBER($AX1325),$AX1325/100,"")</f>
        <v/>
      </c>
      <c r="DD1325" s="77">
        <f>IFERROR(VALUE(LEFT(TRIM($AO1325&amp;""),4)),"")</f>
        <v/>
      </c>
      <c r="DE1325" s="78">
        <f>IF(AND($BY1325=1,$BX1325=1,OR(fDeal="All Deals",$BU1325=fDeal),OR(fEntity="All Entities",$BV1325=fEntity),OR(fPType="All Property Types",$BZ1325=fPType),OR(fDefeased="Include",$CJ1325=0)),1,0)</f>
        <v/>
      </c>
      <c r="DF1325" s="83">
        <f>$DE1325*N($I1325)</f>
        <v/>
      </c>
      <c r="DG1325" s="78">
        <f>IF($DE1325=1,IF(COUNTIFS($F$8:$F1325,$F1325,$DE$8:$DE1325,1)=1,1,0),0)</f>
        <v/>
      </c>
      <c r="DH1325" s="83">
        <f>IF($DG1325=1,SUMIFS($DF$8:$DF$1600,$F$8:$F$1600,$F1325),0)</f>
        <v/>
      </c>
      <c r="DI1325" s="78">
        <f>IF($DG1325=1,COUNTIFS($F$8:$F$1600,$F1325,$DE$8:$DE$1600,1),0)</f>
        <v/>
      </c>
      <c r="DJ1325" s="84">
        <f>IF($DG1325=1,$DH1325+(100000-ROW())/mTieBreak,0)</f>
        <v/>
      </c>
    </row>
    <row r="1326">
      <c r="B1326" s="68" t="n">
        <v>28</v>
      </c>
      <c r="C1326" s="69" t="inlineStr">
        <is>
          <t>CD17CD3</t>
        </is>
      </c>
      <c r="D1326" s="69" t="inlineStr">
        <is>
          <t>28.000</t>
        </is>
      </c>
      <c r="E1326" s="69" t="inlineStr">
        <is>
          <t>West Point Office</t>
        </is>
      </c>
      <c r="F1326" s="69" t="inlineStr">
        <is>
          <t>LNCD17CD3-28.000</t>
        </is>
      </c>
      <c r="G1326" s="70" t="n"/>
      <c r="H1326" s="71" t="n">
        <v>13250000</v>
      </c>
      <c r="I1326" s="71" t="n">
        <v>10911260.740003</v>
      </c>
      <c r="J1326" s="72" t="n">
        <v>4.84</v>
      </c>
      <c r="K1326" s="69" t="inlineStr">
        <is>
          <t>Fixed rate</t>
        </is>
      </c>
      <c r="L1326" s="68" t="n">
        <v>120</v>
      </c>
      <c r="M1326" s="68" t="n">
        <v>3</v>
      </c>
      <c r="N1326" s="68" t="n">
        <v>360</v>
      </c>
      <c r="O1326" s="68" t="n"/>
      <c r="P1326" s="68" t="n"/>
      <c r="Q1326" s="68" t="n">
        <v>117</v>
      </c>
      <c r="R1326" s="69" t="n"/>
      <c r="S1326" s="69" t="inlineStr">
        <is>
          <t>No</t>
        </is>
      </c>
      <c r="T1326" s="73" t="n">
        <v>42705</v>
      </c>
      <c r="U1326" s="73" t="n">
        <v>46362</v>
      </c>
      <c r="V1326" s="73" t="n"/>
      <c r="W1326" s="69" t="n"/>
      <c r="X1326" s="69" t="inlineStr">
        <is>
          <t>Current</t>
        </is>
      </c>
      <c r="Y1326" s="68" t="n"/>
      <c r="Z1326" s="69" t="inlineStr">
        <is>
          <t>No Defeasance Occurred</t>
        </is>
      </c>
      <c r="AA1326" s="69" t="inlineStr">
        <is>
          <t>Yes</t>
        </is>
      </c>
      <c r="AB1326" s="69" t="inlineStr">
        <is>
          <t>Returned to master serv</t>
        </is>
      </c>
      <c r="AC1326" s="73" t="n"/>
      <c r="AD1326" s="69" t="inlineStr">
        <is>
          <t>Imminent Monetary Default (excluding Balloon/Maturity Default &amp; Single Tenant Bankruptcy/Vacate)</t>
        </is>
      </c>
      <c r="AE1326" s="69" t="inlineStr">
        <is>
          <t>Resolved</t>
        </is>
      </c>
      <c r="AF1326" s="69" t="inlineStr">
        <is>
          <t>CO</t>
        </is>
      </c>
      <c r="AG1326" s="69" t="inlineStr">
        <is>
          <t>Lakewood</t>
        </is>
      </c>
      <c r="AH1326" s="69" t="inlineStr">
        <is>
          <t>Denver-Aurora-Centennial, CO</t>
        </is>
      </c>
      <c r="AI1326" s="69" t="inlineStr">
        <is>
          <t>West / Mountain</t>
        </is>
      </c>
      <c r="AJ1326" s="69" t="inlineStr">
        <is>
          <t>OF</t>
        </is>
      </c>
      <c r="AK1326" s="69" t="inlineStr">
        <is>
          <t>Suburban</t>
        </is>
      </c>
      <c r="AL1326" s="68" t="n">
        <v>1</v>
      </c>
      <c r="AM1326" s="68" t="n"/>
      <c r="AN1326" s="68" t="n">
        <v>174459</v>
      </c>
      <c r="AO1326" s="69" t="inlineStr">
        <is>
          <t>1974</t>
        </is>
      </c>
      <c r="AP1326" s="70" t="n">
        <v>1994</v>
      </c>
      <c r="AQ1326" s="74" t="n">
        <v>1.53</v>
      </c>
      <c r="AR1326" s="74" t="n">
        <v>1.08</v>
      </c>
      <c r="AS1326" s="74" t="n">
        <v>64.81</v>
      </c>
      <c r="AT1326" s="74" t="n">
        <v>53.49</v>
      </c>
      <c r="AU1326" s="74" t="n">
        <v>53.11</v>
      </c>
      <c r="AV1326" s="74" t="n">
        <v>9.659547547000001</v>
      </c>
      <c r="AW1326" s="74" t="n">
        <v>7.167220531</v>
      </c>
      <c r="AX1326" s="75" t="n">
        <v>78</v>
      </c>
      <c r="AY1326" s="71" t="n">
        <v>20400000</v>
      </c>
      <c r="AZ1326" s="71" t="n">
        <v>20400000</v>
      </c>
      <c r="BA1326" s="71" t="n">
        <v>1279890.05</v>
      </c>
      <c r="BB1326" s="71" t="n">
        <v>903998.6800000001</v>
      </c>
      <c r="BC1326" s="69" t="inlineStr">
        <is>
          <t>Refinance</t>
        </is>
      </c>
      <c r="BD1326" s="69" t="inlineStr">
        <is>
          <t>N</t>
        </is>
      </c>
      <c r="BE1326" s="71" t="n"/>
      <c r="BF1326" s="71" t="n"/>
      <c r="BG1326" s="71" t="n"/>
      <c r="BH1326" s="71" t="n">
        <v>0</v>
      </c>
      <c r="BI1326" s="71" t="n">
        <v>0</v>
      </c>
      <c r="BJ1326" s="69" t="inlineStr">
        <is>
          <t>N</t>
        </is>
      </c>
      <c r="BK1326" s="69" t="inlineStr">
        <is>
          <t>Power Engineers INC</t>
        </is>
      </c>
      <c r="BL1326" s="75" t="n">
        <v>10.89</v>
      </c>
      <c r="BM1326" s="73" t="n">
        <v>47514</v>
      </c>
      <c r="BN1326" s="69" t="inlineStr">
        <is>
          <t>Donald J. Marcotte and R. Brian Watson</t>
        </is>
      </c>
      <c r="BO1326" s="69" t="inlineStr">
        <is>
          <t>Citigroup Global Markets</t>
        </is>
      </c>
      <c r="BP1326" s="69" t="inlineStr">
        <is>
          <t>Midland Loan Services</t>
        </is>
      </c>
      <c r="BQ1326" s="69" t="inlineStr">
        <is>
          <t>K-Star Asset Management LLC</t>
        </is>
      </c>
      <c r="BR1326" s="69" t="n"/>
      <c r="BS1326" s="73" t="n">
        <v>46273</v>
      </c>
      <c r="BU1326" s="76">
        <f>IF($C1326="","",IFERROR(INDEX(dmName,MATCH($C1326,dmID,0)),"Unmapped"))</f>
        <v/>
      </c>
      <c r="BV1326" s="76">
        <f>IF($C1326="","",IFERROR(INDEX(dmEntity,MATCH($C1326,dmID,0)),"Unmapped"))</f>
        <v/>
      </c>
      <c r="BW1326" s="77">
        <f>IF($C1326="","",IFERROR(INDEX(dmVintage,MATCH($C1326,dmID,0)),""))</f>
        <v/>
      </c>
      <c r="BX1326" s="78">
        <f>IFERROR(INDEX(dmInclude,MATCH($C1326,dmID,0)),0)</f>
        <v/>
      </c>
      <c r="BY1326" s="78">
        <f>IF(N($I1326)&gt;0,1,0)</f>
        <v/>
      </c>
      <c r="BZ1326" s="76">
        <f>IF($AJ1326="","Other / Leased Fee",IFERROR(INDEX(mapPTGroup,MATCH(LEFT(TRIM($AJ1326),2),mapPTCode,0)),"Other / Leased Fee"))</f>
        <v/>
      </c>
      <c r="CA1326" s="76">
        <f>IF(TRIM($AF1326&amp;"")="","NR",LEFT(TRIM($AF1326),2))</f>
        <v/>
      </c>
      <c r="CB1326" s="76">
        <f>IFERROR(LOOKUP(2,1/(LEFT(TRIM($AI1326&amp;""),LEN(mapRegion))=mapRegion),mapRegion),"Not Reported")</f>
        <v/>
      </c>
      <c r="CC1326" s="76">
        <f>IF($BY1326=0,"",IF(TRIM($W1326&amp;"")="REO","REO",IF(TRIM($W1326&amp;"")="FC","Foreclosure",IF(TRIM($W1326&amp;"")="90+","90+ Days Delinquent",IF(TRIM($W1326&amp;"")="60","60 Days Delinquent",IF(TRIM($W1326&amp;"")="30","30 Days Delinquent",IF($X1326="Non-Performing Matured Balloon","Non-Performing Matured Balloon",IF(OR($X1326="Late Payment But Less Than 30 Days Delinquent",LEFT($X1326&amp;"",20)="Payment Not Received"),"Late / In Grace (&lt;30 Days)",IF($X1326="Performing Matured Balloon","Performing Matured Balloon","Current")))))))))</f>
        <v/>
      </c>
      <c r="CD1326" s="78">
        <f>IF(OR($CC1326="REO",$CC1326="Foreclosure",$CC1326="90+ Days Delinquent",$CC1326="60 Days Delinquent",$CC1326="30 Days Delinquent",$CC1326="Non-Performing Matured Balloon"),1,0)</f>
        <v/>
      </c>
      <c r="CE1326" s="76">
        <f>IF($AB1326="Currently special serv","Currently Specially Serviced",IF($AB1326="Returned to master serv","Previously Specially Serviced","Never Specially Serviced"))</f>
        <v/>
      </c>
      <c r="CF1326" s="78">
        <f>IF($CE1326="Currently Specially Serviced",1,0)</f>
        <v/>
      </c>
      <c r="CG1326" s="76">
        <f>IF($AA1326="Yes","Currently on Watchlist",IF($AA1326="Previously","Previously on Watchlist","Never on Watchlist"))</f>
        <v/>
      </c>
      <c r="CH1326" s="78">
        <f>IF($CG1326="Currently on Watchlist",1,0)</f>
        <v/>
      </c>
      <c r="CI1326" s="76">
        <f>IF($Z1326="Full Defeasance","Fully Defeased",IF($Z1326="Portion Of Loan Previously Defeased","Partially Defeased",IF($Z1326="Defeasance Not Allowable","Not Defeased (Not Permitted)","Not Defeased")))</f>
        <v/>
      </c>
      <c r="CJ1326" s="78">
        <f>IF($CI1326="Fully Defeased",1,0)</f>
        <v/>
      </c>
      <c r="CK1326" s="76">
        <f>IF($R1326="IO","Full IO",IF(LEFT($R1326&amp;"",7)="IO then","Partial IO","Amortizing"))</f>
        <v/>
      </c>
      <c r="CL1326" s="78">
        <f>IF($CK1326="Full IO",1,0)</f>
        <v/>
      </c>
      <c r="CM1326" s="78">
        <f>IF($CK1326="Partial IO",1,0)</f>
        <v/>
      </c>
      <c r="CN1326" s="76">
        <f>IF(LEFT($F1326&amp;"",10)="SPLIT_LOAN","Pari Passu Split","Standalone")</f>
        <v/>
      </c>
      <c r="CO1326" s="78">
        <f>IF($CN1326="Pari Passu Split",1,0)</f>
        <v/>
      </c>
      <c r="CP1326" s="77">
        <f>IF(ISNUMBER($T1326),YEAR($T1326),"")</f>
        <v/>
      </c>
      <c r="CQ1326" s="79">
        <f>IF(ISNUMBER($V1326),$V1326,IF(ISNUMBER($U1326),$U1326,""))</f>
        <v/>
      </c>
      <c r="CR1326" s="77">
        <f>IF(ISNUMBER($CQ1326),YEAR($CQ1326),"")</f>
        <v/>
      </c>
      <c r="CS1326" s="78">
        <f>IF(ISNUMBER($M1326),MAX(0,$M1326),IF(TRIM($M1326&amp;"")="matured",0,""))</f>
        <v/>
      </c>
      <c r="CT1326" s="78">
        <f>IF(AND(ISNUMBER($CS1326),N($CS1326)&lt;=mMatWindow),1,0)</f>
        <v/>
      </c>
      <c r="CU1326" s="80">
        <f>IF(ISNUMBER($J1326),$J1326/100,"")</f>
        <v/>
      </c>
      <c r="CV1326" s="81">
        <f>IF(ISNUMBER($AQ1326),$AQ1326,"")</f>
        <v/>
      </c>
      <c r="CW1326" s="81">
        <f>IF(ISNUMBER($AR1326),$AR1326,"")</f>
        <v/>
      </c>
      <c r="CX1326" s="82">
        <f>IF(ISNUMBER($AS1326),$AS1326/100,"")</f>
        <v/>
      </c>
      <c r="CY1326" s="82">
        <f>IF(ISNUMBER($AT1326),$AT1326/100,"")</f>
        <v/>
      </c>
      <c r="CZ1326" s="82">
        <f>IF(ISNUMBER($AU1326),$AU1326/100,"")</f>
        <v/>
      </c>
      <c r="DA1326" s="82">
        <f>IF(ISNUMBER($AV1326),$AV1326/100,"")</f>
        <v/>
      </c>
      <c r="DB1326" s="82">
        <f>IF(ISNUMBER($AW1326),$AW1326/100,"")</f>
        <v/>
      </c>
      <c r="DC1326" s="82">
        <f>IF(ISNUMBER($AX1326),$AX1326/100,"")</f>
        <v/>
      </c>
      <c r="DD1326" s="77">
        <f>IFERROR(VALUE(LEFT(TRIM($AO1326&amp;""),4)),"")</f>
        <v/>
      </c>
      <c r="DE1326" s="78">
        <f>IF(AND($BY1326=1,$BX1326=1,OR(fDeal="All Deals",$BU1326=fDeal),OR(fEntity="All Entities",$BV1326=fEntity),OR(fPType="All Property Types",$BZ1326=fPType),OR(fDefeased="Include",$CJ1326=0)),1,0)</f>
        <v/>
      </c>
      <c r="DF1326" s="83">
        <f>$DE1326*N($I1326)</f>
        <v/>
      </c>
      <c r="DG1326" s="78">
        <f>IF($DE1326=1,IF(COUNTIFS($F$8:$F1326,$F1326,$DE$8:$DE1326,1)=1,1,0),0)</f>
        <v/>
      </c>
      <c r="DH1326" s="83">
        <f>IF($DG1326=1,SUMIFS($DF$8:$DF$1600,$F$8:$F$1600,$F1326),0)</f>
        <v/>
      </c>
      <c r="DI1326" s="78">
        <f>IF($DG1326=1,COUNTIFS($F$8:$F$1600,$F1326,$DE$8:$DE$1600,1),0)</f>
        <v/>
      </c>
      <c r="DJ1326" s="84">
        <f>IF($DG1326=1,$DH1326+(100000-ROW())/mTieBreak,0)</f>
        <v/>
      </c>
    </row>
    <row r="1327">
      <c r="B1327" s="68" t="n">
        <v>29</v>
      </c>
      <c r="C1327" s="69" t="inlineStr">
        <is>
          <t>CD17CD3</t>
        </is>
      </c>
      <c r="D1327" s="69" t="inlineStr">
        <is>
          <t>29.000</t>
        </is>
      </c>
      <c r="E1327" s="69" t="inlineStr">
        <is>
          <t>Safe Storage Oakland</t>
        </is>
      </c>
      <c r="F1327" s="69" t="inlineStr">
        <is>
          <t>LNCD17CD3-29.000</t>
        </is>
      </c>
      <c r="G1327" s="70" t="n"/>
      <c r="H1327" s="71" t="n">
        <v>13000000</v>
      </c>
      <c r="I1327" s="71" t="n">
        <v>0</v>
      </c>
      <c r="J1327" s="72" t="n">
        <v>5.22</v>
      </c>
      <c r="K1327" s="69" t="inlineStr">
        <is>
          <t>Fixed rate</t>
        </is>
      </c>
      <c r="L1327" s="68" t="n">
        <v>120</v>
      </c>
      <c r="M1327" s="68" t="n"/>
      <c r="N1327" s="68" t="n">
        <v>360</v>
      </c>
      <c r="O1327" s="68" t="n"/>
      <c r="P1327" s="68" t="n"/>
      <c r="Q1327" s="68" t="n"/>
      <c r="R1327" s="69" t="n"/>
      <c r="S1327" s="69" t="inlineStr">
        <is>
          <t>No</t>
        </is>
      </c>
      <c r="T1327" s="73" t="n">
        <v>42736</v>
      </c>
      <c r="U1327" s="73" t="n">
        <v>46393</v>
      </c>
      <c r="V1327" s="73" t="n"/>
      <c r="W1327" s="69" t="n"/>
      <c r="X1327" s="69" t="inlineStr">
        <is>
          <t>Current</t>
        </is>
      </c>
      <c r="Y1327" s="68" t="n"/>
      <c r="Z1327" s="69" t="inlineStr">
        <is>
          <t>Defeasance Not Allowable</t>
        </is>
      </c>
      <c r="AA1327" s="69" t="n"/>
      <c r="AB1327" s="69" t="inlineStr">
        <is>
          <t>Never special serv</t>
        </is>
      </c>
      <c r="AC1327" s="73" t="n"/>
      <c r="AD1327" s="69" t="n"/>
      <c r="AE1327" s="69" t="n"/>
      <c r="AF1327" s="69" t="inlineStr">
        <is>
          <t>CA</t>
        </is>
      </c>
      <c r="AG1327" s="69" t="inlineStr">
        <is>
          <t>Oakland</t>
        </is>
      </c>
      <c r="AH1327" s="69" t="inlineStr">
        <is>
          <t>San Francisco-Oakland-Fremont, CA</t>
        </is>
      </c>
      <c r="AI1327" s="69" t="inlineStr">
        <is>
          <t>West / Pacific North</t>
        </is>
      </c>
      <c r="AJ1327" s="69" t="inlineStr">
        <is>
          <t>SS</t>
        </is>
      </c>
      <c r="AK1327" s="69" t="n"/>
      <c r="AL1327" s="68" t="n">
        <v>1</v>
      </c>
      <c r="AM1327" s="68" t="n"/>
      <c r="AN1327" s="68" t="n">
        <v>89295</v>
      </c>
      <c r="AO1327" s="69" t="inlineStr">
        <is>
          <t>1972</t>
        </is>
      </c>
      <c r="AP1327" s="70" t="n">
        <v>1972</v>
      </c>
      <c r="AQ1327" s="74" t="n">
        <v>1.29</v>
      </c>
      <c r="AR1327" s="74" t="n">
        <v>2.57</v>
      </c>
      <c r="AS1327" s="74" t="n">
        <v>64.59999999999999</v>
      </c>
      <c r="AT1327" s="74" t="n"/>
      <c r="AU1327" s="74" t="n">
        <v>53.5</v>
      </c>
      <c r="AV1327" s="74" t="n">
        <v>8.523094462</v>
      </c>
      <c r="AW1327" s="74" t="n"/>
      <c r="AX1327" s="75" t="n">
        <v>97</v>
      </c>
      <c r="AY1327" s="71" t="n">
        <v>20110000</v>
      </c>
      <c r="AZ1327" s="71" t="n">
        <v>20110000</v>
      </c>
      <c r="BA1327" s="71" t="n">
        <v>1108002.28</v>
      </c>
      <c r="BB1327" s="71" t="n">
        <v>1652174.7</v>
      </c>
      <c r="BC1327" s="69" t="inlineStr">
        <is>
          <t>Refinance</t>
        </is>
      </c>
      <c r="BD1327" s="69" t="inlineStr">
        <is>
          <t>N</t>
        </is>
      </c>
      <c r="BE1327" s="71" t="n"/>
      <c r="BF1327" s="71" t="n"/>
      <c r="BG1327" s="71" t="n"/>
      <c r="BH1327" s="71" t="n">
        <v>0</v>
      </c>
      <c r="BI1327" s="71" t="n">
        <v>0</v>
      </c>
      <c r="BJ1327" s="69" t="inlineStr">
        <is>
          <t>N</t>
        </is>
      </c>
      <c r="BK1327" s="69" t="n"/>
      <c r="BL1327" s="75" t="n"/>
      <c r="BM1327" s="73" t="n"/>
      <c r="BN1327" s="69" t="inlineStr">
        <is>
          <t>Terrence McGrath</t>
        </is>
      </c>
      <c r="BO1327" s="69" t="inlineStr">
        <is>
          <t>GACC</t>
        </is>
      </c>
      <c r="BP1327" s="69" t="inlineStr">
        <is>
          <t>Midland Loan Services</t>
        </is>
      </c>
      <c r="BQ1327" s="69" t="inlineStr">
        <is>
          <t>K-Star Asset Management LLC</t>
        </is>
      </c>
      <c r="BR1327" s="69" t="inlineStr">
        <is>
          <t>Payoff With Yield Maintenance</t>
        </is>
      </c>
      <c r="BS1327" s="73" t="n">
        <v>45205</v>
      </c>
      <c r="BU1327" s="76">
        <f>IF($C1327="","",IFERROR(INDEX(dmName,MATCH($C1327,dmID,0)),"Unmapped"))</f>
        <v/>
      </c>
      <c r="BV1327" s="76">
        <f>IF($C1327="","",IFERROR(INDEX(dmEntity,MATCH($C1327,dmID,0)),"Unmapped"))</f>
        <v/>
      </c>
      <c r="BW1327" s="77">
        <f>IF($C1327="","",IFERROR(INDEX(dmVintage,MATCH($C1327,dmID,0)),""))</f>
        <v/>
      </c>
      <c r="BX1327" s="78">
        <f>IFERROR(INDEX(dmInclude,MATCH($C1327,dmID,0)),0)</f>
        <v/>
      </c>
      <c r="BY1327" s="78">
        <f>IF(N($I1327)&gt;0,1,0)</f>
        <v/>
      </c>
      <c r="BZ1327" s="76">
        <f>IF($AJ1327="","Other / Leased Fee",IFERROR(INDEX(mapPTGroup,MATCH(LEFT(TRIM($AJ1327),2),mapPTCode,0)),"Other / Leased Fee"))</f>
        <v/>
      </c>
      <c r="CA1327" s="76">
        <f>IF(TRIM($AF1327&amp;"")="","NR",LEFT(TRIM($AF1327),2))</f>
        <v/>
      </c>
      <c r="CB1327" s="76">
        <f>IFERROR(LOOKUP(2,1/(LEFT(TRIM($AI1327&amp;""),LEN(mapRegion))=mapRegion),mapRegion),"Not Reported")</f>
        <v/>
      </c>
      <c r="CC1327" s="76">
        <f>IF($BY1327=0,"",IF(TRIM($W1327&amp;"")="REO","REO",IF(TRIM($W1327&amp;"")="FC","Foreclosure",IF(TRIM($W1327&amp;"")="90+","90+ Days Delinquent",IF(TRIM($W1327&amp;"")="60","60 Days Delinquent",IF(TRIM($W1327&amp;"")="30","30 Days Delinquent",IF($X1327="Non-Performing Matured Balloon","Non-Performing Matured Balloon",IF(OR($X1327="Late Payment But Less Than 30 Days Delinquent",LEFT($X1327&amp;"",20)="Payment Not Received"),"Late / In Grace (&lt;30 Days)",IF($X1327="Performing Matured Balloon","Performing Matured Balloon","Current")))))))))</f>
        <v/>
      </c>
      <c r="CD1327" s="78">
        <f>IF(OR($CC1327="REO",$CC1327="Foreclosure",$CC1327="90+ Days Delinquent",$CC1327="60 Days Delinquent",$CC1327="30 Days Delinquent",$CC1327="Non-Performing Matured Balloon"),1,0)</f>
        <v/>
      </c>
      <c r="CE1327" s="76">
        <f>IF($AB1327="Currently special serv","Currently Specially Serviced",IF($AB1327="Returned to master serv","Previously Specially Serviced","Never Specially Serviced"))</f>
        <v/>
      </c>
      <c r="CF1327" s="78">
        <f>IF($CE1327="Currently Specially Serviced",1,0)</f>
        <v/>
      </c>
      <c r="CG1327" s="76">
        <f>IF($AA1327="Yes","Currently on Watchlist",IF($AA1327="Previously","Previously on Watchlist","Never on Watchlist"))</f>
        <v/>
      </c>
      <c r="CH1327" s="78">
        <f>IF($CG1327="Currently on Watchlist",1,0)</f>
        <v/>
      </c>
      <c r="CI1327" s="76">
        <f>IF($Z1327="Full Defeasance","Fully Defeased",IF($Z1327="Portion Of Loan Previously Defeased","Partially Defeased",IF($Z1327="Defeasance Not Allowable","Not Defeased (Not Permitted)","Not Defeased")))</f>
        <v/>
      </c>
      <c r="CJ1327" s="78">
        <f>IF($CI1327="Fully Defeased",1,0)</f>
        <v/>
      </c>
      <c r="CK1327" s="76">
        <f>IF($R1327="IO","Full IO",IF(LEFT($R1327&amp;"",7)="IO then","Partial IO","Amortizing"))</f>
        <v/>
      </c>
      <c r="CL1327" s="78">
        <f>IF($CK1327="Full IO",1,0)</f>
        <v/>
      </c>
      <c r="CM1327" s="78">
        <f>IF($CK1327="Partial IO",1,0)</f>
        <v/>
      </c>
      <c r="CN1327" s="76">
        <f>IF(LEFT($F1327&amp;"",10)="SPLIT_LOAN","Pari Passu Split","Standalone")</f>
        <v/>
      </c>
      <c r="CO1327" s="78">
        <f>IF($CN1327="Pari Passu Split",1,0)</f>
        <v/>
      </c>
      <c r="CP1327" s="77">
        <f>IF(ISNUMBER($T1327),YEAR($T1327),"")</f>
        <v/>
      </c>
      <c r="CQ1327" s="79">
        <f>IF(ISNUMBER($V1327),$V1327,IF(ISNUMBER($U1327),$U1327,""))</f>
        <v/>
      </c>
      <c r="CR1327" s="77">
        <f>IF(ISNUMBER($CQ1327),YEAR($CQ1327),"")</f>
        <v/>
      </c>
      <c r="CS1327" s="78">
        <f>IF(ISNUMBER($M1327),MAX(0,$M1327),IF(TRIM($M1327&amp;"")="matured",0,""))</f>
        <v/>
      </c>
      <c r="CT1327" s="78">
        <f>IF(AND(ISNUMBER($CS1327),N($CS1327)&lt;=mMatWindow),1,0)</f>
        <v/>
      </c>
      <c r="CU1327" s="80">
        <f>IF(ISNUMBER($J1327),$J1327/100,"")</f>
        <v/>
      </c>
      <c r="CV1327" s="81">
        <f>IF(ISNUMBER($AQ1327),$AQ1327,"")</f>
        <v/>
      </c>
      <c r="CW1327" s="81">
        <f>IF(ISNUMBER($AR1327),$AR1327,"")</f>
        <v/>
      </c>
      <c r="CX1327" s="82">
        <f>IF(ISNUMBER($AS1327),$AS1327/100,"")</f>
        <v/>
      </c>
      <c r="CY1327" s="82">
        <f>IF(ISNUMBER($AT1327),$AT1327/100,"")</f>
        <v/>
      </c>
      <c r="CZ1327" s="82">
        <f>IF(ISNUMBER($AU1327),$AU1327/100,"")</f>
        <v/>
      </c>
      <c r="DA1327" s="82">
        <f>IF(ISNUMBER($AV1327),$AV1327/100,"")</f>
        <v/>
      </c>
      <c r="DB1327" s="82">
        <f>IF(ISNUMBER($AW1327),$AW1327/100,"")</f>
        <v/>
      </c>
      <c r="DC1327" s="82">
        <f>IF(ISNUMBER($AX1327),$AX1327/100,"")</f>
        <v/>
      </c>
      <c r="DD1327" s="77">
        <f>IFERROR(VALUE(LEFT(TRIM($AO1327&amp;""),4)),"")</f>
        <v/>
      </c>
      <c r="DE1327" s="78">
        <f>IF(AND($BY1327=1,$BX1327=1,OR(fDeal="All Deals",$BU1327=fDeal),OR(fEntity="All Entities",$BV1327=fEntity),OR(fPType="All Property Types",$BZ1327=fPType),OR(fDefeased="Include",$CJ1327=0)),1,0)</f>
        <v/>
      </c>
      <c r="DF1327" s="83">
        <f>$DE1327*N($I1327)</f>
        <v/>
      </c>
      <c r="DG1327" s="78">
        <f>IF($DE1327=1,IF(COUNTIFS($F$8:$F1327,$F1327,$DE$8:$DE1327,1)=1,1,0),0)</f>
        <v/>
      </c>
      <c r="DH1327" s="83">
        <f>IF($DG1327=1,SUMIFS($DF$8:$DF$1600,$F$8:$F$1600,$F1327),0)</f>
        <v/>
      </c>
      <c r="DI1327" s="78">
        <f>IF($DG1327=1,COUNTIFS($F$8:$F$1600,$F1327,$DE$8:$DE$1600,1),0)</f>
        <v/>
      </c>
      <c r="DJ1327" s="84">
        <f>IF($DG1327=1,$DH1327+(100000-ROW())/mTieBreak,0)</f>
        <v/>
      </c>
    </row>
    <row r="1328">
      <c r="B1328" s="68" t="n">
        <v>30</v>
      </c>
      <c r="C1328" s="69" t="inlineStr">
        <is>
          <t>CD17CD3</t>
        </is>
      </c>
      <c r="D1328" s="69" t="inlineStr">
        <is>
          <t>30.000</t>
        </is>
      </c>
      <c r="E1328" s="69" t="inlineStr">
        <is>
          <t>Parts Consolidation Center</t>
        </is>
      </c>
      <c r="F1328" s="69" t="inlineStr">
        <is>
          <t>SPLIT_LOAN_00933</t>
        </is>
      </c>
      <c r="G1328" s="70" t="n">
        <v>933</v>
      </c>
      <c r="H1328" s="71" t="n">
        <v>12750000</v>
      </c>
      <c r="I1328" s="71" t="n">
        <v>0</v>
      </c>
      <c r="J1328" s="72" t="n">
        <v>4.68</v>
      </c>
      <c r="K1328" s="69" t="inlineStr">
        <is>
          <t>Fixed rate</t>
        </is>
      </c>
      <c r="L1328" s="68" t="n">
        <v>115</v>
      </c>
      <c r="M1328" s="68" t="n"/>
      <c r="N1328" s="68" t="n">
        <v>396</v>
      </c>
      <c r="O1328" s="68" t="n">
        <v>36</v>
      </c>
      <c r="P1328" s="68" t="n"/>
      <c r="Q1328" s="68" t="n"/>
      <c r="R1328" s="69" t="inlineStr">
        <is>
          <t>IO then Amort</t>
        </is>
      </c>
      <c r="S1328" s="69" t="inlineStr">
        <is>
          <t>No</t>
        </is>
      </c>
      <c r="T1328" s="73" t="n">
        <v>42736</v>
      </c>
      <c r="U1328" s="73" t="n">
        <v>46240</v>
      </c>
      <c r="V1328" s="73" t="n"/>
      <c r="W1328" s="69" t="n"/>
      <c r="X1328" s="69" t="inlineStr">
        <is>
          <t>Current</t>
        </is>
      </c>
      <c r="Y1328" s="68" t="n"/>
      <c r="Z1328" s="69" t="inlineStr">
        <is>
          <t>Full Defeasance</t>
        </is>
      </c>
      <c r="AA1328" s="69" t="inlineStr">
        <is>
          <t>Previously</t>
        </is>
      </c>
      <c r="AB1328" s="69" t="inlineStr">
        <is>
          <t>Never special serv</t>
        </is>
      </c>
      <c r="AC1328" s="73" t="n"/>
      <c r="AD1328" s="69" t="n"/>
      <c r="AE1328" s="69" t="n"/>
      <c r="AF1328" s="69" t="inlineStr">
        <is>
          <t>AL</t>
        </is>
      </c>
      <c r="AG1328" s="69" t="inlineStr">
        <is>
          <t>Vance</t>
        </is>
      </c>
      <c r="AH1328" s="69" t="inlineStr">
        <is>
          <t>Tuscaloosa, AL</t>
        </is>
      </c>
      <c r="AI1328" s="69" t="inlineStr">
        <is>
          <t>South / Central East</t>
        </is>
      </c>
      <c r="AJ1328" s="69" t="inlineStr">
        <is>
          <t>IN</t>
        </is>
      </c>
      <c r="AK1328" s="69" t="inlineStr">
        <is>
          <t>Warehouse/Distribution</t>
        </is>
      </c>
      <c r="AL1328" s="68" t="n">
        <v>1</v>
      </c>
      <c r="AM1328" s="68" t="n"/>
      <c r="AN1328" s="68" t="n">
        <v>604000</v>
      </c>
      <c r="AO1328" s="69" t="inlineStr">
        <is>
          <t>2004, 2009</t>
        </is>
      </c>
      <c r="AP1328" s="70" t="n">
        <v>2009</v>
      </c>
      <c r="AQ1328" s="74" t="n">
        <v>1.68</v>
      </c>
      <c r="AR1328" s="74" t="n">
        <v>1.86</v>
      </c>
      <c r="AS1328" s="74" t="n">
        <v>63.19</v>
      </c>
      <c r="AT1328" s="74" t="n"/>
      <c r="AU1328" s="74" t="n">
        <v>55.55</v>
      </c>
      <c r="AV1328" s="74" t="n">
        <v>10.40301978</v>
      </c>
      <c r="AW1328" s="74" t="n"/>
      <c r="AX1328" s="75" t="n">
        <v>100</v>
      </c>
      <c r="AY1328" s="71" t="n">
        <v>36000000</v>
      </c>
      <c r="AZ1328" s="71" t="n">
        <v>36000000</v>
      </c>
      <c r="BA1328" s="71" t="n">
        <v>2366687</v>
      </c>
      <c r="BB1328" s="71" t="n">
        <v>2632676.86</v>
      </c>
      <c r="BC1328" s="69" t="inlineStr">
        <is>
          <t>Acquisition</t>
        </is>
      </c>
      <c r="BD1328" s="69" t="inlineStr">
        <is>
          <t>N</t>
        </is>
      </c>
      <c r="BE1328" s="71" t="n">
        <v>0</v>
      </c>
      <c r="BF1328" s="71" t="n"/>
      <c r="BG1328" s="71" t="n"/>
      <c r="BH1328" s="71" t="n">
        <v>0</v>
      </c>
      <c r="BI1328" s="71" t="n">
        <v>0</v>
      </c>
      <c r="BJ1328" s="69" t="inlineStr">
        <is>
          <t>N</t>
        </is>
      </c>
      <c r="BK1328" s="69" t="inlineStr">
        <is>
          <t>BLG Logistics Sublease/Toyota Boshoku Mississippi</t>
        </is>
      </c>
      <c r="BL1328" s="75" t="n">
        <v>50.5</v>
      </c>
      <c r="BM1328" s="73" t="n">
        <v>46295</v>
      </c>
      <c r="BN1328" s="69" t="inlineStr">
        <is>
          <t>Thomas L. Brodie and David Rothschild</t>
        </is>
      </c>
      <c r="BO1328" s="69" t="inlineStr">
        <is>
          <t>Citigroup Global Markets</t>
        </is>
      </c>
      <c r="BP1328" s="69" t="inlineStr">
        <is>
          <t>Midland Loan Services</t>
        </is>
      </c>
      <c r="BQ1328" s="69" t="inlineStr">
        <is>
          <t>K-Star Asset Management LLC</t>
        </is>
      </c>
      <c r="BR1328" s="69" t="inlineStr">
        <is>
          <t>Payoff Prior To Maturity</t>
        </is>
      </c>
      <c r="BS1328" s="73" t="n">
        <v>46240</v>
      </c>
      <c r="BU1328" s="76">
        <f>IF($C1328="","",IFERROR(INDEX(dmName,MATCH($C1328,dmID,0)),"Unmapped"))</f>
        <v/>
      </c>
      <c r="BV1328" s="76">
        <f>IF($C1328="","",IFERROR(INDEX(dmEntity,MATCH($C1328,dmID,0)),"Unmapped"))</f>
        <v/>
      </c>
      <c r="BW1328" s="77">
        <f>IF($C1328="","",IFERROR(INDEX(dmVintage,MATCH($C1328,dmID,0)),""))</f>
        <v/>
      </c>
      <c r="BX1328" s="78">
        <f>IFERROR(INDEX(dmInclude,MATCH($C1328,dmID,0)),0)</f>
        <v/>
      </c>
      <c r="BY1328" s="78">
        <f>IF(N($I1328)&gt;0,1,0)</f>
        <v/>
      </c>
      <c r="BZ1328" s="76">
        <f>IF($AJ1328="","Other / Leased Fee",IFERROR(INDEX(mapPTGroup,MATCH(LEFT(TRIM($AJ1328),2),mapPTCode,0)),"Other / Leased Fee"))</f>
        <v/>
      </c>
      <c r="CA1328" s="76">
        <f>IF(TRIM($AF1328&amp;"")="","NR",LEFT(TRIM($AF1328),2))</f>
        <v/>
      </c>
      <c r="CB1328" s="76">
        <f>IFERROR(LOOKUP(2,1/(LEFT(TRIM($AI1328&amp;""),LEN(mapRegion))=mapRegion),mapRegion),"Not Reported")</f>
        <v/>
      </c>
      <c r="CC1328" s="76">
        <f>IF($BY1328=0,"",IF(TRIM($W1328&amp;"")="REO","REO",IF(TRIM($W1328&amp;"")="FC","Foreclosure",IF(TRIM($W1328&amp;"")="90+","90+ Days Delinquent",IF(TRIM($W1328&amp;"")="60","60 Days Delinquent",IF(TRIM($W1328&amp;"")="30","30 Days Delinquent",IF($X1328="Non-Performing Matured Balloon","Non-Performing Matured Balloon",IF(OR($X1328="Late Payment But Less Than 30 Days Delinquent",LEFT($X1328&amp;"",20)="Payment Not Received"),"Late / In Grace (&lt;30 Days)",IF($X1328="Performing Matured Balloon","Performing Matured Balloon","Current")))))))))</f>
        <v/>
      </c>
      <c r="CD1328" s="78">
        <f>IF(OR($CC1328="REO",$CC1328="Foreclosure",$CC1328="90+ Days Delinquent",$CC1328="60 Days Delinquent",$CC1328="30 Days Delinquent",$CC1328="Non-Performing Matured Balloon"),1,0)</f>
        <v/>
      </c>
      <c r="CE1328" s="76">
        <f>IF($AB1328="Currently special serv","Currently Specially Serviced",IF($AB1328="Returned to master serv","Previously Specially Serviced","Never Specially Serviced"))</f>
        <v/>
      </c>
      <c r="CF1328" s="78">
        <f>IF($CE1328="Currently Specially Serviced",1,0)</f>
        <v/>
      </c>
      <c r="CG1328" s="76">
        <f>IF($AA1328="Yes","Currently on Watchlist",IF($AA1328="Previously","Previously on Watchlist","Never on Watchlist"))</f>
        <v/>
      </c>
      <c r="CH1328" s="78">
        <f>IF($CG1328="Currently on Watchlist",1,0)</f>
        <v/>
      </c>
      <c r="CI1328" s="76">
        <f>IF($Z1328="Full Defeasance","Fully Defeased",IF($Z1328="Portion Of Loan Previously Defeased","Partially Defeased",IF($Z1328="Defeasance Not Allowable","Not Defeased (Not Permitted)","Not Defeased")))</f>
        <v/>
      </c>
      <c r="CJ1328" s="78">
        <f>IF($CI1328="Fully Defeased",1,0)</f>
        <v/>
      </c>
      <c r="CK1328" s="76">
        <f>IF($R1328="IO","Full IO",IF(LEFT($R1328&amp;"",7)="IO then","Partial IO","Amortizing"))</f>
        <v/>
      </c>
      <c r="CL1328" s="78">
        <f>IF($CK1328="Full IO",1,0)</f>
        <v/>
      </c>
      <c r="CM1328" s="78">
        <f>IF($CK1328="Partial IO",1,0)</f>
        <v/>
      </c>
      <c r="CN1328" s="76">
        <f>IF(LEFT($F1328&amp;"",10)="SPLIT_LOAN","Pari Passu Split","Standalone")</f>
        <v/>
      </c>
      <c r="CO1328" s="78">
        <f>IF($CN1328="Pari Passu Split",1,0)</f>
        <v/>
      </c>
      <c r="CP1328" s="77">
        <f>IF(ISNUMBER($T1328),YEAR($T1328),"")</f>
        <v/>
      </c>
      <c r="CQ1328" s="79">
        <f>IF(ISNUMBER($V1328),$V1328,IF(ISNUMBER($U1328),$U1328,""))</f>
        <v/>
      </c>
      <c r="CR1328" s="77">
        <f>IF(ISNUMBER($CQ1328),YEAR($CQ1328),"")</f>
        <v/>
      </c>
      <c r="CS1328" s="78">
        <f>IF(ISNUMBER($M1328),MAX(0,$M1328),IF(TRIM($M1328&amp;"")="matured",0,""))</f>
        <v/>
      </c>
      <c r="CT1328" s="78">
        <f>IF(AND(ISNUMBER($CS1328),N($CS1328)&lt;=mMatWindow),1,0)</f>
        <v/>
      </c>
      <c r="CU1328" s="80">
        <f>IF(ISNUMBER($J1328),$J1328/100,"")</f>
        <v/>
      </c>
      <c r="CV1328" s="81">
        <f>IF(ISNUMBER($AQ1328),$AQ1328,"")</f>
        <v/>
      </c>
      <c r="CW1328" s="81">
        <f>IF(ISNUMBER($AR1328),$AR1328,"")</f>
        <v/>
      </c>
      <c r="CX1328" s="82">
        <f>IF(ISNUMBER($AS1328),$AS1328/100,"")</f>
        <v/>
      </c>
      <c r="CY1328" s="82">
        <f>IF(ISNUMBER($AT1328),$AT1328/100,"")</f>
        <v/>
      </c>
      <c r="CZ1328" s="82">
        <f>IF(ISNUMBER($AU1328),$AU1328/100,"")</f>
        <v/>
      </c>
      <c r="DA1328" s="82">
        <f>IF(ISNUMBER($AV1328),$AV1328/100,"")</f>
        <v/>
      </c>
      <c r="DB1328" s="82">
        <f>IF(ISNUMBER($AW1328),$AW1328/100,"")</f>
        <v/>
      </c>
      <c r="DC1328" s="82">
        <f>IF(ISNUMBER($AX1328),$AX1328/100,"")</f>
        <v/>
      </c>
      <c r="DD1328" s="77">
        <f>IFERROR(VALUE(LEFT(TRIM($AO1328&amp;""),4)),"")</f>
        <v/>
      </c>
      <c r="DE1328" s="78">
        <f>IF(AND($BY1328=1,$BX1328=1,OR(fDeal="All Deals",$BU1328=fDeal),OR(fEntity="All Entities",$BV1328=fEntity),OR(fPType="All Property Types",$BZ1328=fPType),OR(fDefeased="Include",$CJ1328=0)),1,0)</f>
        <v/>
      </c>
      <c r="DF1328" s="83">
        <f>$DE1328*N($I1328)</f>
        <v/>
      </c>
      <c r="DG1328" s="78">
        <f>IF($DE1328=1,IF(COUNTIFS($F$8:$F1328,$F1328,$DE$8:$DE1328,1)=1,1,0),0)</f>
        <v/>
      </c>
      <c r="DH1328" s="83">
        <f>IF($DG1328=1,SUMIFS($DF$8:$DF$1600,$F$8:$F$1600,$F1328),0)</f>
        <v/>
      </c>
      <c r="DI1328" s="78">
        <f>IF($DG1328=1,COUNTIFS($F$8:$F$1600,$F1328,$DE$8:$DE$1600,1),0)</f>
        <v/>
      </c>
      <c r="DJ1328" s="84">
        <f>IF($DG1328=1,$DH1328+(100000-ROW())/mTieBreak,0)</f>
        <v/>
      </c>
    </row>
    <row r="1329">
      <c r="B1329" s="68" t="n">
        <v>31</v>
      </c>
      <c r="C1329" s="69" t="inlineStr">
        <is>
          <t>CD17CD3</t>
        </is>
      </c>
      <c r="D1329" s="69" t="inlineStr">
        <is>
          <t>31.000</t>
        </is>
      </c>
      <c r="E1329" s="69" t="inlineStr">
        <is>
          <t>Fairfield Inn &amp; Suites Delray Beach</t>
        </is>
      </c>
      <c r="F1329" s="69" t="inlineStr">
        <is>
          <t>LNCD17CD3-31.000</t>
        </is>
      </c>
      <c r="G1329" s="70" t="n"/>
      <c r="H1329" s="71" t="n">
        <v>10500000</v>
      </c>
      <c r="I1329" s="71" t="n">
        <v>8087038.250004001</v>
      </c>
      <c r="J1329" s="72" t="n">
        <v>5.46</v>
      </c>
      <c r="K1329" s="69" t="inlineStr">
        <is>
          <t>Fixed rate</t>
        </is>
      </c>
      <c r="L1329" s="68" t="n">
        <v>120</v>
      </c>
      <c r="M1329" s="68" t="n">
        <v>4</v>
      </c>
      <c r="N1329" s="68" t="n">
        <v>300</v>
      </c>
      <c r="O1329" s="68" t="n"/>
      <c r="P1329" s="68" t="n"/>
      <c r="Q1329" s="68" t="n">
        <v>116</v>
      </c>
      <c r="R1329" s="69" t="n"/>
      <c r="S1329" s="69" t="inlineStr">
        <is>
          <t>No</t>
        </is>
      </c>
      <c r="T1329" s="73" t="n">
        <v>42736</v>
      </c>
      <c r="U1329" s="73" t="n">
        <v>46393</v>
      </c>
      <c r="V1329" s="73" t="n"/>
      <c r="W1329" s="69" t="n"/>
      <c r="X1329" s="69" t="inlineStr">
        <is>
          <t>Current</t>
        </is>
      </c>
      <c r="Y1329" s="68" t="n"/>
      <c r="Z1329" s="69" t="inlineStr">
        <is>
          <t>No Defeasance Occurred</t>
        </is>
      </c>
      <c r="AA1329" s="69" t="inlineStr">
        <is>
          <t>Yes</t>
        </is>
      </c>
      <c r="AB1329" s="69" t="inlineStr">
        <is>
          <t>Never special serv</t>
        </is>
      </c>
      <c r="AC1329" s="73" t="n"/>
      <c r="AD1329" s="69" t="n"/>
      <c r="AE1329" s="69" t="n"/>
      <c r="AF1329" s="69" t="inlineStr">
        <is>
          <t>FL</t>
        </is>
      </c>
      <c r="AG1329" s="69" t="inlineStr">
        <is>
          <t>Delray Beach</t>
        </is>
      </c>
      <c r="AH1329" s="69" t="inlineStr">
        <is>
          <t>Miami-Fort Lauderdale-West Palm Beach, FL</t>
        </is>
      </c>
      <c r="AI1329" s="69" t="inlineStr">
        <is>
          <t>South / Atlantic</t>
        </is>
      </c>
      <c r="AJ1329" s="69" t="inlineStr">
        <is>
          <t>HT</t>
        </is>
      </c>
      <c r="AK1329" s="69" t="inlineStr">
        <is>
          <t>Limited Service</t>
        </is>
      </c>
      <c r="AL1329" s="68" t="n">
        <v>1</v>
      </c>
      <c r="AM1329" s="68" t="n">
        <v>95</v>
      </c>
      <c r="AN1329" s="68" t="n"/>
      <c r="AO1329" s="69" t="inlineStr">
        <is>
          <t>2015</t>
        </is>
      </c>
      <c r="AP1329" s="70" t="n">
        <v>2015</v>
      </c>
      <c r="AQ1329" s="74" t="n">
        <v>1.64</v>
      </c>
      <c r="AR1329" s="74" t="n">
        <v>2.69</v>
      </c>
      <c r="AS1329" s="74" t="n">
        <v>64.90000000000001</v>
      </c>
      <c r="AT1329" s="74" t="n">
        <v>51.84</v>
      </c>
      <c r="AU1329" s="74" t="n">
        <v>48.84</v>
      </c>
      <c r="AV1329" s="74" t="n">
        <v>11.629761905</v>
      </c>
      <c r="AW1329" s="74" t="n">
        <v>12.14241691</v>
      </c>
      <c r="AX1329" s="75" t="n">
        <v>85</v>
      </c>
      <c r="AY1329" s="71" t="n">
        <v>15600000</v>
      </c>
      <c r="AZ1329" s="71" t="n">
        <v>15600000</v>
      </c>
      <c r="BA1329" s="71" t="n">
        <v>1221125</v>
      </c>
      <c r="BB1329" s="71" t="n">
        <v>2069647.34</v>
      </c>
      <c r="BC1329" s="69" t="inlineStr">
        <is>
          <t>Refinance</t>
        </is>
      </c>
      <c r="BD1329" s="69" t="inlineStr">
        <is>
          <t>Y</t>
        </is>
      </c>
      <c r="BE1329" s="71" t="n"/>
      <c r="BF1329" s="71" t="n"/>
      <c r="BG1329" s="71" t="n"/>
      <c r="BH1329" s="71" t="n">
        <v>0</v>
      </c>
      <c r="BI1329" s="71" t="n">
        <v>0</v>
      </c>
      <c r="BJ1329" s="69" t="inlineStr">
        <is>
          <t>Y</t>
        </is>
      </c>
      <c r="BK1329" s="69" t="n"/>
      <c r="BL1329" s="75" t="n"/>
      <c r="BM1329" s="73" t="n"/>
      <c r="BN1329" s="69" t="inlineStr">
        <is>
          <t>Prime Hospitality Group, LLC</t>
        </is>
      </c>
      <c r="BO1329" s="69" t="inlineStr">
        <is>
          <t>Citigroup Global Markets</t>
        </is>
      </c>
      <c r="BP1329" s="69" t="inlineStr">
        <is>
          <t>Midland Loan Services</t>
        </is>
      </c>
      <c r="BQ1329" s="69" t="inlineStr">
        <is>
          <t>K-Star Asset Management LLC</t>
        </is>
      </c>
      <c r="BR1329" s="69" t="n"/>
      <c r="BS1329" s="73" t="n">
        <v>46273</v>
      </c>
      <c r="BU1329" s="76">
        <f>IF($C1329="","",IFERROR(INDEX(dmName,MATCH($C1329,dmID,0)),"Unmapped"))</f>
        <v/>
      </c>
      <c r="BV1329" s="76">
        <f>IF($C1329="","",IFERROR(INDEX(dmEntity,MATCH($C1329,dmID,0)),"Unmapped"))</f>
        <v/>
      </c>
      <c r="BW1329" s="77">
        <f>IF($C1329="","",IFERROR(INDEX(dmVintage,MATCH($C1329,dmID,0)),""))</f>
        <v/>
      </c>
      <c r="BX1329" s="78">
        <f>IFERROR(INDEX(dmInclude,MATCH($C1329,dmID,0)),0)</f>
        <v/>
      </c>
      <c r="BY1329" s="78">
        <f>IF(N($I1329)&gt;0,1,0)</f>
        <v/>
      </c>
      <c r="BZ1329" s="76">
        <f>IF($AJ1329="","Other / Leased Fee",IFERROR(INDEX(mapPTGroup,MATCH(LEFT(TRIM($AJ1329),2),mapPTCode,0)),"Other / Leased Fee"))</f>
        <v/>
      </c>
      <c r="CA1329" s="76">
        <f>IF(TRIM($AF1329&amp;"")="","NR",LEFT(TRIM($AF1329),2))</f>
        <v/>
      </c>
      <c r="CB1329" s="76">
        <f>IFERROR(LOOKUP(2,1/(LEFT(TRIM($AI1329&amp;""),LEN(mapRegion))=mapRegion),mapRegion),"Not Reported")</f>
        <v/>
      </c>
      <c r="CC1329" s="76">
        <f>IF($BY1329=0,"",IF(TRIM($W1329&amp;"")="REO","REO",IF(TRIM($W1329&amp;"")="FC","Foreclosure",IF(TRIM($W1329&amp;"")="90+","90+ Days Delinquent",IF(TRIM($W1329&amp;"")="60","60 Days Delinquent",IF(TRIM($W1329&amp;"")="30","30 Days Delinquent",IF($X1329="Non-Performing Matured Balloon","Non-Performing Matured Balloon",IF(OR($X1329="Late Payment But Less Than 30 Days Delinquent",LEFT($X1329&amp;"",20)="Payment Not Received"),"Late / In Grace (&lt;30 Days)",IF($X1329="Performing Matured Balloon","Performing Matured Balloon","Current")))))))))</f>
        <v/>
      </c>
      <c r="CD1329" s="78">
        <f>IF(OR($CC1329="REO",$CC1329="Foreclosure",$CC1329="90+ Days Delinquent",$CC1329="60 Days Delinquent",$CC1329="30 Days Delinquent",$CC1329="Non-Performing Matured Balloon"),1,0)</f>
        <v/>
      </c>
      <c r="CE1329" s="76">
        <f>IF($AB1329="Currently special serv","Currently Specially Serviced",IF($AB1329="Returned to master serv","Previously Specially Serviced","Never Specially Serviced"))</f>
        <v/>
      </c>
      <c r="CF1329" s="78">
        <f>IF($CE1329="Currently Specially Serviced",1,0)</f>
        <v/>
      </c>
      <c r="CG1329" s="76">
        <f>IF($AA1329="Yes","Currently on Watchlist",IF($AA1329="Previously","Previously on Watchlist","Never on Watchlist"))</f>
        <v/>
      </c>
      <c r="CH1329" s="78">
        <f>IF($CG1329="Currently on Watchlist",1,0)</f>
        <v/>
      </c>
      <c r="CI1329" s="76">
        <f>IF($Z1329="Full Defeasance","Fully Defeased",IF($Z1329="Portion Of Loan Previously Defeased","Partially Defeased",IF($Z1329="Defeasance Not Allowable","Not Defeased (Not Permitted)","Not Defeased")))</f>
        <v/>
      </c>
      <c r="CJ1329" s="78">
        <f>IF($CI1329="Fully Defeased",1,0)</f>
        <v/>
      </c>
      <c r="CK1329" s="76">
        <f>IF($R1329="IO","Full IO",IF(LEFT($R1329&amp;"",7)="IO then","Partial IO","Amortizing"))</f>
        <v/>
      </c>
      <c r="CL1329" s="78">
        <f>IF($CK1329="Full IO",1,0)</f>
        <v/>
      </c>
      <c r="CM1329" s="78">
        <f>IF($CK1329="Partial IO",1,0)</f>
        <v/>
      </c>
      <c r="CN1329" s="76">
        <f>IF(LEFT($F1329&amp;"",10)="SPLIT_LOAN","Pari Passu Split","Standalone")</f>
        <v/>
      </c>
      <c r="CO1329" s="78">
        <f>IF($CN1329="Pari Passu Split",1,0)</f>
        <v/>
      </c>
      <c r="CP1329" s="77">
        <f>IF(ISNUMBER($T1329),YEAR($T1329),"")</f>
        <v/>
      </c>
      <c r="CQ1329" s="79">
        <f>IF(ISNUMBER($V1329),$V1329,IF(ISNUMBER($U1329),$U1329,""))</f>
        <v/>
      </c>
      <c r="CR1329" s="77">
        <f>IF(ISNUMBER($CQ1329),YEAR($CQ1329),"")</f>
        <v/>
      </c>
      <c r="CS1329" s="78">
        <f>IF(ISNUMBER($M1329),MAX(0,$M1329),IF(TRIM($M1329&amp;"")="matured",0,""))</f>
        <v/>
      </c>
      <c r="CT1329" s="78">
        <f>IF(AND(ISNUMBER($CS1329),N($CS1329)&lt;=mMatWindow),1,0)</f>
        <v/>
      </c>
      <c r="CU1329" s="80">
        <f>IF(ISNUMBER($J1329),$J1329/100,"")</f>
        <v/>
      </c>
      <c r="CV1329" s="81">
        <f>IF(ISNUMBER($AQ1329),$AQ1329,"")</f>
        <v/>
      </c>
      <c r="CW1329" s="81">
        <f>IF(ISNUMBER($AR1329),$AR1329,"")</f>
        <v/>
      </c>
      <c r="CX1329" s="82">
        <f>IF(ISNUMBER($AS1329),$AS1329/100,"")</f>
        <v/>
      </c>
      <c r="CY1329" s="82">
        <f>IF(ISNUMBER($AT1329),$AT1329/100,"")</f>
        <v/>
      </c>
      <c r="CZ1329" s="82">
        <f>IF(ISNUMBER($AU1329),$AU1329/100,"")</f>
        <v/>
      </c>
      <c r="DA1329" s="82">
        <f>IF(ISNUMBER($AV1329),$AV1329/100,"")</f>
        <v/>
      </c>
      <c r="DB1329" s="82">
        <f>IF(ISNUMBER($AW1329),$AW1329/100,"")</f>
        <v/>
      </c>
      <c r="DC1329" s="82">
        <f>IF(ISNUMBER($AX1329),$AX1329/100,"")</f>
        <v/>
      </c>
      <c r="DD1329" s="77">
        <f>IFERROR(VALUE(LEFT(TRIM($AO1329&amp;""),4)),"")</f>
        <v/>
      </c>
      <c r="DE1329" s="78">
        <f>IF(AND($BY1329=1,$BX1329=1,OR(fDeal="All Deals",$BU1329=fDeal),OR(fEntity="All Entities",$BV1329=fEntity),OR(fPType="All Property Types",$BZ1329=fPType),OR(fDefeased="Include",$CJ1329=0)),1,0)</f>
        <v/>
      </c>
      <c r="DF1329" s="83">
        <f>$DE1329*N($I1329)</f>
        <v/>
      </c>
      <c r="DG1329" s="78">
        <f>IF($DE1329=1,IF(COUNTIFS($F$8:$F1329,$F1329,$DE$8:$DE1329,1)=1,1,0),0)</f>
        <v/>
      </c>
      <c r="DH1329" s="83">
        <f>IF($DG1329=1,SUMIFS($DF$8:$DF$1600,$F$8:$F$1600,$F1329),0)</f>
        <v/>
      </c>
      <c r="DI1329" s="78">
        <f>IF($DG1329=1,COUNTIFS($F$8:$F$1600,$F1329,$DE$8:$DE$1600,1),0)</f>
        <v/>
      </c>
      <c r="DJ1329" s="84">
        <f>IF($DG1329=1,$DH1329+(100000-ROW())/mTieBreak,0)</f>
        <v/>
      </c>
    </row>
    <row r="1330">
      <c r="B1330" s="68" t="n">
        <v>32</v>
      </c>
      <c r="C1330" s="69" t="inlineStr">
        <is>
          <t>CD17CD3</t>
        </is>
      </c>
      <c r="D1330" s="69" t="inlineStr">
        <is>
          <t>32.000</t>
        </is>
      </c>
      <c r="E1330" s="69" t="inlineStr">
        <is>
          <t>Comfort Inn &amp; Suites Pittsburgh</t>
        </is>
      </c>
      <c r="F1330" s="69" t="inlineStr">
        <is>
          <t>LNCD17CD3-32.000</t>
        </is>
      </c>
      <c r="G1330" s="70" t="n"/>
      <c r="H1330" s="71" t="n">
        <v>10500000</v>
      </c>
      <c r="I1330" s="71" t="n">
        <v>7759485.259995002</v>
      </c>
      <c r="J1330" s="72" t="n">
        <v>4.49</v>
      </c>
      <c r="K1330" s="69" t="inlineStr">
        <is>
          <t>Fixed rate</t>
        </is>
      </c>
      <c r="L1330" s="68" t="n">
        <v>120</v>
      </c>
      <c r="M1330" s="68" t="n">
        <v>2</v>
      </c>
      <c r="N1330" s="68" t="n">
        <v>300</v>
      </c>
      <c r="O1330" s="68" t="n"/>
      <c r="P1330" s="68" t="n"/>
      <c r="Q1330" s="68" t="n">
        <v>118</v>
      </c>
      <c r="R1330" s="69" t="n"/>
      <c r="S1330" s="69" t="inlineStr">
        <is>
          <t>No</t>
        </is>
      </c>
      <c r="T1330" s="73" t="n">
        <v>42675</v>
      </c>
      <c r="U1330" s="73" t="n">
        <v>46332</v>
      </c>
      <c r="V1330" s="73" t="n"/>
      <c r="W1330" s="69" t="n"/>
      <c r="X1330" s="69" t="inlineStr">
        <is>
          <t>Current</t>
        </is>
      </c>
      <c r="Y1330" s="68" t="n"/>
      <c r="Z1330" s="69" t="inlineStr">
        <is>
          <t>No Defeasance Occurred</t>
        </is>
      </c>
      <c r="AA1330" s="69" t="inlineStr">
        <is>
          <t>Yes</t>
        </is>
      </c>
      <c r="AB1330" s="69" t="inlineStr">
        <is>
          <t>Returned to master serv</t>
        </is>
      </c>
      <c r="AC1330" s="73" t="n"/>
      <c r="AD1330" s="69" t="inlineStr">
        <is>
          <t>Other</t>
        </is>
      </c>
      <c r="AE1330" s="69" t="inlineStr">
        <is>
          <t>Resolved</t>
        </is>
      </c>
      <c r="AF1330" s="69" t="inlineStr">
        <is>
          <t>PA</t>
        </is>
      </c>
      <c r="AG1330" s="69" t="inlineStr">
        <is>
          <t>Pittsburgh</t>
        </is>
      </c>
      <c r="AH1330" s="69" t="inlineStr">
        <is>
          <t>Pittsburgh, PA</t>
        </is>
      </c>
      <c r="AI1330" s="69" t="inlineStr">
        <is>
          <t>Northeast / Mid-Atlantic</t>
        </is>
      </c>
      <c r="AJ1330" s="69" t="inlineStr">
        <is>
          <t>HT</t>
        </is>
      </c>
      <c r="AK1330" s="69" t="inlineStr">
        <is>
          <t>Select Service</t>
        </is>
      </c>
      <c r="AL1330" s="68" t="n">
        <v>1</v>
      </c>
      <c r="AM1330" s="68" t="n">
        <v>223</v>
      </c>
      <c r="AN1330" s="68" t="n"/>
      <c r="AO1330" s="69" t="inlineStr">
        <is>
          <t>1971</t>
        </is>
      </c>
      <c r="AP1330" s="70" t="n">
        <v>2011</v>
      </c>
      <c r="AQ1330" s="74" t="n">
        <v>1.94</v>
      </c>
      <c r="AR1330" s="74" t="n">
        <v>0.7</v>
      </c>
      <c r="AS1330" s="74" t="n">
        <v>62.5</v>
      </c>
      <c r="AT1330" s="74" t="n">
        <v>71.52</v>
      </c>
      <c r="AU1330" s="74" t="n">
        <v>46.1</v>
      </c>
      <c r="AV1330" s="74" t="n">
        <v>12.933107619</v>
      </c>
      <c r="AW1330" s="74" t="n">
        <v>15.954450051</v>
      </c>
      <c r="AX1330" s="75" t="n">
        <v>21</v>
      </c>
      <c r="AY1330" s="71" t="n">
        <v>16700000</v>
      </c>
      <c r="AZ1330" s="71" t="n">
        <v>10850000</v>
      </c>
      <c r="BA1330" s="71" t="n">
        <v>1357976.3</v>
      </c>
      <c r="BB1330" s="71" t="n">
        <v>121602.09</v>
      </c>
      <c r="BC1330" s="69" t="inlineStr">
        <is>
          <t>Acquisition</t>
        </is>
      </c>
      <c r="BD1330" s="69" t="inlineStr">
        <is>
          <t>N</t>
        </is>
      </c>
      <c r="BE1330" s="71" t="n"/>
      <c r="BF1330" s="71" t="n"/>
      <c r="BG1330" s="71" t="n"/>
      <c r="BH1330" s="71" t="n">
        <v>0</v>
      </c>
      <c r="BI1330" s="71" t="n">
        <v>0</v>
      </c>
      <c r="BJ1330" s="69" t="inlineStr">
        <is>
          <t>N</t>
        </is>
      </c>
      <c r="BK1330" s="69" t="n"/>
      <c r="BL1330" s="75" t="n"/>
      <c r="BM1330" s="73" t="n"/>
      <c r="BN1330" s="69" t="inlineStr">
        <is>
          <t>Durlabhji Ukani</t>
        </is>
      </c>
      <c r="BO1330" s="69" t="inlineStr">
        <is>
          <t>GACC</t>
        </is>
      </c>
      <c r="BP1330" s="69" t="inlineStr">
        <is>
          <t>Midland Loan Services</t>
        </is>
      </c>
      <c r="BQ1330" s="69" t="inlineStr">
        <is>
          <t>K-Star Asset Management LLC</t>
        </is>
      </c>
      <c r="BR1330" s="69" t="n"/>
      <c r="BS1330" s="73" t="n">
        <v>46273</v>
      </c>
      <c r="BU1330" s="76">
        <f>IF($C1330="","",IFERROR(INDEX(dmName,MATCH($C1330,dmID,0)),"Unmapped"))</f>
        <v/>
      </c>
      <c r="BV1330" s="76">
        <f>IF($C1330="","",IFERROR(INDEX(dmEntity,MATCH($C1330,dmID,0)),"Unmapped"))</f>
        <v/>
      </c>
      <c r="BW1330" s="77">
        <f>IF($C1330="","",IFERROR(INDEX(dmVintage,MATCH($C1330,dmID,0)),""))</f>
        <v/>
      </c>
      <c r="BX1330" s="78">
        <f>IFERROR(INDEX(dmInclude,MATCH($C1330,dmID,0)),0)</f>
        <v/>
      </c>
      <c r="BY1330" s="78">
        <f>IF(N($I1330)&gt;0,1,0)</f>
        <v/>
      </c>
      <c r="BZ1330" s="76">
        <f>IF($AJ1330="","Other / Leased Fee",IFERROR(INDEX(mapPTGroup,MATCH(LEFT(TRIM($AJ1330),2),mapPTCode,0)),"Other / Leased Fee"))</f>
        <v/>
      </c>
      <c r="CA1330" s="76">
        <f>IF(TRIM($AF1330&amp;"")="","NR",LEFT(TRIM($AF1330),2))</f>
        <v/>
      </c>
      <c r="CB1330" s="76">
        <f>IFERROR(LOOKUP(2,1/(LEFT(TRIM($AI1330&amp;""),LEN(mapRegion))=mapRegion),mapRegion),"Not Reported")</f>
        <v/>
      </c>
      <c r="CC1330" s="76">
        <f>IF($BY1330=0,"",IF(TRIM($W1330&amp;"")="REO","REO",IF(TRIM($W1330&amp;"")="FC","Foreclosure",IF(TRIM($W1330&amp;"")="90+","90+ Days Delinquent",IF(TRIM($W1330&amp;"")="60","60 Days Delinquent",IF(TRIM($W1330&amp;"")="30","30 Days Delinquent",IF($X1330="Non-Performing Matured Balloon","Non-Performing Matured Balloon",IF(OR($X1330="Late Payment But Less Than 30 Days Delinquent",LEFT($X1330&amp;"",20)="Payment Not Received"),"Late / In Grace (&lt;30 Days)",IF($X1330="Performing Matured Balloon","Performing Matured Balloon","Current")))))))))</f>
        <v/>
      </c>
      <c r="CD1330" s="78">
        <f>IF(OR($CC1330="REO",$CC1330="Foreclosure",$CC1330="90+ Days Delinquent",$CC1330="60 Days Delinquent",$CC1330="30 Days Delinquent",$CC1330="Non-Performing Matured Balloon"),1,0)</f>
        <v/>
      </c>
      <c r="CE1330" s="76">
        <f>IF($AB1330="Currently special serv","Currently Specially Serviced",IF($AB1330="Returned to master serv","Previously Specially Serviced","Never Specially Serviced"))</f>
        <v/>
      </c>
      <c r="CF1330" s="78">
        <f>IF($CE1330="Currently Specially Serviced",1,0)</f>
        <v/>
      </c>
      <c r="CG1330" s="76">
        <f>IF($AA1330="Yes","Currently on Watchlist",IF($AA1330="Previously","Previously on Watchlist","Never on Watchlist"))</f>
        <v/>
      </c>
      <c r="CH1330" s="78">
        <f>IF($CG1330="Currently on Watchlist",1,0)</f>
        <v/>
      </c>
      <c r="CI1330" s="76">
        <f>IF($Z1330="Full Defeasance","Fully Defeased",IF($Z1330="Portion Of Loan Previously Defeased","Partially Defeased",IF($Z1330="Defeasance Not Allowable","Not Defeased (Not Permitted)","Not Defeased")))</f>
        <v/>
      </c>
      <c r="CJ1330" s="78">
        <f>IF($CI1330="Fully Defeased",1,0)</f>
        <v/>
      </c>
      <c r="CK1330" s="76">
        <f>IF($R1330="IO","Full IO",IF(LEFT($R1330&amp;"",7)="IO then","Partial IO","Amortizing"))</f>
        <v/>
      </c>
      <c r="CL1330" s="78">
        <f>IF($CK1330="Full IO",1,0)</f>
        <v/>
      </c>
      <c r="CM1330" s="78">
        <f>IF($CK1330="Partial IO",1,0)</f>
        <v/>
      </c>
      <c r="CN1330" s="76">
        <f>IF(LEFT($F1330&amp;"",10)="SPLIT_LOAN","Pari Passu Split","Standalone")</f>
        <v/>
      </c>
      <c r="CO1330" s="78">
        <f>IF($CN1330="Pari Passu Split",1,0)</f>
        <v/>
      </c>
      <c r="CP1330" s="77">
        <f>IF(ISNUMBER($T1330),YEAR($T1330),"")</f>
        <v/>
      </c>
      <c r="CQ1330" s="79">
        <f>IF(ISNUMBER($V1330),$V1330,IF(ISNUMBER($U1330),$U1330,""))</f>
        <v/>
      </c>
      <c r="CR1330" s="77">
        <f>IF(ISNUMBER($CQ1330),YEAR($CQ1330),"")</f>
        <v/>
      </c>
      <c r="CS1330" s="78">
        <f>IF(ISNUMBER($M1330),MAX(0,$M1330),IF(TRIM($M1330&amp;"")="matured",0,""))</f>
        <v/>
      </c>
      <c r="CT1330" s="78">
        <f>IF(AND(ISNUMBER($CS1330),N($CS1330)&lt;=mMatWindow),1,0)</f>
        <v/>
      </c>
      <c r="CU1330" s="80">
        <f>IF(ISNUMBER($J1330),$J1330/100,"")</f>
        <v/>
      </c>
      <c r="CV1330" s="81">
        <f>IF(ISNUMBER($AQ1330),$AQ1330,"")</f>
        <v/>
      </c>
      <c r="CW1330" s="81">
        <f>IF(ISNUMBER($AR1330),$AR1330,"")</f>
        <v/>
      </c>
      <c r="CX1330" s="82">
        <f>IF(ISNUMBER($AS1330),$AS1330/100,"")</f>
        <v/>
      </c>
      <c r="CY1330" s="82">
        <f>IF(ISNUMBER($AT1330),$AT1330/100,"")</f>
        <v/>
      </c>
      <c r="CZ1330" s="82">
        <f>IF(ISNUMBER($AU1330),$AU1330/100,"")</f>
        <v/>
      </c>
      <c r="DA1330" s="82">
        <f>IF(ISNUMBER($AV1330),$AV1330/100,"")</f>
        <v/>
      </c>
      <c r="DB1330" s="82">
        <f>IF(ISNUMBER($AW1330),$AW1330/100,"")</f>
        <v/>
      </c>
      <c r="DC1330" s="82">
        <f>IF(ISNUMBER($AX1330),$AX1330/100,"")</f>
        <v/>
      </c>
      <c r="DD1330" s="77">
        <f>IFERROR(VALUE(LEFT(TRIM($AO1330&amp;""),4)),"")</f>
        <v/>
      </c>
      <c r="DE1330" s="78">
        <f>IF(AND($BY1330=1,$BX1330=1,OR(fDeal="All Deals",$BU1330=fDeal),OR(fEntity="All Entities",$BV1330=fEntity),OR(fPType="All Property Types",$BZ1330=fPType),OR(fDefeased="Include",$CJ1330=0)),1,0)</f>
        <v/>
      </c>
      <c r="DF1330" s="83">
        <f>$DE1330*N($I1330)</f>
        <v/>
      </c>
      <c r="DG1330" s="78">
        <f>IF($DE1330=1,IF(COUNTIFS($F$8:$F1330,$F1330,$DE$8:$DE1330,1)=1,1,0),0)</f>
        <v/>
      </c>
      <c r="DH1330" s="83">
        <f>IF($DG1330=1,SUMIFS($DF$8:$DF$1600,$F$8:$F$1600,$F1330),0)</f>
        <v/>
      </c>
      <c r="DI1330" s="78">
        <f>IF($DG1330=1,COUNTIFS($F$8:$F$1600,$F1330,$DE$8:$DE$1600,1),0)</f>
        <v/>
      </c>
      <c r="DJ1330" s="84">
        <f>IF($DG1330=1,$DH1330+(100000-ROW())/mTieBreak,0)</f>
        <v/>
      </c>
    </row>
    <row r="1331">
      <c r="B1331" s="68" t="n">
        <v>33</v>
      </c>
      <c r="C1331" s="69" t="inlineStr">
        <is>
          <t>CD17CD3</t>
        </is>
      </c>
      <c r="D1331" s="69" t="inlineStr">
        <is>
          <t>33.000</t>
        </is>
      </c>
      <c r="E1331" s="69" t="inlineStr">
        <is>
          <t>Olivewood Plaza</t>
        </is>
      </c>
      <c r="F1331" s="69" t="inlineStr">
        <is>
          <t>LNCD17CD3-33.000</t>
        </is>
      </c>
      <c r="G1331" s="70" t="n"/>
      <c r="H1331" s="71" t="n">
        <v>9050000</v>
      </c>
      <c r="I1331" s="71" t="n">
        <v>8350722.709998</v>
      </c>
      <c r="J1331" s="72" t="n">
        <v>4.71</v>
      </c>
      <c r="K1331" s="69" t="inlineStr">
        <is>
          <t>Fixed rate</t>
        </is>
      </c>
      <c r="L1331" s="68" t="n">
        <v>120</v>
      </c>
      <c r="M1331" s="68" t="n">
        <v>3</v>
      </c>
      <c r="N1331" s="68" t="n">
        <v>420</v>
      </c>
      <c r="O1331" s="68" t="n">
        <v>60</v>
      </c>
      <c r="P1331" s="68" t="n">
        <v>0</v>
      </c>
      <c r="Q1331" s="68" t="n">
        <v>117</v>
      </c>
      <c r="R1331" s="69" t="inlineStr">
        <is>
          <t>IO then Amort</t>
        </is>
      </c>
      <c r="S1331" s="69" t="inlineStr">
        <is>
          <t>No</t>
        </is>
      </c>
      <c r="T1331" s="73" t="n">
        <v>42705</v>
      </c>
      <c r="U1331" s="73" t="n">
        <v>46362</v>
      </c>
      <c r="V1331" s="73" t="n"/>
      <c r="W1331" s="69" t="n"/>
      <c r="X1331" s="69" t="inlineStr">
        <is>
          <t>Late Payment But Less Than 30 Days Delinquent</t>
        </is>
      </c>
      <c r="Y1331" s="68" t="n"/>
      <c r="Z1331" s="69" t="inlineStr">
        <is>
          <t>No Defeasance Occurred</t>
        </is>
      </c>
      <c r="AA1331" s="69" t="inlineStr">
        <is>
          <t>Yes</t>
        </is>
      </c>
      <c r="AB1331" s="69" t="inlineStr">
        <is>
          <t>Never special serv</t>
        </is>
      </c>
      <c r="AC1331" s="73" t="n"/>
      <c r="AD1331" s="69" t="n"/>
      <c r="AE1331" s="69" t="n"/>
      <c r="AF1331" s="69" t="inlineStr">
        <is>
          <t>CA</t>
        </is>
      </c>
      <c r="AG1331" s="69" t="inlineStr">
        <is>
          <t>Lindsay</t>
        </is>
      </c>
      <c r="AH1331" s="69" t="inlineStr">
        <is>
          <t>Visalia, CA</t>
        </is>
      </c>
      <c r="AI1331" s="69" t="inlineStr">
        <is>
          <t>West / Pacific North</t>
        </is>
      </c>
      <c r="AJ1331" s="69" t="inlineStr">
        <is>
          <t>RT</t>
        </is>
      </c>
      <c r="AK1331" s="69" t="inlineStr">
        <is>
          <t>Anchored</t>
        </is>
      </c>
      <c r="AL1331" s="68" t="n">
        <v>1</v>
      </c>
      <c r="AM1331" s="68" t="n"/>
      <c r="AN1331" s="68" t="n">
        <v>95364</v>
      </c>
      <c r="AO1331" s="69" t="inlineStr">
        <is>
          <t>1982</t>
        </is>
      </c>
      <c r="AP1331" s="70" t="n">
        <v>2016</v>
      </c>
      <c r="AQ1331" s="74" t="n">
        <v>1.64</v>
      </c>
      <c r="AR1331" s="74" t="n">
        <v>1.22</v>
      </c>
      <c r="AS1331" s="74" t="n">
        <v>62.4</v>
      </c>
      <c r="AT1331" s="74" t="n">
        <v>57.59</v>
      </c>
      <c r="AU1331" s="74" t="n">
        <v>57.3</v>
      </c>
      <c r="AV1331" s="74" t="n">
        <v>10.201491713</v>
      </c>
      <c r="AW1331" s="74" t="n">
        <v>8.256507776999999</v>
      </c>
      <c r="AX1331" s="75" t="n">
        <v>97</v>
      </c>
      <c r="AY1331" s="71" t="n">
        <v>14500000</v>
      </c>
      <c r="AZ1331" s="71" t="n">
        <v>14500000</v>
      </c>
      <c r="BA1331" s="71" t="n">
        <v>923235</v>
      </c>
      <c r="BB1331" s="71" t="n">
        <v>689478.0699999999</v>
      </c>
      <c r="BC1331" s="69" t="inlineStr">
        <is>
          <t>Refinance</t>
        </is>
      </c>
      <c r="BD1331" s="69" t="inlineStr">
        <is>
          <t>N</t>
        </is>
      </c>
      <c r="BE1331" s="71" t="n"/>
      <c r="BF1331" s="71" t="n"/>
      <c r="BG1331" s="71" t="n"/>
      <c r="BH1331" s="71" t="n">
        <v>0</v>
      </c>
      <c r="BI1331" s="71" t="n">
        <v>46955.12</v>
      </c>
      <c r="BJ1331" s="69" t="inlineStr">
        <is>
          <t>N</t>
        </is>
      </c>
      <c r="BK1331" s="69" t="inlineStr">
        <is>
          <t>Save Mart Supermarkets Inc. # 42</t>
        </is>
      </c>
      <c r="BL1331" s="75" t="n">
        <v>30.62</v>
      </c>
      <c r="BM1331" s="73" t="n">
        <v>46173</v>
      </c>
      <c r="BN1331" s="69" t="inlineStr">
        <is>
          <t>Dariush Youshaei and Yosef Kohan-Ghadosh</t>
        </is>
      </c>
      <c r="BO1331" s="69" t="inlineStr">
        <is>
          <t>GACC</t>
        </is>
      </c>
      <c r="BP1331" s="69" t="inlineStr">
        <is>
          <t>Midland Loan Services</t>
        </is>
      </c>
      <c r="BQ1331" s="69" t="inlineStr">
        <is>
          <t>K-Star Asset Management LLC</t>
        </is>
      </c>
      <c r="BR1331" s="69" t="n"/>
      <c r="BS1331" s="73" t="n">
        <v>46273</v>
      </c>
      <c r="BU1331" s="76">
        <f>IF($C1331="","",IFERROR(INDEX(dmName,MATCH($C1331,dmID,0)),"Unmapped"))</f>
        <v/>
      </c>
      <c r="BV1331" s="76">
        <f>IF($C1331="","",IFERROR(INDEX(dmEntity,MATCH($C1331,dmID,0)),"Unmapped"))</f>
        <v/>
      </c>
      <c r="BW1331" s="77">
        <f>IF($C1331="","",IFERROR(INDEX(dmVintage,MATCH($C1331,dmID,0)),""))</f>
        <v/>
      </c>
      <c r="BX1331" s="78">
        <f>IFERROR(INDEX(dmInclude,MATCH($C1331,dmID,0)),0)</f>
        <v/>
      </c>
      <c r="BY1331" s="78">
        <f>IF(N($I1331)&gt;0,1,0)</f>
        <v/>
      </c>
      <c r="BZ1331" s="76">
        <f>IF($AJ1331="","Other / Leased Fee",IFERROR(INDEX(mapPTGroup,MATCH(LEFT(TRIM($AJ1331),2),mapPTCode,0)),"Other / Leased Fee"))</f>
        <v/>
      </c>
      <c r="CA1331" s="76">
        <f>IF(TRIM($AF1331&amp;"")="","NR",LEFT(TRIM($AF1331),2))</f>
        <v/>
      </c>
      <c r="CB1331" s="76">
        <f>IFERROR(LOOKUP(2,1/(LEFT(TRIM($AI1331&amp;""),LEN(mapRegion))=mapRegion),mapRegion),"Not Reported")</f>
        <v/>
      </c>
      <c r="CC1331" s="76">
        <f>IF($BY1331=0,"",IF(TRIM($W1331&amp;"")="REO","REO",IF(TRIM($W1331&amp;"")="FC","Foreclosure",IF(TRIM($W1331&amp;"")="90+","90+ Days Delinquent",IF(TRIM($W1331&amp;"")="60","60 Days Delinquent",IF(TRIM($W1331&amp;"")="30","30 Days Delinquent",IF($X1331="Non-Performing Matured Balloon","Non-Performing Matured Balloon",IF(OR($X1331="Late Payment But Less Than 30 Days Delinquent",LEFT($X1331&amp;"",20)="Payment Not Received"),"Late / In Grace (&lt;30 Days)",IF($X1331="Performing Matured Balloon","Performing Matured Balloon","Current")))))))))</f>
        <v/>
      </c>
      <c r="CD1331" s="78">
        <f>IF(OR($CC1331="REO",$CC1331="Foreclosure",$CC1331="90+ Days Delinquent",$CC1331="60 Days Delinquent",$CC1331="30 Days Delinquent",$CC1331="Non-Performing Matured Balloon"),1,0)</f>
        <v/>
      </c>
      <c r="CE1331" s="76">
        <f>IF($AB1331="Currently special serv","Currently Specially Serviced",IF($AB1331="Returned to master serv","Previously Specially Serviced","Never Specially Serviced"))</f>
        <v/>
      </c>
      <c r="CF1331" s="78">
        <f>IF($CE1331="Currently Specially Serviced",1,0)</f>
        <v/>
      </c>
      <c r="CG1331" s="76">
        <f>IF($AA1331="Yes","Currently on Watchlist",IF($AA1331="Previously","Previously on Watchlist","Never on Watchlist"))</f>
        <v/>
      </c>
      <c r="CH1331" s="78">
        <f>IF($CG1331="Currently on Watchlist",1,0)</f>
        <v/>
      </c>
      <c r="CI1331" s="76">
        <f>IF($Z1331="Full Defeasance","Fully Defeased",IF($Z1331="Portion Of Loan Previously Defeased","Partially Defeased",IF($Z1331="Defeasance Not Allowable","Not Defeased (Not Permitted)","Not Defeased")))</f>
        <v/>
      </c>
      <c r="CJ1331" s="78">
        <f>IF($CI1331="Fully Defeased",1,0)</f>
        <v/>
      </c>
      <c r="CK1331" s="76">
        <f>IF($R1331="IO","Full IO",IF(LEFT($R1331&amp;"",7)="IO then","Partial IO","Amortizing"))</f>
        <v/>
      </c>
      <c r="CL1331" s="78">
        <f>IF($CK1331="Full IO",1,0)</f>
        <v/>
      </c>
      <c r="CM1331" s="78">
        <f>IF($CK1331="Partial IO",1,0)</f>
        <v/>
      </c>
      <c r="CN1331" s="76">
        <f>IF(LEFT($F1331&amp;"",10)="SPLIT_LOAN","Pari Passu Split","Standalone")</f>
        <v/>
      </c>
      <c r="CO1331" s="78">
        <f>IF($CN1331="Pari Passu Split",1,0)</f>
        <v/>
      </c>
      <c r="CP1331" s="77">
        <f>IF(ISNUMBER($T1331),YEAR($T1331),"")</f>
        <v/>
      </c>
      <c r="CQ1331" s="79">
        <f>IF(ISNUMBER($V1331),$V1331,IF(ISNUMBER($U1331),$U1331,""))</f>
        <v/>
      </c>
      <c r="CR1331" s="77">
        <f>IF(ISNUMBER($CQ1331),YEAR($CQ1331),"")</f>
        <v/>
      </c>
      <c r="CS1331" s="78">
        <f>IF(ISNUMBER($M1331),MAX(0,$M1331),IF(TRIM($M1331&amp;"")="matured",0,""))</f>
        <v/>
      </c>
      <c r="CT1331" s="78">
        <f>IF(AND(ISNUMBER($CS1331),N($CS1331)&lt;=mMatWindow),1,0)</f>
        <v/>
      </c>
      <c r="CU1331" s="80">
        <f>IF(ISNUMBER($J1331),$J1331/100,"")</f>
        <v/>
      </c>
      <c r="CV1331" s="81">
        <f>IF(ISNUMBER($AQ1331),$AQ1331,"")</f>
        <v/>
      </c>
      <c r="CW1331" s="81">
        <f>IF(ISNUMBER($AR1331),$AR1331,"")</f>
        <v/>
      </c>
      <c r="CX1331" s="82">
        <f>IF(ISNUMBER($AS1331),$AS1331/100,"")</f>
        <v/>
      </c>
      <c r="CY1331" s="82">
        <f>IF(ISNUMBER($AT1331),$AT1331/100,"")</f>
        <v/>
      </c>
      <c r="CZ1331" s="82">
        <f>IF(ISNUMBER($AU1331),$AU1331/100,"")</f>
        <v/>
      </c>
      <c r="DA1331" s="82">
        <f>IF(ISNUMBER($AV1331),$AV1331/100,"")</f>
        <v/>
      </c>
      <c r="DB1331" s="82">
        <f>IF(ISNUMBER($AW1331),$AW1331/100,"")</f>
        <v/>
      </c>
      <c r="DC1331" s="82">
        <f>IF(ISNUMBER($AX1331),$AX1331/100,"")</f>
        <v/>
      </c>
      <c r="DD1331" s="77">
        <f>IFERROR(VALUE(LEFT(TRIM($AO1331&amp;""),4)),"")</f>
        <v/>
      </c>
      <c r="DE1331" s="78">
        <f>IF(AND($BY1331=1,$BX1331=1,OR(fDeal="All Deals",$BU1331=fDeal),OR(fEntity="All Entities",$BV1331=fEntity),OR(fPType="All Property Types",$BZ1331=fPType),OR(fDefeased="Include",$CJ1331=0)),1,0)</f>
        <v/>
      </c>
      <c r="DF1331" s="83">
        <f>$DE1331*N($I1331)</f>
        <v/>
      </c>
      <c r="DG1331" s="78">
        <f>IF($DE1331=1,IF(COUNTIFS($F$8:$F1331,$F1331,$DE$8:$DE1331,1)=1,1,0),0)</f>
        <v/>
      </c>
      <c r="DH1331" s="83">
        <f>IF($DG1331=1,SUMIFS($DF$8:$DF$1600,$F$8:$F$1600,$F1331),0)</f>
        <v/>
      </c>
      <c r="DI1331" s="78">
        <f>IF($DG1331=1,COUNTIFS($F$8:$F$1600,$F1331,$DE$8:$DE$1600,1),0)</f>
        <v/>
      </c>
      <c r="DJ1331" s="84">
        <f>IF($DG1331=1,$DH1331+(100000-ROW())/mTieBreak,0)</f>
        <v/>
      </c>
    </row>
    <row r="1332">
      <c r="B1332" s="68" t="n">
        <v>34</v>
      </c>
      <c r="C1332" s="69" t="inlineStr">
        <is>
          <t>CD17CD3</t>
        </is>
      </c>
      <c r="D1332" s="69" t="inlineStr">
        <is>
          <t>34.000</t>
        </is>
      </c>
      <c r="E1332" s="69" t="inlineStr">
        <is>
          <t>8 Beltway Flex Center</t>
        </is>
      </c>
      <c r="F1332" s="69" t="inlineStr">
        <is>
          <t>LNCD17CD3-34.000</t>
        </is>
      </c>
      <c r="G1332" s="70" t="n"/>
      <c r="H1332" s="71" t="n">
        <v>9000000</v>
      </c>
      <c r="I1332" s="71" t="n">
        <v>6882398.319996</v>
      </c>
      <c r="J1332" s="72" t="n">
        <v>5.25</v>
      </c>
      <c r="K1332" s="69" t="inlineStr">
        <is>
          <t>Fixed rate</t>
        </is>
      </c>
      <c r="L1332" s="68" t="n">
        <v>120</v>
      </c>
      <c r="M1332" s="68" t="n">
        <v>4</v>
      </c>
      <c r="N1332" s="68" t="n">
        <v>300</v>
      </c>
      <c r="O1332" s="68" t="n"/>
      <c r="P1332" s="68" t="n"/>
      <c r="Q1332" s="68" t="n">
        <v>116</v>
      </c>
      <c r="R1332" s="69" t="n"/>
      <c r="S1332" s="69" t="inlineStr">
        <is>
          <t>No</t>
        </is>
      </c>
      <c r="T1332" s="73" t="n">
        <v>42736</v>
      </c>
      <c r="U1332" s="73" t="n">
        <v>46393</v>
      </c>
      <c r="V1332" s="73" t="n"/>
      <c r="W1332" s="69" t="n"/>
      <c r="X1332" s="69" t="inlineStr">
        <is>
          <t>Current</t>
        </is>
      </c>
      <c r="Y1332" s="68" t="n"/>
      <c r="Z1332" s="69" t="inlineStr">
        <is>
          <t>No Defeasance Occurred</t>
        </is>
      </c>
      <c r="AA1332" s="69" t="inlineStr">
        <is>
          <t>Previously</t>
        </is>
      </c>
      <c r="AB1332" s="69" t="inlineStr">
        <is>
          <t>Never special serv</t>
        </is>
      </c>
      <c r="AC1332" s="73" t="n"/>
      <c r="AD1332" s="69" t="n"/>
      <c r="AE1332" s="69" t="n"/>
      <c r="AF1332" s="69" t="inlineStr">
        <is>
          <t>TX</t>
        </is>
      </c>
      <c r="AG1332" s="69" t="inlineStr">
        <is>
          <t>Houston</t>
        </is>
      </c>
      <c r="AH1332" s="69" t="inlineStr">
        <is>
          <t>Houston-Pasadena-The Woodlands, TX</t>
        </is>
      </c>
      <c r="AI1332" s="69" t="inlineStr">
        <is>
          <t>South / Central West</t>
        </is>
      </c>
      <c r="AJ1332" s="69" t="inlineStr">
        <is>
          <t>MX</t>
        </is>
      </c>
      <c r="AK1332" s="69" t="n"/>
      <c r="AL1332" s="68" t="n">
        <v>1</v>
      </c>
      <c r="AM1332" s="68" t="n"/>
      <c r="AN1332" s="68" t="n">
        <v>116700</v>
      </c>
      <c r="AO1332" s="69" t="inlineStr">
        <is>
          <t>2005</t>
        </is>
      </c>
      <c r="AP1332" s="70" t="n">
        <v>2005</v>
      </c>
      <c r="AQ1332" s="74" t="n">
        <v>1.25</v>
      </c>
      <c r="AR1332" s="74" t="n">
        <v>1.56</v>
      </c>
      <c r="AS1332" s="74" t="n">
        <v>60.67</v>
      </c>
      <c r="AT1332" s="74" t="n">
        <v>50.24</v>
      </c>
      <c r="AU1332" s="74" t="n">
        <v>44.62</v>
      </c>
      <c r="AV1332" s="74" t="n">
        <v>8.301877778</v>
      </c>
      <c r="AW1332" s="74" t="n">
        <v>14.670362758</v>
      </c>
      <c r="AX1332" s="75" t="n">
        <v>100</v>
      </c>
      <c r="AY1332" s="71" t="n">
        <v>13700000</v>
      </c>
      <c r="AZ1332" s="71" t="n">
        <v>13700000</v>
      </c>
      <c r="BA1332" s="71" t="n">
        <v>747169</v>
      </c>
      <c r="BB1332" s="71" t="n">
        <v>1009672.8</v>
      </c>
      <c r="BC1332" s="69" t="inlineStr">
        <is>
          <t>Acquisition</t>
        </is>
      </c>
      <c r="BD1332" s="69" t="inlineStr">
        <is>
          <t>N</t>
        </is>
      </c>
      <c r="BE1332" s="71" t="n"/>
      <c r="BF1332" s="71" t="n"/>
      <c r="BG1332" s="71" t="n"/>
      <c r="BH1332" s="71" t="n">
        <v>0</v>
      </c>
      <c r="BI1332" s="71" t="n">
        <v>0</v>
      </c>
      <c r="BJ1332" s="69" t="inlineStr">
        <is>
          <t>N</t>
        </is>
      </c>
      <c r="BK1332" s="69" t="inlineStr">
        <is>
          <t>Additional Space</t>
        </is>
      </c>
      <c r="BL1332" s="75" t="n">
        <v>26.37</v>
      </c>
      <c r="BM1332" s="73" t="n">
        <v>46934</v>
      </c>
      <c r="BN1332" s="69" t="inlineStr">
        <is>
          <t>James M. Birney; Leeshan Birney and Ceyan Birney</t>
        </is>
      </c>
      <c r="BO1332" s="69" t="inlineStr">
        <is>
          <t>Citigroup Global Markets</t>
        </is>
      </c>
      <c r="BP1332" s="69" t="inlineStr">
        <is>
          <t>Midland Loan Services</t>
        </is>
      </c>
      <c r="BQ1332" s="69" t="inlineStr">
        <is>
          <t>K-Star Asset Management LLC</t>
        </is>
      </c>
      <c r="BR1332" s="69" t="n"/>
      <c r="BS1332" s="73" t="n">
        <v>46273</v>
      </c>
      <c r="BU1332" s="76">
        <f>IF($C1332="","",IFERROR(INDEX(dmName,MATCH($C1332,dmID,0)),"Unmapped"))</f>
        <v/>
      </c>
      <c r="BV1332" s="76">
        <f>IF($C1332="","",IFERROR(INDEX(dmEntity,MATCH($C1332,dmID,0)),"Unmapped"))</f>
        <v/>
      </c>
      <c r="BW1332" s="77">
        <f>IF($C1332="","",IFERROR(INDEX(dmVintage,MATCH($C1332,dmID,0)),""))</f>
        <v/>
      </c>
      <c r="BX1332" s="78">
        <f>IFERROR(INDEX(dmInclude,MATCH($C1332,dmID,0)),0)</f>
        <v/>
      </c>
      <c r="BY1332" s="78">
        <f>IF(N($I1332)&gt;0,1,0)</f>
        <v/>
      </c>
      <c r="BZ1332" s="76">
        <f>IF($AJ1332="","Other / Leased Fee",IFERROR(INDEX(mapPTGroup,MATCH(LEFT(TRIM($AJ1332),2),mapPTCode,0)),"Other / Leased Fee"))</f>
        <v/>
      </c>
      <c r="CA1332" s="76">
        <f>IF(TRIM($AF1332&amp;"")="","NR",LEFT(TRIM($AF1332),2))</f>
        <v/>
      </c>
      <c r="CB1332" s="76">
        <f>IFERROR(LOOKUP(2,1/(LEFT(TRIM($AI1332&amp;""),LEN(mapRegion))=mapRegion),mapRegion),"Not Reported")</f>
        <v/>
      </c>
      <c r="CC1332" s="76">
        <f>IF($BY1332=0,"",IF(TRIM($W1332&amp;"")="REO","REO",IF(TRIM($W1332&amp;"")="FC","Foreclosure",IF(TRIM($W1332&amp;"")="90+","90+ Days Delinquent",IF(TRIM($W1332&amp;"")="60","60 Days Delinquent",IF(TRIM($W1332&amp;"")="30","30 Days Delinquent",IF($X1332="Non-Performing Matured Balloon","Non-Performing Matured Balloon",IF(OR($X1332="Late Payment But Less Than 30 Days Delinquent",LEFT($X1332&amp;"",20)="Payment Not Received"),"Late / In Grace (&lt;30 Days)",IF($X1332="Performing Matured Balloon","Performing Matured Balloon","Current")))))))))</f>
        <v/>
      </c>
      <c r="CD1332" s="78">
        <f>IF(OR($CC1332="REO",$CC1332="Foreclosure",$CC1332="90+ Days Delinquent",$CC1332="60 Days Delinquent",$CC1332="30 Days Delinquent",$CC1332="Non-Performing Matured Balloon"),1,0)</f>
        <v/>
      </c>
      <c r="CE1332" s="76">
        <f>IF($AB1332="Currently special serv","Currently Specially Serviced",IF($AB1332="Returned to master serv","Previously Specially Serviced","Never Specially Serviced"))</f>
        <v/>
      </c>
      <c r="CF1332" s="78">
        <f>IF($CE1332="Currently Specially Serviced",1,0)</f>
        <v/>
      </c>
      <c r="CG1332" s="76">
        <f>IF($AA1332="Yes","Currently on Watchlist",IF($AA1332="Previously","Previously on Watchlist","Never on Watchlist"))</f>
        <v/>
      </c>
      <c r="CH1332" s="78">
        <f>IF($CG1332="Currently on Watchlist",1,0)</f>
        <v/>
      </c>
      <c r="CI1332" s="76">
        <f>IF($Z1332="Full Defeasance","Fully Defeased",IF($Z1332="Portion Of Loan Previously Defeased","Partially Defeased",IF($Z1332="Defeasance Not Allowable","Not Defeased (Not Permitted)","Not Defeased")))</f>
        <v/>
      </c>
      <c r="CJ1332" s="78">
        <f>IF($CI1332="Fully Defeased",1,0)</f>
        <v/>
      </c>
      <c r="CK1332" s="76">
        <f>IF($R1332="IO","Full IO",IF(LEFT($R1332&amp;"",7)="IO then","Partial IO","Amortizing"))</f>
        <v/>
      </c>
      <c r="CL1332" s="78">
        <f>IF($CK1332="Full IO",1,0)</f>
        <v/>
      </c>
      <c r="CM1332" s="78">
        <f>IF($CK1332="Partial IO",1,0)</f>
        <v/>
      </c>
      <c r="CN1332" s="76">
        <f>IF(LEFT($F1332&amp;"",10)="SPLIT_LOAN","Pari Passu Split","Standalone")</f>
        <v/>
      </c>
      <c r="CO1332" s="78">
        <f>IF($CN1332="Pari Passu Split",1,0)</f>
        <v/>
      </c>
      <c r="CP1332" s="77">
        <f>IF(ISNUMBER($T1332),YEAR($T1332),"")</f>
        <v/>
      </c>
      <c r="CQ1332" s="79">
        <f>IF(ISNUMBER($V1332),$V1332,IF(ISNUMBER($U1332),$U1332,""))</f>
        <v/>
      </c>
      <c r="CR1332" s="77">
        <f>IF(ISNUMBER($CQ1332),YEAR($CQ1332),"")</f>
        <v/>
      </c>
      <c r="CS1332" s="78">
        <f>IF(ISNUMBER($M1332),MAX(0,$M1332),IF(TRIM($M1332&amp;"")="matured",0,""))</f>
        <v/>
      </c>
      <c r="CT1332" s="78">
        <f>IF(AND(ISNUMBER($CS1332),N($CS1332)&lt;=mMatWindow),1,0)</f>
        <v/>
      </c>
      <c r="CU1332" s="80">
        <f>IF(ISNUMBER($J1332),$J1332/100,"")</f>
        <v/>
      </c>
      <c r="CV1332" s="81">
        <f>IF(ISNUMBER($AQ1332),$AQ1332,"")</f>
        <v/>
      </c>
      <c r="CW1332" s="81">
        <f>IF(ISNUMBER($AR1332),$AR1332,"")</f>
        <v/>
      </c>
      <c r="CX1332" s="82">
        <f>IF(ISNUMBER($AS1332),$AS1332/100,"")</f>
        <v/>
      </c>
      <c r="CY1332" s="82">
        <f>IF(ISNUMBER($AT1332),$AT1332/100,"")</f>
        <v/>
      </c>
      <c r="CZ1332" s="82">
        <f>IF(ISNUMBER($AU1332),$AU1332/100,"")</f>
        <v/>
      </c>
      <c r="DA1332" s="82">
        <f>IF(ISNUMBER($AV1332),$AV1332/100,"")</f>
        <v/>
      </c>
      <c r="DB1332" s="82">
        <f>IF(ISNUMBER($AW1332),$AW1332/100,"")</f>
        <v/>
      </c>
      <c r="DC1332" s="82">
        <f>IF(ISNUMBER($AX1332),$AX1332/100,"")</f>
        <v/>
      </c>
      <c r="DD1332" s="77">
        <f>IFERROR(VALUE(LEFT(TRIM($AO1332&amp;""),4)),"")</f>
        <v/>
      </c>
      <c r="DE1332" s="78">
        <f>IF(AND($BY1332=1,$BX1332=1,OR(fDeal="All Deals",$BU1332=fDeal),OR(fEntity="All Entities",$BV1332=fEntity),OR(fPType="All Property Types",$BZ1332=fPType),OR(fDefeased="Include",$CJ1332=0)),1,0)</f>
        <v/>
      </c>
      <c r="DF1332" s="83">
        <f>$DE1332*N($I1332)</f>
        <v/>
      </c>
      <c r="DG1332" s="78">
        <f>IF($DE1332=1,IF(COUNTIFS($F$8:$F1332,$F1332,$DE$8:$DE1332,1)=1,1,0),0)</f>
        <v/>
      </c>
      <c r="DH1332" s="83">
        <f>IF($DG1332=1,SUMIFS($DF$8:$DF$1600,$F$8:$F$1600,$F1332),0)</f>
        <v/>
      </c>
      <c r="DI1332" s="78">
        <f>IF($DG1332=1,COUNTIFS($F$8:$F$1600,$F1332,$DE$8:$DE$1600,1),0)</f>
        <v/>
      </c>
      <c r="DJ1332" s="84">
        <f>IF($DG1332=1,$DH1332+(100000-ROW())/mTieBreak,0)</f>
        <v/>
      </c>
    </row>
    <row r="1333">
      <c r="B1333" s="68" t="n">
        <v>35</v>
      </c>
      <c r="C1333" s="69" t="inlineStr">
        <is>
          <t>CD17CD3</t>
        </is>
      </c>
      <c r="D1333" s="69" t="inlineStr">
        <is>
          <t>35.000</t>
        </is>
      </c>
      <c r="E1333" s="69" t="inlineStr">
        <is>
          <t>Publix at Shakerag</t>
        </is>
      </c>
      <c r="F1333" s="69" t="inlineStr">
        <is>
          <t>LNCD17CD3-35.000</t>
        </is>
      </c>
      <c r="G1333" s="70" t="n"/>
      <c r="H1333" s="71" t="n">
        <v>8925000</v>
      </c>
      <c r="I1333" s="71" t="n">
        <v>7200643.009999951</v>
      </c>
      <c r="J1333" s="72" t="n">
        <v>4.3</v>
      </c>
      <c r="K1333" s="69" t="inlineStr">
        <is>
          <t>Fixed rate</t>
        </is>
      </c>
      <c r="L1333" s="68" t="n">
        <v>120</v>
      </c>
      <c r="M1333" s="68" t="n">
        <v>2</v>
      </c>
      <c r="N1333" s="68" t="n">
        <v>360</v>
      </c>
      <c r="O1333" s="68" t="n"/>
      <c r="P1333" s="68" t="n"/>
      <c r="Q1333" s="68" t="n">
        <v>118</v>
      </c>
      <c r="R1333" s="69" t="n"/>
      <c r="S1333" s="69" t="inlineStr">
        <is>
          <t>No</t>
        </is>
      </c>
      <c r="T1333" s="73" t="n">
        <v>42675</v>
      </c>
      <c r="U1333" s="73" t="n">
        <v>46332</v>
      </c>
      <c r="V1333" s="73" t="n"/>
      <c r="W1333" s="69" t="n"/>
      <c r="X1333" s="69" t="inlineStr">
        <is>
          <t>Current</t>
        </is>
      </c>
      <c r="Y1333" s="68" t="n"/>
      <c r="Z1333" s="69" t="inlineStr">
        <is>
          <t>No Defeasance Occurred</t>
        </is>
      </c>
      <c r="AA1333" s="69" t="inlineStr">
        <is>
          <t>Yes</t>
        </is>
      </c>
      <c r="AB1333" s="69" t="inlineStr">
        <is>
          <t>Never special serv</t>
        </is>
      </c>
      <c r="AC1333" s="73" t="n"/>
      <c r="AD1333" s="69" t="n"/>
      <c r="AE1333" s="69" t="n"/>
      <c r="AF1333" s="69" t="inlineStr">
        <is>
          <t>GA</t>
        </is>
      </c>
      <c r="AG1333" s="69" t="inlineStr">
        <is>
          <t>Suwanee</t>
        </is>
      </c>
      <c r="AH1333" s="69" t="inlineStr">
        <is>
          <t>Atlanta-Sandy Springs-Roswell, GA</t>
        </is>
      </c>
      <c r="AI1333" s="69" t="inlineStr">
        <is>
          <t>South / Atlantic</t>
        </is>
      </c>
      <c r="AJ1333" s="69" t="inlineStr">
        <is>
          <t>RT</t>
        </is>
      </c>
      <c r="AK1333" s="69" t="inlineStr">
        <is>
          <t>Anchored</t>
        </is>
      </c>
      <c r="AL1333" s="68" t="n">
        <v>1</v>
      </c>
      <c r="AM1333" s="68" t="n"/>
      <c r="AN1333" s="68" t="n">
        <v>64100</v>
      </c>
      <c r="AO1333" s="69" t="inlineStr">
        <is>
          <t>2004</t>
        </is>
      </c>
      <c r="AP1333" s="70" t="n">
        <v>2004</v>
      </c>
      <c r="AQ1333" s="74" t="n">
        <v>1.41</v>
      </c>
      <c r="AR1333" s="74" t="n">
        <v>1.89</v>
      </c>
      <c r="AS1333" s="74" t="n">
        <v>71.09999999999999</v>
      </c>
      <c r="AT1333" s="74" t="n">
        <v>57.61</v>
      </c>
      <c r="AU1333" s="74" t="n">
        <v>57.3</v>
      </c>
      <c r="AV1333" s="74" t="n">
        <v>8.361210084</v>
      </c>
      <c r="AW1333" s="74" t="n">
        <v>10.553979401</v>
      </c>
      <c r="AX1333" s="75" t="n">
        <v>98</v>
      </c>
      <c r="AY1333" s="71" t="n">
        <v>12500000</v>
      </c>
      <c r="AZ1333" s="71" t="n">
        <v>12500000</v>
      </c>
      <c r="BA1333" s="71" t="n">
        <v>746238</v>
      </c>
      <c r="BB1333" s="71" t="n">
        <v>1001272.41</v>
      </c>
      <c r="BC1333" s="69" t="inlineStr">
        <is>
          <t>Acquisition</t>
        </is>
      </c>
      <c r="BD1333" s="69" t="inlineStr">
        <is>
          <t>N</t>
        </is>
      </c>
      <c r="BE1333" s="71" t="n"/>
      <c r="BF1333" s="71" t="n"/>
      <c r="BG1333" s="71" t="n"/>
      <c r="BH1333" s="71" t="n">
        <v>0</v>
      </c>
      <c r="BI1333" s="71" t="n">
        <v>0</v>
      </c>
      <c r="BJ1333" s="69" t="inlineStr">
        <is>
          <t>N</t>
        </is>
      </c>
      <c r="BK1333" s="69" t="inlineStr">
        <is>
          <t>Publix</t>
        </is>
      </c>
      <c r="BL1333" s="75" t="n">
        <v>57.55</v>
      </c>
      <c r="BM1333" s="73" t="n">
        <v>47391</v>
      </c>
      <c r="BN1333" s="69" t="inlineStr">
        <is>
          <t>Michael Bisciotti</t>
        </is>
      </c>
      <c r="BO1333" s="69" t="inlineStr">
        <is>
          <t>GACC</t>
        </is>
      </c>
      <c r="BP1333" s="69" t="inlineStr">
        <is>
          <t>Midland Loan Services</t>
        </is>
      </c>
      <c r="BQ1333" s="69" t="inlineStr">
        <is>
          <t>K-Star Asset Management LLC</t>
        </is>
      </c>
      <c r="BR1333" s="69" t="n"/>
      <c r="BS1333" s="73" t="n">
        <v>46273</v>
      </c>
      <c r="BU1333" s="76">
        <f>IF($C1333="","",IFERROR(INDEX(dmName,MATCH($C1333,dmID,0)),"Unmapped"))</f>
        <v/>
      </c>
      <c r="BV1333" s="76">
        <f>IF($C1333="","",IFERROR(INDEX(dmEntity,MATCH($C1333,dmID,0)),"Unmapped"))</f>
        <v/>
      </c>
      <c r="BW1333" s="77">
        <f>IF($C1333="","",IFERROR(INDEX(dmVintage,MATCH($C1333,dmID,0)),""))</f>
        <v/>
      </c>
      <c r="BX1333" s="78">
        <f>IFERROR(INDEX(dmInclude,MATCH($C1333,dmID,0)),0)</f>
        <v/>
      </c>
      <c r="BY1333" s="78">
        <f>IF(N($I1333)&gt;0,1,0)</f>
        <v/>
      </c>
      <c r="BZ1333" s="76">
        <f>IF($AJ1333="","Other / Leased Fee",IFERROR(INDEX(mapPTGroup,MATCH(LEFT(TRIM($AJ1333),2),mapPTCode,0)),"Other / Leased Fee"))</f>
        <v/>
      </c>
      <c r="CA1333" s="76">
        <f>IF(TRIM($AF1333&amp;"")="","NR",LEFT(TRIM($AF1333),2))</f>
        <v/>
      </c>
      <c r="CB1333" s="76">
        <f>IFERROR(LOOKUP(2,1/(LEFT(TRIM($AI1333&amp;""),LEN(mapRegion))=mapRegion),mapRegion),"Not Reported")</f>
        <v/>
      </c>
      <c r="CC1333" s="76">
        <f>IF($BY1333=0,"",IF(TRIM($W1333&amp;"")="REO","REO",IF(TRIM($W1333&amp;"")="FC","Foreclosure",IF(TRIM($W1333&amp;"")="90+","90+ Days Delinquent",IF(TRIM($W1333&amp;"")="60","60 Days Delinquent",IF(TRIM($W1333&amp;"")="30","30 Days Delinquent",IF($X1333="Non-Performing Matured Balloon","Non-Performing Matured Balloon",IF(OR($X1333="Late Payment But Less Than 30 Days Delinquent",LEFT($X1333&amp;"",20)="Payment Not Received"),"Late / In Grace (&lt;30 Days)",IF($X1333="Performing Matured Balloon","Performing Matured Balloon","Current")))))))))</f>
        <v/>
      </c>
      <c r="CD1333" s="78">
        <f>IF(OR($CC1333="REO",$CC1333="Foreclosure",$CC1333="90+ Days Delinquent",$CC1333="60 Days Delinquent",$CC1333="30 Days Delinquent",$CC1333="Non-Performing Matured Balloon"),1,0)</f>
        <v/>
      </c>
      <c r="CE1333" s="76">
        <f>IF($AB1333="Currently special serv","Currently Specially Serviced",IF($AB1333="Returned to master serv","Previously Specially Serviced","Never Specially Serviced"))</f>
        <v/>
      </c>
      <c r="CF1333" s="78">
        <f>IF($CE1333="Currently Specially Serviced",1,0)</f>
        <v/>
      </c>
      <c r="CG1333" s="76">
        <f>IF($AA1333="Yes","Currently on Watchlist",IF($AA1333="Previously","Previously on Watchlist","Never on Watchlist"))</f>
        <v/>
      </c>
      <c r="CH1333" s="78">
        <f>IF($CG1333="Currently on Watchlist",1,0)</f>
        <v/>
      </c>
      <c r="CI1333" s="76">
        <f>IF($Z1333="Full Defeasance","Fully Defeased",IF($Z1333="Portion Of Loan Previously Defeased","Partially Defeased",IF($Z1333="Defeasance Not Allowable","Not Defeased (Not Permitted)","Not Defeased")))</f>
        <v/>
      </c>
      <c r="CJ1333" s="78">
        <f>IF($CI1333="Fully Defeased",1,0)</f>
        <v/>
      </c>
      <c r="CK1333" s="76">
        <f>IF($R1333="IO","Full IO",IF(LEFT($R1333&amp;"",7)="IO then","Partial IO","Amortizing"))</f>
        <v/>
      </c>
      <c r="CL1333" s="78">
        <f>IF($CK1333="Full IO",1,0)</f>
        <v/>
      </c>
      <c r="CM1333" s="78">
        <f>IF($CK1333="Partial IO",1,0)</f>
        <v/>
      </c>
      <c r="CN1333" s="76">
        <f>IF(LEFT($F1333&amp;"",10)="SPLIT_LOAN","Pari Passu Split","Standalone")</f>
        <v/>
      </c>
      <c r="CO1333" s="78">
        <f>IF($CN1333="Pari Passu Split",1,0)</f>
        <v/>
      </c>
      <c r="CP1333" s="77">
        <f>IF(ISNUMBER($T1333),YEAR($T1333),"")</f>
        <v/>
      </c>
      <c r="CQ1333" s="79">
        <f>IF(ISNUMBER($V1333),$V1333,IF(ISNUMBER($U1333),$U1333,""))</f>
        <v/>
      </c>
      <c r="CR1333" s="77">
        <f>IF(ISNUMBER($CQ1333),YEAR($CQ1333),"")</f>
        <v/>
      </c>
      <c r="CS1333" s="78">
        <f>IF(ISNUMBER($M1333),MAX(0,$M1333),IF(TRIM($M1333&amp;"")="matured",0,""))</f>
        <v/>
      </c>
      <c r="CT1333" s="78">
        <f>IF(AND(ISNUMBER($CS1333),N($CS1333)&lt;=mMatWindow),1,0)</f>
        <v/>
      </c>
      <c r="CU1333" s="80">
        <f>IF(ISNUMBER($J1333),$J1333/100,"")</f>
        <v/>
      </c>
      <c r="CV1333" s="81">
        <f>IF(ISNUMBER($AQ1333),$AQ1333,"")</f>
        <v/>
      </c>
      <c r="CW1333" s="81">
        <f>IF(ISNUMBER($AR1333),$AR1333,"")</f>
        <v/>
      </c>
      <c r="CX1333" s="82">
        <f>IF(ISNUMBER($AS1333),$AS1333/100,"")</f>
        <v/>
      </c>
      <c r="CY1333" s="82">
        <f>IF(ISNUMBER($AT1333),$AT1333/100,"")</f>
        <v/>
      </c>
      <c r="CZ1333" s="82">
        <f>IF(ISNUMBER($AU1333),$AU1333/100,"")</f>
        <v/>
      </c>
      <c r="DA1333" s="82">
        <f>IF(ISNUMBER($AV1333),$AV1333/100,"")</f>
        <v/>
      </c>
      <c r="DB1333" s="82">
        <f>IF(ISNUMBER($AW1333),$AW1333/100,"")</f>
        <v/>
      </c>
      <c r="DC1333" s="82">
        <f>IF(ISNUMBER($AX1333),$AX1333/100,"")</f>
        <v/>
      </c>
      <c r="DD1333" s="77">
        <f>IFERROR(VALUE(LEFT(TRIM($AO1333&amp;""),4)),"")</f>
        <v/>
      </c>
      <c r="DE1333" s="78">
        <f>IF(AND($BY1333=1,$BX1333=1,OR(fDeal="All Deals",$BU1333=fDeal),OR(fEntity="All Entities",$BV1333=fEntity),OR(fPType="All Property Types",$BZ1333=fPType),OR(fDefeased="Include",$CJ1333=0)),1,0)</f>
        <v/>
      </c>
      <c r="DF1333" s="83">
        <f>$DE1333*N($I1333)</f>
        <v/>
      </c>
      <c r="DG1333" s="78">
        <f>IF($DE1333=1,IF(COUNTIFS($F$8:$F1333,$F1333,$DE$8:$DE1333,1)=1,1,0),0)</f>
        <v/>
      </c>
      <c r="DH1333" s="83">
        <f>IF($DG1333=1,SUMIFS($DF$8:$DF$1600,$F$8:$F$1600,$F1333),0)</f>
        <v/>
      </c>
      <c r="DI1333" s="78">
        <f>IF($DG1333=1,COUNTIFS($F$8:$F$1600,$F1333,$DE$8:$DE$1600,1),0)</f>
        <v/>
      </c>
      <c r="DJ1333" s="84">
        <f>IF($DG1333=1,$DH1333+(100000-ROW())/mTieBreak,0)</f>
        <v/>
      </c>
    </row>
    <row r="1334">
      <c r="B1334" s="68" t="n">
        <v>36</v>
      </c>
      <c r="C1334" s="69" t="inlineStr">
        <is>
          <t>CD17CD3</t>
        </is>
      </c>
      <c r="D1334" s="69" t="inlineStr">
        <is>
          <t>36.000</t>
        </is>
      </c>
      <c r="E1334" s="69" t="inlineStr">
        <is>
          <t>Fairway Centre</t>
        </is>
      </c>
      <c r="F1334" s="69" t="inlineStr">
        <is>
          <t>LNCD17CD3-36.000</t>
        </is>
      </c>
      <c r="G1334" s="70" t="n"/>
      <c r="H1334" s="71" t="n">
        <v>8800000</v>
      </c>
      <c r="I1334" s="71" t="n">
        <v>7351330.190001601</v>
      </c>
      <c r="J1334" s="72" t="n">
        <v>5.23</v>
      </c>
      <c r="K1334" s="69" t="inlineStr">
        <is>
          <t>Fixed rate</t>
        </is>
      </c>
      <c r="L1334" s="68" t="n">
        <v>120</v>
      </c>
      <c r="M1334" s="68" t="n">
        <v>4</v>
      </c>
      <c r="N1334" s="68" t="n">
        <v>360</v>
      </c>
      <c r="O1334" s="68" t="n"/>
      <c r="P1334" s="68" t="n"/>
      <c r="Q1334" s="68" t="n">
        <v>116</v>
      </c>
      <c r="R1334" s="69" t="n"/>
      <c r="S1334" s="69" t="inlineStr">
        <is>
          <t>No</t>
        </is>
      </c>
      <c r="T1334" s="73" t="n">
        <v>42736</v>
      </c>
      <c r="U1334" s="73" t="n">
        <v>46393</v>
      </c>
      <c r="V1334" s="73" t="n"/>
      <c r="W1334" s="69" t="n"/>
      <c r="X1334" s="69" t="inlineStr">
        <is>
          <t>Current</t>
        </is>
      </c>
      <c r="Y1334" s="68" t="n"/>
      <c r="Z1334" s="69" t="inlineStr">
        <is>
          <t>No Defeasance Occurred</t>
        </is>
      </c>
      <c r="AA1334" s="69" t="inlineStr">
        <is>
          <t>Previously</t>
        </is>
      </c>
      <c r="AB1334" s="69" t="inlineStr">
        <is>
          <t>Never special serv</t>
        </is>
      </c>
      <c r="AC1334" s="73" t="n"/>
      <c r="AD1334" s="69" t="n"/>
      <c r="AE1334" s="69" t="n"/>
      <c r="AF1334" s="69" t="inlineStr">
        <is>
          <t>TX</t>
        </is>
      </c>
      <c r="AG1334" s="69" t="inlineStr">
        <is>
          <t>Irving</t>
        </is>
      </c>
      <c r="AH1334" s="69" t="inlineStr">
        <is>
          <t>Dallas-Fort Worth-Arlington, TX</t>
        </is>
      </c>
      <c r="AI1334" s="69" t="inlineStr">
        <is>
          <t>South / Central West</t>
        </is>
      </c>
      <c r="AJ1334" s="69" t="inlineStr">
        <is>
          <t>OF</t>
        </is>
      </c>
      <c r="AK1334" s="69" t="inlineStr">
        <is>
          <t>Suburban</t>
        </is>
      </c>
      <c r="AL1334" s="68" t="n">
        <v>1</v>
      </c>
      <c r="AM1334" s="68" t="n"/>
      <c r="AN1334" s="68" t="n">
        <v>83628</v>
      </c>
      <c r="AO1334" s="69" t="inlineStr">
        <is>
          <t>1980</t>
        </is>
      </c>
      <c r="AP1334" s="70" t="n">
        <v>2016</v>
      </c>
      <c r="AQ1334" s="74" t="n">
        <v>1.35</v>
      </c>
      <c r="AR1334" s="74" t="n">
        <v>1.27</v>
      </c>
      <c r="AS1334" s="74" t="n">
        <v>67.62</v>
      </c>
      <c r="AT1334" s="74" t="n">
        <v>56.55</v>
      </c>
      <c r="AU1334" s="74" t="n">
        <v>56.06</v>
      </c>
      <c r="AV1334" s="74" t="n">
        <v>8.927477272999999</v>
      </c>
      <c r="AW1334" s="74" t="n">
        <v>10.032950513</v>
      </c>
      <c r="AX1334" s="75" t="n">
        <v>100</v>
      </c>
      <c r="AY1334" s="71" t="n">
        <v>13000000</v>
      </c>
      <c r="AZ1334" s="71" t="n">
        <v>13000000</v>
      </c>
      <c r="BA1334" s="71" t="n">
        <v>785618</v>
      </c>
      <c r="BB1334" s="71" t="n">
        <v>737555.3199999999</v>
      </c>
      <c r="BC1334" s="69" t="inlineStr">
        <is>
          <t>Acquisition</t>
        </is>
      </c>
      <c r="BD1334" s="69" t="inlineStr">
        <is>
          <t>N</t>
        </is>
      </c>
      <c r="BE1334" s="71" t="n"/>
      <c r="BF1334" s="71" t="n"/>
      <c r="BG1334" s="71" t="n"/>
      <c r="BH1334" s="71" t="n">
        <v>0</v>
      </c>
      <c r="BI1334" s="71" t="n">
        <v>0</v>
      </c>
      <c r="BJ1334" s="69" t="inlineStr">
        <is>
          <t>N</t>
        </is>
      </c>
      <c r="BK1334" s="69" t="inlineStr">
        <is>
          <t>RGN-I rving LLC</t>
        </is>
      </c>
      <c r="BL1334" s="75" t="n">
        <v>37.42</v>
      </c>
      <c r="BM1334" s="73" t="n">
        <v>48518</v>
      </c>
      <c r="BN1334" s="69" t="inlineStr">
        <is>
          <t>Gerod B. Rush</t>
        </is>
      </c>
      <c r="BO1334" s="69" t="inlineStr">
        <is>
          <t>Citigroup Global Markets</t>
        </is>
      </c>
      <c r="BP1334" s="69" t="inlineStr">
        <is>
          <t>Midland Loan Services</t>
        </is>
      </c>
      <c r="BQ1334" s="69" t="inlineStr">
        <is>
          <t>K-Star Asset Management LLC</t>
        </is>
      </c>
      <c r="BR1334" s="69" t="n"/>
      <c r="BS1334" s="73" t="n">
        <v>46273</v>
      </c>
      <c r="BU1334" s="76">
        <f>IF($C1334="","",IFERROR(INDEX(dmName,MATCH($C1334,dmID,0)),"Unmapped"))</f>
        <v/>
      </c>
      <c r="BV1334" s="76">
        <f>IF($C1334="","",IFERROR(INDEX(dmEntity,MATCH($C1334,dmID,0)),"Unmapped"))</f>
        <v/>
      </c>
      <c r="BW1334" s="77">
        <f>IF($C1334="","",IFERROR(INDEX(dmVintage,MATCH($C1334,dmID,0)),""))</f>
        <v/>
      </c>
      <c r="BX1334" s="78">
        <f>IFERROR(INDEX(dmInclude,MATCH($C1334,dmID,0)),0)</f>
        <v/>
      </c>
      <c r="BY1334" s="78">
        <f>IF(N($I1334)&gt;0,1,0)</f>
        <v/>
      </c>
      <c r="BZ1334" s="76">
        <f>IF($AJ1334="","Other / Leased Fee",IFERROR(INDEX(mapPTGroup,MATCH(LEFT(TRIM($AJ1334),2),mapPTCode,0)),"Other / Leased Fee"))</f>
        <v/>
      </c>
      <c r="CA1334" s="76">
        <f>IF(TRIM($AF1334&amp;"")="","NR",LEFT(TRIM($AF1334),2))</f>
        <v/>
      </c>
      <c r="CB1334" s="76">
        <f>IFERROR(LOOKUP(2,1/(LEFT(TRIM($AI1334&amp;""),LEN(mapRegion))=mapRegion),mapRegion),"Not Reported")</f>
        <v/>
      </c>
      <c r="CC1334" s="76">
        <f>IF($BY1334=0,"",IF(TRIM($W1334&amp;"")="REO","REO",IF(TRIM($W1334&amp;"")="FC","Foreclosure",IF(TRIM($W1334&amp;"")="90+","90+ Days Delinquent",IF(TRIM($W1334&amp;"")="60","60 Days Delinquent",IF(TRIM($W1334&amp;"")="30","30 Days Delinquent",IF($X1334="Non-Performing Matured Balloon","Non-Performing Matured Balloon",IF(OR($X1334="Late Payment But Less Than 30 Days Delinquent",LEFT($X1334&amp;"",20)="Payment Not Received"),"Late / In Grace (&lt;30 Days)",IF($X1334="Performing Matured Balloon","Performing Matured Balloon","Current")))))))))</f>
        <v/>
      </c>
      <c r="CD1334" s="78">
        <f>IF(OR($CC1334="REO",$CC1334="Foreclosure",$CC1334="90+ Days Delinquent",$CC1334="60 Days Delinquent",$CC1334="30 Days Delinquent",$CC1334="Non-Performing Matured Balloon"),1,0)</f>
        <v/>
      </c>
      <c r="CE1334" s="76">
        <f>IF($AB1334="Currently special serv","Currently Specially Serviced",IF($AB1334="Returned to master serv","Previously Specially Serviced","Never Specially Serviced"))</f>
        <v/>
      </c>
      <c r="CF1334" s="78">
        <f>IF($CE1334="Currently Specially Serviced",1,0)</f>
        <v/>
      </c>
      <c r="CG1334" s="76">
        <f>IF($AA1334="Yes","Currently on Watchlist",IF($AA1334="Previously","Previously on Watchlist","Never on Watchlist"))</f>
        <v/>
      </c>
      <c r="CH1334" s="78">
        <f>IF($CG1334="Currently on Watchlist",1,0)</f>
        <v/>
      </c>
      <c r="CI1334" s="76">
        <f>IF($Z1334="Full Defeasance","Fully Defeased",IF($Z1334="Portion Of Loan Previously Defeased","Partially Defeased",IF($Z1334="Defeasance Not Allowable","Not Defeased (Not Permitted)","Not Defeased")))</f>
        <v/>
      </c>
      <c r="CJ1334" s="78">
        <f>IF($CI1334="Fully Defeased",1,0)</f>
        <v/>
      </c>
      <c r="CK1334" s="76">
        <f>IF($R1334="IO","Full IO",IF(LEFT($R1334&amp;"",7)="IO then","Partial IO","Amortizing"))</f>
        <v/>
      </c>
      <c r="CL1334" s="78">
        <f>IF($CK1334="Full IO",1,0)</f>
        <v/>
      </c>
      <c r="CM1334" s="78">
        <f>IF($CK1334="Partial IO",1,0)</f>
        <v/>
      </c>
      <c r="CN1334" s="76">
        <f>IF(LEFT($F1334&amp;"",10)="SPLIT_LOAN","Pari Passu Split","Standalone")</f>
        <v/>
      </c>
      <c r="CO1334" s="78">
        <f>IF($CN1334="Pari Passu Split",1,0)</f>
        <v/>
      </c>
      <c r="CP1334" s="77">
        <f>IF(ISNUMBER($T1334),YEAR($T1334),"")</f>
        <v/>
      </c>
      <c r="CQ1334" s="79">
        <f>IF(ISNUMBER($V1334),$V1334,IF(ISNUMBER($U1334),$U1334,""))</f>
        <v/>
      </c>
      <c r="CR1334" s="77">
        <f>IF(ISNUMBER($CQ1334),YEAR($CQ1334),"")</f>
        <v/>
      </c>
      <c r="CS1334" s="78">
        <f>IF(ISNUMBER($M1334),MAX(0,$M1334),IF(TRIM($M1334&amp;"")="matured",0,""))</f>
        <v/>
      </c>
      <c r="CT1334" s="78">
        <f>IF(AND(ISNUMBER($CS1334),N($CS1334)&lt;=mMatWindow),1,0)</f>
        <v/>
      </c>
      <c r="CU1334" s="80">
        <f>IF(ISNUMBER($J1334),$J1334/100,"")</f>
        <v/>
      </c>
      <c r="CV1334" s="81">
        <f>IF(ISNUMBER($AQ1334),$AQ1334,"")</f>
        <v/>
      </c>
      <c r="CW1334" s="81">
        <f>IF(ISNUMBER($AR1334),$AR1334,"")</f>
        <v/>
      </c>
      <c r="CX1334" s="82">
        <f>IF(ISNUMBER($AS1334),$AS1334/100,"")</f>
        <v/>
      </c>
      <c r="CY1334" s="82">
        <f>IF(ISNUMBER($AT1334),$AT1334/100,"")</f>
        <v/>
      </c>
      <c r="CZ1334" s="82">
        <f>IF(ISNUMBER($AU1334),$AU1334/100,"")</f>
        <v/>
      </c>
      <c r="DA1334" s="82">
        <f>IF(ISNUMBER($AV1334),$AV1334/100,"")</f>
        <v/>
      </c>
      <c r="DB1334" s="82">
        <f>IF(ISNUMBER($AW1334),$AW1334/100,"")</f>
        <v/>
      </c>
      <c r="DC1334" s="82">
        <f>IF(ISNUMBER($AX1334),$AX1334/100,"")</f>
        <v/>
      </c>
      <c r="DD1334" s="77">
        <f>IFERROR(VALUE(LEFT(TRIM($AO1334&amp;""),4)),"")</f>
        <v/>
      </c>
      <c r="DE1334" s="78">
        <f>IF(AND($BY1334=1,$BX1334=1,OR(fDeal="All Deals",$BU1334=fDeal),OR(fEntity="All Entities",$BV1334=fEntity),OR(fPType="All Property Types",$BZ1334=fPType),OR(fDefeased="Include",$CJ1334=0)),1,0)</f>
        <v/>
      </c>
      <c r="DF1334" s="83">
        <f>$DE1334*N($I1334)</f>
        <v/>
      </c>
      <c r="DG1334" s="78">
        <f>IF($DE1334=1,IF(COUNTIFS($F$8:$F1334,$F1334,$DE$8:$DE1334,1)=1,1,0),0)</f>
        <v/>
      </c>
      <c r="DH1334" s="83">
        <f>IF($DG1334=1,SUMIFS($DF$8:$DF$1600,$F$8:$F$1600,$F1334),0)</f>
        <v/>
      </c>
      <c r="DI1334" s="78">
        <f>IF($DG1334=1,COUNTIFS($F$8:$F$1600,$F1334,$DE$8:$DE$1600,1),0)</f>
        <v/>
      </c>
      <c r="DJ1334" s="84">
        <f>IF($DG1334=1,$DH1334+(100000-ROW())/mTieBreak,0)</f>
        <v/>
      </c>
    </row>
    <row r="1335">
      <c r="B1335" s="68" t="n">
        <v>37</v>
      </c>
      <c r="C1335" s="69" t="inlineStr">
        <is>
          <t>CD17CD3</t>
        </is>
      </c>
      <c r="D1335" s="69" t="inlineStr">
        <is>
          <t>37.000</t>
        </is>
      </c>
      <c r="E1335" s="69" t="inlineStr">
        <is>
          <t>Kingsville Pointe Apartments</t>
        </is>
      </c>
      <c r="F1335" s="69" t="inlineStr">
        <is>
          <t>LNCD17CD3-37.000</t>
        </is>
      </c>
      <c r="G1335" s="70" t="n"/>
      <c r="H1335" s="71" t="n">
        <v>8625000</v>
      </c>
      <c r="I1335" s="71" t="n">
        <v>0</v>
      </c>
      <c r="J1335" s="72" t="n">
        <v>5.55</v>
      </c>
      <c r="K1335" s="69" t="inlineStr">
        <is>
          <t>Fixed rate</t>
        </is>
      </c>
      <c r="L1335" s="68" t="n">
        <v>120</v>
      </c>
      <c r="M1335" s="68" t="n"/>
      <c r="N1335" s="68" t="n">
        <v>372</v>
      </c>
      <c r="O1335" s="68" t="n">
        <v>12</v>
      </c>
      <c r="P1335" s="68" t="n"/>
      <c r="Q1335" s="68" t="n"/>
      <c r="R1335" s="69" t="inlineStr">
        <is>
          <t>IO then Amort</t>
        </is>
      </c>
      <c r="S1335" s="69" t="inlineStr">
        <is>
          <t>No</t>
        </is>
      </c>
      <c r="T1335" s="73" t="n">
        <v>42736</v>
      </c>
      <c r="U1335" s="73" t="n">
        <v>46393</v>
      </c>
      <c r="V1335" s="73" t="n"/>
      <c r="W1335" s="69" t="n"/>
      <c r="X1335" s="69" t="inlineStr">
        <is>
          <t>Current</t>
        </is>
      </c>
      <c r="Y1335" s="68" t="n"/>
      <c r="Z1335" s="69" t="inlineStr">
        <is>
          <t>Defeasance Not Allowable</t>
        </is>
      </c>
      <c r="AA1335" s="69" t="inlineStr">
        <is>
          <t>Previously</t>
        </is>
      </c>
      <c r="AB1335" s="69" t="inlineStr">
        <is>
          <t>Never special serv</t>
        </is>
      </c>
      <c r="AC1335" s="73" t="n"/>
      <c r="AD1335" s="69" t="n"/>
      <c r="AE1335" s="69" t="n"/>
      <c r="AF1335" s="69" t="inlineStr">
        <is>
          <t>TX</t>
        </is>
      </c>
      <c r="AG1335" s="69" t="inlineStr">
        <is>
          <t>Kingsville</t>
        </is>
      </c>
      <c r="AH1335" s="69" t="inlineStr">
        <is>
          <t>Kingsville, TX</t>
        </is>
      </c>
      <c r="AI1335" s="69" t="inlineStr">
        <is>
          <t>South / Central West</t>
        </is>
      </c>
      <c r="AJ1335" s="69" t="inlineStr">
        <is>
          <t>MF</t>
        </is>
      </c>
      <c r="AK1335" s="69" t="inlineStr">
        <is>
          <t>Garden</t>
        </is>
      </c>
      <c r="AL1335" s="68" t="n">
        <v>1</v>
      </c>
      <c r="AM1335" s="68" t="n">
        <v>241</v>
      </c>
      <c r="AN1335" s="68" t="n"/>
      <c r="AO1335" s="69" t="inlineStr">
        <is>
          <t>1953</t>
        </is>
      </c>
      <c r="AP1335" s="70" t="n">
        <v>2005</v>
      </c>
      <c r="AQ1335" s="74" t="n">
        <v>1.25</v>
      </c>
      <c r="AR1335" s="74" t="n">
        <v>1.66</v>
      </c>
      <c r="AS1335" s="74" t="n">
        <v>72.97</v>
      </c>
      <c r="AT1335" s="74" t="n"/>
      <c r="AU1335" s="74" t="n">
        <v>62.55</v>
      </c>
      <c r="AV1335" s="74" t="n">
        <v>8.561217391</v>
      </c>
      <c r="AW1335" s="74" t="n"/>
      <c r="AX1335" s="75" t="n">
        <v>93</v>
      </c>
      <c r="AY1335" s="71" t="n">
        <v>11820000</v>
      </c>
      <c r="AZ1335" s="71" t="n">
        <v>11820000</v>
      </c>
      <c r="BA1335" s="71" t="n">
        <v>738405</v>
      </c>
      <c r="BB1335" s="71" t="n">
        <v>983372.71</v>
      </c>
      <c r="BC1335" s="69" t="inlineStr">
        <is>
          <t>Acquisition</t>
        </is>
      </c>
      <c r="BD1335" s="69" t="inlineStr">
        <is>
          <t>N</t>
        </is>
      </c>
      <c r="BE1335" s="71" t="n"/>
      <c r="BF1335" s="71" t="n"/>
      <c r="BG1335" s="71" t="n"/>
      <c r="BH1335" s="71" t="n">
        <v>0</v>
      </c>
      <c r="BI1335" s="71" t="n">
        <v>0</v>
      </c>
      <c r="BJ1335" s="69" t="inlineStr">
        <is>
          <t>N</t>
        </is>
      </c>
      <c r="BK1335" s="69" t="n"/>
      <c r="BL1335" s="75" t="n"/>
      <c r="BM1335" s="73" t="n"/>
      <c r="BN1335" s="69" t="inlineStr">
        <is>
          <t>Howard Yates; Mark H. Yates; Barry Nisen and Richard Stein</t>
        </is>
      </c>
      <c r="BO1335" s="69" t="inlineStr">
        <is>
          <t>Citigroup Global Markets</t>
        </is>
      </c>
      <c r="BP1335" s="69" t="inlineStr">
        <is>
          <t>Midland Loan Services</t>
        </is>
      </c>
      <c r="BQ1335" s="69" t="inlineStr">
        <is>
          <t>Midland Loan Services</t>
        </is>
      </c>
      <c r="BR1335" s="69" t="inlineStr">
        <is>
          <t>Payoff With Yield Maintenance</t>
        </is>
      </c>
      <c r="BS1335" s="73" t="n">
        <v>44627</v>
      </c>
      <c r="BU1335" s="76">
        <f>IF($C1335="","",IFERROR(INDEX(dmName,MATCH($C1335,dmID,0)),"Unmapped"))</f>
        <v/>
      </c>
      <c r="BV1335" s="76">
        <f>IF($C1335="","",IFERROR(INDEX(dmEntity,MATCH($C1335,dmID,0)),"Unmapped"))</f>
        <v/>
      </c>
      <c r="BW1335" s="77">
        <f>IF($C1335="","",IFERROR(INDEX(dmVintage,MATCH($C1335,dmID,0)),""))</f>
        <v/>
      </c>
      <c r="BX1335" s="78">
        <f>IFERROR(INDEX(dmInclude,MATCH($C1335,dmID,0)),0)</f>
        <v/>
      </c>
      <c r="BY1335" s="78">
        <f>IF(N($I1335)&gt;0,1,0)</f>
        <v/>
      </c>
      <c r="BZ1335" s="76">
        <f>IF($AJ1335="","Other / Leased Fee",IFERROR(INDEX(mapPTGroup,MATCH(LEFT(TRIM($AJ1335),2),mapPTCode,0)),"Other / Leased Fee"))</f>
        <v/>
      </c>
      <c r="CA1335" s="76">
        <f>IF(TRIM($AF1335&amp;"")="","NR",LEFT(TRIM($AF1335),2))</f>
        <v/>
      </c>
      <c r="CB1335" s="76">
        <f>IFERROR(LOOKUP(2,1/(LEFT(TRIM($AI1335&amp;""),LEN(mapRegion))=mapRegion),mapRegion),"Not Reported")</f>
        <v/>
      </c>
      <c r="CC1335" s="76">
        <f>IF($BY1335=0,"",IF(TRIM($W1335&amp;"")="REO","REO",IF(TRIM($W1335&amp;"")="FC","Foreclosure",IF(TRIM($W1335&amp;"")="90+","90+ Days Delinquent",IF(TRIM($W1335&amp;"")="60","60 Days Delinquent",IF(TRIM($W1335&amp;"")="30","30 Days Delinquent",IF($X1335="Non-Performing Matured Balloon","Non-Performing Matured Balloon",IF(OR($X1335="Late Payment But Less Than 30 Days Delinquent",LEFT($X1335&amp;"",20)="Payment Not Received"),"Late / In Grace (&lt;30 Days)",IF($X1335="Performing Matured Balloon","Performing Matured Balloon","Current")))))))))</f>
        <v/>
      </c>
      <c r="CD1335" s="78">
        <f>IF(OR($CC1335="REO",$CC1335="Foreclosure",$CC1335="90+ Days Delinquent",$CC1335="60 Days Delinquent",$CC1335="30 Days Delinquent",$CC1335="Non-Performing Matured Balloon"),1,0)</f>
        <v/>
      </c>
      <c r="CE1335" s="76">
        <f>IF($AB1335="Currently special serv","Currently Specially Serviced",IF($AB1335="Returned to master serv","Previously Specially Serviced","Never Specially Serviced"))</f>
        <v/>
      </c>
      <c r="CF1335" s="78">
        <f>IF($CE1335="Currently Specially Serviced",1,0)</f>
        <v/>
      </c>
      <c r="CG1335" s="76">
        <f>IF($AA1335="Yes","Currently on Watchlist",IF($AA1335="Previously","Previously on Watchlist","Never on Watchlist"))</f>
        <v/>
      </c>
      <c r="CH1335" s="78">
        <f>IF($CG1335="Currently on Watchlist",1,0)</f>
        <v/>
      </c>
      <c r="CI1335" s="76">
        <f>IF($Z1335="Full Defeasance","Fully Defeased",IF($Z1335="Portion Of Loan Previously Defeased","Partially Defeased",IF($Z1335="Defeasance Not Allowable","Not Defeased (Not Permitted)","Not Defeased")))</f>
        <v/>
      </c>
      <c r="CJ1335" s="78">
        <f>IF($CI1335="Fully Defeased",1,0)</f>
        <v/>
      </c>
      <c r="CK1335" s="76">
        <f>IF($R1335="IO","Full IO",IF(LEFT($R1335&amp;"",7)="IO then","Partial IO","Amortizing"))</f>
        <v/>
      </c>
      <c r="CL1335" s="78">
        <f>IF($CK1335="Full IO",1,0)</f>
        <v/>
      </c>
      <c r="CM1335" s="78">
        <f>IF($CK1335="Partial IO",1,0)</f>
        <v/>
      </c>
      <c r="CN1335" s="76">
        <f>IF(LEFT($F1335&amp;"",10)="SPLIT_LOAN","Pari Passu Split","Standalone")</f>
        <v/>
      </c>
      <c r="CO1335" s="78">
        <f>IF($CN1335="Pari Passu Split",1,0)</f>
        <v/>
      </c>
      <c r="CP1335" s="77">
        <f>IF(ISNUMBER($T1335),YEAR($T1335),"")</f>
        <v/>
      </c>
      <c r="CQ1335" s="79">
        <f>IF(ISNUMBER($V1335),$V1335,IF(ISNUMBER($U1335),$U1335,""))</f>
        <v/>
      </c>
      <c r="CR1335" s="77">
        <f>IF(ISNUMBER($CQ1335),YEAR($CQ1335),"")</f>
        <v/>
      </c>
      <c r="CS1335" s="78">
        <f>IF(ISNUMBER($M1335),MAX(0,$M1335),IF(TRIM($M1335&amp;"")="matured",0,""))</f>
        <v/>
      </c>
      <c r="CT1335" s="78">
        <f>IF(AND(ISNUMBER($CS1335),N($CS1335)&lt;=mMatWindow),1,0)</f>
        <v/>
      </c>
      <c r="CU1335" s="80">
        <f>IF(ISNUMBER($J1335),$J1335/100,"")</f>
        <v/>
      </c>
      <c r="CV1335" s="81">
        <f>IF(ISNUMBER($AQ1335),$AQ1335,"")</f>
        <v/>
      </c>
      <c r="CW1335" s="81">
        <f>IF(ISNUMBER($AR1335),$AR1335,"")</f>
        <v/>
      </c>
      <c r="CX1335" s="82">
        <f>IF(ISNUMBER($AS1335),$AS1335/100,"")</f>
        <v/>
      </c>
      <c r="CY1335" s="82">
        <f>IF(ISNUMBER($AT1335),$AT1335/100,"")</f>
        <v/>
      </c>
      <c r="CZ1335" s="82">
        <f>IF(ISNUMBER($AU1335),$AU1335/100,"")</f>
        <v/>
      </c>
      <c r="DA1335" s="82">
        <f>IF(ISNUMBER($AV1335),$AV1335/100,"")</f>
        <v/>
      </c>
      <c r="DB1335" s="82">
        <f>IF(ISNUMBER($AW1335),$AW1335/100,"")</f>
        <v/>
      </c>
      <c r="DC1335" s="82">
        <f>IF(ISNUMBER($AX1335),$AX1335/100,"")</f>
        <v/>
      </c>
      <c r="DD1335" s="77">
        <f>IFERROR(VALUE(LEFT(TRIM($AO1335&amp;""),4)),"")</f>
        <v/>
      </c>
      <c r="DE1335" s="78">
        <f>IF(AND($BY1335=1,$BX1335=1,OR(fDeal="All Deals",$BU1335=fDeal),OR(fEntity="All Entities",$BV1335=fEntity),OR(fPType="All Property Types",$BZ1335=fPType),OR(fDefeased="Include",$CJ1335=0)),1,0)</f>
        <v/>
      </c>
      <c r="DF1335" s="83">
        <f>$DE1335*N($I1335)</f>
        <v/>
      </c>
      <c r="DG1335" s="78">
        <f>IF($DE1335=1,IF(COUNTIFS($F$8:$F1335,$F1335,$DE$8:$DE1335,1)=1,1,0),0)</f>
        <v/>
      </c>
      <c r="DH1335" s="83">
        <f>IF($DG1335=1,SUMIFS($DF$8:$DF$1600,$F$8:$F$1600,$F1335),0)</f>
        <v/>
      </c>
      <c r="DI1335" s="78">
        <f>IF($DG1335=1,COUNTIFS($F$8:$F$1600,$F1335,$DE$8:$DE$1600,1),0)</f>
        <v/>
      </c>
      <c r="DJ1335" s="84">
        <f>IF($DG1335=1,$DH1335+(100000-ROW())/mTieBreak,0)</f>
        <v/>
      </c>
    </row>
    <row r="1336">
      <c r="B1336" s="68" t="n">
        <v>38</v>
      </c>
      <c r="C1336" s="69" t="inlineStr">
        <is>
          <t>CD17CD3</t>
        </is>
      </c>
      <c r="D1336" s="69" t="inlineStr">
        <is>
          <t>38.000</t>
        </is>
      </c>
      <c r="E1336" s="69" t="inlineStr">
        <is>
          <t>Hampton Inn &amp; Suites Surprise</t>
        </is>
      </c>
      <c r="F1336" s="69" t="inlineStr">
        <is>
          <t>LNCD17CD3-38.000</t>
        </is>
      </c>
      <c r="G1336" s="70" t="n"/>
      <c r="H1336" s="71" t="n">
        <v>7300000</v>
      </c>
      <c r="I1336" s="71" t="n">
        <v>0</v>
      </c>
      <c r="J1336" s="72" t="n">
        <v>4.91</v>
      </c>
      <c r="K1336" s="69" t="inlineStr">
        <is>
          <t>Fixed rate</t>
        </is>
      </c>
      <c r="L1336" s="68" t="n">
        <v>120</v>
      </c>
      <c r="M1336" s="68" t="n"/>
      <c r="N1336" s="68" t="n">
        <v>300</v>
      </c>
      <c r="O1336" s="68" t="n"/>
      <c r="P1336" s="68" t="n"/>
      <c r="Q1336" s="68" t="n"/>
      <c r="R1336" s="69" t="n"/>
      <c r="S1336" s="69" t="inlineStr">
        <is>
          <t>No</t>
        </is>
      </c>
      <c r="T1336" s="73" t="n">
        <v>42705</v>
      </c>
      <c r="U1336" s="73" t="n">
        <v>46362</v>
      </c>
      <c r="V1336" s="73" t="n"/>
      <c r="W1336" s="69" t="n"/>
      <c r="X1336" s="69" t="inlineStr">
        <is>
          <t>Current</t>
        </is>
      </c>
      <c r="Y1336" s="68" t="n"/>
      <c r="Z1336" s="69" t="inlineStr">
        <is>
          <t>Full Defeasance</t>
        </is>
      </c>
      <c r="AA1336" s="69" t="inlineStr">
        <is>
          <t>Previously</t>
        </is>
      </c>
      <c r="AB1336" s="69" t="inlineStr">
        <is>
          <t>Never special serv</t>
        </is>
      </c>
      <c r="AC1336" s="73" t="n"/>
      <c r="AD1336" s="69" t="n"/>
      <c r="AE1336" s="69" t="n"/>
      <c r="AF1336" s="69" t="inlineStr">
        <is>
          <t>AZ</t>
        </is>
      </c>
      <c r="AG1336" s="69" t="inlineStr">
        <is>
          <t>Surprise</t>
        </is>
      </c>
      <c r="AH1336" s="69" t="inlineStr">
        <is>
          <t>Phoenix-Mesa-Chandler, AZ</t>
        </is>
      </c>
      <c r="AI1336" s="69" t="inlineStr">
        <is>
          <t>West / Mountain</t>
        </is>
      </c>
      <c r="AJ1336" s="69" t="inlineStr">
        <is>
          <t>HT</t>
        </is>
      </c>
      <c r="AK1336" s="69" t="inlineStr">
        <is>
          <t>Limited Service</t>
        </is>
      </c>
      <c r="AL1336" s="68" t="n">
        <v>1</v>
      </c>
      <c r="AM1336" s="68" t="n">
        <v>100</v>
      </c>
      <c r="AN1336" s="68" t="n"/>
      <c r="AO1336" s="69" t="inlineStr">
        <is>
          <t>2005</t>
        </is>
      </c>
      <c r="AP1336" s="70" t="n">
        <v>2014</v>
      </c>
      <c r="AQ1336" s="74" t="n">
        <v>1.97</v>
      </c>
      <c r="AR1336" s="74" t="n">
        <v>1.57</v>
      </c>
      <c r="AS1336" s="74" t="n">
        <v>54.31</v>
      </c>
      <c r="AT1336" s="74" t="n"/>
      <c r="AU1336" s="74" t="n">
        <v>40.59</v>
      </c>
      <c r="AV1336" s="74" t="n">
        <v>13.723328767</v>
      </c>
      <c r="AW1336" s="74" t="n"/>
      <c r="AX1336" s="75" t="n">
        <v>78</v>
      </c>
      <c r="AY1336" s="71" t="n">
        <v>13400000</v>
      </c>
      <c r="AZ1336" s="71" t="n">
        <v>13400000</v>
      </c>
      <c r="BA1336" s="71" t="n">
        <v>1001803</v>
      </c>
      <c r="BB1336" s="71" t="n">
        <v>799206.5699999999</v>
      </c>
      <c r="BC1336" s="69" t="inlineStr">
        <is>
          <t>Refinance</t>
        </is>
      </c>
      <c r="BD1336" s="69" t="inlineStr">
        <is>
          <t>N</t>
        </is>
      </c>
      <c r="BE1336" s="71" t="n"/>
      <c r="BF1336" s="71" t="n"/>
      <c r="BG1336" s="71" t="n"/>
      <c r="BH1336" s="71" t="n">
        <v>0</v>
      </c>
      <c r="BI1336" s="71" t="n">
        <v>0</v>
      </c>
      <c r="BJ1336" s="69" t="inlineStr">
        <is>
          <t>N</t>
        </is>
      </c>
      <c r="BK1336" s="69" t="n"/>
      <c r="BL1336" s="75" t="n"/>
      <c r="BM1336" s="73" t="n"/>
      <c r="BN1336" s="69" t="inlineStr">
        <is>
          <t>Donald Howell and Charles Klar</t>
        </is>
      </c>
      <c r="BO1336" s="69" t="inlineStr">
        <is>
          <t>Citigroup Global Markets</t>
        </is>
      </c>
      <c r="BP1336" s="69" t="inlineStr">
        <is>
          <t>Midland Loan Services</t>
        </is>
      </c>
      <c r="BQ1336" s="69" t="inlineStr">
        <is>
          <t>K-Star Asset Management LLC</t>
        </is>
      </c>
      <c r="BR1336" s="69" t="inlineStr">
        <is>
          <t>Payoff Prior To Maturity</t>
        </is>
      </c>
      <c r="BS1336" s="73" t="n">
        <v>46209</v>
      </c>
      <c r="BU1336" s="76">
        <f>IF($C1336="","",IFERROR(INDEX(dmName,MATCH($C1336,dmID,0)),"Unmapped"))</f>
        <v/>
      </c>
      <c r="BV1336" s="76">
        <f>IF($C1336="","",IFERROR(INDEX(dmEntity,MATCH($C1336,dmID,0)),"Unmapped"))</f>
        <v/>
      </c>
      <c r="BW1336" s="77">
        <f>IF($C1336="","",IFERROR(INDEX(dmVintage,MATCH($C1336,dmID,0)),""))</f>
        <v/>
      </c>
      <c r="BX1336" s="78">
        <f>IFERROR(INDEX(dmInclude,MATCH($C1336,dmID,0)),0)</f>
        <v/>
      </c>
      <c r="BY1336" s="78">
        <f>IF(N($I1336)&gt;0,1,0)</f>
        <v/>
      </c>
      <c r="BZ1336" s="76">
        <f>IF($AJ1336="","Other / Leased Fee",IFERROR(INDEX(mapPTGroup,MATCH(LEFT(TRIM($AJ1336),2),mapPTCode,0)),"Other / Leased Fee"))</f>
        <v/>
      </c>
      <c r="CA1336" s="76">
        <f>IF(TRIM($AF1336&amp;"")="","NR",LEFT(TRIM($AF1336),2))</f>
        <v/>
      </c>
      <c r="CB1336" s="76">
        <f>IFERROR(LOOKUP(2,1/(LEFT(TRIM($AI1336&amp;""),LEN(mapRegion))=mapRegion),mapRegion),"Not Reported")</f>
        <v/>
      </c>
      <c r="CC1336" s="76">
        <f>IF($BY1336=0,"",IF(TRIM($W1336&amp;"")="REO","REO",IF(TRIM($W1336&amp;"")="FC","Foreclosure",IF(TRIM($W1336&amp;"")="90+","90+ Days Delinquent",IF(TRIM($W1336&amp;"")="60","60 Days Delinquent",IF(TRIM($W1336&amp;"")="30","30 Days Delinquent",IF($X1336="Non-Performing Matured Balloon","Non-Performing Matured Balloon",IF(OR($X1336="Late Payment But Less Than 30 Days Delinquent",LEFT($X1336&amp;"",20)="Payment Not Received"),"Late / In Grace (&lt;30 Days)",IF($X1336="Performing Matured Balloon","Performing Matured Balloon","Current")))))))))</f>
        <v/>
      </c>
      <c r="CD1336" s="78">
        <f>IF(OR($CC1336="REO",$CC1336="Foreclosure",$CC1336="90+ Days Delinquent",$CC1336="60 Days Delinquent",$CC1336="30 Days Delinquent",$CC1336="Non-Performing Matured Balloon"),1,0)</f>
        <v/>
      </c>
      <c r="CE1336" s="76">
        <f>IF($AB1336="Currently special serv","Currently Specially Serviced",IF($AB1336="Returned to master serv","Previously Specially Serviced","Never Specially Serviced"))</f>
        <v/>
      </c>
      <c r="CF1336" s="78">
        <f>IF($CE1336="Currently Specially Serviced",1,0)</f>
        <v/>
      </c>
      <c r="CG1336" s="76">
        <f>IF($AA1336="Yes","Currently on Watchlist",IF($AA1336="Previously","Previously on Watchlist","Never on Watchlist"))</f>
        <v/>
      </c>
      <c r="CH1336" s="78">
        <f>IF($CG1336="Currently on Watchlist",1,0)</f>
        <v/>
      </c>
      <c r="CI1336" s="76">
        <f>IF($Z1336="Full Defeasance","Fully Defeased",IF($Z1336="Portion Of Loan Previously Defeased","Partially Defeased",IF($Z1336="Defeasance Not Allowable","Not Defeased (Not Permitted)","Not Defeased")))</f>
        <v/>
      </c>
      <c r="CJ1336" s="78">
        <f>IF($CI1336="Fully Defeased",1,0)</f>
        <v/>
      </c>
      <c r="CK1336" s="76">
        <f>IF($R1336="IO","Full IO",IF(LEFT($R1336&amp;"",7)="IO then","Partial IO","Amortizing"))</f>
        <v/>
      </c>
      <c r="CL1336" s="78">
        <f>IF($CK1336="Full IO",1,0)</f>
        <v/>
      </c>
      <c r="CM1336" s="78">
        <f>IF($CK1336="Partial IO",1,0)</f>
        <v/>
      </c>
      <c r="CN1336" s="76">
        <f>IF(LEFT($F1336&amp;"",10)="SPLIT_LOAN","Pari Passu Split","Standalone")</f>
        <v/>
      </c>
      <c r="CO1336" s="78">
        <f>IF($CN1336="Pari Passu Split",1,0)</f>
        <v/>
      </c>
      <c r="CP1336" s="77">
        <f>IF(ISNUMBER($T1336),YEAR($T1336),"")</f>
        <v/>
      </c>
      <c r="CQ1336" s="79">
        <f>IF(ISNUMBER($V1336),$V1336,IF(ISNUMBER($U1336),$U1336,""))</f>
        <v/>
      </c>
      <c r="CR1336" s="77">
        <f>IF(ISNUMBER($CQ1336),YEAR($CQ1336),"")</f>
        <v/>
      </c>
      <c r="CS1336" s="78">
        <f>IF(ISNUMBER($M1336),MAX(0,$M1336),IF(TRIM($M1336&amp;"")="matured",0,""))</f>
        <v/>
      </c>
      <c r="CT1336" s="78">
        <f>IF(AND(ISNUMBER($CS1336),N($CS1336)&lt;=mMatWindow),1,0)</f>
        <v/>
      </c>
      <c r="CU1336" s="80">
        <f>IF(ISNUMBER($J1336),$J1336/100,"")</f>
        <v/>
      </c>
      <c r="CV1336" s="81">
        <f>IF(ISNUMBER($AQ1336),$AQ1336,"")</f>
        <v/>
      </c>
      <c r="CW1336" s="81">
        <f>IF(ISNUMBER($AR1336),$AR1336,"")</f>
        <v/>
      </c>
      <c r="CX1336" s="82">
        <f>IF(ISNUMBER($AS1336),$AS1336/100,"")</f>
        <v/>
      </c>
      <c r="CY1336" s="82">
        <f>IF(ISNUMBER($AT1336),$AT1336/100,"")</f>
        <v/>
      </c>
      <c r="CZ1336" s="82">
        <f>IF(ISNUMBER($AU1336),$AU1336/100,"")</f>
        <v/>
      </c>
      <c r="DA1336" s="82">
        <f>IF(ISNUMBER($AV1336),$AV1336/100,"")</f>
        <v/>
      </c>
      <c r="DB1336" s="82">
        <f>IF(ISNUMBER($AW1336),$AW1336/100,"")</f>
        <v/>
      </c>
      <c r="DC1336" s="82">
        <f>IF(ISNUMBER($AX1336),$AX1336/100,"")</f>
        <v/>
      </c>
      <c r="DD1336" s="77">
        <f>IFERROR(VALUE(LEFT(TRIM($AO1336&amp;""),4)),"")</f>
        <v/>
      </c>
      <c r="DE1336" s="78">
        <f>IF(AND($BY1336=1,$BX1336=1,OR(fDeal="All Deals",$BU1336=fDeal),OR(fEntity="All Entities",$BV1336=fEntity),OR(fPType="All Property Types",$BZ1336=fPType),OR(fDefeased="Include",$CJ1336=0)),1,0)</f>
        <v/>
      </c>
      <c r="DF1336" s="83">
        <f>$DE1336*N($I1336)</f>
        <v/>
      </c>
      <c r="DG1336" s="78">
        <f>IF($DE1336=1,IF(COUNTIFS($F$8:$F1336,$F1336,$DE$8:$DE1336,1)=1,1,0),0)</f>
        <v/>
      </c>
      <c r="DH1336" s="83">
        <f>IF($DG1336=1,SUMIFS($DF$8:$DF$1600,$F$8:$F$1600,$F1336),0)</f>
        <v/>
      </c>
      <c r="DI1336" s="78">
        <f>IF($DG1336=1,COUNTIFS($F$8:$F$1600,$F1336,$DE$8:$DE$1600,1),0)</f>
        <v/>
      </c>
      <c r="DJ1336" s="84">
        <f>IF($DG1336=1,$DH1336+(100000-ROW())/mTieBreak,0)</f>
        <v/>
      </c>
    </row>
    <row r="1337">
      <c r="B1337" s="68" t="n">
        <v>39</v>
      </c>
      <c r="C1337" s="69" t="inlineStr">
        <is>
          <t>CD17CD3</t>
        </is>
      </c>
      <c r="D1337" s="69" t="inlineStr">
        <is>
          <t>39.000</t>
        </is>
      </c>
      <c r="E1337" s="69" t="inlineStr">
        <is>
          <t>5042 Technology Parkway</t>
        </is>
      </c>
      <c r="F1337" s="69" t="inlineStr">
        <is>
          <t>LNCD17CD3-39.000</t>
        </is>
      </c>
      <c r="G1337" s="70" t="n"/>
      <c r="H1337" s="71" t="n">
        <v>6900000</v>
      </c>
      <c r="I1337" s="71" t="n">
        <v>5706988.5199983</v>
      </c>
      <c r="J1337" s="72" t="n">
        <v>4.91</v>
      </c>
      <c r="K1337" s="69" t="inlineStr">
        <is>
          <t>Fixed rate</t>
        </is>
      </c>
      <c r="L1337" s="68" t="n">
        <v>120</v>
      </c>
      <c r="M1337" s="68" t="n">
        <v>4</v>
      </c>
      <c r="N1337" s="68" t="n">
        <v>360</v>
      </c>
      <c r="O1337" s="68" t="n"/>
      <c r="P1337" s="68" t="n"/>
      <c r="Q1337" s="68" t="n">
        <v>116</v>
      </c>
      <c r="R1337" s="69" t="n"/>
      <c r="S1337" s="69" t="inlineStr">
        <is>
          <t>No</t>
        </is>
      </c>
      <c r="T1337" s="73" t="n">
        <v>42736</v>
      </c>
      <c r="U1337" s="73" t="n">
        <v>46393</v>
      </c>
      <c r="V1337" s="73" t="n"/>
      <c r="W1337" s="69" t="n"/>
      <c r="X1337" s="69" t="inlineStr">
        <is>
          <t>Current</t>
        </is>
      </c>
      <c r="Y1337" s="68" t="n"/>
      <c r="Z1337" s="69" t="inlineStr">
        <is>
          <t>No Defeasance Occurred</t>
        </is>
      </c>
      <c r="AA1337" s="69" t="inlineStr">
        <is>
          <t>Yes</t>
        </is>
      </c>
      <c r="AB1337" s="69" t="inlineStr">
        <is>
          <t>Never special serv</t>
        </is>
      </c>
      <c r="AC1337" s="73" t="n"/>
      <c r="AD1337" s="69" t="n"/>
      <c r="AE1337" s="69" t="n"/>
      <c r="AF1337" s="69" t="inlineStr">
        <is>
          <t>CO</t>
        </is>
      </c>
      <c r="AG1337" s="69" t="inlineStr">
        <is>
          <t>Fort Collins</t>
        </is>
      </c>
      <c r="AH1337" s="69" t="inlineStr">
        <is>
          <t>Fort Collins-Loveland, CO</t>
        </is>
      </c>
      <c r="AI1337" s="69" t="inlineStr">
        <is>
          <t>West / Mountain</t>
        </is>
      </c>
      <c r="AJ1337" s="69" t="inlineStr">
        <is>
          <t>OF</t>
        </is>
      </c>
      <c r="AK1337" s="69" t="inlineStr">
        <is>
          <t>Suburban</t>
        </is>
      </c>
      <c r="AL1337" s="68" t="n">
        <v>1</v>
      </c>
      <c r="AM1337" s="68" t="n"/>
      <c r="AN1337" s="68" t="n">
        <v>48864</v>
      </c>
      <c r="AO1337" s="69" t="inlineStr">
        <is>
          <t>2014</t>
        </is>
      </c>
      <c r="AP1337" s="70" t="n">
        <v>2014</v>
      </c>
      <c r="AQ1337" s="74" t="n">
        <v>1.36</v>
      </c>
      <c r="AR1337" s="74" t="n">
        <v>1.27</v>
      </c>
      <c r="AS1337" s="74" t="n">
        <v>67.23999999999999</v>
      </c>
      <c r="AT1337" s="74" t="n">
        <v>55.68</v>
      </c>
      <c r="AU1337" s="74" t="n">
        <v>55.17</v>
      </c>
      <c r="AV1337" s="74" t="n">
        <v>8.690188406000001</v>
      </c>
      <c r="AW1337" s="74" t="n">
        <v>10.536152261</v>
      </c>
      <c r="AX1337" s="75" t="n">
        <v>100</v>
      </c>
      <c r="AY1337" s="71" t="n">
        <v>10250000</v>
      </c>
      <c r="AZ1337" s="71" t="n">
        <v>10250000</v>
      </c>
      <c r="BA1337" s="71" t="n">
        <v>599623</v>
      </c>
      <c r="BB1337" s="71" t="n">
        <v>139694.82</v>
      </c>
      <c r="BC1337" s="69" t="inlineStr">
        <is>
          <t>Refinance</t>
        </is>
      </c>
      <c r="BD1337" s="69" t="inlineStr">
        <is>
          <t>N</t>
        </is>
      </c>
      <c r="BE1337" s="71" t="n"/>
      <c r="BF1337" s="71" t="n"/>
      <c r="BG1337" s="71" t="n"/>
      <c r="BH1337" s="71" t="n">
        <v>0</v>
      </c>
      <c r="BI1337" s="71" t="n">
        <v>0</v>
      </c>
      <c r="BJ1337" s="69" t="inlineStr">
        <is>
          <t>N</t>
        </is>
      </c>
      <c r="BK1337" s="69" t="inlineStr">
        <is>
          <t>Andvni inc</t>
        </is>
      </c>
      <c r="BL1337" s="75" t="n">
        <v>38.2</v>
      </c>
      <c r="BM1337" s="73" t="n">
        <v>46538</v>
      </c>
      <c r="BN1337" s="69" t="inlineStr">
        <is>
          <t>Robert A. Aldrich and Michael A. Vlasic</t>
        </is>
      </c>
      <c r="BO1337" s="69" t="inlineStr">
        <is>
          <t>Citigroup Global Markets</t>
        </is>
      </c>
      <c r="BP1337" s="69" t="inlineStr">
        <is>
          <t>Midland Loan Services</t>
        </is>
      </c>
      <c r="BQ1337" s="69" t="inlineStr">
        <is>
          <t>K-Star Asset Management LLC</t>
        </is>
      </c>
      <c r="BR1337" s="69" t="n"/>
      <c r="BS1337" s="73" t="n">
        <v>46273</v>
      </c>
      <c r="BU1337" s="76">
        <f>IF($C1337="","",IFERROR(INDEX(dmName,MATCH($C1337,dmID,0)),"Unmapped"))</f>
        <v/>
      </c>
      <c r="BV1337" s="76">
        <f>IF($C1337="","",IFERROR(INDEX(dmEntity,MATCH($C1337,dmID,0)),"Unmapped"))</f>
        <v/>
      </c>
      <c r="BW1337" s="77">
        <f>IF($C1337="","",IFERROR(INDEX(dmVintage,MATCH($C1337,dmID,0)),""))</f>
        <v/>
      </c>
      <c r="BX1337" s="78">
        <f>IFERROR(INDEX(dmInclude,MATCH($C1337,dmID,0)),0)</f>
        <v/>
      </c>
      <c r="BY1337" s="78">
        <f>IF(N($I1337)&gt;0,1,0)</f>
        <v/>
      </c>
      <c r="BZ1337" s="76">
        <f>IF($AJ1337="","Other / Leased Fee",IFERROR(INDEX(mapPTGroup,MATCH(LEFT(TRIM($AJ1337),2),mapPTCode,0)),"Other / Leased Fee"))</f>
        <v/>
      </c>
      <c r="CA1337" s="76">
        <f>IF(TRIM($AF1337&amp;"")="","NR",LEFT(TRIM($AF1337),2))</f>
        <v/>
      </c>
      <c r="CB1337" s="76">
        <f>IFERROR(LOOKUP(2,1/(LEFT(TRIM($AI1337&amp;""),LEN(mapRegion))=mapRegion),mapRegion),"Not Reported")</f>
        <v/>
      </c>
      <c r="CC1337" s="76">
        <f>IF($BY1337=0,"",IF(TRIM($W1337&amp;"")="REO","REO",IF(TRIM($W1337&amp;"")="FC","Foreclosure",IF(TRIM($W1337&amp;"")="90+","90+ Days Delinquent",IF(TRIM($W1337&amp;"")="60","60 Days Delinquent",IF(TRIM($W1337&amp;"")="30","30 Days Delinquent",IF($X1337="Non-Performing Matured Balloon","Non-Performing Matured Balloon",IF(OR($X1337="Late Payment But Less Than 30 Days Delinquent",LEFT($X1337&amp;"",20)="Payment Not Received"),"Late / In Grace (&lt;30 Days)",IF($X1337="Performing Matured Balloon","Performing Matured Balloon","Current")))))))))</f>
        <v/>
      </c>
      <c r="CD1337" s="78">
        <f>IF(OR($CC1337="REO",$CC1337="Foreclosure",$CC1337="90+ Days Delinquent",$CC1337="60 Days Delinquent",$CC1337="30 Days Delinquent",$CC1337="Non-Performing Matured Balloon"),1,0)</f>
        <v/>
      </c>
      <c r="CE1337" s="76">
        <f>IF($AB1337="Currently special serv","Currently Specially Serviced",IF($AB1337="Returned to master serv","Previously Specially Serviced","Never Specially Serviced"))</f>
        <v/>
      </c>
      <c r="CF1337" s="78">
        <f>IF($CE1337="Currently Specially Serviced",1,0)</f>
        <v/>
      </c>
      <c r="CG1337" s="76">
        <f>IF($AA1337="Yes","Currently on Watchlist",IF($AA1337="Previously","Previously on Watchlist","Never on Watchlist"))</f>
        <v/>
      </c>
      <c r="CH1337" s="78">
        <f>IF($CG1337="Currently on Watchlist",1,0)</f>
        <v/>
      </c>
      <c r="CI1337" s="76">
        <f>IF($Z1337="Full Defeasance","Fully Defeased",IF($Z1337="Portion Of Loan Previously Defeased","Partially Defeased",IF($Z1337="Defeasance Not Allowable","Not Defeased (Not Permitted)","Not Defeased")))</f>
        <v/>
      </c>
      <c r="CJ1337" s="78">
        <f>IF($CI1337="Fully Defeased",1,0)</f>
        <v/>
      </c>
      <c r="CK1337" s="76">
        <f>IF($R1337="IO","Full IO",IF(LEFT($R1337&amp;"",7)="IO then","Partial IO","Amortizing"))</f>
        <v/>
      </c>
      <c r="CL1337" s="78">
        <f>IF($CK1337="Full IO",1,0)</f>
        <v/>
      </c>
      <c r="CM1337" s="78">
        <f>IF($CK1337="Partial IO",1,0)</f>
        <v/>
      </c>
      <c r="CN1337" s="76">
        <f>IF(LEFT($F1337&amp;"",10)="SPLIT_LOAN","Pari Passu Split","Standalone")</f>
        <v/>
      </c>
      <c r="CO1337" s="78">
        <f>IF($CN1337="Pari Passu Split",1,0)</f>
        <v/>
      </c>
      <c r="CP1337" s="77">
        <f>IF(ISNUMBER($T1337),YEAR($T1337),"")</f>
        <v/>
      </c>
      <c r="CQ1337" s="79">
        <f>IF(ISNUMBER($V1337),$V1337,IF(ISNUMBER($U1337),$U1337,""))</f>
        <v/>
      </c>
      <c r="CR1337" s="77">
        <f>IF(ISNUMBER($CQ1337),YEAR($CQ1337),"")</f>
        <v/>
      </c>
      <c r="CS1337" s="78">
        <f>IF(ISNUMBER($M1337),MAX(0,$M1337),IF(TRIM($M1337&amp;"")="matured",0,""))</f>
        <v/>
      </c>
      <c r="CT1337" s="78">
        <f>IF(AND(ISNUMBER($CS1337),N($CS1337)&lt;=mMatWindow),1,0)</f>
        <v/>
      </c>
      <c r="CU1337" s="80">
        <f>IF(ISNUMBER($J1337),$J1337/100,"")</f>
        <v/>
      </c>
      <c r="CV1337" s="81">
        <f>IF(ISNUMBER($AQ1337),$AQ1337,"")</f>
        <v/>
      </c>
      <c r="CW1337" s="81">
        <f>IF(ISNUMBER($AR1337),$AR1337,"")</f>
        <v/>
      </c>
      <c r="CX1337" s="82">
        <f>IF(ISNUMBER($AS1337),$AS1337/100,"")</f>
        <v/>
      </c>
      <c r="CY1337" s="82">
        <f>IF(ISNUMBER($AT1337),$AT1337/100,"")</f>
        <v/>
      </c>
      <c r="CZ1337" s="82">
        <f>IF(ISNUMBER($AU1337),$AU1337/100,"")</f>
        <v/>
      </c>
      <c r="DA1337" s="82">
        <f>IF(ISNUMBER($AV1337),$AV1337/100,"")</f>
        <v/>
      </c>
      <c r="DB1337" s="82">
        <f>IF(ISNUMBER($AW1337),$AW1337/100,"")</f>
        <v/>
      </c>
      <c r="DC1337" s="82">
        <f>IF(ISNUMBER($AX1337),$AX1337/100,"")</f>
        <v/>
      </c>
      <c r="DD1337" s="77">
        <f>IFERROR(VALUE(LEFT(TRIM($AO1337&amp;""),4)),"")</f>
        <v/>
      </c>
      <c r="DE1337" s="78">
        <f>IF(AND($BY1337=1,$BX1337=1,OR(fDeal="All Deals",$BU1337=fDeal),OR(fEntity="All Entities",$BV1337=fEntity),OR(fPType="All Property Types",$BZ1337=fPType),OR(fDefeased="Include",$CJ1337=0)),1,0)</f>
        <v/>
      </c>
      <c r="DF1337" s="83">
        <f>$DE1337*N($I1337)</f>
        <v/>
      </c>
      <c r="DG1337" s="78">
        <f>IF($DE1337=1,IF(COUNTIFS($F$8:$F1337,$F1337,$DE$8:$DE1337,1)=1,1,0),0)</f>
        <v/>
      </c>
      <c r="DH1337" s="83">
        <f>IF($DG1337=1,SUMIFS($DF$8:$DF$1600,$F$8:$F$1600,$F1337),0)</f>
        <v/>
      </c>
      <c r="DI1337" s="78">
        <f>IF($DG1337=1,COUNTIFS($F$8:$F$1600,$F1337,$DE$8:$DE$1600,1),0)</f>
        <v/>
      </c>
      <c r="DJ1337" s="84">
        <f>IF($DG1337=1,$DH1337+(100000-ROW())/mTieBreak,0)</f>
        <v/>
      </c>
    </row>
    <row r="1338">
      <c r="B1338" s="68" t="n">
        <v>40</v>
      </c>
      <c r="C1338" s="69" t="inlineStr">
        <is>
          <t>CD17CD3</t>
        </is>
      </c>
      <c r="D1338" s="69" t="inlineStr">
        <is>
          <t>40.000</t>
        </is>
      </c>
      <c r="E1338" s="69" t="inlineStr">
        <is>
          <t>Key Vista Apartments</t>
        </is>
      </c>
      <c r="F1338" s="69" t="inlineStr">
        <is>
          <t>LNCD17CD3-40.000</t>
        </is>
      </c>
      <c r="G1338" s="70" t="n"/>
      <c r="H1338" s="71" t="n">
        <v>6826000</v>
      </c>
      <c r="I1338" s="71" t="n">
        <v>0</v>
      </c>
      <c r="J1338" s="72" t="n">
        <v>5.3</v>
      </c>
      <c r="K1338" s="69" t="inlineStr">
        <is>
          <t>Fixed rate</t>
        </is>
      </c>
      <c r="L1338" s="68" t="n">
        <v>60</v>
      </c>
      <c r="M1338" s="68" t="n"/>
      <c r="N1338" s="68" t="n">
        <v>378</v>
      </c>
      <c r="O1338" s="68" t="n">
        <v>18</v>
      </c>
      <c r="P1338" s="68" t="n"/>
      <c r="Q1338" s="68" t="n"/>
      <c r="R1338" s="69" t="inlineStr">
        <is>
          <t>IO then Sched</t>
        </is>
      </c>
      <c r="S1338" s="69" t="inlineStr">
        <is>
          <t>No</t>
        </is>
      </c>
      <c r="T1338" s="73" t="n">
        <v>42705</v>
      </c>
      <c r="U1338" s="73" t="n">
        <v>44536</v>
      </c>
      <c r="V1338" s="73" t="n"/>
      <c r="W1338" s="69" t="n"/>
      <c r="X1338" s="69" t="inlineStr">
        <is>
          <t>Current</t>
        </is>
      </c>
      <c r="Y1338" s="68" t="n"/>
      <c r="Z1338" s="69" t="inlineStr">
        <is>
          <t>Full Defeasance</t>
        </is>
      </c>
      <c r="AA1338" s="69" t="inlineStr">
        <is>
          <t>Previously</t>
        </is>
      </c>
      <c r="AB1338" s="69" t="inlineStr">
        <is>
          <t>Never special serv</t>
        </is>
      </c>
      <c r="AC1338" s="73" t="n"/>
      <c r="AD1338" s="69" t="n"/>
      <c r="AE1338" s="69" t="n"/>
      <c r="AF1338" s="69" t="inlineStr">
        <is>
          <t>FL</t>
        </is>
      </c>
      <c r="AG1338" s="69" t="inlineStr">
        <is>
          <t>Tampa</t>
        </is>
      </c>
      <c r="AH1338" s="69" t="inlineStr">
        <is>
          <t>Tampa-St. Petersburg-Clearwater, FL</t>
        </is>
      </c>
      <c r="AI1338" s="69" t="inlineStr">
        <is>
          <t>South / Atlantic</t>
        </is>
      </c>
      <c r="AJ1338" s="69" t="inlineStr">
        <is>
          <t>MF</t>
        </is>
      </c>
      <c r="AK1338" s="69" t="inlineStr">
        <is>
          <t>Garden</t>
        </is>
      </c>
      <c r="AL1338" s="68" t="n">
        <v>1</v>
      </c>
      <c r="AM1338" s="68" t="n">
        <v>328</v>
      </c>
      <c r="AN1338" s="68" t="n"/>
      <c r="AO1338" s="69" t="inlineStr">
        <is>
          <t>1974, 1999</t>
        </is>
      </c>
      <c r="AP1338" s="70" t="n">
        <v>1999</v>
      </c>
      <c r="AQ1338" s="74" t="n">
        <v>1.73</v>
      </c>
      <c r="AR1338" s="74" t="n">
        <v>1.48</v>
      </c>
      <c r="AS1338" s="74" t="n">
        <v>54.2</v>
      </c>
      <c r="AT1338" s="74" t="n"/>
      <c r="AU1338" s="74" t="n">
        <v>52.1</v>
      </c>
      <c r="AV1338" s="74" t="n">
        <v>11.0098138</v>
      </c>
      <c r="AW1338" s="74" t="n"/>
      <c r="AX1338" s="75" t="n">
        <v>85</v>
      </c>
      <c r="AY1338" s="71" t="n">
        <v>12600000</v>
      </c>
      <c r="AZ1338" s="71" t="n">
        <v>12600000</v>
      </c>
      <c r="BA1338" s="71" t="n">
        <v>751529.89</v>
      </c>
      <c r="BB1338" s="71" t="n">
        <v>593366.8100000001</v>
      </c>
      <c r="BC1338" s="69" t="inlineStr">
        <is>
          <t>Acquisition</t>
        </is>
      </c>
      <c r="BD1338" s="69" t="inlineStr">
        <is>
          <t>N</t>
        </is>
      </c>
      <c r="BE1338" s="71" t="n"/>
      <c r="BF1338" s="71" t="n"/>
      <c r="BG1338" s="71" t="n">
        <v>1124000</v>
      </c>
      <c r="BH1338" s="71" t="n">
        <v>0</v>
      </c>
      <c r="BI1338" s="71" t="n">
        <v>0</v>
      </c>
      <c r="BJ1338" s="69" t="inlineStr">
        <is>
          <t>N</t>
        </is>
      </c>
      <c r="BK1338" s="69" t="n"/>
      <c r="BL1338" s="75" t="n"/>
      <c r="BM1338" s="73" t="n"/>
      <c r="BN1338" s="69" t="inlineStr">
        <is>
          <t>Edward P. Lorin</t>
        </is>
      </c>
      <c r="BO1338" s="69" t="inlineStr">
        <is>
          <t>GACC</t>
        </is>
      </c>
      <c r="BP1338" s="69" t="inlineStr">
        <is>
          <t>Midland Loan Services</t>
        </is>
      </c>
      <c r="BQ1338" s="69" t="inlineStr">
        <is>
          <t>Midland Loan Services</t>
        </is>
      </c>
      <c r="BR1338" s="69" t="inlineStr">
        <is>
          <t>Payoff Prior To Maturity</t>
        </is>
      </c>
      <c r="BS1338" s="73" t="n">
        <v>44446</v>
      </c>
      <c r="BU1338" s="76">
        <f>IF($C1338="","",IFERROR(INDEX(dmName,MATCH($C1338,dmID,0)),"Unmapped"))</f>
        <v/>
      </c>
      <c r="BV1338" s="76">
        <f>IF($C1338="","",IFERROR(INDEX(dmEntity,MATCH($C1338,dmID,0)),"Unmapped"))</f>
        <v/>
      </c>
      <c r="BW1338" s="77">
        <f>IF($C1338="","",IFERROR(INDEX(dmVintage,MATCH($C1338,dmID,0)),""))</f>
        <v/>
      </c>
      <c r="BX1338" s="78">
        <f>IFERROR(INDEX(dmInclude,MATCH($C1338,dmID,0)),0)</f>
        <v/>
      </c>
      <c r="BY1338" s="78">
        <f>IF(N($I1338)&gt;0,1,0)</f>
        <v/>
      </c>
      <c r="BZ1338" s="76">
        <f>IF($AJ1338="","Other / Leased Fee",IFERROR(INDEX(mapPTGroup,MATCH(LEFT(TRIM($AJ1338),2),mapPTCode,0)),"Other / Leased Fee"))</f>
        <v/>
      </c>
      <c r="CA1338" s="76">
        <f>IF(TRIM($AF1338&amp;"")="","NR",LEFT(TRIM($AF1338),2))</f>
        <v/>
      </c>
      <c r="CB1338" s="76">
        <f>IFERROR(LOOKUP(2,1/(LEFT(TRIM($AI1338&amp;""),LEN(mapRegion))=mapRegion),mapRegion),"Not Reported")</f>
        <v/>
      </c>
      <c r="CC1338" s="76">
        <f>IF($BY1338=0,"",IF(TRIM($W1338&amp;"")="REO","REO",IF(TRIM($W1338&amp;"")="FC","Foreclosure",IF(TRIM($W1338&amp;"")="90+","90+ Days Delinquent",IF(TRIM($W1338&amp;"")="60","60 Days Delinquent",IF(TRIM($W1338&amp;"")="30","30 Days Delinquent",IF($X1338="Non-Performing Matured Balloon","Non-Performing Matured Balloon",IF(OR($X1338="Late Payment But Less Than 30 Days Delinquent",LEFT($X1338&amp;"",20)="Payment Not Received"),"Late / In Grace (&lt;30 Days)",IF($X1338="Performing Matured Balloon","Performing Matured Balloon","Current")))))))))</f>
        <v/>
      </c>
      <c r="CD1338" s="78">
        <f>IF(OR($CC1338="REO",$CC1338="Foreclosure",$CC1338="90+ Days Delinquent",$CC1338="60 Days Delinquent",$CC1338="30 Days Delinquent",$CC1338="Non-Performing Matured Balloon"),1,0)</f>
        <v/>
      </c>
      <c r="CE1338" s="76">
        <f>IF($AB1338="Currently special serv","Currently Specially Serviced",IF($AB1338="Returned to master serv","Previously Specially Serviced","Never Specially Serviced"))</f>
        <v/>
      </c>
      <c r="CF1338" s="78">
        <f>IF($CE1338="Currently Specially Serviced",1,0)</f>
        <v/>
      </c>
      <c r="CG1338" s="76">
        <f>IF($AA1338="Yes","Currently on Watchlist",IF($AA1338="Previously","Previously on Watchlist","Never on Watchlist"))</f>
        <v/>
      </c>
      <c r="CH1338" s="78">
        <f>IF($CG1338="Currently on Watchlist",1,0)</f>
        <v/>
      </c>
      <c r="CI1338" s="76">
        <f>IF($Z1338="Full Defeasance","Fully Defeased",IF($Z1338="Portion Of Loan Previously Defeased","Partially Defeased",IF($Z1338="Defeasance Not Allowable","Not Defeased (Not Permitted)","Not Defeased")))</f>
        <v/>
      </c>
      <c r="CJ1338" s="78">
        <f>IF($CI1338="Fully Defeased",1,0)</f>
        <v/>
      </c>
      <c r="CK1338" s="76">
        <f>IF($R1338="IO","Full IO",IF(LEFT($R1338&amp;"",7)="IO then","Partial IO","Amortizing"))</f>
        <v/>
      </c>
      <c r="CL1338" s="78">
        <f>IF($CK1338="Full IO",1,0)</f>
        <v/>
      </c>
      <c r="CM1338" s="78">
        <f>IF($CK1338="Partial IO",1,0)</f>
        <v/>
      </c>
      <c r="CN1338" s="76">
        <f>IF(LEFT($F1338&amp;"",10)="SPLIT_LOAN","Pari Passu Split","Standalone")</f>
        <v/>
      </c>
      <c r="CO1338" s="78">
        <f>IF($CN1338="Pari Passu Split",1,0)</f>
        <v/>
      </c>
      <c r="CP1338" s="77">
        <f>IF(ISNUMBER($T1338),YEAR($T1338),"")</f>
        <v/>
      </c>
      <c r="CQ1338" s="79">
        <f>IF(ISNUMBER($V1338),$V1338,IF(ISNUMBER($U1338),$U1338,""))</f>
        <v/>
      </c>
      <c r="CR1338" s="77">
        <f>IF(ISNUMBER($CQ1338),YEAR($CQ1338),"")</f>
        <v/>
      </c>
      <c r="CS1338" s="78">
        <f>IF(ISNUMBER($M1338),MAX(0,$M1338),IF(TRIM($M1338&amp;"")="matured",0,""))</f>
        <v/>
      </c>
      <c r="CT1338" s="78">
        <f>IF(AND(ISNUMBER($CS1338),N($CS1338)&lt;=mMatWindow),1,0)</f>
        <v/>
      </c>
      <c r="CU1338" s="80">
        <f>IF(ISNUMBER($J1338),$J1338/100,"")</f>
        <v/>
      </c>
      <c r="CV1338" s="81">
        <f>IF(ISNUMBER($AQ1338),$AQ1338,"")</f>
        <v/>
      </c>
      <c r="CW1338" s="81">
        <f>IF(ISNUMBER($AR1338),$AR1338,"")</f>
        <v/>
      </c>
      <c r="CX1338" s="82">
        <f>IF(ISNUMBER($AS1338),$AS1338/100,"")</f>
        <v/>
      </c>
      <c r="CY1338" s="82">
        <f>IF(ISNUMBER($AT1338),$AT1338/100,"")</f>
        <v/>
      </c>
      <c r="CZ1338" s="82">
        <f>IF(ISNUMBER($AU1338),$AU1338/100,"")</f>
        <v/>
      </c>
      <c r="DA1338" s="82">
        <f>IF(ISNUMBER($AV1338),$AV1338/100,"")</f>
        <v/>
      </c>
      <c r="DB1338" s="82">
        <f>IF(ISNUMBER($AW1338),$AW1338/100,"")</f>
        <v/>
      </c>
      <c r="DC1338" s="82">
        <f>IF(ISNUMBER($AX1338),$AX1338/100,"")</f>
        <v/>
      </c>
      <c r="DD1338" s="77">
        <f>IFERROR(VALUE(LEFT(TRIM($AO1338&amp;""),4)),"")</f>
        <v/>
      </c>
      <c r="DE1338" s="78">
        <f>IF(AND($BY1338=1,$BX1338=1,OR(fDeal="All Deals",$BU1338=fDeal),OR(fEntity="All Entities",$BV1338=fEntity),OR(fPType="All Property Types",$BZ1338=fPType),OR(fDefeased="Include",$CJ1338=0)),1,0)</f>
        <v/>
      </c>
      <c r="DF1338" s="83">
        <f>$DE1338*N($I1338)</f>
        <v/>
      </c>
      <c r="DG1338" s="78">
        <f>IF($DE1338=1,IF(COUNTIFS($F$8:$F1338,$F1338,$DE$8:$DE1338,1)=1,1,0),0)</f>
        <v/>
      </c>
      <c r="DH1338" s="83">
        <f>IF($DG1338=1,SUMIFS($DF$8:$DF$1600,$F$8:$F$1600,$F1338),0)</f>
        <v/>
      </c>
      <c r="DI1338" s="78">
        <f>IF($DG1338=1,COUNTIFS($F$8:$F$1600,$F1338,$DE$8:$DE$1600,1),0)</f>
        <v/>
      </c>
      <c r="DJ1338" s="84">
        <f>IF($DG1338=1,$DH1338+(100000-ROW())/mTieBreak,0)</f>
        <v/>
      </c>
    </row>
    <row r="1339">
      <c r="B1339" s="68" t="n">
        <v>41</v>
      </c>
      <c r="C1339" s="69" t="inlineStr">
        <is>
          <t>CD17CD3</t>
        </is>
      </c>
      <c r="D1339" s="69" t="inlineStr">
        <is>
          <t>41.000</t>
        </is>
      </c>
      <c r="E1339" s="69" t="inlineStr">
        <is>
          <t>21st Center and 20th Center</t>
        </is>
      </c>
      <c r="F1339" s="69" t="inlineStr">
        <is>
          <t>LNCD17CD3-41.000</t>
        </is>
      </c>
      <c r="G1339" s="70" t="n"/>
      <c r="H1339" s="71" t="n">
        <v>6475000</v>
      </c>
      <c r="I1339" s="71" t="n">
        <v>6475000</v>
      </c>
      <c r="J1339" s="72" t="n">
        <v>4.74</v>
      </c>
      <c r="K1339" s="69" t="inlineStr">
        <is>
          <t>Fixed rate</t>
        </is>
      </c>
      <c r="L1339" s="68" t="n">
        <v>120</v>
      </c>
      <c r="M1339" s="68" t="n">
        <v>3</v>
      </c>
      <c r="N1339" s="68" t="n">
        <v>120</v>
      </c>
      <c r="O1339" s="68" t="n">
        <v>120</v>
      </c>
      <c r="P1339" s="68" t="n">
        <v>3</v>
      </c>
      <c r="Q1339" s="68" t="n">
        <v>117</v>
      </c>
      <c r="R1339" s="69" t="inlineStr">
        <is>
          <t>IO</t>
        </is>
      </c>
      <c r="S1339" s="69" t="inlineStr">
        <is>
          <t>Yes</t>
        </is>
      </c>
      <c r="T1339" s="73" t="n">
        <v>42705</v>
      </c>
      <c r="U1339" s="73" t="n">
        <v>46362</v>
      </c>
      <c r="V1339" s="73" t="n"/>
      <c r="W1339" s="69" t="n"/>
      <c r="X1339" s="69" t="inlineStr">
        <is>
          <t>Current</t>
        </is>
      </c>
      <c r="Y1339" s="68" t="n"/>
      <c r="Z1339" s="69" t="inlineStr">
        <is>
          <t>No Defeasance Occurred</t>
        </is>
      </c>
      <c r="AA1339" s="69" t="inlineStr">
        <is>
          <t>Previously</t>
        </is>
      </c>
      <c r="AB1339" s="69" t="inlineStr">
        <is>
          <t>Never special serv</t>
        </is>
      </c>
      <c r="AC1339" s="73" t="n"/>
      <c r="AD1339" s="69" t="n"/>
      <c r="AE1339" s="69" t="n"/>
      <c r="AF1339" s="69" t="inlineStr">
        <is>
          <t>WA</t>
        </is>
      </c>
      <c r="AG1339" s="69" t="n"/>
      <c r="AH1339" s="69" t="inlineStr">
        <is>
          <t>Seattle-Tacoma-Bellevue, WA</t>
        </is>
      </c>
      <c r="AI1339" s="69" t="inlineStr">
        <is>
          <t>West / Pacific North</t>
        </is>
      </c>
      <c r="AJ1339" s="69" t="inlineStr">
        <is>
          <t>IN-62.934362934% RT-37.065637066%</t>
        </is>
      </c>
      <c r="AK1339" s="69" t="n"/>
      <c r="AL1339" s="68" t="n">
        <v>2</v>
      </c>
      <c r="AM1339" s="68" t="n"/>
      <c r="AN1339" s="68" t="n">
        <v>53111</v>
      </c>
      <c r="AO1339" s="69" t="n"/>
      <c r="AP1339" s="70" t="n">
        <v>2012</v>
      </c>
      <c r="AQ1339" s="74" t="n">
        <v>2.21</v>
      </c>
      <c r="AR1339" s="74" t="n">
        <v>4.23</v>
      </c>
      <c r="AS1339" s="74" t="n">
        <v>53.69</v>
      </c>
      <c r="AT1339" s="74" t="n">
        <v>53.69</v>
      </c>
      <c r="AU1339" s="74" t="n">
        <v>53.69</v>
      </c>
      <c r="AV1339" s="74" t="n">
        <v>10.628104556</v>
      </c>
      <c r="AW1339" s="74" t="n">
        <v>12.849756293</v>
      </c>
      <c r="AX1339" s="75" t="n">
        <v>100</v>
      </c>
      <c r="AY1339" s="71" t="n">
        <v>12060000</v>
      </c>
      <c r="AZ1339" s="71" t="n">
        <v>12060000</v>
      </c>
      <c r="BA1339" s="71" t="n">
        <v>688169.77</v>
      </c>
      <c r="BB1339" s="71" t="n">
        <v>1315109.78</v>
      </c>
      <c r="BC1339" s="69" t="inlineStr">
        <is>
          <t>Refinance</t>
        </is>
      </c>
      <c r="BD1339" s="69" t="inlineStr">
        <is>
          <t>N</t>
        </is>
      </c>
      <c r="BE1339" s="71" t="n"/>
      <c r="BF1339" s="71" t="n"/>
      <c r="BG1339" s="71" t="n"/>
      <c r="BH1339" s="71" t="n">
        <v>0</v>
      </c>
      <c r="BI1339" s="71" t="n">
        <v>0</v>
      </c>
      <c r="BJ1339" s="69" t="inlineStr">
        <is>
          <t>N</t>
        </is>
      </c>
      <c r="BK1339" s="69" t="inlineStr">
        <is>
          <t>KALOS CHURCH</t>
        </is>
      </c>
      <c r="BL1339" s="75" t="n">
        <v>21.76</v>
      </c>
      <c r="BM1339" s="73" t="n">
        <v>47238</v>
      </c>
      <c r="BN1339" s="69" t="inlineStr">
        <is>
          <t>Roger T. White, Jr.</t>
        </is>
      </c>
      <c r="BO1339" s="69" t="inlineStr">
        <is>
          <t>Citigroup Global Markets</t>
        </is>
      </c>
      <c r="BP1339" s="69" t="inlineStr">
        <is>
          <t>Midland Loan Services</t>
        </is>
      </c>
      <c r="BQ1339" s="69" t="inlineStr">
        <is>
          <t>K-Star Asset Management LLC</t>
        </is>
      </c>
      <c r="BR1339" s="69" t="n"/>
      <c r="BS1339" s="73" t="n">
        <v>46273</v>
      </c>
      <c r="BU1339" s="76">
        <f>IF($C1339="","",IFERROR(INDEX(dmName,MATCH($C1339,dmID,0)),"Unmapped"))</f>
        <v/>
      </c>
      <c r="BV1339" s="76">
        <f>IF($C1339="","",IFERROR(INDEX(dmEntity,MATCH($C1339,dmID,0)),"Unmapped"))</f>
        <v/>
      </c>
      <c r="BW1339" s="77">
        <f>IF($C1339="","",IFERROR(INDEX(dmVintage,MATCH($C1339,dmID,0)),""))</f>
        <v/>
      </c>
      <c r="BX1339" s="78">
        <f>IFERROR(INDEX(dmInclude,MATCH($C1339,dmID,0)),0)</f>
        <v/>
      </c>
      <c r="BY1339" s="78">
        <f>IF(N($I1339)&gt;0,1,0)</f>
        <v/>
      </c>
      <c r="BZ1339" s="76">
        <f>IF($AJ1339="","Other / Leased Fee",IFERROR(INDEX(mapPTGroup,MATCH(LEFT(TRIM($AJ1339),2),mapPTCode,0)),"Other / Leased Fee"))</f>
        <v/>
      </c>
      <c r="CA1339" s="76">
        <f>IF(TRIM($AF1339&amp;"")="","NR",LEFT(TRIM($AF1339),2))</f>
        <v/>
      </c>
      <c r="CB1339" s="76">
        <f>IFERROR(LOOKUP(2,1/(LEFT(TRIM($AI1339&amp;""),LEN(mapRegion))=mapRegion),mapRegion),"Not Reported")</f>
        <v/>
      </c>
      <c r="CC1339" s="76">
        <f>IF($BY1339=0,"",IF(TRIM($W1339&amp;"")="REO","REO",IF(TRIM($W1339&amp;"")="FC","Foreclosure",IF(TRIM($W1339&amp;"")="90+","90+ Days Delinquent",IF(TRIM($W1339&amp;"")="60","60 Days Delinquent",IF(TRIM($W1339&amp;"")="30","30 Days Delinquent",IF($X1339="Non-Performing Matured Balloon","Non-Performing Matured Balloon",IF(OR($X1339="Late Payment But Less Than 30 Days Delinquent",LEFT($X1339&amp;"",20)="Payment Not Received"),"Late / In Grace (&lt;30 Days)",IF($X1339="Performing Matured Balloon","Performing Matured Balloon","Current")))))))))</f>
        <v/>
      </c>
      <c r="CD1339" s="78">
        <f>IF(OR($CC1339="REO",$CC1339="Foreclosure",$CC1339="90+ Days Delinquent",$CC1339="60 Days Delinquent",$CC1339="30 Days Delinquent",$CC1339="Non-Performing Matured Balloon"),1,0)</f>
        <v/>
      </c>
      <c r="CE1339" s="76">
        <f>IF($AB1339="Currently special serv","Currently Specially Serviced",IF($AB1339="Returned to master serv","Previously Specially Serviced","Never Specially Serviced"))</f>
        <v/>
      </c>
      <c r="CF1339" s="78">
        <f>IF($CE1339="Currently Specially Serviced",1,0)</f>
        <v/>
      </c>
      <c r="CG1339" s="76">
        <f>IF($AA1339="Yes","Currently on Watchlist",IF($AA1339="Previously","Previously on Watchlist","Never on Watchlist"))</f>
        <v/>
      </c>
      <c r="CH1339" s="78">
        <f>IF($CG1339="Currently on Watchlist",1,0)</f>
        <v/>
      </c>
      <c r="CI1339" s="76">
        <f>IF($Z1339="Full Defeasance","Fully Defeased",IF($Z1339="Portion Of Loan Previously Defeased","Partially Defeased",IF($Z1339="Defeasance Not Allowable","Not Defeased (Not Permitted)","Not Defeased")))</f>
        <v/>
      </c>
      <c r="CJ1339" s="78">
        <f>IF($CI1339="Fully Defeased",1,0)</f>
        <v/>
      </c>
      <c r="CK1339" s="76">
        <f>IF($R1339="IO","Full IO",IF(LEFT($R1339&amp;"",7)="IO then","Partial IO","Amortizing"))</f>
        <v/>
      </c>
      <c r="CL1339" s="78">
        <f>IF($CK1339="Full IO",1,0)</f>
        <v/>
      </c>
      <c r="CM1339" s="78">
        <f>IF($CK1339="Partial IO",1,0)</f>
        <v/>
      </c>
      <c r="CN1339" s="76">
        <f>IF(LEFT($F1339&amp;"",10)="SPLIT_LOAN","Pari Passu Split","Standalone")</f>
        <v/>
      </c>
      <c r="CO1339" s="78">
        <f>IF($CN1339="Pari Passu Split",1,0)</f>
        <v/>
      </c>
      <c r="CP1339" s="77">
        <f>IF(ISNUMBER($T1339),YEAR($T1339),"")</f>
        <v/>
      </c>
      <c r="CQ1339" s="79">
        <f>IF(ISNUMBER($V1339),$V1339,IF(ISNUMBER($U1339),$U1339,""))</f>
        <v/>
      </c>
      <c r="CR1339" s="77">
        <f>IF(ISNUMBER($CQ1339),YEAR($CQ1339),"")</f>
        <v/>
      </c>
      <c r="CS1339" s="78">
        <f>IF(ISNUMBER($M1339),MAX(0,$M1339),IF(TRIM($M1339&amp;"")="matured",0,""))</f>
        <v/>
      </c>
      <c r="CT1339" s="78">
        <f>IF(AND(ISNUMBER($CS1339),N($CS1339)&lt;=mMatWindow),1,0)</f>
        <v/>
      </c>
      <c r="CU1339" s="80">
        <f>IF(ISNUMBER($J1339),$J1339/100,"")</f>
        <v/>
      </c>
      <c r="CV1339" s="81">
        <f>IF(ISNUMBER($AQ1339),$AQ1339,"")</f>
        <v/>
      </c>
      <c r="CW1339" s="81">
        <f>IF(ISNUMBER($AR1339),$AR1339,"")</f>
        <v/>
      </c>
      <c r="CX1339" s="82">
        <f>IF(ISNUMBER($AS1339),$AS1339/100,"")</f>
        <v/>
      </c>
      <c r="CY1339" s="82">
        <f>IF(ISNUMBER($AT1339),$AT1339/100,"")</f>
        <v/>
      </c>
      <c r="CZ1339" s="82">
        <f>IF(ISNUMBER($AU1339),$AU1339/100,"")</f>
        <v/>
      </c>
      <c r="DA1339" s="82">
        <f>IF(ISNUMBER($AV1339),$AV1339/100,"")</f>
        <v/>
      </c>
      <c r="DB1339" s="82">
        <f>IF(ISNUMBER($AW1339),$AW1339/100,"")</f>
        <v/>
      </c>
      <c r="DC1339" s="82">
        <f>IF(ISNUMBER($AX1339),$AX1339/100,"")</f>
        <v/>
      </c>
      <c r="DD1339" s="77">
        <f>IFERROR(VALUE(LEFT(TRIM($AO1339&amp;""),4)),"")</f>
        <v/>
      </c>
      <c r="DE1339" s="78">
        <f>IF(AND($BY1339=1,$BX1339=1,OR(fDeal="All Deals",$BU1339=fDeal),OR(fEntity="All Entities",$BV1339=fEntity),OR(fPType="All Property Types",$BZ1339=fPType),OR(fDefeased="Include",$CJ1339=0)),1,0)</f>
        <v/>
      </c>
      <c r="DF1339" s="83">
        <f>$DE1339*N($I1339)</f>
        <v/>
      </c>
      <c r="DG1339" s="78">
        <f>IF($DE1339=1,IF(COUNTIFS($F$8:$F1339,$F1339,$DE$8:$DE1339,1)=1,1,0),0)</f>
        <v/>
      </c>
      <c r="DH1339" s="83">
        <f>IF($DG1339=1,SUMIFS($DF$8:$DF$1600,$F$8:$F$1600,$F1339),0)</f>
        <v/>
      </c>
      <c r="DI1339" s="78">
        <f>IF($DG1339=1,COUNTIFS($F$8:$F$1600,$F1339,$DE$8:$DE$1600,1),0)</f>
        <v/>
      </c>
      <c r="DJ1339" s="84">
        <f>IF($DG1339=1,$DH1339+(100000-ROW())/mTieBreak,0)</f>
        <v/>
      </c>
    </row>
    <row r="1340">
      <c r="B1340" s="68" t="n">
        <v>42</v>
      </c>
      <c r="C1340" s="69" t="inlineStr">
        <is>
          <t>CD17CD3</t>
        </is>
      </c>
      <c r="D1340" s="69" t="inlineStr">
        <is>
          <t>42.000</t>
        </is>
      </c>
      <c r="E1340" s="69" t="inlineStr">
        <is>
          <t>County of Tulare Building</t>
        </is>
      </c>
      <c r="F1340" s="69" t="inlineStr">
        <is>
          <t>LNCD17CD3-42.000</t>
        </is>
      </c>
      <c r="G1340" s="70" t="n"/>
      <c r="H1340" s="71" t="n">
        <v>6500000</v>
      </c>
      <c r="I1340" s="71" t="n">
        <v>4033049.909999501</v>
      </c>
      <c r="J1340" s="72" t="n">
        <v>4.16</v>
      </c>
      <c r="K1340" s="69" t="inlineStr">
        <is>
          <t>Fixed rate</t>
        </is>
      </c>
      <c r="L1340" s="68" t="n">
        <v>120</v>
      </c>
      <c r="M1340" s="68" t="n">
        <v>3</v>
      </c>
      <c r="N1340" s="68" t="n">
        <v>240</v>
      </c>
      <c r="O1340" s="68" t="n"/>
      <c r="P1340" s="68" t="n"/>
      <c r="Q1340" s="68" t="n">
        <v>117</v>
      </c>
      <c r="R1340" s="69" t="n"/>
      <c r="S1340" s="69" t="inlineStr">
        <is>
          <t>No</t>
        </is>
      </c>
      <c r="T1340" s="73" t="n">
        <v>42705</v>
      </c>
      <c r="U1340" s="73" t="n">
        <v>46362</v>
      </c>
      <c r="V1340" s="73" t="n"/>
      <c r="W1340" s="69" t="n"/>
      <c r="X1340" s="69" t="inlineStr">
        <is>
          <t>Current</t>
        </is>
      </c>
      <c r="Y1340" s="68" t="n"/>
      <c r="Z1340" s="69" t="inlineStr">
        <is>
          <t>No Defeasance Occurred</t>
        </is>
      </c>
      <c r="AA1340" s="69" t="inlineStr">
        <is>
          <t>Previously</t>
        </is>
      </c>
      <c r="AB1340" s="69" t="inlineStr">
        <is>
          <t>Never special serv</t>
        </is>
      </c>
      <c r="AC1340" s="73" t="n"/>
      <c r="AD1340" s="69" t="n"/>
      <c r="AE1340" s="69" t="n"/>
      <c r="AF1340" s="69" t="inlineStr">
        <is>
          <t>CA</t>
        </is>
      </c>
      <c r="AG1340" s="69" t="inlineStr">
        <is>
          <t>Porterville</t>
        </is>
      </c>
      <c r="AH1340" s="69" t="inlineStr">
        <is>
          <t>Visalia, CA</t>
        </is>
      </c>
      <c r="AI1340" s="69" t="inlineStr">
        <is>
          <t>West / Pacific North</t>
        </is>
      </c>
      <c r="AJ1340" s="69" t="inlineStr">
        <is>
          <t>OF</t>
        </is>
      </c>
      <c r="AK1340" s="69" t="inlineStr">
        <is>
          <t>Suburban</t>
        </is>
      </c>
      <c r="AL1340" s="68" t="n">
        <v>1</v>
      </c>
      <c r="AM1340" s="68" t="n"/>
      <c r="AN1340" s="68" t="n">
        <v>71583</v>
      </c>
      <c r="AO1340" s="69" t="inlineStr">
        <is>
          <t>1976</t>
        </is>
      </c>
      <c r="AP1340" s="70" t="n">
        <v>2000</v>
      </c>
      <c r="AQ1340" s="74" t="n">
        <v>1.65</v>
      </c>
      <c r="AR1340" s="74" t="n">
        <v>1.83</v>
      </c>
      <c r="AS1340" s="74" t="n">
        <v>70.7</v>
      </c>
      <c r="AT1340" s="74" t="n">
        <v>44.08</v>
      </c>
      <c r="AU1340" s="74" t="n">
        <v>43.2</v>
      </c>
      <c r="AV1340" s="74" t="n">
        <v>12.132723077</v>
      </c>
      <c r="AW1340" s="74" t="n">
        <v>23.074589474</v>
      </c>
      <c r="AX1340" s="75" t="n">
        <v>100</v>
      </c>
      <c r="AY1340" s="71" t="n">
        <v>9150000</v>
      </c>
      <c r="AZ1340" s="71" t="n">
        <v>9150000</v>
      </c>
      <c r="BA1340" s="71" t="n">
        <v>788627</v>
      </c>
      <c r="BB1340" s="71" t="n">
        <v>878490.46</v>
      </c>
      <c r="BC1340" s="69" t="inlineStr">
        <is>
          <t>Acquisition</t>
        </is>
      </c>
      <c r="BD1340" s="69" t="inlineStr">
        <is>
          <t>N</t>
        </is>
      </c>
      <c r="BE1340" s="71" t="n"/>
      <c r="BF1340" s="71" t="n"/>
      <c r="BG1340" s="71" t="n"/>
      <c r="BH1340" s="71" t="n">
        <v>0</v>
      </c>
      <c r="BI1340" s="71" t="n">
        <v>0</v>
      </c>
      <c r="BJ1340" s="69" t="inlineStr">
        <is>
          <t>N</t>
        </is>
      </c>
      <c r="BK1340" s="69" t="inlineStr">
        <is>
          <t>Cog* of Wet ovoiao34</t>
        </is>
      </c>
      <c r="BL1340" s="75" t="n">
        <v>100</v>
      </c>
      <c r="BM1340" s="73" t="n">
        <v>50049</v>
      </c>
      <c r="BN1340" s="69" t="inlineStr">
        <is>
          <t>LTJ, LLC</t>
        </is>
      </c>
      <c r="BO1340" s="69" t="inlineStr">
        <is>
          <t>GACC</t>
        </is>
      </c>
      <c r="BP1340" s="69" t="inlineStr">
        <is>
          <t>Midland Loan Services</t>
        </is>
      </c>
      <c r="BQ1340" s="69" t="inlineStr">
        <is>
          <t>K-Star Asset Management LLC</t>
        </is>
      </c>
      <c r="BR1340" s="69" t="n"/>
      <c r="BS1340" s="73" t="n">
        <v>46273</v>
      </c>
      <c r="BU1340" s="76">
        <f>IF($C1340="","",IFERROR(INDEX(dmName,MATCH($C1340,dmID,0)),"Unmapped"))</f>
        <v/>
      </c>
      <c r="BV1340" s="76">
        <f>IF($C1340="","",IFERROR(INDEX(dmEntity,MATCH($C1340,dmID,0)),"Unmapped"))</f>
        <v/>
      </c>
      <c r="BW1340" s="77">
        <f>IF($C1340="","",IFERROR(INDEX(dmVintage,MATCH($C1340,dmID,0)),""))</f>
        <v/>
      </c>
      <c r="BX1340" s="78">
        <f>IFERROR(INDEX(dmInclude,MATCH($C1340,dmID,0)),0)</f>
        <v/>
      </c>
      <c r="BY1340" s="78">
        <f>IF(N($I1340)&gt;0,1,0)</f>
        <v/>
      </c>
      <c r="BZ1340" s="76">
        <f>IF($AJ1340="","Other / Leased Fee",IFERROR(INDEX(mapPTGroup,MATCH(LEFT(TRIM($AJ1340),2),mapPTCode,0)),"Other / Leased Fee"))</f>
        <v/>
      </c>
      <c r="CA1340" s="76">
        <f>IF(TRIM($AF1340&amp;"")="","NR",LEFT(TRIM($AF1340),2))</f>
        <v/>
      </c>
      <c r="CB1340" s="76">
        <f>IFERROR(LOOKUP(2,1/(LEFT(TRIM($AI1340&amp;""),LEN(mapRegion))=mapRegion),mapRegion),"Not Reported")</f>
        <v/>
      </c>
      <c r="CC1340" s="76">
        <f>IF($BY1340=0,"",IF(TRIM($W1340&amp;"")="REO","REO",IF(TRIM($W1340&amp;"")="FC","Foreclosure",IF(TRIM($W1340&amp;"")="90+","90+ Days Delinquent",IF(TRIM($W1340&amp;"")="60","60 Days Delinquent",IF(TRIM($W1340&amp;"")="30","30 Days Delinquent",IF($X1340="Non-Performing Matured Balloon","Non-Performing Matured Balloon",IF(OR($X1340="Late Payment But Less Than 30 Days Delinquent",LEFT($X1340&amp;"",20)="Payment Not Received"),"Late / In Grace (&lt;30 Days)",IF($X1340="Performing Matured Balloon","Performing Matured Balloon","Current")))))))))</f>
        <v/>
      </c>
      <c r="CD1340" s="78">
        <f>IF(OR($CC1340="REO",$CC1340="Foreclosure",$CC1340="90+ Days Delinquent",$CC1340="60 Days Delinquent",$CC1340="30 Days Delinquent",$CC1340="Non-Performing Matured Balloon"),1,0)</f>
        <v/>
      </c>
      <c r="CE1340" s="76">
        <f>IF($AB1340="Currently special serv","Currently Specially Serviced",IF($AB1340="Returned to master serv","Previously Specially Serviced","Never Specially Serviced"))</f>
        <v/>
      </c>
      <c r="CF1340" s="78">
        <f>IF($CE1340="Currently Specially Serviced",1,0)</f>
        <v/>
      </c>
      <c r="CG1340" s="76">
        <f>IF($AA1340="Yes","Currently on Watchlist",IF($AA1340="Previously","Previously on Watchlist","Never on Watchlist"))</f>
        <v/>
      </c>
      <c r="CH1340" s="78">
        <f>IF($CG1340="Currently on Watchlist",1,0)</f>
        <v/>
      </c>
      <c r="CI1340" s="76">
        <f>IF($Z1340="Full Defeasance","Fully Defeased",IF($Z1340="Portion Of Loan Previously Defeased","Partially Defeased",IF($Z1340="Defeasance Not Allowable","Not Defeased (Not Permitted)","Not Defeased")))</f>
        <v/>
      </c>
      <c r="CJ1340" s="78">
        <f>IF($CI1340="Fully Defeased",1,0)</f>
        <v/>
      </c>
      <c r="CK1340" s="76">
        <f>IF($R1340="IO","Full IO",IF(LEFT($R1340&amp;"",7)="IO then","Partial IO","Amortizing"))</f>
        <v/>
      </c>
      <c r="CL1340" s="78">
        <f>IF($CK1340="Full IO",1,0)</f>
        <v/>
      </c>
      <c r="CM1340" s="78">
        <f>IF($CK1340="Partial IO",1,0)</f>
        <v/>
      </c>
      <c r="CN1340" s="76">
        <f>IF(LEFT($F1340&amp;"",10)="SPLIT_LOAN","Pari Passu Split","Standalone")</f>
        <v/>
      </c>
      <c r="CO1340" s="78">
        <f>IF($CN1340="Pari Passu Split",1,0)</f>
        <v/>
      </c>
      <c r="CP1340" s="77">
        <f>IF(ISNUMBER($T1340),YEAR($T1340),"")</f>
        <v/>
      </c>
      <c r="CQ1340" s="79">
        <f>IF(ISNUMBER($V1340),$V1340,IF(ISNUMBER($U1340),$U1340,""))</f>
        <v/>
      </c>
      <c r="CR1340" s="77">
        <f>IF(ISNUMBER($CQ1340),YEAR($CQ1340),"")</f>
        <v/>
      </c>
      <c r="CS1340" s="78">
        <f>IF(ISNUMBER($M1340),MAX(0,$M1340),IF(TRIM($M1340&amp;"")="matured",0,""))</f>
        <v/>
      </c>
      <c r="CT1340" s="78">
        <f>IF(AND(ISNUMBER($CS1340),N($CS1340)&lt;=mMatWindow),1,0)</f>
        <v/>
      </c>
      <c r="CU1340" s="80">
        <f>IF(ISNUMBER($J1340),$J1340/100,"")</f>
        <v/>
      </c>
      <c r="CV1340" s="81">
        <f>IF(ISNUMBER($AQ1340),$AQ1340,"")</f>
        <v/>
      </c>
      <c r="CW1340" s="81">
        <f>IF(ISNUMBER($AR1340),$AR1340,"")</f>
        <v/>
      </c>
      <c r="CX1340" s="82">
        <f>IF(ISNUMBER($AS1340),$AS1340/100,"")</f>
        <v/>
      </c>
      <c r="CY1340" s="82">
        <f>IF(ISNUMBER($AT1340),$AT1340/100,"")</f>
        <v/>
      </c>
      <c r="CZ1340" s="82">
        <f>IF(ISNUMBER($AU1340),$AU1340/100,"")</f>
        <v/>
      </c>
      <c r="DA1340" s="82">
        <f>IF(ISNUMBER($AV1340),$AV1340/100,"")</f>
        <v/>
      </c>
      <c r="DB1340" s="82">
        <f>IF(ISNUMBER($AW1340),$AW1340/100,"")</f>
        <v/>
      </c>
      <c r="DC1340" s="82">
        <f>IF(ISNUMBER($AX1340),$AX1340/100,"")</f>
        <v/>
      </c>
      <c r="DD1340" s="77">
        <f>IFERROR(VALUE(LEFT(TRIM($AO1340&amp;""),4)),"")</f>
        <v/>
      </c>
      <c r="DE1340" s="78">
        <f>IF(AND($BY1340=1,$BX1340=1,OR(fDeal="All Deals",$BU1340=fDeal),OR(fEntity="All Entities",$BV1340=fEntity),OR(fPType="All Property Types",$BZ1340=fPType),OR(fDefeased="Include",$CJ1340=0)),1,0)</f>
        <v/>
      </c>
      <c r="DF1340" s="83">
        <f>$DE1340*N($I1340)</f>
        <v/>
      </c>
      <c r="DG1340" s="78">
        <f>IF($DE1340=1,IF(COUNTIFS($F$8:$F1340,$F1340,$DE$8:$DE1340,1)=1,1,0),0)</f>
        <v/>
      </c>
      <c r="DH1340" s="83">
        <f>IF($DG1340=1,SUMIFS($DF$8:$DF$1600,$F$8:$F$1600,$F1340),0)</f>
        <v/>
      </c>
      <c r="DI1340" s="78">
        <f>IF($DG1340=1,COUNTIFS($F$8:$F$1600,$F1340,$DE$8:$DE$1600,1),0)</f>
        <v/>
      </c>
      <c r="DJ1340" s="84">
        <f>IF($DG1340=1,$DH1340+(100000-ROW())/mTieBreak,0)</f>
        <v/>
      </c>
    </row>
    <row r="1341">
      <c r="B1341" s="68" t="n">
        <v>43</v>
      </c>
      <c r="C1341" s="69" t="inlineStr">
        <is>
          <t>CD17CD3</t>
        </is>
      </c>
      <c r="D1341" s="69" t="inlineStr">
        <is>
          <t>43.000</t>
        </is>
      </c>
      <c r="E1341" s="69" t="inlineStr">
        <is>
          <t>Village at Timberwilde</t>
        </is>
      </c>
      <c r="F1341" s="69" t="inlineStr">
        <is>
          <t>LNCD17CD3-43.000</t>
        </is>
      </c>
      <c r="G1341" s="70" t="n"/>
      <c r="H1341" s="71" t="n">
        <v>6100000</v>
      </c>
      <c r="I1341" s="71" t="n">
        <v>5063419.4400016</v>
      </c>
      <c r="J1341" s="72" t="n">
        <v>5.09</v>
      </c>
      <c r="K1341" s="69" t="inlineStr">
        <is>
          <t>Fixed rate</t>
        </is>
      </c>
      <c r="L1341" s="68" t="n">
        <v>120</v>
      </c>
      <c r="M1341" s="68" t="n">
        <v>3</v>
      </c>
      <c r="N1341" s="68" t="n">
        <v>360</v>
      </c>
      <c r="O1341" s="68" t="n"/>
      <c r="P1341" s="68" t="n"/>
      <c r="Q1341" s="68" t="n">
        <v>117</v>
      </c>
      <c r="R1341" s="69" t="n"/>
      <c r="S1341" s="69" t="inlineStr">
        <is>
          <t>No</t>
        </is>
      </c>
      <c r="T1341" s="73" t="n">
        <v>42705</v>
      </c>
      <c r="U1341" s="73" t="n">
        <v>46362</v>
      </c>
      <c r="V1341" s="73" t="n"/>
      <c r="W1341" s="69" t="n"/>
      <c r="X1341" s="69" t="inlineStr">
        <is>
          <t>Current</t>
        </is>
      </c>
      <c r="Y1341" s="68" t="n"/>
      <c r="Z1341" s="69" t="inlineStr">
        <is>
          <t>Full Defeasance</t>
        </is>
      </c>
      <c r="AA1341" s="69" t="inlineStr">
        <is>
          <t>Previously</t>
        </is>
      </c>
      <c r="AB1341" s="69" t="inlineStr">
        <is>
          <t>Returned to master serv</t>
        </is>
      </c>
      <c r="AC1341" s="73" t="n"/>
      <c r="AD1341" s="69" t="inlineStr">
        <is>
          <t>Payment Default (all payments excluding Balloon/Maturity Payment)</t>
        </is>
      </c>
      <c r="AE1341" s="69" t="inlineStr">
        <is>
          <t>Resolved</t>
        </is>
      </c>
      <c r="AF1341" s="69" t="inlineStr">
        <is>
          <t>TX</t>
        </is>
      </c>
      <c r="AG1341" s="69" t="inlineStr">
        <is>
          <t>Spring</t>
        </is>
      </c>
      <c r="AH1341" s="69" t="inlineStr">
        <is>
          <t>Houston-Pasadena-The Woodlands, TX</t>
        </is>
      </c>
      <c r="AI1341" s="69" t="inlineStr">
        <is>
          <t>South / Central West</t>
        </is>
      </c>
      <c r="AJ1341" s="69" t="inlineStr">
        <is>
          <t>RT</t>
        </is>
      </c>
      <c r="AK1341" s="69" t="inlineStr">
        <is>
          <t>Unanchored</t>
        </is>
      </c>
      <c r="AL1341" s="68" t="n">
        <v>1</v>
      </c>
      <c r="AM1341" s="68" t="n"/>
      <c r="AN1341" s="68" t="n">
        <v>20229</v>
      </c>
      <c r="AO1341" s="69" t="inlineStr">
        <is>
          <t>2015</t>
        </is>
      </c>
      <c r="AP1341" s="70" t="n">
        <v>2015</v>
      </c>
      <c r="AQ1341" s="74" t="n">
        <v>1.33</v>
      </c>
      <c r="AR1341" s="74" t="n">
        <v>1.33</v>
      </c>
      <c r="AS1341" s="74" t="n">
        <v>72.04000000000001</v>
      </c>
      <c r="AT1341" s="74" t="n">
        <v>59.92</v>
      </c>
      <c r="AU1341" s="74" t="n">
        <v>59.52</v>
      </c>
      <c r="AV1341" s="74" t="n">
        <v>8.650622951000001</v>
      </c>
      <c r="AW1341" s="74" t="n">
        <v>10.400746101</v>
      </c>
      <c r="AX1341" s="75" t="n">
        <v>93</v>
      </c>
      <c r="AY1341" s="71" t="n">
        <v>8450000</v>
      </c>
      <c r="AZ1341" s="71" t="n">
        <v>8450000</v>
      </c>
      <c r="BA1341" s="71" t="n">
        <v>527688</v>
      </c>
      <c r="BB1341" s="71" t="n">
        <v>526633.4</v>
      </c>
      <c r="BC1341" s="69" t="inlineStr">
        <is>
          <t>Acquisition</t>
        </is>
      </c>
      <c r="BD1341" s="69" t="inlineStr">
        <is>
          <t>N</t>
        </is>
      </c>
      <c r="BE1341" s="71" t="n"/>
      <c r="BF1341" s="71" t="n"/>
      <c r="BG1341" s="71" t="n"/>
      <c r="BH1341" s="71" t="n">
        <v>0</v>
      </c>
      <c r="BI1341" s="71" t="n">
        <v>0</v>
      </c>
      <c r="BJ1341" s="69" t="inlineStr">
        <is>
          <t>N</t>
        </is>
      </c>
      <c r="BK1341" s="69" t="inlineStr">
        <is>
          <t>Tailgator's Pub &amp; Grill</t>
        </is>
      </c>
      <c r="BL1341" s="75" t="n">
        <v>16.59</v>
      </c>
      <c r="BM1341" s="73" t="n">
        <v>45930</v>
      </c>
      <c r="BN1341" s="69" t="inlineStr">
        <is>
          <t>Gerod B. Rush</t>
        </is>
      </c>
      <c r="BO1341" s="69" t="inlineStr">
        <is>
          <t>Citigroup Global Markets</t>
        </is>
      </c>
      <c r="BP1341" s="69" t="inlineStr">
        <is>
          <t>Midland Loan Services</t>
        </is>
      </c>
      <c r="BQ1341" s="69" t="inlineStr">
        <is>
          <t>K-Star Asset Management LLC</t>
        </is>
      </c>
      <c r="BR1341" s="69" t="n"/>
      <c r="BS1341" s="73" t="n">
        <v>46273</v>
      </c>
      <c r="BU1341" s="76">
        <f>IF($C1341="","",IFERROR(INDEX(dmName,MATCH($C1341,dmID,0)),"Unmapped"))</f>
        <v/>
      </c>
      <c r="BV1341" s="76">
        <f>IF($C1341="","",IFERROR(INDEX(dmEntity,MATCH($C1341,dmID,0)),"Unmapped"))</f>
        <v/>
      </c>
      <c r="BW1341" s="77">
        <f>IF($C1341="","",IFERROR(INDEX(dmVintage,MATCH($C1341,dmID,0)),""))</f>
        <v/>
      </c>
      <c r="BX1341" s="78">
        <f>IFERROR(INDEX(dmInclude,MATCH($C1341,dmID,0)),0)</f>
        <v/>
      </c>
      <c r="BY1341" s="78">
        <f>IF(N($I1341)&gt;0,1,0)</f>
        <v/>
      </c>
      <c r="BZ1341" s="76">
        <f>IF($AJ1341="","Other / Leased Fee",IFERROR(INDEX(mapPTGroup,MATCH(LEFT(TRIM($AJ1341),2),mapPTCode,0)),"Other / Leased Fee"))</f>
        <v/>
      </c>
      <c r="CA1341" s="76">
        <f>IF(TRIM($AF1341&amp;"")="","NR",LEFT(TRIM($AF1341),2))</f>
        <v/>
      </c>
      <c r="CB1341" s="76">
        <f>IFERROR(LOOKUP(2,1/(LEFT(TRIM($AI1341&amp;""),LEN(mapRegion))=mapRegion),mapRegion),"Not Reported")</f>
        <v/>
      </c>
      <c r="CC1341" s="76">
        <f>IF($BY1341=0,"",IF(TRIM($W1341&amp;"")="REO","REO",IF(TRIM($W1341&amp;"")="FC","Foreclosure",IF(TRIM($W1341&amp;"")="90+","90+ Days Delinquent",IF(TRIM($W1341&amp;"")="60","60 Days Delinquent",IF(TRIM($W1341&amp;"")="30","30 Days Delinquent",IF($X1341="Non-Performing Matured Balloon","Non-Performing Matured Balloon",IF(OR($X1341="Late Payment But Less Than 30 Days Delinquent",LEFT($X1341&amp;"",20)="Payment Not Received"),"Late / In Grace (&lt;30 Days)",IF($X1341="Performing Matured Balloon","Performing Matured Balloon","Current")))))))))</f>
        <v/>
      </c>
      <c r="CD1341" s="78">
        <f>IF(OR($CC1341="REO",$CC1341="Foreclosure",$CC1341="90+ Days Delinquent",$CC1341="60 Days Delinquent",$CC1341="30 Days Delinquent",$CC1341="Non-Performing Matured Balloon"),1,0)</f>
        <v/>
      </c>
      <c r="CE1341" s="76">
        <f>IF($AB1341="Currently special serv","Currently Specially Serviced",IF($AB1341="Returned to master serv","Previously Specially Serviced","Never Specially Serviced"))</f>
        <v/>
      </c>
      <c r="CF1341" s="78">
        <f>IF($CE1341="Currently Specially Serviced",1,0)</f>
        <v/>
      </c>
      <c r="CG1341" s="76">
        <f>IF($AA1341="Yes","Currently on Watchlist",IF($AA1341="Previously","Previously on Watchlist","Never on Watchlist"))</f>
        <v/>
      </c>
      <c r="CH1341" s="78">
        <f>IF($CG1341="Currently on Watchlist",1,0)</f>
        <v/>
      </c>
      <c r="CI1341" s="76">
        <f>IF($Z1341="Full Defeasance","Fully Defeased",IF($Z1341="Portion Of Loan Previously Defeased","Partially Defeased",IF($Z1341="Defeasance Not Allowable","Not Defeased (Not Permitted)","Not Defeased")))</f>
        <v/>
      </c>
      <c r="CJ1341" s="78">
        <f>IF($CI1341="Fully Defeased",1,0)</f>
        <v/>
      </c>
      <c r="CK1341" s="76">
        <f>IF($R1341="IO","Full IO",IF(LEFT($R1341&amp;"",7)="IO then","Partial IO","Amortizing"))</f>
        <v/>
      </c>
      <c r="CL1341" s="78">
        <f>IF($CK1341="Full IO",1,0)</f>
        <v/>
      </c>
      <c r="CM1341" s="78">
        <f>IF($CK1341="Partial IO",1,0)</f>
        <v/>
      </c>
      <c r="CN1341" s="76">
        <f>IF(LEFT($F1341&amp;"",10)="SPLIT_LOAN","Pari Passu Split","Standalone")</f>
        <v/>
      </c>
      <c r="CO1341" s="78">
        <f>IF($CN1341="Pari Passu Split",1,0)</f>
        <v/>
      </c>
      <c r="CP1341" s="77">
        <f>IF(ISNUMBER($T1341),YEAR($T1341),"")</f>
        <v/>
      </c>
      <c r="CQ1341" s="79">
        <f>IF(ISNUMBER($V1341),$V1341,IF(ISNUMBER($U1341),$U1341,""))</f>
        <v/>
      </c>
      <c r="CR1341" s="77">
        <f>IF(ISNUMBER($CQ1341),YEAR($CQ1341),"")</f>
        <v/>
      </c>
      <c r="CS1341" s="78">
        <f>IF(ISNUMBER($M1341),MAX(0,$M1341),IF(TRIM($M1341&amp;"")="matured",0,""))</f>
        <v/>
      </c>
      <c r="CT1341" s="78">
        <f>IF(AND(ISNUMBER($CS1341),N($CS1341)&lt;=mMatWindow),1,0)</f>
        <v/>
      </c>
      <c r="CU1341" s="80">
        <f>IF(ISNUMBER($J1341),$J1341/100,"")</f>
        <v/>
      </c>
      <c r="CV1341" s="81">
        <f>IF(ISNUMBER($AQ1341),$AQ1341,"")</f>
        <v/>
      </c>
      <c r="CW1341" s="81">
        <f>IF(ISNUMBER($AR1341),$AR1341,"")</f>
        <v/>
      </c>
      <c r="CX1341" s="82">
        <f>IF(ISNUMBER($AS1341),$AS1341/100,"")</f>
        <v/>
      </c>
      <c r="CY1341" s="82">
        <f>IF(ISNUMBER($AT1341),$AT1341/100,"")</f>
        <v/>
      </c>
      <c r="CZ1341" s="82">
        <f>IF(ISNUMBER($AU1341),$AU1341/100,"")</f>
        <v/>
      </c>
      <c r="DA1341" s="82">
        <f>IF(ISNUMBER($AV1341),$AV1341/100,"")</f>
        <v/>
      </c>
      <c r="DB1341" s="82">
        <f>IF(ISNUMBER($AW1341),$AW1341/100,"")</f>
        <v/>
      </c>
      <c r="DC1341" s="82">
        <f>IF(ISNUMBER($AX1341),$AX1341/100,"")</f>
        <v/>
      </c>
      <c r="DD1341" s="77">
        <f>IFERROR(VALUE(LEFT(TRIM($AO1341&amp;""),4)),"")</f>
        <v/>
      </c>
      <c r="DE1341" s="78">
        <f>IF(AND($BY1341=1,$BX1341=1,OR(fDeal="All Deals",$BU1341=fDeal),OR(fEntity="All Entities",$BV1341=fEntity),OR(fPType="All Property Types",$BZ1341=fPType),OR(fDefeased="Include",$CJ1341=0)),1,0)</f>
        <v/>
      </c>
      <c r="DF1341" s="83">
        <f>$DE1341*N($I1341)</f>
        <v/>
      </c>
      <c r="DG1341" s="78">
        <f>IF($DE1341=1,IF(COUNTIFS($F$8:$F1341,$F1341,$DE$8:$DE1341,1)=1,1,0),0)</f>
        <v/>
      </c>
      <c r="DH1341" s="83">
        <f>IF($DG1341=1,SUMIFS($DF$8:$DF$1600,$F$8:$F$1600,$F1341),0)</f>
        <v/>
      </c>
      <c r="DI1341" s="78">
        <f>IF($DG1341=1,COUNTIFS($F$8:$F$1600,$F1341,$DE$8:$DE$1600,1),0)</f>
        <v/>
      </c>
      <c r="DJ1341" s="84">
        <f>IF($DG1341=1,$DH1341+(100000-ROW())/mTieBreak,0)</f>
        <v/>
      </c>
    </row>
    <row r="1342">
      <c r="B1342" s="68" t="n">
        <v>44</v>
      </c>
      <c r="C1342" s="69" t="inlineStr">
        <is>
          <t>CD17CD3</t>
        </is>
      </c>
      <c r="D1342" s="69" t="inlineStr">
        <is>
          <t>44.000</t>
        </is>
      </c>
      <c r="E1342" s="69" t="inlineStr">
        <is>
          <t>Orangecrest Self Storage</t>
        </is>
      </c>
      <c r="F1342" s="69" t="inlineStr">
        <is>
          <t>LNCD17CD3-44.000</t>
        </is>
      </c>
      <c r="G1342" s="70" t="n"/>
      <c r="H1342" s="71" t="n">
        <v>5750000</v>
      </c>
      <c r="I1342" s="71" t="n">
        <v>4731602.019999499</v>
      </c>
      <c r="J1342" s="72" t="n">
        <v>4.75</v>
      </c>
      <c r="K1342" s="69" t="inlineStr">
        <is>
          <t>Fixed rate</t>
        </is>
      </c>
      <c r="L1342" s="68" t="n">
        <v>120</v>
      </c>
      <c r="M1342" s="68" t="n">
        <v>4</v>
      </c>
      <c r="N1342" s="68" t="n">
        <v>360</v>
      </c>
      <c r="O1342" s="68" t="n"/>
      <c r="P1342" s="68" t="n"/>
      <c r="Q1342" s="68" t="n">
        <v>116</v>
      </c>
      <c r="R1342" s="69" t="n"/>
      <c r="S1342" s="69" t="inlineStr">
        <is>
          <t>No</t>
        </is>
      </c>
      <c r="T1342" s="73" t="n">
        <v>42736</v>
      </c>
      <c r="U1342" s="73" t="n">
        <v>46393</v>
      </c>
      <c r="V1342" s="73" t="n"/>
      <c r="W1342" s="69" t="n"/>
      <c r="X1342" s="69" t="inlineStr">
        <is>
          <t>Current</t>
        </is>
      </c>
      <c r="Y1342" s="68" t="n"/>
      <c r="Z1342" s="69" t="inlineStr">
        <is>
          <t>No Defeasance Occurred</t>
        </is>
      </c>
      <c r="AA1342" s="69" t="n"/>
      <c r="AB1342" s="69" t="inlineStr">
        <is>
          <t>Never special serv</t>
        </is>
      </c>
      <c r="AC1342" s="73" t="n"/>
      <c r="AD1342" s="69" t="n"/>
      <c r="AE1342" s="69" t="n"/>
      <c r="AF1342" s="69" t="inlineStr">
        <is>
          <t>CA</t>
        </is>
      </c>
      <c r="AG1342" s="69" t="inlineStr">
        <is>
          <t>Riverside</t>
        </is>
      </c>
      <c r="AH1342" s="69" t="inlineStr">
        <is>
          <t>Riverside-San Bernardino-Ontario, CA</t>
        </is>
      </c>
      <c r="AI1342" s="69" t="inlineStr">
        <is>
          <t>West / Pacific South</t>
        </is>
      </c>
      <c r="AJ1342" s="69" t="inlineStr">
        <is>
          <t>SS</t>
        </is>
      </c>
      <c r="AK1342" s="69" t="n"/>
      <c r="AL1342" s="68" t="n">
        <v>1</v>
      </c>
      <c r="AM1342" s="68" t="n"/>
      <c r="AN1342" s="68" t="n">
        <v>79902</v>
      </c>
      <c r="AO1342" s="69" t="inlineStr">
        <is>
          <t>2003</t>
        </is>
      </c>
      <c r="AP1342" s="70" t="n">
        <v>2003</v>
      </c>
      <c r="AQ1342" s="74" t="n">
        <v>1.68</v>
      </c>
      <c r="AR1342" s="74" t="n">
        <v>4.11</v>
      </c>
      <c r="AS1342" s="74" t="n">
        <v>52.79</v>
      </c>
      <c r="AT1342" s="74" t="n">
        <v>43.49</v>
      </c>
      <c r="AU1342" s="74" t="n">
        <v>43.08</v>
      </c>
      <c r="AV1342" s="74" t="n">
        <v>10.535495652</v>
      </c>
      <c r="AW1342" s="74" t="n">
        <v>27.724026544</v>
      </c>
      <c r="AX1342" s="75" t="n">
        <v>88</v>
      </c>
      <c r="AY1342" s="71" t="n">
        <v>10880000</v>
      </c>
      <c r="AZ1342" s="71" t="n">
        <v>10880000</v>
      </c>
      <c r="BA1342" s="71" t="n">
        <v>605791</v>
      </c>
      <c r="BB1342" s="71" t="n">
        <v>1479860.44</v>
      </c>
      <c r="BC1342" s="69" t="inlineStr">
        <is>
          <t>Refinance</t>
        </is>
      </c>
      <c r="BD1342" s="69" t="inlineStr">
        <is>
          <t>N</t>
        </is>
      </c>
      <c r="BE1342" s="71" t="n"/>
      <c r="BF1342" s="71" t="n"/>
      <c r="BG1342" s="71" t="n"/>
      <c r="BH1342" s="71" t="n">
        <v>0</v>
      </c>
      <c r="BI1342" s="71" t="n">
        <v>0</v>
      </c>
      <c r="BJ1342" s="69" t="inlineStr">
        <is>
          <t>N</t>
        </is>
      </c>
      <c r="BK1342" s="69" t="n"/>
      <c r="BL1342" s="75" t="n"/>
      <c r="BM1342" s="73" t="n"/>
      <c r="BN1342" s="69" t="inlineStr">
        <is>
          <t>Douglas G. Jacobs and Amended and Restated Jacobs Family Revocable Trust</t>
        </is>
      </c>
      <c r="BO1342" s="69" t="inlineStr">
        <is>
          <t>Citigroup Global Markets</t>
        </is>
      </c>
      <c r="BP1342" s="69" t="inlineStr">
        <is>
          <t>Midland Loan Services</t>
        </is>
      </c>
      <c r="BQ1342" s="69" t="inlineStr">
        <is>
          <t>K-Star Asset Management LLC</t>
        </is>
      </c>
      <c r="BR1342" s="69" t="n"/>
      <c r="BS1342" s="73" t="n">
        <v>46273</v>
      </c>
      <c r="BU1342" s="76">
        <f>IF($C1342="","",IFERROR(INDEX(dmName,MATCH($C1342,dmID,0)),"Unmapped"))</f>
        <v/>
      </c>
      <c r="BV1342" s="76">
        <f>IF($C1342="","",IFERROR(INDEX(dmEntity,MATCH($C1342,dmID,0)),"Unmapped"))</f>
        <v/>
      </c>
      <c r="BW1342" s="77">
        <f>IF($C1342="","",IFERROR(INDEX(dmVintage,MATCH($C1342,dmID,0)),""))</f>
        <v/>
      </c>
      <c r="BX1342" s="78">
        <f>IFERROR(INDEX(dmInclude,MATCH($C1342,dmID,0)),0)</f>
        <v/>
      </c>
      <c r="BY1342" s="78">
        <f>IF(N($I1342)&gt;0,1,0)</f>
        <v/>
      </c>
      <c r="BZ1342" s="76">
        <f>IF($AJ1342="","Other / Leased Fee",IFERROR(INDEX(mapPTGroup,MATCH(LEFT(TRIM($AJ1342),2),mapPTCode,0)),"Other / Leased Fee"))</f>
        <v/>
      </c>
      <c r="CA1342" s="76">
        <f>IF(TRIM($AF1342&amp;"")="","NR",LEFT(TRIM($AF1342),2))</f>
        <v/>
      </c>
      <c r="CB1342" s="76">
        <f>IFERROR(LOOKUP(2,1/(LEFT(TRIM($AI1342&amp;""),LEN(mapRegion))=mapRegion),mapRegion),"Not Reported")</f>
        <v/>
      </c>
      <c r="CC1342" s="76">
        <f>IF($BY1342=0,"",IF(TRIM($W1342&amp;"")="REO","REO",IF(TRIM($W1342&amp;"")="FC","Foreclosure",IF(TRIM($W1342&amp;"")="90+","90+ Days Delinquent",IF(TRIM($W1342&amp;"")="60","60 Days Delinquent",IF(TRIM($W1342&amp;"")="30","30 Days Delinquent",IF($X1342="Non-Performing Matured Balloon","Non-Performing Matured Balloon",IF(OR($X1342="Late Payment But Less Than 30 Days Delinquent",LEFT($X1342&amp;"",20)="Payment Not Received"),"Late / In Grace (&lt;30 Days)",IF($X1342="Performing Matured Balloon","Performing Matured Balloon","Current")))))))))</f>
        <v/>
      </c>
      <c r="CD1342" s="78">
        <f>IF(OR($CC1342="REO",$CC1342="Foreclosure",$CC1342="90+ Days Delinquent",$CC1342="60 Days Delinquent",$CC1342="30 Days Delinquent",$CC1342="Non-Performing Matured Balloon"),1,0)</f>
        <v/>
      </c>
      <c r="CE1342" s="76">
        <f>IF($AB1342="Currently special serv","Currently Specially Serviced",IF($AB1342="Returned to master serv","Previously Specially Serviced","Never Specially Serviced"))</f>
        <v/>
      </c>
      <c r="CF1342" s="78">
        <f>IF($CE1342="Currently Specially Serviced",1,0)</f>
        <v/>
      </c>
      <c r="CG1342" s="76">
        <f>IF($AA1342="Yes","Currently on Watchlist",IF($AA1342="Previously","Previously on Watchlist","Never on Watchlist"))</f>
        <v/>
      </c>
      <c r="CH1342" s="78">
        <f>IF($CG1342="Currently on Watchlist",1,0)</f>
        <v/>
      </c>
      <c r="CI1342" s="76">
        <f>IF($Z1342="Full Defeasance","Fully Defeased",IF($Z1342="Portion Of Loan Previously Defeased","Partially Defeased",IF($Z1342="Defeasance Not Allowable","Not Defeased (Not Permitted)","Not Defeased")))</f>
        <v/>
      </c>
      <c r="CJ1342" s="78">
        <f>IF($CI1342="Fully Defeased",1,0)</f>
        <v/>
      </c>
      <c r="CK1342" s="76">
        <f>IF($R1342="IO","Full IO",IF(LEFT($R1342&amp;"",7)="IO then","Partial IO","Amortizing"))</f>
        <v/>
      </c>
      <c r="CL1342" s="78">
        <f>IF($CK1342="Full IO",1,0)</f>
        <v/>
      </c>
      <c r="CM1342" s="78">
        <f>IF($CK1342="Partial IO",1,0)</f>
        <v/>
      </c>
      <c r="CN1342" s="76">
        <f>IF(LEFT($F1342&amp;"",10)="SPLIT_LOAN","Pari Passu Split","Standalone")</f>
        <v/>
      </c>
      <c r="CO1342" s="78">
        <f>IF($CN1342="Pari Passu Split",1,0)</f>
        <v/>
      </c>
      <c r="CP1342" s="77">
        <f>IF(ISNUMBER($T1342),YEAR($T1342),"")</f>
        <v/>
      </c>
      <c r="CQ1342" s="79">
        <f>IF(ISNUMBER($V1342),$V1342,IF(ISNUMBER($U1342),$U1342,""))</f>
        <v/>
      </c>
      <c r="CR1342" s="77">
        <f>IF(ISNUMBER($CQ1342),YEAR($CQ1342),"")</f>
        <v/>
      </c>
      <c r="CS1342" s="78">
        <f>IF(ISNUMBER($M1342),MAX(0,$M1342),IF(TRIM($M1342&amp;"")="matured",0,""))</f>
        <v/>
      </c>
      <c r="CT1342" s="78">
        <f>IF(AND(ISNUMBER($CS1342),N($CS1342)&lt;=mMatWindow),1,0)</f>
        <v/>
      </c>
      <c r="CU1342" s="80">
        <f>IF(ISNUMBER($J1342),$J1342/100,"")</f>
        <v/>
      </c>
      <c r="CV1342" s="81">
        <f>IF(ISNUMBER($AQ1342),$AQ1342,"")</f>
        <v/>
      </c>
      <c r="CW1342" s="81">
        <f>IF(ISNUMBER($AR1342),$AR1342,"")</f>
        <v/>
      </c>
      <c r="CX1342" s="82">
        <f>IF(ISNUMBER($AS1342),$AS1342/100,"")</f>
        <v/>
      </c>
      <c r="CY1342" s="82">
        <f>IF(ISNUMBER($AT1342),$AT1342/100,"")</f>
        <v/>
      </c>
      <c r="CZ1342" s="82">
        <f>IF(ISNUMBER($AU1342),$AU1342/100,"")</f>
        <v/>
      </c>
      <c r="DA1342" s="82">
        <f>IF(ISNUMBER($AV1342),$AV1342/100,"")</f>
        <v/>
      </c>
      <c r="DB1342" s="82">
        <f>IF(ISNUMBER($AW1342),$AW1342/100,"")</f>
        <v/>
      </c>
      <c r="DC1342" s="82">
        <f>IF(ISNUMBER($AX1342),$AX1342/100,"")</f>
        <v/>
      </c>
      <c r="DD1342" s="77">
        <f>IFERROR(VALUE(LEFT(TRIM($AO1342&amp;""),4)),"")</f>
        <v/>
      </c>
      <c r="DE1342" s="78">
        <f>IF(AND($BY1342=1,$BX1342=1,OR(fDeal="All Deals",$BU1342=fDeal),OR(fEntity="All Entities",$BV1342=fEntity),OR(fPType="All Property Types",$BZ1342=fPType),OR(fDefeased="Include",$CJ1342=0)),1,0)</f>
        <v/>
      </c>
      <c r="DF1342" s="83">
        <f>$DE1342*N($I1342)</f>
        <v/>
      </c>
      <c r="DG1342" s="78">
        <f>IF($DE1342=1,IF(COUNTIFS($F$8:$F1342,$F1342,$DE$8:$DE1342,1)=1,1,0),0)</f>
        <v/>
      </c>
      <c r="DH1342" s="83">
        <f>IF($DG1342=1,SUMIFS($DF$8:$DF$1600,$F$8:$F$1600,$F1342),0)</f>
        <v/>
      </c>
      <c r="DI1342" s="78">
        <f>IF($DG1342=1,COUNTIFS($F$8:$F$1600,$F1342,$DE$8:$DE$1600,1),0)</f>
        <v/>
      </c>
      <c r="DJ1342" s="84">
        <f>IF($DG1342=1,$DH1342+(100000-ROW())/mTieBreak,0)</f>
        <v/>
      </c>
    </row>
    <row r="1343">
      <c r="B1343" s="68" t="n">
        <v>45</v>
      </c>
      <c r="C1343" s="69" t="inlineStr">
        <is>
          <t>CD17CD3</t>
        </is>
      </c>
      <c r="D1343" s="69" t="inlineStr">
        <is>
          <t>45.000</t>
        </is>
      </c>
      <c r="E1343" s="69" t="inlineStr">
        <is>
          <t>180 Main Avenue</t>
        </is>
      </c>
      <c r="F1343" s="69" t="inlineStr">
        <is>
          <t>LNCD17CD3-45.000</t>
        </is>
      </c>
      <c r="G1343" s="70" t="n"/>
      <c r="H1343" s="71" t="n">
        <v>5300000</v>
      </c>
      <c r="I1343" s="71" t="n">
        <v>5300000</v>
      </c>
      <c r="J1343" s="72" t="n">
        <v>4.82</v>
      </c>
      <c r="K1343" s="69" t="inlineStr">
        <is>
          <t>Fixed rate</t>
        </is>
      </c>
      <c r="L1343" s="68" t="n">
        <v>120</v>
      </c>
      <c r="M1343" s="68" t="n">
        <v>3</v>
      </c>
      <c r="N1343" s="68" t="n">
        <v>120</v>
      </c>
      <c r="O1343" s="68" t="n">
        <v>120</v>
      </c>
      <c r="P1343" s="68" t="n">
        <v>3</v>
      </c>
      <c r="Q1343" s="68" t="n">
        <v>117</v>
      </c>
      <c r="R1343" s="69" t="inlineStr">
        <is>
          <t>IO</t>
        </is>
      </c>
      <c r="S1343" s="69" t="inlineStr">
        <is>
          <t>Yes</t>
        </is>
      </c>
      <c r="T1343" s="73" t="n">
        <v>42705</v>
      </c>
      <c r="U1343" s="73" t="n">
        <v>46357</v>
      </c>
      <c r="V1343" s="73" t="n"/>
      <c r="W1343" s="69" t="n"/>
      <c r="X1343" s="69" t="inlineStr">
        <is>
          <t>Current</t>
        </is>
      </c>
      <c r="Y1343" s="68" t="n"/>
      <c r="Z1343" s="69" t="inlineStr">
        <is>
          <t>No Defeasance Occurred</t>
        </is>
      </c>
      <c r="AA1343" s="69" t="n"/>
      <c r="AB1343" s="69" t="inlineStr">
        <is>
          <t>Never special serv</t>
        </is>
      </c>
      <c r="AC1343" s="73" t="n"/>
      <c r="AD1343" s="69" t="n"/>
      <c r="AE1343" s="69" t="n"/>
      <c r="AF1343" s="69" t="inlineStr">
        <is>
          <t>NJ</t>
        </is>
      </c>
      <c r="AG1343" s="69" t="inlineStr">
        <is>
          <t>Clifton</t>
        </is>
      </c>
      <c r="AH1343" s="69" t="inlineStr">
        <is>
          <t>New York-Newark-Jersey City, NY-NJ</t>
        </is>
      </c>
      <c r="AI1343" s="69" t="inlineStr">
        <is>
          <t>Northeast / Mid-Atlantic</t>
        </is>
      </c>
      <c r="AJ1343" s="69" t="inlineStr">
        <is>
          <t>OT</t>
        </is>
      </c>
      <c r="AK1343" s="69" t="n"/>
      <c r="AL1343" s="68" t="n">
        <v>1</v>
      </c>
      <c r="AM1343" s="68" t="n"/>
      <c r="AN1343" s="68" t="n">
        <v>140843</v>
      </c>
      <c r="AO1343" s="69" t="n"/>
      <c r="AP1343" s="70" t="n"/>
      <c r="AQ1343" s="74" t="n">
        <v>2.03</v>
      </c>
      <c r="AR1343" s="74" t="n">
        <v>2.4</v>
      </c>
      <c r="AS1343" s="74" t="n">
        <v>60.9</v>
      </c>
      <c r="AT1343" s="74" t="n">
        <v>60.92</v>
      </c>
      <c r="AU1343" s="74" t="n">
        <v>60.9</v>
      </c>
      <c r="AV1343" s="74" t="n">
        <v>9.904122642000001</v>
      </c>
      <c r="AW1343" s="74" t="n">
        <v>11.714634528</v>
      </c>
      <c r="AX1343" s="75" t="n">
        <v>100</v>
      </c>
      <c r="AY1343" s="71" t="n">
        <v>8700000</v>
      </c>
      <c r="AZ1343" s="71" t="n">
        <v>8700000</v>
      </c>
      <c r="BA1343" s="71" t="n">
        <v>524918.5</v>
      </c>
      <c r="BB1343" s="71" t="n">
        <v>620875.63</v>
      </c>
      <c r="BC1343" s="69" t="inlineStr">
        <is>
          <t>Refinance</t>
        </is>
      </c>
      <c r="BD1343" s="69" t="inlineStr">
        <is>
          <t>N</t>
        </is>
      </c>
      <c r="BE1343" s="71" t="n"/>
      <c r="BF1343" s="71" t="n"/>
      <c r="BG1343" s="71" t="n"/>
      <c r="BH1343" s="71" t="n">
        <v>0</v>
      </c>
      <c r="BI1343" s="71" t="n">
        <v>0</v>
      </c>
      <c r="BJ1343" s="69" t="inlineStr">
        <is>
          <t>N</t>
        </is>
      </c>
      <c r="BK1343" s="69" t="inlineStr">
        <is>
          <t>Alexander Charles Realty CO. LLC Citigroup Costco</t>
        </is>
      </c>
      <c r="BL1343" s="75" t="n">
        <v>100</v>
      </c>
      <c r="BM1343" s="73" t="n">
        <v>47452</v>
      </c>
      <c r="BN1343" s="69" t="inlineStr">
        <is>
          <t>Alexander P. Federbush and Charles E. Federbush</t>
        </is>
      </c>
      <c r="BO1343" s="69" t="inlineStr">
        <is>
          <t>GACC</t>
        </is>
      </c>
      <c r="BP1343" s="69" t="inlineStr">
        <is>
          <t>Midland Loan Services</t>
        </is>
      </c>
      <c r="BQ1343" s="69" t="inlineStr">
        <is>
          <t>K-Star Asset Management LLC</t>
        </is>
      </c>
      <c r="BR1343" s="69" t="n"/>
      <c r="BS1343" s="73" t="n">
        <v>46273</v>
      </c>
      <c r="BU1343" s="76">
        <f>IF($C1343="","",IFERROR(INDEX(dmName,MATCH($C1343,dmID,0)),"Unmapped"))</f>
        <v/>
      </c>
      <c r="BV1343" s="76">
        <f>IF($C1343="","",IFERROR(INDEX(dmEntity,MATCH($C1343,dmID,0)),"Unmapped"))</f>
        <v/>
      </c>
      <c r="BW1343" s="77">
        <f>IF($C1343="","",IFERROR(INDEX(dmVintage,MATCH($C1343,dmID,0)),""))</f>
        <v/>
      </c>
      <c r="BX1343" s="78">
        <f>IFERROR(INDEX(dmInclude,MATCH($C1343,dmID,0)),0)</f>
        <v/>
      </c>
      <c r="BY1343" s="78">
        <f>IF(N($I1343)&gt;0,1,0)</f>
        <v/>
      </c>
      <c r="BZ1343" s="76">
        <f>IF($AJ1343="","Other / Leased Fee",IFERROR(INDEX(mapPTGroup,MATCH(LEFT(TRIM($AJ1343),2),mapPTCode,0)),"Other / Leased Fee"))</f>
        <v/>
      </c>
      <c r="CA1343" s="76">
        <f>IF(TRIM($AF1343&amp;"")="","NR",LEFT(TRIM($AF1343),2))</f>
        <v/>
      </c>
      <c r="CB1343" s="76">
        <f>IFERROR(LOOKUP(2,1/(LEFT(TRIM($AI1343&amp;""),LEN(mapRegion))=mapRegion),mapRegion),"Not Reported")</f>
        <v/>
      </c>
      <c r="CC1343" s="76">
        <f>IF($BY1343=0,"",IF(TRIM($W1343&amp;"")="REO","REO",IF(TRIM($W1343&amp;"")="FC","Foreclosure",IF(TRIM($W1343&amp;"")="90+","90+ Days Delinquent",IF(TRIM($W1343&amp;"")="60","60 Days Delinquent",IF(TRIM($W1343&amp;"")="30","30 Days Delinquent",IF($X1343="Non-Performing Matured Balloon","Non-Performing Matured Balloon",IF(OR($X1343="Late Payment But Less Than 30 Days Delinquent",LEFT($X1343&amp;"",20)="Payment Not Received"),"Late / In Grace (&lt;30 Days)",IF($X1343="Performing Matured Balloon","Performing Matured Balloon","Current")))))))))</f>
        <v/>
      </c>
      <c r="CD1343" s="78">
        <f>IF(OR($CC1343="REO",$CC1343="Foreclosure",$CC1343="90+ Days Delinquent",$CC1343="60 Days Delinquent",$CC1343="30 Days Delinquent",$CC1343="Non-Performing Matured Balloon"),1,0)</f>
        <v/>
      </c>
      <c r="CE1343" s="76">
        <f>IF($AB1343="Currently special serv","Currently Specially Serviced",IF($AB1343="Returned to master serv","Previously Specially Serviced","Never Specially Serviced"))</f>
        <v/>
      </c>
      <c r="CF1343" s="78">
        <f>IF($CE1343="Currently Specially Serviced",1,0)</f>
        <v/>
      </c>
      <c r="CG1343" s="76">
        <f>IF($AA1343="Yes","Currently on Watchlist",IF($AA1343="Previously","Previously on Watchlist","Never on Watchlist"))</f>
        <v/>
      </c>
      <c r="CH1343" s="78">
        <f>IF($CG1343="Currently on Watchlist",1,0)</f>
        <v/>
      </c>
      <c r="CI1343" s="76">
        <f>IF($Z1343="Full Defeasance","Fully Defeased",IF($Z1343="Portion Of Loan Previously Defeased","Partially Defeased",IF($Z1343="Defeasance Not Allowable","Not Defeased (Not Permitted)","Not Defeased")))</f>
        <v/>
      </c>
      <c r="CJ1343" s="78">
        <f>IF($CI1343="Fully Defeased",1,0)</f>
        <v/>
      </c>
      <c r="CK1343" s="76">
        <f>IF($R1343="IO","Full IO",IF(LEFT($R1343&amp;"",7)="IO then","Partial IO","Amortizing"))</f>
        <v/>
      </c>
      <c r="CL1343" s="78">
        <f>IF($CK1343="Full IO",1,0)</f>
        <v/>
      </c>
      <c r="CM1343" s="78">
        <f>IF($CK1343="Partial IO",1,0)</f>
        <v/>
      </c>
      <c r="CN1343" s="76">
        <f>IF(LEFT($F1343&amp;"",10)="SPLIT_LOAN","Pari Passu Split","Standalone")</f>
        <v/>
      </c>
      <c r="CO1343" s="78">
        <f>IF($CN1343="Pari Passu Split",1,0)</f>
        <v/>
      </c>
      <c r="CP1343" s="77">
        <f>IF(ISNUMBER($T1343),YEAR($T1343),"")</f>
        <v/>
      </c>
      <c r="CQ1343" s="79">
        <f>IF(ISNUMBER($V1343),$V1343,IF(ISNUMBER($U1343),$U1343,""))</f>
        <v/>
      </c>
      <c r="CR1343" s="77">
        <f>IF(ISNUMBER($CQ1343),YEAR($CQ1343),"")</f>
        <v/>
      </c>
      <c r="CS1343" s="78">
        <f>IF(ISNUMBER($M1343),MAX(0,$M1343),IF(TRIM($M1343&amp;"")="matured",0,""))</f>
        <v/>
      </c>
      <c r="CT1343" s="78">
        <f>IF(AND(ISNUMBER($CS1343),N($CS1343)&lt;=mMatWindow),1,0)</f>
        <v/>
      </c>
      <c r="CU1343" s="80">
        <f>IF(ISNUMBER($J1343),$J1343/100,"")</f>
        <v/>
      </c>
      <c r="CV1343" s="81">
        <f>IF(ISNUMBER($AQ1343),$AQ1343,"")</f>
        <v/>
      </c>
      <c r="CW1343" s="81">
        <f>IF(ISNUMBER($AR1343),$AR1343,"")</f>
        <v/>
      </c>
      <c r="CX1343" s="82">
        <f>IF(ISNUMBER($AS1343),$AS1343/100,"")</f>
        <v/>
      </c>
      <c r="CY1343" s="82">
        <f>IF(ISNUMBER($AT1343),$AT1343/100,"")</f>
        <v/>
      </c>
      <c r="CZ1343" s="82">
        <f>IF(ISNUMBER($AU1343),$AU1343/100,"")</f>
        <v/>
      </c>
      <c r="DA1343" s="82">
        <f>IF(ISNUMBER($AV1343),$AV1343/100,"")</f>
        <v/>
      </c>
      <c r="DB1343" s="82">
        <f>IF(ISNUMBER($AW1343),$AW1343/100,"")</f>
        <v/>
      </c>
      <c r="DC1343" s="82">
        <f>IF(ISNUMBER($AX1343),$AX1343/100,"")</f>
        <v/>
      </c>
      <c r="DD1343" s="77">
        <f>IFERROR(VALUE(LEFT(TRIM($AO1343&amp;""),4)),"")</f>
        <v/>
      </c>
      <c r="DE1343" s="78">
        <f>IF(AND($BY1343=1,$BX1343=1,OR(fDeal="All Deals",$BU1343=fDeal),OR(fEntity="All Entities",$BV1343=fEntity),OR(fPType="All Property Types",$BZ1343=fPType),OR(fDefeased="Include",$CJ1343=0)),1,0)</f>
        <v/>
      </c>
      <c r="DF1343" s="83">
        <f>$DE1343*N($I1343)</f>
        <v/>
      </c>
      <c r="DG1343" s="78">
        <f>IF($DE1343=1,IF(COUNTIFS($F$8:$F1343,$F1343,$DE$8:$DE1343,1)=1,1,0),0)</f>
        <v/>
      </c>
      <c r="DH1343" s="83">
        <f>IF($DG1343=1,SUMIFS($DF$8:$DF$1600,$F$8:$F$1600,$F1343),0)</f>
        <v/>
      </c>
      <c r="DI1343" s="78">
        <f>IF($DG1343=1,COUNTIFS($F$8:$F$1600,$F1343,$DE$8:$DE$1600,1),0)</f>
        <v/>
      </c>
      <c r="DJ1343" s="84">
        <f>IF($DG1343=1,$DH1343+(100000-ROW())/mTieBreak,0)</f>
        <v/>
      </c>
    </row>
    <row r="1344">
      <c r="B1344" s="68" t="n">
        <v>46</v>
      </c>
      <c r="C1344" s="69" t="inlineStr">
        <is>
          <t>CD17CD3</t>
        </is>
      </c>
      <c r="D1344" s="69" t="inlineStr">
        <is>
          <t>46.000</t>
        </is>
      </c>
      <c r="E1344" s="69" t="inlineStr">
        <is>
          <t>HIE Cocoa</t>
        </is>
      </c>
      <c r="F1344" s="69" t="inlineStr">
        <is>
          <t>LNCD17CD3-46.000</t>
        </is>
      </c>
      <c r="G1344" s="70" t="n"/>
      <c r="H1344" s="71" t="n">
        <v>5200000</v>
      </c>
      <c r="I1344" s="71" t="n">
        <v>4363796.499998001</v>
      </c>
      <c r="J1344" s="72" t="n">
        <v>5.38</v>
      </c>
      <c r="K1344" s="69" t="inlineStr">
        <is>
          <t>Fixed rate</t>
        </is>
      </c>
      <c r="L1344" s="68" t="n">
        <v>120</v>
      </c>
      <c r="M1344" s="68" t="n">
        <v>4</v>
      </c>
      <c r="N1344" s="68" t="n">
        <v>360</v>
      </c>
      <c r="O1344" s="68" t="n"/>
      <c r="P1344" s="68" t="n"/>
      <c r="Q1344" s="68" t="n">
        <v>116</v>
      </c>
      <c r="R1344" s="69" t="n"/>
      <c r="S1344" s="69" t="inlineStr">
        <is>
          <t>No</t>
        </is>
      </c>
      <c r="T1344" s="73" t="n">
        <v>42736</v>
      </c>
      <c r="U1344" s="73" t="n">
        <v>46393</v>
      </c>
      <c r="V1344" s="73" t="n"/>
      <c r="W1344" s="69" t="n"/>
      <c r="X1344" s="69" t="inlineStr">
        <is>
          <t>Current</t>
        </is>
      </c>
      <c r="Y1344" s="68" t="n"/>
      <c r="Z1344" s="69" t="inlineStr">
        <is>
          <t>No Defeasance Occurred</t>
        </is>
      </c>
      <c r="AA1344" s="69" t="inlineStr">
        <is>
          <t>Previously</t>
        </is>
      </c>
      <c r="AB1344" s="69" t="inlineStr">
        <is>
          <t>Never special serv</t>
        </is>
      </c>
      <c r="AC1344" s="73" t="n"/>
      <c r="AD1344" s="69" t="n"/>
      <c r="AE1344" s="69" t="n"/>
      <c r="AF1344" s="69" t="inlineStr">
        <is>
          <t>FL</t>
        </is>
      </c>
      <c r="AG1344" s="69" t="inlineStr">
        <is>
          <t>Cocoa</t>
        </is>
      </c>
      <c r="AH1344" s="69" t="inlineStr">
        <is>
          <t>Palm Bay-Melbourne-Titusville, FL</t>
        </is>
      </c>
      <c r="AI1344" s="69" t="inlineStr">
        <is>
          <t>South / Atlantic</t>
        </is>
      </c>
      <c r="AJ1344" s="69" t="inlineStr">
        <is>
          <t>HT</t>
        </is>
      </c>
      <c r="AK1344" s="69" t="inlineStr">
        <is>
          <t>Limited Service</t>
        </is>
      </c>
      <c r="AL1344" s="68" t="n">
        <v>1</v>
      </c>
      <c r="AM1344" s="68" t="n">
        <v>75</v>
      </c>
      <c r="AN1344" s="68" t="n"/>
      <c r="AO1344" s="69" t="inlineStr">
        <is>
          <t>2003</t>
        </is>
      </c>
      <c r="AP1344" s="70" t="n">
        <v>2011</v>
      </c>
      <c r="AQ1344" s="74" t="n">
        <v>2.08</v>
      </c>
      <c r="AR1344" s="74" t="n">
        <v>2.84</v>
      </c>
      <c r="AS1344" s="74" t="n">
        <v>64.90000000000001</v>
      </c>
      <c r="AT1344" s="74" t="n">
        <v>54.55</v>
      </c>
      <c r="AU1344" s="74" t="n">
        <v>54.1</v>
      </c>
      <c r="AV1344" s="74" t="n">
        <v>14.009884615</v>
      </c>
      <c r="AW1344" s="74" t="n">
        <v>14.061462307</v>
      </c>
      <c r="AX1344" s="75" t="n">
        <v>82</v>
      </c>
      <c r="AY1344" s="71" t="n">
        <v>8000000</v>
      </c>
      <c r="AZ1344" s="71" t="n">
        <v>8000000</v>
      </c>
      <c r="BA1344" s="71" t="n">
        <v>728514</v>
      </c>
      <c r="BB1344" s="71" t="n">
        <v>992297.6</v>
      </c>
      <c r="BC1344" s="69" t="inlineStr">
        <is>
          <t>Refinance</t>
        </is>
      </c>
      <c r="BD1344" s="69" t="inlineStr">
        <is>
          <t>N</t>
        </is>
      </c>
      <c r="BE1344" s="71" t="n"/>
      <c r="BF1344" s="71" t="n"/>
      <c r="BG1344" s="71" t="n"/>
      <c r="BH1344" s="71" t="n">
        <v>0</v>
      </c>
      <c r="BI1344" s="71" t="n">
        <v>0</v>
      </c>
      <c r="BJ1344" s="69" t="inlineStr">
        <is>
          <t>N</t>
        </is>
      </c>
      <c r="BK1344" s="69" t="n"/>
      <c r="BL1344" s="75" t="n"/>
      <c r="BM1344" s="73" t="n"/>
      <c r="BN1344" s="69" t="inlineStr">
        <is>
          <t>Dipak K. Patidar and Bharat Patel</t>
        </is>
      </c>
      <c r="BO1344" s="69" t="inlineStr">
        <is>
          <t>GACC</t>
        </is>
      </c>
      <c r="BP1344" s="69" t="inlineStr">
        <is>
          <t>Midland Loan Services</t>
        </is>
      </c>
      <c r="BQ1344" s="69" t="inlineStr">
        <is>
          <t>K-Star Asset Management LLC</t>
        </is>
      </c>
      <c r="BR1344" s="69" t="n"/>
      <c r="BS1344" s="73" t="n">
        <v>46273</v>
      </c>
      <c r="BU1344" s="76">
        <f>IF($C1344="","",IFERROR(INDEX(dmName,MATCH($C1344,dmID,0)),"Unmapped"))</f>
        <v/>
      </c>
      <c r="BV1344" s="76">
        <f>IF($C1344="","",IFERROR(INDEX(dmEntity,MATCH($C1344,dmID,0)),"Unmapped"))</f>
        <v/>
      </c>
      <c r="BW1344" s="77">
        <f>IF($C1344="","",IFERROR(INDEX(dmVintage,MATCH($C1344,dmID,0)),""))</f>
        <v/>
      </c>
      <c r="BX1344" s="78">
        <f>IFERROR(INDEX(dmInclude,MATCH($C1344,dmID,0)),0)</f>
        <v/>
      </c>
      <c r="BY1344" s="78">
        <f>IF(N($I1344)&gt;0,1,0)</f>
        <v/>
      </c>
      <c r="BZ1344" s="76">
        <f>IF($AJ1344="","Other / Leased Fee",IFERROR(INDEX(mapPTGroup,MATCH(LEFT(TRIM($AJ1344),2),mapPTCode,0)),"Other / Leased Fee"))</f>
        <v/>
      </c>
      <c r="CA1344" s="76">
        <f>IF(TRIM($AF1344&amp;"")="","NR",LEFT(TRIM($AF1344),2))</f>
        <v/>
      </c>
      <c r="CB1344" s="76">
        <f>IFERROR(LOOKUP(2,1/(LEFT(TRIM($AI1344&amp;""),LEN(mapRegion))=mapRegion),mapRegion),"Not Reported")</f>
        <v/>
      </c>
      <c r="CC1344" s="76">
        <f>IF($BY1344=0,"",IF(TRIM($W1344&amp;"")="REO","REO",IF(TRIM($W1344&amp;"")="FC","Foreclosure",IF(TRIM($W1344&amp;"")="90+","90+ Days Delinquent",IF(TRIM($W1344&amp;"")="60","60 Days Delinquent",IF(TRIM($W1344&amp;"")="30","30 Days Delinquent",IF($X1344="Non-Performing Matured Balloon","Non-Performing Matured Balloon",IF(OR($X1344="Late Payment But Less Than 30 Days Delinquent",LEFT($X1344&amp;"",20)="Payment Not Received"),"Late / In Grace (&lt;30 Days)",IF($X1344="Performing Matured Balloon","Performing Matured Balloon","Current")))))))))</f>
        <v/>
      </c>
      <c r="CD1344" s="78">
        <f>IF(OR($CC1344="REO",$CC1344="Foreclosure",$CC1344="90+ Days Delinquent",$CC1344="60 Days Delinquent",$CC1344="30 Days Delinquent",$CC1344="Non-Performing Matured Balloon"),1,0)</f>
        <v/>
      </c>
      <c r="CE1344" s="76">
        <f>IF($AB1344="Currently special serv","Currently Specially Serviced",IF($AB1344="Returned to master serv","Previously Specially Serviced","Never Specially Serviced"))</f>
        <v/>
      </c>
      <c r="CF1344" s="78">
        <f>IF($CE1344="Currently Specially Serviced",1,0)</f>
        <v/>
      </c>
      <c r="CG1344" s="76">
        <f>IF($AA1344="Yes","Currently on Watchlist",IF($AA1344="Previously","Previously on Watchlist","Never on Watchlist"))</f>
        <v/>
      </c>
      <c r="CH1344" s="78">
        <f>IF($CG1344="Currently on Watchlist",1,0)</f>
        <v/>
      </c>
      <c r="CI1344" s="76">
        <f>IF($Z1344="Full Defeasance","Fully Defeased",IF($Z1344="Portion Of Loan Previously Defeased","Partially Defeased",IF($Z1344="Defeasance Not Allowable","Not Defeased (Not Permitted)","Not Defeased")))</f>
        <v/>
      </c>
      <c r="CJ1344" s="78">
        <f>IF($CI1344="Fully Defeased",1,0)</f>
        <v/>
      </c>
      <c r="CK1344" s="76">
        <f>IF($R1344="IO","Full IO",IF(LEFT($R1344&amp;"",7)="IO then","Partial IO","Amortizing"))</f>
        <v/>
      </c>
      <c r="CL1344" s="78">
        <f>IF($CK1344="Full IO",1,0)</f>
        <v/>
      </c>
      <c r="CM1344" s="78">
        <f>IF($CK1344="Partial IO",1,0)</f>
        <v/>
      </c>
      <c r="CN1344" s="76">
        <f>IF(LEFT($F1344&amp;"",10)="SPLIT_LOAN","Pari Passu Split","Standalone")</f>
        <v/>
      </c>
      <c r="CO1344" s="78">
        <f>IF($CN1344="Pari Passu Split",1,0)</f>
        <v/>
      </c>
      <c r="CP1344" s="77">
        <f>IF(ISNUMBER($T1344),YEAR($T1344),"")</f>
        <v/>
      </c>
      <c r="CQ1344" s="79">
        <f>IF(ISNUMBER($V1344),$V1344,IF(ISNUMBER($U1344),$U1344,""))</f>
        <v/>
      </c>
      <c r="CR1344" s="77">
        <f>IF(ISNUMBER($CQ1344),YEAR($CQ1344),"")</f>
        <v/>
      </c>
      <c r="CS1344" s="78">
        <f>IF(ISNUMBER($M1344),MAX(0,$M1344),IF(TRIM($M1344&amp;"")="matured",0,""))</f>
        <v/>
      </c>
      <c r="CT1344" s="78">
        <f>IF(AND(ISNUMBER($CS1344),N($CS1344)&lt;=mMatWindow),1,0)</f>
        <v/>
      </c>
      <c r="CU1344" s="80">
        <f>IF(ISNUMBER($J1344),$J1344/100,"")</f>
        <v/>
      </c>
      <c r="CV1344" s="81">
        <f>IF(ISNUMBER($AQ1344),$AQ1344,"")</f>
        <v/>
      </c>
      <c r="CW1344" s="81">
        <f>IF(ISNUMBER($AR1344),$AR1344,"")</f>
        <v/>
      </c>
      <c r="CX1344" s="82">
        <f>IF(ISNUMBER($AS1344),$AS1344/100,"")</f>
        <v/>
      </c>
      <c r="CY1344" s="82">
        <f>IF(ISNUMBER($AT1344),$AT1344/100,"")</f>
        <v/>
      </c>
      <c r="CZ1344" s="82">
        <f>IF(ISNUMBER($AU1344),$AU1344/100,"")</f>
        <v/>
      </c>
      <c r="DA1344" s="82">
        <f>IF(ISNUMBER($AV1344),$AV1344/100,"")</f>
        <v/>
      </c>
      <c r="DB1344" s="82">
        <f>IF(ISNUMBER($AW1344),$AW1344/100,"")</f>
        <v/>
      </c>
      <c r="DC1344" s="82">
        <f>IF(ISNUMBER($AX1344),$AX1344/100,"")</f>
        <v/>
      </c>
      <c r="DD1344" s="77">
        <f>IFERROR(VALUE(LEFT(TRIM($AO1344&amp;""),4)),"")</f>
        <v/>
      </c>
      <c r="DE1344" s="78">
        <f>IF(AND($BY1344=1,$BX1344=1,OR(fDeal="All Deals",$BU1344=fDeal),OR(fEntity="All Entities",$BV1344=fEntity),OR(fPType="All Property Types",$BZ1344=fPType),OR(fDefeased="Include",$CJ1344=0)),1,0)</f>
        <v/>
      </c>
      <c r="DF1344" s="83">
        <f>$DE1344*N($I1344)</f>
        <v/>
      </c>
      <c r="DG1344" s="78">
        <f>IF($DE1344=1,IF(COUNTIFS($F$8:$F1344,$F1344,$DE$8:$DE1344,1)=1,1,0),0)</f>
        <v/>
      </c>
      <c r="DH1344" s="83">
        <f>IF($DG1344=1,SUMIFS($DF$8:$DF$1600,$F$8:$F$1600,$F1344),0)</f>
        <v/>
      </c>
      <c r="DI1344" s="78">
        <f>IF($DG1344=1,COUNTIFS($F$8:$F$1600,$F1344,$DE$8:$DE$1600,1),0)</f>
        <v/>
      </c>
      <c r="DJ1344" s="84">
        <f>IF($DG1344=1,$DH1344+(100000-ROW())/mTieBreak,0)</f>
        <v/>
      </c>
    </row>
    <row r="1345">
      <c r="B1345" s="68" t="n">
        <v>47</v>
      </c>
      <c r="C1345" s="69" t="inlineStr">
        <is>
          <t>CD17CD3</t>
        </is>
      </c>
      <c r="D1345" s="69" t="inlineStr">
        <is>
          <t>47.000</t>
        </is>
      </c>
      <c r="E1345" s="69" t="inlineStr">
        <is>
          <t>Walgreens Albuquerque</t>
        </is>
      </c>
      <c r="F1345" s="69" t="inlineStr">
        <is>
          <t>LNCD17CD3-47.000</t>
        </is>
      </c>
      <c r="G1345" s="70" t="n"/>
      <c r="H1345" s="71" t="n">
        <v>4500000</v>
      </c>
      <c r="I1345" s="71" t="n">
        <v>4500000</v>
      </c>
      <c r="J1345" s="72" t="n">
        <v>4.389</v>
      </c>
      <c r="K1345" s="69" t="inlineStr">
        <is>
          <t>Fixed rate</t>
        </is>
      </c>
      <c r="L1345" s="68" t="n">
        <v>120</v>
      </c>
      <c r="M1345" s="68" t="n">
        <v>2</v>
      </c>
      <c r="N1345" s="68" t="n">
        <v>120</v>
      </c>
      <c r="O1345" s="68" t="n">
        <v>120</v>
      </c>
      <c r="P1345" s="68" t="n">
        <v>2</v>
      </c>
      <c r="Q1345" s="68" t="n">
        <v>118</v>
      </c>
      <c r="R1345" s="69" t="inlineStr">
        <is>
          <t>IO</t>
        </is>
      </c>
      <c r="S1345" s="69" t="inlineStr">
        <is>
          <t>Yes</t>
        </is>
      </c>
      <c r="T1345" s="73" t="n">
        <v>42675</v>
      </c>
      <c r="U1345" s="73" t="n">
        <v>46332</v>
      </c>
      <c r="V1345" s="73" t="n"/>
      <c r="W1345" s="69" t="n"/>
      <c r="X1345" s="69" t="inlineStr">
        <is>
          <t>Current</t>
        </is>
      </c>
      <c r="Y1345" s="68" t="n"/>
      <c r="Z1345" s="69" t="inlineStr">
        <is>
          <t>No Defeasance Occurred</t>
        </is>
      </c>
      <c r="AA1345" s="69" t="inlineStr">
        <is>
          <t>Yes</t>
        </is>
      </c>
      <c r="AB1345" s="69" t="inlineStr">
        <is>
          <t>Returned to master serv</t>
        </is>
      </c>
      <c r="AC1345" s="73" t="n"/>
      <c r="AD1345" s="69" t="inlineStr">
        <is>
          <t>Payment Default (all payments excluding Balloon/Maturity Payment)</t>
        </is>
      </c>
      <c r="AE1345" s="69" t="inlineStr">
        <is>
          <t>Resolved</t>
        </is>
      </c>
      <c r="AF1345" s="69" t="inlineStr">
        <is>
          <t>NM</t>
        </is>
      </c>
      <c r="AG1345" s="69" t="inlineStr">
        <is>
          <t>Albuquerque</t>
        </is>
      </c>
      <c r="AH1345" s="69" t="inlineStr">
        <is>
          <t>Albuquerque, NM</t>
        </is>
      </c>
      <c r="AI1345" s="69" t="inlineStr">
        <is>
          <t>West / Mountain</t>
        </is>
      </c>
      <c r="AJ1345" s="69" t="inlineStr">
        <is>
          <t>RT</t>
        </is>
      </c>
      <c r="AK1345" s="69" t="inlineStr">
        <is>
          <t>Anchored</t>
        </is>
      </c>
      <c r="AL1345" s="68" t="n">
        <v>1</v>
      </c>
      <c r="AM1345" s="68" t="n"/>
      <c r="AN1345" s="68" t="n">
        <v>16510</v>
      </c>
      <c r="AO1345" s="69" t="inlineStr">
        <is>
          <t>2009</t>
        </is>
      </c>
      <c r="AP1345" s="70" t="n">
        <v>2009</v>
      </c>
      <c r="AQ1345" s="74" t="n">
        <v>1.87</v>
      </c>
      <c r="AR1345" s="74" t="n">
        <v>1.67</v>
      </c>
      <c r="AS1345" s="74" t="n">
        <v>64.3</v>
      </c>
      <c r="AT1345" s="74" t="n">
        <v>64.29000000000001</v>
      </c>
      <c r="AU1345" s="74" t="n">
        <v>64.3</v>
      </c>
      <c r="AV1345" s="74" t="n">
        <v>8.337326222</v>
      </c>
      <c r="AW1345" s="74" t="n">
        <v>7.418148667</v>
      </c>
      <c r="AX1345" s="75" t="n">
        <v>100</v>
      </c>
      <c r="AY1345" s="71" t="n">
        <v>7000000</v>
      </c>
      <c r="AZ1345" s="71" t="n">
        <v>7000000</v>
      </c>
      <c r="BA1345" s="71" t="n">
        <v>375179.68</v>
      </c>
      <c r="BB1345" s="71" t="n">
        <v>333816.69</v>
      </c>
      <c r="BC1345" s="69" t="inlineStr">
        <is>
          <t>Refinance</t>
        </is>
      </c>
      <c r="BD1345" s="69" t="inlineStr">
        <is>
          <t>N</t>
        </is>
      </c>
      <c r="BE1345" s="71" t="n"/>
      <c r="BF1345" s="71" t="n"/>
      <c r="BG1345" s="71" t="n"/>
      <c r="BH1345" s="71" t="n">
        <v>0</v>
      </c>
      <c r="BI1345" s="71" t="n">
        <v>0</v>
      </c>
      <c r="BJ1345" s="69" t="inlineStr">
        <is>
          <t>N</t>
        </is>
      </c>
      <c r="BK1345" s="69" t="inlineStr">
        <is>
          <t>Walgreens</t>
        </is>
      </c>
      <c r="BL1345" s="75" t="n">
        <v>100</v>
      </c>
      <c r="BM1345" s="73" t="n">
        <v>67159</v>
      </c>
      <c r="BN1345" s="69" t="inlineStr">
        <is>
          <t>Mary Anne Keshen</t>
        </is>
      </c>
      <c r="BO1345" s="69" t="inlineStr">
        <is>
          <t>GACC</t>
        </is>
      </c>
      <c r="BP1345" s="69" t="inlineStr">
        <is>
          <t>Midland Loan Services</t>
        </is>
      </c>
      <c r="BQ1345" s="69" t="inlineStr">
        <is>
          <t>K-Star Asset Management LLC</t>
        </is>
      </c>
      <c r="BR1345" s="69" t="n"/>
      <c r="BS1345" s="73" t="n">
        <v>46273</v>
      </c>
      <c r="BU1345" s="76">
        <f>IF($C1345="","",IFERROR(INDEX(dmName,MATCH($C1345,dmID,0)),"Unmapped"))</f>
        <v/>
      </c>
      <c r="BV1345" s="76">
        <f>IF($C1345="","",IFERROR(INDEX(dmEntity,MATCH($C1345,dmID,0)),"Unmapped"))</f>
        <v/>
      </c>
      <c r="BW1345" s="77">
        <f>IF($C1345="","",IFERROR(INDEX(dmVintage,MATCH($C1345,dmID,0)),""))</f>
        <v/>
      </c>
      <c r="BX1345" s="78">
        <f>IFERROR(INDEX(dmInclude,MATCH($C1345,dmID,0)),0)</f>
        <v/>
      </c>
      <c r="BY1345" s="78">
        <f>IF(N($I1345)&gt;0,1,0)</f>
        <v/>
      </c>
      <c r="BZ1345" s="76">
        <f>IF($AJ1345="","Other / Leased Fee",IFERROR(INDEX(mapPTGroup,MATCH(LEFT(TRIM($AJ1345),2),mapPTCode,0)),"Other / Leased Fee"))</f>
        <v/>
      </c>
      <c r="CA1345" s="76">
        <f>IF(TRIM($AF1345&amp;"")="","NR",LEFT(TRIM($AF1345),2))</f>
        <v/>
      </c>
      <c r="CB1345" s="76">
        <f>IFERROR(LOOKUP(2,1/(LEFT(TRIM($AI1345&amp;""),LEN(mapRegion))=mapRegion),mapRegion),"Not Reported")</f>
        <v/>
      </c>
      <c r="CC1345" s="76">
        <f>IF($BY1345=0,"",IF(TRIM($W1345&amp;"")="REO","REO",IF(TRIM($W1345&amp;"")="FC","Foreclosure",IF(TRIM($W1345&amp;"")="90+","90+ Days Delinquent",IF(TRIM($W1345&amp;"")="60","60 Days Delinquent",IF(TRIM($W1345&amp;"")="30","30 Days Delinquent",IF($X1345="Non-Performing Matured Balloon","Non-Performing Matured Balloon",IF(OR($X1345="Late Payment But Less Than 30 Days Delinquent",LEFT($X1345&amp;"",20)="Payment Not Received"),"Late / In Grace (&lt;30 Days)",IF($X1345="Performing Matured Balloon","Performing Matured Balloon","Current")))))))))</f>
        <v/>
      </c>
      <c r="CD1345" s="78">
        <f>IF(OR($CC1345="REO",$CC1345="Foreclosure",$CC1345="90+ Days Delinquent",$CC1345="60 Days Delinquent",$CC1345="30 Days Delinquent",$CC1345="Non-Performing Matured Balloon"),1,0)</f>
        <v/>
      </c>
      <c r="CE1345" s="76">
        <f>IF($AB1345="Currently special serv","Currently Specially Serviced",IF($AB1345="Returned to master serv","Previously Specially Serviced","Never Specially Serviced"))</f>
        <v/>
      </c>
      <c r="CF1345" s="78">
        <f>IF($CE1345="Currently Specially Serviced",1,0)</f>
        <v/>
      </c>
      <c r="CG1345" s="76">
        <f>IF($AA1345="Yes","Currently on Watchlist",IF($AA1345="Previously","Previously on Watchlist","Never on Watchlist"))</f>
        <v/>
      </c>
      <c r="CH1345" s="78">
        <f>IF($CG1345="Currently on Watchlist",1,0)</f>
        <v/>
      </c>
      <c r="CI1345" s="76">
        <f>IF($Z1345="Full Defeasance","Fully Defeased",IF($Z1345="Portion Of Loan Previously Defeased","Partially Defeased",IF($Z1345="Defeasance Not Allowable","Not Defeased (Not Permitted)","Not Defeased")))</f>
        <v/>
      </c>
      <c r="CJ1345" s="78">
        <f>IF($CI1345="Fully Defeased",1,0)</f>
        <v/>
      </c>
      <c r="CK1345" s="76">
        <f>IF($R1345="IO","Full IO",IF(LEFT($R1345&amp;"",7)="IO then","Partial IO","Amortizing"))</f>
        <v/>
      </c>
      <c r="CL1345" s="78">
        <f>IF($CK1345="Full IO",1,0)</f>
        <v/>
      </c>
      <c r="CM1345" s="78">
        <f>IF($CK1345="Partial IO",1,0)</f>
        <v/>
      </c>
      <c r="CN1345" s="76">
        <f>IF(LEFT($F1345&amp;"",10)="SPLIT_LOAN","Pari Passu Split","Standalone")</f>
        <v/>
      </c>
      <c r="CO1345" s="78">
        <f>IF($CN1345="Pari Passu Split",1,0)</f>
        <v/>
      </c>
      <c r="CP1345" s="77">
        <f>IF(ISNUMBER($T1345),YEAR($T1345),"")</f>
        <v/>
      </c>
      <c r="CQ1345" s="79">
        <f>IF(ISNUMBER($V1345),$V1345,IF(ISNUMBER($U1345),$U1345,""))</f>
        <v/>
      </c>
      <c r="CR1345" s="77">
        <f>IF(ISNUMBER($CQ1345),YEAR($CQ1345),"")</f>
        <v/>
      </c>
      <c r="CS1345" s="78">
        <f>IF(ISNUMBER($M1345),MAX(0,$M1345),IF(TRIM($M1345&amp;"")="matured",0,""))</f>
        <v/>
      </c>
      <c r="CT1345" s="78">
        <f>IF(AND(ISNUMBER($CS1345),N($CS1345)&lt;=mMatWindow),1,0)</f>
        <v/>
      </c>
      <c r="CU1345" s="80">
        <f>IF(ISNUMBER($J1345),$J1345/100,"")</f>
        <v/>
      </c>
      <c r="CV1345" s="81">
        <f>IF(ISNUMBER($AQ1345),$AQ1345,"")</f>
        <v/>
      </c>
      <c r="CW1345" s="81">
        <f>IF(ISNUMBER($AR1345),$AR1345,"")</f>
        <v/>
      </c>
      <c r="CX1345" s="82">
        <f>IF(ISNUMBER($AS1345),$AS1345/100,"")</f>
        <v/>
      </c>
      <c r="CY1345" s="82">
        <f>IF(ISNUMBER($AT1345),$AT1345/100,"")</f>
        <v/>
      </c>
      <c r="CZ1345" s="82">
        <f>IF(ISNUMBER($AU1345),$AU1345/100,"")</f>
        <v/>
      </c>
      <c r="DA1345" s="82">
        <f>IF(ISNUMBER($AV1345),$AV1345/100,"")</f>
        <v/>
      </c>
      <c r="DB1345" s="82">
        <f>IF(ISNUMBER($AW1345),$AW1345/100,"")</f>
        <v/>
      </c>
      <c r="DC1345" s="82">
        <f>IF(ISNUMBER($AX1345),$AX1345/100,"")</f>
        <v/>
      </c>
      <c r="DD1345" s="77">
        <f>IFERROR(VALUE(LEFT(TRIM($AO1345&amp;""),4)),"")</f>
        <v/>
      </c>
      <c r="DE1345" s="78">
        <f>IF(AND($BY1345=1,$BX1345=1,OR(fDeal="All Deals",$BU1345=fDeal),OR(fEntity="All Entities",$BV1345=fEntity),OR(fPType="All Property Types",$BZ1345=fPType),OR(fDefeased="Include",$CJ1345=0)),1,0)</f>
        <v/>
      </c>
      <c r="DF1345" s="83">
        <f>$DE1345*N($I1345)</f>
        <v/>
      </c>
      <c r="DG1345" s="78">
        <f>IF($DE1345=1,IF(COUNTIFS($F$8:$F1345,$F1345,$DE$8:$DE1345,1)=1,1,0),0)</f>
        <v/>
      </c>
      <c r="DH1345" s="83">
        <f>IF($DG1345=1,SUMIFS($DF$8:$DF$1600,$F$8:$F$1600,$F1345),0)</f>
        <v/>
      </c>
      <c r="DI1345" s="78">
        <f>IF($DG1345=1,COUNTIFS($F$8:$F$1600,$F1345,$DE$8:$DE$1600,1),0)</f>
        <v/>
      </c>
      <c r="DJ1345" s="84">
        <f>IF($DG1345=1,$DH1345+(100000-ROW())/mTieBreak,0)</f>
        <v/>
      </c>
    </row>
    <row r="1346">
      <c r="B1346" s="68" t="n">
        <v>48</v>
      </c>
      <c r="C1346" s="69" t="inlineStr">
        <is>
          <t>CD17CD3</t>
        </is>
      </c>
      <c r="D1346" s="69" t="inlineStr">
        <is>
          <t>48.000</t>
        </is>
      </c>
      <c r="E1346" s="69" t="inlineStr">
        <is>
          <t>2901-2911 North Sheffield</t>
        </is>
      </c>
      <c r="F1346" s="69" t="inlineStr">
        <is>
          <t>LNCD17CD3-48.000</t>
        </is>
      </c>
      <c r="G1346" s="70" t="n"/>
      <c r="H1346" s="71" t="n">
        <v>4450000</v>
      </c>
      <c r="I1346" s="71" t="n">
        <v>3952892.2299998</v>
      </c>
      <c r="J1346" s="72" t="n">
        <v>4.9</v>
      </c>
      <c r="K1346" s="69" t="inlineStr">
        <is>
          <t>Fixed rate</t>
        </is>
      </c>
      <c r="L1346" s="68" t="n">
        <v>120</v>
      </c>
      <c r="M1346" s="68" t="n">
        <v>3</v>
      </c>
      <c r="N1346" s="68" t="n">
        <v>396</v>
      </c>
      <c r="O1346" s="68" t="n">
        <v>36</v>
      </c>
      <c r="P1346" s="68" t="n">
        <v>0</v>
      </c>
      <c r="Q1346" s="68" t="n">
        <v>117</v>
      </c>
      <c r="R1346" s="69" t="inlineStr">
        <is>
          <t>IO then Amort</t>
        </is>
      </c>
      <c r="S1346" s="69" t="inlineStr">
        <is>
          <t>No</t>
        </is>
      </c>
      <c r="T1346" s="73" t="n">
        <v>42705</v>
      </c>
      <c r="U1346" s="73" t="n">
        <v>46362</v>
      </c>
      <c r="V1346" s="73" t="n"/>
      <c r="W1346" s="69" t="n"/>
      <c r="X1346" s="69" t="inlineStr">
        <is>
          <t>Current</t>
        </is>
      </c>
      <c r="Y1346" s="68" t="n"/>
      <c r="Z1346" s="69" t="inlineStr">
        <is>
          <t>No Defeasance Occurred</t>
        </is>
      </c>
      <c r="AA1346" s="69" t="inlineStr">
        <is>
          <t>Previously</t>
        </is>
      </c>
      <c r="AB1346" s="69" t="inlineStr">
        <is>
          <t>Never special serv</t>
        </is>
      </c>
      <c r="AC1346" s="73" t="n"/>
      <c r="AD1346" s="69" t="n"/>
      <c r="AE1346" s="69" t="n"/>
      <c r="AF1346" s="69" t="inlineStr">
        <is>
          <t>IL</t>
        </is>
      </c>
      <c r="AG1346" s="69" t="inlineStr">
        <is>
          <t>Chicago</t>
        </is>
      </c>
      <c r="AH1346" s="69" t="inlineStr">
        <is>
          <t>Chicago-Naperville-Elgin, IL-IN</t>
        </is>
      </c>
      <c r="AI1346" s="69" t="inlineStr">
        <is>
          <t>Midwest / Central East</t>
        </is>
      </c>
      <c r="AJ1346" s="69" t="inlineStr">
        <is>
          <t>RT</t>
        </is>
      </c>
      <c r="AK1346" s="69" t="inlineStr">
        <is>
          <t>Single Tenant</t>
        </is>
      </c>
      <c r="AL1346" s="68" t="n">
        <v>1</v>
      </c>
      <c r="AM1346" s="68" t="n"/>
      <c r="AN1346" s="68" t="n">
        <v>15573</v>
      </c>
      <c r="AO1346" s="69" t="inlineStr">
        <is>
          <t>1920</t>
        </is>
      </c>
      <c r="AP1346" s="70" t="n">
        <v>2016</v>
      </c>
      <c r="AQ1346" s="74" t="n">
        <v>1.4</v>
      </c>
      <c r="AR1346" s="74" t="n">
        <v>1.52</v>
      </c>
      <c r="AS1346" s="74" t="n">
        <v>68.15000000000001</v>
      </c>
      <c r="AT1346" s="74" t="n">
        <v>60.53</v>
      </c>
      <c r="AU1346" s="74" t="n">
        <v>60.2</v>
      </c>
      <c r="AV1346" s="74" t="n">
        <v>8.928404494</v>
      </c>
      <c r="AW1346" s="74" t="n">
        <v>12.240987658</v>
      </c>
      <c r="AX1346" s="75" t="n">
        <v>100</v>
      </c>
      <c r="AY1346" s="71" t="n">
        <v>6530000</v>
      </c>
      <c r="AZ1346" s="71" t="n">
        <v>6530000</v>
      </c>
      <c r="BA1346" s="71" t="n">
        <v>397314</v>
      </c>
      <c r="BB1346" s="71" t="n">
        <v>429514</v>
      </c>
      <c r="BC1346" s="69" t="inlineStr">
        <is>
          <t>Acquisition</t>
        </is>
      </c>
      <c r="BD1346" s="69" t="inlineStr">
        <is>
          <t>N</t>
        </is>
      </c>
      <c r="BE1346" s="71" t="n"/>
      <c r="BF1346" s="71" t="n"/>
      <c r="BG1346" s="71" t="n"/>
      <c r="BH1346" s="71" t="n">
        <v>0</v>
      </c>
      <c r="BI1346" s="71" t="n">
        <v>0</v>
      </c>
      <c r="BJ1346" s="69" t="inlineStr">
        <is>
          <t>N</t>
        </is>
      </c>
      <c r="BK1346" s="69" t="inlineStr">
        <is>
          <t>River Partners Chicago 16843</t>
        </is>
      </c>
      <c r="BL1346" s="75" t="n">
        <v>100</v>
      </c>
      <c r="BM1346" s="73" t="n">
        <v>47483</v>
      </c>
      <c r="BN1346" s="69" t="inlineStr">
        <is>
          <t>Isaac Shalom</t>
        </is>
      </c>
      <c r="BO1346" s="69" t="inlineStr">
        <is>
          <t>Citigroup Global Markets</t>
        </is>
      </c>
      <c r="BP1346" s="69" t="inlineStr">
        <is>
          <t>Midland Loan Services</t>
        </is>
      </c>
      <c r="BQ1346" s="69" t="inlineStr">
        <is>
          <t>K-Star Asset Management LLC</t>
        </is>
      </c>
      <c r="BR1346" s="69" t="n"/>
      <c r="BS1346" s="73" t="n">
        <v>46273</v>
      </c>
      <c r="BU1346" s="76">
        <f>IF($C1346="","",IFERROR(INDEX(dmName,MATCH($C1346,dmID,0)),"Unmapped"))</f>
        <v/>
      </c>
      <c r="BV1346" s="76">
        <f>IF($C1346="","",IFERROR(INDEX(dmEntity,MATCH($C1346,dmID,0)),"Unmapped"))</f>
        <v/>
      </c>
      <c r="BW1346" s="77">
        <f>IF($C1346="","",IFERROR(INDEX(dmVintage,MATCH($C1346,dmID,0)),""))</f>
        <v/>
      </c>
      <c r="BX1346" s="78">
        <f>IFERROR(INDEX(dmInclude,MATCH($C1346,dmID,0)),0)</f>
        <v/>
      </c>
      <c r="BY1346" s="78">
        <f>IF(N($I1346)&gt;0,1,0)</f>
        <v/>
      </c>
      <c r="BZ1346" s="76">
        <f>IF($AJ1346="","Other / Leased Fee",IFERROR(INDEX(mapPTGroup,MATCH(LEFT(TRIM($AJ1346),2),mapPTCode,0)),"Other / Leased Fee"))</f>
        <v/>
      </c>
      <c r="CA1346" s="76">
        <f>IF(TRIM($AF1346&amp;"")="","NR",LEFT(TRIM($AF1346),2))</f>
        <v/>
      </c>
      <c r="CB1346" s="76">
        <f>IFERROR(LOOKUP(2,1/(LEFT(TRIM($AI1346&amp;""),LEN(mapRegion))=mapRegion),mapRegion),"Not Reported")</f>
        <v/>
      </c>
      <c r="CC1346" s="76">
        <f>IF($BY1346=0,"",IF(TRIM($W1346&amp;"")="REO","REO",IF(TRIM($W1346&amp;"")="FC","Foreclosure",IF(TRIM($W1346&amp;"")="90+","90+ Days Delinquent",IF(TRIM($W1346&amp;"")="60","60 Days Delinquent",IF(TRIM($W1346&amp;"")="30","30 Days Delinquent",IF($X1346="Non-Performing Matured Balloon","Non-Performing Matured Balloon",IF(OR($X1346="Late Payment But Less Than 30 Days Delinquent",LEFT($X1346&amp;"",20)="Payment Not Received"),"Late / In Grace (&lt;30 Days)",IF($X1346="Performing Matured Balloon","Performing Matured Balloon","Current")))))))))</f>
        <v/>
      </c>
      <c r="CD1346" s="78">
        <f>IF(OR($CC1346="REO",$CC1346="Foreclosure",$CC1346="90+ Days Delinquent",$CC1346="60 Days Delinquent",$CC1346="30 Days Delinquent",$CC1346="Non-Performing Matured Balloon"),1,0)</f>
        <v/>
      </c>
      <c r="CE1346" s="76">
        <f>IF($AB1346="Currently special serv","Currently Specially Serviced",IF($AB1346="Returned to master serv","Previously Specially Serviced","Never Specially Serviced"))</f>
        <v/>
      </c>
      <c r="CF1346" s="78">
        <f>IF($CE1346="Currently Specially Serviced",1,0)</f>
        <v/>
      </c>
      <c r="CG1346" s="76">
        <f>IF($AA1346="Yes","Currently on Watchlist",IF($AA1346="Previously","Previously on Watchlist","Never on Watchlist"))</f>
        <v/>
      </c>
      <c r="CH1346" s="78">
        <f>IF($CG1346="Currently on Watchlist",1,0)</f>
        <v/>
      </c>
      <c r="CI1346" s="76">
        <f>IF($Z1346="Full Defeasance","Fully Defeased",IF($Z1346="Portion Of Loan Previously Defeased","Partially Defeased",IF($Z1346="Defeasance Not Allowable","Not Defeased (Not Permitted)","Not Defeased")))</f>
        <v/>
      </c>
      <c r="CJ1346" s="78">
        <f>IF($CI1346="Fully Defeased",1,0)</f>
        <v/>
      </c>
      <c r="CK1346" s="76">
        <f>IF($R1346="IO","Full IO",IF(LEFT($R1346&amp;"",7)="IO then","Partial IO","Amortizing"))</f>
        <v/>
      </c>
      <c r="CL1346" s="78">
        <f>IF($CK1346="Full IO",1,0)</f>
        <v/>
      </c>
      <c r="CM1346" s="78">
        <f>IF($CK1346="Partial IO",1,0)</f>
        <v/>
      </c>
      <c r="CN1346" s="76">
        <f>IF(LEFT($F1346&amp;"",10)="SPLIT_LOAN","Pari Passu Split","Standalone")</f>
        <v/>
      </c>
      <c r="CO1346" s="78">
        <f>IF($CN1346="Pari Passu Split",1,0)</f>
        <v/>
      </c>
      <c r="CP1346" s="77">
        <f>IF(ISNUMBER($T1346),YEAR($T1346),"")</f>
        <v/>
      </c>
      <c r="CQ1346" s="79">
        <f>IF(ISNUMBER($V1346),$V1346,IF(ISNUMBER($U1346),$U1346,""))</f>
        <v/>
      </c>
      <c r="CR1346" s="77">
        <f>IF(ISNUMBER($CQ1346),YEAR($CQ1346),"")</f>
        <v/>
      </c>
      <c r="CS1346" s="78">
        <f>IF(ISNUMBER($M1346),MAX(0,$M1346),IF(TRIM($M1346&amp;"")="matured",0,""))</f>
        <v/>
      </c>
      <c r="CT1346" s="78">
        <f>IF(AND(ISNUMBER($CS1346),N($CS1346)&lt;=mMatWindow),1,0)</f>
        <v/>
      </c>
      <c r="CU1346" s="80">
        <f>IF(ISNUMBER($J1346),$J1346/100,"")</f>
        <v/>
      </c>
      <c r="CV1346" s="81">
        <f>IF(ISNUMBER($AQ1346),$AQ1346,"")</f>
        <v/>
      </c>
      <c r="CW1346" s="81">
        <f>IF(ISNUMBER($AR1346),$AR1346,"")</f>
        <v/>
      </c>
      <c r="CX1346" s="82">
        <f>IF(ISNUMBER($AS1346),$AS1346/100,"")</f>
        <v/>
      </c>
      <c r="CY1346" s="82">
        <f>IF(ISNUMBER($AT1346),$AT1346/100,"")</f>
        <v/>
      </c>
      <c r="CZ1346" s="82">
        <f>IF(ISNUMBER($AU1346),$AU1346/100,"")</f>
        <v/>
      </c>
      <c r="DA1346" s="82">
        <f>IF(ISNUMBER($AV1346),$AV1346/100,"")</f>
        <v/>
      </c>
      <c r="DB1346" s="82">
        <f>IF(ISNUMBER($AW1346),$AW1346/100,"")</f>
        <v/>
      </c>
      <c r="DC1346" s="82">
        <f>IF(ISNUMBER($AX1346),$AX1346/100,"")</f>
        <v/>
      </c>
      <c r="DD1346" s="77">
        <f>IFERROR(VALUE(LEFT(TRIM($AO1346&amp;""),4)),"")</f>
        <v/>
      </c>
      <c r="DE1346" s="78">
        <f>IF(AND($BY1346=1,$BX1346=1,OR(fDeal="All Deals",$BU1346=fDeal),OR(fEntity="All Entities",$BV1346=fEntity),OR(fPType="All Property Types",$BZ1346=fPType),OR(fDefeased="Include",$CJ1346=0)),1,0)</f>
        <v/>
      </c>
      <c r="DF1346" s="83">
        <f>$DE1346*N($I1346)</f>
        <v/>
      </c>
      <c r="DG1346" s="78">
        <f>IF($DE1346=1,IF(COUNTIFS($F$8:$F1346,$F1346,$DE$8:$DE1346,1)=1,1,0),0)</f>
        <v/>
      </c>
      <c r="DH1346" s="83">
        <f>IF($DG1346=1,SUMIFS($DF$8:$DF$1600,$F$8:$F$1600,$F1346),0)</f>
        <v/>
      </c>
      <c r="DI1346" s="78">
        <f>IF($DG1346=1,COUNTIFS($F$8:$F$1600,$F1346,$DE$8:$DE$1600,1),0)</f>
        <v/>
      </c>
      <c r="DJ1346" s="84">
        <f>IF($DG1346=1,$DH1346+(100000-ROW())/mTieBreak,0)</f>
        <v/>
      </c>
    </row>
    <row r="1347">
      <c r="B1347" s="68" t="n">
        <v>49</v>
      </c>
      <c r="C1347" s="69" t="inlineStr">
        <is>
          <t>CD17CD3</t>
        </is>
      </c>
      <c r="D1347" s="69" t="inlineStr">
        <is>
          <t>49.000</t>
        </is>
      </c>
      <c r="E1347" s="69" t="inlineStr">
        <is>
          <t>CVS Holbrook</t>
        </is>
      </c>
      <c r="F1347" s="69" t="inlineStr">
        <is>
          <t>LNCD17CD3-49.000</t>
        </is>
      </c>
      <c r="G1347" s="70" t="n"/>
      <c r="H1347" s="71" t="n">
        <v>4070000</v>
      </c>
      <c r="I1347" s="71" t="n">
        <v>0</v>
      </c>
      <c r="J1347" s="72" t="n">
        <v>4.85</v>
      </c>
      <c r="K1347" s="69" t="inlineStr">
        <is>
          <t>Fixed rate</t>
        </is>
      </c>
      <c r="L1347" s="68" t="n">
        <v>120</v>
      </c>
      <c r="M1347" s="68" t="n"/>
      <c r="N1347" s="68" t="n">
        <v>360</v>
      </c>
      <c r="O1347" s="68" t="n"/>
      <c r="P1347" s="68" t="n"/>
      <c r="Q1347" s="68" t="n"/>
      <c r="R1347" s="69" t="n"/>
      <c r="S1347" s="69" t="inlineStr">
        <is>
          <t>No</t>
        </is>
      </c>
      <c r="T1347" s="73" t="n">
        <v>42705</v>
      </c>
      <c r="U1347" s="73" t="n">
        <v>46362</v>
      </c>
      <c r="V1347" s="73" t="n"/>
      <c r="W1347" s="69" t="n"/>
      <c r="X1347" s="69" t="inlineStr">
        <is>
          <t>Current</t>
        </is>
      </c>
      <c r="Y1347" s="68" t="n"/>
      <c r="Z1347" s="69" t="inlineStr">
        <is>
          <t>Full Defeasance</t>
        </is>
      </c>
      <c r="AA1347" s="69" t="inlineStr">
        <is>
          <t>Previously</t>
        </is>
      </c>
      <c r="AB1347" s="69" t="inlineStr">
        <is>
          <t>Never special serv</t>
        </is>
      </c>
      <c r="AC1347" s="73" t="n"/>
      <c r="AD1347" s="69" t="n"/>
      <c r="AE1347" s="69" t="n"/>
      <c r="AF1347" s="69" t="inlineStr">
        <is>
          <t>MA</t>
        </is>
      </c>
      <c r="AG1347" s="69" t="inlineStr">
        <is>
          <t>Holbrook</t>
        </is>
      </c>
      <c r="AH1347" s="69" t="inlineStr">
        <is>
          <t>Boston-Cambridge-Newton, MA-NH</t>
        </is>
      </c>
      <c r="AI1347" s="69" t="inlineStr">
        <is>
          <t>Northeast / New England</t>
        </is>
      </c>
      <c r="AJ1347" s="69" t="inlineStr">
        <is>
          <t>RT</t>
        </is>
      </c>
      <c r="AK1347" s="69" t="inlineStr">
        <is>
          <t>Single Tenant</t>
        </is>
      </c>
      <c r="AL1347" s="68" t="n">
        <v>1</v>
      </c>
      <c r="AM1347" s="68" t="n"/>
      <c r="AN1347" s="68" t="n">
        <v>13013</v>
      </c>
      <c r="AO1347" s="69" t="inlineStr">
        <is>
          <t>2005</t>
        </is>
      </c>
      <c r="AP1347" s="70" t="n">
        <v>2005</v>
      </c>
      <c r="AQ1347" s="74" t="n">
        <v>1.46</v>
      </c>
      <c r="AR1347" s="74" t="n">
        <v>1.56</v>
      </c>
      <c r="AS1347" s="74" t="n">
        <v>64.56</v>
      </c>
      <c r="AT1347" s="74" t="n"/>
      <c r="AU1347" s="74" t="n">
        <v>52.93</v>
      </c>
      <c r="AV1347" s="74" t="n">
        <v>9.268009828</v>
      </c>
      <c r="AW1347" s="74" t="n"/>
      <c r="AX1347" s="75" t="n">
        <v>100</v>
      </c>
      <c r="AY1347" s="71" t="n">
        <v>6290000</v>
      </c>
      <c r="AZ1347" s="71" t="n">
        <v>6290000</v>
      </c>
      <c r="BA1347" s="71" t="n">
        <v>377208</v>
      </c>
      <c r="BB1347" s="71" t="n">
        <v>403134.15</v>
      </c>
      <c r="BC1347" s="69" t="inlineStr">
        <is>
          <t>Acquisition</t>
        </is>
      </c>
      <c r="BD1347" s="69" t="inlineStr">
        <is>
          <t>N</t>
        </is>
      </c>
      <c r="BE1347" s="71" t="n"/>
      <c r="BF1347" s="71" t="n"/>
      <c r="BG1347" s="71" t="n"/>
      <c r="BH1347" s="71" t="n">
        <v>0</v>
      </c>
      <c r="BI1347" s="71" t="n">
        <v>0</v>
      </c>
      <c r="BJ1347" s="69" t="inlineStr">
        <is>
          <t>N</t>
        </is>
      </c>
      <c r="BK1347" s="69" t="inlineStr">
        <is>
          <t>CVS</t>
        </is>
      </c>
      <c r="BL1347" s="75" t="n">
        <v>100</v>
      </c>
      <c r="BM1347" s="73" t="n">
        <v>49705</v>
      </c>
      <c r="BN1347" s="69" t="inlineStr">
        <is>
          <t>Dmitrii Volkov</t>
        </is>
      </c>
      <c r="BO1347" s="69" t="inlineStr">
        <is>
          <t>Citigroup Global Markets</t>
        </is>
      </c>
      <c r="BP1347" s="69" t="inlineStr">
        <is>
          <t>Midland Loan Services</t>
        </is>
      </c>
      <c r="BQ1347" s="69" t="inlineStr">
        <is>
          <t>K-Star Asset Management LLC</t>
        </is>
      </c>
      <c r="BR1347" s="69" t="inlineStr">
        <is>
          <t>Payoff Prior To Maturity</t>
        </is>
      </c>
      <c r="BS1347" s="73" t="n">
        <v>46273</v>
      </c>
      <c r="BU1347" s="76">
        <f>IF($C1347="","",IFERROR(INDEX(dmName,MATCH($C1347,dmID,0)),"Unmapped"))</f>
        <v/>
      </c>
      <c r="BV1347" s="76">
        <f>IF($C1347="","",IFERROR(INDEX(dmEntity,MATCH($C1347,dmID,0)),"Unmapped"))</f>
        <v/>
      </c>
      <c r="BW1347" s="77">
        <f>IF($C1347="","",IFERROR(INDEX(dmVintage,MATCH($C1347,dmID,0)),""))</f>
        <v/>
      </c>
      <c r="BX1347" s="78">
        <f>IFERROR(INDEX(dmInclude,MATCH($C1347,dmID,0)),0)</f>
        <v/>
      </c>
      <c r="BY1347" s="78">
        <f>IF(N($I1347)&gt;0,1,0)</f>
        <v/>
      </c>
      <c r="BZ1347" s="76">
        <f>IF($AJ1347="","Other / Leased Fee",IFERROR(INDEX(mapPTGroup,MATCH(LEFT(TRIM($AJ1347),2),mapPTCode,0)),"Other / Leased Fee"))</f>
        <v/>
      </c>
      <c r="CA1347" s="76">
        <f>IF(TRIM($AF1347&amp;"")="","NR",LEFT(TRIM($AF1347),2))</f>
        <v/>
      </c>
      <c r="CB1347" s="76">
        <f>IFERROR(LOOKUP(2,1/(LEFT(TRIM($AI1347&amp;""),LEN(mapRegion))=mapRegion),mapRegion),"Not Reported")</f>
        <v/>
      </c>
      <c r="CC1347" s="76">
        <f>IF($BY1347=0,"",IF(TRIM($W1347&amp;"")="REO","REO",IF(TRIM($W1347&amp;"")="FC","Foreclosure",IF(TRIM($W1347&amp;"")="90+","90+ Days Delinquent",IF(TRIM($W1347&amp;"")="60","60 Days Delinquent",IF(TRIM($W1347&amp;"")="30","30 Days Delinquent",IF($X1347="Non-Performing Matured Balloon","Non-Performing Matured Balloon",IF(OR($X1347="Late Payment But Less Than 30 Days Delinquent",LEFT($X1347&amp;"",20)="Payment Not Received"),"Late / In Grace (&lt;30 Days)",IF($X1347="Performing Matured Balloon","Performing Matured Balloon","Current")))))))))</f>
        <v/>
      </c>
      <c r="CD1347" s="78">
        <f>IF(OR($CC1347="REO",$CC1347="Foreclosure",$CC1347="90+ Days Delinquent",$CC1347="60 Days Delinquent",$CC1347="30 Days Delinquent",$CC1347="Non-Performing Matured Balloon"),1,0)</f>
        <v/>
      </c>
      <c r="CE1347" s="76">
        <f>IF($AB1347="Currently special serv","Currently Specially Serviced",IF($AB1347="Returned to master serv","Previously Specially Serviced","Never Specially Serviced"))</f>
        <v/>
      </c>
      <c r="CF1347" s="78">
        <f>IF($CE1347="Currently Specially Serviced",1,0)</f>
        <v/>
      </c>
      <c r="CG1347" s="76">
        <f>IF($AA1347="Yes","Currently on Watchlist",IF($AA1347="Previously","Previously on Watchlist","Never on Watchlist"))</f>
        <v/>
      </c>
      <c r="CH1347" s="78">
        <f>IF($CG1347="Currently on Watchlist",1,0)</f>
        <v/>
      </c>
      <c r="CI1347" s="76">
        <f>IF($Z1347="Full Defeasance","Fully Defeased",IF($Z1347="Portion Of Loan Previously Defeased","Partially Defeased",IF($Z1347="Defeasance Not Allowable","Not Defeased (Not Permitted)","Not Defeased")))</f>
        <v/>
      </c>
      <c r="CJ1347" s="78">
        <f>IF($CI1347="Fully Defeased",1,0)</f>
        <v/>
      </c>
      <c r="CK1347" s="76">
        <f>IF($R1347="IO","Full IO",IF(LEFT($R1347&amp;"",7)="IO then","Partial IO","Amortizing"))</f>
        <v/>
      </c>
      <c r="CL1347" s="78">
        <f>IF($CK1347="Full IO",1,0)</f>
        <v/>
      </c>
      <c r="CM1347" s="78">
        <f>IF($CK1347="Partial IO",1,0)</f>
        <v/>
      </c>
      <c r="CN1347" s="76">
        <f>IF(LEFT($F1347&amp;"",10)="SPLIT_LOAN","Pari Passu Split","Standalone")</f>
        <v/>
      </c>
      <c r="CO1347" s="78">
        <f>IF($CN1347="Pari Passu Split",1,0)</f>
        <v/>
      </c>
      <c r="CP1347" s="77">
        <f>IF(ISNUMBER($T1347),YEAR($T1347),"")</f>
        <v/>
      </c>
      <c r="CQ1347" s="79">
        <f>IF(ISNUMBER($V1347),$V1347,IF(ISNUMBER($U1347),$U1347,""))</f>
        <v/>
      </c>
      <c r="CR1347" s="77">
        <f>IF(ISNUMBER($CQ1347),YEAR($CQ1347),"")</f>
        <v/>
      </c>
      <c r="CS1347" s="78">
        <f>IF(ISNUMBER($M1347),MAX(0,$M1347),IF(TRIM($M1347&amp;"")="matured",0,""))</f>
        <v/>
      </c>
      <c r="CT1347" s="78">
        <f>IF(AND(ISNUMBER($CS1347),N($CS1347)&lt;=mMatWindow),1,0)</f>
        <v/>
      </c>
      <c r="CU1347" s="80">
        <f>IF(ISNUMBER($J1347),$J1347/100,"")</f>
        <v/>
      </c>
      <c r="CV1347" s="81">
        <f>IF(ISNUMBER($AQ1347),$AQ1347,"")</f>
        <v/>
      </c>
      <c r="CW1347" s="81">
        <f>IF(ISNUMBER($AR1347),$AR1347,"")</f>
        <v/>
      </c>
      <c r="CX1347" s="82">
        <f>IF(ISNUMBER($AS1347),$AS1347/100,"")</f>
        <v/>
      </c>
      <c r="CY1347" s="82">
        <f>IF(ISNUMBER($AT1347),$AT1347/100,"")</f>
        <v/>
      </c>
      <c r="CZ1347" s="82">
        <f>IF(ISNUMBER($AU1347),$AU1347/100,"")</f>
        <v/>
      </c>
      <c r="DA1347" s="82">
        <f>IF(ISNUMBER($AV1347),$AV1347/100,"")</f>
        <v/>
      </c>
      <c r="DB1347" s="82">
        <f>IF(ISNUMBER($AW1347),$AW1347/100,"")</f>
        <v/>
      </c>
      <c r="DC1347" s="82">
        <f>IF(ISNUMBER($AX1347),$AX1347/100,"")</f>
        <v/>
      </c>
      <c r="DD1347" s="77">
        <f>IFERROR(VALUE(LEFT(TRIM($AO1347&amp;""),4)),"")</f>
        <v/>
      </c>
      <c r="DE1347" s="78">
        <f>IF(AND($BY1347=1,$BX1347=1,OR(fDeal="All Deals",$BU1347=fDeal),OR(fEntity="All Entities",$BV1347=fEntity),OR(fPType="All Property Types",$BZ1347=fPType),OR(fDefeased="Include",$CJ1347=0)),1,0)</f>
        <v/>
      </c>
      <c r="DF1347" s="83">
        <f>$DE1347*N($I1347)</f>
        <v/>
      </c>
      <c r="DG1347" s="78">
        <f>IF($DE1347=1,IF(COUNTIFS($F$8:$F1347,$F1347,$DE$8:$DE1347,1)=1,1,0),0)</f>
        <v/>
      </c>
      <c r="DH1347" s="83">
        <f>IF($DG1347=1,SUMIFS($DF$8:$DF$1600,$F$8:$F$1600,$F1347),0)</f>
        <v/>
      </c>
      <c r="DI1347" s="78">
        <f>IF($DG1347=1,COUNTIFS($F$8:$F$1600,$F1347,$DE$8:$DE$1600,1),0)</f>
        <v/>
      </c>
      <c r="DJ1347" s="84">
        <f>IF($DG1347=1,$DH1347+(100000-ROW())/mTieBreak,0)</f>
        <v/>
      </c>
    </row>
    <row r="1348">
      <c r="B1348" s="68" t="n">
        <v>50</v>
      </c>
      <c r="C1348" s="69" t="inlineStr">
        <is>
          <t>CD17CD3</t>
        </is>
      </c>
      <c r="D1348" s="69" t="inlineStr">
        <is>
          <t>50.000</t>
        </is>
      </c>
      <c r="E1348" s="69" t="inlineStr">
        <is>
          <t>Metuchen Self Storage</t>
        </is>
      </c>
      <c r="F1348" s="69" t="inlineStr">
        <is>
          <t>LNCD17CD3-50.000</t>
        </is>
      </c>
      <c r="G1348" s="70" t="n"/>
      <c r="H1348" s="71" t="n">
        <v>4000000</v>
      </c>
      <c r="I1348" s="71" t="n">
        <v>3514390.14</v>
      </c>
      <c r="J1348" s="72" t="n">
        <v>5.32</v>
      </c>
      <c r="K1348" s="69" t="inlineStr">
        <is>
          <t>Fixed rate</t>
        </is>
      </c>
      <c r="L1348" s="68" t="n">
        <v>120</v>
      </c>
      <c r="M1348" s="68" t="n">
        <v>4</v>
      </c>
      <c r="N1348" s="68" t="n">
        <v>384</v>
      </c>
      <c r="O1348" s="68" t="n">
        <v>24</v>
      </c>
      <c r="P1348" s="68" t="n">
        <v>0</v>
      </c>
      <c r="Q1348" s="68" t="n">
        <v>116</v>
      </c>
      <c r="R1348" s="69" t="inlineStr">
        <is>
          <t>IO then Amort</t>
        </is>
      </c>
      <c r="S1348" s="69" t="inlineStr">
        <is>
          <t>No</t>
        </is>
      </c>
      <c r="T1348" s="73" t="n">
        <v>42736</v>
      </c>
      <c r="U1348" s="73" t="n">
        <v>46393</v>
      </c>
      <c r="V1348" s="73" t="n"/>
      <c r="W1348" s="69" t="n"/>
      <c r="X1348" s="69" t="inlineStr">
        <is>
          <t>Current</t>
        </is>
      </c>
      <c r="Y1348" s="68" t="n"/>
      <c r="Z1348" s="69" t="inlineStr">
        <is>
          <t>Full Defeasance</t>
        </is>
      </c>
      <c r="AA1348" s="69" t="inlineStr">
        <is>
          <t>Previously</t>
        </is>
      </c>
      <c r="AB1348" s="69" t="inlineStr">
        <is>
          <t>Never special serv</t>
        </is>
      </c>
      <c r="AC1348" s="73" t="n"/>
      <c r="AD1348" s="69" t="n"/>
      <c r="AE1348" s="69" t="n"/>
      <c r="AF1348" s="69" t="inlineStr">
        <is>
          <t>NJ</t>
        </is>
      </c>
      <c r="AG1348" s="69" t="inlineStr">
        <is>
          <t>Metuchen</t>
        </is>
      </c>
      <c r="AH1348" s="69" t="inlineStr">
        <is>
          <t>New York-Newark-Jersey City, NY-NJ</t>
        </is>
      </c>
      <c r="AI1348" s="69" t="inlineStr">
        <is>
          <t>Northeast / Mid-Atlantic</t>
        </is>
      </c>
      <c r="AJ1348" s="69" t="inlineStr">
        <is>
          <t>SS</t>
        </is>
      </c>
      <c r="AK1348" s="69" t="n"/>
      <c r="AL1348" s="68" t="n">
        <v>1</v>
      </c>
      <c r="AM1348" s="68" t="n"/>
      <c r="AN1348" s="68" t="n">
        <v>41893</v>
      </c>
      <c r="AO1348" s="69" t="inlineStr">
        <is>
          <t>2001</t>
        </is>
      </c>
      <c r="AP1348" s="70" t="n">
        <v>2017</v>
      </c>
      <c r="AQ1348" s="74" t="n">
        <v>1.4</v>
      </c>
      <c r="AR1348" s="74" t="n">
        <v>1.28</v>
      </c>
      <c r="AS1348" s="74" t="n">
        <v>60.34</v>
      </c>
      <c r="AT1348" s="74" t="n">
        <v>60.59</v>
      </c>
      <c r="AU1348" s="74" t="n">
        <v>51.53</v>
      </c>
      <c r="AV1348" s="74" t="n">
        <v>8.1861</v>
      </c>
      <c r="AW1348" s="74" t="n">
        <v>9.739692987</v>
      </c>
      <c r="AX1348" s="75" t="n">
        <v>95</v>
      </c>
      <c r="AY1348" s="71" t="n">
        <v>5800000</v>
      </c>
      <c r="AZ1348" s="71" t="n">
        <v>5800000</v>
      </c>
      <c r="BA1348" s="71" t="n">
        <v>327444</v>
      </c>
      <c r="BB1348" s="71" t="n">
        <v>342290.81</v>
      </c>
      <c r="BC1348" s="69" t="inlineStr">
        <is>
          <t>Acquisition</t>
        </is>
      </c>
      <c r="BD1348" s="69" t="inlineStr">
        <is>
          <t>N</t>
        </is>
      </c>
      <c r="BE1348" s="71" t="n"/>
      <c r="BF1348" s="71" t="n"/>
      <c r="BG1348" s="71" t="n"/>
      <c r="BH1348" s="71" t="n">
        <v>0</v>
      </c>
      <c r="BI1348" s="71" t="n">
        <v>0</v>
      </c>
      <c r="BJ1348" s="69" t="inlineStr">
        <is>
          <t>N</t>
        </is>
      </c>
      <c r="BK1348" s="69" t="n"/>
      <c r="BL1348" s="75" t="n"/>
      <c r="BM1348" s="73" t="n"/>
      <c r="BN1348" s="69" t="inlineStr">
        <is>
          <t>Jacob Ramage</t>
        </is>
      </c>
      <c r="BO1348" s="69" t="inlineStr">
        <is>
          <t>Citigroup Global Markets</t>
        </is>
      </c>
      <c r="BP1348" s="69" t="inlineStr">
        <is>
          <t>Midland Loan Services</t>
        </is>
      </c>
      <c r="BQ1348" s="69" t="inlineStr">
        <is>
          <t>K-Star Asset Management LLC</t>
        </is>
      </c>
      <c r="BR1348" s="69" t="n"/>
      <c r="BS1348" s="73" t="n">
        <v>46273</v>
      </c>
      <c r="BU1348" s="76">
        <f>IF($C1348="","",IFERROR(INDEX(dmName,MATCH($C1348,dmID,0)),"Unmapped"))</f>
        <v/>
      </c>
      <c r="BV1348" s="76">
        <f>IF($C1348="","",IFERROR(INDEX(dmEntity,MATCH($C1348,dmID,0)),"Unmapped"))</f>
        <v/>
      </c>
      <c r="BW1348" s="77">
        <f>IF($C1348="","",IFERROR(INDEX(dmVintage,MATCH($C1348,dmID,0)),""))</f>
        <v/>
      </c>
      <c r="BX1348" s="78">
        <f>IFERROR(INDEX(dmInclude,MATCH($C1348,dmID,0)),0)</f>
        <v/>
      </c>
      <c r="BY1348" s="78">
        <f>IF(N($I1348)&gt;0,1,0)</f>
        <v/>
      </c>
      <c r="BZ1348" s="76">
        <f>IF($AJ1348="","Other / Leased Fee",IFERROR(INDEX(mapPTGroup,MATCH(LEFT(TRIM($AJ1348),2),mapPTCode,0)),"Other / Leased Fee"))</f>
        <v/>
      </c>
      <c r="CA1348" s="76">
        <f>IF(TRIM($AF1348&amp;"")="","NR",LEFT(TRIM($AF1348),2))</f>
        <v/>
      </c>
      <c r="CB1348" s="76">
        <f>IFERROR(LOOKUP(2,1/(LEFT(TRIM($AI1348&amp;""),LEN(mapRegion))=mapRegion),mapRegion),"Not Reported")</f>
        <v/>
      </c>
      <c r="CC1348" s="76">
        <f>IF($BY1348=0,"",IF(TRIM($W1348&amp;"")="REO","REO",IF(TRIM($W1348&amp;"")="FC","Foreclosure",IF(TRIM($W1348&amp;"")="90+","90+ Days Delinquent",IF(TRIM($W1348&amp;"")="60","60 Days Delinquent",IF(TRIM($W1348&amp;"")="30","30 Days Delinquent",IF($X1348="Non-Performing Matured Balloon","Non-Performing Matured Balloon",IF(OR($X1348="Late Payment But Less Than 30 Days Delinquent",LEFT($X1348&amp;"",20)="Payment Not Received"),"Late / In Grace (&lt;30 Days)",IF($X1348="Performing Matured Balloon","Performing Matured Balloon","Current")))))))))</f>
        <v/>
      </c>
      <c r="CD1348" s="78">
        <f>IF(OR($CC1348="REO",$CC1348="Foreclosure",$CC1348="90+ Days Delinquent",$CC1348="60 Days Delinquent",$CC1348="30 Days Delinquent",$CC1348="Non-Performing Matured Balloon"),1,0)</f>
        <v/>
      </c>
      <c r="CE1348" s="76">
        <f>IF($AB1348="Currently special serv","Currently Specially Serviced",IF($AB1348="Returned to master serv","Previously Specially Serviced","Never Specially Serviced"))</f>
        <v/>
      </c>
      <c r="CF1348" s="78">
        <f>IF($CE1348="Currently Specially Serviced",1,0)</f>
        <v/>
      </c>
      <c r="CG1348" s="76">
        <f>IF($AA1348="Yes","Currently on Watchlist",IF($AA1348="Previously","Previously on Watchlist","Never on Watchlist"))</f>
        <v/>
      </c>
      <c r="CH1348" s="78">
        <f>IF($CG1348="Currently on Watchlist",1,0)</f>
        <v/>
      </c>
      <c r="CI1348" s="76">
        <f>IF($Z1348="Full Defeasance","Fully Defeased",IF($Z1348="Portion Of Loan Previously Defeased","Partially Defeased",IF($Z1348="Defeasance Not Allowable","Not Defeased (Not Permitted)","Not Defeased")))</f>
        <v/>
      </c>
      <c r="CJ1348" s="78">
        <f>IF($CI1348="Fully Defeased",1,0)</f>
        <v/>
      </c>
      <c r="CK1348" s="76">
        <f>IF($R1348="IO","Full IO",IF(LEFT($R1348&amp;"",7)="IO then","Partial IO","Amortizing"))</f>
        <v/>
      </c>
      <c r="CL1348" s="78">
        <f>IF($CK1348="Full IO",1,0)</f>
        <v/>
      </c>
      <c r="CM1348" s="78">
        <f>IF($CK1348="Partial IO",1,0)</f>
        <v/>
      </c>
      <c r="CN1348" s="76">
        <f>IF(LEFT($F1348&amp;"",10)="SPLIT_LOAN","Pari Passu Split","Standalone")</f>
        <v/>
      </c>
      <c r="CO1348" s="78">
        <f>IF($CN1348="Pari Passu Split",1,0)</f>
        <v/>
      </c>
      <c r="CP1348" s="77">
        <f>IF(ISNUMBER($T1348),YEAR($T1348),"")</f>
        <v/>
      </c>
      <c r="CQ1348" s="79">
        <f>IF(ISNUMBER($V1348),$V1348,IF(ISNUMBER($U1348),$U1348,""))</f>
        <v/>
      </c>
      <c r="CR1348" s="77">
        <f>IF(ISNUMBER($CQ1348),YEAR($CQ1348),"")</f>
        <v/>
      </c>
      <c r="CS1348" s="78">
        <f>IF(ISNUMBER($M1348),MAX(0,$M1348),IF(TRIM($M1348&amp;"")="matured",0,""))</f>
        <v/>
      </c>
      <c r="CT1348" s="78">
        <f>IF(AND(ISNUMBER($CS1348),N($CS1348)&lt;=mMatWindow),1,0)</f>
        <v/>
      </c>
      <c r="CU1348" s="80">
        <f>IF(ISNUMBER($J1348),$J1348/100,"")</f>
        <v/>
      </c>
      <c r="CV1348" s="81">
        <f>IF(ISNUMBER($AQ1348),$AQ1348,"")</f>
        <v/>
      </c>
      <c r="CW1348" s="81">
        <f>IF(ISNUMBER($AR1348),$AR1348,"")</f>
        <v/>
      </c>
      <c r="CX1348" s="82">
        <f>IF(ISNUMBER($AS1348),$AS1348/100,"")</f>
        <v/>
      </c>
      <c r="CY1348" s="82">
        <f>IF(ISNUMBER($AT1348),$AT1348/100,"")</f>
        <v/>
      </c>
      <c r="CZ1348" s="82">
        <f>IF(ISNUMBER($AU1348),$AU1348/100,"")</f>
        <v/>
      </c>
      <c r="DA1348" s="82">
        <f>IF(ISNUMBER($AV1348),$AV1348/100,"")</f>
        <v/>
      </c>
      <c r="DB1348" s="82">
        <f>IF(ISNUMBER($AW1348),$AW1348/100,"")</f>
        <v/>
      </c>
      <c r="DC1348" s="82">
        <f>IF(ISNUMBER($AX1348),$AX1348/100,"")</f>
        <v/>
      </c>
      <c r="DD1348" s="77">
        <f>IFERROR(VALUE(LEFT(TRIM($AO1348&amp;""),4)),"")</f>
        <v/>
      </c>
      <c r="DE1348" s="78">
        <f>IF(AND($BY1348=1,$BX1348=1,OR(fDeal="All Deals",$BU1348=fDeal),OR(fEntity="All Entities",$BV1348=fEntity),OR(fPType="All Property Types",$BZ1348=fPType),OR(fDefeased="Include",$CJ1348=0)),1,0)</f>
        <v/>
      </c>
      <c r="DF1348" s="83">
        <f>$DE1348*N($I1348)</f>
        <v/>
      </c>
      <c r="DG1348" s="78">
        <f>IF($DE1348=1,IF(COUNTIFS($F$8:$F1348,$F1348,$DE$8:$DE1348,1)=1,1,0),0)</f>
        <v/>
      </c>
      <c r="DH1348" s="83">
        <f>IF($DG1348=1,SUMIFS($DF$8:$DF$1600,$F$8:$F$1600,$F1348),0)</f>
        <v/>
      </c>
      <c r="DI1348" s="78">
        <f>IF($DG1348=1,COUNTIFS($F$8:$F$1600,$F1348,$DE$8:$DE$1600,1),0)</f>
        <v/>
      </c>
      <c r="DJ1348" s="84">
        <f>IF($DG1348=1,$DH1348+(100000-ROW())/mTieBreak,0)</f>
        <v/>
      </c>
    </row>
    <row r="1349">
      <c r="B1349" s="68" t="n">
        <v>51</v>
      </c>
      <c r="C1349" s="69" t="inlineStr">
        <is>
          <t>CD17CD3</t>
        </is>
      </c>
      <c r="D1349" s="69" t="inlineStr">
        <is>
          <t>51.000</t>
        </is>
      </c>
      <c r="E1349" s="69" t="inlineStr">
        <is>
          <t>Walgreens Dorchester</t>
        </is>
      </c>
      <c r="F1349" s="69" t="inlineStr">
        <is>
          <t>LNCD17CD3-51.000</t>
        </is>
      </c>
      <c r="G1349" s="70" t="n"/>
      <c r="H1349" s="71" t="n">
        <v>3375000</v>
      </c>
      <c r="I1349" s="71" t="n">
        <v>3016151.220001501</v>
      </c>
      <c r="J1349" s="72" t="n">
        <v>5.11</v>
      </c>
      <c r="K1349" s="69" t="inlineStr">
        <is>
          <t>Fixed rate</t>
        </is>
      </c>
      <c r="L1349" s="68" t="n">
        <v>120</v>
      </c>
      <c r="M1349" s="68" t="n">
        <v>4</v>
      </c>
      <c r="N1349" s="68" t="n">
        <v>396</v>
      </c>
      <c r="O1349" s="68" t="n">
        <v>36</v>
      </c>
      <c r="P1349" s="68" t="n">
        <v>0</v>
      </c>
      <c r="Q1349" s="68" t="n">
        <v>116</v>
      </c>
      <c r="R1349" s="69" t="inlineStr">
        <is>
          <t>IO then Amort</t>
        </is>
      </c>
      <c r="S1349" s="69" t="inlineStr">
        <is>
          <t>No</t>
        </is>
      </c>
      <c r="T1349" s="73" t="n">
        <v>42736</v>
      </c>
      <c r="U1349" s="73" t="n">
        <v>46393</v>
      </c>
      <c r="V1349" s="73" t="n"/>
      <c r="W1349" s="69" t="n"/>
      <c r="X1349" s="69" t="inlineStr">
        <is>
          <t>Current</t>
        </is>
      </c>
      <c r="Y1349" s="68" t="n"/>
      <c r="Z1349" s="69" t="inlineStr">
        <is>
          <t>No Defeasance Occurred</t>
        </is>
      </c>
      <c r="AA1349" s="69" t="inlineStr">
        <is>
          <t>Yes</t>
        </is>
      </c>
      <c r="AB1349" s="69" t="inlineStr">
        <is>
          <t>Currently special serv</t>
        </is>
      </c>
      <c r="AC1349" s="73" t="n">
        <v>45001</v>
      </c>
      <c r="AD1349" s="69" t="inlineStr">
        <is>
          <t>Non-Monetary Default (excluding Bankruptcy, Receiver and Foreclosure)</t>
        </is>
      </c>
      <c r="AE1349" s="69" t="inlineStr">
        <is>
          <t>Resolved</t>
        </is>
      </c>
      <c r="AF1349" s="69" t="inlineStr">
        <is>
          <t>MA</t>
        </is>
      </c>
      <c r="AG1349" s="69" t="inlineStr">
        <is>
          <t>Dorchester</t>
        </is>
      </c>
      <c r="AH1349" s="69" t="inlineStr">
        <is>
          <t>Boston-Cambridge-Newton, MA-NH</t>
        </is>
      </c>
      <c r="AI1349" s="69" t="inlineStr">
        <is>
          <t>Northeast / New England</t>
        </is>
      </c>
      <c r="AJ1349" s="69" t="inlineStr">
        <is>
          <t>RT</t>
        </is>
      </c>
      <c r="AK1349" s="69" t="inlineStr">
        <is>
          <t>Single Tenant</t>
        </is>
      </c>
      <c r="AL1349" s="68" t="n">
        <v>1</v>
      </c>
      <c r="AM1349" s="68" t="n"/>
      <c r="AN1349" s="68" t="n">
        <v>13943</v>
      </c>
      <c r="AO1349" s="69" t="inlineStr">
        <is>
          <t>2002</t>
        </is>
      </c>
      <c r="AP1349" s="70" t="n">
        <v>2002</v>
      </c>
      <c r="AQ1349" s="74" t="n">
        <v>1.41</v>
      </c>
      <c r="AR1349" s="74" t="n">
        <v>1.36</v>
      </c>
      <c r="AS1349" s="74" t="n">
        <v>64.53</v>
      </c>
      <c r="AT1349" s="74" t="n">
        <v>57.67</v>
      </c>
      <c r="AU1349" s="74" t="n">
        <v>57.26</v>
      </c>
      <c r="AV1349" s="74" t="n">
        <v>9.197244444000001</v>
      </c>
      <c r="AW1349" s="74" t="n">
        <v>9.902935171999999</v>
      </c>
      <c r="AX1349" s="75" t="n">
        <v>100</v>
      </c>
      <c r="AY1349" s="71" t="n">
        <v>5230000</v>
      </c>
      <c r="AZ1349" s="71" t="n">
        <v>5230000</v>
      </c>
      <c r="BA1349" s="71" t="n">
        <v>310407</v>
      </c>
      <c r="BB1349" s="71" t="n">
        <v>298687.5</v>
      </c>
      <c r="BC1349" s="69" t="inlineStr">
        <is>
          <t>Acquisition</t>
        </is>
      </c>
      <c r="BD1349" s="69" t="inlineStr">
        <is>
          <t>N</t>
        </is>
      </c>
      <c r="BE1349" s="71" t="n"/>
      <c r="BF1349" s="71" t="n"/>
      <c r="BG1349" s="71" t="n"/>
      <c r="BH1349" s="71" t="n">
        <v>0</v>
      </c>
      <c r="BI1349" s="71" t="n">
        <v>0</v>
      </c>
      <c r="BJ1349" s="69" t="inlineStr">
        <is>
          <t>N</t>
        </is>
      </c>
      <c r="BK1349" s="69" t="inlineStr">
        <is>
          <t>Walgreens</t>
        </is>
      </c>
      <c r="BL1349" s="75" t="n">
        <v>100</v>
      </c>
      <c r="BM1349" s="73" t="n">
        <v>65135</v>
      </c>
      <c r="BN1349" s="69" t="inlineStr">
        <is>
          <t>Dmitrii Volkov</t>
        </is>
      </c>
      <c r="BO1349" s="69" t="inlineStr">
        <is>
          <t>Citigroup Global Markets</t>
        </is>
      </c>
      <c r="BP1349" s="69" t="inlineStr">
        <is>
          <t>Midland Loan Services</t>
        </is>
      </c>
      <c r="BQ1349" s="69" t="inlineStr">
        <is>
          <t>K-Star Asset Management LLC</t>
        </is>
      </c>
      <c r="BR1349" s="69" t="n"/>
      <c r="BS1349" s="73" t="n">
        <v>46273</v>
      </c>
      <c r="BU1349" s="76">
        <f>IF($C1349="","",IFERROR(INDEX(dmName,MATCH($C1349,dmID,0)),"Unmapped"))</f>
        <v/>
      </c>
      <c r="BV1349" s="76">
        <f>IF($C1349="","",IFERROR(INDEX(dmEntity,MATCH($C1349,dmID,0)),"Unmapped"))</f>
        <v/>
      </c>
      <c r="BW1349" s="77">
        <f>IF($C1349="","",IFERROR(INDEX(dmVintage,MATCH($C1349,dmID,0)),""))</f>
        <v/>
      </c>
      <c r="BX1349" s="78">
        <f>IFERROR(INDEX(dmInclude,MATCH($C1349,dmID,0)),0)</f>
        <v/>
      </c>
      <c r="BY1349" s="78">
        <f>IF(N($I1349)&gt;0,1,0)</f>
        <v/>
      </c>
      <c r="BZ1349" s="76">
        <f>IF($AJ1349="","Other / Leased Fee",IFERROR(INDEX(mapPTGroup,MATCH(LEFT(TRIM($AJ1349),2),mapPTCode,0)),"Other / Leased Fee"))</f>
        <v/>
      </c>
      <c r="CA1349" s="76">
        <f>IF(TRIM($AF1349&amp;"")="","NR",LEFT(TRIM($AF1349),2))</f>
        <v/>
      </c>
      <c r="CB1349" s="76">
        <f>IFERROR(LOOKUP(2,1/(LEFT(TRIM($AI1349&amp;""),LEN(mapRegion))=mapRegion),mapRegion),"Not Reported")</f>
        <v/>
      </c>
      <c r="CC1349" s="76">
        <f>IF($BY1349=0,"",IF(TRIM($W1349&amp;"")="REO","REO",IF(TRIM($W1349&amp;"")="FC","Foreclosure",IF(TRIM($W1349&amp;"")="90+","90+ Days Delinquent",IF(TRIM($W1349&amp;"")="60","60 Days Delinquent",IF(TRIM($W1349&amp;"")="30","30 Days Delinquent",IF($X1349="Non-Performing Matured Balloon","Non-Performing Matured Balloon",IF(OR($X1349="Late Payment But Less Than 30 Days Delinquent",LEFT($X1349&amp;"",20)="Payment Not Received"),"Late / In Grace (&lt;30 Days)",IF($X1349="Performing Matured Balloon","Performing Matured Balloon","Current")))))))))</f>
        <v/>
      </c>
      <c r="CD1349" s="78">
        <f>IF(OR($CC1349="REO",$CC1349="Foreclosure",$CC1349="90+ Days Delinquent",$CC1349="60 Days Delinquent",$CC1349="30 Days Delinquent",$CC1349="Non-Performing Matured Balloon"),1,0)</f>
        <v/>
      </c>
      <c r="CE1349" s="76">
        <f>IF($AB1349="Currently special serv","Currently Specially Serviced",IF($AB1349="Returned to master serv","Previously Specially Serviced","Never Specially Serviced"))</f>
        <v/>
      </c>
      <c r="CF1349" s="78">
        <f>IF($CE1349="Currently Specially Serviced",1,0)</f>
        <v/>
      </c>
      <c r="CG1349" s="76">
        <f>IF($AA1349="Yes","Currently on Watchlist",IF($AA1349="Previously","Previously on Watchlist","Never on Watchlist"))</f>
        <v/>
      </c>
      <c r="CH1349" s="78">
        <f>IF($CG1349="Currently on Watchlist",1,0)</f>
        <v/>
      </c>
      <c r="CI1349" s="76">
        <f>IF($Z1349="Full Defeasance","Fully Defeased",IF($Z1349="Portion Of Loan Previously Defeased","Partially Defeased",IF($Z1349="Defeasance Not Allowable","Not Defeased (Not Permitted)","Not Defeased")))</f>
        <v/>
      </c>
      <c r="CJ1349" s="78">
        <f>IF($CI1349="Fully Defeased",1,0)</f>
        <v/>
      </c>
      <c r="CK1349" s="76">
        <f>IF($R1349="IO","Full IO",IF(LEFT($R1349&amp;"",7)="IO then","Partial IO","Amortizing"))</f>
        <v/>
      </c>
      <c r="CL1349" s="78">
        <f>IF($CK1349="Full IO",1,0)</f>
        <v/>
      </c>
      <c r="CM1349" s="78">
        <f>IF($CK1349="Partial IO",1,0)</f>
        <v/>
      </c>
      <c r="CN1349" s="76">
        <f>IF(LEFT($F1349&amp;"",10)="SPLIT_LOAN","Pari Passu Split","Standalone")</f>
        <v/>
      </c>
      <c r="CO1349" s="78">
        <f>IF($CN1349="Pari Passu Split",1,0)</f>
        <v/>
      </c>
      <c r="CP1349" s="77">
        <f>IF(ISNUMBER($T1349),YEAR($T1349),"")</f>
        <v/>
      </c>
      <c r="CQ1349" s="79">
        <f>IF(ISNUMBER($V1349),$V1349,IF(ISNUMBER($U1349),$U1349,""))</f>
        <v/>
      </c>
      <c r="CR1349" s="77">
        <f>IF(ISNUMBER($CQ1349),YEAR($CQ1349),"")</f>
        <v/>
      </c>
      <c r="CS1349" s="78">
        <f>IF(ISNUMBER($M1349),MAX(0,$M1349),IF(TRIM($M1349&amp;"")="matured",0,""))</f>
        <v/>
      </c>
      <c r="CT1349" s="78">
        <f>IF(AND(ISNUMBER($CS1349),N($CS1349)&lt;=mMatWindow),1,0)</f>
        <v/>
      </c>
      <c r="CU1349" s="80">
        <f>IF(ISNUMBER($J1349),$J1349/100,"")</f>
        <v/>
      </c>
      <c r="CV1349" s="81">
        <f>IF(ISNUMBER($AQ1349),$AQ1349,"")</f>
        <v/>
      </c>
      <c r="CW1349" s="81">
        <f>IF(ISNUMBER($AR1349),$AR1349,"")</f>
        <v/>
      </c>
      <c r="CX1349" s="82">
        <f>IF(ISNUMBER($AS1349),$AS1349/100,"")</f>
        <v/>
      </c>
      <c r="CY1349" s="82">
        <f>IF(ISNUMBER($AT1349),$AT1349/100,"")</f>
        <v/>
      </c>
      <c r="CZ1349" s="82">
        <f>IF(ISNUMBER($AU1349),$AU1349/100,"")</f>
        <v/>
      </c>
      <c r="DA1349" s="82">
        <f>IF(ISNUMBER($AV1349),$AV1349/100,"")</f>
        <v/>
      </c>
      <c r="DB1349" s="82">
        <f>IF(ISNUMBER($AW1349),$AW1349/100,"")</f>
        <v/>
      </c>
      <c r="DC1349" s="82">
        <f>IF(ISNUMBER($AX1349),$AX1349/100,"")</f>
        <v/>
      </c>
      <c r="DD1349" s="77">
        <f>IFERROR(VALUE(LEFT(TRIM($AO1349&amp;""),4)),"")</f>
        <v/>
      </c>
      <c r="DE1349" s="78">
        <f>IF(AND($BY1349=1,$BX1349=1,OR(fDeal="All Deals",$BU1349=fDeal),OR(fEntity="All Entities",$BV1349=fEntity),OR(fPType="All Property Types",$BZ1349=fPType),OR(fDefeased="Include",$CJ1349=0)),1,0)</f>
        <v/>
      </c>
      <c r="DF1349" s="83">
        <f>$DE1349*N($I1349)</f>
        <v/>
      </c>
      <c r="DG1349" s="78">
        <f>IF($DE1349=1,IF(COUNTIFS($F$8:$F1349,$F1349,$DE$8:$DE1349,1)=1,1,0),0)</f>
        <v/>
      </c>
      <c r="DH1349" s="83">
        <f>IF($DG1349=1,SUMIFS($DF$8:$DF$1600,$F$8:$F$1600,$F1349),0)</f>
        <v/>
      </c>
      <c r="DI1349" s="78">
        <f>IF($DG1349=1,COUNTIFS($F$8:$F$1600,$F1349,$DE$8:$DE$1600,1),0)</f>
        <v/>
      </c>
      <c r="DJ1349" s="84">
        <f>IF($DG1349=1,$DH1349+(100000-ROW())/mTieBreak,0)</f>
        <v/>
      </c>
    </row>
    <row r="1350">
      <c r="B1350" s="68" t="n">
        <v>52</v>
      </c>
      <c r="C1350" s="69" t="inlineStr">
        <is>
          <t>CD17CD3</t>
        </is>
      </c>
      <c r="D1350" s="69" t="inlineStr">
        <is>
          <t>52.000</t>
        </is>
      </c>
      <c r="E1350" s="69" t="inlineStr">
        <is>
          <t>Walgreens Walterboro</t>
        </is>
      </c>
      <c r="F1350" s="69" t="inlineStr">
        <is>
          <t>LNCD17CD3-52.000</t>
        </is>
      </c>
      <c r="G1350" s="70" t="n"/>
      <c r="H1350" s="71" t="n">
        <v>3300000</v>
      </c>
      <c r="I1350" s="71" t="n">
        <v>2950355.5800015</v>
      </c>
      <c r="J1350" s="72" t="n">
        <v>5.05</v>
      </c>
      <c r="K1350" s="69" t="inlineStr">
        <is>
          <t>Fixed rate</t>
        </is>
      </c>
      <c r="L1350" s="68" t="n">
        <v>120</v>
      </c>
      <c r="M1350" s="68" t="n">
        <v>5</v>
      </c>
      <c r="N1350" s="68" t="n">
        <v>396</v>
      </c>
      <c r="O1350" s="68" t="n">
        <v>36</v>
      </c>
      <c r="P1350" s="68" t="n">
        <v>0</v>
      </c>
      <c r="Q1350" s="68" t="n">
        <v>115</v>
      </c>
      <c r="R1350" s="69" t="inlineStr">
        <is>
          <t>IO then Amort</t>
        </is>
      </c>
      <c r="S1350" s="69" t="inlineStr">
        <is>
          <t>No</t>
        </is>
      </c>
      <c r="T1350" s="73" t="n">
        <v>42767</v>
      </c>
      <c r="U1350" s="73" t="n">
        <v>46424</v>
      </c>
      <c r="V1350" s="73" t="n"/>
      <c r="W1350" s="69" t="n"/>
      <c r="X1350" s="69" t="inlineStr">
        <is>
          <t>Current</t>
        </is>
      </c>
      <c r="Y1350" s="68" t="n"/>
      <c r="Z1350" s="69" t="inlineStr">
        <is>
          <t>No Defeasance Occurred</t>
        </is>
      </c>
      <c r="AA1350" s="69" t="inlineStr">
        <is>
          <t>Previously</t>
        </is>
      </c>
      <c r="AB1350" s="69" t="inlineStr">
        <is>
          <t>Never special serv</t>
        </is>
      </c>
      <c r="AC1350" s="73" t="n"/>
      <c r="AD1350" s="69" t="n"/>
      <c r="AE1350" s="69" t="n"/>
      <c r="AF1350" s="69" t="inlineStr">
        <is>
          <t>SC</t>
        </is>
      </c>
      <c r="AG1350" s="69" t="inlineStr">
        <is>
          <t>Walterboro</t>
        </is>
      </c>
      <c r="AH1350" s="69" t="n"/>
      <c r="AI1350" s="69" t="inlineStr">
        <is>
          <t>South / Atlantic</t>
        </is>
      </c>
      <c r="AJ1350" s="69" t="inlineStr">
        <is>
          <t>RT</t>
        </is>
      </c>
      <c r="AK1350" s="69" t="inlineStr">
        <is>
          <t>Single Tenant</t>
        </is>
      </c>
      <c r="AL1350" s="68" t="n">
        <v>1</v>
      </c>
      <c r="AM1350" s="68" t="n"/>
      <c r="AN1350" s="68" t="n">
        <v>14550</v>
      </c>
      <c r="AO1350" s="69" t="inlineStr">
        <is>
          <t>2005</t>
        </is>
      </c>
      <c r="AP1350" s="70" t="n">
        <v>2005</v>
      </c>
      <c r="AQ1350" s="74" t="n">
        <v>1.43</v>
      </c>
      <c r="AR1350" s="74" t="n">
        <v>1.51</v>
      </c>
      <c r="AS1350" s="74" t="n">
        <v>63.46</v>
      </c>
      <c r="AT1350" s="74" t="n">
        <v>56.74</v>
      </c>
      <c r="AU1350" s="74" t="n">
        <v>56.24</v>
      </c>
      <c r="AV1350" s="74" t="n">
        <v>9.283727273</v>
      </c>
      <c r="AW1350" s="74" t="n">
        <v>10.940782941</v>
      </c>
      <c r="AX1350" s="75" t="n">
        <v>100</v>
      </c>
      <c r="AY1350" s="71" t="n">
        <v>5200000</v>
      </c>
      <c r="AZ1350" s="71" t="n">
        <v>5200000</v>
      </c>
      <c r="BA1350" s="71" t="n">
        <v>306363</v>
      </c>
      <c r="BB1350" s="71" t="n">
        <v>322812</v>
      </c>
      <c r="BC1350" s="69" t="inlineStr">
        <is>
          <t>Acquisition</t>
        </is>
      </c>
      <c r="BD1350" s="69" t="inlineStr">
        <is>
          <t>N</t>
        </is>
      </c>
      <c r="BE1350" s="71" t="n"/>
      <c r="BF1350" s="71" t="n"/>
      <c r="BG1350" s="71" t="n"/>
      <c r="BH1350" s="71" t="n">
        <v>0</v>
      </c>
      <c r="BI1350" s="71" t="n">
        <v>0</v>
      </c>
      <c r="BJ1350" s="69" t="inlineStr">
        <is>
          <t>N</t>
        </is>
      </c>
      <c r="BK1350" s="69" t="inlineStr">
        <is>
          <t>Walgreens Walterboro</t>
        </is>
      </c>
      <c r="BL1350" s="75" t="n">
        <v>100</v>
      </c>
      <c r="BM1350" s="73" t="n">
        <v>47634</v>
      </c>
      <c r="BN1350" s="69" t="inlineStr">
        <is>
          <t>Tatyana Martynova</t>
        </is>
      </c>
      <c r="BO1350" s="69" t="inlineStr">
        <is>
          <t>Citigroup Global Markets</t>
        </is>
      </c>
      <c r="BP1350" s="69" t="inlineStr">
        <is>
          <t>Midland Loan Services</t>
        </is>
      </c>
      <c r="BQ1350" s="69" t="inlineStr">
        <is>
          <t>K-Star Asset Management LLC</t>
        </is>
      </c>
      <c r="BR1350" s="69" t="n"/>
      <c r="BS1350" s="73" t="n">
        <v>46273</v>
      </c>
      <c r="BU1350" s="76">
        <f>IF($C1350="","",IFERROR(INDEX(dmName,MATCH($C1350,dmID,0)),"Unmapped"))</f>
        <v/>
      </c>
      <c r="BV1350" s="76">
        <f>IF($C1350="","",IFERROR(INDEX(dmEntity,MATCH($C1350,dmID,0)),"Unmapped"))</f>
        <v/>
      </c>
      <c r="BW1350" s="77">
        <f>IF($C1350="","",IFERROR(INDEX(dmVintage,MATCH($C1350,dmID,0)),""))</f>
        <v/>
      </c>
      <c r="BX1350" s="78">
        <f>IFERROR(INDEX(dmInclude,MATCH($C1350,dmID,0)),0)</f>
        <v/>
      </c>
      <c r="BY1350" s="78">
        <f>IF(N($I1350)&gt;0,1,0)</f>
        <v/>
      </c>
      <c r="BZ1350" s="76">
        <f>IF($AJ1350="","Other / Leased Fee",IFERROR(INDEX(mapPTGroup,MATCH(LEFT(TRIM($AJ1350),2),mapPTCode,0)),"Other / Leased Fee"))</f>
        <v/>
      </c>
      <c r="CA1350" s="76">
        <f>IF(TRIM($AF1350&amp;"")="","NR",LEFT(TRIM($AF1350),2))</f>
        <v/>
      </c>
      <c r="CB1350" s="76">
        <f>IFERROR(LOOKUP(2,1/(LEFT(TRIM($AI1350&amp;""),LEN(mapRegion))=mapRegion),mapRegion),"Not Reported")</f>
        <v/>
      </c>
      <c r="CC1350" s="76">
        <f>IF($BY1350=0,"",IF(TRIM($W1350&amp;"")="REO","REO",IF(TRIM($W1350&amp;"")="FC","Foreclosure",IF(TRIM($W1350&amp;"")="90+","90+ Days Delinquent",IF(TRIM($W1350&amp;"")="60","60 Days Delinquent",IF(TRIM($W1350&amp;"")="30","30 Days Delinquent",IF($X1350="Non-Performing Matured Balloon","Non-Performing Matured Balloon",IF(OR($X1350="Late Payment But Less Than 30 Days Delinquent",LEFT($X1350&amp;"",20)="Payment Not Received"),"Late / In Grace (&lt;30 Days)",IF($X1350="Performing Matured Balloon","Performing Matured Balloon","Current")))))))))</f>
        <v/>
      </c>
      <c r="CD1350" s="78">
        <f>IF(OR($CC1350="REO",$CC1350="Foreclosure",$CC1350="90+ Days Delinquent",$CC1350="60 Days Delinquent",$CC1350="30 Days Delinquent",$CC1350="Non-Performing Matured Balloon"),1,0)</f>
        <v/>
      </c>
      <c r="CE1350" s="76">
        <f>IF($AB1350="Currently special serv","Currently Specially Serviced",IF($AB1350="Returned to master serv","Previously Specially Serviced","Never Specially Serviced"))</f>
        <v/>
      </c>
      <c r="CF1350" s="78">
        <f>IF($CE1350="Currently Specially Serviced",1,0)</f>
        <v/>
      </c>
      <c r="CG1350" s="76">
        <f>IF($AA1350="Yes","Currently on Watchlist",IF($AA1350="Previously","Previously on Watchlist","Never on Watchlist"))</f>
        <v/>
      </c>
      <c r="CH1350" s="78">
        <f>IF($CG1350="Currently on Watchlist",1,0)</f>
        <v/>
      </c>
      <c r="CI1350" s="76">
        <f>IF($Z1350="Full Defeasance","Fully Defeased",IF($Z1350="Portion Of Loan Previously Defeased","Partially Defeased",IF($Z1350="Defeasance Not Allowable","Not Defeased (Not Permitted)","Not Defeased")))</f>
        <v/>
      </c>
      <c r="CJ1350" s="78">
        <f>IF($CI1350="Fully Defeased",1,0)</f>
        <v/>
      </c>
      <c r="CK1350" s="76">
        <f>IF($R1350="IO","Full IO",IF(LEFT($R1350&amp;"",7)="IO then","Partial IO","Amortizing"))</f>
        <v/>
      </c>
      <c r="CL1350" s="78">
        <f>IF($CK1350="Full IO",1,0)</f>
        <v/>
      </c>
      <c r="CM1350" s="78">
        <f>IF($CK1350="Partial IO",1,0)</f>
        <v/>
      </c>
      <c r="CN1350" s="76">
        <f>IF(LEFT($F1350&amp;"",10)="SPLIT_LOAN","Pari Passu Split","Standalone")</f>
        <v/>
      </c>
      <c r="CO1350" s="78">
        <f>IF($CN1350="Pari Passu Split",1,0)</f>
        <v/>
      </c>
      <c r="CP1350" s="77">
        <f>IF(ISNUMBER($T1350),YEAR($T1350),"")</f>
        <v/>
      </c>
      <c r="CQ1350" s="79">
        <f>IF(ISNUMBER($V1350),$V1350,IF(ISNUMBER($U1350),$U1350,""))</f>
        <v/>
      </c>
      <c r="CR1350" s="77">
        <f>IF(ISNUMBER($CQ1350),YEAR($CQ1350),"")</f>
        <v/>
      </c>
      <c r="CS1350" s="78">
        <f>IF(ISNUMBER($M1350),MAX(0,$M1350),IF(TRIM($M1350&amp;"")="matured",0,""))</f>
        <v/>
      </c>
      <c r="CT1350" s="78">
        <f>IF(AND(ISNUMBER($CS1350),N($CS1350)&lt;=mMatWindow),1,0)</f>
        <v/>
      </c>
      <c r="CU1350" s="80">
        <f>IF(ISNUMBER($J1350),$J1350/100,"")</f>
        <v/>
      </c>
      <c r="CV1350" s="81">
        <f>IF(ISNUMBER($AQ1350),$AQ1350,"")</f>
        <v/>
      </c>
      <c r="CW1350" s="81">
        <f>IF(ISNUMBER($AR1350),$AR1350,"")</f>
        <v/>
      </c>
      <c r="CX1350" s="82">
        <f>IF(ISNUMBER($AS1350),$AS1350/100,"")</f>
        <v/>
      </c>
      <c r="CY1350" s="82">
        <f>IF(ISNUMBER($AT1350),$AT1350/100,"")</f>
        <v/>
      </c>
      <c r="CZ1350" s="82">
        <f>IF(ISNUMBER($AU1350),$AU1350/100,"")</f>
        <v/>
      </c>
      <c r="DA1350" s="82">
        <f>IF(ISNUMBER($AV1350),$AV1350/100,"")</f>
        <v/>
      </c>
      <c r="DB1350" s="82">
        <f>IF(ISNUMBER($AW1350),$AW1350/100,"")</f>
        <v/>
      </c>
      <c r="DC1350" s="82">
        <f>IF(ISNUMBER($AX1350),$AX1350/100,"")</f>
        <v/>
      </c>
      <c r="DD1350" s="77">
        <f>IFERROR(VALUE(LEFT(TRIM($AO1350&amp;""),4)),"")</f>
        <v/>
      </c>
      <c r="DE1350" s="78">
        <f>IF(AND($BY1350=1,$BX1350=1,OR(fDeal="All Deals",$BU1350=fDeal),OR(fEntity="All Entities",$BV1350=fEntity),OR(fPType="All Property Types",$BZ1350=fPType),OR(fDefeased="Include",$CJ1350=0)),1,0)</f>
        <v/>
      </c>
      <c r="DF1350" s="83">
        <f>$DE1350*N($I1350)</f>
        <v/>
      </c>
      <c r="DG1350" s="78">
        <f>IF($DE1350=1,IF(COUNTIFS($F$8:$F1350,$F1350,$DE$8:$DE1350,1)=1,1,0),0)</f>
        <v/>
      </c>
      <c r="DH1350" s="83">
        <f>IF($DG1350=1,SUMIFS($DF$8:$DF$1600,$F$8:$F$1600,$F1350),0)</f>
        <v/>
      </c>
      <c r="DI1350" s="78">
        <f>IF($DG1350=1,COUNTIFS($F$8:$F$1600,$F1350,$DE$8:$DE$1600,1),0)</f>
        <v/>
      </c>
      <c r="DJ1350" s="84">
        <f>IF($DG1350=1,$DH1350+(100000-ROW())/mTieBreak,0)</f>
        <v/>
      </c>
    </row>
  </sheetData>
  <autoFilter ref="B7:DJ13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5"/>
  <sheetViews>
    <sheetView showGridLines="0" zoomScale="85" workbookViewId="0">
      <pane xSplit="4" ySplit="10" topLeftCell="E11" activePane="bottomRight" state="frozen"/>
      <selection pane="topRight"/>
      <selection pane="bottomLeft"/>
      <selection pane="bottomRight" activeCell="A1" sqref="A1"/>
    </sheetView>
  </sheetViews>
  <sheetFormatPr baseColWidth="8" defaultRowHeight="15"/>
  <cols>
    <col width="5" customWidth="1" min="2" max="2"/>
    <col width="24" customWidth="1" min="3" max="3"/>
    <col width="52" customWidth="1" min="4" max="4"/>
    <col width="22" customWidth="1" min="5" max="5"/>
    <col width="12.6328125" customWidth="1" min="6" max="6"/>
    <col width="15.54296875" customWidth="1" min="7" max="7"/>
    <col width="12.6328125" customWidth="1" min="8" max="8"/>
    <col width="13" customWidth="1" min="12" max="12"/>
    <col width="15" customWidth="1" min="13" max="13"/>
    <col width="16" customWidth="1" min="14" max="14"/>
    <col width="12" customWidth="1" min="15" max="15"/>
    <col width="18" customWidth="1" min="16" max="16"/>
  </cols>
  <sheetData>
    <row r="1" ht="19.5" customHeight="1">
      <c r="B1" s="85" t="inlineStr">
        <is>
          <t>RECOP I: COMBINED SCHEDULE OF INVESTMENTS AS OF JUNE 30, 2026</t>
        </is>
      </c>
      <c r="C1" s="85" t="n"/>
      <c r="D1" s="85" t="n"/>
      <c r="E1" s="85" t="n"/>
      <c r="F1" s="85" t="n"/>
      <c r="G1" s="85" t="n"/>
      <c r="H1" s="85" t="n"/>
      <c r="I1" s="85" t="n"/>
      <c r="J1" s="85" t="n"/>
      <c r="K1" s="85" t="n"/>
      <c r="L1" s="85" t="n"/>
      <c r="M1" s="85" t="n"/>
      <c r="N1" s="85" t="n"/>
      <c r="O1" s="85" t="n"/>
      <c r="P1" s="85" t="n"/>
    </row>
    <row r="2">
      <c r="B2" s="86" t="inlineStr">
        <is>
          <t>KKR Real Estate Credit Opportunity Partners Aggregator I L.P. and Affiliated Alternative Vehicles  |  Source: 2026 Q2 Unaudited Financial Statements, pp. 11 to 12</t>
        </is>
      </c>
      <c r="C2" s="86" t="n"/>
      <c r="D2" s="86" t="n"/>
      <c r="E2" s="86" t="n"/>
      <c r="F2" s="86" t="n"/>
      <c r="G2" s="86" t="n"/>
      <c r="H2" s="86" t="n"/>
      <c r="I2" s="86" t="n"/>
      <c r="J2" s="86" t="n"/>
      <c r="K2" s="86" t="n"/>
      <c r="L2" s="86" t="n"/>
      <c r="M2" s="86" t="n"/>
      <c r="N2" s="86" t="n"/>
      <c r="O2" s="86" t="n"/>
      <c r="P2" s="86" t="n"/>
    </row>
    <row r="3"/>
    <row r="4" ht="27.75" customHeight="1">
      <c r="C4" s="87" t="inlineStr">
        <is>
          <t>Holding Entity</t>
        </is>
      </c>
      <c r="D4" s="87" t="inlineStr">
        <is>
          <t># Positions</t>
        </is>
      </c>
      <c r="E4" s="87" t="inlineStr">
        <is>
          <t>Book Value ($)</t>
        </is>
      </c>
      <c r="F4" s="87" t="inlineStr">
        <is>
          <t>Est. Fair Value ($)</t>
        </is>
      </c>
      <c r="G4" s="87" t="inlineStr">
        <is>
          <t>FV % of Book</t>
        </is>
      </c>
      <c r="H4" s="87" t="inlineStr">
        <is>
          <t>Reported Book ($)</t>
        </is>
      </c>
      <c r="I4" s="87" t="inlineStr">
        <is>
          <t>Reported FV ($)</t>
        </is>
      </c>
      <c r="J4" s="87" t="inlineStr">
        <is>
          <t>Check (Book)</t>
        </is>
      </c>
      <c r="K4" s="87" t="inlineStr">
        <is>
          <t>Check (FV)</t>
        </is>
      </c>
    </row>
    <row r="5">
      <c r="C5" s="88" t="inlineStr">
        <is>
          <t>Aggregator I L.P.</t>
        </is>
      </c>
      <c r="D5" s="89">
        <f>COUNTIF($C$11:$C$129,C5)</f>
        <v/>
      </c>
      <c r="E5" s="90">
        <f>SUMIFS($M$11:$M$129,$C$11:$C$129,C5)</f>
        <v/>
      </c>
      <c r="F5" s="90">
        <f>SUMIFS($N$11:$N$129,$C$11:$C$129,C5)</f>
        <v/>
      </c>
      <c r="G5" s="91">
        <f>IF(E5=0,0,F5/E5)</f>
        <v/>
      </c>
      <c r="H5" s="92" t="n">
        <v>491757797</v>
      </c>
      <c r="I5" s="92" t="n">
        <v>513316063</v>
      </c>
      <c r="J5" s="90">
        <f>E5-H5</f>
        <v/>
      </c>
      <c r="K5" s="90">
        <f>F5-I5</f>
        <v/>
      </c>
    </row>
    <row r="6">
      <c r="C6" s="88" t="inlineStr">
        <is>
          <t>(AIV) Aggregator I L.P.</t>
        </is>
      </c>
      <c r="D6" s="89">
        <f>COUNTIF($C$11:$C$129,C6)</f>
        <v/>
      </c>
      <c r="E6" s="90">
        <f>SUMIFS($M$11:$M$129,$C$11:$C$129,C6)</f>
        <v/>
      </c>
      <c r="F6" s="90">
        <f>SUMIFS($N$11:$N$129,$C$11:$C$129,C6)</f>
        <v/>
      </c>
      <c r="G6" s="91">
        <f>IF(E6=0,0,F6/E6)</f>
        <v/>
      </c>
      <c r="H6" s="92" t="n">
        <v>472652448</v>
      </c>
      <c r="I6" s="92" t="n">
        <v>424269545</v>
      </c>
      <c r="J6" s="90">
        <f>E6-H6</f>
        <v/>
      </c>
      <c r="K6" s="90">
        <f>F6-I6</f>
        <v/>
      </c>
    </row>
    <row r="7">
      <c r="C7" s="93" t="inlineStr">
        <is>
          <t>Total Investments</t>
        </is>
      </c>
      <c r="D7" s="94">
        <f>SUM(D5:D6)</f>
        <v/>
      </c>
      <c r="E7" s="95">
        <f>SUM(E5:E6)</f>
        <v/>
      </c>
      <c r="F7" s="95">
        <f>SUM(F5:F6)</f>
        <v/>
      </c>
      <c r="G7" s="96">
        <f>IF(E7=0,0,F7/E7)</f>
        <v/>
      </c>
      <c r="H7" s="95">
        <f>SUM(H5:H6)</f>
        <v/>
      </c>
      <c r="I7" s="95">
        <f>SUM(I5:I6)</f>
        <v/>
      </c>
      <c r="J7" s="95">
        <f>SUM(J5:J6)</f>
        <v/>
      </c>
      <c r="K7" s="95">
        <f>SUM(K5:K6)</f>
        <v/>
      </c>
    </row>
    <row r="8"/>
    <row r="9"/>
    <row r="10" ht="27.75" customHeight="1">
      <c r="B10" s="87" t="inlineStr">
        <is>
          <t>#</t>
        </is>
      </c>
      <c r="C10" s="87" t="inlineStr">
        <is>
          <t>Holding Entity</t>
        </is>
      </c>
      <c r="D10" s="87" t="inlineStr">
        <is>
          <t>Issuer</t>
        </is>
      </c>
      <c r="E10" s="87" t="inlineStr">
        <is>
          <t>Asset</t>
        </is>
      </c>
      <c r="F10" s="87" t="inlineStr">
        <is>
          <t>Asset Type</t>
        </is>
      </c>
      <c r="G10" s="87" t="inlineStr">
        <is>
          <t>Industry</t>
        </is>
      </c>
      <c r="H10" s="87" t="inlineStr">
        <is>
          <t>Country</t>
        </is>
      </c>
      <c r="I10" s="87" t="inlineStr">
        <is>
          <t>Currency</t>
        </is>
      </c>
      <c r="J10" s="87" t="inlineStr">
        <is>
          <t>Coupon (bps)</t>
        </is>
      </c>
      <c r="K10" s="87" t="inlineStr">
        <is>
          <t>Maturity Date</t>
        </is>
      </c>
      <c r="L10" s="87" t="inlineStr">
        <is>
          <t>Quantity</t>
        </is>
      </c>
      <c r="M10" s="87" t="inlineStr">
        <is>
          <t>Book Value ($)</t>
        </is>
      </c>
      <c r="N10" s="87" t="inlineStr">
        <is>
          <t>Est. Fair Value ($)</t>
        </is>
      </c>
      <c r="O10" s="87" t="inlineStr">
        <is>
          <t>FV % of Book</t>
        </is>
      </c>
      <c r="P10" s="87" t="inlineStr">
        <is>
          <t>Unrealized Gain / (Loss) ($)</t>
        </is>
      </c>
    </row>
    <row r="11">
      <c r="B11" s="97" t="n">
        <v>1</v>
      </c>
      <c r="C11" s="98" t="inlineStr">
        <is>
          <t>Aggregator I L.P.</t>
        </is>
      </c>
      <c r="D11" s="98" t="inlineStr">
        <is>
          <t>Benchmark 2018-B6 Mortgage Trust</t>
        </is>
      </c>
      <c r="E11" s="98" t="inlineStr">
        <is>
          <t>BMARK 2018-B6I FRR</t>
        </is>
      </c>
      <c r="F11" s="99" t="inlineStr">
        <is>
          <t>CMBS</t>
        </is>
      </c>
      <c r="G11" s="99" t="inlineStr">
        <is>
          <t>Specialized Finance</t>
        </is>
      </c>
      <c r="H11" s="99" t="inlineStr">
        <is>
          <t>United States</t>
        </is>
      </c>
      <c r="I11" s="99" t="inlineStr">
        <is>
          <t>USD</t>
        </is>
      </c>
      <c r="J11" s="100" t="n">
        <v>458</v>
      </c>
      <c r="K11" s="101" t="n">
        <v>55436</v>
      </c>
      <c r="L11" s="102" t="n">
        <v>11175000</v>
      </c>
      <c r="M11" s="92" t="n">
        <v>6992078</v>
      </c>
      <c r="N11" s="92" t="n">
        <v>743733</v>
      </c>
      <c r="O11" s="91">
        <f>IF(M11=0,0,N11/M11)</f>
        <v/>
      </c>
      <c r="P11" s="90">
        <f>N11-M11</f>
        <v/>
      </c>
    </row>
    <row r="12">
      <c r="B12" s="103" t="n">
        <v>2</v>
      </c>
      <c r="C12" s="104" t="inlineStr">
        <is>
          <t>Aggregator I L.P.</t>
        </is>
      </c>
      <c r="D12" s="104" t="inlineStr">
        <is>
          <t>Benchmark 2018-B6 Mortgage Trust</t>
        </is>
      </c>
      <c r="E12" s="104" t="inlineStr">
        <is>
          <t>BMARK 2018-B6I GRR</t>
        </is>
      </c>
      <c r="F12" s="105" t="inlineStr">
        <is>
          <t>CMBS</t>
        </is>
      </c>
      <c r="G12" s="105" t="inlineStr">
        <is>
          <t>Specialized Finance</t>
        </is>
      </c>
      <c r="H12" s="105" t="inlineStr">
        <is>
          <t>United States</t>
        </is>
      </c>
      <c r="I12" s="105" t="inlineStr">
        <is>
          <t>USD</t>
        </is>
      </c>
      <c r="J12" s="106" t="n">
        <v>458</v>
      </c>
      <c r="K12" s="107" t="n">
        <v>55436</v>
      </c>
      <c r="L12" s="108" t="n">
        <v>11176000</v>
      </c>
      <c r="M12" s="109" t="n">
        <v>6602324</v>
      </c>
      <c r="N12" s="109" t="n">
        <v>456995</v>
      </c>
      <c r="O12" s="110">
        <f>IF(M12=0,0,N12/M12)</f>
        <v/>
      </c>
      <c r="P12" s="111">
        <f>N12-M12</f>
        <v/>
      </c>
    </row>
    <row r="13">
      <c r="B13" s="97" t="n">
        <v>3</v>
      </c>
      <c r="C13" s="98" t="inlineStr">
        <is>
          <t>Aggregator I L.P.</t>
        </is>
      </c>
      <c r="D13" s="98" t="inlineStr">
        <is>
          <t>Benchmark 2018-B6 Mortgage Trust</t>
        </is>
      </c>
      <c r="E13" s="98" t="inlineStr">
        <is>
          <t>BMARK 2018-B6I JRR</t>
        </is>
      </c>
      <c r="F13" s="99" t="inlineStr">
        <is>
          <t>CMBS</t>
        </is>
      </c>
      <c r="G13" s="99" t="inlineStr">
        <is>
          <t>Specialized Finance</t>
        </is>
      </c>
      <c r="H13" s="99" t="inlineStr">
        <is>
          <t>United States</t>
        </is>
      </c>
      <c r="I13" s="99" t="inlineStr">
        <is>
          <t>USD</t>
        </is>
      </c>
      <c r="J13" s="100" t="n">
        <v>458</v>
      </c>
      <c r="K13" s="101" t="n">
        <v>55436</v>
      </c>
      <c r="L13" s="102" t="n">
        <v>11175000</v>
      </c>
      <c r="M13" s="92" t="n">
        <v>4920944</v>
      </c>
      <c r="N13" s="92" t="n">
        <v>306320</v>
      </c>
      <c r="O13" s="91">
        <f>IF(M13=0,0,N13/M13)</f>
        <v/>
      </c>
      <c r="P13" s="90">
        <f>N13-M13</f>
        <v/>
      </c>
    </row>
    <row r="14">
      <c r="B14" s="103" t="n">
        <v>4</v>
      </c>
      <c r="C14" s="104" t="inlineStr">
        <is>
          <t>Aggregator I L.P.</t>
        </is>
      </c>
      <c r="D14" s="104" t="inlineStr">
        <is>
          <t>Benchmark 2018-B6 Mortgage Trust</t>
        </is>
      </c>
      <c r="E14" s="104" t="inlineStr">
        <is>
          <t>BMARK 2018-B6I NRRR</t>
        </is>
      </c>
      <c r="F14" s="105" t="inlineStr">
        <is>
          <t>CMBS</t>
        </is>
      </c>
      <c r="G14" s="105" t="inlineStr">
        <is>
          <t>Specialized Finance</t>
        </is>
      </c>
      <c r="H14" s="105" t="inlineStr">
        <is>
          <t>United States</t>
        </is>
      </c>
      <c r="I14" s="105" t="inlineStr">
        <is>
          <t>USD</t>
        </is>
      </c>
      <c r="J14" s="106" t="n">
        <v>458</v>
      </c>
      <c r="K14" s="107" t="n">
        <v>55436</v>
      </c>
      <c r="L14" s="108" t="n">
        <v>33527108</v>
      </c>
      <c r="M14" s="109" t="n">
        <v>10281787</v>
      </c>
      <c r="N14" s="109" t="n">
        <v>100581</v>
      </c>
      <c r="O14" s="110">
        <f>IF(M14=0,0,N14/M14)</f>
        <v/>
      </c>
      <c r="P14" s="111">
        <f>N14-M14</f>
        <v/>
      </c>
    </row>
    <row r="15">
      <c r="B15" s="97" t="n">
        <v>5</v>
      </c>
      <c r="C15" s="98" t="inlineStr">
        <is>
          <t>Aggregator I L.P.</t>
        </is>
      </c>
      <c r="D15" s="98" t="inlineStr">
        <is>
          <t>Citigroup Commercial Mortgage Trust 2017-C4</t>
        </is>
      </c>
      <c r="E15" s="98" t="inlineStr">
        <is>
          <t>CGCMT 2017-C4I ERR</t>
        </is>
      </c>
      <c r="F15" s="99" t="inlineStr">
        <is>
          <t>CMBS</t>
        </is>
      </c>
      <c r="G15" s="99" t="inlineStr">
        <is>
          <t>Specialized Finance</t>
        </is>
      </c>
      <c r="H15" s="99" t="inlineStr">
        <is>
          <t>United States</t>
        </is>
      </c>
      <c r="I15" s="99" t="inlineStr">
        <is>
          <t>USD</t>
        </is>
      </c>
      <c r="J15" s="100" t="n">
        <v>439</v>
      </c>
      <c r="K15" s="101" t="n">
        <v>55073</v>
      </c>
      <c r="L15" s="102" t="n">
        <v>21984000</v>
      </c>
      <c r="M15" s="92" t="n">
        <v>16310927</v>
      </c>
      <c r="N15" s="92" t="n">
        <v>20401906</v>
      </c>
      <c r="O15" s="91">
        <f>IF(M15=0,0,N15/M15)</f>
        <v/>
      </c>
      <c r="P15" s="90">
        <f>N15-M15</f>
        <v/>
      </c>
    </row>
    <row r="16">
      <c r="B16" s="103" t="n">
        <v>6</v>
      </c>
      <c r="C16" s="104" t="inlineStr">
        <is>
          <t>Aggregator I L.P.</t>
        </is>
      </c>
      <c r="D16" s="104" t="inlineStr">
        <is>
          <t>Citigroup Commercial Mortgage Trust 2017-C4</t>
        </is>
      </c>
      <c r="E16" s="104" t="inlineStr">
        <is>
          <t>CGCMT 2017-C4I FRR</t>
        </is>
      </c>
      <c r="F16" s="105" t="inlineStr">
        <is>
          <t>CMBS</t>
        </is>
      </c>
      <c r="G16" s="105" t="inlineStr">
        <is>
          <t>Specialized Finance</t>
        </is>
      </c>
      <c r="H16" s="105" t="inlineStr">
        <is>
          <t>United States</t>
        </is>
      </c>
      <c r="I16" s="105" t="inlineStr">
        <is>
          <t>USD</t>
        </is>
      </c>
      <c r="J16" s="106" t="n">
        <v>439</v>
      </c>
      <c r="K16" s="107" t="n">
        <v>55073</v>
      </c>
      <c r="L16" s="108" t="n">
        <v>12214000</v>
      </c>
      <c r="M16" s="109" t="n">
        <v>7509723</v>
      </c>
      <c r="N16" s="109" t="n">
        <v>11024942</v>
      </c>
      <c r="O16" s="110">
        <f>IF(M16=0,0,N16/M16)</f>
        <v/>
      </c>
      <c r="P16" s="111">
        <f>N16-M16</f>
        <v/>
      </c>
    </row>
    <row r="17">
      <c r="B17" s="97" t="n">
        <v>7</v>
      </c>
      <c r="C17" s="98" t="inlineStr">
        <is>
          <t>Aggregator I L.P.</t>
        </is>
      </c>
      <c r="D17" s="98" t="inlineStr">
        <is>
          <t>Citigroup Commercial Mortgage Trust 2017-C4</t>
        </is>
      </c>
      <c r="E17" s="98" t="inlineStr">
        <is>
          <t>CGCMT 2017-C4I GRR</t>
        </is>
      </c>
      <c r="F17" s="99" t="inlineStr">
        <is>
          <t>CMBS</t>
        </is>
      </c>
      <c r="G17" s="99" t="inlineStr">
        <is>
          <t>Specialized Finance</t>
        </is>
      </c>
      <c r="H17" s="99" t="inlineStr">
        <is>
          <t>United States</t>
        </is>
      </c>
      <c r="I17" s="99" t="inlineStr">
        <is>
          <t>USD</t>
        </is>
      </c>
      <c r="J17" s="100" t="n">
        <v>439</v>
      </c>
      <c r="K17" s="101" t="n">
        <v>55073</v>
      </c>
      <c r="L17" s="102" t="n">
        <v>12213000</v>
      </c>
      <c r="M17" s="92" t="n">
        <v>6410007</v>
      </c>
      <c r="N17" s="92" t="n">
        <v>10921234</v>
      </c>
      <c r="O17" s="91">
        <f>IF(M17=0,0,N17/M17)</f>
        <v/>
      </c>
      <c r="P17" s="90">
        <f>N17-M17</f>
        <v/>
      </c>
    </row>
    <row r="18">
      <c r="B18" s="103" t="n">
        <v>8</v>
      </c>
      <c r="C18" s="104" t="inlineStr">
        <is>
          <t>Aggregator I L.P.</t>
        </is>
      </c>
      <c r="D18" s="104" t="inlineStr">
        <is>
          <t>Citigroup Commercial Mortgage Trust 2017-C4</t>
        </is>
      </c>
      <c r="E18" s="104" t="inlineStr">
        <is>
          <t>CGCMT 2017-C4I HRR</t>
        </is>
      </c>
      <c r="F18" s="105" t="inlineStr">
        <is>
          <t>CMBS</t>
        </is>
      </c>
      <c r="G18" s="105" t="inlineStr">
        <is>
          <t>Specialized Finance</t>
        </is>
      </c>
      <c r="H18" s="105" t="inlineStr">
        <is>
          <t>United States</t>
        </is>
      </c>
      <c r="I18" s="105" t="inlineStr">
        <is>
          <t>USD</t>
        </is>
      </c>
      <c r="J18" s="106" t="n">
        <v>439</v>
      </c>
      <c r="K18" s="107" t="n">
        <v>55073</v>
      </c>
      <c r="L18" s="108" t="n">
        <v>9770000</v>
      </c>
      <c r="M18" s="109" t="n">
        <v>4097660</v>
      </c>
      <c r="N18" s="109" t="n">
        <v>8336526</v>
      </c>
      <c r="O18" s="110">
        <f>IF(M18=0,0,N18/M18)</f>
        <v/>
      </c>
      <c r="P18" s="111">
        <f>N18-M18</f>
        <v/>
      </c>
    </row>
    <row r="19">
      <c r="B19" s="97" t="n">
        <v>9</v>
      </c>
      <c r="C19" s="98" t="inlineStr">
        <is>
          <t>Aggregator I L.P.</t>
        </is>
      </c>
      <c r="D19" s="98" t="inlineStr">
        <is>
          <t>Citigroup Commercial Mortgage Trust 2017-C4</t>
        </is>
      </c>
      <c r="E19" s="98" t="inlineStr">
        <is>
          <t>CGCMT 2017-C4I JRR</t>
        </is>
      </c>
      <c r="F19" s="99" t="inlineStr">
        <is>
          <t>CMBS</t>
        </is>
      </c>
      <c r="G19" s="99" t="inlineStr">
        <is>
          <t>Specialized Finance</t>
        </is>
      </c>
      <c r="H19" s="99" t="inlineStr">
        <is>
          <t>United States</t>
        </is>
      </c>
      <c r="I19" s="99" t="inlineStr">
        <is>
          <t>USD</t>
        </is>
      </c>
      <c r="J19" s="100" t="n">
        <v>439</v>
      </c>
      <c r="K19" s="101" t="n">
        <v>55073</v>
      </c>
      <c r="L19" s="102" t="n">
        <v>48853893</v>
      </c>
      <c r="M19" s="92" t="n">
        <v>15814098</v>
      </c>
      <c r="N19" s="92" t="n">
        <v>17700012</v>
      </c>
      <c r="O19" s="91">
        <f>IF(M19=0,0,N19/M19)</f>
        <v/>
      </c>
      <c r="P19" s="90">
        <f>N19-M19</f>
        <v/>
      </c>
    </row>
    <row r="20">
      <c r="B20" s="103" t="n">
        <v>10</v>
      </c>
      <c r="C20" s="104" t="inlineStr">
        <is>
          <t>Aggregator I L.P.</t>
        </is>
      </c>
      <c r="D20" s="104" t="inlineStr">
        <is>
          <t>Citigroup Commercial Mortgage Trust 2018-C6</t>
        </is>
      </c>
      <c r="E20" s="104" t="inlineStr">
        <is>
          <t>CGCMT 2018-C6I ERR</t>
        </is>
      </c>
      <c r="F20" s="105" t="inlineStr">
        <is>
          <t>CMBS</t>
        </is>
      </c>
      <c r="G20" s="105" t="inlineStr">
        <is>
          <t>Specialized Finance</t>
        </is>
      </c>
      <c r="H20" s="105" t="inlineStr">
        <is>
          <t>United States</t>
        </is>
      </c>
      <c r="I20" s="105" t="inlineStr">
        <is>
          <t>USD</t>
        </is>
      </c>
      <c r="J20" s="106" t="n">
        <v>503</v>
      </c>
      <c r="K20" s="107" t="n">
        <v>55467</v>
      </c>
      <c r="L20" s="108" t="n">
        <v>7364000</v>
      </c>
      <c r="M20" s="109" t="n">
        <v>5655261</v>
      </c>
      <c r="N20" s="109" t="n">
        <v>6468566</v>
      </c>
      <c r="O20" s="110">
        <f>IF(M20=0,0,N20/M20)</f>
        <v/>
      </c>
      <c r="P20" s="111">
        <f>N20-M20</f>
        <v/>
      </c>
    </row>
    <row r="21">
      <c r="B21" s="97" t="n">
        <v>11</v>
      </c>
      <c r="C21" s="98" t="inlineStr">
        <is>
          <t>Aggregator I L.P.</t>
        </is>
      </c>
      <c r="D21" s="98" t="inlineStr">
        <is>
          <t>Citigroup Commercial Mortgage Trust 2018-C6</t>
        </is>
      </c>
      <c r="E21" s="98" t="inlineStr">
        <is>
          <t>CGCMT 2018-C6I FRR</t>
        </is>
      </c>
      <c r="F21" s="99" t="inlineStr">
        <is>
          <t>CMBS</t>
        </is>
      </c>
      <c r="G21" s="99" t="inlineStr">
        <is>
          <t>Specialized Finance</t>
        </is>
      </c>
      <c r="H21" s="99" t="inlineStr">
        <is>
          <t>United States</t>
        </is>
      </c>
      <c r="I21" s="99" t="inlineStr">
        <is>
          <t>USD</t>
        </is>
      </c>
      <c r="J21" s="100" t="n">
        <v>503</v>
      </c>
      <c r="K21" s="101" t="n">
        <v>55467</v>
      </c>
      <c r="L21" s="102" t="n">
        <v>13807000</v>
      </c>
      <c r="M21" s="92" t="n">
        <v>10105415</v>
      </c>
      <c r="N21" s="92" t="n">
        <v>11488123</v>
      </c>
      <c r="O21" s="91">
        <f>IF(M21=0,0,N21/M21)</f>
        <v/>
      </c>
      <c r="P21" s="90">
        <f>N21-M21</f>
        <v/>
      </c>
    </row>
    <row r="22">
      <c r="B22" s="103" t="n">
        <v>12</v>
      </c>
      <c r="C22" s="104" t="inlineStr">
        <is>
          <t>Aggregator I L.P.</t>
        </is>
      </c>
      <c r="D22" s="104" t="inlineStr">
        <is>
          <t>Citigroup Commercial Mortgage Trust 2018-C6</t>
        </is>
      </c>
      <c r="E22" s="104" t="inlineStr">
        <is>
          <t>CGCMT 2018-C6I GRR</t>
        </is>
      </c>
      <c r="F22" s="105" t="inlineStr">
        <is>
          <t>CMBS</t>
        </is>
      </c>
      <c r="G22" s="105" t="inlineStr">
        <is>
          <t>Specialized Finance</t>
        </is>
      </c>
      <c r="H22" s="105" t="inlineStr">
        <is>
          <t>United States</t>
        </is>
      </c>
      <c r="I22" s="105" t="inlineStr">
        <is>
          <t>USD</t>
        </is>
      </c>
      <c r="J22" s="106" t="n">
        <v>503</v>
      </c>
      <c r="K22" s="107" t="n">
        <v>55467</v>
      </c>
      <c r="L22" s="108" t="n">
        <v>7364000</v>
      </c>
      <c r="M22" s="109" t="n">
        <v>4839414</v>
      </c>
      <c r="N22" s="109" t="n">
        <v>6083031</v>
      </c>
      <c r="O22" s="110">
        <f>IF(M22=0,0,N22/M22)</f>
        <v/>
      </c>
      <c r="P22" s="111">
        <f>N22-M22</f>
        <v/>
      </c>
    </row>
    <row r="23">
      <c r="B23" s="97" t="n">
        <v>13</v>
      </c>
      <c r="C23" s="98" t="inlineStr">
        <is>
          <t>Aggregator I L.P.</t>
        </is>
      </c>
      <c r="D23" s="98" t="inlineStr">
        <is>
          <t>Citigroup Commercial Mortgage Trust 2018-C6</t>
        </is>
      </c>
      <c r="E23" s="98" t="inlineStr">
        <is>
          <t>CGCMT 2018-C6I JRR</t>
        </is>
      </c>
      <c r="F23" s="99" t="inlineStr">
        <is>
          <t>CMBS</t>
        </is>
      </c>
      <c r="G23" s="99" t="inlineStr">
        <is>
          <t>Specialized Finance</t>
        </is>
      </c>
      <c r="H23" s="99" t="inlineStr">
        <is>
          <t>United States</t>
        </is>
      </c>
      <c r="I23" s="99" t="inlineStr">
        <is>
          <t>USD</t>
        </is>
      </c>
      <c r="J23" s="100" t="n">
        <v>503</v>
      </c>
      <c r="K23" s="101" t="n">
        <v>55467</v>
      </c>
      <c r="L23" s="102" t="n">
        <v>9205000</v>
      </c>
      <c r="M23" s="92" t="n">
        <v>4492970</v>
      </c>
      <c r="N23" s="92" t="n">
        <v>7021203</v>
      </c>
      <c r="O23" s="91">
        <f>IF(M23=0,0,N23/M23)</f>
        <v/>
      </c>
      <c r="P23" s="90">
        <f>N23-M23</f>
        <v/>
      </c>
    </row>
    <row r="24">
      <c r="B24" s="103" t="n">
        <v>14</v>
      </c>
      <c r="C24" s="104" t="inlineStr">
        <is>
          <t>Aggregator I L.P.</t>
        </is>
      </c>
      <c r="D24" s="104" t="inlineStr">
        <is>
          <t>Citigroup Commercial Mortgage Trust 2018-C6</t>
        </is>
      </c>
      <c r="E24" s="104" t="inlineStr">
        <is>
          <t>CGCMT 2018-C6I KRR</t>
        </is>
      </c>
      <c r="F24" s="105" t="inlineStr">
        <is>
          <t>CMBS</t>
        </is>
      </c>
      <c r="G24" s="105" t="inlineStr">
        <is>
          <t>Specialized Finance</t>
        </is>
      </c>
      <c r="H24" s="105" t="inlineStr">
        <is>
          <t>United States</t>
        </is>
      </c>
      <c r="I24" s="105" t="inlineStr">
        <is>
          <t>USD</t>
        </is>
      </c>
      <c r="J24" s="106" t="n">
        <v>503</v>
      </c>
      <c r="K24" s="107" t="n">
        <v>55467</v>
      </c>
      <c r="L24" s="108" t="n">
        <v>10126000</v>
      </c>
      <c r="M24" s="109" t="n">
        <v>4047808</v>
      </c>
      <c r="N24" s="109" t="n">
        <v>7229497</v>
      </c>
      <c r="O24" s="110">
        <f>IF(M24=0,0,N24/M24)</f>
        <v/>
      </c>
      <c r="P24" s="111">
        <f>N24-M24</f>
        <v/>
      </c>
    </row>
    <row r="25">
      <c r="B25" s="97" t="n">
        <v>15</v>
      </c>
      <c r="C25" s="98" t="inlineStr">
        <is>
          <t>Aggregator I L.P.</t>
        </is>
      </c>
      <c r="D25" s="98" t="inlineStr">
        <is>
          <t>Citigroup Commercial Mortgage Trust 2018-C6</t>
        </is>
      </c>
      <c r="E25" s="98" t="inlineStr">
        <is>
          <t>CGCMT 2018-C6I NRRR</t>
        </is>
      </c>
      <c r="F25" s="99" t="inlineStr">
        <is>
          <t>CMBS</t>
        </is>
      </c>
      <c r="G25" s="99" t="inlineStr">
        <is>
          <t>Specialized Finance</t>
        </is>
      </c>
      <c r="H25" s="99" t="inlineStr">
        <is>
          <t>United States</t>
        </is>
      </c>
      <c r="I25" s="99" t="inlineStr">
        <is>
          <t>USD</t>
        </is>
      </c>
      <c r="J25" s="100" t="n">
        <v>503</v>
      </c>
      <c r="K25" s="101" t="n">
        <v>55467</v>
      </c>
      <c r="L25" s="102" t="n">
        <v>22303287</v>
      </c>
      <c r="M25" s="92" t="n">
        <v>9449953</v>
      </c>
      <c r="N25" s="92" t="n">
        <v>2411855</v>
      </c>
      <c r="O25" s="91">
        <f>IF(M25=0,0,N25/M25)</f>
        <v/>
      </c>
      <c r="P25" s="90">
        <f>N25-M25</f>
        <v/>
      </c>
    </row>
    <row r="26">
      <c r="B26" s="103" t="n">
        <v>16</v>
      </c>
      <c r="C26" s="104" t="inlineStr">
        <is>
          <t>Aggregator I L.P.</t>
        </is>
      </c>
      <c r="D26" s="104" t="inlineStr">
        <is>
          <t>DBJPM 2017-C6 Mortgage Trust</t>
        </is>
      </c>
      <c r="E26" s="104" t="inlineStr">
        <is>
          <t>DBJPM 2017-C6 ERR</t>
        </is>
      </c>
      <c r="F26" s="105" t="inlineStr">
        <is>
          <t>CMBS</t>
        </is>
      </c>
      <c r="G26" s="105" t="inlineStr">
        <is>
          <t>Specialized Finance</t>
        </is>
      </c>
      <c r="H26" s="105" t="inlineStr">
        <is>
          <t>United States</t>
        </is>
      </c>
      <c r="I26" s="105" t="inlineStr">
        <is>
          <t>USD</t>
        </is>
      </c>
      <c r="J26" s="106" t="n">
        <v>418</v>
      </c>
      <c r="K26" s="107" t="n">
        <v>54949</v>
      </c>
      <c r="L26" s="108" t="n">
        <v>26168000</v>
      </c>
      <c r="M26" s="109" t="n">
        <v>14648813</v>
      </c>
      <c r="N26" s="109" t="n">
        <v>21997711</v>
      </c>
      <c r="O26" s="110">
        <f>IF(M26=0,0,N26/M26)</f>
        <v/>
      </c>
      <c r="P26" s="111">
        <f>N26-M26</f>
        <v/>
      </c>
    </row>
    <row r="27">
      <c r="B27" s="97" t="n">
        <v>17</v>
      </c>
      <c r="C27" s="98" t="inlineStr">
        <is>
          <t>Aggregator I L.P.</t>
        </is>
      </c>
      <c r="D27" s="98" t="inlineStr">
        <is>
          <t>DBJPM 2017-C6 Mortgage Trust</t>
        </is>
      </c>
      <c r="E27" s="98" t="inlineStr">
        <is>
          <t>DBJPM 2017-C6 FRR</t>
        </is>
      </c>
      <c r="F27" s="99" t="inlineStr">
        <is>
          <t>CMBS</t>
        </is>
      </c>
      <c r="G27" s="99" t="inlineStr">
        <is>
          <t>Specialized Finance</t>
        </is>
      </c>
      <c r="H27" s="99" t="inlineStr">
        <is>
          <t>United States</t>
        </is>
      </c>
      <c r="I27" s="99" t="inlineStr">
        <is>
          <t>USD</t>
        </is>
      </c>
      <c r="J27" s="100" t="n">
        <v>418</v>
      </c>
      <c r="K27" s="101" t="n">
        <v>54949</v>
      </c>
      <c r="L27" s="102" t="n">
        <v>11018000</v>
      </c>
      <c r="M27" s="92" t="n">
        <v>4925189</v>
      </c>
      <c r="N27" s="92" t="n">
        <v>8702902</v>
      </c>
      <c r="O27" s="91">
        <f>IF(M27=0,0,N27/M27)</f>
        <v/>
      </c>
      <c r="P27" s="90">
        <f>N27-M27</f>
        <v/>
      </c>
    </row>
    <row r="28">
      <c r="B28" s="103" t="n">
        <v>18</v>
      </c>
      <c r="C28" s="104" t="inlineStr">
        <is>
          <t>Aggregator I L.P.</t>
        </is>
      </c>
      <c r="D28" s="104" t="inlineStr">
        <is>
          <t>DBJPM 2017-C6 Mortgage Trust</t>
        </is>
      </c>
      <c r="E28" s="104" t="inlineStr">
        <is>
          <t>DBJPM 2017-C6 GRR</t>
        </is>
      </c>
      <c r="F28" s="105" t="inlineStr">
        <is>
          <t>CMBS</t>
        </is>
      </c>
      <c r="G28" s="105" t="inlineStr">
        <is>
          <t>Specialized Finance</t>
        </is>
      </c>
      <c r="H28" s="105" t="inlineStr">
        <is>
          <t>United States</t>
        </is>
      </c>
      <c r="I28" s="105" t="inlineStr">
        <is>
          <t>USD</t>
        </is>
      </c>
      <c r="J28" s="106" t="n">
        <v>418</v>
      </c>
      <c r="K28" s="107" t="n">
        <v>54949</v>
      </c>
      <c r="L28" s="108" t="n">
        <v>24890274</v>
      </c>
      <c r="M28" s="109" t="n">
        <v>9109817</v>
      </c>
      <c r="N28" s="109" t="n">
        <v>2547001</v>
      </c>
      <c r="O28" s="110">
        <f>IF(M28=0,0,N28/M28)</f>
        <v/>
      </c>
      <c r="P28" s="111">
        <f>N28-M28</f>
        <v/>
      </c>
    </row>
    <row r="29">
      <c r="B29" s="97" t="n">
        <v>19</v>
      </c>
      <c r="C29" s="98" t="inlineStr">
        <is>
          <t>Aggregator I L.P.</t>
        </is>
      </c>
      <c r="D29" s="98" t="inlineStr">
        <is>
          <t>Goldman Sachs Mortgage Securities Trust 2017-GS6</t>
        </is>
      </c>
      <c r="E29" s="98" t="inlineStr">
        <is>
          <t>GSMS 2017-GS6 E</t>
        </is>
      </c>
      <c r="F29" s="99" t="inlineStr">
        <is>
          <t>CMBS</t>
        </is>
      </c>
      <c r="G29" s="99" t="inlineStr">
        <is>
          <t>Specialized Finance</t>
        </is>
      </c>
      <c r="H29" s="99" t="inlineStr">
        <is>
          <t>United States</t>
        </is>
      </c>
      <c r="I29" s="99" t="inlineStr">
        <is>
          <t>USD</t>
        </is>
      </c>
      <c r="J29" s="100" t="n">
        <v>439</v>
      </c>
      <c r="K29" s="101" t="n">
        <v>54918</v>
      </c>
      <c r="L29" s="102" t="n">
        <v>17530000</v>
      </c>
      <c r="M29" s="92" t="n">
        <v>9935887</v>
      </c>
      <c r="N29" s="92" t="n">
        <v>15895600</v>
      </c>
      <c r="O29" s="91">
        <f>IF(M29=0,0,N29/M29)</f>
        <v/>
      </c>
      <c r="P29" s="90">
        <f>N29-M29</f>
        <v/>
      </c>
    </row>
    <row r="30">
      <c r="B30" s="103" t="n">
        <v>20</v>
      </c>
      <c r="C30" s="104" t="inlineStr">
        <is>
          <t>Aggregator I L.P.</t>
        </is>
      </c>
      <c r="D30" s="104" t="inlineStr">
        <is>
          <t>Goldman Sachs Mortgage Securities Trust 2017-GS6</t>
        </is>
      </c>
      <c r="E30" s="104" t="inlineStr">
        <is>
          <t>GSMS 2017-GS6 F</t>
        </is>
      </c>
      <c r="F30" s="105" t="inlineStr">
        <is>
          <t>CMBS</t>
        </is>
      </c>
      <c r="G30" s="105" t="inlineStr">
        <is>
          <t>Specialized Finance</t>
        </is>
      </c>
      <c r="H30" s="105" t="inlineStr">
        <is>
          <t>United States</t>
        </is>
      </c>
      <c r="I30" s="105" t="inlineStr">
        <is>
          <t>USD</t>
        </is>
      </c>
      <c r="J30" s="106" t="n">
        <v>439</v>
      </c>
      <c r="K30" s="107" t="n">
        <v>54918</v>
      </c>
      <c r="L30" s="108" t="n">
        <v>10518000</v>
      </c>
      <c r="M30" s="109" t="n">
        <v>4774918</v>
      </c>
      <c r="N30" s="109" t="n">
        <v>3551628</v>
      </c>
      <c r="O30" s="110">
        <f>IF(M30=0,0,N30/M30)</f>
        <v/>
      </c>
      <c r="P30" s="111">
        <f>N30-M30</f>
        <v/>
      </c>
    </row>
    <row r="31">
      <c r="B31" s="97" t="n">
        <v>21</v>
      </c>
      <c r="C31" s="98" t="inlineStr">
        <is>
          <t>Aggregator I L.P.</t>
        </is>
      </c>
      <c r="D31" s="98" t="inlineStr">
        <is>
          <t>Goldman Sachs Mortgage Securities Trust 2017-GS6</t>
        </is>
      </c>
      <c r="E31" s="98" t="inlineStr">
        <is>
          <t>GSMS 2017-GS6 G</t>
        </is>
      </c>
      <c r="F31" s="99" t="inlineStr">
        <is>
          <t>CMBS</t>
        </is>
      </c>
      <c r="G31" s="99" t="inlineStr">
        <is>
          <t>Specialized Finance</t>
        </is>
      </c>
      <c r="H31" s="99" t="inlineStr">
        <is>
          <t>United States</t>
        </is>
      </c>
      <c r="I31" s="99" t="inlineStr">
        <is>
          <t>USD</t>
        </is>
      </c>
      <c r="J31" s="100" t="n">
        <v>439</v>
      </c>
      <c r="K31" s="101" t="n">
        <v>54918</v>
      </c>
      <c r="L31" s="102" t="n">
        <v>33893308</v>
      </c>
      <c r="M31" s="92" t="n">
        <v>10486498</v>
      </c>
      <c r="N31" s="92" t="n">
        <v>394791</v>
      </c>
      <c r="O31" s="91">
        <f>IF(M31=0,0,N31/M31)</f>
        <v/>
      </c>
      <c r="P31" s="90">
        <f>N31-M31</f>
        <v/>
      </c>
    </row>
    <row r="32">
      <c r="B32" s="103" t="n">
        <v>22</v>
      </c>
      <c r="C32" s="104" t="inlineStr">
        <is>
          <t>Aggregator I L.P.</t>
        </is>
      </c>
      <c r="D32" s="104" t="inlineStr">
        <is>
          <t>GS Mortgage Securities Trust 2017-GS8</t>
        </is>
      </c>
      <c r="E32" s="104" t="inlineStr">
        <is>
          <t>GSMS 2017-GS8 ERR</t>
        </is>
      </c>
      <c r="F32" s="105" t="inlineStr">
        <is>
          <t>CMBS</t>
        </is>
      </c>
      <c r="G32" s="105" t="inlineStr">
        <is>
          <t>Specialized Finance</t>
        </is>
      </c>
      <c r="H32" s="105" t="inlineStr">
        <is>
          <t>United States</t>
        </is>
      </c>
      <c r="I32" s="105" t="inlineStr">
        <is>
          <t>USD</t>
        </is>
      </c>
      <c r="J32" s="106" t="n">
        <v>431</v>
      </c>
      <c r="K32" s="107" t="n">
        <v>55102</v>
      </c>
      <c r="L32" s="108" t="n">
        <v>27142000</v>
      </c>
      <c r="M32" s="109" t="n">
        <v>20377649</v>
      </c>
      <c r="N32" s="109" t="n">
        <v>22539164</v>
      </c>
      <c r="O32" s="110">
        <f>IF(M32=0,0,N32/M32)</f>
        <v/>
      </c>
      <c r="P32" s="111">
        <f>N32-M32</f>
        <v/>
      </c>
    </row>
    <row r="33">
      <c r="B33" s="97" t="n">
        <v>23</v>
      </c>
      <c r="C33" s="98" t="inlineStr">
        <is>
          <t>Aggregator I L.P.</t>
        </is>
      </c>
      <c r="D33" s="98" t="inlineStr">
        <is>
          <t>GS Mortgage Securities Trust 2017-GS8</t>
        </is>
      </c>
      <c r="E33" s="98" t="inlineStr">
        <is>
          <t>GSMS 2017-GS8 FRR</t>
        </is>
      </c>
      <c r="F33" s="99" t="inlineStr">
        <is>
          <t>CMBS</t>
        </is>
      </c>
      <c r="G33" s="99" t="inlineStr">
        <is>
          <t>Specialized Finance</t>
        </is>
      </c>
      <c r="H33" s="99" t="inlineStr">
        <is>
          <t>United States</t>
        </is>
      </c>
      <c r="I33" s="99" t="inlineStr">
        <is>
          <t>USD</t>
        </is>
      </c>
      <c r="J33" s="100" t="n">
        <v>431</v>
      </c>
      <c r="K33" s="101" t="n">
        <v>55102</v>
      </c>
      <c r="L33" s="102" t="n">
        <v>26786000</v>
      </c>
      <c r="M33" s="92" t="n">
        <v>15541269</v>
      </c>
      <c r="N33" s="92" t="n">
        <v>22029188</v>
      </c>
      <c r="O33" s="91">
        <f>IF(M33=0,0,N33/M33)</f>
        <v/>
      </c>
      <c r="P33" s="90">
        <f>N33-M33</f>
        <v/>
      </c>
    </row>
    <row r="34">
      <c r="B34" s="103" t="n">
        <v>24</v>
      </c>
      <c r="C34" s="104" t="inlineStr">
        <is>
          <t>Aggregator I L.P.</t>
        </is>
      </c>
      <c r="D34" s="104" t="inlineStr">
        <is>
          <t>GS Mortgage Securities Trust 2017-GS8</t>
        </is>
      </c>
      <c r="E34" s="104" t="inlineStr">
        <is>
          <t>GSMS 2017-GS8 GRR</t>
        </is>
      </c>
      <c r="F34" s="105" t="inlineStr">
        <is>
          <t>CMBS</t>
        </is>
      </c>
      <c r="G34" s="105" t="inlineStr">
        <is>
          <t>Specialized Finance</t>
        </is>
      </c>
      <c r="H34" s="105" t="inlineStr">
        <is>
          <t>United States</t>
        </is>
      </c>
      <c r="I34" s="105" t="inlineStr">
        <is>
          <t>USD</t>
        </is>
      </c>
      <c r="J34" s="106" t="n">
        <v>431</v>
      </c>
      <c r="K34" s="107" t="n">
        <v>55102</v>
      </c>
      <c r="L34" s="108" t="n">
        <v>10204000</v>
      </c>
      <c r="M34" s="109" t="n">
        <v>4286218</v>
      </c>
      <c r="N34" s="109" t="n">
        <v>647462</v>
      </c>
      <c r="O34" s="110">
        <f>IF(M34=0,0,N34/M34)</f>
        <v/>
      </c>
      <c r="P34" s="111">
        <f>N34-M34</f>
        <v/>
      </c>
    </row>
    <row r="35">
      <c r="B35" s="97" t="n">
        <v>25</v>
      </c>
      <c r="C35" s="98" t="inlineStr">
        <is>
          <t>Aggregator I L.P.</t>
        </is>
      </c>
      <c r="D35" s="98" t="inlineStr">
        <is>
          <t>GS Mortgage Securities Trust 2017-GS8</t>
        </is>
      </c>
      <c r="E35" s="98" t="inlineStr">
        <is>
          <t>GSMS 2017-GS8 HRR</t>
        </is>
      </c>
      <c r="F35" s="99" t="inlineStr">
        <is>
          <t>CMBS</t>
        </is>
      </c>
      <c r="G35" s="99" t="inlineStr">
        <is>
          <t>Specialized Finance</t>
        </is>
      </c>
      <c r="H35" s="99" t="inlineStr">
        <is>
          <t>United States</t>
        </is>
      </c>
      <c r="I35" s="99" t="inlineStr">
        <is>
          <t>USD</t>
        </is>
      </c>
      <c r="J35" s="100" t="n">
        <v>431</v>
      </c>
      <c r="K35" s="101" t="n">
        <v>55102</v>
      </c>
      <c r="L35" s="102" t="n">
        <v>42091386</v>
      </c>
      <c r="M35" s="92" t="n">
        <v>12168100</v>
      </c>
      <c r="N35" s="92" t="n">
        <v>750406</v>
      </c>
      <c r="O35" s="91">
        <f>IF(M35=0,0,N35/M35)</f>
        <v/>
      </c>
      <c r="P35" s="90">
        <f>N35-M35</f>
        <v/>
      </c>
    </row>
    <row r="36">
      <c r="B36" s="103" t="n">
        <v>26</v>
      </c>
      <c r="C36" s="104" t="inlineStr">
        <is>
          <t>Aggregator I L.P.</t>
        </is>
      </c>
      <c r="D36" s="104" t="inlineStr">
        <is>
          <t>JPMDB Commercial Mortgage Securities Trust 2017-C7</t>
        </is>
      </c>
      <c r="E36" s="104" t="inlineStr">
        <is>
          <t>JPMDB 2017-C7I ERR</t>
        </is>
      </c>
      <c r="F36" s="105" t="inlineStr">
        <is>
          <t>CMBS</t>
        </is>
      </c>
      <c r="G36" s="105" t="inlineStr">
        <is>
          <t>Specialized Finance</t>
        </is>
      </c>
      <c r="H36" s="105" t="inlineStr">
        <is>
          <t>United States</t>
        </is>
      </c>
      <c r="I36" s="105" t="inlineStr">
        <is>
          <t>USD</t>
        </is>
      </c>
      <c r="J36" s="106" t="n">
        <v>417</v>
      </c>
      <c r="K36" s="107" t="n">
        <v>55076</v>
      </c>
      <c r="L36" s="108" t="n">
        <v>21499000</v>
      </c>
      <c r="M36" s="109" t="n">
        <v>11820041</v>
      </c>
      <c r="N36" s="109" t="n">
        <v>13722853</v>
      </c>
      <c r="O36" s="110">
        <f>IF(M36=0,0,N36/M36)</f>
        <v/>
      </c>
      <c r="P36" s="111">
        <f>N36-M36</f>
        <v/>
      </c>
    </row>
    <row r="37">
      <c r="B37" s="97" t="n">
        <v>27</v>
      </c>
      <c r="C37" s="98" t="inlineStr">
        <is>
          <t>Aggregator I L.P.</t>
        </is>
      </c>
      <c r="D37" s="98" t="inlineStr">
        <is>
          <t>JPMDB Commercial Mortgage Securities Trust 2017-C7</t>
        </is>
      </c>
      <c r="E37" s="98" t="inlineStr">
        <is>
          <t>JPMDB 2017-C7I FRR</t>
        </is>
      </c>
      <c r="F37" s="99" t="inlineStr">
        <is>
          <t>CMBS</t>
        </is>
      </c>
      <c r="G37" s="99" t="inlineStr">
        <is>
          <t>Specialized Finance</t>
        </is>
      </c>
      <c r="H37" s="99" t="inlineStr">
        <is>
          <t>United States</t>
        </is>
      </c>
      <c r="I37" s="99" t="inlineStr">
        <is>
          <t>USD</t>
        </is>
      </c>
      <c r="J37" s="100" t="n">
        <v>417</v>
      </c>
      <c r="K37" s="101" t="n">
        <v>55076</v>
      </c>
      <c r="L37" s="102" t="n">
        <v>12093000</v>
      </c>
      <c r="M37" s="92" t="n">
        <v>4868149</v>
      </c>
      <c r="N37" s="92" t="n">
        <v>2974267</v>
      </c>
      <c r="O37" s="91">
        <f>IF(M37=0,0,N37/M37)</f>
        <v/>
      </c>
      <c r="P37" s="90">
        <f>N37-M37</f>
        <v/>
      </c>
    </row>
    <row r="38">
      <c r="B38" s="103" t="n">
        <v>28</v>
      </c>
      <c r="C38" s="104" t="inlineStr">
        <is>
          <t>Aggregator I L.P.</t>
        </is>
      </c>
      <c r="D38" s="104" t="inlineStr">
        <is>
          <t>JPMDB Commercial Mortgage Securities Trust 2017-C7</t>
        </is>
      </c>
      <c r="E38" s="104" t="inlineStr">
        <is>
          <t>JPMDB 2017-C7I GRR</t>
        </is>
      </c>
      <c r="F38" s="105" t="inlineStr">
        <is>
          <t>CMBS</t>
        </is>
      </c>
      <c r="G38" s="105" t="inlineStr">
        <is>
          <t>Specialized Finance</t>
        </is>
      </c>
      <c r="H38" s="105" t="inlineStr">
        <is>
          <t>United States</t>
        </is>
      </c>
      <c r="I38" s="105" t="inlineStr">
        <is>
          <t>USD</t>
        </is>
      </c>
      <c r="J38" s="106" t="n">
        <v>417</v>
      </c>
      <c r="K38" s="107" t="n">
        <v>55076</v>
      </c>
      <c r="L38" s="108" t="n">
        <v>20393313</v>
      </c>
      <c r="M38" s="109" t="n">
        <v>9474608</v>
      </c>
      <c r="N38" s="109" t="n">
        <v>870343</v>
      </c>
      <c r="O38" s="110">
        <f>IF(M38=0,0,N38/M38)</f>
        <v/>
      </c>
      <c r="P38" s="111">
        <f>N38-M38</f>
        <v/>
      </c>
    </row>
    <row r="39">
      <c r="B39" s="97" t="n">
        <v>29</v>
      </c>
      <c r="C39" s="98" t="inlineStr">
        <is>
          <t>Aggregator I L.P.</t>
        </is>
      </c>
      <c r="D39" s="98" t="inlineStr">
        <is>
          <t>LCCM 2017-LC26</t>
        </is>
      </c>
      <c r="E39" s="98" t="inlineStr">
        <is>
          <t>LCCM 2017-LC26 E</t>
        </is>
      </c>
      <c r="F39" s="99" t="inlineStr">
        <is>
          <t>CMBS</t>
        </is>
      </c>
      <c r="G39" s="99" t="inlineStr">
        <is>
          <t>Specialized Finance</t>
        </is>
      </c>
      <c r="H39" s="99" t="inlineStr">
        <is>
          <t>United States</t>
        </is>
      </c>
      <c r="I39" s="99" t="inlineStr">
        <is>
          <t>USD</t>
        </is>
      </c>
      <c r="J39" s="100" t="n">
        <v>496</v>
      </c>
      <c r="K39" s="101" t="n">
        <v>54981</v>
      </c>
      <c r="L39" s="102" t="n">
        <v>16867000</v>
      </c>
      <c r="M39" s="92" t="n">
        <v>9685029</v>
      </c>
      <c r="N39" s="92" t="n">
        <v>13364298</v>
      </c>
      <c r="O39" s="91">
        <f>IF(M39=0,0,N39/M39)</f>
        <v/>
      </c>
      <c r="P39" s="90">
        <f>N39-M39</f>
        <v/>
      </c>
    </row>
    <row r="40">
      <c r="B40" s="103" t="n">
        <v>30</v>
      </c>
      <c r="C40" s="104" t="inlineStr">
        <is>
          <t>Aggregator I L.P.</t>
        </is>
      </c>
      <c r="D40" s="104" t="inlineStr">
        <is>
          <t>LCCM 2017-LC26</t>
        </is>
      </c>
      <c r="E40" s="104" t="inlineStr">
        <is>
          <t>LCCM 2017-LC26 F</t>
        </is>
      </c>
      <c r="F40" s="105" t="inlineStr">
        <is>
          <t>CMBS</t>
        </is>
      </c>
      <c r="G40" s="105" t="inlineStr">
        <is>
          <t>Specialized Finance</t>
        </is>
      </c>
      <c r="H40" s="105" t="inlineStr">
        <is>
          <t>United States</t>
        </is>
      </c>
      <c r="I40" s="105" t="inlineStr">
        <is>
          <t>USD</t>
        </is>
      </c>
      <c r="J40" s="106" t="n">
        <v>496</v>
      </c>
      <c r="K40" s="107" t="n">
        <v>54981</v>
      </c>
      <c r="L40" s="108" t="n">
        <v>6899000</v>
      </c>
      <c r="M40" s="109" t="n">
        <v>3212433</v>
      </c>
      <c r="N40" s="109" t="n">
        <v>96586</v>
      </c>
      <c r="O40" s="110">
        <f>IF(M40=0,0,N40/M40)</f>
        <v/>
      </c>
      <c r="P40" s="111">
        <f>N40-M40</f>
        <v/>
      </c>
    </row>
    <row r="41">
      <c r="B41" s="97" t="n">
        <v>31</v>
      </c>
      <c r="C41" s="98" t="inlineStr">
        <is>
          <t>Aggregator I L.P.</t>
        </is>
      </c>
      <c r="D41" s="98" t="inlineStr">
        <is>
          <t>LCCM 2017-LC26</t>
        </is>
      </c>
      <c r="E41" s="98" t="inlineStr">
        <is>
          <t>LCCM 2017-LC26 G</t>
        </is>
      </c>
      <c r="F41" s="99" t="inlineStr">
        <is>
          <t>Other</t>
        </is>
      </c>
      <c r="G41" s="99" t="inlineStr">
        <is>
          <t>Specialized Finance</t>
        </is>
      </c>
      <c r="H41" s="99" t="inlineStr">
        <is>
          <t>United States</t>
        </is>
      </c>
      <c r="I41" s="99" t="inlineStr">
        <is>
          <t>USD</t>
        </is>
      </c>
      <c r="J41" s="100" t="n">
        <v>496</v>
      </c>
      <c r="K41" s="101" t="n">
        <v>54981</v>
      </c>
      <c r="L41" s="102" t="n">
        <v>23569901</v>
      </c>
      <c r="M41" s="92" t="n">
        <v>7643957</v>
      </c>
      <c r="N41" s="92" t="n">
        <v>0</v>
      </c>
      <c r="O41" s="91">
        <f>IF(M41=0,0,N41/M41)</f>
        <v/>
      </c>
      <c r="P41" s="90">
        <f>N41-M41</f>
        <v/>
      </c>
    </row>
    <row r="42">
      <c r="B42" s="103" t="n">
        <v>32</v>
      </c>
      <c r="C42" s="104" t="inlineStr">
        <is>
          <t>Aggregator I L.P.</t>
        </is>
      </c>
      <c r="D42" s="104" t="inlineStr">
        <is>
          <t>Morgan Stanley Bank of America Merrill Lynch Trust 2017-C33</t>
        </is>
      </c>
      <c r="E42" s="104" t="inlineStr">
        <is>
          <t>MSBAM 2017-C33 E</t>
        </is>
      </c>
      <c r="F42" s="105" t="inlineStr">
        <is>
          <t>CMBS</t>
        </is>
      </c>
      <c r="G42" s="105" t="inlineStr">
        <is>
          <t>Specialized Finance</t>
        </is>
      </c>
      <c r="H42" s="105" t="inlineStr">
        <is>
          <t>United States</t>
        </is>
      </c>
      <c r="I42" s="105" t="inlineStr">
        <is>
          <t>USD</t>
        </is>
      </c>
      <c r="J42" s="106" t="n">
        <v>469</v>
      </c>
      <c r="K42" s="107" t="n">
        <v>54923</v>
      </c>
      <c r="L42" s="108" t="n">
        <v>14564000</v>
      </c>
      <c r="M42" s="109" t="n">
        <v>8355049</v>
      </c>
      <c r="N42" s="109" t="n">
        <v>13357515</v>
      </c>
      <c r="O42" s="110">
        <f>IF(M42=0,0,N42/M42)</f>
        <v/>
      </c>
      <c r="P42" s="111">
        <f>N42-M42</f>
        <v/>
      </c>
    </row>
    <row r="43">
      <c r="B43" s="97" t="n">
        <v>33</v>
      </c>
      <c r="C43" s="98" t="inlineStr">
        <is>
          <t>Aggregator I L.P.</t>
        </is>
      </c>
      <c r="D43" s="98" t="inlineStr">
        <is>
          <t>Morgan Stanley Bank of America Merrill Lynch Trust 2017-C33</t>
        </is>
      </c>
      <c r="E43" s="98" t="inlineStr">
        <is>
          <t>MSBAM 2017-C33 F</t>
        </is>
      </c>
      <c r="F43" s="99" t="inlineStr">
        <is>
          <t>CMBS</t>
        </is>
      </c>
      <c r="G43" s="99" t="inlineStr">
        <is>
          <t>Specialized Finance</t>
        </is>
      </c>
      <c r="H43" s="99" t="inlineStr">
        <is>
          <t>United States</t>
        </is>
      </c>
      <c r="I43" s="99" t="inlineStr">
        <is>
          <t>USD</t>
        </is>
      </c>
      <c r="J43" s="100" t="n">
        <v>469</v>
      </c>
      <c r="K43" s="101" t="n">
        <v>54923</v>
      </c>
      <c r="L43" s="102" t="n">
        <v>6854000</v>
      </c>
      <c r="M43" s="92" t="n">
        <v>3229864</v>
      </c>
      <c r="N43" s="92" t="n">
        <v>6080740</v>
      </c>
      <c r="O43" s="91">
        <f>IF(M43=0,0,N43/M43)</f>
        <v/>
      </c>
      <c r="P43" s="90">
        <f>N43-M43</f>
        <v/>
      </c>
    </row>
    <row r="44">
      <c r="B44" s="103" t="n">
        <v>34</v>
      </c>
      <c r="C44" s="104" t="inlineStr">
        <is>
          <t>Aggregator I L.P.</t>
        </is>
      </c>
      <c r="D44" s="104" t="inlineStr">
        <is>
          <t>Morgan Stanley Bank of America Merrill Lynch Trust 2017-C33</t>
        </is>
      </c>
      <c r="E44" s="104" t="inlineStr">
        <is>
          <t>MSBAM 2017-C33 G</t>
        </is>
      </c>
      <c r="F44" s="105" t="inlineStr">
        <is>
          <t>CMBS</t>
        </is>
      </c>
      <c r="G44" s="105" t="inlineStr">
        <is>
          <t>Specialized Finance</t>
        </is>
      </c>
      <c r="H44" s="105" t="inlineStr">
        <is>
          <t>United States</t>
        </is>
      </c>
      <c r="I44" s="105" t="inlineStr">
        <is>
          <t>USD</t>
        </is>
      </c>
      <c r="J44" s="106" t="n">
        <v>469</v>
      </c>
      <c r="K44" s="107" t="n">
        <v>54923</v>
      </c>
      <c r="L44" s="108" t="n">
        <v>26557031</v>
      </c>
      <c r="M44" s="109" t="n">
        <v>8404344</v>
      </c>
      <c r="N44" s="109" t="n">
        <v>626849</v>
      </c>
      <c r="O44" s="110">
        <f>IF(M44=0,0,N44/M44)</f>
        <v/>
      </c>
      <c r="P44" s="111">
        <f>N44-M44</f>
        <v/>
      </c>
    </row>
    <row r="45">
      <c r="B45" s="97" t="n">
        <v>35</v>
      </c>
      <c r="C45" s="98" t="inlineStr">
        <is>
          <t>Aggregator I L.P.</t>
        </is>
      </c>
      <c r="D45" s="98" t="inlineStr">
        <is>
          <t>Morgan Stanley Capital I Trust 2018-L1</t>
        </is>
      </c>
      <c r="E45" s="98" t="inlineStr">
        <is>
          <t>MSC 2018-L1 FRR</t>
        </is>
      </c>
      <c r="F45" s="99" t="inlineStr">
        <is>
          <t>CMBS</t>
        </is>
      </c>
      <c r="G45" s="99" t="inlineStr">
        <is>
          <t>Specialized Finance</t>
        </is>
      </c>
      <c r="H45" s="99" t="inlineStr">
        <is>
          <t>United States</t>
        </is>
      </c>
      <c r="I45" s="99" t="inlineStr">
        <is>
          <t>USD</t>
        </is>
      </c>
      <c r="J45" s="100" t="n">
        <v>478</v>
      </c>
      <c r="K45" s="101" t="n">
        <v>55441</v>
      </c>
      <c r="L45" s="102" t="n">
        <v>10991000</v>
      </c>
      <c r="M45" s="92" t="n">
        <v>6952914</v>
      </c>
      <c r="N45" s="92" t="n">
        <v>9384453</v>
      </c>
      <c r="O45" s="91">
        <f>IF(M45=0,0,N45/M45)</f>
        <v/>
      </c>
      <c r="P45" s="90">
        <f>N45-M45</f>
        <v/>
      </c>
    </row>
    <row r="46">
      <c r="B46" s="103" t="n">
        <v>36</v>
      </c>
      <c r="C46" s="104" t="inlineStr">
        <is>
          <t>Aggregator I L.P.</t>
        </is>
      </c>
      <c r="D46" s="104" t="inlineStr">
        <is>
          <t>Morgan Stanley Capital I Trust 2018-L1</t>
        </is>
      </c>
      <c r="E46" s="104" t="inlineStr">
        <is>
          <t>MSC 2018-L1 GRR</t>
        </is>
      </c>
      <c r="F46" s="105" t="inlineStr">
        <is>
          <t>CMBS</t>
        </is>
      </c>
      <c r="G46" s="105" t="inlineStr">
        <is>
          <t>Specialized Finance</t>
        </is>
      </c>
      <c r="H46" s="105" t="inlineStr">
        <is>
          <t>United States</t>
        </is>
      </c>
      <c r="I46" s="105" t="inlineStr">
        <is>
          <t>USD</t>
        </is>
      </c>
      <c r="J46" s="106" t="n">
        <v>478</v>
      </c>
      <c r="K46" s="107" t="n">
        <v>55441</v>
      </c>
      <c r="L46" s="108" t="n">
        <v>8794000</v>
      </c>
      <c r="M46" s="109" t="n">
        <v>5407510</v>
      </c>
      <c r="N46" s="109" t="n">
        <v>7394864</v>
      </c>
      <c r="O46" s="110">
        <f>IF(M46=0,0,N46/M46)</f>
        <v/>
      </c>
      <c r="P46" s="111">
        <f>N46-M46</f>
        <v/>
      </c>
    </row>
    <row r="47">
      <c r="B47" s="97" t="n">
        <v>37</v>
      </c>
      <c r="C47" s="98" t="inlineStr">
        <is>
          <t>Aggregator I L.P.</t>
        </is>
      </c>
      <c r="D47" s="98" t="inlineStr">
        <is>
          <t>Morgan Stanley Capital I Trust 2018-L1</t>
        </is>
      </c>
      <c r="E47" s="98" t="inlineStr">
        <is>
          <t>MSC 2018-L1 HRR</t>
        </is>
      </c>
      <c r="F47" s="99" t="inlineStr">
        <is>
          <t>CMBS</t>
        </is>
      </c>
      <c r="G47" s="99" t="inlineStr">
        <is>
          <t>Specialized Finance</t>
        </is>
      </c>
      <c r="H47" s="99" t="inlineStr">
        <is>
          <t>United States</t>
        </is>
      </c>
      <c r="I47" s="99" t="inlineStr">
        <is>
          <t>USD</t>
        </is>
      </c>
      <c r="J47" s="100" t="n">
        <v>478</v>
      </c>
      <c r="K47" s="101" t="n">
        <v>55441</v>
      </c>
      <c r="L47" s="102" t="n">
        <v>8793000</v>
      </c>
      <c r="M47" s="92" t="n">
        <v>3871848</v>
      </c>
      <c r="N47" s="92" t="n">
        <v>6836709</v>
      </c>
      <c r="O47" s="91">
        <f>IF(M47=0,0,N47/M47)</f>
        <v/>
      </c>
      <c r="P47" s="90">
        <f>N47-M47</f>
        <v/>
      </c>
    </row>
    <row r="48">
      <c r="B48" s="103" t="n">
        <v>38</v>
      </c>
      <c r="C48" s="104" t="inlineStr">
        <is>
          <t>Aggregator I L.P.</t>
        </is>
      </c>
      <c r="D48" s="104" t="inlineStr">
        <is>
          <t>Morgan Stanley Capital I Trust 2018-L1</t>
        </is>
      </c>
      <c r="E48" s="104" t="inlineStr">
        <is>
          <t>MSC 2018-L1 JRR</t>
        </is>
      </c>
      <c r="F48" s="105" t="inlineStr">
        <is>
          <t>CMBS</t>
        </is>
      </c>
      <c r="G48" s="105" t="inlineStr">
        <is>
          <t>Specialized Finance</t>
        </is>
      </c>
      <c r="H48" s="105" t="inlineStr">
        <is>
          <t>United States</t>
        </is>
      </c>
      <c r="I48" s="105" t="inlineStr">
        <is>
          <t>USD</t>
        </is>
      </c>
      <c r="J48" s="106" t="n">
        <v>478</v>
      </c>
      <c r="K48" s="107" t="n">
        <v>55441</v>
      </c>
      <c r="L48" s="108" t="n">
        <v>28579579</v>
      </c>
      <c r="M48" s="109" t="n">
        <v>8550185</v>
      </c>
      <c r="N48" s="109" t="n">
        <v>6649366</v>
      </c>
      <c r="O48" s="110">
        <f>IF(M48=0,0,N48/M48)</f>
        <v/>
      </c>
      <c r="P48" s="111">
        <f>N48-M48</f>
        <v/>
      </c>
    </row>
    <row r="49">
      <c r="B49" s="97" t="n">
        <v>39</v>
      </c>
      <c r="C49" s="98" t="inlineStr">
        <is>
          <t>Aggregator I L.P.</t>
        </is>
      </c>
      <c r="D49" s="98" t="inlineStr">
        <is>
          <t>UBS Commercial Mortgage Trust 2017-C2</t>
        </is>
      </c>
      <c r="E49" s="98" t="inlineStr">
        <is>
          <t>UBSCM 2017-C2I DRR</t>
        </is>
      </c>
      <c r="F49" s="99" t="inlineStr">
        <is>
          <t>CMBS</t>
        </is>
      </c>
      <c r="G49" s="99" t="inlineStr">
        <is>
          <t>Specialized Finance</t>
        </is>
      </c>
      <c r="H49" s="99" t="inlineStr">
        <is>
          <t>United States</t>
        </is>
      </c>
      <c r="I49" s="99" t="inlineStr">
        <is>
          <t>USD</t>
        </is>
      </c>
      <c r="J49" s="100" t="n">
        <v>444</v>
      </c>
      <c r="K49" s="101" t="n">
        <v>55015</v>
      </c>
      <c r="L49" s="102" t="n">
        <v>14514000</v>
      </c>
      <c r="M49" s="92" t="n">
        <v>10121251</v>
      </c>
      <c r="N49" s="92" t="n">
        <v>13895495</v>
      </c>
      <c r="O49" s="91">
        <f>IF(M49=0,0,N49/M49)</f>
        <v/>
      </c>
      <c r="P49" s="90">
        <f>N49-M49</f>
        <v/>
      </c>
    </row>
    <row r="50">
      <c r="B50" s="103" t="n">
        <v>40</v>
      </c>
      <c r="C50" s="104" t="inlineStr">
        <is>
          <t>Aggregator I L.P.</t>
        </is>
      </c>
      <c r="D50" s="104" t="inlineStr">
        <is>
          <t>UBS Commercial Mortgage Trust 2017-C2</t>
        </is>
      </c>
      <c r="E50" s="104" t="inlineStr">
        <is>
          <t>UBSCM 2017-C2I ERR</t>
        </is>
      </c>
      <c r="F50" s="105" t="inlineStr">
        <is>
          <t>CMBS</t>
        </is>
      </c>
      <c r="G50" s="105" t="inlineStr">
        <is>
          <t>Specialized Finance</t>
        </is>
      </c>
      <c r="H50" s="105" t="inlineStr">
        <is>
          <t>United States</t>
        </is>
      </c>
      <c r="I50" s="105" t="inlineStr">
        <is>
          <t>USD</t>
        </is>
      </c>
      <c r="J50" s="106" t="n">
        <v>444</v>
      </c>
      <c r="K50" s="107" t="n">
        <v>55015</v>
      </c>
      <c r="L50" s="108" t="n">
        <v>8987000</v>
      </c>
      <c r="M50" s="109" t="n">
        <v>5669332</v>
      </c>
      <c r="N50" s="109" t="n">
        <v>8509438</v>
      </c>
      <c r="O50" s="110">
        <f>IF(M50=0,0,N50/M50)</f>
        <v/>
      </c>
      <c r="P50" s="111">
        <f>N50-M50</f>
        <v/>
      </c>
    </row>
    <row r="51">
      <c r="B51" s="97" t="n">
        <v>41</v>
      </c>
      <c r="C51" s="98" t="inlineStr">
        <is>
          <t>Aggregator I L.P.</t>
        </is>
      </c>
      <c r="D51" s="98" t="inlineStr">
        <is>
          <t>UBS Commercial Mortgage Trust 2017-C2</t>
        </is>
      </c>
      <c r="E51" s="98" t="inlineStr">
        <is>
          <t>UBSCM 2017-C2I FRR</t>
        </is>
      </c>
      <c r="F51" s="99" t="inlineStr">
        <is>
          <t>CMBS</t>
        </is>
      </c>
      <c r="G51" s="99" t="inlineStr">
        <is>
          <t>Specialized Finance</t>
        </is>
      </c>
      <c r="H51" s="99" t="inlineStr">
        <is>
          <t>United States</t>
        </is>
      </c>
      <c r="I51" s="99" t="inlineStr">
        <is>
          <t>USD</t>
        </is>
      </c>
      <c r="J51" s="100" t="n">
        <v>444</v>
      </c>
      <c r="K51" s="101" t="n">
        <v>55015</v>
      </c>
      <c r="L51" s="102" t="n">
        <v>16850000</v>
      </c>
      <c r="M51" s="92" t="n">
        <v>10349947</v>
      </c>
      <c r="N51" s="92" t="n">
        <v>15780109</v>
      </c>
      <c r="O51" s="91">
        <f>IF(M51=0,0,N51/M51)</f>
        <v/>
      </c>
      <c r="P51" s="90">
        <f>N51-M51</f>
        <v/>
      </c>
    </row>
    <row r="52">
      <c r="B52" s="103" t="n">
        <v>42</v>
      </c>
      <c r="C52" s="104" t="inlineStr">
        <is>
          <t>Aggregator I L.P.</t>
        </is>
      </c>
      <c r="D52" s="104" t="inlineStr">
        <is>
          <t>UBS Commercial Mortgage Trust 2017-C2</t>
        </is>
      </c>
      <c r="E52" s="104" t="inlineStr">
        <is>
          <t>UBSCM 2017-C2I GRR</t>
        </is>
      </c>
      <c r="F52" s="105" t="inlineStr">
        <is>
          <t>CMBS</t>
        </is>
      </c>
      <c r="G52" s="105" t="inlineStr">
        <is>
          <t>Specialized Finance</t>
        </is>
      </c>
      <c r="H52" s="105" t="inlineStr">
        <is>
          <t>United States</t>
        </is>
      </c>
      <c r="I52" s="105" t="inlineStr">
        <is>
          <t>USD</t>
        </is>
      </c>
      <c r="J52" s="106" t="n">
        <v>444</v>
      </c>
      <c r="K52" s="107" t="n">
        <v>55015</v>
      </c>
      <c r="L52" s="108" t="n">
        <v>16850000</v>
      </c>
      <c r="M52" s="109" t="n">
        <v>9670883</v>
      </c>
      <c r="N52" s="109" t="n">
        <v>15273118</v>
      </c>
      <c r="O52" s="110">
        <f>IF(M52=0,0,N52/M52)</f>
        <v/>
      </c>
      <c r="P52" s="111">
        <f>N52-M52</f>
        <v/>
      </c>
    </row>
    <row r="53">
      <c r="B53" s="97" t="n">
        <v>43</v>
      </c>
      <c r="C53" s="98" t="inlineStr">
        <is>
          <t>Aggregator I L.P.</t>
        </is>
      </c>
      <c r="D53" s="98" t="inlineStr">
        <is>
          <t>UBS Commercial Mortgage Trust 2017-C2</t>
        </is>
      </c>
      <c r="E53" s="98" t="inlineStr">
        <is>
          <t>UBSCM 2017-C2I HRR</t>
        </is>
      </c>
      <c r="F53" s="99" t="inlineStr">
        <is>
          <t>CMBS</t>
        </is>
      </c>
      <c r="G53" s="99" t="inlineStr">
        <is>
          <t>Specialized Finance</t>
        </is>
      </c>
      <c r="H53" s="99" t="inlineStr">
        <is>
          <t>United States</t>
        </is>
      </c>
      <c r="I53" s="99" t="inlineStr">
        <is>
          <t>USD</t>
        </is>
      </c>
      <c r="J53" s="100" t="n">
        <v>444</v>
      </c>
      <c r="K53" s="101" t="n">
        <v>55015</v>
      </c>
      <c r="L53" s="102" t="n">
        <v>8987000</v>
      </c>
      <c r="M53" s="92" t="n">
        <v>3751874</v>
      </c>
      <c r="N53" s="92" t="n">
        <v>7812723</v>
      </c>
      <c r="O53" s="91">
        <f>IF(M53=0,0,N53/M53)</f>
        <v/>
      </c>
      <c r="P53" s="90">
        <f>N53-M53</f>
        <v/>
      </c>
    </row>
    <row r="54">
      <c r="B54" s="103" t="n">
        <v>44</v>
      </c>
      <c r="C54" s="104" t="inlineStr">
        <is>
          <t>Aggregator I L.P.</t>
        </is>
      </c>
      <c r="D54" s="104" t="inlineStr">
        <is>
          <t>UBS Commercial Mortgage Trust 2017-C2</t>
        </is>
      </c>
      <c r="E54" s="104" t="inlineStr">
        <is>
          <t>UBSCM 2017-C2I NRRR</t>
        </is>
      </c>
      <c r="F54" s="105" t="inlineStr">
        <is>
          <t>CMBS</t>
        </is>
      </c>
      <c r="G54" s="105" t="inlineStr">
        <is>
          <t>Specialized Finance</t>
        </is>
      </c>
      <c r="H54" s="105" t="inlineStr">
        <is>
          <t>United States</t>
        </is>
      </c>
      <c r="I54" s="105" t="inlineStr">
        <is>
          <t>USD</t>
        </is>
      </c>
      <c r="J54" s="106" t="n">
        <v>444</v>
      </c>
      <c r="K54" s="107" t="n">
        <v>55015</v>
      </c>
      <c r="L54" s="108" t="n">
        <v>19378944</v>
      </c>
      <c r="M54" s="109" t="n">
        <v>7247740</v>
      </c>
      <c r="N54" s="109" t="n">
        <v>10370823</v>
      </c>
      <c r="O54" s="110">
        <f>IF(M54=0,0,N54/M54)</f>
        <v/>
      </c>
      <c r="P54" s="111">
        <f>N54-M54</f>
        <v/>
      </c>
    </row>
    <row r="55">
      <c r="B55" s="97" t="n">
        <v>45</v>
      </c>
      <c r="C55" s="98" t="inlineStr">
        <is>
          <t>Aggregator I L.P.</t>
        </is>
      </c>
      <c r="D55" s="98" t="inlineStr">
        <is>
          <t>UBS Commercial Mortgage Trust 2017-C3</t>
        </is>
      </c>
      <c r="E55" s="98" t="inlineStr">
        <is>
          <t>UBSCM 2017-C3 DRR</t>
        </is>
      </c>
      <c r="F55" s="99" t="inlineStr">
        <is>
          <t>CMBS</t>
        </is>
      </c>
      <c r="G55" s="99" t="inlineStr">
        <is>
          <t>Specialized Finance</t>
        </is>
      </c>
      <c r="H55" s="99" t="inlineStr">
        <is>
          <t>United States</t>
        </is>
      </c>
      <c r="I55" s="99" t="inlineStr">
        <is>
          <t>USD</t>
        </is>
      </c>
      <c r="J55" s="100" t="n">
        <v>435</v>
      </c>
      <c r="K55" s="101" t="n">
        <v>55015</v>
      </c>
      <c r="L55" s="102" t="n">
        <v>17715000</v>
      </c>
      <c r="M55" s="92" t="n">
        <v>11792108</v>
      </c>
      <c r="N55" s="92" t="n">
        <v>16386506</v>
      </c>
      <c r="O55" s="91">
        <f>IF(M55=0,0,N55/M55)</f>
        <v/>
      </c>
      <c r="P55" s="90">
        <f>N55-M55</f>
        <v/>
      </c>
    </row>
    <row r="56">
      <c r="B56" s="103" t="n">
        <v>46</v>
      </c>
      <c r="C56" s="104" t="inlineStr">
        <is>
          <t>Aggregator I L.P.</t>
        </is>
      </c>
      <c r="D56" s="104" t="inlineStr">
        <is>
          <t>UBS Commercial Mortgage Trust 2017-C3</t>
        </is>
      </c>
      <c r="E56" s="104" t="inlineStr">
        <is>
          <t>UBSCM 2017-C3 ERR</t>
        </is>
      </c>
      <c r="F56" s="105" t="inlineStr">
        <is>
          <t>CMBS</t>
        </is>
      </c>
      <c r="G56" s="105" t="inlineStr">
        <is>
          <t>Specialized Finance</t>
        </is>
      </c>
      <c r="H56" s="105" t="inlineStr">
        <is>
          <t>United States</t>
        </is>
      </c>
      <c r="I56" s="105" t="inlineStr">
        <is>
          <t>USD</t>
        </is>
      </c>
      <c r="J56" s="106" t="n">
        <v>435</v>
      </c>
      <c r="K56" s="107" t="n">
        <v>55015</v>
      </c>
      <c r="L56" s="108" t="n">
        <v>13287000</v>
      </c>
      <c r="M56" s="109" t="n">
        <v>8067327</v>
      </c>
      <c r="N56" s="109" t="n">
        <v>12157509</v>
      </c>
      <c r="O56" s="110">
        <f>IF(M56=0,0,N56/M56)</f>
        <v/>
      </c>
      <c r="P56" s="111">
        <f>N56-M56</f>
        <v/>
      </c>
    </row>
    <row r="57">
      <c r="B57" s="97" t="n">
        <v>47</v>
      </c>
      <c r="C57" s="98" t="inlineStr">
        <is>
          <t>Aggregator I L.P.</t>
        </is>
      </c>
      <c r="D57" s="98" t="inlineStr">
        <is>
          <t>UBS Commercial Mortgage Trust 2017-C3</t>
        </is>
      </c>
      <c r="E57" s="98" t="inlineStr">
        <is>
          <t>UBSCM 2017-C3 FRR</t>
        </is>
      </c>
      <c r="F57" s="99" t="inlineStr">
        <is>
          <t>CMBS</t>
        </is>
      </c>
      <c r="G57" s="99" t="inlineStr">
        <is>
          <t>Specialized Finance</t>
        </is>
      </c>
      <c r="H57" s="99" t="inlineStr">
        <is>
          <t>United States</t>
        </is>
      </c>
      <c r="I57" s="99" t="inlineStr">
        <is>
          <t>USD</t>
        </is>
      </c>
      <c r="J57" s="100" t="n">
        <v>435</v>
      </c>
      <c r="K57" s="101" t="n">
        <v>55015</v>
      </c>
      <c r="L57" s="102" t="n">
        <v>10629000</v>
      </c>
      <c r="M57" s="92" t="n">
        <v>6085976</v>
      </c>
      <c r="N57" s="92" t="n">
        <v>9459389</v>
      </c>
      <c r="O57" s="91">
        <f>IF(M57=0,0,N57/M57)</f>
        <v/>
      </c>
      <c r="P57" s="90">
        <f>N57-M57</f>
        <v/>
      </c>
    </row>
    <row r="58">
      <c r="B58" s="103" t="n">
        <v>48</v>
      </c>
      <c r="C58" s="104" t="inlineStr">
        <is>
          <t>Aggregator I L.P.</t>
        </is>
      </c>
      <c r="D58" s="104" t="inlineStr">
        <is>
          <t>UBS Commercial Mortgage Trust 2017-C3</t>
        </is>
      </c>
      <c r="E58" s="104" t="inlineStr">
        <is>
          <t>UBSCM 2017-C3 GRR</t>
        </is>
      </c>
      <c r="F58" s="105" t="inlineStr">
        <is>
          <t>CMBS</t>
        </is>
      </c>
      <c r="G58" s="105" t="inlineStr">
        <is>
          <t>Specialized Finance</t>
        </is>
      </c>
      <c r="H58" s="105" t="inlineStr">
        <is>
          <t>United States</t>
        </is>
      </c>
      <c r="I58" s="105" t="inlineStr">
        <is>
          <t>USD</t>
        </is>
      </c>
      <c r="J58" s="106" t="n">
        <v>435</v>
      </c>
      <c r="K58" s="107" t="n">
        <v>55015</v>
      </c>
      <c r="L58" s="108" t="n">
        <v>10630000</v>
      </c>
      <c r="M58" s="109" t="n">
        <v>4740168</v>
      </c>
      <c r="N58" s="109" t="n">
        <v>6001553</v>
      </c>
      <c r="O58" s="110">
        <f>IF(M58=0,0,N58/M58)</f>
        <v/>
      </c>
      <c r="P58" s="111">
        <f>N58-M58</f>
        <v/>
      </c>
    </row>
    <row r="59">
      <c r="B59" s="97" t="n">
        <v>49</v>
      </c>
      <c r="C59" s="98" t="inlineStr">
        <is>
          <t>Aggregator I L.P.</t>
        </is>
      </c>
      <c r="D59" s="98" t="inlineStr">
        <is>
          <t>UBS Commercial Mortgage Trust 2017-C3</t>
        </is>
      </c>
      <c r="E59" s="98" t="inlineStr">
        <is>
          <t>UBSCM 2017-C3 NRRR</t>
        </is>
      </c>
      <c r="F59" s="99" t="inlineStr">
        <is>
          <t>CMBS</t>
        </is>
      </c>
      <c r="G59" s="99" t="inlineStr">
        <is>
          <t>Specialized Finance</t>
        </is>
      </c>
      <c r="H59" s="99" t="inlineStr">
        <is>
          <t>United States</t>
        </is>
      </c>
      <c r="I59" s="99" t="inlineStr">
        <is>
          <t>USD</t>
        </is>
      </c>
      <c r="J59" s="100" t="n">
        <v>435</v>
      </c>
      <c r="K59" s="101" t="n">
        <v>55015</v>
      </c>
      <c r="L59" s="102" t="n">
        <v>15141447</v>
      </c>
      <c r="M59" s="92" t="n">
        <v>7471907</v>
      </c>
      <c r="N59" s="92" t="n">
        <v>300284</v>
      </c>
      <c r="O59" s="91">
        <f>IF(M59=0,0,N59/M59)</f>
        <v/>
      </c>
      <c r="P59" s="90">
        <f>N59-M59</f>
        <v/>
      </c>
    </row>
    <row r="60">
      <c r="B60" s="103" t="n">
        <v>50</v>
      </c>
      <c r="C60" s="104" t="inlineStr">
        <is>
          <t>Aggregator I L.P.</t>
        </is>
      </c>
      <c r="D60" s="104" t="inlineStr">
        <is>
          <t>UBS Commercial Mortgage Trust 2017-C5</t>
        </is>
      </c>
      <c r="E60" s="104" t="inlineStr">
        <is>
          <t>UBSCM 2017-C5I DRR</t>
        </is>
      </c>
      <c r="F60" s="105" t="inlineStr">
        <is>
          <t>CMBS</t>
        </is>
      </c>
      <c r="G60" s="105" t="inlineStr">
        <is>
          <t>Specialized Finance</t>
        </is>
      </c>
      <c r="H60" s="105" t="inlineStr">
        <is>
          <t>United States</t>
        </is>
      </c>
      <c r="I60" s="105" t="inlineStr">
        <is>
          <t>USD</t>
        </is>
      </c>
      <c r="J60" s="106" t="n">
        <v>447</v>
      </c>
      <c r="K60" s="107" t="n">
        <v>55107</v>
      </c>
      <c r="L60" s="108" t="n">
        <v>15203000</v>
      </c>
      <c r="M60" s="109" t="n">
        <v>10601204</v>
      </c>
      <c r="N60" s="109" t="n">
        <v>13885928</v>
      </c>
      <c r="O60" s="110">
        <f>IF(M60=0,0,N60/M60)</f>
        <v/>
      </c>
      <c r="P60" s="111">
        <f>N60-M60</f>
        <v/>
      </c>
    </row>
    <row r="61">
      <c r="B61" s="97" t="n">
        <v>51</v>
      </c>
      <c r="C61" s="98" t="inlineStr">
        <is>
          <t>Aggregator I L.P.</t>
        </is>
      </c>
      <c r="D61" s="98" t="inlineStr">
        <is>
          <t>UBS Commercial Mortgage Trust 2017-C5</t>
        </is>
      </c>
      <c r="E61" s="98" t="inlineStr">
        <is>
          <t>UBSCM 2017-C5I ERR</t>
        </is>
      </c>
      <c r="F61" s="99" t="inlineStr">
        <is>
          <t>CMBS</t>
        </is>
      </c>
      <c r="G61" s="99" t="inlineStr">
        <is>
          <t>Specialized Finance</t>
        </is>
      </c>
      <c r="H61" s="99" t="inlineStr">
        <is>
          <t>United States</t>
        </is>
      </c>
      <c r="I61" s="99" t="inlineStr">
        <is>
          <t>USD</t>
        </is>
      </c>
      <c r="J61" s="100" t="n">
        <v>447</v>
      </c>
      <c r="K61" s="101" t="n">
        <v>55107</v>
      </c>
      <c r="L61" s="102" t="n">
        <v>14868000</v>
      </c>
      <c r="M61" s="92" t="n">
        <v>9810986</v>
      </c>
      <c r="N61" s="92" t="n">
        <v>13401481</v>
      </c>
      <c r="O61" s="91">
        <f>IF(M61=0,0,N61/M61)</f>
        <v/>
      </c>
      <c r="P61" s="90">
        <f>N61-M61</f>
        <v/>
      </c>
    </row>
    <row r="62">
      <c r="B62" s="103" t="n">
        <v>52</v>
      </c>
      <c r="C62" s="104" t="inlineStr">
        <is>
          <t>Aggregator I L.P.</t>
        </is>
      </c>
      <c r="D62" s="104" t="inlineStr">
        <is>
          <t>UBS Commercial Mortgage Trust 2017-C5</t>
        </is>
      </c>
      <c r="E62" s="104" t="inlineStr">
        <is>
          <t>UBSCM 2017-C5I FRR</t>
        </is>
      </c>
      <c r="F62" s="105" t="inlineStr">
        <is>
          <t>CMBS</t>
        </is>
      </c>
      <c r="G62" s="105" t="inlineStr">
        <is>
          <t>Specialized Finance</t>
        </is>
      </c>
      <c r="H62" s="105" t="inlineStr">
        <is>
          <t>United States</t>
        </is>
      </c>
      <c r="I62" s="105" t="inlineStr">
        <is>
          <t>USD</t>
        </is>
      </c>
      <c r="J62" s="106" t="n">
        <v>447</v>
      </c>
      <c r="K62" s="107" t="n">
        <v>55107</v>
      </c>
      <c r="L62" s="108" t="n">
        <v>15797000</v>
      </c>
      <c r="M62" s="109" t="n">
        <v>8800227</v>
      </c>
      <c r="N62" s="109" t="n">
        <v>13707341</v>
      </c>
      <c r="O62" s="110">
        <f>IF(M62=0,0,N62/M62)</f>
        <v/>
      </c>
      <c r="P62" s="111">
        <f>N62-M62</f>
        <v/>
      </c>
    </row>
    <row r="63">
      <c r="B63" s="97" t="n">
        <v>53</v>
      </c>
      <c r="C63" s="98" t="inlineStr">
        <is>
          <t>Aggregator I L.P.</t>
        </is>
      </c>
      <c r="D63" s="98" t="inlineStr">
        <is>
          <t>UBS Commercial Mortgage Trust 2017-C5</t>
        </is>
      </c>
      <c r="E63" s="98" t="inlineStr">
        <is>
          <t>UBSCM 2017-C5I GRR</t>
        </is>
      </c>
      <c r="F63" s="99" t="inlineStr">
        <is>
          <t>CMBS</t>
        </is>
      </c>
      <c r="G63" s="99" t="inlineStr">
        <is>
          <t>Specialized Finance</t>
        </is>
      </c>
      <c r="H63" s="99" t="inlineStr">
        <is>
          <t>United States</t>
        </is>
      </c>
      <c r="I63" s="99" t="inlineStr">
        <is>
          <t>USD</t>
        </is>
      </c>
      <c r="J63" s="100" t="n">
        <v>447</v>
      </c>
      <c r="K63" s="101" t="n">
        <v>55107</v>
      </c>
      <c r="L63" s="102" t="n">
        <v>7434000</v>
      </c>
      <c r="M63" s="92" t="n">
        <v>2929120</v>
      </c>
      <c r="N63" s="92" t="n">
        <v>2523752</v>
      </c>
      <c r="O63" s="91">
        <f>IF(M63=0,0,N63/M63)</f>
        <v/>
      </c>
      <c r="P63" s="90">
        <f>N63-M63</f>
        <v/>
      </c>
    </row>
    <row r="64">
      <c r="B64" s="103" t="n">
        <v>54</v>
      </c>
      <c r="C64" s="104" t="inlineStr">
        <is>
          <t>Aggregator I L.P.</t>
        </is>
      </c>
      <c r="D64" s="104" t="inlineStr">
        <is>
          <t>UBS Commercial Mortgage Trust 2017-C5</t>
        </is>
      </c>
      <c r="E64" s="104" t="inlineStr">
        <is>
          <t>UBSCM 2017-C5I NRRR</t>
        </is>
      </c>
      <c r="F64" s="105" t="inlineStr">
        <is>
          <t>CMBS</t>
        </is>
      </c>
      <c r="G64" s="105" t="inlineStr">
        <is>
          <t>Specialized Finance</t>
        </is>
      </c>
      <c r="H64" s="105" t="inlineStr">
        <is>
          <t>United States</t>
        </is>
      </c>
      <c r="I64" s="105" t="inlineStr">
        <is>
          <t>USD</t>
        </is>
      </c>
      <c r="J64" s="106" t="n">
        <v>447</v>
      </c>
      <c r="K64" s="107" t="n">
        <v>55107</v>
      </c>
      <c r="L64" s="108" t="n">
        <v>9919085</v>
      </c>
      <c r="M64" s="109" t="n">
        <v>6159364</v>
      </c>
      <c r="N64" s="109" t="n">
        <v>308883</v>
      </c>
      <c r="O64" s="110">
        <f>IF(M64=0,0,N64/M64)</f>
        <v/>
      </c>
      <c r="P64" s="111">
        <f>N64-M64</f>
        <v/>
      </c>
    </row>
    <row r="65">
      <c r="B65" s="97" t="n">
        <v>55</v>
      </c>
      <c r="C65" s="98" t="inlineStr">
        <is>
          <t>Aggregator I L.P.</t>
        </is>
      </c>
      <c r="D65" s="98" t="inlineStr">
        <is>
          <t>UBS Commercial Mortgage Trust 2018-C15</t>
        </is>
      </c>
      <c r="E65" s="98" t="inlineStr">
        <is>
          <t>UBSCM 2018-C15 DRR</t>
        </is>
      </c>
      <c r="F65" s="99" t="inlineStr">
        <is>
          <t>CMBS</t>
        </is>
      </c>
      <c r="G65" s="99" t="inlineStr">
        <is>
          <t>Specialized Finance</t>
        </is>
      </c>
      <c r="H65" s="99" t="inlineStr">
        <is>
          <t>United States</t>
        </is>
      </c>
      <c r="I65" s="99" t="inlineStr">
        <is>
          <t>USD</t>
        </is>
      </c>
      <c r="J65" s="100" t="n">
        <v>514</v>
      </c>
      <c r="K65" s="101" t="n">
        <v>55502</v>
      </c>
      <c r="L65" s="102" t="n">
        <v>21444000</v>
      </c>
      <c r="M65" s="92" t="n">
        <v>15759730</v>
      </c>
      <c r="N65" s="92" t="n">
        <v>18768905</v>
      </c>
      <c r="O65" s="91">
        <f>IF(M65=0,0,N65/M65)</f>
        <v/>
      </c>
      <c r="P65" s="90">
        <f>N65-M65</f>
        <v/>
      </c>
    </row>
    <row r="66">
      <c r="B66" s="103" t="n">
        <v>56</v>
      </c>
      <c r="C66" s="104" t="inlineStr">
        <is>
          <t>Aggregator I L.P.</t>
        </is>
      </c>
      <c r="D66" s="104" t="inlineStr">
        <is>
          <t>UBS Commercial Mortgage Trust 2018-C15</t>
        </is>
      </c>
      <c r="E66" s="104" t="inlineStr">
        <is>
          <t>UBSCM 2018-C15 ERR</t>
        </is>
      </c>
      <c r="F66" s="105" t="inlineStr">
        <is>
          <t>CMBS</t>
        </is>
      </c>
      <c r="G66" s="105" t="inlineStr">
        <is>
          <t>Specialized Finance</t>
        </is>
      </c>
      <c r="H66" s="105" t="inlineStr">
        <is>
          <t>United States</t>
        </is>
      </c>
      <c r="I66" s="105" t="inlineStr">
        <is>
          <t>USD</t>
        </is>
      </c>
      <c r="J66" s="106" t="n">
        <v>514</v>
      </c>
      <c r="K66" s="107" t="n">
        <v>55502</v>
      </c>
      <c r="L66" s="108" t="n">
        <v>7273000</v>
      </c>
      <c r="M66" s="109" t="n">
        <v>4631542</v>
      </c>
      <c r="N66" s="109" t="n">
        <v>6069008</v>
      </c>
      <c r="O66" s="110">
        <f>IF(M66=0,0,N66/M66)</f>
        <v/>
      </c>
      <c r="P66" s="111">
        <f>N66-M66</f>
        <v/>
      </c>
    </row>
    <row r="67">
      <c r="B67" s="97" t="n">
        <v>57</v>
      </c>
      <c r="C67" s="98" t="inlineStr">
        <is>
          <t>Aggregator I L.P.</t>
        </is>
      </c>
      <c r="D67" s="98" t="inlineStr">
        <is>
          <t>UBS Commercial Mortgage Trust 2018-C15</t>
        </is>
      </c>
      <c r="E67" s="98" t="inlineStr">
        <is>
          <t>UBSCM 2018-C15 FRR</t>
        </is>
      </c>
      <c r="F67" s="99" t="inlineStr">
        <is>
          <t>CMBS</t>
        </is>
      </c>
      <c r="G67" s="99" t="inlineStr">
        <is>
          <t>Specialized Finance</t>
        </is>
      </c>
      <c r="H67" s="99" t="inlineStr">
        <is>
          <t>United States</t>
        </is>
      </c>
      <c r="I67" s="99" t="inlineStr">
        <is>
          <t>USD</t>
        </is>
      </c>
      <c r="J67" s="100" t="n">
        <v>514</v>
      </c>
      <c r="K67" s="101" t="n">
        <v>55502</v>
      </c>
      <c r="L67" s="102" t="n">
        <v>6464000</v>
      </c>
      <c r="M67" s="92" t="n">
        <v>3951046</v>
      </c>
      <c r="N67" s="92" t="n">
        <v>5290530</v>
      </c>
      <c r="O67" s="91">
        <f>IF(M67=0,0,N67/M67)</f>
        <v/>
      </c>
      <c r="P67" s="90">
        <f>N67-M67</f>
        <v/>
      </c>
    </row>
    <row r="68">
      <c r="B68" s="103" t="n">
        <v>58</v>
      </c>
      <c r="C68" s="104" t="inlineStr">
        <is>
          <t>Aggregator I L.P.</t>
        </is>
      </c>
      <c r="D68" s="104" t="inlineStr">
        <is>
          <t>UBS Commercial Mortgage Trust 2018-C15</t>
        </is>
      </c>
      <c r="E68" s="104" t="inlineStr">
        <is>
          <t>UBSCM 2018-C15 GRR</t>
        </is>
      </c>
      <c r="F68" s="105" t="inlineStr">
        <is>
          <t>CMBS</t>
        </is>
      </c>
      <c r="G68" s="105" t="inlineStr">
        <is>
          <t>Specialized Finance</t>
        </is>
      </c>
      <c r="H68" s="105" t="inlineStr">
        <is>
          <t>United States</t>
        </is>
      </c>
      <c r="I68" s="105" t="inlineStr">
        <is>
          <t>USD</t>
        </is>
      </c>
      <c r="J68" s="106" t="n">
        <v>514</v>
      </c>
      <c r="K68" s="107" t="n">
        <v>55502</v>
      </c>
      <c r="L68" s="108" t="n">
        <v>6465000</v>
      </c>
      <c r="M68" s="109" t="n">
        <v>2495919</v>
      </c>
      <c r="N68" s="109" t="n">
        <v>4790148</v>
      </c>
      <c r="O68" s="110">
        <f>IF(M68=0,0,N68/M68)</f>
        <v/>
      </c>
      <c r="P68" s="111">
        <f>N68-M68</f>
        <v/>
      </c>
    </row>
    <row r="69">
      <c r="B69" s="97" t="n">
        <v>59</v>
      </c>
      <c r="C69" s="98" t="inlineStr">
        <is>
          <t>Aggregator I L.P.</t>
        </is>
      </c>
      <c r="D69" s="98" t="inlineStr">
        <is>
          <t>UBS Commercial Mortgage Trust 2018-C15</t>
        </is>
      </c>
      <c r="E69" s="98" t="inlineStr">
        <is>
          <t>UBSCM 2018-C15 NRRR</t>
        </is>
      </c>
      <c r="F69" s="99" t="inlineStr">
        <is>
          <t>CMBS</t>
        </is>
      </c>
      <c r="G69" s="99" t="inlineStr">
        <is>
          <t>Specialized Finance</t>
        </is>
      </c>
      <c r="H69" s="99" t="inlineStr">
        <is>
          <t>United States</t>
        </is>
      </c>
      <c r="I69" s="99" t="inlineStr">
        <is>
          <t>USD</t>
        </is>
      </c>
      <c r="J69" s="100" t="n">
        <v>514</v>
      </c>
      <c r="K69" s="101" t="n">
        <v>55502</v>
      </c>
      <c r="L69" s="102" t="n">
        <v>20476243</v>
      </c>
      <c r="M69" s="92" t="n">
        <v>6322974</v>
      </c>
      <c r="N69" s="92" t="n">
        <v>1207608</v>
      </c>
      <c r="O69" s="91">
        <f>IF(M69=0,0,N69/M69)</f>
        <v/>
      </c>
      <c r="P69" s="90">
        <f>N69-M69</f>
        <v/>
      </c>
    </row>
    <row r="70">
      <c r="B70" s="103" t="n">
        <v>60</v>
      </c>
      <c r="C70" s="104" t="inlineStr">
        <is>
          <t>Aggregator I L.P.</t>
        </is>
      </c>
      <c r="D70" s="104" t="inlineStr">
        <is>
          <t>Wells Fargo Commerical Mortgage Trust 2018-C43</t>
        </is>
      </c>
      <c r="E70" s="104" t="inlineStr">
        <is>
          <t>WFCM 2018-C43I E</t>
        </is>
      </c>
      <c r="F70" s="105" t="inlineStr">
        <is>
          <t>CMBS</t>
        </is>
      </c>
      <c r="G70" s="105" t="inlineStr">
        <is>
          <t>Development</t>
        </is>
      </c>
      <c r="H70" s="105" t="inlineStr">
        <is>
          <t>United States</t>
        </is>
      </c>
      <c r="I70" s="105" t="inlineStr">
        <is>
          <t>USD</t>
        </is>
      </c>
      <c r="J70" s="106" t="n">
        <v>456</v>
      </c>
      <c r="K70" s="107" t="n">
        <v>55227</v>
      </c>
      <c r="L70" s="108" t="n">
        <v>18519000</v>
      </c>
      <c r="M70" s="109" t="n">
        <v>10624379</v>
      </c>
      <c r="N70" s="109" t="n">
        <v>16126607</v>
      </c>
      <c r="O70" s="110">
        <f>IF(M70=0,0,N70/M70)</f>
        <v/>
      </c>
      <c r="P70" s="111">
        <f>N70-M70</f>
        <v/>
      </c>
    </row>
    <row r="71">
      <c r="B71" s="97" t="n">
        <v>61</v>
      </c>
      <c r="C71" s="98" t="inlineStr">
        <is>
          <t>Aggregator I L.P.</t>
        </is>
      </c>
      <c r="D71" s="98" t="inlineStr">
        <is>
          <t>Wells Fargo Commerical Mortgage Trust 2018-C43</t>
        </is>
      </c>
      <c r="E71" s="98" t="inlineStr">
        <is>
          <t>WFCM 2018-C43I F</t>
        </is>
      </c>
      <c r="F71" s="99" t="inlineStr">
        <is>
          <t>CMBS</t>
        </is>
      </c>
      <c r="G71" s="99" t="inlineStr">
        <is>
          <t>Development</t>
        </is>
      </c>
      <c r="H71" s="99" t="inlineStr">
        <is>
          <t>United States</t>
        </is>
      </c>
      <c r="I71" s="99" t="inlineStr">
        <is>
          <t>USD</t>
        </is>
      </c>
      <c r="J71" s="100" t="n">
        <v>456</v>
      </c>
      <c r="K71" s="101" t="n">
        <v>55227</v>
      </c>
      <c r="L71" s="102" t="n">
        <v>8818000</v>
      </c>
      <c r="M71" s="92" t="n">
        <v>3848511</v>
      </c>
      <c r="N71" s="92" t="n">
        <v>7229858</v>
      </c>
      <c r="O71" s="91">
        <f>IF(M71=0,0,N71/M71)</f>
        <v/>
      </c>
      <c r="P71" s="90">
        <f>N71-M71</f>
        <v/>
      </c>
    </row>
    <row r="72">
      <c r="B72" s="103" t="n">
        <v>62</v>
      </c>
      <c r="C72" s="104" t="inlineStr">
        <is>
          <t>Aggregator I L.P.</t>
        </is>
      </c>
      <c r="D72" s="104" t="inlineStr">
        <is>
          <t>Wells Fargo Commerical Mortgage Trust 2018-C43</t>
        </is>
      </c>
      <c r="E72" s="104" t="inlineStr">
        <is>
          <t>WFCM 2018-C43I G</t>
        </is>
      </c>
      <c r="F72" s="105" t="inlineStr">
        <is>
          <t>CMBS</t>
        </is>
      </c>
      <c r="G72" s="105" t="inlineStr">
        <is>
          <t>Development</t>
        </is>
      </c>
      <c r="H72" s="105" t="inlineStr">
        <is>
          <t>United States</t>
        </is>
      </c>
      <c r="I72" s="105" t="inlineStr">
        <is>
          <t>USD</t>
        </is>
      </c>
      <c r="J72" s="106" t="n">
        <v>456</v>
      </c>
      <c r="K72" s="107" t="n">
        <v>55227</v>
      </c>
      <c r="L72" s="108" t="n">
        <v>22046433</v>
      </c>
      <c r="M72" s="109" t="n">
        <v>5593624</v>
      </c>
      <c r="N72" s="109" t="n">
        <v>2949847</v>
      </c>
      <c r="O72" s="110">
        <f>IF(M72=0,0,N72/M72)</f>
        <v/>
      </c>
      <c r="P72" s="111">
        <f>N72-M72</f>
        <v/>
      </c>
    </row>
    <row r="73">
      <c r="B73" s="97" t="n">
        <v>63</v>
      </c>
      <c r="C73" s="98" t="inlineStr">
        <is>
          <t>(AIV) Aggregator I L.P.</t>
        </is>
      </c>
      <c r="D73" s="98" t="inlineStr">
        <is>
          <t>Barclays Commercial Mortgage Trust 2019-C3</t>
        </is>
      </c>
      <c r="E73" s="98" t="inlineStr">
        <is>
          <t>BBCMS 2019-C3 ERR</t>
        </is>
      </c>
      <c r="F73" s="99" t="inlineStr">
        <is>
          <t>CMBS</t>
        </is>
      </c>
      <c r="G73" s="99" t="inlineStr">
        <is>
          <t>Specialized Finance</t>
        </is>
      </c>
      <c r="H73" s="99" t="inlineStr">
        <is>
          <t>United States</t>
        </is>
      </c>
      <c r="I73" s="99" t="inlineStr">
        <is>
          <t>USD</t>
        </is>
      </c>
      <c r="J73" s="100" t="n">
        <v>477</v>
      </c>
      <c r="K73" s="101" t="n">
        <v>55654</v>
      </c>
      <c r="L73" s="102" t="n">
        <v>27313000</v>
      </c>
      <c r="M73" s="92" t="n">
        <v>19020002</v>
      </c>
      <c r="N73" s="92" t="n">
        <v>23204556</v>
      </c>
      <c r="O73" s="91">
        <f>IF(M73=0,0,N73/M73)</f>
        <v/>
      </c>
      <c r="P73" s="90">
        <f>N73-M73</f>
        <v/>
      </c>
    </row>
    <row r="74">
      <c r="B74" s="103" t="n">
        <v>64</v>
      </c>
      <c r="C74" s="104" t="inlineStr">
        <is>
          <t>(AIV) Aggregator I L.P.</t>
        </is>
      </c>
      <c r="D74" s="104" t="inlineStr">
        <is>
          <t>Barclays Commercial Mortgage Trust 2019-C3</t>
        </is>
      </c>
      <c r="E74" s="104" t="inlineStr">
        <is>
          <t>BBCMS 2019-C3 FRR</t>
        </is>
      </c>
      <c r="F74" s="105" t="inlineStr">
        <is>
          <t>CMBS</t>
        </is>
      </c>
      <c r="G74" s="105" t="inlineStr">
        <is>
          <t>Specialized Finance</t>
        </is>
      </c>
      <c r="H74" s="105" t="inlineStr">
        <is>
          <t>United States</t>
        </is>
      </c>
      <c r="I74" s="105" t="inlineStr">
        <is>
          <t>USD</t>
        </is>
      </c>
      <c r="J74" s="106" t="n">
        <v>477</v>
      </c>
      <c r="K74" s="107" t="n">
        <v>55654</v>
      </c>
      <c r="L74" s="108" t="n">
        <v>11708000</v>
      </c>
      <c r="M74" s="109" t="n">
        <v>7787757</v>
      </c>
      <c r="N74" s="109" t="n">
        <v>9410961</v>
      </c>
      <c r="O74" s="110">
        <f>IF(M74=0,0,N74/M74)</f>
        <v/>
      </c>
      <c r="P74" s="111">
        <f>N74-M74</f>
        <v/>
      </c>
    </row>
    <row r="75">
      <c r="B75" s="97" t="n">
        <v>65</v>
      </c>
      <c r="C75" s="98" t="inlineStr">
        <is>
          <t>(AIV) Aggregator I L.P.</t>
        </is>
      </c>
      <c r="D75" s="98" t="inlineStr">
        <is>
          <t>Barclays Commercial Mortgage Trust 2019-C3</t>
        </is>
      </c>
      <c r="E75" s="98" t="inlineStr">
        <is>
          <t>BBCMS 2019-C3 GRR</t>
        </is>
      </c>
      <c r="F75" s="99" t="inlineStr">
        <is>
          <t>CMBS</t>
        </is>
      </c>
      <c r="G75" s="99" t="inlineStr">
        <is>
          <t>Specialized Finance</t>
        </is>
      </c>
      <c r="H75" s="99" t="inlineStr">
        <is>
          <t>United States</t>
        </is>
      </c>
      <c r="I75" s="99" t="inlineStr">
        <is>
          <t>USD</t>
        </is>
      </c>
      <c r="J75" s="100" t="n">
        <v>477</v>
      </c>
      <c r="K75" s="101" t="n">
        <v>55654</v>
      </c>
      <c r="L75" s="102" t="n">
        <v>10537000</v>
      </c>
      <c r="M75" s="92" t="n">
        <v>6723532</v>
      </c>
      <c r="N75" s="92" t="n">
        <v>8323017</v>
      </c>
      <c r="O75" s="91">
        <f>IF(M75=0,0,N75/M75)</f>
        <v/>
      </c>
      <c r="P75" s="90">
        <f>N75-M75</f>
        <v/>
      </c>
    </row>
    <row r="76">
      <c r="B76" s="103" t="n">
        <v>66</v>
      </c>
      <c r="C76" s="104" t="inlineStr">
        <is>
          <t>(AIV) Aggregator I L.P.</t>
        </is>
      </c>
      <c r="D76" s="104" t="inlineStr">
        <is>
          <t>Barclays Commercial Mortgage Trust 2019-C3</t>
        </is>
      </c>
      <c r="E76" s="104" t="inlineStr">
        <is>
          <t>BBCMS 2019-C3 HRR</t>
        </is>
      </c>
      <c r="F76" s="105" t="inlineStr">
        <is>
          <t>CMBS</t>
        </is>
      </c>
      <c r="G76" s="105" t="inlineStr">
        <is>
          <t>Specialized Finance</t>
        </is>
      </c>
      <c r="H76" s="105" t="inlineStr">
        <is>
          <t>United States</t>
        </is>
      </c>
      <c r="I76" s="105" t="inlineStr">
        <is>
          <t>USD</t>
        </is>
      </c>
      <c r="J76" s="106" t="n">
        <v>477</v>
      </c>
      <c r="K76" s="107" t="n">
        <v>55654</v>
      </c>
      <c r="L76" s="108" t="n">
        <v>9367000</v>
      </c>
      <c r="M76" s="109" t="n">
        <v>4030287</v>
      </c>
      <c r="N76" s="109" t="n">
        <v>6729620</v>
      </c>
      <c r="O76" s="110">
        <f>IF(M76=0,0,N76/M76)</f>
        <v/>
      </c>
      <c r="P76" s="111">
        <f>N76-M76</f>
        <v/>
      </c>
    </row>
    <row r="77">
      <c r="B77" s="97" t="n">
        <v>67</v>
      </c>
      <c r="C77" s="98" t="inlineStr">
        <is>
          <t>(AIV) Aggregator I L.P.</t>
        </is>
      </c>
      <c r="D77" s="98" t="inlineStr">
        <is>
          <t>Barclays Commercial Mortgage Trust 2019-C3</t>
        </is>
      </c>
      <c r="E77" s="98" t="inlineStr">
        <is>
          <t>BBCMS 2019-C3 JRR</t>
        </is>
      </c>
      <c r="F77" s="99" t="inlineStr">
        <is>
          <t>CMBS</t>
        </is>
      </c>
      <c r="G77" s="99" t="inlineStr">
        <is>
          <t>Specialized Finance</t>
        </is>
      </c>
      <c r="H77" s="99" t="inlineStr">
        <is>
          <t>United States</t>
        </is>
      </c>
      <c r="I77" s="99" t="inlineStr">
        <is>
          <t>USD</t>
        </is>
      </c>
      <c r="J77" s="100" t="n">
        <v>477</v>
      </c>
      <c r="K77" s="101" t="n">
        <v>55654</v>
      </c>
      <c r="L77" s="102" t="n">
        <v>35616101</v>
      </c>
      <c r="M77" s="92" t="n">
        <v>11939101</v>
      </c>
      <c r="N77" s="92" t="n">
        <v>2643349</v>
      </c>
      <c r="O77" s="91">
        <f>IF(M77=0,0,N77/M77)</f>
        <v/>
      </c>
      <c r="P77" s="90">
        <f>N77-M77</f>
        <v/>
      </c>
    </row>
    <row r="78">
      <c r="B78" s="103" t="n">
        <v>68</v>
      </c>
      <c r="C78" s="104" t="inlineStr">
        <is>
          <t>(AIV) Aggregator I L.P.</t>
        </is>
      </c>
      <c r="D78" s="104" t="inlineStr">
        <is>
          <t>Benchmark 2018-B3 Mortgage Trust</t>
        </is>
      </c>
      <c r="E78" s="104" t="inlineStr">
        <is>
          <t>BMARK 2018-B3I ERR</t>
        </is>
      </c>
      <c r="F78" s="105" t="inlineStr">
        <is>
          <t>CMBS</t>
        </is>
      </c>
      <c r="G78" s="105" t="inlineStr">
        <is>
          <t>Specialized Finance</t>
        </is>
      </c>
      <c r="H78" s="105" t="inlineStr">
        <is>
          <t>United States</t>
        </is>
      </c>
      <c r="I78" s="105" t="inlineStr">
        <is>
          <t>USD</t>
        </is>
      </c>
      <c r="J78" s="106" t="n">
        <v>454</v>
      </c>
      <c r="K78" s="107" t="n">
        <v>55253</v>
      </c>
      <c r="L78" s="108" t="n">
        <v>21924000</v>
      </c>
      <c r="M78" s="109" t="n">
        <v>18279662</v>
      </c>
      <c r="N78" s="109" t="n">
        <v>18146234</v>
      </c>
      <c r="O78" s="110">
        <f>IF(M78=0,0,N78/M78)</f>
        <v/>
      </c>
      <c r="P78" s="111">
        <f>N78-M78</f>
        <v/>
      </c>
    </row>
    <row r="79">
      <c r="B79" s="97" t="n">
        <v>69</v>
      </c>
      <c r="C79" s="98" t="inlineStr">
        <is>
          <t>(AIV) Aggregator I L.P.</t>
        </is>
      </c>
      <c r="D79" s="98" t="inlineStr">
        <is>
          <t>Benchmark 2018-B3 Mortgage Trust</t>
        </is>
      </c>
      <c r="E79" s="98" t="inlineStr">
        <is>
          <t>BMARK 2018-B3I FRR</t>
        </is>
      </c>
      <c r="F79" s="99" t="inlineStr">
        <is>
          <t>CMBS</t>
        </is>
      </c>
      <c r="G79" s="99" t="inlineStr">
        <is>
          <t>Specialized Finance</t>
        </is>
      </c>
      <c r="H79" s="99" t="inlineStr">
        <is>
          <t>United States</t>
        </is>
      </c>
      <c r="I79" s="99" t="inlineStr">
        <is>
          <t>USD</t>
        </is>
      </c>
      <c r="J79" s="100" t="n">
        <v>454</v>
      </c>
      <c r="K79" s="101" t="n">
        <v>55253</v>
      </c>
      <c r="L79" s="102" t="n">
        <v>12291000</v>
      </c>
      <c r="M79" s="92" t="n">
        <v>7832601</v>
      </c>
      <c r="N79" s="92" t="n">
        <v>9947311</v>
      </c>
      <c r="O79" s="91">
        <f>IF(M79=0,0,N79/M79)</f>
        <v/>
      </c>
      <c r="P79" s="90">
        <f>N79-M79</f>
        <v/>
      </c>
    </row>
    <row r="80">
      <c r="B80" s="103" t="n">
        <v>70</v>
      </c>
      <c r="C80" s="104" t="inlineStr">
        <is>
          <t>(AIV) Aggregator I L.P.</t>
        </is>
      </c>
      <c r="D80" s="104" t="inlineStr">
        <is>
          <t>Benchmark 2018-B3 Mortgage Trust</t>
        </is>
      </c>
      <c r="E80" s="104" t="inlineStr">
        <is>
          <t>BMARK 2018-B3I GRR</t>
        </is>
      </c>
      <c r="F80" s="105" t="inlineStr">
        <is>
          <t>CMBS</t>
        </is>
      </c>
      <c r="G80" s="105" t="inlineStr">
        <is>
          <t>Specialized Finance</t>
        </is>
      </c>
      <c r="H80" s="105" t="inlineStr">
        <is>
          <t>United States</t>
        </is>
      </c>
      <c r="I80" s="105" t="inlineStr">
        <is>
          <t>USD</t>
        </is>
      </c>
      <c r="J80" s="106" t="n">
        <v>454</v>
      </c>
      <c r="K80" s="107" t="n">
        <v>55253</v>
      </c>
      <c r="L80" s="108" t="n">
        <v>12291000</v>
      </c>
      <c r="M80" s="109" t="n">
        <v>7370409</v>
      </c>
      <c r="N80" s="109" t="n">
        <v>4741423</v>
      </c>
      <c r="O80" s="110">
        <f>IF(M80=0,0,N80/M80)</f>
        <v/>
      </c>
      <c r="P80" s="111">
        <f>N80-M80</f>
        <v/>
      </c>
    </row>
    <row r="81">
      <c r="B81" s="97" t="n">
        <v>71</v>
      </c>
      <c r="C81" s="98" t="inlineStr">
        <is>
          <t>(AIV) Aggregator I L.P.</t>
        </is>
      </c>
      <c r="D81" s="98" t="inlineStr">
        <is>
          <t>Benchmark 2018-B3 Mortgage Trust</t>
        </is>
      </c>
      <c r="E81" s="98" t="inlineStr">
        <is>
          <t>BMARK 2018-B3I HRR</t>
        </is>
      </c>
      <c r="F81" s="99" t="inlineStr">
        <is>
          <t>CMBS</t>
        </is>
      </c>
      <c r="G81" s="99" t="inlineStr">
        <is>
          <t>Specialized Finance</t>
        </is>
      </c>
      <c r="H81" s="99" t="inlineStr">
        <is>
          <t>United States</t>
        </is>
      </c>
      <c r="I81" s="99" t="inlineStr">
        <is>
          <t>USD</t>
        </is>
      </c>
      <c r="J81" s="100" t="n">
        <v>454</v>
      </c>
      <c r="K81" s="101" t="n">
        <v>55253</v>
      </c>
      <c r="L81" s="102" t="n">
        <v>15022000</v>
      </c>
      <c r="M81" s="92" t="n">
        <v>6891880</v>
      </c>
      <c r="N81" s="92" t="n">
        <v>430958</v>
      </c>
      <c r="O81" s="91">
        <f>IF(M81=0,0,N81/M81)</f>
        <v/>
      </c>
      <c r="P81" s="90">
        <f>N81-M81</f>
        <v/>
      </c>
    </row>
    <row r="82">
      <c r="B82" s="103" t="n">
        <v>72</v>
      </c>
      <c r="C82" s="104" t="inlineStr">
        <is>
          <t>(AIV) Aggregator I L.P.</t>
        </is>
      </c>
      <c r="D82" s="104" t="inlineStr">
        <is>
          <t>Benchmark 2018-B3 Mortgage Trust</t>
        </is>
      </c>
      <c r="E82" s="104" t="inlineStr">
        <is>
          <t>BMARK 2018-B3I NRRR</t>
        </is>
      </c>
      <c r="F82" s="105" t="inlineStr">
        <is>
          <t>CMBS</t>
        </is>
      </c>
      <c r="G82" s="105" t="inlineStr">
        <is>
          <t>Specialized Finance</t>
        </is>
      </c>
      <c r="H82" s="105" t="inlineStr">
        <is>
          <t>United States</t>
        </is>
      </c>
      <c r="I82" s="105" t="inlineStr">
        <is>
          <t>USD</t>
        </is>
      </c>
      <c r="J82" s="106" t="n">
        <v>454</v>
      </c>
      <c r="K82" s="107" t="n">
        <v>55253</v>
      </c>
      <c r="L82" s="108" t="n">
        <v>40760537</v>
      </c>
      <c r="M82" s="109" t="n">
        <v>14751298</v>
      </c>
      <c r="N82" s="109" t="n">
        <v>0</v>
      </c>
      <c r="O82" s="110">
        <f>IF(M82=0,0,N82/M82)</f>
        <v/>
      </c>
      <c r="P82" s="111">
        <f>N82-M82</f>
        <v/>
      </c>
    </row>
    <row r="83">
      <c r="B83" s="97" t="n">
        <v>73</v>
      </c>
      <c r="C83" s="98" t="inlineStr">
        <is>
          <t>(AIV) Aggregator I L.P.</t>
        </is>
      </c>
      <c r="D83" s="98" t="inlineStr">
        <is>
          <t>CCUBS Commercial Mortgage Trust 2017-C1</t>
        </is>
      </c>
      <c r="E83" s="98" t="inlineStr">
        <is>
          <t>CCUBS 2017-C1I NRRR</t>
        </is>
      </c>
      <c r="F83" s="99" t="inlineStr">
        <is>
          <t>CMBS</t>
        </is>
      </c>
      <c r="G83" s="99" t="inlineStr">
        <is>
          <t>Specialized Finance</t>
        </is>
      </c>
      <c r="H83" s="99" t="inlineStr">
        <is>
          <t>United States</t>
        </is>
      </c>
      <c r="I83" s="99" t="inlineStr">
        <is>
          <t>USD</t>
        </is>
      </c>
      <c r="J83" s="100" t="n">
        <v>438</v>
      </c>
      <c r="K83" s="101" t="n">
        <v>55107</v>
      </c>
      <c r="L83" s="102" t="n">
        <v>25665810</v>
      </c>
      <c r="M83" s="92" t="n">
        <v>7509407</v>
      </c>
      <c r="N83" s="92" t="n">
        <v>160909</v>
      </c>
      <c r="O83" s="91">
        <f>IF(M83=0,0,N83/M83)</f>
        <v/>
      </c>
      <c r="P83" s="90">
        <f>N83-M83</f>
        <v/>
      </c>
    </row>
    <row r="84">
      <c r="B84" s="103" t="n">
        <v>74</v>
      </c>
      <c r="C84" s="104" t="inlineStr">
        <is>
          <t>(AIV) Aggregator I L.P.</t>
        </is>
      </c>
      <c r="D84" s="104" t="inlineStr">
        <is>
          <t>CCUBS Commercial Mortgage Trust 2017-C1</t>
        </is>
      </c>
      <c r="E84" s="104" t="inlineStr">
        <is>
          <t>CCUBS 2017-C1I DRR</t>
        </is>
      </c>
      <c r="F84" s="105" t="inlineStr">
        <is>
          <t>CMBS</t>
        </is>
      </c>
      <c r="G84" s="105" t="inlineStr">
        <is>
          <t>Specialized Finance</t>
        </is>
      </c>
      <c r="H84" s="105" t="inlineStr">
        <is>
          <t>United States</t>
        </is>
      </c>
      <c r="I84" s="105" t="inlineStr">
        <is>
          <t>USD</t>
        </is>
      </c>
      <c r="J84" s="106" t="n">
        <v>438</v>
      </c>
      <c r="K84" s="107" t="n">
        <v>55107</v>
      </c>
      <c r="L84" s="108" t="n">
        <v>21007000</v>
      </c>
      <c r="M84" s="109" t="n">
        <v>14739395</v>
      </c>
      <c r="N84" s="109" t="n">
        <v>18065382</v>
      </c>
      <c r="O84" s="110">
        <f>IF(M84=0,0,N84/M84)</f>
        <v/>
      </c>
      <c r="P84" s="111">
        <f>N84-M84</f>
        <v/>
      </c>
    </row>
    <row r="85">
      <c r="B85" s="97" t="n">
        <v>75</v>
      </c>
      <c r="C85" s="98" t="inlineStr">
        <is>
          <t>(AIV) Aggregator I L.P.</t>
        </is>
      </c>
      <c r="D85" s="98" t="inlineStr">
        <is>
          <t>CCUBS Commercial Mortgage Trust 2017-C1</t>
        </is>
      </c>
      <c r="E85" s="98" t="inlineStr">
        <is>
          <t>CCUBS 2017-C1I ERR</t>
        </is>
      </c>
      <c r="F85" s="99" t="inlineStr">
        <is>
          <t>CMBS</t>
        </is>
      </c>
      <c r="G85" s="99" t="inlineStr">
        <is>
          <t>Specialized Finance</t>
        </is>
      </c>
      <c r="H85" s="99" t="inlineStr">
        <is>
          <t>United States</t>
        </is>
      </c>
      <c r="I85" s="99" t="inlineStr">
        <is>
          <t>USD</t>
        </is>
      </c>
      <c r="J85" s="100" t="n">
        <v>438</v>
      </c>
      <c r="K85" s="101" t="n">
        <v>55107</v>
      </c>
      <c r="L85" s="102" t="n">
        <v>8709000</v>
      </c>
      <c r="M85" s="92" t="n">
        <v>5259830</v>
      </c>
      <c r="N85" s="92" t="n">
        <v>7304752</v>
      </c>
      <c r="O85" s="91">
        <f>IF(M85=0,0,N85/M85)</f>
        <v/>
      </c>
      <c r="P85" s="90">
        <f>N85-M85</f>
        <v/>
      </c>
    </row>
    <row r="86">
      <c r="B86" s="103" t="n">
        <v>76</v>
      </c>
      <c r="C86" s="104" t="inlineStr">
        <is>
          <t>(AIV) Aggregator I L.P.</t>
        </is>
      </c>
      <c r="D86" s="104" t="inlineStr">
        <is>
          <t>CCUBS Commercial Mortgage Trust 2017-C1</t>
        </is>
      </c>
      <c r="E86" s="104" t="inlineStr">
        <is>
          <t>CCUBS 2017-C1I FRR</t>
        </is>
      </c>
      <c r="F86" s="105" t="inlineStr">
        <is>
          <t>CMBS</t>
        </is>
      </c>
      <c r="G86" s="105" t="inlineStr">
        <is>
          <t>Specialized Finance</t>
        </is>
      </c>
      <c r="H86" s="105" t="inlineStr">
        <is>
          <t>United States</t>
        </is>
      </c>
      <c r="I86" s="105" t="inlineStr">
        <is>
          <t>USD</t>
        </is>
      </c>
      <c r="J86" s="106" t="n">
        <v>438</v>
      </c>
      <c r="K86" s="107" t="n">
        <v>55107</v>
      </c>
      <c r="L86" s="108" t="n">
        <v>7838000</v>
      </c>
      <c r="M86" s="109" t="n">
        <v>4303630</v>
      </c>
      <c r="N86" s="109" t="n">
        <v>1010983</v>
      </c>
      <c r="O86" s="110">
        <f>IF(M86=0,0,N86/M86)</f>
        <v/>
      </c>
      <c r="P86" s="111">
        <f>N86-M86</f>
        <v/>
      </c>
    </row>
    <row r="87">
      <c r="B87" s="97" t="n">
        <v>77</v>
      </c>
      <c r="C87" s="98" t="inlineStr">
        <is>
          <t>(AIV) Aggregator I L.P.</t>
        </is>
      </c>
      <c r="D87" s="98" t="inlineStr">
        <is>
          <t>CCUBS Commercial Mortgage Trust 2017-C1</t>
        </is>
      </c>
      <c r="E87" s="98" t="inlineStr">
        <is>
          <t>CCUBS 2017-C1I GRR</t>
        </is>
      </c>
      <c r="F87" s="99" t="inlineStr">
        <is>
          <t>CMBS</t>
        </is>
      </c>
      <c r="G87" s="99" t="inlineStr">
        <is>
          <t>Specialized Finance</t>
        </is>
      </c>
      <c r="H87" s="99" t="inlineStr">
        <is>
          <t>United States</t>
        </is>
      </c>
      <c r="I87" s="99" t="inlineStr">
        <is>
          <t>USD</t>
        </is>
      </c>
      <c r="J87" s="100" t="n">
        <v>438</v>
      </c>
      <c r="K87" s="101" t="n">
        <v>55107</v>
      </c>
      <c r="L87" s="102" t="n">
        <v>8710000</v>
      </c>
      <c r="M87" s="92" t="n">
        <v>3757232</v>
      </c>
      <c r="N87" s="92" t="n">
        <v>139565</v>
      </c>
      <c r="O87" s="91">
        <f>IF(M87=0,0,N87/M87)</f>
        <v/>
      </c>
      <c r="P87" s="90">
        <f>N87-M87</f>
        <v/>
      </c>
    </row>
    <row r="88">
      <c r="B88" s="103" t="n">
        <v>78</v>
      </c>
      <c r="C88" s="104" t="inlineStr">
        <is>
          <t>(AIV) Aggregator I L.P.</t>
        </is>
      </c>
      <c r="D88" s="104" t="inlineStr">
        <is>
          <t>GS Mortgage Securities Trust 2019-GC38</t>
        </is>
      </c>
      <c r="E88" s="104" t="inlineStr">
        <is>
          <t>GSMS 2019-GC38 ERR</t>
        </is>
      </c>
      <c r="F88" s="105" t="inlineStr">
        <is>
          <t>CMBS</t>
        </is>
      </c>
      <c r="G88" s="105" t="inlineStr">
        <is>
          <t>Specialized Finance</t>
        </is>
      </c>
      <c r="H88" s="105" t="inlineStr">
        <is>
          <t>United States</t>
        </is>
      </c>
      <c r="I88" s="105" t="inlineStr">
        <is>
          <t>USD</t>
        </is>
      </c>
      <c r="J88" s="106" t="n">
        <v>489</v>
      </c>
      <c r="K88" s="107" t="n">
        <v>55559</v>
      </c>
      <c r="L88" s="108" t="n">
        <v>17852000</v>
      </c>
      <c r="M88" s="109" t="n">
        <v>13830070</v>
      </c>
      <c r="N88" s="109" t="n">
        <v>15768306</v>
      </c>
      <c r="O88" s="110">
        <f>IF(M88=0,0,N88/M88)</f>
        <v/>
      </c>
      <c r="P88" s="111">
        <f>N88-M88</f>
        <v/>
      </c>
    </row>
    <row r="89">
      <c r="B89" s="97" t="n">
        <v>79</v>
      </c>
      <c r="C89" s="98" t="inlineStr">
        <is>
          <t>(AIV) Aggregator I L.P.</t>
        </is>
      </c>
      <c r="D89" s="98" t="inlineStr">
        <is>
          <t>GS Mortgage Securities Trust 2019-GC38</t>
        </is>
      </c>
      <c r="E89" s="98" t="inlineStr">
        <is>
          <t>GSMS 2019-GC38 FRR</t>
        </is>
      </c>
      <c r="F89" s="99" t="inlineStr">
        <is>
          <t>CMBS</t>
        </is>
      </c>
      <c r="G89" s="99" t="inlineStr">
        <is>
          <t>Specialized Finance</t>
        </is>
      </c>
      <c r="H89" s="99" t="inlineStr">
        <is>
          <t>United States</t>
        </is>
      </c>
      <c r="I89" s="99" t="inlineStr">
        <is>
          <t>USD</t>
        </is>
      </c>
      <c r="J89" s="100" t="n">
        <v>489</v>
      </c>
      <c r="K89" s="101" t="n">
        <v>55559</v>
      </c>
      <c r="L89" s="102" t="n">
        <v>9456000</v>
      </c>
      <c r="M89" s="92" t="n">
        <v>6254260</v>
      </c>
      <c r="N89" s="92" t="n">
        <v>7938241</v>
      </c>
      <c r="O89" s="91">
        <f>IF(M89=0,0,N89/M89)</f>
        <v/>
      </c>
      <c r="P89" s="90">
        <f>N89-M89</f>
        <v/>
      </c>
    </row>
    <row r="90">
      <c r="B90" s="103" t="n">
        <v>80</v>
      </c>
      <c r="C90" s="104" t="inlineStr">
        <is>
          <t>(AIV) Aggregator I L.P.</t>
        </is>
      </c>
      <c r="D90" s="104" t="inlineStr">
        <is>
          <t>GS Mortgage Securities Trust 2019-GC38</t>
        </is>
      </c>
      <c r="E90" s="104" t="inlineStr">
        <is>
          <t>GSMS 2019-GC38 GRR</t>
        </is>
      </c>
      <c r="F90" s="105" t="inlineStr">
        <is>
          <t>CMBS</t>
        </is>
      </c>
      <c r="G90" s="105" t="inlineStr">
        <is>
          <t>Specialized Finance</t>
        </is>
      </c>
      <c r="H90" s="105" t="inlineStr">
        <is>
          <t>United States</t>
        </is>
      </c>
      <c r="I90" s="105" t="inlineStr">
        <is>
          <t>USD</t>
        </is>
      </c>
      <c r="J90" s="106" t="n">
        <v>489</v>
      </c>
      <c r="K90" s="107" t="n">
        <v>55559</v>
      </c>
      <c r="L90" s="108" t="n">
        <v>8510000</v>
      </c>
      <c r="M90" s="109" t="n">
        <v>5337877</v>
      </c>
      <c r="N90" s="109" t="n">
        <v>7022346</v>
      </c>
      <c r="O90" s="110">
        <f>IF(M90=0,0,N90/M90)</f>
        <v/>
      </c>
      <c r="P90" s="111">
        <f>N90-M90</f>
        <v/>
      </c>
    </row>
    <row r="91">
      <c r="B91" s="97" t="n">
        <v>81</v>
      </c>
      <c r="C91" s="98" t="inlineStr">
        <is>
          <t>(AIV) Aggregator I L.P.</t>
        </is>
      </c>
      <c r="D91" s="98" t="inlineStr">
        <is>
          <t>GS Mortgage Securities Trust 2019-GC38</t>
        </is>
      </c>
      <c r="E91" s="98" t="inlineStr">
        <is>
          <t>GSMS 2019-GC38 HRR</t>
        </is>
      </c>
      <c r="F91" s="99" t="inlineStr">
        <is>
          <t>CMBS</t>
        </is>
      </c>
      <c r="G91" s="99" t="inlineStr">
        <is>
          <t>Specialized Finance</t>
        </is>
      </c>
      <c r="H91" s="99" t="inlineStr">
        <is>
          <t>United States</t>
        </is>
      </c>
      <c r="I91" s="99" t="inlineStr">
        <is>
          <t>USD</t>
        </is>
      </c>
      <c r="J91" s="100" t="n">
        <v>489</v>
      </c>
      <c r="K91" s="101" t="n">
        <v>55559</v>
      </c>
      <c r="L91" s="102" t="n">
        <v>7564000</v>
      </c>
      <c r="M91" s="92" t="n">
        <v>3010091</v>
      </c>
      <c r="N91" s="92" t="n">
        <v>5714831</v>
      </c>
      <c r="O91" s="91">
        <f>IF(M91=0,0,N91/M91)</f>
        <v/>
      </c>
      <c r="P91" s="90">
        <f>N91-M91</f>
        <v/>
      </c>
    </row>
    <row r="92">
      <c r="B92" s="103" t="n">
        <v>82</v>
      </c>
      <c r="C92" s="104" t="inlineStr">
        <is>
          <t>(AIV) Aggregator I L.P.</t>
        </is>
      </c>
      <c r="D92" s="104" t="inlineStr">
        <is>
          <t>GS Mortgage Securities Trust 2019-GC38</t>
        </is>
      </c>
      <c r="E92" s="104" t="inlineStr">
        <is>
          <t>GSMS 2019-GC38 IRR</t>
        </is>
      </c>
      <c r="F92" s="105" t="inlineStr">
        <is>
          <t>CMBS</t>
        </is>
      </c>
      <c r="G92" s="105" t="inlineStr">
        <is>
          <t>Specialized Finance</t>
        </is>
      </c>
      <c r="H92" s="105" t="inlineStr">
        <is>
          <t>United States</t>
        </is>
      </c>
      <c r="I92" s="105" t="inlineStr">
        <is>
          <t>USD</t>
        </is>
      </c>
      <c r="J92" s="106" t="n">
        <v>489</v>
      </c>
      <c r="K92" s="107" t="n">
        <v>55559</v>
      </c>
      <c r="L92" s="108" t="n">
        <v>30258365</v>
      </c>
      <c r="M92" s="109" t="n">
        <v>10903218</v>
      </c>
      <c r="N92" s="109" t="n">
        <v>12437118</v>
      </c>
      <c r="O92" s="110">
        <f>IF(M92=0,0,N92/M92)</f>
        <v/>
      </c>
      <c r="P92" s="111">
        <f>N92-M92</f>
        <v/>
      </c>
    </row>
    <row r="93">
      <c r="B93" s="97" t="n">
        <v>83</v>
      </c>
      <c r="C93" s="98" t="inlineStr">
        <is>
          <t>(AIV) Aggregator I L.P.</t>
        </is>
      </c>
      <c r="D93" s="98" t="inlineStr">
        <is>
          <t>Morgan Stanley Capital I Trust 2019-H6</t>
        </is>
      </c>
      <c r="E93" s="98" t="inlineStr">
        <is>
          <t>MSC 2019-H6 ERR</t>
        </is>
      </c>
      <c r="F93" s="99" t="inlineStr">
        <is>
          <t>CMBS</t>
        </is>
      </c>
      <c r="G93" s="99" t="inlineStr">
        <is>
          <t>Specialized Finance</t>
        </is>
      </c>
      <c r="H93" s="99" t="inlineStr">
        <is>
          <t>United States</t>
        </is>
      </c>
      <c r="I93" s="99" t="inlineStr">
        <is>
          <t>USD</t>
        </is>
      </c>
      <c r="J93" s="100" t="n">
        <v>459</v>
      </c>
      <c r="K93" s="101" t="n">
        <v>55685</v>
      </c>
      <c r="L93" s="102" t="n">
        <v>12534000</v>
      </c>
      <c r="M93" s="92" t="n">
        <v>8483845</v>
      </c>
      <c r="N93" s="92" t="n">
        <v>10777753</v>
      </c>
      <c r="O93" s="91">
        <f>IF(M93=0,0,N93/M93)</f>
        <v/>
      </c>
      <c r="P93" s="90">
        <f>N93-M93</f>
        <v/>
      </c>
    </row>
    <row r="94">
      <c r="B94" s="103" t="n">
        <v>84</v>
      </c>
      <c r="C94" s="104" t="inlineStr">
        <is>
          <t>(AIV) Aggregator I L.P.</t>
        </is>
      </c>
      <c r="D94" s="104" t="inlineStr">
        <is>
          <t>Morgan Stanley Capital I Trust 2019-H6</t>
        </is>
      </c>
      <c r="E94" s="104" t="inlineStr">
        <is>
          <t>MSC 2019-H6 FRR</t>
        </is>
      </c>
      <c r="F94" s="105" t="inlineStr">
        <is>
          <t>CMBS</t>
        </is>
      </c>
      <c r="G94" s="105" t="inlineStr">
        <is>
          <t>Specialized Finance</t>
        </is>
      </c>
      <c r="H94" s="105" t="inlineStr">
        <is>
          <t>United States</t>
        </is>
      </c>
      <c r="I94" s="105" t="inlineStr">
        <is>
          <t>USD</t>
        </is>
      </c>
      <c r="J94" s="106" t="n">
        <v>459</v>
      </c>
      <c r="K94" s="107" t="n">
        <v>55685</v>
      </c>
      <c r="L94" s="108" t="n">
        <v>10303000</v>
      </c>
      <c r="M94" s="109" t="n">
        <v>6883162</v>
      </c>
      <c r="N94" s="109" t="n">
        <v>8780659</v>
      </c>
      <c r="O94" s="110">
        <f>IF(M94=0,0,N94/M94)</f>
        <v/>
      </c>
      <c r="P94" s="111">
        <f>N94-M94</f>
        <v/>
      </c>
    </row>
    <row r="95">
      <c r="B95" s="97" t="n">
        <v>85</v>
      </c>
      <c r="C95" s="98" t="inlineStr">
        <is>
          <t>(AIV) Aggregator I L.P.</t>
        </is>
      </c>
      <c r="D95" s="98" t="inlineStr">
        <is>
          <t>Morgan Stanley Capital I Trust 2019-H6</t>
        </is>
      </c>
      <c r="E95" s="98" t="inlineStr">
        <is>
          <t>MSC 2019-H6 GRR</t>
        </is>
      </c>
      <c r="F95" s="99" t="inlineStr">
        <is>
          <t>CMBS</t>
        </is>
      </c>
      <c r="G95" s="99" t="inlineStr">
        <is>
          <t>Specialized Finance</t>
        </is>
      </c>
      <c r="H95" s="99" t="inlineStr">
        <is>
          <t>United States</t>
        </is>
      </c>
      <c r="I95" s="99" t="inlineStr">
        <is>
          <t>USD</t>
        </is>
      </c>
      <c r="J95" s="100" t="n">
        <v>459</v>
      </c>
      <c r="K95" s="101" t="n">
        <v>55685</v>
      </c>
      <c r="L95" s="102" t="n">
        <v>7727000</v>
      </c>
      <c r="M95" s="92" t="n">
        <v>4816968</v>
      </c>
      <c r="N95" s="92" t="n">
        <v>6298128</v>
      </c>
      <c r="O95" s="91">
        <f>IF(M95=0,0,N95/M95)</f>
        <v/>
      </c>
      <c r="P95" s="90">
        <f>N95-M95</f>
        <v/>
      </c>
    </row>
    <row r="96">
      <c r="B96" s="103" t="n">
        <v>86</v>
      </c>
      <c r="C96" s="104" t="inlineStr">
        <is>
          <t>(AIV) Aggregator I L.P.</t>
        </is>
      </c>
      <c r="D96" s="104" t="inlineStr">
        <is>
          <t>Morgan Stanley Capital I Trust 2019-H6</t>
        </is>
      </c>
      <c r="E96" s="104" t="inlineStr">
        <is>
          <t>MSC 2019-H6 HRR</t>
        </is>
      </c>
      <c r="F96" s="105" t="inlineStr">
        <is>
          <t>CMBS</t>
        </is>
      </c>
      <c r="G96" s="105" t="inlineStr">
        <is>
          <t>Specialized Finance</t>
        </is>
      </c>
      <c r="H96" s="105" t="inlineStr">
        <is>
          <t>United States</t>
        </is>
      </c>
      <c r="I96" s="105" t="inlineStr">
        <is>
          <t>USD</t>
        </is>
      </c>
      <c r="J96" s="106" t="n">
        <v>459</v>
      </c>
      <c r="K96" s="107" t="n">
        <v>55685</v>
      </c>
      <c r="L96" s="108" t="n">
        <v>10302000</v>
      </c>
      <c r="M96" s="109" t="n">
        <v>6306538</v>
      </c>
      <c r="N96" s="109" t="n">
        <v>8235822</v>
      </c>
      <c r="O96" s="110">
        <f>IF(M96=0,0,N96/M96)</f>
        <v/>
      </c>
      <c r="P96" s="111">
        <f>N96-M96</f>
        <v/>
      </c>
    </row>
    <row r="97">
      <c r="B97" s="97" t="n">
        <v>87</v>
      </c>
      <c r="C97" s="98" t="inlineStr">
        <is>
          <t>(AIV) Aggregator I L.P.</t>
        </is>
      </c>
      <c r="D97" s="98" t="inlineStr">
        <is>
          <t>Morgan Stanley Capital I Trust 2019-H6</t>
        </is>
      </c>
      <c r="E97" s="98" t="inlineStr">
        <is>
          <t>MSC 2019-H6 KRR</t>
        </is>
      </c>
      <c r="F97" s="99" t="inlineStr">
        <is>
          <t>CMBS</t>
        </is>
      </c>
      <c r="G97" s="99" t="inlineStr">
        <is>
          <t>Specialized Finance</t>
        </is>
      </c>
      <c r="H97" s="99" t="inlineStr">
        <is>
          <t>United States</t>
        </is>
      </c>
      <c r="I97" s="99" t="inlineStr">
        <is>
          <t>USD</t>
        </is>
      </c>
      <c r="J97" s="100" t="n">
        <v>459</v>
      </c>
      <c r="K97" s="101" t="n">
        <v>55685</v>
      </c>
      <c r="L97" s="102" t="n">
        <v>15001698</v>
      </c>
      <c r="M97" s="92" t="n">
        <v>6736029</v>
      </c>
      <c r="N97" s="92" t="n">
        <v>4694278</v>
      </c>
      <c r="O97" s="91">
        <f>IF(M97=0,0,N97/M97)</f>
        <v/>
      </c>
      <c r="P97" s="90">
        <f>N97-M97</f>
        <v/>
      </c>
    </row>
    <row r="98">
      <c r="B98" s="103" t="n">
        <v>88</v>
      </c>
      <c r="C98" s="104" t="inlineStr">
        <is>
          <t>(AIV) Aggregator I L.P.</t>
        </is>
      </c>
      <c r="D98" s="104" t="inlineStr">
        <is>
          <t>Morgan Stanley Capital I Trust 2019-H6</t>
        </is>
      </c>
      <c r="E98" s="104" t="inlineStr">
        <is>
          <t>MSC 2019-H6 JRR</t>
        </is>
      </c>
      <c r="F98" s="105" t="inlineStr">
        <is>
          <t>CMBS</t>
        </is>
      </c>
      <c r="G98" s="105" t="inlineStr">
        <is>
          <t>Specialized Finance</t>
        </is>
      </c>
      <c r="H98" s="105" t="inlineStr">
        <is>
          <t>United States</t>
        </is>
      </c>
      <c r="I98" s="105" t="inlineStr">
        <is>
          <t>USD</t>
        </is>
      </c>
      <c r="J98" s="106" t="n">
        <v>459</v>
      </c>
      <c r="K98" s="107" t="n">
        <v>55685</v>
      </c>
      <c r="L98" s="108" t="n">
        <v>6869000</v>
      </c>
      <c r="M98" s="109" t="n">
        <v>3019531</v>
      </c>
      <c r="N98" s="109" t="n">
        <v>4978156</v>
      </c>
      <c r="O98" s="110">
        <f>IF(M98=0,0,N98/M98)</f>
        <v/>
      </c>
      <c r="P98" s="111">
        <f>N98-M98</f>
        <v/>
      </c>
    </row>
    <row r="99">
      <c r="B99" s="97" t="n">
        <v>89</v>
      </c>
      <c r="C99" s="98" t="inlineStr">
        <is>
          <t>(AIV) Aggregator I L.P.</t>
        </is>
      </c>
      <c r="D99" s="98" t="inlineStr">
        <is>
          <t>UBS Commercial Mortgage Trust 2018-C12</t>
        </is>
      </c>
      <c r="E99" s="98" t="inlineStr">
        <is>
          <t>UBSCM 2018-C12I DRR</t>
        </is>
      </c>
      <c r="F99" s="99" t="inlineStr">
        <is>
          <t>CMBS</t>
        </is>
      </c>
      <c r="G99" s="99" t="inlineStr">
        <is>
          <t>Specialized Finance</t>
        </is>
      </c>
      <c r="H99" s="99" t="inlineStr">
        <is>
          <t>United States</t>
        </is>
      </c>
      <c r="I99" s="99" t="inlineStr">
        <is>
          <t>USD</t>
        </is>
      </c>
      <c r="J99" s="100" t="n">
        <v>500</v>
      </c>
      <c r="K99" s="101" t="n">
        <v>55380</v>
      </c>
      <c r="L99" s="102" t="n">
        <v>20674000</v>
      </c>
      <c r="M99" s="92" t="n">
        <v>15237720</v>
      </c>
      <c r="N99" s="92" t="n">
        <v>335046</v>
      </c>
      <c r="O99" s="91">
        <f>IF(M99=0,0,N99/M99)</f>
        <v/>
      </c>
      <c r="P99" s="90">
        <f>N99-M99</f>
        <v/>
      </c>
    </row>
    <row r="100">
      <c r="B100" s="103" t="n">
        <v>90</v>
      </c>
      <c r="C100" s="104" t="inlineStr">
        <is>
          <t>(AIV) Aggregator I L.P.</t>
        </is>
      </c>
      <c r="D100" s="104" t="inlineStr">
        <is>
          <t>UBS Commercial Mortgage Trust 2018-C12</t>
        </is>
      </c>
      <c r="E100" s="104" t="inlineStr">
        <is>
          <t>UBSCM 2018-C12I ERR</t>
        </is>
      </c>
      <c r="F100" s="105" t="inlineStr">
        <is>
          <t>CMBS</t>
        </is>
      </c>
      <c r="G100" s="105" t="inlineStr">
        <is>
          <t>Specialized Finance</t>
        </is>
      </c>
      <c r="H100" s="105" t="inlineStr">
        <is>
          <t>United States</t>
        </is>
      </c>
      <c r="I100" s="105" t="inlineStr">
        <is>
          <t>USD</t>
        </is>
      </c>
      <c r="J100" s="106" t="n">
        <v>500</v>
      </c>
      <c r="K100" s="107" t="n">
        <v>55380</v>
      </c>
      <c r="L100" s="108" t="n">
        <v>9056000</v>
      </c>
      <c r="M100" s="109" t="n">
        <v>5864036</v>
      </c>
      <c r="N100" s="109" t="n">
        <v>66301</v>
      </c>
      <c r="O100" s="110">
        <f>IF(M100=0,0,N100/M100)</f>
        <v/>
      </c>
      <c r="P100" s="111">
        <f>N100-M100</f>
        <v/>
      </c>
    </row>
    <row r="101">
      <c r="B101" s="97" t="n">
        <v>91</v>
      </c>
      <c r="C101" s="98" t="inlineStr">
        <is>
          <t>(AIV) Aggregator I L.P.</t>
        </is>
      </c>
      <c r="D101" s="98" t="inlineStr">
        <is>
          <t>UBS Commercial Mortgage Trust 2018-C12</t>
        </is>
      </c>
      <c r="E101" s="98" t="inlineStr">
        <is>
          <t>UBSCM 2018-C12I FRR</t>
        </is>
      </c>
      <c r="F101" s="99" t="inlineStr">
        <is>
          <t>CMBS</t>
        </is>
      </c>
      <c r="G101" s="99" t="inlineStr">
        <is>
          <t>Specialized Finance</t>
        </is>
      </c>
      <c r="H101" s="99" t="inlineStr">
        <is>
          <t>United States</t>
        </is>
      </c>
      <c r="I101" s="99" t="inlineStr">
        <is>
          <t>USD</t>
        </is>
      </c>
      <c r="J101" s="100" t="n">
        <v>500</v>
      </c>
      <c r="K101" s="101" t="n">
        <v>55380</v>
      </c>
      <c r="L101" s="102" t="n">
        <v>9055000</v>
      </c>
      <c r="M101" s="92" t="n">
        <v>5535127</v>
      </c>
      <c r="N101" s="92" t="n">
        <v>0</v>
      </c>
      <c r="O101" s="91">
        <f>IF(M101=0,0,N101/M101)</f>
        <v/>
      </c>
      <c r="P101" s="90">
        <f>N101-M101</f>
        <v/>
      </c>
    </row>
    <row r="102">
      <c r="B102" s="103" t="n">
        <v>92</v>
      </c>
      <c r="C102" s="104" t="inlineStr">
        <is>
          <t>(AIV) Aggregator I L.P.</t>
        </is>
      </c>
      <c r="D102" s="104" t="inlineStr">
        <is>
          <t>UBS Commercial Mortgage Trust 2018-C12</t>
        </is>
      </c>
      <c r="E102" s="104" t="inlineStr">
        <is>
          <t>UBSCM 2018-C12I GRR</t>
        </is>
      </c>
      <c r="F102" s="105" t="inlineStr">
        <is>
          <t>CMBS</t>
        </is>
      </c>
      <c r="G102" s="105" t="inlineStr">
        <is>
          <t>Specialized Finance</t>
        </is>
      </c>
      <c r="H102" s="105" t="inlineStr">
        <is>
          <t>United States</t>
        </is>
      </c>
      <c r="I102" s="105" t="inlineStr">
        <is>
          <t>USD</t>
        </is>
      </c>
      <c r="J102" s="106" t="n">
        <v>500</v>
      </c>
      <c r="K102" s="107" t="n">
        <v>55380</v>
      </c>
      <c r="L102" s="108" t="n">
        <v>6025624</v>
      </c>
      <c r="M102" s="109" t="n">
        <v>4231216</v>
      </c>
      <c r="N102" s="109" t="n">
        <v>0</v>
      </c>
      <c r="O102" s="110">
        <f>IF(M102=0,0,N102/M102)</f>
        <v/>
      </c>
      <c r="P102" s="111">
        <f>N102-M102</f>
        <v/>
      </c>
    </row>
    <row r="103">
      <c r="B103" s="97" t="n">
        <v>93</v>
      </c>
      <c r="C103" s="98" t="inlineStr">
        <is>
          <t>(AIV) Aggregator I L.P.</t>
        </is>
      </c>
      <c r="D103" s="98" t="inlineStr">
        <is>
          <t>UBS Commercial Mortgage Trust 2018-C12</t>
        </is>
      </c>
      <c r="E103" s="98" t="inlineStr">
        <is>
          <t>UBSCM 2018-C12I NRRR</t>
        </is>
      </c>
      <c r="F103" s="99" t="inlineStr">
        <is>
          <t>CMBS</t>
        </is>
      </c>
      <c r="G103" s="99" t="inlineStr">
        <is>
          <t>Specialized Finance</t>
        </is>
      </c>
      <c r="H103" s="99" t="inlineStr">
        <is>
          <t>United States</t>
        </is>
      </c>
      <c r="I103" s="99" t="inlineStr">
        <is>
          <t>USD</t>
        </is>
      </c>
      <c r="J103" s="100" t="n">
        <v>502</v>
      </c>
      <c r="K103" s="101" t="n">
        <v>55380</v>
      </c>
      <c r="L103" s="102" t="n">
        <v>5938226</v>
      </c>
      <c r="M103" s="92" t="n">
        <v>10289352</v>
      </c>
      <c r="N103" s="92" t="n">
        <v>0</v>
      </c>
      <c r="O103" s="91">
        <f>IF(M103=0,0,N103/M103)</f>
        <v/>
      </c>
      <c r="P103" s="90">
        <f>N103-M103</f>
        <v/>
      </c>
    </row>
    <row r="104">
      <c r="B104" s="103" t="n">
        <v>94</v>
      </c>
      <c r="C104" s="104" t="inlineStr">
        <is>
          <t>(AIV) Aggregator I L.P.</t>
        </is>
      </c>
      <c r="D104" s="104" t="inlineStr">
        <is>
          <t>UBS Commercial Mortgage Trust 2018-C13</t>
        </is>
      </c>
      <c r="E104" s="104" t="inlineStr">
        <is>
          <t>UBSCM 2018-C13 DRR</t>
        </is>
      </c>
      <c r="F104" s="105" t="inlineStr">
        <is>
          <t>CMBS</t>
        </is>
      </c>
      <c r="G104" s="105" t="inlineStr">
        <is>
          <t>Specialized Finance</t>
        </is>
      </c>
      <c r="H104" s="105" t="inlineStr">
        <is>
          <t>United States</t>
        </is>
      </c>
      <c r="I104" s="105" t="inlineStr">
        <is>
          <t>USD</t>
        </is>
      </c>
      <c r="J104" s="106" t="n">
        <v>500</v>
      </c>
      <c r="K104" s="107" t="n">
        <v>55441</v>
      </c>
      <c r="L104" s="108" t="n">
        <v>19302000</v>
      </c>
      <c r="M104" s="109" t="n">
        <v>14483205</v>
      </c>
      <c r="N104" s="109" t="n">
        <v>17009982</v>
      </c>
      <c r="O104" s="110">
        <f>IF(M104=0,0,N104/M104)</f>
        <v/>
      </c>
      <c r="P104" s="111">
        <f>N104-M104</f>
        <v/>
      </c>
    </row>
    <row r="105">
      <c r="B105" s="97" t="n">
        <v>95</v>
      </c>
      <c r="C105" s="98" t="inlineStr">
        <is>
          <t>(AIV) Aggregator I L.P.</t>
        </is>
      </c>
      <c r="D105" s="98" t="inlineStr">
        <is>
          <t>UBS Commercial Mortgage Trust 2018-C13</t>
        </is>
      </c>
      <c r="E105" s="98" t="inlineStr">
        <is>
          <t>UBSCM 2018-C13 ERR</t>
        </is>
      </c>
      <c r="F105" s="99" t="inlineStr">
        <is>
          <t>CMBS</t>
        </is>
      </c>
      <c r="G105" s="99" t="inlineStr">
        <is>
          <t>Specialized Finance</t>
        </is>
      </c>
      <c r="H105" s="99" t="inlineStr">
        <is>
          <t>United States</t>
        </is>
      </c>
      <c r="I105" s="99" t="inlineStr">
        <is>
          <t>USD</t>
        </is>
      </c>
      <c r="J105" s="100" t="n">
        <v>500</v>
      </c>
      <c r="K105" s="101" t="n">
        <v>55441</v>
      </c>
      <c r="L105" s="102" t="n">
        <v>8936000</v>
      </c>
      <c r="M105" s="92" t="n">
        <v>5705013</v>
      </c>
      <c r="N105" s="92" t="n">
        <v>7525705</v>
      </c>
      <c r="O105" s="91">
        <f>IF(M105=0,0,N105/M105)</f>
        <v/>
      </c>
      <c r="P105" s="90">
        <f>N105-M105</f>
        <v/>
      </c>
    </row>
    <row r="106">
      <c r="B106" s="103" t="n">
        <v>96</v>
      </c>
      <c r="C106" s="104" t="inlineStr">
        <is>
          <t>(AIV) Aggregator I L.P.</t>
        </is>
      </c>
      <c r="D106" s="104" t="inlineStr">
        <is>
          <t>UBS Commercial Mortgage Trust 2018-C13</t>
        </is>
      </c>
      <c r="E106" s="104" t="inlineStr">
        <is>
          <t>UBSCM 2018-C13 FRR</t>
        </is>
      </c>
      <c r="F106" s="105" t="inlineStr">
        <is>
          <t>CMBS</t>
        </is>
      </c>
      <c r="G106" s="105" t="inlineStr">
        <is>
          <t>Specialized Finance</t>
        </is>
      </c>
      <c r="H106" s="105" t="inlineStr">
        <is>
          <t>United States</t>
        </is>
      </c>
      <c r="I106" s="105" t="inlineStr">
        <is>
          <t>USD</t>
        </is>
      </c>
      <c r="J106" s="106" t="n">
        <v>500</v>
      </c>
      <c r="K106" s="107" t="n">
        <v>55441</v>
      </c>
      <c r="L106" s="108" t="n">
        <v>7149000</v>
      </c>
      <c r="M106" s="109" t="n">
        <v>4373262</v>
      </c>
      <c r="N106" s="109" t="n">
        <v>5930330</v>
      </c>
      <c r="O106" s="110">
        <f>IF(M106=0,0,N106/M106)</f>
        <v/>
      </c>
      <c r="P106" s="111">
        <f>N106-M106</f>
        <v/>
      </c>
    </row>
    <row r="107">
      <c r="B107" s="97" t="n">
        <v>97</v>
      </c>
      <c r="C107" s="98" t="inlineStr">
        <is>
          <t>(AIV) Aggregator I L.P.</t>
        </is>
      </c>
      <c r="D107" s="98" t="inlineStr">
        <is>
          <t>UBS Commercial Mortgage Trust 2018-C13</t>
        </is>
      </c>
      <c r="E107" s="98" t="inlineStr">
        <is>
          <t>UBSCM 2018-C13 GRR</t>
        </is>
      </c>
      <c r="F107" s="99" t="inlineStr">
        <is>
          <t>CMBS</t>
        </is>
      </c>
      <c r="G107" s="99" t="inlineStr">
        <is>
          <t>Specialized Finance</t>
        </is>
      </c>
      <c r="H107" s="99" t="inlineStr">
        <is>
          <t>United States</t>
        </is>
      </c>
      <c r="I107" s="99" t="inlineStr">
        <is>
          <t>USD</t>
        </is>
      </c>
      <c r="J107" s="100" t="n">
        <v>500</v>
      </c>
      <c r="K107" s="101" t="n">
        <v>55441</v>
      </c>
      <c r="L107" s="102" t="n">
        <v>8042000</v>
      </c>
      <c r="M107" s="92" t="n">
        <v>3407906</v>
      </c>
      <c r="N107" s="92" t="n">
        <v>6178591</v>
      </c>
      <c r="O107" s="91">
        <f>IF(M107=0,0,N107/M107)</f>
        <v/>
      </c>
      <c r="P107" s="90">
        <f>N107-M107</f>
        <v/>
      </c>
    </row>
    <row r="108">
      <c r="B108" s="103" t="n">
        <v>98</v>
      </c>
      <c r="C108" s="104" t="inlineStr">
        <is>
          <t>(AIV) Aggregator I L.P.</t>
        </is>
      </c>
      <c r="D108" s="104" t="inlineStr">
        <is>
          <t>UBS Commercial Mortgage Trust 2018-C13</t>
        </is>
      </c>
      <c r="E108" s="104" t="inlineStr">
        <is>
          <t>UBSCM 2018-C13 NRRR</t>
        </is>
      </c>
      <c r="F108" s="105" t="inlineStr">
        <is>
          <t>CMBS</t>
        </is>
      </c>
      <c r="G108" s="105" t="inlineStr">
        <is>
          <t>Specialized Finance</t>
        </is>
      </c>
      <c r="H108" s="105" t="inlineStr">
        <is>
          <t>United States</t>
        </is>
      </c>
      <c r="I108" s="105" t="inlineStr">
        <is>
          <t>USD</t>
        </is>
      </c>
      <c r="J108" s="106" t="n">
        <v>500</v>
      </c>
      <c r="K108" s="107" t="n">
        <v>55441</v>
      </c>
      <c r="L108" s="108" t="n">
        <v>25914649</v>
      </c>
      <c r="M108" s="109" t="n">
        <v>8720310</v>
      </c>
      <c r="N108" s="109" t="n">
        <v>4104502</v>
      </c>
      <c r="O108" s="110">
        <f>IF(M108=0,0,N108/M108)</f>
        <v/>
      </c>
      <c r="P108" s="111">
        <f>N108-M108</f>
        <v/>
      </c>
    </row>
    <row r="109">
      <c r="B109" s="97" t="n">
        <v>99</v>
      </c>
      <c r="C109" s="98" t="inlineStr">
        <is>
          <t>(AIV) Aggregator I L.P.</t>
        </is>
      </c>
      <c r="D109" s="98" t="inlineStr">
        <is>
          <t>UBS Commercial Mortgage Trust 2018-C8</t>
        </is>
      </c>
      <c r="E109" s="98" t="inlineStr">
        <is>
          <t>UBSCM 2018-C8I DRR</t>
        </is>
      </c>
      <c r="F109" s="99" t="inlineStr">
        <is>
          <t>CMBS</t>
        </is>
      </c>
      <c r="G109" s="99" t="inlineStr">
        <is>
          <t>Specialized Finance</t>
        </is>
      </c>
      <c r="H109" s="99" t="inlineStr">
        <is>
          <t>United States</t>
        </is>
      </c>
      <c r="I109" s="99" t="inlineStr">
        <is>
          <t>USD</t>
        </is>
      </c>
      <c r="J109" s="100" t="n">
        <v>468</v>
      </c>
      <c r="K109" s="101" t="n">
        <v>55199</v>
      </c>
      <c r="L109" s="102" t="n">
        <v>31272000</v>
      </c>
      <c r="M109" s="92" t="n">
        <v>21950710</v>
      </c>
      <c r="N109" s="92" t="n">
        <v>26630108</v>
      </c>
      <c r="O109" s="91">
        <f>IF(M109=0,0,N109/M109)</f>
        <v/>
      </c>
      <c r="P109" s="90">
        <f>N109-M109</f>
        <v/>
      </c>
    </row>
    <row r="110">
      <c r="B110" s="103" t="n">
        <v>100</v>
      </c>
      <c r="C110" s="104" t="inlineStr">
        <is>
          <t>(AIV) Aggregator I L.P.</t>
        </is>
      </c>
      <c r="D110" s="104" t="inlineStr">
        <is>
          <t>UBS Commercial Mortgage Trust 2018-C8</t>
        </is>
      </c>
      <c r="E110" s="104" t="inlineStr">
        <is>
          <t>UBSCM 2018-C8I ERR</t>
        </is>
      </c>
      <c r="F110" s="105" t="inlineStr">
        <is>
          <t>CMBS</t>
        </is>
      </c>
      <c r="G110" s="105" t="inlineStr">
        <is>
          <t>Specialized Finance</t>
        </is>
      </c>
      <c r="H110" s="105" t="inlineStr">
        <is>
          <t>United States</t>
        </is>
      </c>
      <c r="I110" s="105" t="inlineStr">
        <is>
          <t>USD</t>
        </is>
      </c>
      <c r="J110" s="106" t="n">
        <v>468</v>
      </c>
      <c r="K110" s="107" t="n">
        <v>55199</v>
      </c>
      <c r="L110" s="108" t="n">
        <v>20903000</v>
      </c>
      <c r="M110" s="109" t="n">
        <v>12203870</v>
      </c>
      <c r="N110" s="109" t="n">
        <v>16925675</v>
      </c>
      <c r="O110" s="110">
        <f>IF(M110=0,0,N110/M110)</f>
        <v/>
      </c>
      <c r="P110" s="111">
        <f>N110-M110</f>
        <v/>
      </c>
    </row>
    <row r="111">
      <c r="B111" s="97" t="n">
        <v>101</v>
      </c>
      <c r="C111" s="98" t="inlineStr">
        <is>
          <t>(AIV) Aggregator I L.P.</t>
        </is>
      </c>
      <c r="D111" s="98" t="inlineStr">
        <is>
          <t>UBS Commercial Mortgage Trust 2018-C8</t>
        </is>
      </c>
      <c r="E111" s="98" t="inlineStr">
        <is>
          <t>UBSCM 2018-C8I FRR</t>
        </is>
      </c>
      <c r="F111" s="99" t="inlineStr">
        <is>
          <t>CMBS</t>
        </is>
      </c>
      <c r="G111" s="99" t="inlineStr">
        <is>
          <t>Specialized Finance</t>
        </is>
      </c>
      <c r="H111" s="99" t="inlineStr">
        <is>
          <t>United States</t>
        </is>
      </c>
      <c r="I111" s="99" t="inlineStr">
        <is>
          <t>USD</t>
        </is>
      </c>
      <c r="J111" s="100" t="n">
        <v>468</v>
      </c>
      <c r="K111" s="101" t="n">
        <v>55199</v>
      </c>
      <c r="L111" s="102" t="n">
        <v>14371000</v>
      </c>
      <c r="M111" s="92" t="n">
        <v>6210898</v>
      </c>
      <c r="N111" s="92" t="n">
        <v>1327370</v>
      </c>
      <c r="O111" s="91">
        <f>IF(M111=0,0,N111/M111)</f>
        <v/>
      </c>
      <c r="P111" s="90">
        <f>N111-M111</f>
        <v/>
      </c>
    </row>
    <row r="112">
      <c r="B112" s="103" t="n">
        <v>102</v>
      </c>
      <c r="C112" s="104" t="inlineStr">
        <is>
          <t>(AIV) Aggregator I L.P.</t>
        </is>
      </c>
      <c r="D112" s="104" t="inlineStr">
        <is>
          <t>UBS Commercial Mortgage Trust 2018-C8</t>
        </is>
      </c>
      <c r="E112" s="104" t="inlineStr">
        <is>
          <t>UBSCM 2018-C8I NRRR</t>
        </is>
      </c>
      <c r="F112" s="105" t="inlineStr">
        <is>
          <t>CMBS</t>
        </is>
      </c>
      <c r="G112" s="105" t="inlineStr">
        <is>
          <t>Specialized Finance</t>
        </is>
      </c>
      <c r="H112" s="105" t="inlineStr">
        <is>
          <t>United States</t>
        </is>
      </c>
      <c r="I112" s="105" t="inlineStr">
        <is>
          <t>USD</t>
        </is>
      </c>
      <c r="J112" s="106" t="n">
        <v>468</v>
      </c>
      <c r="K112" s="107" t="n">
        <v>55199</v>
      </c>
      <c r="L112" s="108" t="n">
        <v>39747322</v>
      </c>
      <c r="M112" s="109" t="n">
        <v>12838577</v>
      </c>
      <c r="N112" s="109" t="n">
        <v>1348678</v>
      </c>
      <c r="O112" s="110">
        <f>IF(M112=0,0,N112/M112)</f>
        <v/>
      </c>
      <c r="P112" s="111">
        <f>N112-M112</f>
        <v/>
      </c>
    </row>
    <row r="113">
      <c r="B113" s="97" t="n">
        <v>103</v>
      </c>
      <c r="C113" s="98" t="inlineStr">
        <is>
          <t>(AIV) Aggregator I L.P.</t>
        </is>
      </c>
      <c r="D113" s="98" t="inlineStr">
        <is>
          <t>UBS Commercial Mortgage Trust 2019-C16</t>
        </is>
      </c>
      <c r="E113" s="98" t="inlineStr">
        <is>
          <t>UBSCM 2019-C16 NRRR</t>
        </is>
      </c>
      <c r="F113" s="99" t="inlineStr">
        <is>
          <t>CMBS</t>
        </is>
      </c>
      <c r="G113" s="99" t="inlineStr">
        <is>
          <t>Specialized Finance</t>
        </is>
      </c>
      <c r="H113" s="99" t="inlineStr">
        <is>
          <t>United States</t>
        </is>
      </c>
      <c r="I113" s="99" t="inlineStr">
        <is>
          <t>USD</t>
        </is>
      </c>
      <c r="J113" s="100" t="n">
        <v>501</v>
      </c>
      <c r="K113" s="101" t="n">
        <v>55624</v>
      </c>
      <c r="L113" s="102" t="n">
        <v>19449593</v>
      </c>
      <c r="M113" s="92" t="n">
        <v>6471855</v>
      </c>
      <c r="N113" s="92" t="n">
        <v>881022</v>
      </c>
      <c r="O113" s="91">
        <f>IF(M113=0,0,N113/M113)</f>
        <v/>
      </c>
      <c r="P113" s="90">
        <f>N113-M113</f>
        <v/>
      </c>
    </row>
    <row r="114">
      <c r="B114" s="103" t="n">
        <v>104</v>
      </c>
      <c r="C114" s="104" t="inlineStr">
        <is>
          <t>(AIV) Aggregator I L.P.</t>
        </is>
      </c>
      <c r="D114" s="104" t="inlineStr">
        <is>
          <t>UBS Commercial Mortgage Trust 2019-C16</t>
        </is>
      </c>
      <c r="E114" s="104" t="inlineStr">
        <is>
          <t>UBSCM 2019-C16 HRR</t>
        </is>
      </c>
      <c r="F114" s="105" t="inlineStr">
        <is>
          <t>CMBS</t>
        </is>
      </c>
      <c r="G114" s="105" t="inlineStr">
        <is>
          <t>Specialized Finance</t>
        </is>
      </c>
      <c r="H114" s="105" t="inlineStr">
        <is>
          <t>United States</t>
        </is>
      </c>
      <c r="I114" s="105" t="inlineStr">
        <is>
          <t>USD</t>
        </is>
      </c>
      <c r="J114" s="106" t="n">
        <v>501</v>
      </c>
      <c r="K114" s="107" t="n">
        <v>55624</v>
      </c>
      <c r="L114" s="108" t="n">
        <v>6827000</v>
      </c>
      <c r="M114" s="109" t="n">
        <v>2860212</v>
      </c>
      <c r="N114" s="109" t="n">
        <v>4628745</v>
      </c>
      <c r="O114" s="110">
        <f>IF(M114=0,0,N114/M114)</f>
        <v/>
      </c>
      <c r="P114" s="111">
        <f>N114-M114</f>
        <v/>
      </c>
    </row>
    <row r="115">
      <c r="B115" s="97" t="n">
        <v>105</v>
      </c>
      <c r="C115" s="98" t="inlineStr">
        <is>
          <t>(AIV) Aggregator I L.P.</t>
        </is>
      </c>
      <c r="D115" s="98" t="inlineStr">
        <is>
          <t>UBS Commercial Mortgage Trust 2019-C16</t>
        </is>
      </c>
      <c r="E115" s="98" t="inlineStr">
        <is>
          <t>UBSCM 2019-C16 GRR</t>
        </is>
      </c>
      <c r="F115" s="99" t="inlineStr">
        <is>
          <t>CMBS</t>
        </is>
      </c>
      <c r="G115" s="99" t="inlineStr">
        <is>
          <t>Specialized Finance</t>
        </is>
      </c>
      <c r="H115" s="99" t="inlineStr">
        <is>
          <t>United States</t>
        </is>
      </c>
      <c r="I115" s="99" t="inlineStr">
        <is>
          <t>USD</t>
        </is>
      </c>
      <c r="J115" s="100" t="n">
        <v>501</v>
      </c>
      <c r="K115" s="101" t="n">
        <v>55624</v>
      </c>
      <c r="L115" s="102" t="n">
        <v>8533000</v>
      </c>
      <c r="M115" s="92" t="n">
        <v>5192643</v>
      </c>
      <c r="N115" s="92" t="n">
        <v>6835716</v>
      </c>
      <c r="O115" s="91">
        <f>IF(M115=0,0,N115/M115)</f>
        <v/>
      </c>
      <c r="P115" s="90">
        <f>N115-M115</f>
        <v/>
      </c>
    </row>
    <row r="116">
      <c r="B116" s="103" t="n">
        <v>106</v>
      </c>
      <c r="C116" s="104" t="inlineStr">
        <is>
          <t>(AIV) Aggregator I L.P.</t>
        </is>
      </c>
      <c r="D116" s="104" t="inlineStr">
        <is>
          <t>UBS Commercial Mortgage Trust 2019-C16</t>
        </is>
      </c>
      <c r="E116" s="104" t="inlineStr">
        <is>
          <t>UBSCM 2019-C16 FRR</t>
        </is>
      </c>
      <c r="F116" s="105" t="inlineStr">
        <is>
          <t>CMBS</t>
        </is>
      </c>
      <c r="G116" s="105" t="inlineStr">
        <is>
          <t>Specialized Finance</t>
        </is>
      </c>
      <c r="H116" s="105" t="inlineStr">
        <is>
          <t>United States</t>
        </is>
      </c>
      <c r="I116" s="105" t="inlineStr">
        <is>
          <t>USD</t>
        </is>
      </c>
      <c r="J116" s="106" t="n">
        <v>501</v>
      </c>
      <c r="K116" s="107" t="n">
        <v>55624</v>
      </c>
      <c r="L116" s="108" t="n">
        <v>6827000</v>
      </c>
      <c r="M116" s="109" t="n">
        <v>4345620</v>
      </c>
      <c r="N116" s="109" t="n">
        <v>5566187</v>
      </c>
      <c r="O116" s="110">
        <f>IF(M116=0,0,N116/M116)</f>
        <v/>
      </c>
      <c r="P116" s="111">
        <f>N116-M116</f>
        <v/>
      </c>
    </row>
    <row r="117">
      <c r="B117" s="97" t="n">
        <v>107</v>
      </c>
      <c r="C117" s="98" t="inlineStr">
        <is>
          <t>(AIV) Aggregator I L.P.</t>
        </is>
      </c>
      <c r="D117" s="98" t="inlineStr">
        <is>
          <t>UBS Commercial Mortgage Trust 2019-C16</t>
        </is>
      </c>
      <c r="E117" s="98" t="inlineStr">
        <is>
          <t>UBSCM 2019-C16 ERR</t>
        </is>
      </c>
      <c r="F117" s="99" t="inlineStr">
        <is>
          <t>CMBS</t>
        </is>
      </c>
      <c r="G117" s="99" t="inlineStr">
        <is>
          <t>Specialized Finance</t>
        </is>
      </c>
      <c r="H117" s="99" t="inlineStr">
        <is>
          <t>United States</t>
        </is>
      </c>
      <c r="I117" s="99" t="inlineStr">
        <is>
          <t>USD</t>
        </is>
      </c>
      <c r="J117" s="100" t="n">
        <v>501</v>
      </c>
      <c r="K117" s="101" t="n">
        <v>55624</v>
      </c>
      <c r="L117" s="102" t="n">
        <v>10240000</v>
      </c>
      <c r="M117" s="92" t="n">
        <v>7368897</v>
      </c>
      <c r="N117" s="92" t="n">
        <v>8819805</v>
      </c>
      <c r="O117" s="91">
        <f>IF(M117=0,0,N117/M117)</f>
        <v/>
      </c>
      <c r="P117" s="90">
        <f>N117-M117</f>
        <v/>
      </c>
    </row>
    <row r="118">
      <c r="B118" s="103" t="n">
        <v>108</v>
      </c>
      <c r="C118" s="104" t="inlineStr">
        <is>
          <t>(AIV) Aggregator I L.P.</t>
        </is>
      </c>
      <c r="D118" s="104" t="inlineStr">
        <is>
          <t>UBS Commercial Mortgage Trust 2019-C16</t>
        </is>
      </c>
      <c r="E118" s="104" t="inlineStr">
        <is>
          <t>UBSCM 2019-C16 DRR</t>
        </is>
      </c>
      <c r="F118" s="105" t="inlineStr">
        <is>
          <t>CMBS</t>
        </is>
      </c>
      <c r="G118" s="105" t="inlineStr">
        <is>
          <t>Specialized Finance</t>
        </is>
      </c>
      <c r="H118" s="105" t="inlineStr">
        <is>
          <t>United States</t>
        </is>
      </c>
      <c r="I118" s="105" t="inlineStr">
        <is>
          <t>USD</t>
        </is>
      </c>
      <c r="J118" s="106" t="n">
        <v>501</v>
      </c>
      <c r="K118" s="107" t="n">
        <v>55624</v>
      </c>
      <c r="L118" s="108" t="n">
        <v>13695000</v>
      </c>
      <c r="M118" s="109" t="n">
        <v>10399660</v>
      </c>
      <c r="N118" s="109" t="n">
        <v>12110704</v>
      </c>
      <c r="O118" s="110">
        <f>IF(M118=0,0,N118/M118)</f>
        <v/>
      </c>
      <c r="P118" s="111">
        <f>N118-M118</f>
        <v/>
      </c>
    </row>
    <row r="119">
      <c r="B119" s="97" t="n">
        <v>109</v>
      </c>
      <c r="C119" s="98" t="inlineStr">
        <is>
          <t>(AIV) Aggregator I L.P.</t>
        </is>
      </c>
      <c r="D119" s="98" t="inlineStr">
        <is>
          <t>Wells Fargo Commercial Mortgage Trust 2018-C47</t>
        </is>
      </c>
      <c r="E119" s="98" t="inlineStr">
        <is>
          <t>WFCM 2018-C47 ERR</t>
        </is>
      </c>
      <c r="F119" s="99" t="inlineStr">
        <is>
          <t>CMBS</t>
        </is>
      </c>
      <c r="G119" s="99" t="inlineStr">
        <is>
          <t>Specialized Finance</t>
        </is>
      </c>
      <c r="H119" s="99" t="inlineStr">
        <is>
          <t>United States</t>
        </is>
      </c>
      <c r="I119" s="99" t="inlineStr">
        <is>
          <t>USD</t>
        </is>
      </c>
      <c r="J119" s="100" t="n">
        <v>491</v>
      </c>
      <c r="K119" s="101" t="n">
        <v>59064</v>
      </c>
      <c r="L119" s="102" t="n">
        <v>20501000</v>
      </c>
      <c r="M119" s="92" t="n">
        <v>15806514</v>
      </c>
      <c r="N119" s="92" t="n">
        <v>18007122</v>
      </c>
      <c r="O119" s="91">
        <f>IF(M119=0,0,N119/M119)</f>
        <v/>
      </c>
      <c r="P119" s="90">
        <f>N119-M119</f>
        <v/>
      </c>
    </row>
    <row r="120">
      <c r="B120" s="103" t="n">
        <v>110</v>
      </c>
      <c r="C120" s="104" t="inlineStr">
        <is>
          <t>(AIV) Aggregator I L.P.</t>
        </is>
      </c>
      <c r="D120" s="104" t="inlineStr">
        <is>
          <t>Wells Fargo Commercial Mortgage Trust 2018-C47</t>
        </is>
      </c>
      <c r="E120" s="104" t="inlineStr">
        <is>
          <t>WFCM 2018-C47 FRR</t>
        </is>
      </c>
      <c r="F120" s="105" t="inlineStr">
        <is>
          <t>CMBS</t>
        </is>
      </c>
      <c r="G120" s="105" t="inlineStr">
        <is>
          <t>Specialized Finance</t>
        </is>
      </c>
      <c r="H120" s="105" t="inlineStr">
        <is>
          <t>United States</t>
        </is>
      </c>
      <c r="I120" s="105" t="inlineStr">
        <is>
          <t>USD</t>
        </is>
      </c>
      <c r="J120" s="106" t="n">
        <v>491</v>
      </c>
      <c r="K120" s="107" t="n">
        <v>59064</v>
      </c>
      <c r="L120" s="108" t="n">
        <v>13084000</v>
      </c>
      <c r="M120" s="109" t="n">
        <v>8655398</v>
      </c>
      <c r="N120" s="109" t="n">
        <v>10977441</v>
      </c>
      <c r="O120" s="110">
        <f>IF(M120=0,0,N120/M120)</f>
        <v/>
      </c>
      <c r="P120" s="111">
        <f>N120-M120</f>
        <v/>
      </c>
    </row>
    <row r="121">
      <c r="B121" s="97" t="n">
        <v>111</v>
      </c>
      <c r="C121" s="98" t="inlineStr">
        <is>
          <t>(AIV) Aggregator I L.P.</t>
        </is>
      </c>
      <c r="D121" s="98" t="inlineStr">
        <is>
          <t>Wells Fargo Commercial Mortgage Trust 2018-C47</t>
        </is>
      </c>
      <c r="E121" s="98" t="inlineStr">
        <is>
          <t>WFCM 2018-C47 GRR</t>
        </is>
      </c>
      <c r="F121" s="99" t="inlineStr">
        <is>
          <t>CMBS</t>
        </is>
      </c>
      <c r="G121" s="99" t="inlineStr">
        <is>
          <t>Specialized Finance</t>
        </is>
      </c>
      <c r="H121" s="99" t="inlineStr">
        <is>
          <t>United States</t>
        </is>
      </c>
      <c r="I121" s="99" t="inlineStr">
        <is>
          <t>USD</t>
        </is>
      </c>
      <c r="J121" s="100" t="n">
        <v>491</v>
      </c>
      <c r="K121" s="101" t="n">
        <v>59064</v>
      </c>
      <c r="L121" s="102" t="n">
        <v>10705000</v>
      </c>
      <c r="M121" s="92" t="n">
        <v>6651343</v>
      </c>
      <c r="N121" s="92" t="n">
        <v>8846374</v>
      </c>
      <c r="O121" s="91">
        <f>IF(M121=0,0,N121/M121)</f>
        <v/>
      </c>
      <c r="P121" s="90">
        <f>N121-M121</f>
        <v/>
      </c>
    </row>
    <row r="122">
      <c r="B122" s="103" t="n">
        <v>112</v>
      </c>
      <c r="C122" s="104" t="inlineStr">
        <is>
          <t>(AIV) Aggregator I L.P.</t>
        </is>
      </c>
      <c r="D122" s="104" t="inlineStr">
        <is>
          <t>Wells Fargo Commercial Mortgage Trust 2018-C47</t>
        </is>
      </c>
      <c r="E122" s="104" t="inlineStr">
        <is>
          <t>WFCM 2018-C47 HRR</t>
        </is>
      </c>
      <c r="F122" s="105" t="inlineStr">
        <is>
          <t>CMBS</t>
        </is>
      </c>
      <c r="G122" s="105" t="inlineStr">
        <is>
          <t>Specialized Finance</t>
        </is>
      </c>
      <c r="H122" s="105" t="inlineStr">
        <is>
          <t>United States</t>
        </is>
      </c>
      <c r="I122" s="105" t="inlineStr">
        <is>
          <t>USD</t>
        </is>
      </c>
      <c r="J122" s="106" t="n">
        <v>491</v>
      </c>
      <c r="K122" s="107" t="n">
        <v>59064</v>
      </c>
      <c r="L122" s="108" t="n">
        <v>9515000</v>
      </c>
      <c r="M122" s="109" t="n">
        <v>4333620</v>
      </c>
      <c r="N122" s="109" t="n">
        <v>7281478</v>
      </c>
      <c r="O122" s="110">
        <f>IF(M122=0,0,N122/M122)</f>
        <v/>
      </c>
      <c r="P122" s="111">
        <f>N122-M122</f>
        <v/>
      </c>
    </row>
    <row r="123">
      <c r="B123" s="97" t="n">
        <v>113</v>
      </c>
      <c r="C123" s="98" t="inlineStr">
        <is>
          <t>(AIV) Aggregator I L.P.</t>
        </is>
      </c>
      <c r="D123" s="98" t="inlineStr">
        <is>
          <t>Wells Fargo Commercial Mortgage Trust 2018-C47</t>
        </is>
      </c>
      <c r="E123" s="98" t="inlineStr">
        <is>
          <t>WFCM 2018-C47 JRR</t>
        </is>
      </c>
      <c r="F123" s="99" t="inlineStr">
        <is>
          <t>CMBS</t>
        </is>
      </c>
      <c r="G123" s="99" t="inlineStr">
        <is>
          <t>Specialized Finance</t>
        </is>
      </c>
      <c r="H123" s="99" t="inlineStr">
        <is>
          <t>United States</t>
        </is>
      </c>
      <c r="I123" s="99" t="inlineStr">
        <is>
          <t>USD</t>
        </is>
      </c>
      <c r="J123" s="100" t="n">
        <v>491</v>
      </c>
      <c r="K123" s="101" t="n">
        <v>59064</v>
      </c>
      <c r="L123" s="102" t="n">
        <v>37538221</v>
      </c>
      <c r="M123" s="92" t="n">
        <v>13207668</v>
      </c>
      <c r="N123" s="92" t="n">
        <v>7143081</v>
      </c>
      <c r="O123" s="91">
        <f>IF(M123=0,0,N123/M123)</f>
        <v/>
      </c>
      <c r="P123" s="90">
        <f>N123-M123</f>
        <v/>
      </c>
    </row>
    <row r="124">
      <c r="B124" s="103" t="n">
        <v>114</v>
      </c>
      <c r="C124" s="104" t="inlineStr">
        <is>
          <t>(AIV) Aggregator I L.P.</t>
        </is>
      </c>
      <c r="D124" s="104" t="inlineStr">
        <is>
          <t>Wells Fargo Commercial Mortgage Trust 2019-C49</t>
        </is>
      </c>
      <c r="E124" s="104" t="inlineStr">
        <is>
          <t>WFCM 2019-C49 ERR</t>
        </is>
      </c>
      <c r="F124" s="105" t="inlineStr">
        <is>
          <t>CMBS</t>
        </is>
      </c>
      <c r="G124" s="105" t="inlineStr">
        <is>
          <t>Specialized Finance</t>
        </is>
      </c>
      <c r="H124" s="105" t="inlineStr">
        <is>
          <t>United States</t>
        </is>
      </c>
      <c r="I124" s="105" t="inlineStr">
        <is>
          <t>USD</t>
        </is>
      </c>
      <c r="J124" s="106" t="n">
        <v>513</v>
      </c>
      <c r="K124" s="107" t="n">
        <v>55593</v>
      </c>
      <c r="L124" s="108" t="n">
        <v>18504000</v>
      </c>
      <c r="M124" s="109" t="n">
        <v>13463701</v>
      </c>
      <c r="N124" s="109" t="n">
        <v>15712305</v>
      </c>
      <c r="O124" s="110">
        <f>IF(M124=0,0,N124/M124)</f>
        <v/>
      </c>
      <c r="P124" s="111">
        <f>N124-M124</f>
        <v/>
      </c>
    </row>
    <row r="125">
      <c r="B125" s="97" t="n">
        <v>115</v>
      </c>
      <c r="C125" s="98" t="inlineStr">
        <is>
          <t>(AIV) Aggregator I L.P.</t>
        </is>
      </c>
      <c r="D125" s="98" t="inlineStr">
        <is>
          <t>Wells Fargo Commercial Mortgage Trust 2019-C49</t>
        </is>
      </c>
      <c r="E125" s="98" t="inlineStr">
        <is>
          <t>WFCM 2019-C49 FRR</t>
        </is>
      </c>
      <c r="F125" s="99" t="inlineStr">
        <is>
          <t>CMBS</t>
        </is>
      </c>
      <c r="G125" s="99" t="inlineStr">
        <is>
          <t>Specialized Finance</t>
        </is>
      </c>
      <c r="H125" s="99" t="inlineStr">
        <is>
          <t>United States</t>
        </is>
      </c>
      <c r="I125" s="99" t="inlineStr">
        <is>
          <t>USD</t>
        </is>
      </c>
      <c r="J125" s="100" t="n">
        <v>513</v>
      </c>
      <c r="K125" s="101" t="n">
        <v>55593</v>
      </c>
      <c r="L125" s="102" t="n">
        <v>10646000</v>
      </c>
      <c r="M125" s="92" t="n">
        <v>6741626</v>
      </c>
      <c r="N125" s="92" t="n">
        <v>8595253</v>
      </c>
      <c r="O125" s="91">
        <f>IF(M125=0,0,N125/M125)</f>
        <v/>
      </c>
      <c r="P125" s="90">
        <f>N125-M125</f>
        <v/>
      </c>
    </row>
    <row r="126">
      <c r="B126" s="103" t="n">
        <v>116</v>
      </c>
      <c r="C126" s="104" t="inlineStr">
        <is>
          <t>(AIV) Aggregator I L.P.</t>
        </is>
      </c>
      <c r="D126" s="104" t="inlineStr">
        <is>
          <t>Wells Fargo Commercial Mortgage Trust 2019-C49</t>
        </is>
      </c>
      <c r="E126" s="104" t="inlineStr">
        <is>
          <t>WFCM 2019-C49 GRR</t>
        </is>
      </c>
      <c r="F126" s="105" t="inlineStr">
        <is>
          <t>CMBS</t>
        </is>
      </c>
      <c r="G126" s="105" t="inlineStr">
        <is>
          <t>Specialized Finance</t>
        </is>
      </c>
      <c r="H126" s="105" t="inlineStr">
        <is>
          <t>United States</t>
        </is>
      </c>
      <c r="I126" s="105" t="inlineStr">
        <is>
          <t>USD</t>
        </is>
      </c>
      <c r="J126" s="106" t="n">
        <v>513</v>
      </c>
      <c r="K126" s="107" t="n">
        <v>55593</v>
      </c>
      <c r="L126" s="108" t="n">
        <v>9677000</v>
      </c>
      <c r="M126" s="109" t="n">
        <v>5567491</v>
      </c>
      <c r="N126" s="109" t="n">
        <v>7680856</v>
      </c>
      <c r="O126" s="110">
        <f>IF(M126=0,0,N126/M126)</f>
        <v/>
      </c>
      <c r="P126" s="111">
        <f>N126-M126</f>
        <v/>
      </c>
    </row>
    <row r="127">
      <c r="B127" s="97" t="n">
        <v>117</v>
      </c>
      <c r="C127" s="98" t="inlineStr">
        <is>
          <t>(AIV) Aggregator I L.P.</t>
        </is>
      </c>
      <c r="D127" s="98" t="inlineStr">
        <is>
          <t>Wells Fargo Commercial Mortgage Trust 2019-C49</t>
        </is>
      </c>
      <c r="E127" s="98" t="inlineStr">
        <is>
          <t>WFCM 2019-C49 HRR</t>
        </is>
      </c>
      <c r="F127" s="99" t="inlineStr">
        <is>
          <t>CMBS</t>
        </is>
      </c>
      <c r="G127" s="99" t="inlineStr">
        <is>
          <t>Specialized Finance</t>
        </is>
      </c>
      <c r="H127" s="99" t="inlineStr">
        <is>
          <t>United States</t>
        </is>
      </c>
      <c r="I127" s="99" t="inlineStr">
        <is>
          <t>USD</t>
        </is>
      </c>
      <c r="J127" s="100" t="n">
        <v>513</v>
      </c>
      <c r="K127" s="101" t="n">
        <v>55593</v>
      </c>
      <c r="L127" s="102" t="n">
        <v>8711000</v>
      </c>
      <c r="M127" s="92" t="n">
        <v>3929620</v>
      </c>
      <c r="N127" s="92" t="n">
        <v>6349110</v>
      </c>
      <c r="O127" s="91">
        <f>IF(M127=0,0,N127/M127)</f>
        <v/>
      </c>
      <c r="P127" s="90">
        <f>N127-M127</f>
        <v/>
      </c>
    </row>
    <row r="128">
      <c r="B128" s="103" t="n">
        <v>118</v>
      </c>
      <c r="C128" s="104" t="inlineStr">
        <is>
          <t>(AIV) Aggregator I L.P.</t>
        </is>
      </c>
      <c r="D128" s="104" t="inlineStr">
        <is>
          <t>Wells Fargo Commercial Mortgage Trust 2019-C49</t>
        </is>
      </c>
      <c r="E128" s="104" t="inlineStr">
        <is>
          <t>WFCM 2019-C49 JRR</t>
        </is>
      </c>
      <c r="F128" s="105" t="inlineStr">
        <is>
          <t>CMBS</t>
        </is>
      </c>
      <c r="G128" s="105" t="inlineStr">
        <is>
          <t>Specialized Finance</t>
        </is>
      </c>
      <c r="H128" s="105" t="inlineStr">
        <is>
          <t>United States</t>
        </is>
      </c>
      <c r="I128" s="105" t="inlineStr">
        <is>
          <t>USD</t>
        </is>
      </c>
      <c r="J128" s="106" t="n">
        <v>513</v>
      </c>
      <c r="K128" s="107" t="n">
        <v>55593</v>
      </c>
      <c r="L128" s="108" t="n">
        <v>8710000</v>
      </c>
      <c r="M128" s="109" t="n">
        <v>3131187</v>
      </c>
      <c r="N128" s="109" t="n">
        <v>3701812</v>
      </c>
      <c r="O128" s="110">
        <f>IF(M128=0,0,N128/M128)</f>
        <v/>
      </c>
      <c r="P128" s="111">
        <f>N128-M128</f>
        <v/>
      </c>
    </row>
    <row r="129">
      <c r="B129" s="97" t="n">
        <v>119</v>
      </c>
      <c r="C129" s="98" t="inlineStr">
        <is>
          <t>(AIV) Aggregator I L.P.</t>
        </is>
      </c>
      <c r="D129" s="98" t="inlineStr">
        <is>
          <t>Wells Fargo Commercial Mortgage Trust 2019-C49</t>
        </is>
      </c>
      <c r="E129" s="98" t="inlineStr">
        <is>
          <t>WFCM 2019-C49 KRR</t>
        </is>
      </c>
      <c r="F129" s="99" t="inlineStr">
        <is>
          <t>CMBS</t>
        </is>
      </c>
      <c r="G129" s="99" t="inlineStr">
        <is>
          <t>Specialized Finance</t>
        </is>
      </c>
      <c r="H129" s="99" t="inlineStr">
        <is>
          <t>United States</t>
        </is>
      </c>
      <c r="I129" s="99" t="inlineStr">
        <is>
          <t>USD</t>
        </is>
      </c>
      <c r="J129" s="100" t="n">
        <v>513</v>
      </c>
      <c r="K129" s="101" t="n">
        <v>55593</v>
      </c>
      <c r="L129" s="102" t="n">
        <v>15860738</v>
      </c>
      <c r="M129" s="92" t="n">
        <v>7696579</v>
      </c>
      <c r="N129" s="92" t="n">
        <v>845588</v>
      </c>
      <c r="O129" s="91">
        <f>IF(M129=0,0,N129/M129)</f>
        <v/>
      </c>
      <c r="P129" s="90">
        <f>N129-M129</f>
        <v/>
      </c>
    </row>
    <row r="130">
      <c r="B130" s="112" t="n"/>
      <c r="C130" s="112" t="n"/>
      <c r="D130" s="113" t="inlineStr">
        <is>
          <t>Total Investments</t>
        </is>
      </c>
      <c r="E130" s="112" t="n"/>
      <c r="F130" s="112" t="n"/>
      <c r="G130" s="112" t="n"/>
      <c r="H130" s="112" t="n"/>
      <c r="I130" s="112" t="inlineStr">
        <is>
          <t>Wtd. Avg.</t>
        </is>
      </c>
      <c r="J130" s="114">
        <f>SUMPRODUCT(J11:J129,M11:M129)/M130</f>
        <v/>
      </c>
      <c r="K130" s="112" t="n"/>
      <c r="L130" s="115">
        <f>SUM(L11:L129)</f>
        <v/>
      </c>
      <c r="M130" s="116">
        <f>SUM(M11:M129)</f>
        <v/>
      </c>
      <c r="N130" s="116">
        <f>SUM(N11:N129)</f>
        <v/>
      </c>
      <c r="O130" s="117">
        <f>IF(M130=0,0,N130/M130)</f>
        <v/>
      </c>
      <c r="P130" s="116">
        <f>N130-M130</f>
        <v/>
      </c>
    </row>
    <row r="131"/>
    <row r="132">
      <c r="B132" s="118" t="inlineStr">
        <is>
          <t>Source: KKR Real Estate Credit Opportunity Partners Aggregator I L.P. and Affiliated Alternative Vehicles, 2026 Q2 Unaudited Financial Statements, Combined Schedule of Investments, pp. 11 to 12.</t>
        </is>
      </c>
    </row>
    <row r="133">
      <c r="B133" s="118" t="inlineStr">
        <is>
          <t>Blue font denotes values hardcoded from the financial statements, green font denotes links, and black font denotes formulas. Coupon shown as stated in the schedule (bps); Wtd. Avg. coupon is weighted by book value.</t>
        </is>
      </c>
    </row>
    <row r="134">
      <c r="B134" s="118" t="inlineStr">
        <is>
          <t>Industry for UBSCM 2018-C15 NRRR and WFCM 2018-C43I E / F is shown as displayed on the page; the PDF text layer carries additional clipped "Real Estate" text for those cells.</t>
        </is>
      </c>
    </row>
    <row r="135">
      <c r="B135" s="118" t="inlineStr">
        <is>
          <t>LCCM 2017-LC26 G is classified as "Other" in the schedule and carries a fair value of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N61"/>
  <sheetViews>
    <sheetView showGridLines="0" zoomScale="85" workbookViewId="0">
      <selection activeCell="A1" sqref="A1"/>
    </sheetView>
  </sheetViews>
  <sheetFormatPr baseColWidth="8" defaultRowHeight="15"/>
  <cols>
    <col width="2.8" customWidth="1" min="1" max="1"/>
    <col width="24" customWidth="1" min="2" max="2"/>
    <col width="24" customWidth="1" min="3" max="3"/>
    <col width="3" customWidth="1" min="4" max="4"/>
    <col width="30" customWidth="1" min="5" max="5"/>
    <col width="3" customWidth="1" min="6" max="6"/>
    <col width="26" customWidth="1" min="7" max="7"/>
    <col width="3" customWidth="1" min="8" max="8"/>
    <col width="12" customWidth="1" min="9" max="9"/>
    <col width="16" customWidth="1" min="10" max="10"/>
    <col width="16" customWidth="1" min="11" max="11"/>
    <col width="3" customWidth="1" min="12" max="12"/>
    <col width="30" customWidth="1" min="13" max="13"/>
    <col width="14" customWidth="1" min="14" max="14"/>
  </cols>
  <sheetData>
    <row r="2" ht="18.5" customHeight="1">
      <c r="B2" s="1" t="inlineStr">
        <is>
          <t>MAPPINGS, DROPDOWN LISTS AND STRAT HELPERS</t>
        </is>
      </c>
      <c r="C2" s="1" t="n"/>
      <c r="D2" s="1" t="n"/>
      <c r="E2" s="1" t="n"/>
      <c r="F2" s="1" t="n"/>
      <c r="G2" s="1" t="n"/>
      <c r="H2" s="1" t="n"/>
      <c r="I2" s="1" t="n"/>
      <c r="J2" s="1" t="n"/>
      <c r="K2" s="1" t="n"/>
      <c r="L2" s="1" t="n"/>
      <c r="M2" s="1" t="n"/>
      <c r="N2" s="1" t="n"/>
    </row>
    <row r="3">
      <c r="B3" s="14" t="inlineStr">
        <is>
          <t>Blue font denotes hardcoded inputs, green font denotes links to other tabs and black font denotes formulas.</t>
        </is>
      </c>
    </row>
    <row r="5" ht="15" customHeight="1">
      <c r="B5" s="2" t="inlineStr">
        <is>
          <t>PROPERTY TYPE MAP</t>
        </is>
      </c>
      <c r="C5" s="3" t="n"/>
      <c r="E5" s="2" t="inlineStr">
        <is>
          <t>REGION LIST</t>
        </is>
      </c>
      <c r="G5" s="2" t="inlineStr">
        <is>
          <t>DROPDOWN LISTS</t>
        </is>
      </c>
      <c r="I5" s="2" t="inlineStr">
        <is>
          <t>PRIMARY STATE RANKING (FILTERED)</t>
        </is>
      </c>
      <c r="J5" s="3" t="n"/>
      <c r="K5" s="3" t="n"/>
      <c r="M5" s="2" t="inlineStr">
        <is>
          <t>OTHER ASSUMPTIONS</t>
        </is>
      </c>
      <c r="N5" s="3" t="n"/>
    </row>
    <row r="6" ht="27" customHeight="1">
      <c r="B6" s="15" t="inlineStr">
        <is>
          <t>Intex Code (First 2 Chars.)</t>
        </is>
      </c>
      <c r="C6" s="16" t="inlineStr">
        <is>
          <t>Property Type Group</t>
        </is>
      </c>
      <c r="E6" s="15" t="inlineStr">
        <is>
          <t>Intex Region</t>
        </is>
      </c>
      <c r="G6" s="15" t="inlineStr">
        <is>
          <t>Deal Filter</t>
        </is>
      </c>
      <c r="I6" s="15" t="inlineStr">
        <is>
          <t>State</t>
        </is>
      </c>
      <c r="J6" s="16" t="inlineStr">
        <is>
          <t>Filtered UPB</t>
        </is>
      </c>
      <c r="K6" s="16" t="inlineStr">
        <is>
          <t>Rank Key</t>
        </is>
      </c>
      <c r="M6" s="15" t="inlineStr">
        <is>
          <t>Assumption</t>
        </is>
      </c>
      <c r="N6" s="16" t="inlineStr">
        <is>
          <t>Value</t>
        </is>
      </c>
    </row>
    <row r="7">
      <c r="B7" s="59" t="inlineStr">
        <is>
          <t>RT</t>
        </is>
      </c>
      <c r="C7" s="59" t="inlineStr">
        <is>
          <t>Retail</t>
        </is>
      </c>
      <c r="E7" s="59" t="inlineStr">
        <is>
          <t>Northeast / Mid-Atlantic</t>
        </is>
      </c>
      <c r="G7" s="59" t="inlineStr">
        <is>
          <t>All Deals</t>
        </is>
      </c>
      <c r="I7" s="119" t="inlineStr">
        <is>
          <t>AK</t>
        </is>
      </c>
      <c r="J7" s="21">
        <f>SUMIFS(tUPBf,tState,I7)</f>
        <v/>
      </c>
      <c r="K7" s="120">
        <f>IF(J7&gt;0,J7+(1000-ROW())/1000000,0)</f>
        <v/>
      </c>
      <c r="M7" s="18" t="inlineStr">
        <is>
          <t>Near-Term Maturity Window (Mo.)</t>
        </is>
      </c>
      <c r="N7" s="54" t="n">
        <v>12</v>
      </c>
    </row>
    <row r="8">
      <c r="B8" s="59" t="inlineStr">
        <is>
          <t>OF</t>
        </is>
      </c>
      <c r="C8" s="59" t="inlineStr">
        <is>
          <t>Office</t>
        </is>
      </c>
      <c r="E8" s="59" t="inlineStr">
        <is>
          <t>Northeast / New England</t>
        </is>
      </c>
      <c r="G8" s="46">
        <f>'Deal Map'!C8</f>
        <v/>
      </c>
      <c r="I8" s="119" t="inlineStr">
        <is>
          <t>AL</t>
        </is>
      </c>
      <c r="J8" s="21">
        <f>SUMIFS(tUPBf,tState,I8)</f>
        <v/>
      </c>
      <c r="K8" s="120">
        <f>IF(J8&gt;0,J8+(1000-ROW())/1000000,0)</f>
        <v/>
      </c>
      <c r="M8" s="18" t="inlineStr">
        <is>
          <t>Rank Tie-Break Divisor</t>
        </is>
      </c>
      <c r="N8" s="54" t="n">
        <v>100000000</v>
      </c>
    </row>
    <row r="9">
      <c r="B9" s="59" t="inlineStr">
        <is>
          <t>HT</t>
        </is>
      </c>
      <c r="C9" s="59" t="inlineStr">
        <is>
          <t>Hospitality</t>
        </is>
      </c>
      <c r="E9" s="59" t="inlineStr">
        <is>
          <t>South / Atlantic</t>
        </is>
      </c>
      <c r="G9" s="46">
        <f>'Deal Map'!C9</f>
        <v/>
      </c>
      <c r="I9" s="119" t="inlineStr">
        <is>
          <t>AR</t>
        </is>
      </c>
      <c r="J9" s="21">
        <f>SUMIFS(tUPBf,tState,I9)</f>
        <v/>
      </c>
      <c r="K9" s="120">
        <f>IF(J9&gt;0,J9+(1000-ROW())/1000000,0)</f>
        <v/>
      </c>
    </row>
    <row r="10">
      <c r="B10" s="59" t="inlineStr">
        <is>
          <t>MF</t>
        </is>
      </c>
      <c r="C10" s="59" t="inlineStr">
        <is>
          <t>Multifamily</t>
        </is>
      </c>
      <c r="E10" s="59" t="inlineStr">
        <is>
          <t>South / Central East</t>
        </is>
      </c>
      <c r="G10" s="46">
        <f>'Deal Map'!C10</f>
        <v/>
      </c>
      <c r="I10" s="119" t="inlineStr">
        <is>
          <t>AZ</t>
        </is>
      </c>
      <c r="J10" s="21">
        <f>SUMIFS(tUPBf,tState,I10)</f>
        <v/>
      </c>
      <c r="K10" s="120">
        <f>IF(J10&gt;0,J10+(1000-ROW())/1000000,0)</f>
        <v/>
      </c>
    </row>
    <row r="11">
      <c r="B11" s="59" t="inlineStr">
        <is>
          <t>IN</t>
        </is>
      </c>
      <c r="C11" s="59" t="inlineStr">
        <is>
          <t>Industrial</t>
        </is>
      </c>
      <c r="E11" s="59" t="inlineStr">
        <is>
          <t>South / Central West</t>
        </is>
      </c>
      <c r="G11" s="46">
        <f>'Deal Map'!C11</f>
        <v/>
      </c>
      <c r="I11" s="119" t="inlineStr">
        <is>
          <t>CA</t>
        </is>
      </c>
      <c r="J11" s="21">
        <f>SUMIFS(tUPBf,tState,I11)</f>
        <v/>
      </c>
      <c r="K11" s="120">
        <f>IF(J11&gt;0,J11+(1000-ROW())/1000000,0)</f>
        <v/>
      </c>
    </row>
    <row r="12">
      <c r="B12" s="59" t="inlineStr">
        <is>
          <t>MX</t>
        </is>
      </c>
      <c r="C12" s="59" t="inlineStr">
        <is>
          <t>Mixed Use</t>
        </is>
      </c>
      <c r="E12" s="59" t="inlineStr">
        <is>
          <t>Midwest / Central East</t>
        </is>
      </c>
      <c r="G12" s="46">
        <f>'Deal Map'!C12</f>
        <v/>
      </c>
      <c r="I12" s="119" t="inlineStr">
        <is>
          <t>CO</t>
        </is>
      </c>
      <c r="J12" s="21">
        <f>SUMIFS(tUPBf,tState,I12)</f>
        <v/>
      </c>
      <c r="K12" s="120">
        <f>IF(J12&gt;0,J12+(1000-ROW())/1000000,0)</f>
        <v/>
      </c>
    </row>
    <row r="13">
      <c r="B13" s="59" t="inlineStr">
        <is>
          <t>SS</t>
        </is>
      </c>
      <c r="C13" s="59" t="inlineStr">
        <is>
          <t>Self Storage</t>
        </is>
      </c>
      <c r="E13" s="59" t="inlineStr">
        <is>
          <t>Midwest / Central West</t>
        </is>
      </c>
      <c r="G13" s="46">
        <f>'Deal Map'!C13</f>
        <v/>
      </c>
      <c r="I13" s="119" t="inlineStr">
        <is>
          <t>CT</t>
        </is>
      </c>
      <c r="J13" s="21">
        <f>SUMIFS(tUPBf,tState,I13)</f>
        <v/>
      </c>
      <c r="K13" s="120">
        <f>IF(J13&gt;0,J13+(1000-ROW())/1000000,0)</f>
        <v/>
      </c>
    </row>
    <row r="14">
      <c r="B14" s="59" t="inlineStr">
        <is>
          <t>MH</t>
        </is>
      </c>
      <c r="C14" s="59" t="inlineStr">
        <is>
          <t>Manufactured Housing</t>
        </is>
      </c>
      <c r="E14" s="59" t="inlineStr">
        <is>
          <t>West / Mountain</t>
        </is>
      </c>
      <c r="G14" s="46">
        <f>'Deal Map'!C14</f>
        <v/>
      </c>
      <c r="I14" s="119" t="inlineStr">
        <is>
          <t>DC</t>
        </is>
      </c>
      <c r="J14" s="21">
        <f>SUMIFS(tUPBf,tState,I14)</f>
        <v/>
      </c>
      <c r="K14" s="120">
        <f>IF(J14&gt;0,J14+(1000-ROW())/1000000,0)</f>
        <v/>
      </c>
    </row>
    <row r="15">
      <c r="B15" s="59" t="inlineStr">
        <is>
          <t>SP</t>
        </is>
      </c>
      <c r="C15" s="59" t="inlineStr">
        <is>
          <t>Other / Leased Fee</t>
        </is>
      </c>
      <c r="E15" s="59" t="inlineStr">
        <is>
          <t>West / Pacific North</t>
        </is>
      </c>
      <c r="G15" s="46">
        <f>'Deal Map'!C15</f>
        <v/>
      </c>
      <c r="I15" s="119" t="inlineStr">
        <is>
          <t>DE</t>
        </is>
      </c>
      <c r="J15" s="21">
        <f>SUMIFS(tUPBf,tState,I15)</f>
        <v/>
      </c>
      <c r="K15" s="120">
        <f>IF(J15&gt;0,J15+(1000-ROW())/1000000,0)</f>
        <v/>
      </c>
    </row>
    <row r="16">
      <c r="B16" s="59" t="inlineStr">
        <is>
          <t>OT</t>
        </is>
      </c>
      <c r="C16" s="59" t="inlineStr">
        <is>
          <t>Other / Leased Fee</t>
        </is>
      </c>
      <c r="E16" s="59" t="inlineStr">
        <is>
          <t>West / Pacific South</t>
        </is>
      </c>
      <c r="G16" s="46">
        <f>'Deal Map'!C16</f>
        <v/>
      </c>
      <c r="I16" s="119" t="inlineStr">
        <is>
          <t>FL</t>
        </is>
      </c>
      <c r="J16" s="21">
        <f>SUMIFS(tUPBf,tState,I16)</f>
        <v/>
      </c>
      <c r="K16" s="120">
        <f>IF(J16&gt;0,J16+(1000-ROW())/1000000,0)</f>
        <v/>
      </c>
    </row>
    <row r="17">
      <c r="B17" s="14" t="inlineStr">
        <is>
          <t>Multi-type portfolios map on the dominant (first listed) Intex type.</t>
        </is>
      </c>
      <c r="E17" s="14" t="inlineStr">
        <is>
          <t>Multi-region portfolios map on the first listed region.</t>
        </is>
      </c>
      <c r="G17" s="46">
        <f>'Deal Map'!C17</f>
        <v/>
      </c>
      <c r="I17" s="119" t="inlineStr">
        <is>
          <t>GA</t>
        </is>
      </c>
      <c r="J17" s="21">
        <f>SUMIFS(tUPBf,tState,I17)</f>
        <v/>
      </c>
      <c r="K17" s="120">
        <f>IF(J17&gt;0,J17+(1000-ROW())/1000000,0)</f>
        <v/>
      </c>
    </row>
    <row r="18">
      <c r="G18" s="46">
        <f>'Deal Map'!C18</f>
        <v/>
      </c>
      <c r="I18" s="119" t="inlineStr">
        <is>
          <t>HI</t>
        </is>
      </c>
      <c r="J18" s="21">
        <f>SUMIFS(tUPBf,tState,I18)</f>
        <v/>
      </c>
      <c r="K18" s="120">
        <f>IF(J18&gt;0,J18+(1000-ROW())/1000000,0)</f>
        <v/>
      </c>
    </row>
    <row r="19">
      <c r="G19" s="46">
        <f>'Deal Map'!C19</f>
        <v/>
      </c>
      <c r="I19" s="119" t="inlineStr">
        <is>
          <t>IA</t>
        </is>
      </c>
      <c r="J19" s="21">
        <f>SUMIFS(tUPBf,tState,I19)</f>
        <v/>
      </c>
      <c r="K19" s="120">
        <f>IF(J19&gt;0,J19+(1000-ROW())/1000000,0)</f>
        <v/>
      </c>
    </row>
    <row r="20">
      <c r="G20" s="46">
        <f>'Deal Map'!C20</f>
        <v/>
      </c>
      <c r="I20" s="119" t="inlineStr">
        <is>
          <t>ID</t>
        </is>
      </c>
      <c r="J20" s="21">
        <f>SUMIFS(tUPBf,tState,I20)</f>
        <v/>
      </c>
      <c r="K20" s="120">
        <f>IF(J20&gt;0,J20+(1000-ROW())/1000000,0)</f>
        <v/>
      </c>
    </row>
    <row r="21">
      <c r="G21" s="46">
        <f>'Deal Map'!C21</f>
        <v/>
      </c>
      <c r="I21" s="119" t="inlineStr">
        <is>
          <t>IL</t>
        </is>
      </c>
      <c r="J21" s="21">
        <f>SUMIFS(tUPBf,tState,I21)</f>
        <v/>
      </c>
      <c r="K21" s="120">
        <f>IF(J21&gt;0,J21+(1000-ROW())/1000000,0)</f>
        <v/>
      </c>
    </row>
    <row r="22">
      <c r="G22" s="46">
        <f>'Deal Map'!C22</f>
        <v/>
      </c>
      <c r="I22" s="119" t="inlineStr">
        <is>
          <t>IN</t>
        </is>
      </c>
      <c r="J22" s="21">
        <f>SUMIFS(tUPBf,tState,I22)</f>
        <v/>
      </c>
      <c r="K22" s="120">
        <f>IF(J22&gt;0,J22+(1000-ROW())/1000000,0)</f>
        <v/>
      </c>
    </row>
    <row r="23">
      <c r="G23" s="46">
        <f>'Deal Map'!C23</f>
        <v/>
      </c>
      <c r="I23" s="119" t="inlineStr">
        <is>
          <t>KS</t>
        </is>
      </c>
      <c r="J23" s="21">
        <f>SUMIFS(tUPBf,tState,I23)</f>
        <v/>
      </c>
      <c r="K23" s="120">
        <f>IF(J23&gt;0,J23+(1000-ROW())/1000000,0)</f>
        <v/>
      </c>
    </row>
    <row r="24">
      <c r="G24" s="46">
        <f>'Deal Map'!C24</f>
        <v/>
      </c>
      <c r="I24" s="119" t="inlineStr">
        <is>
          <t>KY</t>
        </is>
      </c>
      <c r="J24" s="21">
        <f>SUMIFS(tUPBf,tState,I24)</f>
        <v/>
      </c>
      <c r="K24" s="120">
        <f>IF(J24&gt;0,J24+(1000-ROW())/1000000,0)</f>
        <v/>
      </c>
    </row>
    <row r="25">
      <c r="G25" s="46">
        <f>'Deal Map'!C25</f>
        <v/>
      </c>
      <c r="I25" s="119" t="inlineStr">
        <is>
          <t>LA</t>
        </is>
      </c>
      <c r="J25" s="21">
        <f>SUMIFS(tUPBf,tState,I25)</f>
        <v/>
      </c>
      <c r="K25" s="120">
        <f>IF(J25&gt;0,J25+(1000-ROW())/1000000,0)</f>
        <v/>
      </c>
    </row>
    <row r="26">
      <c r="G26" s="46">
        <f>'Deal Map'!C26</f>
        <v/>
      </c>
      <c r="I26" s="119" t="inlineStr">
        <is>
          <t>MA</t>
        </is>
      </c>
      <c r="J26" s="21">
        <f>SUMIFS(tUPBf,tState,I26)</f>
        <v/>
      </c>
      <c r="K26" s="120">
        <f>IF(J26&gt;0,J26+(1000-ROW())/1000000,0)</f>
        <v/>
      </c>
    </row>
    <row r="27">
      <c r="G27" s="46">
        <f>'Deal Map'!C27</f>
        <v/>
      </c>
      <c r="I27" s="119" t="inlineStr">
        <is>
          <t>MD</t>
        </is>
      </c>
      <c r="J27" s="21">
        <f>SUMIFS(tUPBf,tState,I27)</f>
        <v/>
      </c>
      <c r="K27" s="120">
        <f>IF(J27&gt;0,J27+(1000-ROW())/1000000,0)</f>
        <v/>
      </c>
    </row>
    <row r="28">
      <c r="G28" s="46">
        <f>'Deal Map'!C28</f>
        <v/>
      </c>
      <c r="I28" s="119" t="inlineStr">
        <is>
          <t>ME</t>
        </is>
      </c>
      <c r="J28" s="21">
        <f>SUMIFS(tUPBf,tState,I28)</f>
        <v/>
      </c>
      <c r="K28" s="120">
        <f>IF(J28&gt;0,J28+(1000-ROW())/1000000,0)</f>
        <v/>
      </c>
    </row>
    <row r="29">
      <c r="G29" s="46">
        <f>'Deal Map'!C29</f>
        <v/>
      </c>
      <c r="I29" s="119" t="inlineStr">
        <is>
          <t>MI</t>
        </is>
      </c>
      <c r="J29" s="21">
        <f>SUMIFS(tUPBf,tState,I29)</f>
        <v/>
      </c>
      <c r="K29" s="120">
        <f>IF(J29&gt;0,J29+(1000-ROW())/1000000,0)</f>
        <v/>
      </c>
    </row>
    <row r="30">
      <c r="G30" s="46">
        <f>'Deal Map'!C30</f>
        <v/>
      </c>
      <c r="I30" s="119" t="inlineStr">
        <is>
          <t>MN</t>
        </is>
      </c>
      <c r="J30" s="21">
        <f>SUMIFS(tUPBf,tState,I30)</f>
        <v/>
      </c>
      <c r="K30" s="120">
        <f>IF(J30&gt;0,J30+(1000-ROW())/1000000,0)</f>
        <v/>
      </c>
    </row>
    <row r="31">
      <c r="G31" s="46">
        <f>'Deal Map'!C31</f>
        <v/>
      </c>
      <c r="I31" s="119" t="inlineStr">
        <is>
          <t>MO</t>
        </is>
      </c>
      <c r="J31" s="21">
        <f>SUMIFS(tUPBf,tState,I31)</f>
        <v/>
      </c>
      <c r="K31" s="120">
        <f>IF(J31&gt;0,J31+(1000-ROW())/1000000,0)</f>
        <v/>
      </c>
    </row>
    <row r="32">
      <c r="G32" s="46">
        <f>'Deal Map'!C32</f>
        <v/>
      </c>
      <c r="I32" s="119" t="inlineStr">
        <is>
          <t>MS</t>
        </is>
      </c>
      <c r="J32" s="21">
        <f>SUMIFS(tUPBf,tState,I32)</f>
        <v/>
      </c>
      <c r="K32" s="120">
        <f>IF(J32&gt;0,J32+(1000-ROW())/1000000,0)</f>
        <v/>
      </c>
    </row>
    <row r="33">
      <c r="G33" s="46">
        <f>'Deal Map'!C33</f>
        <v/>
      </c>
      <c r="I33" s="119" t="inlineStr">
        <is>
          <t>MT</t>
        </is>
      </c>
      <c r="J33" s="21">
        <f>SUMIFS(tUPBf,tState,I33)</f>
        <v/>
      </c>
      <c r="K33" s="120">
        <f>IF(J33&gt;0,J33+(1000-ROW())/1000000,0)</f>
        <v/>
      </c>
    </row>
    <row r="34">
      <c r="G34" s="46">
        <f>'Deal Map'!C34</f>
        <v/>
      </c>
      <c r="I34" s="119" t="inlineStr">
        <is>
          <t>MX</t>
        </is>
      </c>
      <c r="J34" s="21">
        <f>SUMIFS(tUPBf,tState,I34)</f>
        <v/>
      </c>
      <c r="K34" s="120">
        <f>IF(J34&gt;0,J34+(1000-ROW())/1000000,0)</f>
        <v/>
      </c>
    </row>
    <row r="35">
      <c r="I35" s="119" t="inlineStr">
        <is>
          <t>NC</t>
        </is>
      </c>
      <c r="J35" s="21">
        <f>SUMIFS(tUPBf,tState,I35)</f>
        <v/>
      </c>
      <c r="K35" s="120">
        <f>IF(J35&gt;0,J35+(1000-ROW())/1000000,0)</f>
        <v/>
      </c>
    </row>
    <row r="36" ht="27" customHeight="1">
      <c r="G36" s="15" t="inlineStr">
        <is>
          <t>Holding Entity Filter</t>
        </is>
      </c>
      <c r="I36" s="119" t="inlineStr">
        <is>
          <t>ND</t>
        </is>
      </c>
      <c r="J36" s="21">
        <f>SUMIFS(tUPBf,tState,I36)</f>
        <v/>
      </c>
      <c r="K36" s="120">
        <f>IF(J36&gt;0,J36+(1000-ROW())/1000000,0)</f>
        <v/>
      </c>
    </row>
    <row r="37">
      <c r="G37" s="59" t="inlineStr">
        <is>
          <t>All Entities</t>
        </is>
      </c>
      <c r="I37" s="119" t="inlineStr">
        <is>
          <t>NE</t>
        </is>
      </c>
      <c r="J37" s="21">
        <f>SUMIFS(tUPBf,tState,I37)</f>
        <v/>
      </c>
      <c r="K37" s="120">
        <f>IF(J37&gt;0,J37+(1000-ROW())/1000000,0)</f>
        <v/>
      </c>
    </row>
    <row r="38">
      <c r="G38" s="59" t="inlineStr">
        <is>
          <t>Aggregator I L.P.</t>
        </is>
      </c>
      <c r="I38" s="119" t="inlineStr">
        <is>
          <t>NH</t>
        </is>
      </c>
      <c r="J38" s="21">
        <f>SUMIFS(tUPBf,tState,I38)</f>
        <v/>
      </c>
      <c r="K38" s="120">
        <f>IF(J38&gt;0,J38+(1000-ROW())/1000000,0)</f>
        <v/>
      </c>
    </row>
    <row r="39">
      <c r="G39" s="59" t="inlineStr">
        <is>
          <t>(AIV) Aggregator I L.P.</t>
        </is>
      </c>
      <c r="I39" s="119" t="inlineStr">
        <is>
          <t>NJ</t>
        </is>
      </c>
      <c r="J39" s="21">
        <f>SUMIFS(tUPBf,tState,I39)</f>
        <v/>
      </c>
      <c r="K39" s="120">
        <f>IF(J39&gt;0,J39+(1000-ROW())/1000000,0)</f>
        <v/>
      </c>
    </row>
    <row r="40">
      <c r="G40" s="59" t="inlineStr">
        <is>
          <t>Not on RECOP Tape</t>
        </is>
      </c>
      <c r="I40" s="119" t="inlineStr">
        <is>
          <t>NM</t>
        </is>
      </c>
      <c r="J40" s="21">
        <f>SUMIFS(tUPBf,tState,I40)</f>
        <v/>
      </c>
      <c r="K40" s="120">
        <f>IF(J40&gt;0,J40+(1000-ROW())/1000000,0)</f>
        <v/>
      </c>
    </row>
    <row r="41">
      <c r="I41" s="119" t="inlineStr">
        <is>
          <t>NV</t>
        </is>
      </c>
      <c r="J41" s="21">
        <f>SUMIFS(tUPBf,tState,I41)</f>
        <v/>
      </c>
      <c r="K41" s="120">
        <f>IF(J41&gt;0,J41+(1000-ROW())/1000000,0)</f>
        <v/>
      </c>
    </row>
    <row r="42" ht="27" customHeight="1">
      <c r="G42" s="15" t="inlineStr">
        <is>
          <t>Property Type Filter</t>
        </is>
      </c>
      <c r="I42" s="119" t="inlineStr">
        <is>
          <t>NY</t>
        </is>
      </c>
      <c r="J42" s="21">
        <f>SUMIFS(tUPBf,tState,I42)</f>
        <v/>
      </c>
      <c r="K42" s="120">
        <f>IF(J42&gt;0,J42+(1000-ROW())/1000000,0)</f>
        <v/>
      </c>
    </row>
    <row r="43">
      <c r="G43" s="59" t="inlineStr">
        <is>
          <t>All Property Types</t>
        </is>
      </c>
      <c r="I43" s="119" t="inlineStr">
        <is>
          <t>OH</t>
        </is>
      </c>
      <c r="J43" s="21">
        <f>SUMIFS(tUPBf,tState,I43)</f>
        <v/>
      </c>
      <c r="K43" s="120">
        <f>IF(J43&gt;0,J43+(1000-ROW())/1000000,0)</f>
        <v/>
      </c>
    </row>
    <row r="44">
      <c r="G44" s="59" t="inlineStr">
        <is>
          <t>Retail</t>
        </is>
      </c>
      <c r="I44" s="119" t="inlineStr">
        <is>
          <t>OK</t>
        </is>
      </c>
      <c r="J44" s="21">
        <f>SUMIFS(tUPBf,tState,I44)</f>
        <v/>
      </c>
      <c r="K44" s="120">
        <f>IF(J44&gt;0,J44+(1000-ROW())/1000000,0)</f>
        <v/>
      </c>
    </row>
    <row r="45">
      <c r="G45" s="59" t="inlineStr">
        <is>
          <t>Office</t>
        </is>
      </c>
      <c r="I45" s="119" t="inlineStr">
        <is>
          <t>OR</t>
        </is>
      </c>
      <c r="J45" s="21">
        <f>SUMIFS(tUPBf,tState,I45)</f>
        <v/>
      </c>
      <c r="K45" s="120">
        <f>IF(J45&gt;0,J45+(1000-ROW())/1000000,0)</f>
        <v/>
      </c>
    </row>
    <row r="46">
      <c r="G46" s="59" t="inlineStr">
        <is>
          <t>Hospitality</t>
        </is>
      </c>
      <c r="I46" s="119" t="inlineStr">
        <is>
          <t>PA</t>
        </is>
      </c>
      <c r="J46" s="21">
        <f>SUMIFS(tUPBf,tState,I46)</f>
        <v/>
      </c>
      <c r="K46" s="120">
        <f>IF(J46&gt;0,J46+(1000-ROW())/1000000,0)</f>
        <v/>
      </c>
    </row>
    <row r="47">
      <c r="G47" s="59" t="inlineStr">
        <is>
          <t>Multifamily</t>
        </is>
      </c>
      <c r="I47" s="119" t="inlineStr">
        <is>
          <t>PR</t>
        </is>
      </c>
      <c r="J47" s="21">
        <f>SUMIFS(tUPBf,tState,I47)</f>
        <v/>
      </c>
      <c r="K47" s="120">
        <f>IF(J47&gt;0,J47+(1000-ROW())/1000000,0)</f>
        <v/>
      </c>
    </row>
    <row r="48">
      <c r="G48" s="59" t="inlineStr">
        <is>
          <t>Industrial</t>
        </is>
      </c>
      <c r="I48" s="119" t="inlineStr">
        <is>
          <t>RI</t>
        </is>
      </c>
      <c r="J48" s="21">
        <f>SUMIFS(tUPBf,tState,I48)</f>
        <v/>
      </c>
      <c r="K48" s="120">
        <f>IF(J48&gt;0,J48+(1000-ROW())/1000000,0)</f>
        <v/>
      </c>
    </row>
    <row r="49">
      <c r="G49" s="59" t="inlineStr">
        <is>
          <t>Mixed Use</t>
        </is>
      </c>
      <c r="I49" s="119" t="inlineStr">
        <is>
          <t>SC</t>
        </is>
      </c>
      <c r="J49" s="21">
        <f>SUMIFS(tUPBf,tState,I49)</f>
        <v/>
      </c>
      <c r="K49" s="120">
        <f>IF(J49&gt;0,J49+(1000-ROW())/1000000,0)</f>
        <v/>
      </c>
    </row>
    <row r="50">
      <c r="G50" s="59" t="inlineStr">
        <is>
          <t>Self Storage</t>
        </is>
      </c>
      <c r="I50" s="119" t="inlineStr">
        <is>
          <t>SD</t>
        </is>
      </c>
      <c r="J50" s="21">
        <f>SUMIFS(tUPBf,tState,I50)</f>
        <v/>
      </c>
      <c r="K50" s="120">
        <f>IF(J50&gt;0,J50+(1000-ROW())/1000000,0)</f>
        <v/>
      </c>
    </row>
    <row r="51">
      <c r="G51" s="59" t="inlineStr">
        <is>
          <t>Manufactured Housing</t>
        </is>
      </c>
      <c r="I51" s="119" t="inlineStr">
        <is>
          <t>TN</t>
        </is>
      </c>
      <c r="J51" s="21">
        <f>SUMIFS(tUPBf,tState,I51)</f>
        <v/>
      </c>
      <c r="K51" s="120">
        <f>IF(J51&gt;0,J51+(1000-ROW())/1000000,0)</f>
        <v/>
      </c>
    </row>
    <row r="52">
      <c r="G52" s="59" t="inlineStr">
        <is>
          <t>Other / Leased Fee</t>
        </is>
      </c>
      <c r="I52" s="119" t="inlineStr">
        <is>
          <t>TX</t>
        </is>
      </c>
      <c r="J52" s="21">
        <f>SUMIFS(tUPBf,tState,I52)</f>
        <v/>
      </c>
      <c r="K52" s="120">
        <f>IF(J52&gt;0,J52+(1000-ROW())/1000000,0)</f>
        <v/>
      </c>
    </row>
    <row r="53">
      <c r="I53" s="119" t="inlineStr">
        <is>
          <t>UT</t>
        </is>
      </c>
      <c r="J53" s="21">
        <f>SUMIFS(tUPBf,tState,I53)</f>
        <v/>
      </c>
      <c r="K53" s="120">
        <f>IF(J53&gt;0,J53+(1000-ROW())/1000000,0)</f>
        <v/>
      </c>
    </row>
    <row r="54" ht="27" customHeight="1">
      <c r="G54" s="15" t="inlineStr">
        <is>
          <t>Defeased Loans</t>
        </is>
      </c>
      <c r="I54" s="119" t="inlineStr">
        <is>
          <t>VA</t>
        </is>
      </c>
      <c r="J54" s="21">
        <f>SUMIFS(tUPBf,tState,I54)</f>
        <v/>
      </c>
      <c r="K54" s="120">
        <f>IF(J54&gt;0,J54+(1000-ROW())/1000000,0)</f>
        <v/>
      </c>
    </row>
    <row r="55">
      <c r="G55" s="59" t="inlineStr">
        <is>
          <t>Include</t>
        </is>
      </c>
      <c r="I55" s="119" t="inlineStr">
        <is>
          <t>VT</t>
        </is>
      </c>
      <c r="J55" s="21">
        <f>SUMIFS(tUPBf,tState,I55)</f>
        <v/>
      </c>
      <c r="K55" s="120">
        <f>IF(J55&gt;0,J55+(1000-ROW())/1000000,0)</f>
        <v/>
      </c>
    </row>
    <row r="56">
      <c r="G56" s="59" t="inlineStr">
        <is>
          <t>Exclude</t>
        </is>
      </c>
      <c r="I56" s="119" t="inlineStr">
        <is>
          <t>WA</t>
        </is>
      </c>
      <c r="J56" s="21">
        <f>SUMIFS(tUPBf,tState,I56)</f>
        <v/>
      </c>
      <c r="K56" s="120">
        <f>IF(J56&gt;0,J56+(1000-ROW())/1000000,0)</f>
        <v/>
      </c>
    </row>
    <row r="57">
      <c r="I57" s="119" t="inlineStr">
        <is>
          <t>WI</t>
        </is>
      </c>
      <c r="J57" s="21">
        <f>SUMIFS(tUPBf,tState,I57)</f>
        <v/>
      </c>
      <c r="K57" s="120">
        <f>IF(J57&gt;0,J57+(1000-ROW())/1000000,0)</f>
        <v/>
      </c>
    </row>
    <row r="58">
      <c r="I58" s="119" t="inlineStr">
        <is>
          <t>WV</t>
        </is>
      </c>
      <c r="J58" s="21">
        <f>SUMIFS(tUPBf,tState,I58)</f>
        <v/>
      </c>
      <c r="K58" s="120">
        <f>IF(J58&gt;0,J58+(1000-ROW())/1000000,0)</f>
        <v/>
      </c>
    </row>
    <row r="59">
      <c r="I59" s="119" t="inlineStr">
        <is>
          <t>WY</t>
        </is>
      </c>
      <c r="J59" s="21">
        <f>SUMIFS(tUPBf,tState,I59)</f>
        <v/>
      </c>
      <c r="K59" s="120">
        <f>IF(J59&gt;0,J59+(1000-ROW())/1000000,0)</f>
        <v/>
      </c>
    </row>
    <row r="60">
      <c r="I60" s="119" t="inlineStr">
        <is>
          <t>NR</t>
        </is>
      </c>
      <c r="J60" s="21">
        <f>SUMIFS(tUPBf,tState,I60)</f>
        <v/>
      </c>
      <c r="K60" s="120">
        <f>IF(J60&gt;0,J60+(1000-ROW())/1000000,0)</f>
        <v/>
      </c>
    </row>
    <row r="61">
      <c r="I61" s="14" t="inlineStr">
        <is>
          <t>Feeds the dynamic Top 15 state strat; NR = state not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2026-10-02T18:09:38Z</dcterms:created>
  <dcterms:modified xsi:type="dcterms:W3CDTF">2026-10-02T18:09:42Z</dcterms:modified>
</cp:coreProperties>
</file>